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5.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6.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9.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showInkAnnotation="0" updateLinks="always" autoCompressPictures="0"/>
  <mc:AlternateContent xmlns:mc="http://schemas.openxmlformats.org/markup-compatibility/2006">
    <mc:Choice Requires="x15">
      <x15ac:absPath xmlns:x15ac="http://schemas.microsoft.com/office/spreadsheetml/2010/11/ac" url="/Users/sdillinger/Nextcloud/Daten/Training/Trainingsanalyse/"/>
    </mc:Choice>
  </mc:AlternateContent>
  <xr:revisionPtr revIDLastSave="0" documentId="13_ncr:1_{C9C47A02-226C-7C46-ABF1-24058ADEDB8A}" xr6:coauthVersionLast="47" xr6:coauthVersionMax="47" xr10:uidLastSave="{00000000-0000-0000-0000-000000000000}"/>
  <bookViews>
    <workbookView xWindow="20060" yWindow="1820" windowWidth="25240" windowHeight="17700" tabRatio="808" firstSheet="10" activeTab="11" xr2:uid="{00000000-000D-0000-FFFF-FFFF00000000}"/>
  </bookViews>
  <sheets>
    <sheet name="2007" sheetId="1" r:id="rId1"/>
    <sheet name="2008" sheetId="2" r:id="rId2"/>
    <sheet name="2009" sheetId="3" r:id="rId3"/>
    <sheet name="2010" sheetId="4" r:id="rId4"/>
    <sheet name="2011" sheetId="5" r:id="rId5"/>
    <sheet name="2012" sheetId="6" r:id="rId6"/>
    <sheet name="2013" sheetId="7" r:id="rId7"/>
    <sheet name="2014" sheetId="8" r:id="rId8"/>
    <sheet name="2015" sheetId="9" r:id="rId9"/>
    <sheet name="2016" sheetId="12" r:id="rId10"/>
    <sheet name="2017" sheetId="13" r:id="rId11"/>
    <sheet name="2018+" sheetId="14" r:id="rId12"/>
    <sheet name="Dashboard" sheetId="18" r:id="rId13"/>
    <sheet name="Trainingsarten" sheetId="21" r:id="rId14"/>
    <sheet name="Schuhe" sheetId="29" r:id="rId15"/>
    <sheet name="Periodisierung" sheetId="33" r:id="rId16"/>
    <sheet name="TSS vs RSS" sheetId="47" r:id="rId17"/>
    <sheet name="Periodisierung  9" sheetId="46" r:id="rId18"/>
    <sheet name="Jahrestabellen" sheetId="30" r:id="rId19"/>
    <sheet name="HM" sheetId="43" r:id="rId20"/>
    <sheet name="peaks" sheetId="45" r:id="rId21"/>
    <sheet name="PWR HR" sheetId="37" r:id="rId22"/>
    <sheet name="trailing 90d" sheetId="44" r:id="rId23"/>
    <sheet name="ECOR" sheetId="34" r:id="rId24"/>
    <sheet name="Kinderwagen" sheetId="36" r:id="rId25"/>
    <sheet name="Year progression" sheetId="38" r:id="rId26"/>
    <sheet name="Wettkampfprognosen" sheetId="40" r:id="rId27"/>
    <sheet name="Vorlagen" sheetId="42" r:id="rId28"/>
    <sheet name="Volumes" sheetId="41" r:id="rId29"/>
  </sheets>
  <externalReferences>
    <externalReference r:id="rId30"/>
  </externalReferences>
  <definedNames>
    <definedName name="_xlnm._FilterDatabase" localSheetId="11" hidden="1">'2018+'!$A$1:$X$2538</definedName>
    <definedName name="_xlnm._FilterDatabase" localSheetId="20" hidden="1">peaks!$B$1:$F$532</definedName>
    <definedName name="_xlnm.Print_Area" localSheetId="4">'2011'!$A$1:$J$374</definedName>
    <definedName name="_xlnm.Print_Area" localSheetId="8">'2015'!$A$1:$H$374</definedName>
    <definedName name="_xlnm.Print_Area" localSheetId="9">'2016'!$A$1:$G$375</definedName>
    <definedName name="_xlnm.Print_Area" localSheetId="10">'2017'!$A$74:$I$150</definedName>
    <definedName name="_xlnm.Print_Area" localSheetId="11">'2018+'!$B$1459:$W$1612</definedName>
    <definedName name="_xlnm.Print_Area" localSheetId="12">Dashboard!$A$1:$AA$30</definedName>
    <definedName name="Schuhe">"$#REF!.$B$3:$B$13"</definedName>
  </definedNames>
  <calcPr calcId="191028"/>
  <pivotCaches>
    <pivotCache cacheId="39" r:id="rId31"/>
    <pivotCache cacheId="46" r:id="rId32"/>
    <pivotCache cacheId="51" r:id="rId33"/>
  </pivotCaches>
  <fileRecoveryPr autoRecover="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M15" i="40" l="1"/>
  <c r="N22" i="21"/>
  <c r="BB50" i="33"/>
  <c r="BB48" i="33"/>
  <c r="K2206" i="14"/>
  <c r="H15" i="40"/>
  <c r="S8" i="18"/>
  <c r="S7" i="18"/>
  <c r="S6" i="18"/>
  <c r="S2203" i="14"/>
  <c r="A7" i="47"/>
  <c r="A8" i="47"/>
  <c r="A9" i="47"/>
  <c r="A10" i="47"/>
  <c r="A11" i="47"/>
  <c r="A12" i="47"/>
  <c r="A13" i="47"/>
  <c r="A14" i="47"/>
  <c r="A15" i="47"/>
  <c r="A16" i="47"/>
  <c r="A17" i="47"/>
  <c r="A18" i="47"/>
  <c r="A19" i="47"/>
  <c r="A20" i="47"/>
  <c r="A21" i="47"/>
  <c r="A22" i="47"/>
  <c r="A23" i="47"/>
  <c r="A24" i="47"/>
  <c r="A25" i="47"/>
  <c r="A26" i="47"/>
  <c r="A27" i="47"/>
  <c r="A28" i="47"/>
  <c r="A29" i="47"/>
  <c r="A30" i="47"/>
  <c r="A31" i="47"/>
  <c r="A32" i="47"/>
  <c r="A33" i="47"/>
  <c r="A34" i="47"/>
  <c r="A35" i="47"/>
  <c r="A36" i="47"/>
  <c r="A37" i="47"/>
  <c r="A38" i="47"/>
  <c r="A6" i="47"/>
  <c r="BB51" i="33"/>
  <c r="Y2139" i="14"/>
  <c r="Y2144" i="14"/>
  <c r="Y2174" i="14"/>
  <c r="Y2191" i="14"/>
  <c r="Y2193" i="14"/>
  <c r="Y2196" i="14"/>
  <c r="Y2291" i="14"/>
  <c r="Y2305" i="14"/>
  <c r="Y2189" i="14"/>
  <c r="C4" i="38"/>
  <c r="C5" i="38"/>
  <c r="C6" i="38" s="1"/>
  <c r="C7" i="38" s="1"/>
  <c r="C8" i="38" s="1"/>
  <c r="C9" i="38" s="1"/>
  <c r="C10" i="38" s="1"/>
  <c r="C11" i="38" s="1"/>
  <c r="C12" i="38" s="1"/>
  <c r="C13" i="38" s="1"/>
  <c r="C14" i="38" s="1"/>
  <c r="C15" i="38" s="1"/>
  <c r="C16" i="38" s="1"/>
  <c r="C17" i="38" s="1"/>
  <c r="C18" i="38" s="1"/>
  <c r="C19" i="38" s="1"/>
  <c r="C20" i="38" s="1"/>
  <c r="C21" i="38" s="1"/>
  <c r="C22" i="38" s="1"/>
  <c r="C23" i="38" s="1"/>
  <c r="C24" i="38" s="1"/>
  <c r="C25" i="38" s="1"/>
  <c r="C26" i="38" s="1"/>
  <c r="C27" i="38" s="1"/>
  <c r="C28" i="38" s="1"/>
  <c r="C29" i="38" s="1"/>
  <c r="C30" i="38" s="1"/>
  <c r="C31" i="38" s="1"/>
  <c r="C32" i="38" s="1"/>
  <c r="C33" i="38" s="1"/>
  <c r="C34" i="38" s="1"/>
  <c r="C35" i="38" s="1"/>
  <c r="C36" i="38" s="1"/>
  <c r="C37" i="38" s="1"/>
  <c r="C38" i="38" s="1"/>
  <c r="C39" i="38" s="1"/>
  <c r="C40" i="38" s="1"/>
  <c r="C41" i="38" s="1"/>
  <c r="C42" i="38" s="1"/>
  <c r="C43" i="38" s="1"/>
  <c r="C44" i="38" s="1"/>
  <c r="C45" i="38" s="1"/>
  <c r="C46" i="38" s="1"/>
  <c r="C47" i="38" s="1"/>
  <c r="C48" i="38" s="1"/>
  <c r="C49" i="38" s="1"/>
  <c r="C50" i="38" s="1"/>
  <c r="C51" i="38" s="1"/>
  <c r="C52" i="38" s="1"/>
  <c r="C53" i="38" s="1"/>
  <c r="C54" i="38" s="1"/>
  <c r="C55" i="38" s="1"/>
  <c r="C56" i="38" s="1"/>
  <c r="C57" i="38" s="1"/>
  <c r="C58" i="38" s="1"/>
  <c r="C59" i="38" s="1"/>
  <c r="C60" i="38" s="1"/>
  <c r="C61" i="38" s="1"/>
  <c r="C62" i="38" s="1"/>
  <c r="C63" i="38" s="1"/>
  <c r="C64" i="38" s="1"/>
  <c r="C65" i="38" s="1"/>
  <c r="C66" i="38" s="1"/>
  <c r="C67" i="38" s="1"/>
  <c r="C68" i="38" s="1"/>
  <c r="C69" i="38" s="1"/>
  <c r="C70" i="38" s="1"/>
  <c r="C71" i="38" s="1"/>
  <c r="C72" i="38" s="1"/>
  <c r="C73" i="38" s="1"/>
  <c r="C74" i="38" s="1"/>
  <c r="C75" i="38" s="1"/>
  <c r="C76" i="38" s="1"/>
  <c r="C77" i="38" s="1"/>
  <c r="C78" i="38" s="1"/>
  <c r="C79" i="38" s="1"/>
  <c r="C80" i="38" s="1"/>
  <c r="C81" i="38" s="1"/>
  <c r="C82" i="38" s="1"/>
  <c r="C83" i="38" s="1"/>
  <c r="C84" i="38" s="1"/>
  <c r="C85" i="38" s="1"/>
  <c r="C86" i="38" s="1"/>
  <c r="C87" i="38" s="1"/>
  <c r="C88" i="38" s="1"/>
  <c r="C89" i="38" s="1"/>
  <c r="C90" i="38" s="1"/>
  <c r="C91" i="38" s="1"/>
  <c r="C92" i="38" s="1"/>
  <c r="C93" i="38" s="1"/>
  <c r="C94" i="38" s="1"/>
  <c r="C95" i="38" s="1"/>
  <c r="C96" i="38" s="1"/>
  <c r="C97" i="38" s="1"/>
  <c r="C98" i="38" s="1"/>
  <c r="C99" i="38" s="1"/>
  <c r="C100" i="38" s="1"/>
  <c r="C101" i="38" s="1"/>
  <c r="C102" i="38" s="1"/>
  <c r="C103" i="38" s="1"/>
  <c r="C104" i="38" s="1"/>
  <c r="C105" i="38" s="1"/>
  <c r="C106" i="38" s="1"/>
  <c r="C107" i="38" s="1"/>
  <c r="C108" i="38" s="1"/>
  <c r="C109" i="38" s="1"/>
  <c r="C110" i="38" s="1"/>
  <c r="C111" i="38" s="1"/>
  <c r="C112" i="38" s="1"/>
  <c r="C113" i="38" s="1"/>
  <c r="C114" i="38" s="1"/>
  <c r="C115" i="38" s="1"/>
  <c r="C116" i="38" s="1"/>
  <c r="C117" i="38" s="1"/>
  <c r="C118" i="38" s="1"/>
  <c r="C119" i="38" s="1"/>
  <c r="C120" i="38" s="1"/>
  <c r="C121" i="38" s="1"/>
  <c r="C122" i="38" s="1"/>
  <c r="C123" i="38" s="1"/>
  <c r="C124" i="38" s="1"/>
  <c r="C125" i="38" s="1"/>
  <c r="C126" i="38" s="1"/>
  <c r="C127" i="38" s="1"/>
  <c r="C128" i="38" s="1"/>
  <c r="C129" i="38" s="1"/>
  <c r="C130" i="38" s="1"/>
  <c r="C131" i="38" s="1"/>
  <c r="C132" i="38" s="1"/>
  <c r="C133" i="38" s="1"/>
  <c r="C134" i="38" s="1"/>
  <c r="C135" i="38" s="1"/>
  <c r="C136" i="38" s="1"/>
  <c r="C137" i="38" s="1"/>
  <c r="C138" i="38" s="1"/>
  <c r="C139" i="38" s="1"/>
  <c r="C140" i="38" s="1"/>
  <c r="C141" i="38" s="1"/>
  <c r="C142" i="38" s="1"/>
  <c r="C143" i="38" s="1"/>
  <c r="C144" i="38" s="1"/>
  <c r="C145" i="38" s="1"/>
  <c r="C146" i="38" s="1"/>
  <c r="C147" i="38" s="1"/>
  <c r="C148" i="38" s="1"/>
  <c r="C149" i="38" s="1"/>
  <c r="C150" i="38" s="1"/>
  <c r="C151" i="38" s="1"/>
  <c r="C152" i="38" s="1"/>
  <c r="C153" i="38" s="1"/>
  <c r="C154" i="38" s="1"/>
  <c r="C155" i="38" s="1"/>
  <c r="C156" i="38" s="1"/>
  <c r="C157" i="38" s="1"/>
  <c r="C158" i="38" s="1"/>
  <c r="C159" i="38" s="1"/>
  <c r="C160" i="38" s="1"/>
  <c r="C161" i="38" s="1"/>
  <c r="C162" i="38" s="1"/>
  <c r="C163" i="38" s="1"/>
  <c r="C164" i="38" s="1"/>
  <c r="C165" i="38" s="1"/>
  <c r="C166" i="38" s="1"/>
  <c r="C167" i="38" s="1"/>
  <c r="C168" i="38" s="1"/>
  <c r="C169" i="38" s="1"/>
  <c r="C170" i="38" s="1"/>
  <c r="C171" i="38" s="1"/>
  <c r="C172" i="38" s="1"/>
  <c r="C173" i="38" s="1"/>
  <c r="C174" i="38" s="1"/>
  <c r="C175" i="38" s="1"/>
  <c r="C176" i="38" s="1"/>
  <c r="C177" i="38" s="1"/>
  <c r="C178" i="38" s="1"/>
  <c r="C179" i="38" s="1"/>
  <c r="C180" i="38" s="1"/>
  <c r="C181" i="38" s="1"/>
  <c r="C182" i="38" s="1"/>
  <c r="C183" i="38" s="1"/>
  <c r="C184" i="38" s="1"/>
  <c r="C185" i="38" s="1"/>
  <c r="C186" i="38" s="1"/>
  <c r="C187" i="38" s="1"/>
  <c r="C188" i="38" s="1"/>
  <c r="C189" i="38" s="1"/>
  <c r="C190" i="38" s="1"/>
  <c r="C191" i="38" s="1"/>
  <c r="C192" i="38" s="1"/>
  <c r="C193" i="38" s="1"/>
  <c r="C194" i="38" s="1"/>
  <c r="C195" i="38" s="1"/>
  <c r="C196" i="38" s="1"/>
  <c r="C197" i="38" s="1"/>
  <c r="C198" i="38" s="1"/>
  <c r="C199" i="38" s="1"/>
  <c r="C200" i="38" s="1"/>
  <c r="C201" i="38" s="1"/>
  <c r="C202" i="38" s="1"/>
  <c r="C203" i="38" s="1"/>
  <c r="C204" i="38" s="1"/>
  <c r="C205" i="38" s="1"/>
  <c r="C206" i="38" s="1"/>
  <c r="C207" i="38" s="1"/>
  <c r="C208" i="38" s="1"/>
  <c r="C209" i="38" s="1"/>
  <c r="C210" i="38" s="1"/>
  <c r="C211" i="38" s="1"/>
  <c r="C212" i="38" s="1"/>
  <c r="C213" i="38" s="1"/>
  <c r="C214" i="38" s="1"/>
  <c r="C215" i="38" s="1"/>
  <c r="C216" i="38" s="1"/>
  <c r="C217" i="38" s="1"/>
  <c r="C218" i="38" s="1"/>
  <c r="C219" i="38" s="1"/>
  <c r="C220" i="38" s="1"/>
  <c r="C221" i="38" s="1"/>
  <c r="C222" i="38" s="1"/>
  <c r="C223" i="38" s="1"/>
  <c r="C224" i="38" s="1"/>
  <c r="C225" i="38" s="1"/>
  <c r="C226" i="38" s="1"/>
  <c r="C227" i="38" s="1"/>
  <c r="C228" i="38" s="1"/>
  <c r="C229" i="38" s="1"/>
  <c r="C230" i="38" s="1"/>
  <c r="C231" i="38" s="1"/>
  <c r="C232" i="38" s="1"/>
  <c r="C233" i="38" s="1"/>
  <c r="C234" i="38" s="1"/>
  <c r="C235" i="38" s="1"/>
  <c r="C236" i="38" s="1"/>
  <c r="C237" i="38" s="1"/>
  <c r="C238" i="38" s="1"/>
  <c r="C239" i="38" s="1"/>
  <c r="C240" i="38" s="1"/>
  <c r="C241" i="38" s="1"/>
  <c r="C242" i="38" s="1"/>
  <c r="C243" i="38" s="1"/>
  <c r="C244" i="38" s="1"/>
  <c r="C245" i="38" s="1"/>
  <c r="C246" i="38" s="1"/>
  <c r="C247" i="38" s="1"/>
  <c r="C248" i="38" s="1"/>
  <c r="C249" i="38" s="1"/>
  <c r="C250" i="38" s="1"/>
  <c r="C251" i="38" s="1"/>
  <c r="C252" i="38" s="1"/>
  <c r="C253" i="38" s="1"/>
  <c r="C254" i="38" s="1"/>
  <c r="C255" i="38" s="1"/>
  <c r="C256" i="38" s="1"/>
  <c r="C257" i="38" s="1"/>
  <c r="C258" i="38" s="1"/>
  <c r="C259" i="38" s="1"/>
  <c r="C260" i="38" s="1"/>
  <c r="C261" i="38" s="1"/>
  <c r="C262" i="38" s="1"/>
  <c r="C263" i="38" s="1"/>
  <c r="C264" i="38" s="1"/>
  <c r="C265" i="38" s="1"/>
  <c r="C266" i="38" s="1"/>
  <c r="C267" i="38" s="1"/>
  <c r="C268" i="38" s="1"/>
  <c r="C269" i="38" s="1"/>
  <c r="C270" i="38" s="1"/>
  <c r="C271" i="38" s="1"/>
  <c r="C272" i="38" s="1"/>
  <c r="C273" i="38" s="1"/>
  <c r="C274" i="38" s="1"/>
  <c r="C275" i="38" s="1"/>
  <c r="C276" i="38" s="1"/>
  <c r="C277" i="38" s="1"/>
  <c r="C278" i="38" s="1"/>
  <c r="C279" i="38" s="1"/>
  <c r="C280" i="38" s="1"/>
  <c r="C281" i="38" s="1"/>
  <c r="C282" i="38" s="1"/>
  <c r="C283" i="38" s="1"/>
  <c r="C284" i="38" s="1"/>
  <c r="C285" i="38" s="1"/>
  <c r="C286" i="38" s="1"/>
  <c r="C287" i="38" s="1"/>
  <c r="C288" i="38" s="1"/>
  <c r="C289" i="38" s="1"/>
  <c r="C290" i="38" s="1"/>
  <c r="C291" i="38" s="1"/>
  <c r="C292" i="38" s="1"/>
  <c r="C293" i="38" s="1"/>
  <c r="C294" i="38" s="1"/>
  <c r="C295" i="38" s="1"/>
  <c r="C296" i="38" s="1"/>
  <c r="C297" i="38" s="1"/>
  <c r="C298" i="38" s="1"/>
  <c r="C299" i="38" s="1"/>
  <c r="C300" i="38" s="1"/>
  <c r="C301" i="38" s="1"/>
  <c r="C302" i="38" s="1"/>
  <c r="C303" i="38" s="1"/>
  <c r="C304" i="38" s="1"/>
  <c r="C305" i="38" s="1"/>
  <c r="C306" i="38" s="1"/>
  <c r="C307" i="38" s="1"/>
  <c r="C308" i="38" s="1"/>
  <c r="C309" i="38" s="1"/>
  <c r="C310" i="38" s="1"/>
  <c r="C311" i="38" s="1"/>
  <c r="C312" i="38" s="1"/>
  <c r="C313" i="38" s="1"/>
  <c r="C314" i="38" s="1"/>
  <c r="C315" i="38" s="1"/>
  <c r="C316" i="38" s="1"/>
  <c r="C317" i="38" s="1"/>
  <c r="C318" i="38" s="1"/>
  <c r="C319" i="38" s="1"/>
  <c r="C320" i="38" s="1"/>
  <c r="C321" i="38" s="1"/>
  <c r="C322" i="38" s="1"/>
  <c r="C323" i="38" s="1"/>
  <c r="C324" i="38" s="1"/>
  <c r="C325" i="38" s="1"/>
  <c r="C326" i="38" s="1"/>
  <c r="C327" i="38" s="1"/>
  <c r="C328" i="38" s="1"/>
  <c r="C329" i="38" s="1"/>
  <c r="C330" i="38" s="1"/>
  <c r="C331" i="38" s="1"/>
  <c r="C332" i="38" s="1"/>
  <c r="C333" i="38" s="1"/>
  <c r="C334" i="38" s="1"/>
  <c r="C335" i="38" s="1"/>
  <c r="C336" i="38" s="1"/>
  <c r="C337" i="38" s="1"/>
  <c r="C338" i="38" s="1"/>
  <c r="C339" i="38" s="1"/>
  <c r="C340" i="38" s="1"/>
  <c r="C341" i="38" s="1"/>
  <c r="C342" i="38" s="1"/>
  <c r="C343" i="38" s="1"/>
  <c r="C344" i="38" s="1"/>
  <c r="C345" i="38" s="1"/>
  <c r="C346" i="38" s="1"/>
  <c r="C347" i="38" s="1"/>
  <c r="C348" i="38" s="1"/>
  <c r="C349" i="38" s="1"/>
  <c r="C350" i="38" s="1"/>
  <c r="C351" i="38" s="1"/>
  <c r="C352" i="38" s="1"/>
  <c r="C353" i="38" s="1"/>
  <c r="C354" i="38" s="1"/>
  <c r="C355" i="38" s="1"/>
  <c r="C356" i="38" s="1"/>
  <c r="C357" i="38" s="1"/>
  <c r="C358" i="38" s="1"/>
  <c r="C359" i="38" s="1"/>
  <c r="C360" i="38" s="1"/>
  <c r="C361" i="38" s="1"/>
  <c r="C362" i="38" s="1"/>
  <c r="C363" i="38" s="1"/>
  <c r="C364" i="38" s="1"/>
  <c r="C365" i="38" s="1"/>
  <c r="C366" i="38" s="1"/>
  <c r="C367" i="38" s="1"/>
  <c r="C3" i="38"/>
  <c r="C2" i="38"/>
  <c r="BB53" i="33"/>
  <c r="BB52" i="33"/>
  <c r="BB49" i="33"/>
  <c r="BB39" i="33"/>
  <c r="K2133" i="14"/>
  <c r="Y2133" i="14" s="1"/>
  <c r="K2134" i="14"/>
  <c r="Y2134" i="14" s="1"/>
  <c r="K2130" i="14"/>
  <c r="G15" i="40"/>
  <c r="M17" i="46"/>
  <c r="M16" i="46"/>
  <c r="M15" i="46"/>
  <c r="K15" i="40"/>
  <c r="K23" i="40" s="1"/>
  <c r="E29" i="41"/>
  <c r="M11" i="40"/>
  <c r="N5" i="40"/>
  <c r="N4" i="40"/>
  <c r="N8" i="40"/>
  <c r="N10" i="40"/>
  <c r="H11" i="40"/>
  <c r="K2097" i="14"/>
  <c r="A533" i="45"/>
  <c r="F533" i="45"/>
  <c r="H2031" i="14"/>
  <c r="I2031" i="14" s="1"/>
  <c r="N2031" i="14" s="1"/>
  <c r="H2563" i="14"/>
  <c r="I2563" i="14" s="1"/>
  <c r="N2563" i="14" s="1"/>
  <c r="K2563" i="14"/>
  <c r="Y2563" i="14" s="1"/>
  <c r="P2563" i="14"/>
  <c r="R2563" i="14"/>
  <c r="S2563" i="14"/>
  <c r="H2564" i="14"/>
  <c r="I2564" i="14" s="1"/>
  <c r="N2564" i="14" s="1"/>
  <c r="K2564" i="14"/>
  <c r="Y2564" i="14" s="1"/>
  <c r="P2564" i="14"/>
  <c r="R2564" i="14"/>
  <c r="S2564" i="14"/>
  <c r="B2564" i="14"/>
  <c r="A2558" i="14"/>
  <c r="B2557" i="14"/>
  <c r="A2551" i="14"/>
  <c r="B2550" i="14"/>
  <c r="A2544" i="14"/>
  <c r="P2557" i="14"/>
  <c r="R2557" i="14"/>
  <c r="S2557" i="14"/>
  <c r="H2558" i="14"/>
  <c r="I2558" i="14" s="1"/>
  <c r="N2558" i="14" s="1"/>
  <c r="K2558" i="14"/>
  <c r="Y2558" i="14" s="1"/>
  <c r="P2558" i="14"/>
  <c r="R2558" i="14"/>
  <c r="S2558" i="14"/>
  <c r="S2559" i="14"/>
  <c r="H2560" i="14"/>
  <c r="I2560" i="14" s="1"/>
  <c r="N2560" i="14" s="1"/>
  <c r="K2560" i="14"/>
  <c r="Y2560" i="14" s="1"/>
  <c r="P2560" i="14"/>
  <c r="R2560" i="14"/>
  <c r="S2560" i="14"/>
  <c r="H2561" i="14"/>
  <c r="I2561" i="14" s="1"/>
  <c r="N2561" i="14" s="1"/>
  <c r="K2561" i="14"/>
  <c r="Y2561" i="14" s="1"/>
  <c r="P2561" i="14"/>
  <c r="R2561" i="14"/>
  <c r="S2561" i="14"/>
  <c r="H2562" i="14"/>
  <c r="I2562" i="14" s="1"/>
  <c r="N2562" i="14" s="1"/>
  <c r="K2562" i="14"/>
  <c r="Y2562" i="14" s="1"/>
  <c r="P2562" i="14"/>
  <c r="R2562" i="14"/>
  <c r="S2562" i="14"/>
  <c r="H2539" i="14"/>
  <c r="I2539" i="14" s="1"/>
  <c r="N2539" i="14" s="1"/>
  <c r="K2539" i="14"/>
  <c r="Y2539" i="14" s="1"/>
  <c r="P2539" i="14"/>
  <c r="R2539" i="14"/>
  <c r="S2539" i="14"/>
  <c r="S2540" i="14"/>
  <c r="P2541" i="14"/>
  <c r="R2541" i="14"/>
  <c r="S2541" i="14"/>
  <c r="S2542" i="14"/>
  <c r="P2543" i="14"/>
  <c r="R2543" i="14"/>
  <c r="S2543" i="14"/>
  <c r="S2544" i="14"/>
  <c r="P2545" i="14"/>
  <c r="R2545" i="14"/>
  <c r="S2545" i="14"/>
  <c r="S2546" i="14"/>
  <c r="P2547" i="14"/>
  <c r="R2547" i="14"/>
  <c r="S2547" i="14"/>
  <c r="S2548" i="14"/>
  <c r="H2549" i="14"/>
  <c r="I2549" i="14" s="1"/>
  <c r="N2549" i="14" s="1"/>
  <c r="K2549" i="14"/>
  <c r="Y2549" i="14" s="1"/>
  <c r="P2549" i="14"/>
  <c r="R2549" i="14"/>
  <c r="S2549" i="14"/>
  <c r="S2550" i="14"/>
  <c r="P2551" i="14"/>
  <c r="R2551" i="14"/>
  <c r="S2551" i="14"/>
  <c r="S2552" i="14"/>
  <c r="H2553" i="14"/>
  <c r="I2553" i="14" s="1"/>
  <c r="N2553" i="14" s="1"/>
  <c r="K2553" i="14"/>
  <c r="Y2553" i="14" s="1"/>
  <c r="P2553" i="14"/>
  <c r="R2553" i="14"/>
  <c r="S2553" i="14"/>
  <c r="S2554" i="14"/>
  <c r="P2555" i="14"/>
  <c r="R2555" i="14"/>
  <c r="S2555" i="14"/>
  <c r="S2556" i="14"/>
  <c r="B2543" i="14"/>
  <c r="A2537" i="14"/>
  <c r="B2536" i="14"/>
  <c r="A2530" i="14"/>
  <c r="B2529" i="14"/>
  <c r="A2523" i="14"/>
  <c r="B2522" i="14"/>
  <c r="A2516" i="14"/>
  <c r="B2515" i="14"/>
  <c r="A2509" i="14"/>
  <c r="B2508" i="14"/>
  <c r="A2502" i="14"/>
  <c r="B2501" i="14"/>
  <c r="A2495" i="14"/>
  <c r="B2494" i="14"/>
  <c r="A2488" i="14"/>
  <c r="B2487" i="14"/>
  <c r="A2481" i="14"/>
  <c r="B2480" i="14"/>
  <c r="A2474" i="14"/>
  <c r="B2473" i="14"/>
  <c r="A2467" i="14"/>
  <c r="B2466" i="14"/>
  <c r="A2460" i="14"/>
  <c r="B2459" i="14"/>
  <c r="A2453" i="14"/>
  <c r="B2452" i="14"/>
  <c r="A2446" i="14"/>
  <c r="B2445" i="14"/>
  <c r="A2439" i="14"/>
  <c r="B2438" i="14"/>
  <c r="A2432" i="14"/>
  <c r="B2431" i="14"/>
  <c r="A2425" i="14"/>
  <c r="B2424" i="14"/>
  <c r="A2418" i="14"/>
  <c r="B2417" i="14"/>
  <c r="A2411" i="14"/>
  <c r="H2024" i="14"/>
  <c r="I2024" i="14" s="1"/>
  <c r="N2024" i="14" s="1"/>
  <c r="I5" i="41"/>
  <c r="I6" i="41"/>
  <c r="I7" i="41"/>
  <c r="I8" i="41"/>
  <c r="I9" i="41"/>
  <c r="I10" i="41"/>
  <c r="I11" i="41"/>
  <c r="I12" i="41"/>
  <c r="I13" i="41"/>
  <c r="I14" i="41"/>
  <c r="I15" i="41"/>
  <c r="I16" i="41"/>
  <c r="I17" i="41"/>
  <c r="I18" i="41"/>
  <c r="I19" i="41"/>
  <c r="I4" i="41"/>
  <c r="F5" i="41"/>
  <c r="F6" i="41"/>
  <c r="F7" i="41"/>
  <c r="F8" i="41"/>
  <c r="F9" i="41"/>
  <c r="F10" i="41"/>
  <c r="F11" i="41"/>
  <c r="F12" i="41"/>
  <c r="F13" i="41"/>
  <c r="F14" i="41"/>
  <c r="F15" i="41"/>
  <c r="F16" i="41"/>
  <c r="F17" i="41"/>
  <c r="F18" i="41"/>
  <c r="F19" i="41"/>
  <c r="F4" i="41"/>
  <c r="F8" i="18"/>
  <c r="C5" i="41"/>
  <c r="C6" i="41"/>
  <c r="C7" i="41"/>
  <c r="C8" i="41"/>
  <c r="C9" i="41"/>
  <c r="C10" i="41"/>
  <c r="C11" i="41"/>
  <c r="C12" i="41"/>
  <c r="C13" i="41"/>
  <c r="C14" i="41"/>
  <c r="C15" i="41"/>
  <c r="C16" i="41"/>
  <c r="C17" i="41"/>
  <c r="C18" i="41"/>
  <c r="C19" i="41"/>
  <c r="C4" i="41"/>
  <c r="H2017" i="14"/>
  <c r="B2410" i="14"/>
  <c r="A2404" i="14"/>
  <c r="B2403" i="14"/>
  <c r="A2397" i="14"/>
  <c r="B2396" i="14"/>
  <c r="A2390" i="14"/>
  <c r="B2389" i="14"/>
  <c r="A2383" i="14"/>
  <c r="B2382" i="14"/>
  <c r="A2376" i="14"/>
  <c r="B2375" i="14"/>
  <c r="A2369" i="14"/>
  <c r="B2368" i="14"/>
  <c r="A2362" i="14"/>
  <c r="B2361" i="14"/>
  <c r="A2355" i="14"/>
  <c r="B2354" i="14"/>
  <c r="A2348" i="14"/>
  <c r="B2347" i="14"/>
  <c r="A2341" i="14"/>
  <c r="B2340" i="14"/>
  <c r="A2334" i="14"/>
  <c r="B2333" i="14"/>
  <c r="A2327" i="14"/>
  <c r="E26" i="41"/>
  <c r="M8" i="46"/>
  <c r="M7" i="46"/>
  <c r="M6" i="46"/>
  <c r="B2326" i="14"/>
  <c r="A2320" i="14"/>
  <c r="B2319" i="14"/>
  <c r="A2313" i="14"/>
  <c r="B2312" i="14"/>
  <c r="A2306" i="14"/>
  <c r="B2305" i="14"/>
  <c r="A2299" i="14"/>
  <c r="B2298" i="14"/>
  <c r="A2292" i="14"/>
  <c r="B2291" i="14"/>
  <c r="A2285" i="14"/>
  <c r="B2284" i="14"/>
  <c r="A2278" i="14"/>
  <c r="B2277" i="14"/>
  <c r="A2271" i="14"/>
  <c r="B2270" i="14"/>
  <c r="B2263" i="14"/>
  <c r="B2256" i="14"/>
  <c r="B2249" i="14"/>
  <c r="B2242" i="14"/>
  <c r="B2235" i="14"/>
  <c r="B2228" i="14"/>
  <c r="B2221" i="14"/>
  <c r="B2214" i="14"/>
  <c r="B2207" i="14"/>
  <c r="B2200" i="14"/>
  <c r="B2158" i="14"/>
  <c r="B2151" i="14"/>
  <c r="A2264" i="14"/>
  <c r="A2257" i="14"/>
  <c r="A2250" i="14"/>
  <c r="A2243" i="14"/>
  <c r="A2236" i="14"/>
  <c r="A2229" i="14"/>
  <c r="A2222" i="14"/>
  <c r="A2215" i="14"/>
  <c r="A2208" i="14"/>
  <c r="A2201" i="14"/>
  <c r="S2194" i="14"/>
  <c r="S2195" i="14"/>
  <c r="S2196" i="14"/>
  <c r="S2197" i="14"/>
  <c r="S2198" i="14"/>
  <c r="S2199" i="14"/>
  <c r="S2200" i="14"/>
  <c r="S2201" i="14"/>
  <c r="S2202" i="14"/>
  <c r="S2204" i="14"/>
  <c r="S2205" i="14"/>
  <c r="S2206" i="14"/>
  <c r="S2207" i="14"/>
  <c r="S2208" i="14"/>
  <c r="S2209" i="14"/>
  <c r="S2210" i="14"/>
  <c r="S2211" i="14"/>
  <c r="S2212" i="14"/>
  <c r="S2213" i="14"/>
  <c r="S2214" i="14"/>
  <c r="S2215" i="14"/>
  <c r="S2216" i="14"/>
  <c r="S2217" i="14"/>
  <c r="S2218" i="14"/>
  <c r="S2219" i="14"/>
  <c r="S2220" i="14"/>
  <c r="S2221" i="14"/>
  <c r="S2222" i="14"/>
  <c r="S2223" i="14"/>
  <c r="S2224" i="14"/>
  <c r="S2225" i="14"/>
  <c r="S2226" i="14"/>
  <c r="S2227" i="14"/>
  <c r="S2228" i="14"/>
  <c r="S2229" i="14"/>
  <c r="S2230" i="14"/>
  <c r="S2231" i="14"/>
  <c r="S2232" i="14"/>
  <c r="S2233" i="14"/>
  <c r="S2234" i="14"/>
  <c r="S2235" i="14"/>
  <c r="S2236" i="14"/>
  <c r="S2237" i="14"/>
  <c r="S2238" i="14"/>
  <c r="S2239" i="14"/>
  <c r="S2240" i="14"/>
  <c r="S2241" i="14"/>
  <c r="K2242" i="14"/>
  <c r="Y2242" i="14" s="1"/>
  <c r="P2242" i="14"/>
  <c r="R2242" i="14"/>
  <c r="S2242" i="14"/>
  <c r="S2243" i="14"/>
  <c r="S2244" i="14"/>
  <c r="S2245" i="14"/>
  <c r="S2246" i="14"/>
  <c r="S2247" i="14"/>
  <c r="S2248" i="14"/>
  <c r="K2249" i="14"/>
  <c r="Y2249" i="14" s="1"/>
  <c r="P2249" i="14"/>
  <c r="R2249" i="14"/>
  <c r="S2249" i="14"/>
  <c r="S2250" i="14"/>
  <c r="S2251" i="14"/>
  <c r="S2252" i="14"/>
  <c r="S2253" i="14"/>
  <c r="S2254" i="14"/>
  <c r="S2255" i="14"/>
  <c r="K2256" i="14"/>
  <c r="Y2256" i="14" s="1"/>
  <c r="P2256" i="14"/>
  <c r="R2256" i="14"/>
  <c r="S2256" i="14"/>
  <c r="S2257" i="14"/>
  <c r="S2258" i="14"/>
  <c r="S2259" i="14"/>
  <c r="S2260" i="14"/>
  <c r="S2261" i="14"/>
  <c r="S2262" i="14"/>
  <c r="S2263" i="14"/>
  <c r="S2264" i="14"/>
  <c r="S2265" i="14"/>
  <c r="S2266" i="14"/>
  <c r="S2267" i="14"/>
  <c r="S2268" i="14"/>
  <c r="S2269" i="14"/>
  <c r="S2270" i="14"/>
  <c r="S2271" i="14"/>
  <c r="S2272" i="14"/>
  <c r="S2273" i="14"/>
  <c r="S2274" i="14"/>
  <c r="S2275" i="14"/>
  <c r="S2276" i="14"/>
  <c r="S2277" i="14"/>
  <c r="S2278" i="14"/>
  <c r="S2279" i="14"/>
  <c r="S2280" i="14"/>
  <c r="S2281" i="14"/>
  <c r="S2282" i="14"/>
  <c r="S2283" i="14"/>
  <c r="S2284" i="14"/>
  <c r="S2285" i="14"/>
  <c r="S2286" i="14"/>
  <c r="S2287" i="14"/>
  <c r="S2288" i="14"/>
  <c r="S2289" i="14"/>
  <c r="S2290" i="14"/>
  <c r="S2291" i="14"/>
  <c r="S2292" i="14"/>
  <c r="S2293" i="14"/>
  <c r="S2294" i="14"/>
  <c r="S2295" i="14"/>
  <c r="S2296" i="14"/>
  <c r="S2297" i="14"/>
  <c r="S2298" i="14"/>
  <c r="S2299" i="14"/>
  <c r="S2300" i="14"/>
  <c r="S2301" i="14"/>
  <c r="S2302" i="14"/>
  <c r="S2303" i="14"/>
  <c r="S2304" i="14"/>
  <c r="S2305" i="14"/>
  <c r="H2306" i="14"/>
  <c r="I2306" i="14" s="1"/>
  <c r="N2306" i="14" s="1"/>
  <c r="K2306" i="14"/>
  <c r="Y2306" i="14" s="1"/>
  <c r="P2306" i="14"/>
  <c r="R2306" i="14"/>
  <c r="S2306" i="14"/>
  <c r="S2307" i="14"/>
  <c r="H2308" i="14"/>
  <c r="I2308" i="14" s="1"/>
  <c r="N2308" i="14" s="1"/>
  <c r="K2308" i="14"/>
  <c r="Y2308" i="14" s="1"/>
  <c r="P2308" i="14"/>
  <c r="R2308" i="14"/>
  <c r="S2308" i="14"/>
  <c r="S2309" i="14"/>
  <c r="H2310" i="14"/>
  <c r="K2310" i="14"/>
  <c r="Y2310" i="14" s="1"/>
  <c r="P2310" i="14"/>
  <c r="R2310" i="14"/>
  <c r="S2310" i="14"/>
  <c r="S2311" i="14"/>
  <c r="I2312" i="14"/>
  <c r="N2312" i="14" s="1"/>
  <c r="K2312" i="14"/>
  <c r="Y2312" i="14" s="1"/>
  <c r="P2312" i="14"/>
  <c r="R2312" i="14"/>
  <c r="S2312" i="14"/>
  <c r="P2313" i="14"/>
  <c r="R2313" i="14"/>
  <c r="S2313" i="14"/>
  <c r="S2314" i="14"/>
  <c r="P2315" i="14"/>
  <c r="R2315" i="14"/>
  <c r="S2315" i="14"/>
  <c r="S2316" i="14"/>
  <c r="P2317" i="14"/>
  <c r="R2317" i="14"/>
  <c r="S2317" i="14"/>
  <c r="S2318" i="14"/>
  <c r="P2319" i="14"/>
  <c r="R2319" i="14"/>
  <c r="S2319" i="14"/>
  <c r="S2320" i="14"/>
  <c r="H2321" i="14"/>
  <c r="I2321" i="14" s="1"/>
  <c r="N2321" i="14" s="1"/>
  <c r="K2321" i="14"/>
  <c r="Y2321" i="14" s="1"/>
  <c r="P2321" i="14"/>
  <c r="R2321" i="14"/>
  <c r="S2321" i="14"/>
  <c r="S2322" i="14"/>
  <c r="H2323" i="14"/>
  <c r="I2323" i="14" s="1"/>
  <c r="N2323" i="14" s="1"/>
  <c r="K2323" i="14"/>
  <c r="Y2323" i="14" s="1"/>
  <c r="P2323" i="14"/>
  <c r="R2323" i="14"/>
  <c r="S2323" i="14"/>
  <c r="S2324" i="14"/>
  <c r="H2325" i="14"/>
  <c r="I2325" i="14" s="1"/>
  <c r="N2325" i="14" s="1"/>
  <c r="K2325" i="14"/>
  <c r="Y2325" i="14" s="1"/>
  <c r="P2325" i="14"/>
  <c r="R2325" i="14"/>
  <c r="S2325" i="14"/>
  <c r="S2326" i="14"/>
  <c r="P2327" i="14"/>
  <c r="R2327" i="14"/>
  <c r="S2327" i="14"/>
  <c r="S2328" i="14"/>
  <c r="P2329" i="14"/>
  <c r="R2329" i="14"/>
  <c r="S2329" i="14"/>
  <c r="S2330" i="14"/>
  <c r="P2331" i="14"/>
  <c r="R2331" i="14"/>
  <c r="S2331" i="14"/>
  <c r="S2332" i="14"/>
  <c r="P2333" i="14"/>
  <c r="R2333" i="14"/>
  <c r="S2333" i="14"/>
  <c r="S2334" i="14"/>
  <c r="H2335" i="14"/>
  <c r="K2335" i="14"/>
  <c r="Y2335" i="14" s="1"/>
  <c r="P2335" i="14"/>
  <c r="R2335" i="14"/>
  <c r="S2335" i="14"/>
  <c r="S2336" i="14"/>
  <c r="H2337" i="14"/>
  <c r="I2337" i="14" s="1"/>
  <c r="N2337" i="14" s="1"/>
  <c r="K2337" i="14"/>
  <c r="Y2337" i="14" s="1"/>
  <c r="P2337" i="14"/>
  <c r="R2337" i="14"/>
  <c r="S2337" i="14"/>
  <c r="S2338" i="14"/>
  <c r="H2339" i="14"/>
  <c r="I2339" i="14" s="1"/>
  <c r="N2339" i="14" s="1"/>
  <c r="K2339" i="14"/>
  <c r="Y2339" i="14" s="1"/>
  <c r="P2339" i="14"/>
  <c r="R2339" i="14"/>
  <c r="S2339" i="14"/>
  <c r="S2340" i="14"/>
  <c r="P2341" i="14"/>
  <c r="R2341" i="14"/>
  <c r="S2341" i="14"/>
  <c r="S2342" i="14"/>
  <c r="K2343" i="14"/>
  <c r="Y2343" i="14" s="1"/>
  <c r="P2343" i="14"/>
  <c r="R2343" i="14"/>
  <c r="S2343" i="14"/>
  <c r="S2344" i="14"/>
  <c r="P2345" i="14"/>
  <c r="R2345" i="14"/>
  <c r="S2345" i="14"/>
  <c r="S2346" i="14"/>
  <c r="P2347" i="14"/>
  <c r="R2347" i="14"/>
  <c r="S2347" i="14"/>
  <c r="S2348" i="14"/>
  <c r="P2349" i="14"/>
  <c r="R2349" i="14"/>
  <c r="S2349" i="14"/>
  <c r="S2350" i="14"/>
  <c r="P2351" i="14"/>
  <c r="R2351" i="14"/>
  <c r="S2351" i="14"/>
  <c r="S2352" i="14"/>
  <c r="H2353" i="14"/>
  <c r="I2353" i="14" s="1"/>
  <c r="N2353" i="14" s="1"/>
  <c r="K2353" i="14"/>
  <c r="Y2353" i="14" s="1"/>
  <c r="P2353" i="14"/>
  <c r="R2353" i="14"/>
  <c r="S2353" i="14"/>
  <c r="S2354" i="14"/>
  <c r="P2355" i="14"/>
  <c r="R2355" i="14"/>
  <c r="S2355" i="14"/>
  <c r="S2356" i="14"/>
  <c r="K2357" i="14"/>
  <c r="Y2357" i="14" s="1"/>
  <c r="P2357" i="14"/>
  <c r="R2357" i="14"/>
  <c r="S2357" i="14"/>
  <c r="S2358" i="14"/>
  <c r="P2359" i="14"/>
  <c r="R2359" i="14"/>
  <c r="S2359" i="14"/>
  <c r="S2360" i="14"/>
  <c r="P2361" i="14"/>
  <c r="R2361" i="14"/>
  <c r="S2361" i="14"/>
  <c r="S2362" i="14"/>
  <c r="P2363" i="14"/>
  <c r="R2363" i="14"/>
  <c r="S2363" i="14"/>
  <c r="S2364" i="14"/>
  <c r="P2365" i="14"/>
  <c r="R2365" i="14"/>
  <c r="S2365" i="14"/>
  <c r="S2366" i="14"/>
  <c r="H2367" i="14"/>
  <c r="I2367" i="14" s="1"/>
  <c r="N2367" i="14" s="1"/>
  <c r="K2367" i="14"/>
  <c r="Y2367" i="14" s="1"/>
  <c r="P2367" i="14"/>
  <c r="R2367" i="14"/>
  <c r="S2367" i="14"/>
  <c r="S2368" i="14"/>
  <c r="S2369" i="14"/>
  <c r="S2370" i="14"/>
  <c r="S2371" i="14"/>
  <c r="S2372" i="14"/>
  <c r="S2373" i="14"/>
  <c r="S2374" i="14"/>
  <c r="P2375" i="14"/>
  <c r="R2375" i="14"/>
  <c r="S2375" i="14"/>
  <c r="S2376" i="14"/>
  <c r="S2377" i="14"/>
  <c r="S2378" i="14"/>
  <c r="S2379" i="14"/>
  <c r="S2380" i="14"/>
  <c r="S2381" i="14"/>
  <c r="P2382" i="14"/>
  <c r="R2382" i="14"/>
  <c r="S2382" i="14"/>
  <c r="S2383" i="14"/>
  <c r="S2384" i="14"/>
  <c r="S2385" i="14"/>
  <c r="S2386" i="14"/>
  <c r="S2387" i="14"/>
  <c r="S2388" i="14"/>
  <c r="P2389" i="14"/>
  <c r="R2389" i="14"/>
  <c r="S2389" i="14"/>
  <c r="S2390" i="14"/>
  <c r="S2391" i="14"/>
  <c r="S2392" i="14"/>
  <c r="S2393" i="14"/>
  <c r="S2394" i="14"/>
  <c r="H2395" i="14"/>
  <c r="I2395" i="14" s="1"/>
  <c r="N2395" i="14" s="1"/>
  <c r="K2395" i="14"/>
  <c r="Y2395" i="14" s="1"/>
  <c r="P2395" i="14"/>
  <c r="R2395" i="14"/>
  <c r="S2395" i="14"/>
  <c r="S2396" i="14"/>
  <c r="S2397" i="14"/>
  <c r="P2398" i="14"/>
  <c r="R2398" i="14"/>
  <c r="S2398" i="14"/>
  <c r="S2399" i="14"/>
  <c r="S2400" i="14"/>
  <c r="P2401" i="14"/>
  <c r="R2401" i="14"/>
  <c r="S2401" i="14"/>
  <c r="S2402" i="14"/>
  <c r="H2403" i="14"/>
  <c r="K2403" i="14"/>
  <c r="Y2403" i="14" s="1"/>
  <c r="P2403" i="14"/>
  <c r="R2403" i="14"/>
  <c r="S2403" i="14"/>
  <c r="S2404" i="14"/>
  <c r="S2405" i="14"/>
  <c r="S2406" i="14"/>
  <c r="S2407" i="14"/>
  <c r="S2408" i="14"/>
  <c r="S2409" i="14"/>
  <c r="K2410" i="14"/>
  <c r="Y2410" i="14" s="1"/>
  <c r="P2410" i="14"/>
  <c r="R2410" i="14"/>
  <c r="S2410" i="14"/>
  <c r="S2411" i="14"/>
  <c r="S2412" i="14"/>
  <c r="S2413" i="14"/>
  <c r="S2414" i="14"/>
  <c r="S2415" i="14"/>
  <c r="S2416" i="14"/>
  <c r="K2417" i="14"/>
  <c r="Y2417" i="14" s="1"/>
  <c r="P2417" i="14"/>
  <c r="R2417" i="14"/>
  <c r="S2417" i="14"/>
  <c r="S2418" i="14"/>
  <c r="S2419" i="14"/>
  <c r="S2420" i="14"/>
  <c r="S2421" i="14"/>
  <c r="S2422" i="14"/>
  <c r="S2423" i="14"/>
  <c r="K2424" i="14"/>
  <c r="Y2424" i="14" s="1"/>
  <c r="P2424" i="14"/>
  <c r="R2424" i="14"/>
  <c r="S2424" i="14"/>
  <c r="S2425" i="14"/>
  <c r="S2426" i="14"/>
  <c r="S2427" i="14"/>
  <c r="S2428" i="14"/>
  <c r="S2429" i="14"/>
  <c r="S2430" i="14"/>
  <c r="H2431" i="14"/>
  <c r="I2431" i="14" s="1"/>
  <c r="N2431" i="14" s="1"/>
  <c r="K2431" i="14"/>
  <c r="Y2431" i="14" s="1"/>
  <c r="P2431" i="14"/>
  <c r="R2431" i="14"/>
  <c r="S2431" i="14"/>
  <c r="S2432" i="14"/>
  <c r="S2433" i="14"/>
  <c r="P2434" i="14"/>
  <c r="R2434" i="14"/>
  <c r="S2434" i="14"/>
  <c r="S2435" i="14"/>
  <c r="S2436" i="14"/>
  <c r="P2437" i="14"/>
  <c r="R2437" i="14"/>
  <c r="S2437" i="14"/>
  <c r="S2438" i="14"/>
  <c r="P2439" i="14"/>
  <c r="R2439" i="14"/>
  <c r="S2439" i="14"/>
  <c r="S2440" i="14"/>
  <c r="S2441" i="14"/>
  <c r="S2442" i="14"/>
  <c r="S2443" i="14"/>
  <c r="S2444" i="14"/>
  <c r="K2445" i="14"/>
  <c r="Y2445" i="14" s="1"/>
  <c r="P2445" i="14"/>
  <c r="R2445" i="14"/>
  <c r="S2445" i="14"/>
  <c r="S2446" i="14"/>
  <c r="S2447" i="14"/>
  <c r="S2448" i="14"/>
  <c r="S2449" i="14"/>
  <c r="S2450" i="14"/>
  <c r="S2451" i="14"/>
  <c r="K2452" i="14"/>
  <c r="Y2452" i="14" s="1"/>
  <c r="P2452" i="14"/>
  <c r="R2452" i="14"/>
  <c r="S2452" i="14"/>
  <c r="S2453" i="14"/>
  <c r="S2454" i="14"/>
  <c r="S2455" i="14"/>
  <c r="S2456" i="14"/>
  <c r="S2457" i="14"/>
  <c r="P2458" i="14"/>
  <c r="R2458" i="14"/>
  <c r="S2458" i="14"/>
  <c r="S2459" i="14"/>
  <c r="S2460" i="14"/>
  <c r="S2461" i="14"/>
  <c r="S2462" i="14"/>
  <c r="S2463" i="14"/>
  <c r="S2464" i="14"/>
  <c r="S2465" i="14"/>
  <c r="K2466" i="14"/>
  <c r="Y2466" i="14" s="1"/>
  <c r="P2466" i="14"/>
  <c r="R2466" i="14"/>
  <c r="S2466" i="14"/>
  <c r="S2467" i="14"/>
  <c r="P2468" i="14"/>
  <c r="R2468" i="14"/>
  <c r="S2468" i="14"/>
  <c r="S2469" i="14"/>
  <c r="P2470" i="14"/>
  <c r="R2470" i="14"/>
  <c r="S2470" i="14"/>
  <c r="S2471" i="14"/>
  <c r="P2472" i="14"/>
  <c r="R2472" i="14"/>
  <c r="S2472" i="14"/>
  <c r="S2473" i="14"/>
  <c r="P2474" i="14"/>
  <c r="R2474" i="14"/>
  <c r="S2474" i="14"/>
  <c r="S2475" i="14"/>
  <c r="P2476" i="14"/>
  <c r="R2476" i="14"/>
  <c r="S2476" i="14"/>
  <c r="S2477" i="14"/>
  <c r="P2478" i="14"/>
  <c r="R2478" i="14"/>
  <c r="S2478" i="14"/>
  <c r="S2479" i="14"/>
  <c r="H2480" i="14"/>
  <c r="I2480" i="14" s="1"/>
  <c r="N2480" i="14" s="1"/>
  <c r="P2480" i="14"/>
  <c r="R2480" i="14"/>
  <c r="S2480" i="14"/>
  <c r="H2481" i="14"/>
  <c r="I2481" i="14" s="1"/>
  <c r="N2481" i="14" s="1"/>
  <c r="K2481" i="14"/>
  <c r="Y2481" i="14" s="1"/>
  <c r="P2481" i="14"/>
  <c r="R2481" i="14"/>
  <c r="S2481" i="14"/>
  <c r="P2482" i="14"/>
  <c r="R2482" i="14"/>
  <c r="S2482" i="14"/>
  <c r="H2483" i="14"/>
  <c r="I2483" i="14" s="1"/>
  <c r="N2483" i="14" s="1"/>
  <c r="K2483" i="14"/>
  <c r="Y2483" i="14" s="1"/>
  <c r="P2483" i="14"/>
  <c r="R2483" i="14"/>
  <c r="S2483" i="14"/>
  <c r="H2484" i="14"/>
  <c r="I2484" i="14" s="1"/>
  <c r="N2484" i="14" s="1"/>
  <c r="P2484" i="14"/>
  <c r="R2484" i="14"/>
  <c r="S2484" i="14"/>
  <c r="H2485" i="14"/>
  <c r="I2485" i="14" s="1"/>
  <c r="N2485" i="14" s="1"/>
  <c r="K2485" i="14"/>
  <c r="Y2485" i="14" s="1"/>
  <c r="P2485" i="14"/>
  <c r="R2485" i="14"/>
  <c r="S2485" i="14"/>
  <c r="H2486" i="14"/>
  <c r="I2486" i="14" s="1"/>
  <c r="N2486" i="14" s="1"/>
  <c r="P2486" i="14"/>
  <c r="R2486" i="14"/>
  <c r="S2486" i="14"/>
  <c r="I2487" i="14"/>
  <c r="N2487" i="14" s="1"/>
  <c r="K2487" i="14"/>
  <c r="Y2487" i="14" s="1"/>
  <c r="P2487" i="14"/>
  <c r="R2487" i="14"/>
  <c r="S2487" i="14"/>
  <c r="S2488" i="14"/>
  <c r="H2489" i="14"/>
  <c r="I2489" i="14" s="1"/>
  <c r="N2489" i="14" s="1"/>
  <c r="K2489" i="14"/>
  <c r="Y2489" i="14" s="1"/>
  <c r="P2489" i="14"/>
  <c r="R2489" i="14"/>
  <c r="S2489" i="14"/>
  <c r="S2490" i="14"/>
  <c r="H2491" i="14"/>
  <c r="I2491" i="14" s="1"/>
  <c r="N2491" i="14" s="1"/>
  <c r="K2491" i="14"/>
  <c r="Y2491" i="14" s="1"/>
  <c r="P2491" i="14"/>
  <c r="R2491" i="14"/>
  <c r="S2491" i="14"/>
  <c r="S2492" i="14"/>
  <c r="H2493" i="14"/>
  <c r="I2493" i="14" s="1"/>
  <c r="N2493" i="14" s="1"/>
  <c r="K2493" i="14"/>
  <c r="Y2493" i="14" s="1"/>
  <c r="P2493" i="14"/>
  <c r="R2493" i="14"/>
  <c r="S2493" i="14"/>
  <c r="S2494" i="14"/>
  <c r="P2495" i="14"/>
  <c r="R2495" i="14"/>
  <c r="S2495" i="14"/>
  <c r="S2496" i="14"/>
  <c r="H2497" i="14"/>
  <c r="I2497" i="14" s="1"/>
  <c r="N2497" i="14" s="1"/>
  <c r="K2497" i="14"/>
  <c r="Y2497" i="14" s="1"/>
  <c r="P2497" i="14"/>
  <c r="R2497" i="14"/>
  <c r="S2497" i="14"/>
  <c r="S2498" i="14"/>
  <c r="P2499" i="14"/>
  <c r="R2499" i="14"/>
  <c r="S2499" i="14"/>
  <c r="S2500" i="14"/>
  <c r="P2501" i="14"/>
  <c r="R2501" i="14"/>
  <c r="S2501" i="14"/>
  <c r="S2502" i="14"/>
  <c r="P2503" i="14"/>
  <c r="R2503" i="14"/>
  <c r="S2503" i="14"/>
  <c r="S2504" i="14"/>
  <c r="P2505" i="14"/>
  <c r="R2505" i="14"/>
  <c r="S2505" i="14"/>
  <c r="S2506" i="14"/>
  <c r="H2507" i="14"/>
  <c r="I2507" i="14" s="1"/>
  <c r="N2507" i="14" s="1"/>
  <c r="K2507" i="14"/>
  <c r="Y2507" i="14" s="1"/>
  <c r="P2507" i="14"/>
  <c r="R2507" i="14"/>
  <c r="S2507" i="14"/>
  <c r="S2508" i="14"/>
  <c r="P2509" i="14"/>
  <c r="R2509" i="14"/>
  <c r="S2509" i="14"/>
  <c r="S2510" i="14"/>
  <c r="H2511" i="14"/>
  <c r="K2511" i="14"/>
  <c r="Y2511" i="14" s="1"/>
  <c r="P2511" i="14"/>
  <c r="R2511" i="14"/>
  <c r="S2511" i="14"/>
  <c r="S2512" i="14"/>
  <c r="P2513" i="14"/>
  <c r="R2513" i="14"/>
  <c r="S2513" i="14"/>
  <c r="S2514" i="14"/>
  <c r="P2515" i="14"/>
  <c r="R2515" i="14"/>
  <c r="S2515" i="14"/>
  <c r="S2516" i="14"/>
  <c r="P2517" i="14"/>
  <c r="R2517" i="14"/>
  <c r="S2517" i="14"/>
  <c r="S2518" i="14"/>
  <c r="P2519" i="14"/>
  <c r="R2519" i="14"/>
  <c r="S2519" i="14"/>
  <c r="S2520" i="14"/>
  <c r="H2521" i="14"/>
  <c r="I2521" i="14" s="1"/>
  <c r="N2521" i="14" s="1"/>
  <c r="K2521" i="14"/>
  <c r="Y2521" i="14" s="1"/>
  <c r="P2521" i="14"/>
  <c r="R2521" i="14"/>
  <c r="S2521" i="14"/>
  <c r="S2522" i="14"/>
  <c r="P2523" i="14"/>
  <c r="R2523" i="14"/>
  <c r="S2523" i="14"/>
  <c r="S2524" i="14"/>
  <c r="H2525" i="14"/>
  <c r="I2525" i="14" s="1"/>
  <c r="N2525" i="14" s="1"/>
  <c r="K2525" i="14"/>
  <c r="Y2525" i="14" s="1"/>
  <c r="P2525" i="14"/>
  <c r="R2525" i="14"/>
  <c r="S2525" i="14"/>
  <c r="S2526" i="14"/>
  <c r="P2527" i="14"/>
  <c r="R2527" i="14"/>
  <c r="S2527" i="14"/>
  <c r="S2528" i="14"/>
  <c r="P2529" i="14"/>
  <c r="R2529" i="14"/>
  <c r="S2529" i="14"/>
  <c r="S2530" i="14"/>
  <c r="P2531" i="14"/>
  <c r="R2531" i="14"/>
  <c r="S2531" i="14"/>
  <c r="S2532" i="14"/>
  <c r="P2533" i="14"/>
  <c r="R2533" i="14"/>
  <c r="S2533" i="14"/>
  <c r="S2534" i="14"/>
  <c r="H2535" i="14"/>
  <c r="I2535" i="14" s="1"/>
  <c r="N2535" i="14" s="1"/>
  <c r="K2535" i="14"/>
  <c r="Y2535" i="14" s="1"/>
  <c r="P2535" i="14"/>
  <c r="R2535" i="14"/>
  <c r="S2535" i="14"/>
  <c r="S2536" i="14"/>
  <c r="P2537" i="14"/>
  <c r="R2537" i="14"/>
  <c r="S2537" i="14"/>
  <c r="S2538" i="14"/>
  <c r="D46" i="21"/>
  <c r="A2194" i="14"/>
  <c r="A2187" i="14"/>
  <c r="A2180" i="14"/>
  <c r="A2173" i="14"/>
  <c r="A2166" i="14"/>
  <c r="A2159" i="14"/>
  <c r="A2152" i="14"/>
  <c r="A2145" i="14"/>
  <c r="A2138" i="14"/>
  <c r="A2131" i="14"/>
  <c r="A2124" i="14"/>
  <c r="A2117" i="14"/>
  <c r="A2110" i="14"/>
  <c r="A2103" i="14"/>
  <c r="A2096" i="14"/>
  <c r="A2089" i="14"/>
  <c r="A2082" i="14"/>
  <c r="A2075" i="14"/>
  <c r="A2068" i="14"/>
  <c r="A2061" i="14"/>
  <c r="A2054" i="14"/>
  <c r="A2047" i="14"/>
  <c r="A2040" i="14"/>
  <c r="A2033" i="14"/>
  <c r="A2026" i="14"/>
  <c r="A2019" i="14"/>
  <c r="A2012" i="14"/>
  <c r="A2005" i="14"/>
  <c r="A1998" i="14"/>
  <c r="A1991" i="14"/>
  <c r="A1984" i="14"/>
  <c r="A1977" i="14"/>
  <c r="A1970" i="14"/>
  <c r="A1963" i="14"/>
  <c r="A1830" i="14"/>
  <c r="A1837" i="14"/>
  <c r="A1844" i="14"/>
  <c r="A1851" i="14"/>
  <c r="A1858" i="14"/>
  <c r="A1865" i="14"/>
  <c r="A1872" i="14"/>
  <c r="A1879" i="14"/>
  <c r="A1886" i="14"/>
  <c r="A1893" i="14"/>
  <c r="A1900" i="14"/>
  <c r="A1907" i="14"/>
  <c r="A1914" i="14"/>
  <c r="A1921" i="14"/>
  <c r="A1928" i="14"/>
  <c r="A1935" i="14"/>
  <c r="A1942" i="14"/>
  <c r="A1949" i="14"/>
  <c r="A1956" i="14"/>
  <c r="H1952" i="14"/>
  <c r="L1" i="45"/>
  <c r="H10" i="40"/>
  <c r="H1930" i="14"/>
  <c r="H1932" i="14"/>
  <c r="K1930" i="14"/>
  <c r="B1913" i="14"/>
  <c r="B2193" i="14"/>
  <c r="B2186" i="14"/>
  <c r="B2179" i="14"/>
  <c r="B2172" i="14"/>
  <c r="B2165" i="14"/>
  <c r="B2144" i="14"/>
  <c r="B2137" i="14"/>
  <c r="B2130" i="14"/>
  <c r="B2123" i="14"/>
  <c r="B2116" i="14"/>
  <c r="B2109" i="14"/>
  <c r="B2102" i="14"/>
  <c r="B2095" i="14"/>
  <c r="B2088" i="14"/>
  <c r="B2081" i="14"/>
  <c r="B2074" i="14"/>
  <c r="B2067" i="14"/>
  <c r="B2060" i="14"/>
  <c r="B2053" i="14"/>
  <c r="B2046" i="14"/>
  <c r="B2039" i="14"/>
  <c r="B2032" i="14"/>
  <c r="B2025" i="14"/>
  <c r="B2018" i="14"/>
  <c r="B2011" i="14"/>
  <c r="B2004" i="14"/>
  <c r="B1997" i="14"/>
  <c r="B1990" i="14"/>
  <c r="B1983" i="14"/>
  <c r="B1976" i="14"/>
  <c r="B1969" i="14"/>
  <c r="B1962" i="14"/>
  <c r="B1955" i="14"/>
  <c r="B1948" i="14"/>
  <c r="B1941" i="14"/>
  <c r="B1934" i="14"/>
  <c r="B1927" i="14"/>
  <c r="B1920" i="14"/>
  <c r="B1906" i="14"/>
  <c r="B1899" i="14"/>
  <c r="B1892" i="14"/>
  <c r="B1885" i="14"/>
  <c r="B1878" i="14"/>
  <c r="B1871" i="14"/>
  <c r="B1864" i="14"/>
  <c r="B1857" i="14"/>
  <c r="B1850" i="14"/>
  <c r="B1843" i="14"/>
  <c r="B1836" i="14"/>
  <c r="H1830" i="14"/>
  <c r="K1830" i="14"/>
  <c r="P1830" i="14"/>
  <c r="R1830" i="14"/>
  <c r="S1830" i="14"/>
  <c r="S1831" i="14"/>
  <c r="H1832" i="14"/>
  <c r="I1832" i="14" s="1"/>
  <c r="N1832" i="14" s="1"/>
  <c r="K1832" i="14"/>
  <c r="P1832" i="14"/>
  <c r="R1832" i="14"/>
  <c r="S1832" i="14"/>
  <c r="I1833" i="14"/>
  <c r="N1833" i="14" s="1"/>
  <c r="S1833" i="14"/>
  <c r="H1834" i="14"/>
  <c r="K1834" i="14"/>
  <c r="P1834" i="14"/>
  <c r="R1834" i="14"/>
  <c r="S1834" i="14"/>
  <c r="I1835" i="14"/>
  <c r="N1835" i="14" s="1"/>
  <c r="S1835" i="14"/>
  <c r="H1836" i="14"/>
  <c r="K1836" i="14"/>
  <c r="P1836" i="14"/>
  <c r="R1836" i="14"/>
  <c r="S1836" i="14"/>
  <c r="H1837" i="14"/>
  <c r="I1837" i="14" s="1"/>
  <c r="N1837" i="14" s="1"/>
  <c r="K1837" i="14"/>
  <c r="P1837" i="14"/>
  <c r="R1837" i="14"/>
  <c r="S1837" i="14"/>
  <c r="H1838" i="14"/>
  <c r="K1838" i="14"/>
  <c r="P1838" i="14"/>
  <c r="R1838" i="14"/>
  <c r="S1838" i="14"/>
  <c r="I1839" i="14"/>
  <c r="N1839" i="14" s="1"/>
  <c r="S1839" i="14"/>
  <c r="H1840" i="14"/>
  <c r="I1840" i="14" s="1"/>
  <c r="N1840" i="14" s="1"/>
  <c r="K1840" i="14"/>
  <c r="P1840" i="14"/>
  <c r="R1840" i="14"/>
  <c r="S1840" i="14"/>
  <c r="H1841" i="14"/>
  <c r="K1841" i="14"/>
  <c r="P1841" i="14"/>
  <c r="R1841" i="14"/>
  <c r="S1841" i="14"/>
  <c r="H1842" i="14"/>
  <c r="K1842" i="14"/>
  <c r="P1842" i="14"/>
  <c r="R1842" i="14"/>
  <c r="S1842" i="14"/>
  <c r="H1843" i="14"/>
  <c r="K1843" i="14"/>
  <c r="P1843" i="14"/>
  <c r="R1843" i="14"/>
  <c r="S1843" i="14"/>
  <c r="H1844" i="14"/>
  <c r="K1844" i="14"/>
  <c r="P1844" i="14"/>
  <c r="R1844" i="14"/>
  <c r="S1844" i="14"/>
  <c r="H1845" i="14"/>
  <c r="I1845" i="14" s="1"/>
  <c r="N1845" i="14" s="1"/>
  <c r="K1845" i="14"/>
  <c r="P1845" i="14"/>
  <c r="R1845" i="14"/>
  <c r="S1845" i="14"/>
  <c r="H1846" i="14"/>
  <c r="I1846" i="14" s="1"/>
  <c r="N1846" i="14" s="1"/>
  <c r="K1846" i="14"/>
  <c r="P1846" i="14"/>
  <c r="R1846" i="14"/>
  <c r="S1846" i="14"/>
  <c r="H1847" i="14"/>
  <c r="I1847" i="14" s="1"/>
  <c r="N1847" i="14" s="1"/>
  <c r="K1847" i="14"/>
  <c r="P1847" i="14"/>
  <c r="R1847" i="14"/>
  <c r="S1847" i="14"/>
  <c r="H1848" i="14"/>
  <c r="I1848" i="14" s="1"/>
  <c r="N1848" i="14" s="1"/>
  <c r="K1848" i="14"/>
  <c r="P1848" i="14"/>
  <c r="R1848" i="14"/>
  <c r="S1848" i="14"/>
  <c r="I1849" i="14"/>
  <c r="N1849" i="14" s="1"/>
  <c r="S1849" i="14"/>
  <c r="H1850" i="14"/>
  <c r="K1850" i="14"/>
  <c r="P1850" i="14"/>
  <c r="R1850" i="14"/>
  <c r="S1850" i="14"/>
  <c r="S1851" i="14"/>
  <c r="K1852" i="14"/>
  <c r="P1852" i="14"/>
  <c r="R1852" i="14"/>
  <c r="S1852" i="14"/>
  <c r="I1853" i="14"/>
  <c r="N1853" i="14" s="1"/>
  <c r="S1853" i="14"/>
  <c r="S1854" i="14"/>
  <c r="H1855" i="14"/>
  <c r="I1855" i="14" s="1"/>
  <c r="N1855" i="14" s="1"/>
  <c r="K1855" i="14"/>
  <c r="P1855" i="14"/>
  <c r="R1855" i="14"/>
  <c r="S1855" i="14"/>
  <c r="S1856" i="14"/>
  <c r="H1857" i="14"/>
  <c r="K1857" i="14"/>
  <c r="P1857" i="14"/>
  <c r="R1857" i="14"/>
  <c r="S1857" i="14"/>
  <c r="K1858" i="14"/>
  <c r="P1858" i="14"/>
  <c r="R1858" i="14"/>
  <c r="S1858" i="14"/>
  <c r="I1859" i="14"/>
  <c r="N1859" i="14" s="1"/>
  <c r="S1859" i="14"/>
  <c r="H1860" i="14"/>
  <c r="K1860" i="14"/>
  <c r="P1860" i="14"/>
  <c r="R1860" i="14"/>
  <c r="S1860" i="14"/>
  <c r="I1861" i="14"/>
  <c r="N1861" i="14" s="1"/>
  <c r="S1861" i="14"/>
  <c r="S1862" i="14"/>
  <c r="H1863" i="14"/>
  <c r="I1863" i="14" s="1"/>
  <c r="N1863" i="14" s="1"/>
  <c r="K1863" i="14"/>
  <c r="P1863" i="14"/>
  <c r="R1863" i="14"/>
  <c r="S1863" i="14"/>
  <c r="S1864" i="14"/>
  <c r="S1865" i="14"/>
  <c r="P1866" i="14"/>
  <c r="R1866" i="14"/>
  <c r="S1866" i="14"/>
  <c r="H1867" i="14"/>
  <c r="K1867" i="14"/>
  <c r="P1867" i="14"/>
  <c r="R1867" i="14"/>
  <c r="S1867" i="14"/>
  <c r="I1868" i="14"/>
  <c r="N1868" i="14" s="1"/>
  <c r="S1868" i="14"/>
  <c r="S1869" i="14"/>
  <c r="K1870" i="14"/>
  <c r="P1870" i="14"/>
  <c r="R1870" i="14"/>
  <c r="S1870" i="14"/>
  <c r="S1871" i="14"/>
  <c r="S1872" i="14"/>
  <c r="S1873" i="14"/>
  <c r="H1874" i="14"/>
  <c r="K1874" i="14"/>
  <c r="P1874" i="14"/>
  <c r="R1874" i="14"/>
  <c r="S1874" i="14"/>
  <c r="S1875" i="14"/>
  <c r="S1876" i="14"/>
  <c r="S1877" i="14"/>
  <c r="P1878" i="14"/>
  <c r="R1878" i="14"/>
  <c r="S1878" i="14"/>
  <c r="S1879" i="14"/>
  <c r="S1880" i="14"/>
  <c r="H1881" i="14"/>
  <c r="K1881" i="14"/>
  <c r="P1881" i="14"/>
  <c r="R1881" i="14"/>
  <c r="S1881" i="14"/>
  <c r="S1882" i="14"/>
  <c r="S1883" i="14"/>
  <c r="S1884" i="14"/>
  <c r="H1885" i="14"/>
  <c r="K1885" i="14"/>
  <c r="P1885" i="14"/>
  <c r="R1885" i="14"/>
  <c r="S1885" i="14"/>
  <c r="S1886" i="14"/>
  <c r="S1887" i="14"/>
  <c r="H1888" i="14"/>
  <c r="I1888" i="14" s="1"/>
  <c r="N1888" i="14" s="1"/>
  <c r="K1888" i="14"/>
  <c r="P1888" i="14"/>
  <c r="R1888" i="14"/>
  <c r="S1888" i="14"/>
  <c r="S1889" i="14"/>
  <c r="S1890" i="14"/>
  <c r="S1891" i="14"/>
  <c r="S1892" i="14"/>
  <c r="S1893" i="14"/>
  <c r="S1894" i="14"/>
  <c r="I1895" i="14"/>
  <c r="N1895" i="14" s="1"/>
  <c r="P1895" i="14"/>
  <c r="R1895" i="14"/>
  <c r="S1895" i="14"/>
  <c r="S1896" i="14"/>
  <c r="S1897" i="14"/>
  <c r="S1898" i="14"/>
  <c r="K1899" i="14"/>
  <c r="P1899" i="14"/>
  <c r="R1899" i="14"/>
  <c r="S1899" i="14"/>
  <c r="S1900" i="14"/>
  <c r="S1901" i="14"/>
  <c r="H1902" i="14"/>
  <c r="I1902" i="14" s="1"/>
  <c r="N1902" i="14" s="1"/>
  <c r="K1902" i="14"/>
  <c r="P1902" i="14"/>
  <c r="R1902" i="14"/>
  <c r="S1902" i="14"/>
  <c r="S1903" i="14"/>
  <c r="S1904" i="14"/>
  <c r="S1905" i="14"/>
  <c r="H1906" i="14"/>
  <c r="K1906" i="14"/>
  <c r="P1906" i="14"/>
  <c r="R1906" i="14"/>
  <c r="S1906" i="14"/>
  <c r="S1907" i="14"/>
  <c r="S1908" i="14"/>
  <c r="H1909" i="14"/>
  <c r="K1909" i="14"/>
  <c r="P1909" i="14"/>
  <c r="R1909" i="14"/>
  <c r="S1909" i="14"/>
  <c r="S1910" i="14"/>
  <c r="S1911" i="14"/>
  <c r="S1912" i="14"/>
  <c r="H1913" i="14"/>
  <c r="K1913" i="14"/>
  <c r="P1913" i="14"/>
  <c r="R1913" i="14"/>
  <c r="S1913" i="14"/>
  <c r="S1914" i="14"/>
  <c r="S1915" i="14"/>
  <c r="I1916" i="14"/>
  <c r="N1916" i="14" s="1"/>
  <c r="S1916" i="14"/>
  <c r="S1917" i="14"/>
  <c r="S1918" i="14"/>
  <c r="S1919" i="14"/>
  <c r="S1920" i="14"/>
  <c r="S1921" i="14"/>
  <c r="S1922" i="14"/>
  <c r="I1923" i="14"/>
  <c r="N1923" i="14" s="1"/>
  <c r="P1923" i="14"/>
  <c r="R1923" i="14"/>
  <c r="S1923" i="14"/>
  <c r="S1924" i="14"/>
  <c r="S1925" i="14"/>
  <c r="S1926" i="14"/>
  <c r="H1927" i="14"/>
  <c r="K1927" i="14"/>
  <c r="P1927" i="14"/>
  <c r="R1927" i="14"/>
  <c r="S1927" i="14"/>
  <c r="S1928" i="14"/>
  <c r="S1929" i="14"/>
  <c r="P1930" i="14"/>
  <c r="R1930" i="14"/>
  <c r="S1930" i="14"/>
  <c r="S1931" i="14"/>
  <c r="S1932" i="14"/>
  <c r="S1933" i="14"/>
  <c r="S1934" i="14"/>
  <c r="S1935" i="14"/>
  <c r="S1936" i="14"/>
  <c r="H1937" i="14"/>
  <c r="K1937" i="14"/>
  <c r="P1937" i="14"/>
  <c r="R1937" i="14"/>
  <c r="S1937" i="14"/>
  <c r="S1938" i="14"/>
  <c r="S1939" i="14"/>
  <c r="S1940" i="14"/>
  <c r="S1941" i="14"/>
  <c r="S1942" i="14"/>
  <c r="I1943" i="14"/>
  <c r="N1943" i="14" s="1"/>
  <c r="P1943" i="14"/>
  <c r="R1943" i="14"/>
  <c r="S1943" i="14"/>
  <c r="H1944" i="14"/>
  <c r="I1944" i="14" s="1"/>
  <c r="N1944" i="14" s="1"/>
  <c r="K1944" i="14"/>
  <c r="P1944" i="14"/>
  <c r="R1944" i="14"/>
  <c r="S1944" i="14"/>
  <c r="I1945" i="14"/>
  <c r="N1945" i="14" s="1"/>
  <c r="S1945" i="14"/>
  <c r="S1946" i="14"/>
  <c r="K1947" i="14"/>
  <c r="P1947" i="14"/>
  <c r="R1947" i="14"/>
  <c r="S1947" i="14"/>
  <c r="I1948" i="14"/>
  <c r="N1948" i="14" s="1"/>
  <c r="P1948" i="14"/>
  <c r="R1948" i="14"/>
  <c r="S1948" i="14"/>
  <c r="H1949" i="14"/>
  <c r="K1949" i="14"/>
  <c r="P1949" i="14"/>
  <c r="R1949" i="14"/>
  <c r="S1949" i="14"/>
  <c r="K1950" i="14"/>
  <c r="P1950" i="14"/>
  <c r="R1950" i="14"/>
  <c r="S1950" i="14"/>
  <c r="S1951" i="14"/>
  <c r="S1952" i="14"/>
  <c r="S1953" i="14"/>
  <c r="H1954" i="14"/>
  <c r="K1954" i="14"/>
  <c r="P1954" i="14"/>
  <c r="R1954" i="14"/>
  <c r="S1954" i="14"/>
  <c r="S1955" i="14"/>
  <c r="S1956" i="14"/>
  <c r="S1957" i="14"/>
  <c r="H1958" i="14"/>
  <c r="K1958" i="14"/>
  <c r="P1958" i="14"/>
  <c r="R1958" i="14"/>
  <c r="S1958" i="14"/>
  <c r="S1959" i="14"/>
  <c r="S1960" i="14"/>
  <c r="H1961" i="14"/>
  <c r="K1961" i="14"/>
  <c r="P1961" i="14"/>
  <c r="R1961" i="14"/>
  <c r="S1961" i="14"/>
  <c r="S1962" i="14"/>
  <c r="S1963" i="14"/>
  <c r="H1965" i="14"/>
  <c r="K1965" i="14"/>
  <c r="P1965" i="14"/>
  <c r="R1965" i="14"/>
  <c r="S1965" i="14"/>
  <c r="H1966" i="14"/>
  <c r="I1966" i="14" s="1"/>
  <c r="N1966" i="14" s="1"/>
  <c r="K1966" i="14"/>
  <c r="S1966" i="14"/>
  <c r="S1967" i="14"/>
  <c r="H1968" i="14"/>
  <c r="I1968" i="14" s="1"/>
  <c r="N1968" i="14" s="1"/>
  <c r="K1968" i="14"/>
  <c r="P1968" i="14"/>
  <c r="R1968" i="14"/>
  <c r="S1968" i="14"/>
  <c r="S1969" i="14"/>
  <c r="S1970" i="14"/>
  <c r="S1971" i="14"/>
  <c r="I1972" i="14"/>
  <c r="N1972" i="14" s="1"/>
  <c r="S1972" i="14"/>
  <c r="I1973" i="14"/>
  <c r="N1973" i="14" s="1"/>
  <c r="S1973" i="14"/>
  <c r="S1974" i="14"/>
  <c r="H1975" i="14"/>
  <c r="K1975" i="14"/>
  <c r="P1975" i="14"/>
  <c r="R1975" i="14"/>
  <c r="S1975" i="14"/>
  <c r="S1976" i="14"/>
  <c r="S1977" i="14"/>
  <c r="S1978" i="14"/>
  <c r="I1979" i="14"/>
  <c r="N1979" i="14" s="1"/>
  <c r="S1979" i="14"/>
  <c r="I1980" i="14"/>
  <c r="N1980" i="14" s="1"/>
  <c r="S1980" i="14"/>
  <c r="S1981" i="14"/>
  <c r="H1982" i="14"/>
  <c r="K1982" i="14"/>
  <c r="P1982" i="14"/>
  <c r="R1982" i="14"/>
  <c r="S1982" i="14"/>
  <c r="S1983" i="14"/>
  <c r="S1984" i="14"/>
  <c r="S1985" i="14"/>
  <c r="H1986" i="14"/>
  <c r="K1986" i="14"/>
  <c r="P1986" i="14"/>
  <c r="R1986" i="14"/>
  <c r="S1986" i="14"/>
  <c r="H1987" i="14"/>
  <c r="K1987" i="14"/>
  <c r="S1987" i="14"/>
  <c r="S1988" i="14"/>
  <c r="H1989" i="14"/>
  <c r="K1989" i="14"/>
  <c r="P1989" i="14"/>
  <c r="R1989" i="14"/>
  <c r="S1989" i="14"/>
  <c r="S1991" i="14"/>
  <c r="S1992" i="14"/>
  <c r="H1993" i="14"/>
  <c r="K1993" i="14"/>
  <c r="P1993" i="14"/>
  <c r="R1993" i="14"/>
  <c r="S1993" i="14"/>
  <c r="I1994" i="14"/>
  <c r="N1994" i="14" s="1"/>
  <c r="S1994" i="14"/>
  <c r="S1995" i="14"/>
  <c r="H1996" i="14"/>
  <c r="K1996" i="14"/>
  <c r="P1996" i="14"/>
  <c r="R1996" i="14"/>
  <c r="S1996" i="14"/>
  <c r="S1997" i="14"/>
  <c r="S1998" i="14"/>
  <c r="S1999" i="14"/>
  <c r="H2000" i="14"/>
  <c r="I2000" i="14" s="1"/>
  <c r="N2000" i="14" s="1"/>
  <c r="K2000" i="14"/>
  <c r="P2000" i="14"/>
  <c r="R2000" i="14"/>
  <c r="S2000" i="14"/>
  <c r="I2001" i="14"/>
  <c r="N2001" i="14" s="1"/>
  <c r="S2001" i="14"/>
  <c r="S2002" i="14"/>
  <c r="H2003" i="14"/>
  <c r="K2003" i="14"/>
  <c r="P2003" i="14"/>
  <c r="R2003" i="14"/>
  <c r="S2003" i="14"/>
  <c r="S2004" i="14"/>
  <c r="S2005" i="14"/>
  <c r="S2006" i="14"/>
  <c r="H2007" i="14"/>
  <c r="K2007" i="14"/>
  <c r="P2007" i="14"/>
  <c r="R2007" i="14"/>
  <c r="S2007" i="14"/>
  <c r="I2008" i="14"/>
  <c r="N2008" i="14" s="1"/>
  <c r="S2008" i="14"/>
  <c r="S2009" i="14"/>
  <c r="H2010" i="14"/>
  <c r="K2010" i="14"/>
  <c r="P2010" i="14"/>
  <c r="R2010" i="14"/>
  <c r="S2010" i="14"/>
  <c r="S2011" i="14"/>
  <c r="S2012" i="14"/>
  <c r="S2013" i="14"/>
  <c r="S2014" i="14"/>
  <c r="S2015" i="14"/>
  <c r="S2016" i="14"/>
  <c r="K2017" i="14"/>
  <c r="P2017" i="14"/>
  <c r="R2017" i="14"/>
  <c r="S2017" i="14"/>
  <c r="S2018" i="14"/>
  <c r="S2019" i="14"/>
  <c r="S2020" i="14"/>
  <c r="S2021" i="14"/>
  <c r="S2022" i="14"/>
  <c r="S2023" i="14"/>
  <c r="S2024" i="14"/>
  <c r="S2025" i="14"/>
  <c r="S2026" i="14"/>
  <c r="S2027" i="14"/>
  <c r="S2028" i="14"/>
  <c r="S2029" i="14"/>
  <c r="S2030" i="14"/>
  <c r="S2031" i="14"/>
  <c r="S2032" i="14"/>
  <c r="S2033" i="14"/>
  <c r="S2034" i="14"/>
  <c r="S2035" i="14"/>
  <c r="S2036" i="14"/>
  <c r="S2037" i="14"/>
  <c r="K2038" i="14"/>
  <c r="S2038" i="14"/>
  <c r="S2039" i="14"/>
  <c r="S2040" i="14"/>
  <c r="S2041" i="14"/>
  <c r="S2042" i="14"/>
  <c r="S2043" i="14"/>
  <c r="S2044" i="14"/>
  <c r="S2045" i="14"/>
  <c r="S2046" i="14"/>
  <c r="S2047" i="14"/>
  <c r="S2048" i="14"/>
  <c r="S2049" i="14"/>
  <c r="S2050" i="14"/>
  <c r="S2051" i="14"/>
  <c r="S2052" i="14"/>
  <c r="S2054" i="14"/>
  <c r="S2055" i="14"/>
  <c r="S2056" i="14"/>
  <c r="S2057" i="14"/>
  <c r="S2058" i="14"/>
  <c r="S2059" i="14"/>
  <c r="S2060" i="14"/>
  <c r="S2061" i="14"/>
  <c r="S2062" i="14"/>
  <c r="S2063" i="14"/>
  <c r="S2064" i="14"/>
  <c r="S2065" i="14"/>
  <c r="S2066" i="14"/>
  <c r="S2067" i="14"/>
  <c r="S2068" i="14"/>
  <c r="S2069" i="14"/>
  <c r="S2070" i="14"/>
  <c r="S2071" i="14"/>
  <c r="S2072" i="14"/>
  <c r="S2073" i="14"/>
  <c r="S2074" i="14"/>
  <c r="S2075" i="14"/>
  <c r="S2076" i="14"/>
  <c r="S2077" i="14"/>
  <c r="S2078" i="14"/>
  <c r="S2079" i="14"/>
  <c r="S2080" i="14"/>
  <c r="S2081" i="14"/>
  <c r="S2082" i="14"/>
  <c r="S2083" i="14"/>
  <c r="S2084" i="14"/>
  <c r="S2085" i="14"/>
  <c r="S2086" i="14"/>
  <c r="S2087" i="14"/>
  <c r="S2088" i="14"/>
  <c r="S2089" i="14"/>
  <c r="S2090" i="14"/>
  <c r="S2091" i="14"/>
  <c r="S2092" i="14"/>
  <c r="S2093" i="14"/>
  <c r="S2094" i="14"/>
  <c r="S2096" i="14"/>
  <c r="S2097" i="14"/>
  <c r="S2098" i="14"/>
  <c r="S2099" i="14"/>
  <c r="S2100" i="14"/>
  <c r="K2101" i="14"/>
  <c r="S2101" i="14"/>
  <c r="S2102" i="14"/>
  <c r="S2103" i="14"/>
  <c r="S2104" i="14"/>
  <c r="S2105" i="14"/>
  <c r="S2106" i="14"/>
  <c r="S2107" i="14"/>
  <c r="S2108" i="14"/>
  <c r="S2109" i="14"/>
  <c r="S2110" i="14"/>
  <c r="S2111" i="14"/>
  <c r="S2112" i="14"/>
  <c r="S2113" i="14"/>
  <c r="S2114" i="14"/>
  <c r="S2115" i="14"/>
  <c r="S2116" i="14"/>
  <c r="S2117" i="14"/>
  <c r="S2118" i="14"/>
  <c r="S2119" i="14"/>
  <c r="S2120" i="14"/>
  <c r="S2121" i="14"/>
  <c r="P2122" i="14"/>
  <c r="R2122" i="14"/>
  <c r="S2122" i="14"/>
  <c r="S2123" i="14"/>
  <c r="S2124" i="14"/>
  <c r="S2125" i="14"/>
  <c r="S2126" i="14"/>
  <c r="S2127" i="14"/>
  <c r="S2128" i="14"/>
  <c r="S2129" i="14"/>
  <c r="I2130" i="14"/>
  <c r="N2130" i="14" s="1"/>
  <c r="S2130" i="14"/>
  <c r="K2131" i="14"/>
  <c r="Y2131" i="14" s="1"/>
  <c r="S2131" i="14"/>
  <c r="S2132" i="14"/>
  <c r="I2133" i="14"/>
  <c r="N2133" i="14" s="1"/>
  <c r="S2133" i="14"/>
  <c r="S2134" i="14"/>
  <c r="S2135" i="14"/>
  <c r="S2136" i="14"/>
  <c r="S2137" i="14"/>
  <c r="S2138" i="14"/>
  <c r="S2139" i="14"/>
  <c r="S2140" i="14"/>
  <c r="S2141" i="14"/>
  <c r="S2142" i="14"/>
  <c r="S2143" i="14"/>
  <c r="S2144" i="14"/>
  <c r="S2145" i="14"/>
  <c r="S2146" i="14"/>
  <c r="S2147" i="14"/>
  <c r="S2148" i="14"/>
  <c r="S2149" i="14"/>
  <c r="K2150" i="14"/>
  <c r="Y2150" i="14" s="1"/>
  <c r="P2150" i="14"/>
  <c r="R2150" i="14"/>
  <c r="S2150" i="14"/>
  <c r="S2151" i="14"/>
  <c r="S2152" i="14"/>
  <c r="S2153" i="14"/>
  <c r="S2154" i="14"/>
  <c r="S2155" i="14"/>
  <c r="S2156" i="14"/>
  <c r="S2157" i="14"/>
  <c r="S2158" i="14"/>
  <c r="S2159" i="14"/>
  <c r="S2160" i="14"/>
  <c r="S2161" i="14"/>
  <c r="H2162" i="14"/>
  <c r="I2162" i="14" s="1"/>
  <c r="N2162" i="14" s="1"/>
  <c r="K2162" i="14"/>
  <c r="Y2162" i="14" s="1"/>
  <c r="S2162" i="14"/>
  <c r="S2163" i="14"/>
  <c r="H2164" i="14"/>
  <c r="I2164" i="14" s="1"/>
  <c r="N2164" i="14" s="1"/>
  <c r="K2164" i="14"/>
  <c r="Y2164" i="14" s="1"/>
  <c r="P2164" i="14"/>
  <c r="R2164" i="14"/>
  <c r="S2164" i="14"/>
  <c r="S2165" i="14"/>
  <c r="S2166" i="14"/>
  <c r="S2167" i="14"/>
  <c r="K2168" i="14"/>
  <c r="Y2168" i="14" s="1"/>
  <c r="P2168" i="14"/>
  <c r="R2168" i="14"/>
  <c r="S2168" i="14"/>
  <c r="S2169" i="14"/>
  <c r="S2170" i="14"/>
  <c r="H2171" i="14"/>
  <c r="I2171" i="14" s="1"/>
  <c r="N2171" i="14" s="1"/>
  <c r="K2171" i="14"/>
  <c r="Y2171" i="14" s="1"/>
  <c r="P2171" i="14"/>
  <c r="R2171" i="14"/>
  <c r="S2171" i="14"/>
  <c r="S2172" i="14"/>
  <c r="S2173" i="14"/>
  <c r="S2174" i="14"/>
  <c r="K2175" i="14"/>
  <c r="Y2175" i="14" s="1"/>
  <c r="P2175" i="14"/>
  <c r="R2175" i="14"/>
  <c r="S2175" i="14"/>
  <c r="S2176" i="14"/>
  <c r="S2177" i="14"/>
  <c r="H2178" i="14"/>
  <c r="I2178" i="14" s="1"/>
  <c r="N2178" i="14" s="1"/>
  <c r="K2178" i="14"/>
  <c r="Y2178" i="14" s="1"/>
  <c r="P2178" i="14"/>
  <c r="R2178" i="14"/>
  <c r="S2178" i="14"/>
  <c r="S2179" i="14"/>
  <c r="S2180" i="14"/>
  <c r="S2181" i="14"/>
  <c r="H2182" i="14"/>
  <c r="I2182" i="14" s="1"/>
  <c r="N2182" i="14" s="1"/>
  <c r="K2182" i="14"/>
  <c r="Y2182" i="14" s="1"/>
  <c r="P2182" i="14"/>
  <c r="R2182" i="14"/>
  <c r="S2182" i="14"/>
  <c r="S2183" i="14"/>
  <c r="S2184" i="14"/>
  <c r="K2185" i="14"/>
  <c r="Y2185" i="14" s="1"/>
  <c r="P2185" i="14"/>
  <c r="R2185" i="14"/>
  <c r="S2185" i="14"/>
  <c r="S2186" i="14"/>
  <c r="S2187" i="14"/>
  <c r="S2188" i="14"/>
  <c r="S2189" i="14"/>
  <c r="H2190" i="14"/>
  <c r="I2190" i="14" s="1"/>
  <c r="N2190" i="14" s="1"/>
  <c r="K2190" i="14"/>
  <c r="Y2190" i="14" s="1"/>
  <c r="S2190" i="14"/>
  <c r="S2191" i="14"/>
  <c r="H2192" i="14"/>
  <c r="I2192" i="14" s="1"/>
  <c r="N2192" i="14" s="1"/>
  <c r="K2192" i="14"/>
  <c r="Y2192" i="14" s="1"/>
  <c r="P2192" i="14"/>
  <c r="R2192" i="14"/>
  <c r="S2192" i="14"/>
  <c r="S2193" i="14"/>
  <c r="K1670" i="14"/>
  <c r="K1636" i="14"/>
  <c r="K1605" i="14"/>
  <c r="I1605" i="14"/>
  <c r="B2241" i="14"/>
  <c r="E28" i="41"/>
  <c r="M2" i="18"/>
  <c r="M5" i="18" s="1"/>
  <c r="S1512" i="14"/>
  <c r="I1487" i="14"/>
  <c r="N1487" i="14" s="1"/>
  <c r="BB34" i="33"/>
  <c r="K1406" i="14"/>
  <c r="K1352" i="14"/>
  <c r="N2" i="18"/>
  <c r="N5" i="18" s="1"/>
  <c r="K1313" i="14"/>
  <c r="S1480" i="14"/>
  <c r="S1481" i="14"/>
  <c r="H1482" i="14"/>
  <c r="K1482" i="14"/>
  <c r="P1482" i="14"/>
  <c r="R1482" i="14"/>
  <c r="S1482" i="14"/>
  <c r="S1483" i="14"/>
  <c r="H1484" i="14"/>
  <c r="K1484" i="14"/>
  <c r="P1484" i="14"/>
  <c r="R1484" i="14"/>
  <c r="S1484" i="14"/>
  <c r="S1485" i="14"/>
  <c r="H1486" i="14"/>
  <c r="K1486" i="14"/>
  <c r="P1486" i="14"/>
  <c r="R1486" i="14"/>
  <c r="S1486" i="14"/>
  <c r="S1487" i="14"/>
  <c r="S1488" i="14"/>
  <c r="S1489" i="14"/>
  <c r="S1490" i="14"/>
  <c r="S1491" i="14"/>
  <c r="S1492" i="14"/>
  <c r="S1493" i="14"/>
  <c r="S1494" i="14"/>
  <c r="H1495" i="14"/>
  <c r="K1495" i="14"/>
  <c r="P1495" i="14"/>
  <c r="R1495" i="14"/>
  <c r="S1495" i="14"/>
  <c r="S1496" i="14"/>
  <c r="S1497" i="14"/>
  <c r="S1498" i="14"/>
  <c r="S1499" i="14"/>
  <c r="S1500" i="14"/>
  <c r="S1501" i="14"/>
  <c r="S1502" i="14"/>
  <c r="S1503" i="14"/>
  <c r="S1504" i="14"/>
  <c r="S1505" i="14"/>
  <c r="S1506" i="14"/>
  <c r="H1507" i="14"/>
  <c r="K1507" i="14"/>
  <c r="P1507" i="14"/>
  <c r="R1507" i="14"/>
  <c r="S1507" i="14"/>
  <c r="S1508" i="14"/>
  <c r="S1509" i="14"/>
  <c r="S1510" i="14"/>
  <c r="S1511" i="14"/>
  <c r="S1513" i="14"/>
  <c r="S1514" i="14"/>
  <c r="S1515" i="14"/>
  <c r="S1516" i="14"/>
  <c r="I1517" i="14"/>
  <c r="N1517" i="14" s="1"/>
  <c r="S1517" i="14"/>
  <c r="S1518" i="14"/>
  <c r="S1519" i="14"/>
  <c r="H1520" i="14"/>
  <c r="K1520" i="14"/>
  <c r="P1520" i="14"/>
  <c r="R1520" i="14"/>
  <c r="S1520" i="14"/>
  <c r="S1521" i="14"/>
  <c r="H1522" i="14"/>
  <c r="K1522" i="14"/>
  <c r="P1522" i="14"/>
  <c r="R1522" i="14"/>
  <c r="S1522" i="14"/>
  <c r="S1523" i="14"/>
  <c r="S1524" i="14"/>
  <c r="S1525" i="14"/>
  <c r="S1527" i="14"/>
  <c r="S1528" i="14"/>
  <c r="S1529" i="14"/>
  <c r="S1530" i="14"/>
  <c r="H1531" i="14"/>
  <c r="K1531" i="14"/>
  <c r="P1531" i="14"/>
  <c r="R1531" i="14"/>
  <c r="S1531" i="14"/>
  <c r="S1532" i="14"/>
  <c r="S1533" i="14"/>
  <c r="S1534" i="14"/>
  <c r="S1535" i="14"/>
  <c r="S1536" i="14"/>
  <c r="S1537" i="14"/>
  <c r="S1538" i="14"/>
  <c r="S1539" i="14"/>
  <c r="S1540" i="14"/>
  <c r="S1541" i="14"/>
  <c r="S1542" i="14"/>
  <c r="S1543" i="14"/>
  <c r="S1544" i="14"/>
  <c r="S1545" i="14"/>
  <c r="S1546" i="14"/>
  <c r="S1547" i="14"/>
  <c r="S1549" i="14"/>
  <c r="S1550" i="14"/>
  <c r="S1551" i="14"/>
  <c r="S1552" i="14"/>
  <c r="S1553" i="14"/>
  <c r="S1554" i="14"/>
  <c r="S1555" i="14"/>
  <c r="S1556" i="14"/>
  <c r="S1557" i="14"/>
  <c r="S1558" i="14"/>
  <c r="S1559" i="14"/>
  <c r="S1560" i="14"/>
  <c r="S1561" i="14"/>
  <c r="S1562" i="14"/>
  <c r="S1563" i="14"/>
  <c r="S1564" i="14"/>
  <c r="S1565" i="14"/>
  <c r="S1566" i="14"/>
  <c r="S1567" i="14"/>
  <c r="S1568" i="14"/>
  <c r="S1569" i="14"/>
  <c r="S1570" i="14"/>
  <c r="S1571" i="14"/>
  <c r="S1572" i="14"/>
  <c r="S1573" i="14"/>
  <c r="S1574" i="14"/>
  <c r="S1575" i="14"/>
  <c r="S1576" i="14"/>
  <c r="S1577" i="14"/>
  <c r="S1578" i="14"/>
  <c r="S1579" i="14"/>
  <c r="S1580" i="14"/>
  <c r="S1581" i="14"/>
  <c r="S1582" i="14"/>
  <c r="S1583" i="14"/>
  <c r="S1584" i="14"/>
  <c r="S1585" i="14"/>
  <c r="S1586" i="14"/>
  <c r="S1587" i="14"/>
  <c r="S1588" i="14"/>
  <c r="S1589" i="14"/>
  <c r="S1590" i="14"/>
  <c r="S1591" i="14"/>
  <c r="S1592" i="14"/>
  <c r="H1593" i="14"/>
  <c r="K1593" i="14"/>
  <c r="P1593" i="14"/>
  <c r="R1593" i="14"/>
  <c r="S1593" i="14"/>
  <c r="S1594" i="14"/>
  <c r="S1595" i="14"/>
  <c r="S1596" i="14"/>
  <c r="H1597" i="14"/>
  <c r="S1597" i="14"/>
  <c r="S1598" i="14"/>
  <c r="S1599" i="14"/>
  <c r="S1600" i="14"/>
  <c r="S1601" i="14"/>
  <c r="S1602" i="14"/>
  <c r="S1603" i="14"/>
  <c r="S1604" i="14"/>
  <c r="S1605" i="14"/>
  <c r="S1606" i="14"/>
  <c r="H1607" i="14"/>
  <c r="S1607" i="14"/>
  <c r="S1608" i="14"/>
  <c r="S1609" i="14"/>
  <c r="S1610" i="14"/>
  <c r="S1611" i="14"/>
  <c r="S1612" i="14"/>
  <c r="S1613" i="14"/>
  <c r="H1614" i="14"/>
  <c r="K1614" i="14"/>
  <c r="P1614" i="14"/>
  <c r="R1614" i="14"/>
  <c r="S1614" i="14"/>
  <c r="S1616" i="14"/>
  <c r="S1617" i="14"/>
  <c r="S1618" i="14"/>
  <c r="S1619" i="14"/>
  <c r="S1620" i="14"/>
  <c r="S1621" i="14"/>
  <c r="S1622" i="14"/>
  <c r="S1623" i="14"/>
  <c r="K1624" i="14"/>
  <c r="P1624" i="14"/>
  <c r="R1624" i="14"/>
  <c r="S1624" i="14"/>
  <c r="K1626" i="14"/>
  <c r="P1626" i="14"/>
  <c r="R1626" i="14"/>
  <c r="S1626" i="14"/>
  <c r="S1627" i="14"/>
  <c r="K1628" i="14"/>
  <c r="P1628" i="14"/>
  <c r="R1628" i="14"/>
  <c r="S1628" i="14"/>
  <c r="S1629" i="14"/>
  <c r="P1630" i="14"/>
  <c r="R1630" i="14"/>
  <c r="S1631" i="14"/>
  <c r="S1632" i="14"/>
  <c r="S1633" i="14"/>
  <c r="S1634" i="14"/>
  <c r="S1635" i="14"/>
  <c r="S1636" i="14"/>
  <c r="S1637" i="14"/>
  <c r="H1638" i="14"/>
  <c r="K1638" i="14"/>
  <c r="P1638" i="14"/>
  <c r="R1638" i="14"/>
  <c r="S1638" i="14"/>
  <c r="S1639" i="14"/>
  <c r="H1640" i="14"/>
  <c r="K1640" i="14"/>
  <c r="P1640" i="14"/>
  <c r="R1640" i="14"/>
  <c r="S1640" i="14"/>
  <c r="S1642" i="14"/>
  <c r="S1643" i="14"/>
  <c r="S1644" i="14"/>
  <c r="S1645" i="14"/>
  <c r="S1646" i="14"/>
  <c r="S1647" i="14"/>
  <c r="S1648" i="14"/>
  <c r="S1649" i="14"/>
  <c r="S1650" i="14"/>
  <c r="S1651" i="14"/>
  <c r="H1652" i="14"/>
  <c r="K1652" i="14"/>
  <c r="P1652" i="14"/>
  <c r="R1652" i="14"/>
  <c r="S1652" i="14"/>
  <c r="H1654" i="14"/>
  <c r="K1654" i="14"/>
  <c r="P1654" i="14"/>
  <c r="R1654" i="14"/>
  <c r="S1654" i="14"/>
  <c r="S1655" i="14"/>
  <c r="S1656" i="14"/>
  <c r="S1657" i="14"/>
  <c r="S1658" i="14"/>
  <c r="S1659" i="14"/>
  <c r="S1660" i="14"/>
  <c r="S1661" i="14"/>
  <c r="S1662" i="14"/>
  <c r="S1663" i="14"/>
  <c r="S1664" i="14"/>
  <c r="S1665" i="14"/>
  <c r="K1666" i="14"/>
  <c r="P1666" i="14"/>
  <c r="R1666" i="14"/>
  <c r="S1666" i="14"/>
  <c r="S1667" i="14"/>
  <c r="K1668" i="14"/>
  <c r="P1668" i="14"/>
  <c r="R1668" i="14"/>
  <c r="S1668" i="14"/>
  <c r="S1669" i="14"/>
  <c r="S1670" i="14"/>
  <c r="S1671" i="14"/>
  <c r="S1672" i="14"/>
  <c r="K1673" i="14"/>
  <c r="P1673" i="14"/>
  <c r="R1673" i="14"/>
  <c r="S1673" i="14"/>
  <c r="S1674" i="14"/>
  <c r="S1675" i="14"/>
  <c r="S1676" i="14"/>
  <c r="S1677" i="14"/>
  <c r="S1678" i="14"/>
  <c r="S1679" i="14"/>
  <c r="H1680" i="14"/>
  <c r="K1680" i="14"/>
  <c r="P1680" i="14"/>
  <c r="R1680" i="14"/>
  <c r="S1680" i="14"/>
  <c r="S1681" i="14"/>
  <c r="H1682" i="14"/>
  <c r="K1682" i="14"/>
  <c r="P1682" i="14"/>
  <c r="R1682" i="14"/>
  <c r="S1682" i="14"/>
  <c r="S1683" i="14"/>
  <c r="S1684" i="14"/>
  <c r="S1685" i="14"/>
  <c r="S1686" i="14"/>
  <c r="K1687" i="14"/>
  <c r="P1687" i="14"/>
  <c r="R1687" i="14"/>
  <c r="S1687" i="14"/>
  <c r="S1688" i="14"/>
  <c r="K1689" i="14"/>
  <c r="P1689" i="14"/>
  <c r="R1689" i="14"/>
  <c r="S1689" i="14"/>
  <c r="S1690" i="14"/>
  <c r="S1692" i="14"/>
  <c r="S1693" i="14"/>
  <c r="S1694" i="14"/>
  <c r="S1695" i="14"/>
  <c r="S1696" i="14"/>
  <c r="S1697" i="14"/>
  <c r="S1698" i="14"/>
  <c r="S1699" i="14"/>
  <c r="S1700" i="14"/>
  <c r="H1701" i="14"/>
  <c r="K1701" i="14"/>
  <c r="P1701" i="14"/>
  <c r="R1701" i="14"/>
  <c r="S1701" i="14"/>
  <c r="H1703" i="14"/>
  <c r="K1703" i="14"/>
  <c r="P1703" i="14"/>
  <c r="R1703" i="14"/>
  <c r="S1703" i="14"/>
  <c r="S1704" i="14"/>
  <c r="S1705" i="14"/>
  <c r="S1706" i="14"/>
  <c r="S1707" i="14"/>
  <c r="S1708" i="14"/>
  <c r="S1709" i="14"/>
  <c r="K1710" i="14"/>
  <c r="P1710" i="14"/>
  <c r="R1710" i="14"/>
  <c r="S1710" i="14"/>
  <c r="S1711" i="14"/>
  <c r="S1712" i="14"/>
  <c r="S1713" i="14"/>
  <c r="S1714" i="14"/>
  <c r="S1715" i="14"/>
  <c r="S1716" i="14"/>
  <c r="S1717" i="14"/>
  <c r="S1718" i="14"/>
  <c r="S1719" i="14"/>
  <c r="S1720" i="14"/>
  <c r="S1721" i="14"/>
  <c r="S1722" i="14"/>
  <c r="S1723" i="14"/>
  <c r="S1724" i="14"/>
  <c r="S1725" i="14"/>
  <c r="S1726" i="14"/>
  <c r="S1727" i="14"/>
  <c r="S1728" i="14"/>
  <c r="H1729" i="14"/>
  <c r="K1729" i="14"/>
  <c r="P1729" i="14"/>
  <c r="R1729" i="14"/>
  <c r="S1729" i="14"/>
  <c r="S1730" i="14"/>
  <c r="S1731" i="14"/>
  <c r="S1732" i="14"/>
  <c r="S1733" i="14"/>
  <c r="S1734" i="14"/>
  <c r="S1735" i="14"/>
  <c r="S1736" i="14"/>
  <c r="S1737" i="14"/>
  <c r="S1738" i="14"/>
  <c r="S1739" i="14"/>
  <c r="K1740" i="14"/>
  <c r="P1740" i="14"/>
  <c r="R1740" i="14"/>
  <c r="S1740" i="14"/>
  <c r="S1741" i="14"/>
  <c r="S1742" i="14"/>
  <c r="H1743" i="14"/>
  <c r="K1743" i="14"/>
  <c r="P1743" i="14"/>
  <c r="R1743" i="14"/>
  <c r="S1743" i="14"/>
  <c r="S1744" i="14"/>
  <c r="I1745" i="14"/>
  <c r="N1745" i="14" s="1"/>
  <c r="S1745" i="14"/>
  <c r="S1746" i="14"/>
  <c r="S1747" i="14"/>
  <c r="S1748" i="14"/>
  <c r="S1749" i="14"/>
  <c r="S1750" i="14"/>
  <c r="S1751" i="14"/>
  <c r="S1752" i="14"/>
  <c r="S1753" i="14"/>
  <c r="S1754" i="14"/>
  <c r="S1755" i="14"/>
  <c r="S1756" i="14"/>
  <c r="S1757" i="14"/>
  <c r="S1758" i="14"/>
  <c r="S1759" i="14"/>
  <c r="S1760" i="14"/>
  <c r="S1761" i="14"/>
  <c r="S1762" i="14"/>
  <c r="S1763" i="14"/>
  <c r="S1764" i="14"/>
  <c r="S1765" i="14"/>
  <c r="S1766" i="14"/>
  <c r="S1767" i="14"/>
  <c r="S1768" i="14"/>
  <c r="S1769" i="14"/>
  <c r="S1770" i="14"/>
  <c r="S1771" i="14"/>
  <c r="S1772" i="14"/>
  <c r="S1773" i="14"/>
  <c r="S1774" i="14"/>
  <c r="S1775" i="14"/>
  <c r="S1776" i="14"/>
  <c r="S1777" i="14"/>
  <c r="S1778" i="14"/>
  <c r="S1779" i="14"/>
  <c r="S1780" i="14"/>
  <c r="S1781" i="14"/>
  <c r="S1782" i="14"/>
  <c r="S1783" i="14"/>
  <c r="S1784" i="14"/>
  <c r="S1785" i="14"/>
  <c r="S1786" i="14"/>
  <c r="S1787" i="14"/>
  <c r="S1788" i="14"/>
  <c r="S1789" i="14"/>
  <c r="S1790" i="14"/>
  <c r="S1791" i="14"/>
  <c r="H1792" i="14"/>
  <c r="I1792" i="14" s="1"/>
  <c r="N1792" i="14" s="1"/>
  <c r="S1792" i="14"/>
  <c r="S1793" i="14"/>
  <c r="S1794" i="14"/>
  <c r="S1795" i="14"/>
  <c r="S1796" i="14"/>
  <c r="S1797" i="14"/>
  <c r="S1798" i="14"/>
  <c r="S1799" i="14"/>
  <c r="S1800" i="14"/>
  <c r="S1801" i="14"/>
  <c r="S1802" i="14"/>
  <c r="S1803" i="14"/>
  <c r="S1804" i="14"/>
  <c r="S1805" i="14"/>
  <c r="S1806" i="14"/>
  <c r="S1807" i="14"/>
  <c r="I1808" i="14"/>
  <c r="N1808" i="14" s="1"/>
  <c r="S1808" i="14"/>
  <c r="S1809" i="14"/>
  <c r="S1810" i="14"/>
  <c r="S1811" i="14"/>
  <c r="S1812" i="14"/>
  <c r="H1813" i="14"/>
  <c r="I1813" i="14" s="1"/>
  <c r="N1813" i="14" s="1"/>
  <c r="K1813" i="14"/>
  <c r="P1813" i="14"/>
  <c r="R1813" i="14"/>
  <c r="S1813" i="14"/>
  <c r="S1814" i="14"/>
  <c r="H1815" i="14"/>
  <c r="I1815" i="14" s="1"/>
  <c r="N1815" i="14" s="1"/>
  <c r="K1815" i="14"/>
  <c r="P1815" i="14"/>
  <c r="R1815" i="14"/>
  <c r="S1815" i="14"/>
  <c r="S1816" i="14"/>
  <c r="S1817" i="14"/>
  <c r="S1818" i="14"/>
  <c r="S1819" i="14"/>
  <c r="S1820" i="14"/>
  <c r="S1821" i="14"/>
  <c r="H1822" i="14"/>
  <c r="I1822" i="14" s="1"/>
  <c r="N1822" i="14" s="1"/>
  <c r="K1822" i="14"/>
  <c r="P1822" i="14"/>
  <c r="R1822" i="14"/>
  <c r="S1822" i="14"/>
  <c r="S1823" i="14"/>
  <c r="S1824" i="14"/>
  <c r="S1825" i="14"/>
  <c r="S1826" i="14"/>
  <c r="H1827" i="14"/>
  <c r="K1827" i="14"/>
  <c r="P1827" i="14"/>
  <c r="R1827" i="14"/>
  <c r="S1827" i="14"/>
  <c r="S1828" i="14"/>
  <c r="H1829" i="14"/>
  <c r="K1829" i="14"/>
  <c r="P1829" i="14"/>
  <c r="R1829" i="14"/>
  <c r="S1829" i="14"/>
  <c r="B1473" i="14"/>
  <c r="B1480" i="14" s="1"/>
  <c r="B1487" i="14" s="1"/>
  <c r="B1494" i="14" s="1"/>
  <c r="B1501" i="14" s="1"/>
  <c r="B1508" i="14" s="1"/>
  <c r="B1515" i="14" s="1"/>
  <c r="B1522" i="14" s="1"/>
  <c r="B1529" i="14" s="1"/>
  <c r="B1536" i="14" s="1"/>
  <c r="B1543" i="14" s="1"/>
  <c r="B1550" i="14" s="1"/>
  <c r="B1557" i="14" s="1"/>
  <c r="B1564" i="14" s="1"/>
  <c r="B1571" i="14" s="1"/>
  <c r="B1578" i="14" s="1"/>
  <c r="B1585" i="14" s="1"/>
  <c r="B1592" i="14" s="1"/>
  <c r="B1599" i="14" s="1"/>
  <c r="B1606" i="14" s="1"/>
  <c r="B1613" i="14" s="1"/>
  <c r="B1620" i="14" s="1"/>
  <c r="B1627" i="14" s="1"/>
  <c r="B1634" i="14" s="1"/>
  <c r="B1641" i="14" s="1"/>
  <c r="B1648" i="14" s="1"/>
  <c r="B1655" i="14" s="1"/>
  <c r="B1662" i="14" s="1"/>
  <c r="B1669" i="14" s="1"/>
  <c r="B1676" i="14" s="1"/>
  <c r="B1683" i="14" s="1"/>
  <c r="B1690" i="14" s="1"/>
  <c r="B1697" i="14" s="1"/>
  <c r="B1704" i="14" s="1"/>
  <c r="B1711" i="14" s="1"/>
  <c r="B1718" i="14" s="1"/>
  <c r="B1725" i="14" s="1"/>
  <c r="B1732" i="14" s="1"/>
  <c r="B1739" i="14" s="1"/>
  <c r="B1746" i="14" s="1"/>
  <c r="B1753" i="14" s="1"/>
  <c r="B1760" i="14" s="1"/>
  <c r="B1767" i="14" s="1"/>
  <c r="B1774" i="14" s="1"/>
  <c r="B1781" i="14" s="1"/>
  <c r="B1788" i="14" s="1"/>
  <c r="B1795" i="14" s="1"/>
  <c r="B1802" i="14" s="1"/>
  <c r="B1809" i="14" s="1"/>
  <c r="B1816" i="14" s="1"/>
  <c r="S1466" i="14"/>
  <c r="S1467" i="14"/>
  <c r="K1468" i="14"/>
  <c r="P1468" i="14"/>
  <c r="R1468" i="14"/>
  <c r="S1468" i="14"/>
  <c r="S1469" i="14"/>
  <c r="S1470" i="14"/>
  <c r="S1471" i="14"/>
  <c r="S1472" i="14"/>
  <c r="S1473" i="14"/>
  <c r="S1474" i="14"/>
  <c r="K1475" i="14"/>
  <c r="P1475" i="14"/>
  <c r="R1475" i="14"/>
  <c r="S1475" i="14"/>
  <c r="S1476" i="14"/>
  <c r="K1477" i="14"/>
  <c r="P1477" i="14"/>
  <c r="R1477" i="14"/>
  <c r="S1477" i="14"/>
  <c r="S1478" i="14"/>
  <c r="K1479" i="14"/>
  <c r="P1479" i="14"/>
  <c r="R1479" i="14"/>
  <c r="S1479" i="14"/>
  <c r="H1242" i="14"/>
  <c r="H1243" i="14"/>
  <c r="K1253" i="14"/>
  <c r="H1234" i="14"/>
  <c r="D47" i="21"/>
  <c r="G9" i="40"/>
  <c r="K1185" i="14"/>
  <c r="N6" i="21"/>
  <c r="L7" i="21" s="1"/>
  <c r="L6" i="21"/>
  <c r="N5" i="21"/>
  <c r="L5" i="21"/>
  <c r="N4" i="21"/>
  <c r="N3" i="21"/>
  <c r="L4" i="21" s="1"/>
  <c r="N2" i="21"/>
  <c r="L2" i="21"/>
  <c r="K1083" i="14"/>
  <c r="I1731" i="14"/>
  <c r="N1731" i="14" s="1"/>
  <c r="K1071" i="14"/>
  <c r="E30" i="41"/>
  <c r="E31" i="41"/>
  <c r="S1044" i="14"/>
  <c r="K1040" i="14"/>
  <c r="K1756" i="14"/>
  <c r="K1573" i="14"/>
  <c r="K1595" i="14"/>
  <c r="K1564" i="14"/>
  <c r="K1589" i="14"/>
  <c r="K1724" i="14"/>
  <c r="K1778" i="14"/>
  <c r="K1955" i="14"/>
  <c r="K1896" i="14"/>
  <c r="K1903" i="14"/>
  <c r="K1931" i="14"/>
  <c r="K1911" i="14"/>
  <c r="K1900" i="14"/>
  <c r="K1928" i="14"/>
  <c r="K1904" i="14"/>
  <c r="K1932" i="14"/>
  <c r="K1921" i="14"/>
  <c r="K1893" i="14"/>
  <c r="K1897" i="14"/>
  <c r="K1907" i="14"/>
  <c r="K2049" i="14"/>
  <c r="K1876" i="14"/>
  <c r="K1712" i="14"/>
  <c r="K1708" i="14"/>
  <c r="K1633" i="14"/>
  <c r="K1647" i="14"/>
  <c r="K1661" i="14"/>
  <c r="K1470" i="14"/>
  <c r="P1497" i="14"/>
  <c r="R1497" i="14"/>
  <c r="K1497" i="14"/>
  <c r="H23" i="40"/>
  <c r="G21" i="40"/>
  <c r="G23" i="40" s="1"/>
  <c r="G8" i="40"/>
  <c r="G7" i="40"/>
  <c r="G5" i="40"/>
  <c r="G4" i="40"/>
  <c r="AM20" i="33"/>
  <c r="H991" i="14"/>
  <c r="K989" i="14"/>
  <c r="K992" i="14"/>
  <c r="S1396" i="14"/>
  <c r="S1397" i="14"/>
  <c r="S1398" i="14"/>
  <c r="S1399" i="14"/>
  <c r="S1400" i="14"/>
  <c r="S1401" i="14"/>
  <c r="S1402" i="14"/>
  <c r="S1403" i="14"/>
  <c r="S1404" i="14"/>
  <c r="S1405" i="14"/>
  <c r="S1406" i="14"/>
  <c r="S1407" i="14"/>
  <c r="S1408" i="14"/>
  <c r="S1409" i="14"/>
  <c r="S1410" i="14"/>
  <c r="S1411" i="14"/>
  <c r="S1412" i="14"/>
  <c r="S1413" i="14"/>
  <c r="S1414" i="14"/>
  <c r="S1415" i="14"/>
  <c r="S1416" i="14"/>
  <c r="S1417" i="14"/>
  <c r="S1418" i="14"/>
  <c r="S1419" i="14"/>
  <c r="S1420" i="14"/>
  <c r="S1421" i="14"/>
  <c r="S1422" i="14"/>
  <c r="S1423" i="14"/>
  <c r="S1424" i="14"/>
  <c r="S1425" i="14"/>
  <c r="S1426" i="14"/>
  <c r="S1427" i="14"/>
  <c r="S1428" i="14"/>
  <c r="S1429" i="14"/>
  <c r="S1430" i="14"/>
  <c r="S1431" i="14"/>
  <c r="S1432" i="14"/>
  <c r="S1433" i="14"/>
  <c r="S1434" i="14"/>
  <c r="S1435" i="14"/>
  <c r="S1436" i="14"/>
  <c r="S1437" i="14"/>
  <c r="S1438" i="14"/>
  <c r="S1439" i="14"/>
  <c r="S1440" i="14"/>
  <c r="S1441" i="14"/>
  <c r="S1442" i="14"/>
  <c r="S1443" i="14"/>
  <c r="S1444" i="14"/>
  <c r="S1445" i="14"/>
  <c r="S1446" i="14"/>
  <c r="S1447" i="14"/>
  <c r="S1448" i="14"/>
  <c r="S1449" i="14"/>
  <c r="S1450" i="14"/>
  <c r="S1451" i="14"/>
  <c r="S1452" i="14"/>
  <c r="S1453" i="14"/>
  <c r="S1454" i="14"/>
  <c r="S1455" i="14"/>
  <c r="S1456" i="14"/>
  <c r="S1457" i="14"/>
  <c r="S1458" i="14"/>
  <c r="S1459" i="14"/>
  <c r="S1460" i="14"/>
  <c r="S1461" i="14"/>
  <c r="K1462" i="14"/>
  <c r="P1462" i="14"/>
  <c r="R1462" i="14"/>
  <c r="S1462" i="14"/>
  <c r="S1463" i="14"/>
  <c r="S1464" i="14"/>
  <c r="S1465" i="14"/>
  <c r="S1116" i="14"/>
  <c r="S1117" i="14"/>
  <c r="S1118" i="14"/>
  <c r="S1119" i="14"/>
  <c r="S1120" i="14"/>
  <c r="H1121" i="14"/>
  <c r="S1121" i="14"/>
  <c r="S1122" i="14"/>
  <c r="S1123" i="14"/>
  <c r="S1124" i="14"/>
  <c r="S1125" i="14"/>
  <c r="S1126" i="14"/>
  <c r="S1127" i="14"/>
  <c r="H1128" i="14"/>
  <c r="K1128" i="14"/>
  <c r="P1128" i="14"/>
  <c r="R1128" i="14"/>
  <c r="S1128" i="14"/>
  <c r="S1129" i="14"/>
  <c r="H1130" i="14"/>
  <c r="K1130" i="14"/>
  <c r="P1130" i="14"/>
  <c r="R1130" i="14"/>
  <c r="S1130" i="14"/>
  <c r="S1131" i="14"/>
  <c r="S1132" i="14"/>
  <c r="S1133" i="14"/>
  <c r="S1134" i="14"/>
  <c r="H1135" i="14"/>
  <c r="K1135" i="14"/>
  <c r="P1135" i="14"/>
  <c r="R1135" i="14"/>
  <c r="S1135" i="14"/>
  <c r="S1136" i="14"/>
  <c r="S1137" i="14"/>
  <c r="S1138" i="14"/>
  <c r="S1139" i="14"/>
  <c r="S1140" i="14"/>
  <c r="S1141" i="14"/>
  <c r="S1142" i="14"/>
  <c r="S1143" i="14"/>
  <c r="H1144" i="14"/>
  <c r="K1144" i="14"/>
  <c r="P1144" i="14"/>
  <c r="R1144" i="14"/>
  <c r="S1144" i="14"/>
  <c r="S1145" i="14"/>
  <c r="S1146" i="14"/>
  <c r="S1147" i="14"/>
  <c r="S1148" i="14"/>
  <c r="S1149" i="14"/>
  <c r="S1150" i="14"/>
  <c r="S1151" i="14"/>
  <c r="S1152" i="14"/>
  <c r="S1153" i="14"/>
  <c r="S1154" i="14"/>
  <c r="S1155" i="14"/>
  <c r="S1156" i="14"/>
  <c r="S1157" i="14"/>
  <c r="S1159" i="14"/>
  <c r="S1160" i="14"/>
  <c r="S1161" i="14"/>
  <c r="S1162" i="14"/>
  <c r="S1163" i="14"/>
  <c r="S1164" i="14"/>
  <c r="S1165" i="14"/>
  <c r="S1166" i="14"/>
  <c r="S1167" i="14"/>
  <c r="S1168" i="14"/>
  <c r="S1169" i="14"/>
  <c r="S1170" i="14"/>
  <c r="S1171" i="14"/>
  <c r="S1172" i="14"/>
  <c r="S1173" i="14"/>
  <c r="S1174" i="14"/>
  <c r="S1175" i="14"/>
  <c r="S1176" i="14"/>
  <c r="S1177" i="14"/>
  <c r="S1178" i="14"/>
  <c r="S1179" i="14"/>
  <c r="S1180" i="14"/>
  <c r="S1181" i="14"/>
  <c r="H1182" i="14"/>
  <c r="K1182" i="14"/>
  <c r="P1182" i="14"/>
  <c r="R1182" i="14"/>
  <c r="S1182" i="14"/>
  <c r="S1183" i="14"/>
  <c r="H1184" i="14"/>
  <c r="K1184" i="14"/>
  <c r="P1184" i="14"/>
  <c r="R1184" i="14"/>
  <c r="S1184" i="14"/>
  <c r="I1185" i="14"/>
  <c r="N1185" i="14" s="1"/>
  <c r="P1185" i="14"/>
  <c r="R1185" i="14"/>
  <c r="S1185" i="14"/>
  <c r="S1186" i="14"/>
  <c r="H1187" i="14"/>
  <c r="K1187" i="14"/>
  <c r="P1187" i="14"/>
  <c r="R1187" i="14"/>
  <c r="S1187" i="14"/>
  <c r="I1188" i="14"/>
  <c r="N1188" i="14" s="1"/>
  <c r="S1188" i="14"/>
  <c r="H1189" i="14"/>
  <c r="K1189" i="14"/>
  <c r="P1189" i="14"/>
  <c r="R1189" i="14"/>
  <c r="S1189" i="14"/>
  <c r="S1190" i="14"/>
  <c r="P1191" i="14"/>
  <c r="R1191" i="14"/>
  <c r="S1191" i="14"/>
  <c r="S1192" i="14"/>
  <c r="P1193" i="14"/>
  <c r="R1193" i="14"/>
  <c r="S1193" i="14"/>
  <c r="S1194" i="14"/>
  <c r="H1195" i="14"/>
  <c r="S1195" i="14"/>
  <c r="S1196" i="14"/>
  <c r="H1197" i="14"/>
  <c r="S1197" i="14"/>
  <c r="S1198" i="14"/>
  <c r="H1199" i="14"/>
  <c r="S1199" i="14"/>
  <c r="H1200" i="14"/>
  <c r="I1200" i="14" s="1"/>
  <c r="N1200" i="14" s="1"/>
  <c r="S1200" i="14"/>
  <c r="S1201" i="14"/>
  <c r="S1202" i="14"/>
  <c r="S1203" i="14"/>
  <c r="H1204" i="14"/>
  <c r="I1204" i="14" s="1"/>
  <c r="N1204" i="14" s="1"/>
  <c r="S1204" i="14"/>
  <c r="S1205" i="14"/>
  <c r="H1206" i="14"/>
  <c r="S1206" i="14"/>
  <c r="S1207" i="14"/>
  <c r="S1208" i="14"/>
  <c r="S1209" i="14"/>
  <c r="S1210" i="14"/>
  <c r="S1211" i="14"/>
  <c r="S1212" i="14"/>
  <c r="H1213" i="14"/>
  <c r="K1213" i="14"/>
  <c r="P1213" i="14"/>
  <c r="R1213" i="14"/>
  <c r="S1213" i="14"/>
  <c r="S1214" i="14"/>
  <c r="S1215" i="14"/>
  <c r="S1216" i="14"/>
  <c r="S1217" i="14"/>
  <c r="S1218" i="14"/>
  <c r="S1219" i="14"/>
  <c r="S1220" i="14"/>
  <c r="S1221" i="14"/>
  <c r="S1222" i="14"/>
  <c r="K1223" i="14"/>
  <c r="P1223" i="14"/>
  <c r="R1223" i="14"/>
  <c r="S1223" i="14"/>
  <c r="S1224" i="14"/>
  <c r="H1225" i="14"/>
  <c r="K1225" i="14"/>
  <c r="P1225" i="14"/>
  <c r="R1225" i="14"/>
  <c r="S1225" i="14"/>
  <c r="H1227" i="14"/>
  <c r="K1227" i="14"/>
  <c r="P1227" i="14"/>
  <c r="R1227" i="14"/>
  <c r="S1227" i="14"/>
  <c r="S1228" i="14"/>
  <c r="H1229" i="14"/>
  <c r="K1229" i="14"/>
  <c r="P1229" i="14"/>
  <c r="R1229" i="14"/>
  <c r="S1229" i="14"/>
  <c r="S1230" i="14"/>
  <c r="H1231" i="14"/>
  <c r="K1231" i="14"/>
  <c r="P1231" i="14"/>
  <c r="R1231" i="14"/>
  <c r="S1231" i="14"/>
  <c r="S1232" i="14"/>
  <c r="H1233" i="14"/>
  <c r="K1233" i="14"/>
  <c r="P1233" i="14"/>
  <c r="R1233" i="14"/>
  <c r="S1233" i="14"/>
  <c r="S1234" i="14"/>
  <c r="S1235" i="14"/>
  <c r="S1236" i="14"/>
  <c r="I1237" i="14"/>
  <c r="N1237" i="14" s="1"/>
  <c r="S1237" i="14"/>
  <c r="S1238" i="14"/>
  <c r="H1239" i="14"/>
  <c r="K1239" i="14"/>
  <c r="P1239" i="14"/>
  <c r="R1239" i="14"/>
  <c r="S1239" i="14"/>
  <c r="S1240" i="14"/>
  <c r="H1241" i="14"/>
  <c r="K1241" i="14"/>
  <c r="P1241" i="14"/>
  <c r="R1241" i="14"/>
  <c r="S1241" i="14"/>
  <c r="S1242" i="14"/>
  <c r="K1243" i="14"/>
  <c r="P1243" i="14"/>
  <c r="R1243" i="14"/>
  <c r="S1243" i="14"/>
  <c r="S1244" i="14"/>
  <c r="I1245" i="14"/>
  <c r="N1245" i="14" s="1"/>
  <c r="S1245" i="14"/>
  <c r="S1246" i="14"/>
  <c r="I1247" i="14"/>
  <c r="N1247" i="14" s="1"/>
  <c r="S1247" i="14"/>
  <c r="S1248" i="14"/>
  <c r="H1249" i="14"/>
  <c r="P1249" i="14"/>
  <c r="R1249" i="14"/>
  <c r="S1249" i="14"/>
  <c r="S1250" i="14"/>
  <c r="H1251" i="14"/>
  <c r="K1251" i="14"/>
  <c r="P1251" i="14"/>
  <c r="R1251" i="14"/>
  <c r="S1251" i="14"/>
  <c r="S1252" i="14"/>
  <c r="I1253" i="14"/>
  <c r="N1253" i="14" s="1"/>
  <c r="P1253" i="14"/>
  <c r="R1253" i="14"/>
  <c r="S1253" i="14"/>
  <c r="S1254" i="14"/>
  <c r="S1255" i="14"/>
  <c r="S1256" i="14"/>
  <c r="S1257" i="14"/>
  <c r="S1258" i="14"/>
  <c r="S1259" i="14"/>
  <c r="S1260" i="14"/>
  <c r="S1261" i="14"/>
  <c r="S1262" i="14"/>
  <c r="S1263" i="14"/>
  <c r="S1264" i="14"/>
  <c r="S1265" i="14"/>
  <c r="S1266" i="14"/>
  <c r="S1267" i="14"/>
  <c r="S1268" i="14"/>
  <c r="S1269" i="14"/>
  <c r="S1270" i="14"/>
  <c r="S1271" i="14"/>
  <c r="S1272" i="14"/>
  <c r="S1273" i="14"/>
  <c r="S1274" i="14"/>
  <c r="S1275" i="14"/>
  <c r="S1276" i="14"/>
  <c r="S1277" i="14"/>
  <c r="S1278" i="14"/>
  <c r="S1279" i="14"/>
  <c r="S1280" i="14"/>
  <c r="S1281" i="14"/>
  <c r="S1282" i="14"/>
  <c r="S1283" i="14"/>
  <c r="S1284" i="14"/>
  <c r="S1285" i="14"/>
  <c r="S1286" i="14"/>
  <c r="S1287" i="14"/>
  <c r="S1288" i="14"/>
  <c r="S1289" i="14"/>
  <c r="S1290" i="14"/>
  <c r="S1291" i="14"/>
  <c r="S1292" i="14"/>
  <c r="S1293" i="14"/>
  <c r="S1294" i="14"/>
  <c r="S1295" i="14"/>
  <c r="S1296" i="14"/>
  <c r="S1297" i="14"/>
  <c r="S1298" i="14"/>
  <c r="S1299" i="14"/>
  <c r="S1300" i="14"/>
  <c r="S1301" i="14"/>
  <c r="S1302" i="14"/>
  <c r="S1303" i="14"/>
  <c r="S1304" i="14"/>
  <c r="S1305" i="14"/>
  <c r="S1306" i="14"/>
  <c r="S1307" i="14"/>
  <c r="S1308" i="14"/>
  <c r="S1309" i="14"/>
  <c r="S1310" i="14"/>
  <c r="S1311" i="14"/>
  <c r="S1312" i="14"/>
  <c r="S1313" i="14"/>
  <c r="S1314" i="14"/>
  <c r="S1315" i="14"/>
  <c r="S1316" i="14"/>
  <c r="S1317" i="14"/>
  <c r="S1318" i="14"/>
  <c r="S1319" i="14"/>
  <c r="S1320" i="14"/>
  <c r="S1321" i="14"/>
  <c r="S1322" i="14"/>
  <c r="S1323" i="14"/>
  <c r="S1324" i="14"/>
  <c r="S1325" i="14"/>
  <c r="S1326" i="14"/>
  <c r="S1327" i="14"/>
  <c r="S1328" i="14"/>
  <c r="S1329" i="14"/>
  <c r="S1330" i="14"/>
  <c r="S1331" i="14"/>
  <c r="S1332" i="14"/>
  <c r="S1333" i="14"/>
  <c r="S1334" i="14"/>
  <c r="S1335" i="14"/>
  <c r="S1336" i="14"/>
  <c r="S1337" i="14"/>
  <c r="S1338" i="14"/>
  <c r="S1339" i="14"/>
  <c r="H1340" i="14"/>
  <c r="S1340" i="14"/>
  <c r="S1341" i="14"/>
  <c r="S1342" i="14"/>
  <c r="S1343" i="14"/>
  <c r="S1344" i="14"/>
  <c r="S1345" i="14"/>
  <c r="S1346" i="14"/>
  <c r="S1347" i="14"/>
  <c r="S1348" i="14"/>
  <c r="S1349" i="14"/>
  <c r="S1350" i="14"/>
  <c r="S1351" i="14"/>
  <c r="S1352" i="14"/>
  <c r="H1354" i="14"/>
  <c r="S1354" i="14"/>
  <c r="S1355" i="14"/>
  <c r="S1356" i="14"/>
  <c r="S1357" i="14"/>
  <c r="S1358" i="14"/>
  <c r="S1359" i="14"/>
  <c r="S1360" i="14"/>
  <c r="S1361" i="14"/>
  <c r="S1362" i="14"/>
  <c r="S1363" i="14"/>
  <c r="S1364" i="14"/>
  <c r="S1365" i="14"/>
  <c r="S1367" i="14"/>
  <c r="S1368" i="14"/>
  <c r="S1369" i="14"/>
  <c r="S1370" i="14"/>
  <c r="S1371" i="14"/>
  <c r="S1372" i="14"/>
  <c r="S1373" i="14"/>
  <c r="S1374" i="14"/>
  <c r="S1375" i="14"/>
  <c r="S1376" i="14"/>
  <c r="S1377" i="14"/>
  <c r="S1378" i="14"/>
  <c r="S1379" i="14"/>
  <c r="S1380" i="14"/>
  <c r="S1381" i="14"/>
  <c r="S1382" i="14"/>
  <c r="S1383" i="14"/>
  <c r="S1384" i="14"/>
  <c r="S1385" i="14"/>
  <c r="S1386" i="14"/>
  <c r="S1387" i="14"/>
  <c r="S1388" i="14"/>
  <c r="S1390" i="14"/>
  <c r="S1391" i="14"/>
  <c r="S1392" i="14"/>
  <c r="S1393" i="14"/>
  <c r="S1394" i="14"/>
  <c r="S1395" i="14"/>
  <c r="I1221" i="14"/>
  <c r="N1221" i="14" s="1"/>
  <c r="I1186" i="14"/>
  <c r="N1186" i="14" s="1"/>
  <c r="I1235" i="14"/>
  <c r="N1235" i="14" s="1"/>
  <c r="BB27" i="33"/>
  <c r="BB20" i="33"/>
  <c r="BB13" i="33"/>
  <c r="BB6" i="33"/>
  <c r="K724" i="14"/>
  <c r="K725" i="14"/>
  <c r="K726" i="14"/>
  <c r="K728" i="14"/>
  <c r="K730" i="14"/>
  <c r="H724" i="14"/>
  <c r="I724" i="14" s="1"/>
  <c r="N724" i="14" s="1"/>
  <c r="H725" i="14"/>
  <c r="I725" i="14" s="1"/>
  <c r="N725" i="14" s="1"/>
  <c r="H726" i="14"/>
  <c r="H728" i="14"/>
  <c r="I728" i="14" s="1"/>
  <c r="N728" i="14" s="1"/>
  <c r="H730" i="14"/>
  <c r="I730" i="14" s="1"/>
  <c r="N730" i="14" s="1"/>
  <c r="K717" i="14"/>
  <c r="K718" i="14"/>
  <c r="K719" i="14"/>
  <c r="K720" i="14"/>
  <c r="K722" i="14"/>
  <c r="H717" i="14"/>
  <c r="I717" i="14" s="1"/>
  <c r="N717" i="14" s="1"/>
  <c r="H718" i="14"/>
  <c r="H720" i="14"/>
  <c r="I720" i="14" s="1"/>
  <c r="N720" i="14" s="1"/>
  <c r="H722" i="14"/>
  <c r="I722" i="14" s="1"/>
  <c r="N722" i="14" s="1"/>
  <c r="K710" i="14"/>
  <c r="K711" i="14"/>
  <c r="K712" i="14"/>
  <c r="K713" i="14"/>
  <c r="K715" i="14"/>
  <c r="H710" i="14"/>
  <c r="I710" i="14" s="1"/>
  <c r="N710" i="14" s="1"/>
  <c r="H711" i="14"/>
  <c r="I711" i="14" s="1"/>
  <c r="N711" i="14" s="1"/>
  <c r="H712" i="14"/>
  <c r="I712" i="14" s="1"/>
  <c r="N712" i="14" s="1"/>
  <c r="H713" i="14"/>
  <c r="I713" i="14" s="1"/>
  <c r="N713" i="14" s="1"/>
  <c r="H715" i="14"/>
  <c r="I715" i="14" s="1"/>
  <c r="N715" i="14" s="1"/>
  <c r="K703" i="14"/>
  <c r="K705" i="14"/>
  <c r="K706" i="14"/>
  <c r="K707" i="14"/>
  <c r="K708" i="14"/>
  <c r="K709" i="14"/>
  <c r="H703" i="14"/>
  <c r="I703" i="14" s="1"/>
  <c r="N703" i="14" s="1"/>
  <c r="H705" i="14"/>
  <c r="I705" i="14" s="1"/>
  <c r="N705" i="14" s="1"/>
  <c r="H706" i="14"/>
  <c r="I706" i="14" s="1"/>
  <c r="N706" i="14" s="1"/>
  <c r="H707" i="14"/>
  <c r="I707" i="14" s="1"/>
  <c r="N707" i="14" s="1"/>
  <c r="H708" i="14"/>
  <c r="I708" i="14" s="1"/>
  <c r="N708" i="14" s="1"/>
  <c r="H709" i="14"/>
  <c r="I709" i="14" s="1"/>
  <c r="N709" i="14" s="1"/>
  <c r="K696" i="14"/>
  <c r="K697" i="14"/>
  <c r="K699" i="14"/>
  <c r="K701" i="14"/>
  <c r="H696" i="14"/>
  <c r="I696" i="14" s="1"/>
  <c r="N696" i="14" s="1"/>
  <c r="H697" i="14"/>
  <c r="I697" i="14" s="1"/>
  <c r="N697" i="14" s="1"/>
  <c r="H699" i="14"/>
  <c r="H701" i="14"/>
  <c r="I701" i="14" s="1"/>
  <c r="N701" i="14" s="1"/>
  <c r="K689" i="14"/>
  <c r="K691" i="14"/>
  <c r="K692" i="14"/>
  <c r="K693" i="14"/>
  <c r="K694" i="14"/>
  <c r="H689" i="14"/>
  <c r="I689" i="14" s="1"/>
  <c r="N689" i="14" s="1"/>
  <c r="H691" i="14"/>
  <c r="I691" i="14" s="1"/>
  <c r="N691" i="14" s="1"/>
  <c r="H692" i="14"/>
  <c r="I692" i="14" s="1"/>
  <c r="N692" i="14" s="1"/>
  <c r="H693" i="14"/>
  <c r="I693" i="14" s="1"/>
  <c r="N693" i="14" s="1"/>
  <c r="H694" i="14"/>
  <c r="I694" i="14" s="1"/>
  <c r="N694" i="14" s="1"/>
  <c r="K682" i="14"/>
  <c r="K684" i="14"/>
  <c r="K686" i="14"/>
  <c r="K687" i="14"/>
  <c r="H682" i="14"/>
  <c r="I682" i="14" s="1"/>
  <c r="N682" i="14" s="1"/>
  <c r="H684" i="14"/>
  <c r="I684" i="14" s="1"/>
  <c r="N684" i="14" s="1"/>
  <c r="H686" i="14"/>
  <c r="I686" i="14" s="1"/>
  <c r="N686" i="14" s="1"/>
  <c r="H687" i="14"/>
  <c r="I687" i="14" s="1"/>
  <c r="N687" i="14" s="1"/>
  <c r="K675" i="14"/>
  <c r="K676" i="14"/>
  <c r="K678" i="14"/>
  <c r="K680" i="14"/>
  <c r="H675" i="14"/>
  <c r="I675" i="14" s="1"/>
  <c r="N675" i="14" s="1"/>
  <c r="H676" i="14"/>
  <c r="H678" i="14"/>
  <c r="I678" i="14" s="1"/>
  <c r="N678" i="14" s="1"/>
  <c r="H680" i="14"/>
  <c r="I680" i="14" s="1"/>
  <c r="N680" i="14" s="1"/>
  <c r="K668" i="14"/>
  <c r="K669" i="14"/>
  <c r="K672" i="14"/>
  <c r="K673" i="14"/>
  <c r="H668" i="14"/>
  <c r="I668" i="14" s="1"/>
  <c r="N668" i="14" s="1"/>
  <c r="H669" i="14"/>
  <c r="I669" i="14" s="1"/>
  <c r="N669" i="14" s="1"/>
  <c r="H672" i="14"/>
  <c r="I672" i="14" s="1"/>
  <c r="N672" i="14" s="1"/>
  <c r="H673" i="14"/>
  <c r="I673" i="14" s="1"/>
  <c r="N673" i="14" s="1"/>
  <c r="K661" i="14"/>
  <c r="K663" i="14"/>
  <c r="K664" i="14"/>
  <c r="K666" i="14"/>
  <c r="H661" i="14"/>
  <c r="I661" i="14" s="1"/>
  <c r="N661" i="14" s="1"/>
  <c r="H663" i="14"/>
  <c r="I663" i="14" s="1"/>
  <c r="N663" i="14" s="1"/>
  <c r="H664" i="14"/>
  <c r="I664" i="14" s="1"/>
  <c r="N664" i="14" s="1"/>
  <c r="H666" i="14"/>
  <c r="I666" i="14" s="1"/>
  <c r="N666" i="14" s="1"/>
  <c r="K654" i="14"/>
  <c r="K655" i="14"/>
  <c r="K656" i="14"/>
  <c r="K657" i="14"/>
  <c r="K658" i="14"/>
  <c r="K660" i="14"/>
  <c r="H654" i="14"/>
  <c r="I654" i="14" s="1"/>
  <c r="N654" i="14" s="1"/>
  <c r="H655" i="14"/>
  <c r="I655" i="14" s="1"/>
  <c r="N655" i="14" s="1"/>
  <c r="H656" i="14"/>
  <c r="I656" i="14" s="1"/>
  <c r="N656" i="14" s="1"/>
  <c r="H657" i="14"/>
  <c r="I657" i="14" s="1"/>
  <c r="N657" i="14" s="1"/>
  <c r="H658" i="14"/>
  <c r="I658" i="14" s="1"/>
  <c r="N658" i="14" s="1"/>
  <c r="H660" i="14"/>
  <c r="I660" i="14" s="1"/>
  <c r="N660" i="14" s="1"/>
  <c r="K647" i="14"/>
  <c r="K649" i="14"/>
  <c r="K651" i="14"/>
  <c r="K652" i="14"/>
  <c r="H647" i="14"/>
  <c r="I647" i="14" s="1"/>
  <c r="N647" i="14" s="1"/>
  <c r="H649" i="14"/>
  <c r="I649" i="14" s="1"/>
  <c r="N649" i="14" s="1"/>
  <c r="H651" i="14"/>
  <c r="I651" i="14" s="1"/>
  <c r="N651" i="14" s="1"/>
  <c r="H652" i="14"/>
  <c r="I652" i="14" s="1"/>
  <c r="N652" i="14" s="1"/>
  <c r="K640" i="14"/>
  <c r="K642" i="14"/>
  <c r="K643" i="14"/>
  <c r="K645" i="14"/>
  <c r="H640" i="14"/>
  <c r="I640" i="14" s="1"/>
  <c r="N640" i="14" s="1"/>
  <c r="H642" i="14"/>
  <c r="I642" i="14" s="1"/>
  <c r="N642" i="14" s="1"/>
  <c r="H643" i="14"/>
  <c r="I643" i="14" s="1"/>
  <c r="N643" i="14" s="1"/>
  <c r="H645" i="14"/>
  <c r="K633" i="14"/>
  <c r="K635" i="14"/>
  <c r="K636" i="14"/>
  <c r="K638" i="14"/>
  <c r="H633" i="14"/>
  <c r="I633" i="14" s="1"/>
  <c r="N633" i="14" s="1"/>
  <c r="H635" i="14"/>
  <c r="I635" i="14" s="1"/>
  <c r="N635" i="14" s="1"/>
  <c r="H636" i="14"/>
  <c r="I636" i="14" s="1"/>
  <c r="N636" i="14" s="1"/>
  <c r="H638" i="14"/>
  <c r="I638" i="14" s="1"/>
  <c r="N638" i="14" s="1"/>
  <c r="K626" i="14"/>
  <c r="K628" i="14"/>
  <c r="K630" i="14"/>
  <c r="K632" i="14"/>
  <c r="H626" i="14"/>
  <c r="I626" i="14" s="1"/>
  <c r="N626" i="14" s="1"/>
  <c r="H628" i="14"/>
  <c r="I628" i="14" s="1"/>
  <c r="N628" i="14" s="1"/>
  <c r="H630" i="14"/>
  <c r="I630" i="14" s="1"/>
  <c r="N630" i="14" s="1"/>
  <c r="H632" i="14"/>
  <c r="I632" i="14" s="1"/>
  <c r="N632" i="14" s="1"/>
  <c r="K619" i="14"/>
  <c r="K620" i="14"/>
  <c r="K622" i="14"/>
  <c r="K623" i="14"/>
  <c r="K625" i="14"/>
  <c r="H619" i="14"/>
  <c r="I619" i="14" s="1"/>
  <c r="N619" i="14" s="1"/>
  <c r="H620" i="14"/>
  <c r="I620" i="14" s="1"/>
  <c r="N620" i="14" s="1"/>
  <c r="H622" i="14"/>
  <c r="I622" i="14" s="1"/>
  <c r="N622" i="14" s="1"/>
  <c r="H623" i="14"/>
  <c r="H625" i="14"/>
  <c r="I625" i="14" s="1"/>
  <c r="N625" i="14" s="1"/>
  <c r="K612" i="14"/>
  <c r="K613" i="14"/>
  <c r="K615" i="14"/>
  <c r="K617" i="14"/>
  <c r="H612" i="14"/>
  <c r="I612" i="14" s="1"/>
  <c r="N612" i="14" s="1"/>
  <c r="H613" i="14"/>
  <c r="I613" i="14" s="1"/>
  <c r="N613" i="14" s="1"/>
  <c r="H615" i="14"/>
  <c r="I615" i="14" s="1"/>
  <c r="N615" i="14" s="1"/>
  <c r="H617" i="14"/>
  <c r="I617" i="14" s="1"/>
  <c r="N617" i="14" s="1"/>
  <c r="K605" i="14"/>
  <c r="K608" i="14"/>
  <c r="K610" i="14"/>
  <c r="H605" i="14"/>
  <c r="I605" i="14" s="1"/>
  <c r="N605" i="14" s="1"/>
  <c r="H608" i="14"/>
  <c r="I608" i="14" s="1"/>
  <c r="N608" i="14" s="1"/>
  <c r="H610" i="14"/>
  <c r="I610" i="14" s="1"/>
  <c r="N610" i="14" s="1"/>
  <c r="K598" i="14"/>
  <c r="K601" i="14"/>
  <c r="K603" i="14"/>
  <c r="H598" i="14"/>
  <c r="H601" i="14"/>
  <c r="I601" i="14" s="1"/>
  <c r="N601" i="14" s="1"/>
  <c r="H603" i="14"/>
  <c r="I603" i="14" s="1"/>
  <c r="N603" i="14" s="1"/>
  <c r="K591" i="14"/>
  <c r="K594" i="14"/>
  <c r="K596" i="14"/>
  <c r="H591" i="14"/>
  <c r="H594" i="14"/>
  <c r="I594" i="14" s="1"/>
  <c r="N594" i="14" s="1"/>
  <c r="H596" i="14"/>
  <c r="I596" i="14" s="1"/>
  <c r="N596" i="14" s="1"/>
  <c r="K584" i="14"/>
  <c r="K585" i="14"/>
  <c r="K586" i="14"/>
  <c r="K588" i="14"/>
  <c r="K589" i="14"/>
  <c r="H584" i="14"/>
  <c r="H585" i="14"/>
  <c r="I585" i="14" s="1"/>
  <c r="N585" i="14" s="1"/>
  <c r="H586" i="14"/>
  <c r="I586" i="14" s="1"/>
  <c r="N586" i="14" s="1"/>
  <c r="H588" i="14"/>
  <c r="I588" i="14" s="1"/>
  <c r="N588" i="14" s="1"/>
  <c r="H589" i="14"/>
  <c r="I589" i="14" s="1"/>
  <c r="N589" i="14" s="1"/>
  <c r="K577" i="14"/>
  <c r="K578" i="14"/>
  <c r="K580" i="14"/>
  <c r="K582" i="14"/>
  <c r="K583" i="14"/>
  <c r="H577" i="14"/>
  <c r="H578" i="14"/>
  <c r="I578" i="14" s="1"/>
  <c r="N578" i="14" s="1"/>
  <c r="H580" i="14"/>
  <c r="I580" i="14" s="1"/>
  <c r="N580" i="14" s="1"/>
  <c r="H582" i="14"/>
  <c r="I582" i="14" s="1"/>
  <c r="N582" i="14" s="1"/>
  <c r="H583" i="14"/>
  <c r="I583" i="14" s="1"/>
  <c r="N583" i="14" s="1"/>
  <c r="K570" i="14"/>
  <c r="K572" i="14"/>
  <c r="K573" i="14"/>
  <c r="K575" i="14"/>
  <c r="H570" i="14"/>
  <c r="I570" i="14" s="1"/>
  <c r="N570" i="14" s="1"/>
  <c r="H572" i="14"/>
  <c r="I572" i="14" s="1"/>
  <c r="N572" i="14" s="1"/>
  <c r="H573" i="14"/>
  <c r="I573" i="14" s="1"/>
  <c r="N573" i="14" s="1"/>
  <c r="H575" i="14"/>
  <c r="I575" i="14" s="1"/>
  <c r="N575" i="14" s="1"/>
  <c r="K563" i="14"/>
  <c r="K564" i="14"/>
  <c r="K566" i="14"/>
  <c r="K567" i="14"/>
  <c r="K569" i="14"/>
  <c r="H563" i="14"/>
  <c r="I563" i="14" s="1"/>
  <c r="N563" i="14" s="1"/>
  <c r="H564" i="14"/>
  <c r="I564" i="14" s="1"/>
  <c r="N564" i="14" s="1"/>
  <c r="H566" i="14"/>
  <c r="I566" i="14" s="1"/>
  <c r="N566" i="14" s="1"/>
  <c r="H567" i="14"/>
  <c r="I567" i="14" s="1"/>
  <c r="N567" i="14" s="1"/>
  <c r="H569" i="14"/>
  <c r="I569" i="14" s="1"/>
  <c r="N569" i="14" s="1"/>
  <c r="K556" i="14"/>
  <c r="K557" i="14"/>
  <c r="K558" i="14"/>
  <c r="K559" i="14"/>
  <c r="K560" i="14"/>
  <c r="K561" i="14"/>
  <c r="H556" i="14"/>
  <c r="H557" i="14"/>
  <c r="I557" i="14" s="1"/>
  <c r="N557" i="14" s="1"/>
  <c r="H558" i="14"/>
  <c r="I558" i="14" s="1"/>
  <c r="N558" i="14" s="1"/>
  <c r="H559" i="14"/>
  <c r="I559" i="14" s="1"/>
  <c r="N559" i="14" s="1"/>
  <c r="H560" i="14"/>
  <c r="I560" i="14" s="1"/>
  <c r="N560" i="14" s="1"/>
  <c r="H561" i="14"/>
  <c r="I561" i="14" s="1"/>
  <c r="N561" i="14" s="1"/>
  <c r="K549" i="14"/>
  <c r="K551" i="14"/>
  <c r="K552" i="14"/>
  <c r="K553" i="14"/>
  <c r="K554" i="14"/>
  <c r="K555" i="14"/>
  <c r="H549" i="14"/>
  <c r="I549" i="14" s="1"/>
  <c r="N549" i="14" s="1"/>
  <c r="H552" i="14"/>
  <c r="I552" i="14" s="1"/>
  <c r="N552" i="14" s="1"/>
  <c r="H553" i="14"/>
  <c r="I553" i="14" s="1"/>
  <c r="N553" i="14" s="1"/>
  <c r="H554" i="14"/>
  <c r="I554" i="14" s="1"/>
  <c r="N554" i="14" s="1"/>
  <c r="H555" i="14"/>
  <c r="I555" i="14" s="1"/>
  <c r="N555" i="14" s="1"/>
  <c r="K542" i="14"/>
  <c r="K543" i="14"/>
  <c r="K545" i="14"/>
  <c r="K546" i="14"/>
  <c r="K548" i="14"/>
  <c r="H542" i="14"/>
  <c r="I542" i="14" s="1"/>
  <c r="N542" i="14" s="1"/>
  <c r="H543" i="14"/>
  <c r="I543" i="14" s="1"/>
  <c r="N543" i="14" s="1"/>
  <c r="H545" i="14"/>
  <c r="I545" i="14" s="1"/>
  <c r="N545" i="14" s="1"/>
  <c r="H546" i="14"/>
  <c r="I546" i="14" s="1"/>
  <c r="N546" i="14" s="1"/>
  <c r="H548" i="14"/>
  <c r="I548" i="14" s="1"/>
  <c r="N548" i="14" s="1"/>
  <c r="K535" i="14"/>
  <c r="K536" i="14"/>
  <c r="K537" i="14"/>
  <c r="K538" i="14"/>
  <c r="K539" i="14"/>
  <c r="K540" i="14"/>
  <c r="H535" i="14"/>
  <c r="I535" i="14" s="1"/>
  <c r="N535" i="14" s="1"/>
  <c r="H536" i="14"/>
  <c r="I536" i="14" s="1"/>
  <c r="N536" i="14" s="1"/>
  <c r="H537" i="14"/>
  <c r="I537" i="14" s="1"/>
  <c r="N537" i="14" s="1"/>
  <c r="H538" i="14"/>
  <c r="I538" i="14" s="1"/>
  <c r="N538" i="14" s="1"/>
  <c r="H539" i="14"/>
  <c r="I539" i="14" s="1"/>
  <c r="N539" i="14" s="1"/>
  <c r="H540" i="14"/>
  <c r="I540" i="14" s="1"/>
  <c r="N540" i="14" s="1"/>
  <c r="K529" i="14"/>
  <c r="K531" i="14"/>
  <c r="K533" i="14"/>
  <c r="K534" i="14"/>
  <c r="H529" i="14"/>
  <c r="I529" i="14" s="1"/>
  <c r="N529" i="14" s="1"/>
  <c r="H531" i="14"/>
  <c r="I531" i="14" s="1"/>
  <c r="N531" i="14" s="1"/>
  <c r="H533" i="14"/>
  <c r="I533" i="14" s="1"/>
  <c r="N533" i="14" s="1"/>
  <c r="H534" i="14"/>
  <c r="I534" i="14" s="1"/>
  <c r="N534" i="14" s="1"/>
  <c r="K521" i="14"/>
  <c r="K522" i="14"/>
  <c r="K523" i="14"/>
  <c r="K524" i="14"/>
  <c r="K525" i="14"/>
  <c r="K526" i="14"/>
  <c r="K527" i="14"/>
  <c r="H521" i="14"/>
  <c r="I521" i="14" s="1"/>
  <c r="N521" i="14" s="1"/>
  <c r="H522" i="14"/>
  <c r="I522" i="14" s="1"/>
  <c r="N522" i="14" s="1"/>
  <c r="H523" i="14"/>
  <c r="I523" i="14" s="1"/>
  <c r="N523" i="14" s="1"/>
  <c r="H524" i="14"/>
  <c r="I524" i="14" s="1"/>
  <c r="N524" i="14" s="1"/>
  <c r="H525" i="14"/>
  <c r="I525" i="14" s="1"/>
  <c r="N525" i="14" s="1"/>
  <c r="H526" i="14"/>
  <c r="I526" i="14" s="1"/>
  <c r="N526" i="14" s="1"/>
  <c r="H527" i="14"/>
  <c r="I527" i="14" s="1"/>
  <c r="N527" i="14" s="1"/>
  <c r="K514" i="14"/>
  <c r="K515" i="14"/>
  <c r="K517" i="14"/>
  <c r="K519" i="14"/>
  <c r="H514" i="14"/>
  <c r="H515" i="14"/>
  <c r="I515" i="14" s="1"/>
  <c r="N515" i="14" s="1"/>
  <c r="H517" i="14"/>
  <c r="I517" i="14" s="1"/>
  <c r="N517" i="14" s="1"/>
  <c r="H519" i="14"/>
  <c r="I519" i="14" s="1"/>
  <c r="N519" i="14" s="1"/>
  <c r="K507" i="14"/>
  <c r="K510" i="14"/>
  <c r="K512" i="14"/>
  <c r="H507" i="14"/>
  <c r="I507" i="14" s="1"/>
  <c r="N507" i="14" s="1"/>
  <c r="H510" i="14"/>
  <c r="I510" i="14" s="1"/>
  <c r="N510" i="14" s="1"/>
  <c r="H511" i="14"/>
  <c r="I511" i="14" s="1"/>
  <c r="N511" i="14" s="1"/>
  <c r="H512" i="14"/>
  <c r="I512" i="14" s="1"/>
  <c r="N512" i="14" s="1"/>
  <c r="K500" i="14"/>
  <c r="K503" i="14"/>
  <c r="H500" i="14"/>
  <c r="I500" i="14" s="1"/>
  <c r="N500" i="14" s="1"/>
  <c r="H503" i="14"/>
  <c r="I503" i="14" s="1"/>
  <c r="N503" i="14" s="1"/>
  <c r="K493" i="14"/>
  <c r="K496" i="14"/>
  <c r="H493" i="14"/>
  <c r="H496" i="14"/>
  <c r="I496" i="14" s="1"/>
  <c r="N496" i="14" s="1"/>
  <c r="K489" i="14"/>
  <c r="K491" i="14"/>
  <c r="H489" i="14"/>
  <c r="I489" i="14" s="1"/>
  <c r="N489" i="14" s="1"/>
  <c r="H491" i="14"/>
  <c r="I491" i="14" s="1"/>
  <c r="N491" i="14" s="1"/>
  <c r="K479" i="14"/>
  <c r="K480" i="14"/>
  <c r="K483" i="14"/>
  <c r="K485" i="14"/>
  <c r="H479" i="14"/>
  <c r="I479" i="14" s="1"/>
  <c r="N479" i="14" s="1"/>
  <c r="H480" i="14"/>
  <c r="I480" i="14" s="1"/>
  <c r="N480" i="14" s="1"/>
  <c r="H483" i="14"/>
  <c r="I483" i="14" s="1"/>
  <c r="N483" i="14" s="1"/>
  <c r="H485" i="14"/>
  <c r="I485" i="14" s="1"/>
  <c r="N485" i="14" s="1"/>
  <c r="K472" i="14"/>
  <c r="K478" i="14"/>
  <c r="H472" i="14"/>
  <c r="H478" i="14"/>
  <c r="I478" i="14" s="1"/>
  <c r="N478" i="14" s="1"/>
  <c r="K467" i="14"/>
  <c r="K470" i="14"/>
  <c r="H467" i="14"/>
  <c r="I467" i="14" s="1"/>
  <c r="N467" i="14" s="1"/>
  <c r="H470" i="14"/>
  <c r="K458" i="14"/>
  <c r="K463" i="14"/>
  <c r="H458" i="14"/>
  <c r="I458" i="14" s="1"/>
  <c r="N458" i="14" s="1"/>
  <c r="H463" i="14"/>
  <c r="I463" i="14" s="1"/>
  <c r="N463" i="14" s="1"/>
  <c r="K451" i="14"/>
  <c r="K454" i="14"/>
  <c r="K456" i="14"/>
  <c r="H451" i="14"/>
  <c r="I451" i="14" s="1"/>
  <c r="N451" i="14" s="1"/>
  <c r="H454" i="14"/>
  <c r="H456" i="14"/>
  <c r="I456" i="14" s="1"/>
  <c r="N456" i="14" s="1"/>
  <c r="K444" i="14"/>
  <c r="K450" i="14"/>
  <c r="H444" i="14"/>
  <c r="I444" i="14" s="1"/>
  <c r="N444" i="14" s="1"/>
  <c r="H450" i="14"/>
  <c r="I450" i="14" s="1"/>
  <c r="N450" i="14" s="1"/>
  <c r="K437" i="14"/>
  <c r="K440" i="14"/>
  <c r="H437" i="14"/>
  <c r="H440" i="14"/>
  <c r="I440" i="14" s="1"/>
  <c r="N440" i="14" s="1"/>
  <c r="K430" i="14"/>
  <c r="K436" i="14"/>
  <c r="H430" i="14"/>
  <c r="I430" i="14" s="1"/>
  <c r="N430" i="14" s="1"/>
  <c r="H436" i="14"/>
  <c r="K423" i="14"/>
  <c r="K424" i="14"/>
  <c r="K426" i="14"/>
  <c r="K427" i="14"/>
  <c r="K428" i="14"/>
  <c r="K429" i="14"/>
  <c r="H423" i="14"/>
  <c r="I423" i="14" s="1"/>
  <c r="N423" i="14" s="1"/>
  <c r="H424" i="14"/>
  <c r="I424" i="14" s="1"/>
  <c r="N424" i="14" s="1"/>
  <c r="H426" i="14"/>
  <c r="I426" i="14" s="1"/>
  <c r="N426" i="14" s="1"/>
  <c r="H427" i="14"/>
  <c r="I427" i="14" s="1"/>
  <c r="N427" i="14" s="1"/>
  <c r="H428" i="14"/>
  <c r="I428" i="14" s="1"/>
  <c r="N428" i="14" s="1"/>
  <c r="H429" i="14"/>
  <c r="I429" i="14" s="1"/>
  <c r="N429" i="14" s="1"/>
  <c r="K416" i="14"/>
  <c r="K419" i="14"/>
  <c r="K421" i="14"/>
  <c r="H416" i="14"/>
  <c r="I416" i="14" s="1"/>
  <c r="N416" i="14" s="1"/>
  <c r="H419" i="14"/>
  <c r="H421" i="14"/>
  <c r="I421" i="14" s="1"/>
  <c r="N421" i="14" s="1"/>
  <c r="K409" i="14"/>
  <c r="K412" i="14"/>
  <c r="K414" i="14"/>
  <c r="H409" i="14"/>
  <c r="I409" i="14" s="1"/>
  <c r="N409" i="14" s="1"/>
  <c r="H412" i="14"/>
  <c r="I412" i="14" s="1"/>
  <c r="N412" i="14" s="1"/>
  <c r="H414" i="14"/>
  <c r="I414" i="14" s="1"/>
  <c r="N414" i="14" s="1"/>
  <c r="K403" i="14"/>
  <c r="K405" i="14"/>
  <c r="K407" i="14"/>
  <c r="H403" i="14"/>
  <c r="I403" i="14" s="1"/>
  <c r="N403" i="14" s="1"/>
  <c r="H405" i="14"/>
  <c r="I405" i="14" s="1"/>
  <c r="N405" i="14" s="1"/>
  <c r="H407" i="14"/>
  <c r="I407" i="14" s="1"/>
  <c r="N407" i="14" s="1"/>
  <c r="K395" i="14"/>
  <c r="K398" i="14"/>
  <c r="K401" i="14"/>
  <c r="H395" i="14"/>
  <c r="I395" i="14" s="1"/>
  <c r="N395" i="14" s="1"/>
  <c r="H398" i="14"/>
  <c r="I398" i="14" s="1"/>
  <c r="N398" i="14" s="1"/>
  <c r="H401" i="14"/>
  <c r="I401" i="14" s="1"/>
  <c r="N401" i="14" s="1"/>
  <c r="K388" i="14"/>
  <c r="K389" i="14"/>
  <c r="K391" i="14"/>
  <c r="K393" i="14"/>
  <c r="H388" i="14"/>
  <c r="H389" i="14"/>
  <c r="I389" i="14" s="1"/>
  <c r="N389" i="14" s="1"/>
  <c r="H391" i="14"/>
  <c r="I391" i="14" s="1"/>
  <c r="N391" i="14" s="1"/>
  <c r="H393" i="14"/>
  <c r="I393" i="14" s="1"/>
  <c r="N393" i="14" s="1"/>
  <c r="K381" i="14"/>
  <c r="K384" i="14"/>
  <c r="K385" i="14"/>
  <c r="K386" i="14"/>
  <c r="H381" i="14"/>
  <c r="I381" i="14" s="1"/>
  <c r="N381" i="14" s="1"/>
  <c r="H384" i="14"/>
  <c r="I384" i="14" s="1"/>
  <c r="N384" i="14" s="1"/>
  <c r="H386" i="14"/>
  <c r="I386" i="14" s="1"/>
  <c r="N386" i="14" s="1"/>
  <c r="K374" i="14"/>
  <c r="K377" i="14"/>
  <c r="K378" i="14"/>
  <c r="H374" i="14"/>
  <c r="I374" i="14" s="1"/>
  <c r="N374" i="14" s="1"/>
  <c r="H377" i="14"/>
  <c r="I377" i="14" s="1"/>
  <c r="N377" i="14" s="1"/>
  <c r="H378" i="14"/>
  <c r="I378" i="14" s="1"/>
  <c r="N378" i="14" s="1"/>
  <c r="K368" i="14"/>
  <c r="T368" i="14" s="1"/>
  <c r="K369" i="14"/>
  <c r="K371" i="14"/>
  <c r="H368" i="14"/>
  <c r="H369" i="14"/>
  <c r="H371" i="14"/>
  <c r="I371" i="14" s="1"/>
  <c r="N371" i="14" s="1"/>
  <c r="H360" i="14"/>
  <c r="I360" i="14" s="1"/>
  <c r="N360" i="14" s="1"/>
  <c r="H361" i="14"/>
  <c r="I361" i="14" s="1"/>
  <c r="N361" i="14" s="1"/>
  <c r="H362" i="14"/>
  <c r="I362" i="14" s="1"/>
  <c r="N362" i="14" s="1"/>
  <c r="H364" i="14"/>
  <c r="I364" i="14" s="1"/>
  <c r="N364" i="14" s="1"/>
  <c r="H366" i="14"/>
  <c r="I366" i="14" s="1"/>
  <c r="N366" i="14" s="1"/>
  <c r="H353" i="14"/>
  <c r="I353" i="14" s="1"/>
  <c r="N353" i="14" s="1"/>
  <c r="H356" i="14"/>
  <c r="I356" i="14" s="1"/>
  <c r="N356" i="14" s="1"/>
  <c r="H357" i="14"/>
  <c r="I357" i="14" s="1"/>
  <c r="N357" i="14" s="1"/>
  <c r="H359" i="14"/>
  <c r="I359" i="14" s="1"/>
  <c r="N359" i="14" s="1"/>
  <c r="H346" i="14"/>
  <c r="I346" i="14" s="1"/>
  <c r="N346" i="14" s="1"/>
  <c r="H347" i="14"/>
  <c r="I347" i="14" s="1"/>
  <c r="N347" i="14" s="1"/>
  <c r="H349" i="14"/>
  <c r="I349" i="14" s="1"/>
  <c r="N349" i="14" s="1"/>
  <c r="H351" i="14"/>
  <c r="I351" i="14" s="1"/>
  <c r="N351" i="14" s="1"/>
  <c r="H339" i="14"/>
  <c r="H341" i="14"/>
  <c r="I341" i="14" s="1"/>
  <c r="N341" i="14" s="1"/>
  <c r="H343" i="14"/>
  <c r="I343" i="14" s="1"/>
  <c r="N343" i="14" s="1"/>
  <c r="H344" i="14"/>
  <c r="I344" i="14" s="1"/>
  <c r="N344" i="14" s="1"/>
  <c r="H332" i="14"/>
  <c r="I332" i="14" s="1"/>
  <c r="N332" i="14" s="1"/>
  <c r="H335" i="14"/>
  <c r="I335" i="14" s="1"/>
  <c r="N335" i="14" s="1"/>
  <c r="H337" i="14"/>
  <c r="I337" i="14" s="1"/>
  <c r="N337" i="14" s="1"/>
  <c r="H325" i="14"/>
  <c r="I325" i="14" s="1"/>
  <c r="N325" i="14" s="1"/>
  <c r="H326" i="14"/>
  <c r="I326" i="14" s="1"/>
  <c r="N326" i="14" s="1"/>
  <c r="H328" i="14"/>
  <c r="I328" i="14" s="1"/>
  <c r="N328" i="14" s="1"/>
  <c r="H329" i="14"/>
  <c r="I329" i="14" s="1"/>
  <c r="N329" i="14" s="1"/>
  <c r="H331" i="14"/>
  <c r="I331" i="14" s="1"/>
  <c r="N331" i="14" s="1"/>
  <c r="H318" i="14"/>
  <c r="I318" i="14" s="1"/>
  <c r="N318" i="14" s="1"/>
  <c r="H321" i="14"/>
  <c r="I321" i="14" s="1"/>
  <c r="N321" i="14" s="1"/>
  <c r="H323" i="14"/>
  <c r="H311" i="14"/>
  <c r="I311" i="14" s="1"/>
  <c r="N311" i="14" s="1"/>
  <c r="H316" i="14"/>
  <c r="I316" i="14" s="1"/>
  <c r="N316" i="14" s="1"/>
  <c r="H304" i="14"/>
  <c r="I304" i="14" s="1"/>
  <c r="N304" i="14" s="1"/>
  <c r="H306" i="14"/>
  <c r="I306" i="14" s="1"/>
  <c r="N306" i="14" s="1"/>
  <c r="H308" i="14"/>
  <c r="I308" i="14" s="1"/>
  <c r="N308" i="14" s="1"/>
  <c r="H310" i="14"/>
  <c r="H297" i="14"/>
  <c r="I297" i="14" s="1"/>
  <c r="N297" i="14" s="1"/>
  <c r="H299" i="14"/>
  <c r="I299" i="14" s="1"/>
  <c r="N299" i="14" s="1"/>
  <c r="H300" i="14"/>
  <c r="I300" i="14" s="1"/>
  <c r="N300" i="14" s="1"/>
  <c r="H301" i="14"/>
  <c r="I301" i="14" s="1"/>
  <c r="N301" i="14" s="1"/>
  <c r="H302" i="14"/>
  <c r="I302" i="14" s="1"/>
  <c r="N302" i="14" s="1"/>
  <c r="H291" i="14"/>
  <c r="I291" i="14" s="1"/>
  <c r="N291" i="14" s="1"/>
  <c r="H293" i="14"/>
  <c r="I293" i="14" s="1"/>
  <c r="N293" i="14" s="1"/>
  <c r="H295" i="14"/>
  <c r="I295" i="14" s="1"/>
  <c r="N295" i="14" s="1"/>
  <c r="H283" i="14"/>
  <c r="I283" i="14" s="1"/>
  <c r="N283" i="14" s="1"/>
  <c r="H285" i="14"/>
  <c r="I285" i="14" s="1"/>
  <c r="N285" i="14" s="1"/>
  <c r="H287" i="14"/>
  <c r="I287" i="14" s="1"/>
  <c r="N287" i="14" s="1"/>
  <c r="H289" i="14"/>
  <c r="I289" i="14" s="1"/>
  <c r="N289" i="14" s="1"/>
  <c r="H277" i="14"/>
  <c r="I277" i="14" s="1"/>
  <c r="N277" i="14" s="1"/>
  <c r="H279" i="14"/>
  <c r="I279" i="14" s="1"/>
  <c r="N279" i="14" s="1"/>
  <c r="I265" i="14"/>
  <c r="N265" i="14" s="1"/>
  <c r="H269" i="14"/>
  <c r="I269" i="14" s="1"/>
  <c r="N269" i="14" s="1"/>
  <c r="H270" i="14"/>
  <c r="I270" i="14" s="1"/>
  <c r="N270" i="14" s="1"/>
  <c r="H272" i="14"/>
  <c r="I272" i="14" s="1"/>
  <c r="N272" i="14" s="1"/>
  <c r="H275" i="14"/>
  <c r="I275" i="14" s="1"/>
  <c r="N275" i="14" s="1"/>
  <c r="H262" i="14"/>
  <c r="I262" i="14" s="1"/>
  <c r="N262" i="14" s="1"/>
  <c r="H263" i="14"/>
  <c r="I263" i="14" s="1"/>
  <c r="N263" i="14" s="1"/>
  <c r="H264" i="14"/>
  <c r="I264" i="14" s="1"/>
  <c r="N264" i="14" s="1"/>
  <c r="H268" i="14"/>
  <c r="I268" i="14" s="1"/>
  <c r="N268" i="14" s="1"/>
  <c r="H256" i="14"/>
  <c r="I256" i="14" s="1"/>
  <c r="N256" i="14" s="1"/>
  <c r="H258" i="14"/>
  <c r="I258" i="14" s="1"/>
  <c r="N258" i="14" s="1"/>
  <c r="H259" i="14"/>
  <c r="I259" i="14" s="1"/>
  <c r="N259" i="14" s="1"/>
  <c r="H248" i="14"/>
  <c r="H249" i="14"/>
  <c r="I249" i="14" s="1"/>
  <c r="N249" i="14" s="1"/>
  <c r="H251" i="14"/>
  <c r="I251" i="14" s="1"/>
  <c r="N251" i="14" s="1"/>
  <c r="H254" i="14"/>
  <c r="I254" i="14" s="1"/>
  <c r="N254" i="14" s="1"/>
  <c r="H242" i="14"/>
  <c r="I242" i="14" s="1"/>
  <c r="N242" i="14" s="1"/>
  <c r="H244" i="14"/>
  <c r="I244" i="14" s="1"/>
  <c r="N244" i="14" s="1"/>
  <c r="H234" i="14"/>
  <c r="H240" i="14"/>
  <c r="I240" i="14" s="1"/>
  <c r="N240" i="14" s="1"/>
  <c r="H227" i="14"/>
  <c r="H232" i="14"/>
  <c r="I232" i="14" s="1"/>
  <c r="N232" i="14" s="1"/>
  <c r="H220" i="14"/>
  <c r="I220" i="14" s="1"/>
  <c r="N220" i="14" s="1"/>
  <c r="H223" i="14"/>
  <c r="I223" i="14" s="1"/>
  <c r="N223" i="14" s="1"/>
  <c r="H213" i="14"/>
  <c r="I213" i="14" s="1"/>
  <c r="N213" i="14" s="1"/>
  <c r="H215" i="14"/>
  <c r="H218" i="14"/>
  <c r="I218" i="14" s="1"/>
  <c r="N218" i="14" s="1"/>
  <c r="H206" i="14"/>
  <c r="H211" i="14"/>
  <c r="I211" i="14" s="1"/>
  <c r="N211" i="14" s="1"/>
  <c r="S921" i="14"/>
  <c r="K918" i="14"/>
  <c r="H918" i="14"/>
  <c r="I918" i="14" s="1"/>
  <c r="N918" i="14" s="1"/>
  <c r="H733" i="14"/>
  <c r="H735" i="14"/>
  <c r="I735" i="14" s="1"/>
  <c r="N735" i="14" s="1"/>
  <c r="H737" i="14"/>
  <c r="I737" i="14" s="1"/>
  <c r="N737" i="14" s="1"/>
  <c r="H739" i="14"/>
  <c r="I739" i="14" s="1"/>
  <c r="N739" i="14" s="1"/>
  <c r="H740" i="14"/>
  <c r="I740" i="14" s="1"/>
  <c r="N740" i="14" s="1"/>
  <c r="H741" i="14"/>
  <c r="I741" i="14" s="1"/>
  <c r="N741" i="14" s="1"/>
  <c r="H744" i="14"/>
  <c r="I744" i="14" s="1"/>
  <c r="N744" i="14" s="1"/>
  <c r="H745" i="14"/>
  <c r="I745" i="14" s="1"/>
  <c r="N745" i="14" s="1"/>
  <c r="H747" i="14"/>
  <c r="I747" i="14" s="1"/>
  <c r="N747" i="14" s="1"/>
  <c r="H749" i="14"/>
  <c r="I749" i="14" s="1"/>
  <c r="N749" i="14" s="1"/>
  <c r="H750" i="14"/>
  <c r="I750" i="14" s="1"/>
  <c r="N750" i="14" s="1"/>
  <c r="H752" i="14"/>
  <c r="H754" i="14"/>
  <c r="I754" i="14" s="1"/>
  <c r="N754" i="14" s="1"/>
  <c r="H755" i="14"/>
  <c r="I755" i="14" s="1"/>
  <c r="N755" i="14" s="1"/>
  <c r="H757" i="14"/>
  <c r="I757" i="14" s="1"/>
  <c r="N757" i="14" s="1"/>
  <c r="H759" i="14"/>
  <c r="I759" i="14" s="1"/>
  <c r="N759" i="14" s="1"/>
  <c r="H762" i="14"/>
  <c r="I762" i="14" s="1"/>
  <c r="N762" i="14" s="1"/>
  <c r="H764" i="14"/>
  <c r="I764" i="14" s="1"/>
  <c r="N764" i="14" s="1"/>
  <c r="H766" i="14"/>
  <c r="I766" i="14" s="1"/>
  <c r="N766" i="14" s="1"/>
  <c r="H768" i="14"/>
  <c r="I768" i="14" s="1"/>
  <c r="N768" i="14" s="1"/>
  <c r="H770" i="14"/>
  <c r="I770" i="14" s="1"/>
  <c r="N770" i="14" s="1"/>
  <c r="H772" i="14"/>
  <c r="I772" i="14" s="1"/>
  <c r="N772" i="14" s="1"/>
  <c r="H773" i="14"/>
  <c r="I773" i="14" s="1"/>
  <c r="N773" i="14" s="1"/>
  <c r="H775" i="14"/>
  <c r="I775" i="14" s="1"/>
  <c r="N775" i="14" s="1"/>
  <c r="H778" i="14"/>
  <c r="H780" i="14"/>
  <c r="I780" i="14" s="1"/>
  <c r="N780" i="14" s="1"/>
  <c r="H782" i="14"/>
  <c r="I782" i="14" s="1"/>
  <c r="N782" i="14" s="1"/>
  <c r="H783" i="14"/>
  <c r="I783" i="14" s="1"/>
  <c r="N783" i="14" s="1"/>
  <c r="H784" i="14"/>
  <c r="I784" i="14" s="1"/>
  <c r="N784" i="14" s="1"/>
  <c r="H785" i="14"/>
  <c r="I785" i="14" s="1"/>
  <c r="N785" i="14" s="1"/>
  <c r="H787" i="14"/>
  <c r="I787" i="14" s="1"/>
  <c r="N787" i="14" s="1"/>
  <c r="H788" i="14"/>
  <c r="I788" i="14" s="1"/>
  <c r="N788" i="14" s="1"/>
  <c r="H790" i="14"/>
  <c r="I790" i="14" s="1"/>
  <c r="N790" i="14" s="1"/>
  <c r="H791" i="14"/>
  <c r="I791" i="14" s="1"/>
  <c r="N791" i="14" s="1"/>
  <c r="H792" i="14"/>
  <c r="H794" i="14"/>
  <c r="H795" i="14"/>
  <c r="I795" i="14" s="1"/>
  <c r="N795" i="14" s="1"/>
  <c r="H797" i="14"/>
  <c r="I797" i="14" s="1"/>
  <c r="N797" i="14" s="1"/>
  <c r="H799" i="14"/>
  <c r="I799" i="14" s="1"/>
  <c r="N799" i="14" s="1"/>
  <c r="H802" i="14"/>
  <c r="I802" i="14" s="1"/>
  <c r="N802" i="14" s="1"/>
  <c r="H804" i="14"/>
  <c r="I804" i="14" s="1"/>
  <c r="N804" i="14" s="1"/>
  <c r="H808" i="14"/>
  <c r="I808" i="14" s="1"/>
  <c r="N808" i="14" s="1"/>
  <c r="H810" i="14"/>
  <c r="I810" i="14" s="1"/>
  <c r="N810" i="14" s="1"/>
  <c r="H813" i="14"/>
  <c r="I813" i="14" s="1"/>
  <c r="N813" i="14" s="1"/>
  <c r="H815" i="14"/>
  <c r="H817" i="14"/>
  <c r="I817" i="14" s="1"/>
  <c r="N817" i="14" s="1"/>
  <c r="H822" i="14"/>
  <c r="I822" i="14" s="1"/>
  <c r="N822" i="14" s="1"/>
  <c r="H823" i="14"/>
  <c r="I823" i="14" s="1"/>
  <c r="N823" i="14" s="1"/>
  <c r="H825" i="14"/>
  <c r="I825" i="14" s="1"/>
  <c r="N825" i="14" s="1"/>
  <c r="H827" i="14"/>
  <c r="I827" i="14" s="1"/>
  <c r="N827" i="14" s="1"/>
  <c r="H829" i="14"/>
  <c r="I829" i="14" s="1"/>
  <c r="N829" i="14" s="1"/>
  <c r="H831" i="14"/>
  <c r="I831" i="14" s="1"/>
  <c r="N831" i="14" s="1"/>
  <c r="H834" i="14"/>
  <c r="I834" i="14" s="1"/>
  <c r="N834" i="14" s="1"/>
  <c r="H836" i="14"/>
  <c r="I836" i="14" s="1"/>
  <c r="N836" i="14" s="1"/>
  <c r="H838" i="14"/>
  <c r="I838" i="14" s="1"/>
  <c r="N838" i="14" s="1"/>
  <c r="H841" i="14"/>
  <c r="I841" i="14" s="1"/>
  <c r="N841" i="14" s="1"/>
  <c r="H843" i="14"/>
  <c r="I843" i="14" s="1"/>
  <c r="N843" i="14" s="1"/>
  <c r="H845" i="14"/>
  <c r="I845" i="14" s="1"/>
  <c r="N845" i="14" s="1"/>
  <c r="H848" i="14"/>
  <c r="I848" i="14" s="1"/>
  <c r="N848" i="14" s="1"/>
  <c r="H850" i="14"/>
  <c r="H851" i="14"/>
  <c r="I851" i="14" s="1"/>
  <c r="N851" i="14" s="1"/>
  <c r="H853" i="14"/>
  <c r="I853" i="14" s="1"/>
  <c r="N853" i="14" s="1"/>
  <c r="H855" i="14"/>
  <c r="I855" i="14" s="1"/>
  <c r="N855" i="14" s="1"/>
  <c r="H857" i="14"/>
  <c r="I857" i="14" s="1"/>
  <c r="N857" i="14" s="1"/>
  <c r="H859" i="14"/>
  <c r="I859" i="14" s="1"/>
  <c r="N859" i="14" s="1"/>
  <c r="H862" i="14"/>
  <c r="I862" i="14" s="1"/>
  <c r="N862" i="14" s="1"/>
  <c r="H864" i="14"/>
  <c r="I864" i="14" s="1"/>
  <c r="N864" i="14" s="1"/>
  <c r="H866" i="14"/>
  <c r="I866" i="14" s="1"/>
  <c r="N866" i="14" s="1"/>
  <c r="H869" i="14"/>
  <c r="I869" i="14" s="1"/>
  <c r="N869" i="14" s="1"/>
  <c r="H871" i="14"/>
  <c r="I871" i="14" s="1"/>
  <c r="N871" i="14" s="1"/>
  <c r="H873" i="14"/>
  <c r="I873" i="14" s="1"/>
  <c r="N873" i="14" s="1"/>
  <c r="H874" i="14"/>
  <c r="I874" i="14" s="1"/>
  <c r="N874" i="14" s="1"/>
  <c r="H878" i="14"/>
  <c r="I878" i="14" s="1"/>
  <c r="N878" i="14" s="1"/>
  <c r="H880" i="14"/>
  <c r="I880" i="14" s="1"/>
  <c r="N880" i="14" s="1"/>
  <c r="H882" i="14"/>
  <c r="I882" i="14" s="1"/>
  <c r="N882" i="14" s="1"/>
  <c r="H884" i="14"/>
  <c r="I884" i="14" s="1"/>
  <c r="N884" i="14" s="1"/>
  <c r="H886" i="14"/>
  <c r="I886" i="14" s="1"/>
  <c r="N886" i="14" s="1"/>
  <c r="H888" i="14"/>
  <c r="I888" i="14" s="1"/>
  <c r="N888" i="14" s="1"/>
  <c r="H890" i="14"/>
  <c r="I890" i="14" s="1"/>
  <c r="N890" i="14" s="1"/>
  <c r="H892" i="14"/>
  <c r="I892" i="14" s="1"/>
  <c r="N892" i="14" s="1"/>
  <c r="H894" i="14"/>
  <c r="I894" i="14" s="1"/>
  <c r="N894" i="14" s="1"/>
  <c r="H897" i="14"/>
  <c r="I897" i="14" s="1"/>
  <c r="N897" i="14" s="1"/>
  <c r="H899" i="14"/>
  <c r="I899" i="14" s="1"/>
  <c r="N899" i="14" s="1"/>
  <c r="H901" i="14"/>
  <c r="I901" i="14" s="1"/>
  <c r="N901" i="14" s="1"/>
  <c r="H903" i="14"/>
  <c r="I903" i="14" s="1"/>
  <c r="N903" i="14" s="1"/>
  <c r="H906" i="14"/>
  <c r="I906" i="14" s="1"/>
  <c r="N906" i="14" s="1"/>
  <c r="H907" i="14"/>
  <c r="I907" i="14" s="1"/>
  <c r="N907" i="14" s="1"/>
  <c r="H908" i="14"/>
  <c r="I908" i="14" s="1"/>
  <c r="N908" i="14" s="1"/>
  <c r="H910" i="14"/>
  <c r="I910" i="14" s="1"/>
  <c r="N910" i="14" s="1"/>
  <c r="H912" i="14"/>
  <c r="I912" i="14" s="1"/>
  <c r="N912" i="14" s="1"/>
  <c r="H913" i="14"/>
  <c r="I913" i="14" s="1"/>
  <c r="N913" i="14" s="1"/>
  <c r="H915" i="14"/>
  <c r="I915" i="14" s="1"/>
  <c r="N915" i="14" s="1"/>
  <c r="H916" i="14"/>
  <c r="I916" i="14" s="1"/>
  <c r="N916" i="14" s="1"/>
  <c r="H920" i="14"/>
  <c r="I920" i="14" s="1"/>
  <c r="N920" i="14" s="1"/>
  <c r="H922" i="14"/>
  <c r="I922" i="14" s="1"/>
  <c r="N922" i="14" s="1"/>
  <c r="H923" i="14"/>
  <c r="I923" i="14" s="1"/>
  <c r="N923" i="14" s="1"/>
  <c r="H925" i="14"/>
  <c r="I925" i="14" s="1"/>
  <c r="N925" i="14" s="1"/>
  <c r="H927" i="14"/>
  <c r="I927" i="14" s="1"/>
  <c r="N927" i="14" s="1"/>
  <c r="H929" i="14"/>
  <c r="I929" i="14" s="1"/>
  <c r="N929" i="14" s="1"/>
  <c r="H930" i="14"/>
  <c r="I930" i="14" s="1"/>
  <c r="N930" i="14" s="1"/>
  <c r="H932" i="14"/>
  <c r="I932" i="14" s="1"/>
  <c r="N932" i="14" s="1"/>
  <c r="H934" i="14"/>
  <c r="H935" i="14"/>
  <c r="I935" i="14" s="1"/>
  <c r="N935" i="14" s="1"/>
  <c r="H936" i="14"/>
  <c r="I936" i="14" s="1"/>
  <c r="N936" i="14" s="1"/>
  <c r="H938" i="14"/>
  <c r="I938" i="14" s="1"/>
  <c r="N938" i="14" s="1"/>
  <c r="H941" i="14"/>
  <c r="I941" i="14" s="1"/>
  <c r="N941" i="14" s="1"/>
  <c r="H943" i="14"/>
  <c r="I943" i="14" s="1"/>
  <c r="N943" i="14" s="1"/>
  <c r="H946" i="14"/>
  <c r="I946" i="14" s="1"/>
  <c r="N946" i="14" s="1"/>
  <c r="H948" i="14"/>
  <c r="I948" i="14" s="1"/>
  <c r="N948" i="14" s="1"/>
  <c r="I950" i="14"/>
  <c r="N950" i="14" s="1"/>
  <c r="H951" i="14"/>
  <c r="I951" i="14" s="1"/>
  <c r="N951" i="14" s="1"/>
  <c r="H953" i="14"/>
  <c r="I953" i="14" s="1"/>
  <c r="N953" i="14" s="1"/>
  <c r="H955" i="14"/>
  <c r="I955" i="14" s="1"/>
  <c r="N955" i="14" s="1"/>
  <c r="H958" i="14"/>
  <c r="I958" i="14" s="1"/>
  <c r="N958" i="14" s="1"/>
  <c r="H960" i="14"/>
  <c r="I960" i="14" s="1"/>
  <c r="N960" i="14" s="1"/>
  <c r="H962" i="14"/>
  <c r="I965" i="14"/>
  <c r="N965" i="14" s="1"/>
  <c r="I967" i="14"/>
  <c r="N967" i="14" s="1"/>
  <c r="H969" i="14"/>
  <c r="I969" i="14" s="1"/>
  <c r="N969" i="14" s="1"/>
  <c r="H971" i="14"/>
  <c r="I971" i="14" s="1"/>
  <c r="N971" i="14" s="1"/>
  <c r="H974" i="14"/>
  <c r="I974" i="14" s="1"/>
  <c r="N974" i="14" s="1"/>
  <c r="H976" i="14"/>
  <c r="I976" i="14" s="1"/>
  <c r="N976" i="14" s="1"/>
  <c r="H978" i="14"/>
  <c r="I978" i="14" s="1"/>
  <c r="N978" i="14" s="1"/>
  <c r="I981" i="14"/>
  <c r="N981" i="14" s="1"/>
  <c r="H983" i="14"/>
  <c r="I983" i="14" s="1"/>
  <c r="N983" i="14" s="1"/>
  <c r="H988" i="14"/>
  <c r="I988" i="14" s="1"/>
  <c r="N988" i="14" s="1"/>
  <c r="H990" i="14"/>
  <c r="I990" i="14" s="1"/>
  <c r="N990" i="14" s="1"/>
  <c r="H995" i="14"/>
  <c r="I995" i="14" s="1"/>
  <c r="N995" i="14" s="1"/>
  <c r="H997" i="14"/>
  <c r="I997" i="14" s="1"/>
  <c r="N997" i="14" s="1"/>
  <c r="H1002" i="14"/>
  <c r="I1002" i="14" s="1"/>
  <c r="N1002" i="14" s="1"/>
  <c r="H1004" i="14"/>
  <c r="I1004" i="14" s="1"/>
  <c r="N1004" i="14" s="1"/>
  <c r="H1006" i="14"/>
  <c r="I1006" i="14" s="1"/>
  <c r="N1006" i="14" s="1"/>
  <c r="H1011" i="14"/>
  <c r="I1011" i="14" s="1"/>
  <c r="N1011" i="14" s="1"/>
  <c r="H1013" i="14"/>
  <c r="I1013" i="14" s="1"/>
  <c r="N1013" i="14" s="1"/>
  <c r="H1016" i="14"/>
  <c r="I1016" i="14" s="1"/>
  <c r="N1016" i="14" s="1"/>
  <c r="H1018" i="14"/>
  <c r="I1018" i="14" s="1"/>
  <c r="N1018" i="14" s="1"/>
  <c r="H1020" i="14"/>
  <c r="I1020" i="14" s="1"/>
  <c r="N1020" i="14" s="1"/>
  <c r="H1022" i="14"/>
  <c r="I1022" i="14" s="1"/>
  <c r="N1022" i="14" s="1"/>
  <c r="I1024" i="14"/>
  <c r="N1024" i="14" s="1"/>
  <c r="I1026" i="14"/>
  <c r="N1026" i="14" s="1"/>
  <c r="H1028" i="14"/>
  <c r="I1028" i="14" s="1"/>
  <c r="N1028" i="14" s="1"/>
  <c r="H1030" i="14"/>
  <c r="I1030" i="14" s="1"/>
  <c r="N1030" i="14" s="1"/>
  <c r="H1032" i="14"/>
  <c r="H1033" i="14"/>
  <c r="I1033" i="14" s="1"/>
  <c r="N1033" i="14" s="1"/>
  <c r="H1035" i="14"/>
  <c r="I1035" i="14" s="1"/>
  <c r="N1035" i="14" s="1"/>
  <c r="H1037" i="14"/>
  <c r="I1037" i="14" s="1"/>
  <c r="N1037" i="14" s="1"/>
  <c r="H1039" i="14"/>
  <c r="I1039" i="14" s="1"/>
  <c r="N1039" i="14" s="1"/>
  <c r="I1041" i="14"/>
  <c r="N1041" i="14" s="1"/>
  <c r="H1043" i="14"/>
  <c r="I1043" i="14" s="1"/>
  <c r="N1043" i="14" s="1"/>
  <c r="H1045" i="14"/>
  <c r="I1045" i="14" s="1"/>
  <c r="N1045" i="14" s="1"/>
  <c r="H1053" i="14"/>
  <c r="I1053" i="14" s="1"/>
  <c r="N1053" i="14" s="1"/>
  <c r="I1055" i="14"/>
  <c r="N1055" i="14" s="1"/>
  <c r="I1057" i="14"/>
  <c r="N1057" i="14" s="1"/>
  <c r="I1059" i="14"/>
  <c r="N1059" i="14" s="1"/>
  <c r="I1061" i="14"/>
  <c r="N1061" i="14" s="1"/>
  <c r="I1063" i="14"/>
  <c r="N1063" i="14" s="1"/>
  <c r="I1065" i="14"/>
  <c r="N1065" i="14" s="1"/>
  <c r="I1067" i="14"/>
  <c r="N1067" i="14" s="1"/>
  <c r="I1069" i="14"/>
  <c r="N1069" i="14" s="1"/>
  <c r="H1071" i="14"/>
  <c r="I1071" i="14" s="1"/>
  <c r="N1071" i="14" s="1"/>
  <c r="I1073" i="14"/>
  <c r="N1073" i="14" s="1"/>
  <c r="I1075" i="14"/>
  <c r="N1075" i="14" s="1"/>
  <c r="I1077" i="14"/>
  <c r="N1077" i="14" s="1"/>
  <c r="H1079" i="14"/>
  <c r="H1081" i="14"/>
  <c r="I1083" i="14"/>
  <c r="N1083" i="14" s="1"/>
  <c r="H1085" i="14"/>
  <c r="H1087" i="14"/>
  <c r="H1089" i="14"/>
  <c r="H1091" i="14"/>
  <c r="H1093" i="14"/>
  <c r="H1095" i="14"/>
  <c r="H1097" i="14"/>
  <c r="I914" i="14"/>
  <c r="L6" i="18"/>
  <c r="N6" i="18" s="1"/>
  <c r="K731" i="14"/>
  <c r="K733" i="14"/>
  <c r="K735" i="14"/>
  <c r="K737" i="14"/>
  <c r="K739" i="14"/>
  <c r="K740" i="14"/>
  <c r="K741" i="14"/>
  <c r="K742" i="14"/>
  <c r="K744" i="14"/>
  <c r="K745" i="14"/>
  <c r="K747" i="14"/>
  <c r="K749" i="14"/>
  <c r="K750" i="14"/>
  <c r="K752" i="14"/>
  <c r="K754" i="14"/>
  <c r="K755" i="14"/>
  <c r="K757" i="14"/>
  <c r="K759" i="14"/>
  <c r="K762" i="14"/>
  <c r="K764" i="14"/>
  <c r="K766" i="14"/>
  <c r="K768" i="14"/>
  <c r="K770" i="14"/>
  <c r="K772" i="14"/>
  <c r="K773" i="14"/>
  <c r="K775" i="14"/>
  <c r="K778" i="14"/>
  <c r="K780" i="14"/>
  <c r="K782" i="14"/>
  <c r="K783" i="14"/>
  <c r="K784" i="14"/>
  <c r="K785" i="14"/>
  <c r="K787" i="14"/>
  <c r="K788" i="14"/>
  <c r="K790" i="14"/>
  <c r="K791" i="14"/>
  <c r="K792" i="14"/>
  <c r="K794" i="14"/>
  <c r="K795" i="14"/>
  <c r="K797" i="14"/>
  <c r="K799" i="14"/>
  <c r="K802" i="14"/>
  <c r="K804" i="14"/>
  <c r="K808" i="14"/>
  <c r="K810" i="14"/>
  <c r="K813" i="14"/>
  <c r="K815" i="14"/>
  <c r="K817" i="14"/>
  <c r="K822" i="14"/>
  <c r="K823" i="14"/>
  <c r="K825" i="14"/>
  <c r="K827" i="14"/>
  <c r="K829" i="14"/>
  <c r="K831" i="14"/>
  <c r="K834" i="14"/>
  <c r="K836" i="14"/>
  <c r="K838" i="14"/>
  <c r="K841" i="14"/>
  <c r="K843" i="14"/>
  <c r="K845" i="14"/>
  <c r="K848" i="14"/>
  <c r="K850" i="14"/>
  <c r="K851" i="14"/>
  <c r="K853" i="14"/>
  <c r="K855" i="14"/>
  <c r="K857" i="14"/>
  <c r="K859" i="14"/>
  <c r="K862" i="14"/>
  <c r="K864" i="14"/>
  <c r="K866" i="14"/>
  <c r="K869" i="14"/>
  <c r="K871" i="14"/>
  <c r="K873" i="14"/>
  <c r="K874" i="14"/>
  <c r="K878" i="14"/>
  <c r="K880" i="14"/>
  <c r="K882" i="14"/>
  <c r="K884" i="14"/>
  <c r="K886" i="14"/>
  <c r="K888" i="14"/>
  <c r="K890" i="14"/>
  <c r="K892" i="14"/>
  <c r="K894" i="14"/>
  <c r="K897" i="14"/>
  <c r="K899" i="14"/>
  <c r="K901" i="14"/>
  <c r="K903" i="14"/>
  <c r="K906" i="14"/>
  <c r="K907" i="14"/>
  <c r="K908" i="14"/>
  <c r="K910" i="14"/>
  <c r="K912" i="14"/>
  <c r="K913" i="14"/>
  <c r="K915" i="14"/>
  <c r="K916" i="14"/>
  <c r="K920" i="14"/>
  <c r="K922" i="14"/>
  <c r="K923" i="14"/>
  <c r="K925" i="14"/>
  <c r="K927" i="14"/>
  <c r="K929" i="14"/>
  <c r="K930" i="14"/>
  <c r="K932" i="14"/>
  <c r="K934" i="14"/>
  <c r="K935" i="14"/>
  <c r="K936" i="14"/>
  <c r="K938" i="14"/>
  <c r="K941" i="14"/>
  <c r="K943" i="14"/>
  <c r="S1115" i="14"/>
  <c r="I138" i="14"/>
  <c r="F12" i="18"/>
  <c r="H11" i="18" s="1"/>
  <c r="F13" i="18"/>
  <c r="H12" i="18" s="1"/>
  <c r="J29" i="21"/>
  <c r="H2" i="18"/>
  <c r="N15" i="21" s="1"/>
  <c r="R1510" i="14" s="1"/>
  <c r="S861" i="14"/>
  <c r="S863" i="14"/>
  <c r="B142" i="37" s="1"/>
  <c r="S865" i="14"/>
  <c r="S867" i="14"/>
  <c r="S868" i="14"/>
  <c r="S870" i="14"/>
  <c r="S872" i="14"/>
  <c r="K1011" i="14"/>
  <c r="K1013" i="14"/>
  <c r="K1016" i="14"/>
  <c r="K1004" i="14"/>
  <c r="K1006" i="14"/>
  <c r="K997" i="14"/>
  <c r="K1002" i="14"/>
  <c r="K990" i="14"/>
  <c r="K995" i="14"/>
  <c r="K983" i="14"/>
  <c r="K988" i="14"/>
  <c r="K976" i="14"/>
  <c r="K978" i="14"/>
  <c r="K969" i="14"/>
  <c r="K971" i="14"/>
  <c r="K974" i="14"/>
  <c r="K962" i="14"/>
  <c r="K955" i="14"/>
  <c r="K960" i="14"/>
  <c r="K948" i="14"/>
  <c r="K953" i="14"/>
  <c r="K946" i="14"/>
  <c r="I942" i="14"/>
  <c r="N942" i="14" s="1"/>
  <c r="I937" i="14"/>
  <c r="I939" i="14"/>
  <c r="N939" i="14" s="1"/>
  <c r="I931" i="14"/>
  <c r="N931" i="14" s="1"/>
  <c r="I933" i="14"/>
  <c r="N933" i="14" s="1"/>
  <c r="I921" i="14"/>
  <c r="I926" i="14"/>
  <c r="N926" i="14" s="1"/>
  <c r="F26" i="18"/>
  <c r="K1018" i="14"/>
  <c r="K1020" i="14"/>
  <c r="K1022" i="14"/>
  <c r="K1030" i="14"/>
  <c r="K1032" i="14"/>
  <c r="K1033" i="14"/>
  <c r="K1035" i="14"/>
  <c r="K1037" i="14"/>
  <c r="K1039" i="14"/>
  <c r="K1043" i="14"/>
  <c r="K1045" i="14"/>
  <c r="K1053" i="14"/>
  <c r="K1095" i="14"/>
  <c r="K1097" i="14"/>
  <c r="K1102" i="14"/>
  <c r="K1107" i="14"/>
  <c r="K1109" i="14"/>
  <c r="K1114" i="14"/>
  <c r="I702" i="14"/>
  <c r="N702" i="14" s="1"/>
  <c r="H731" i="14"/>
  <c r="I731" i="14" s="1"/>
  <c r="N731" i="14" s="1"/>
  <c r="S856" i="14"/>
  <c r="B137" i="37" s="1"/>
  <c r="I856" i="14"/>
  <c r="N856" i="14" s="1"/>
  <c r="S858" i="14"/>
  <c r="I858" i="14"/>
  <c r="N858" i="14" s="1"/>
  <c r="S860" i="14"/>
  <c r="I860" i="14"/>
  <c r="N860" i="14" s="1"/>
  <c r="I861" i="14"/>
  <c r="N861" i="14" s="1"/>
  <c r="I863" i="14"/>
  <c r="N863" i="14" s="1"/>
  <c r="I865" i="14"/>
  <c r="N865" i="14" s="1"/>
  <c r="I867" i="14"/>
  <c r="N867" i="14" s="1"/>
  <c r="I868" i="14"/>
  <c r="N868" i="14" s="1"/>
  <c r="I870" i="14"/>
  <c r="N870" i="14" s="1"/>
  <c r="I872" i="14"/>
  <c r="N872" i="14" s="1"/>
  <c r="I875" i="14"/>
  <c r="N875" i="14" s="1"/>
  <c r="I876" i="14"/>
  <c r="N876" i="14" s="1"/>
  <c r="I881" i="14"/>
  <c r="N881" i="14" s="1"/>
  <c r="I883" i="14"/>
  <c r="N883" i="14" s="1"/>
  <c r="I885" i="14"/>
  <c r="N885" i="14" s="1"/>
  <c r="I900" i="14"/>
  <c r="N900" i="14" s="1"/>
  <c r="I904" i="14"/>
  <c r="N904" i="14" s="1"/>
  <c r="I905" i="14"/>
  <c r="N905" i="14" s="1"/>
  <c r="I911" i="14"/>
  <c r="N911" i="14" s="1"/>
  <c r="I917" i="14"/>
  <c r="N917" i="14" s="1"/>
  <c r="I919" i="14"/>
  <c r="N919" i="14" s="1"/>
  <c r="S902" i="14"/>
  <c r="S904" i="14"/>
  <c r="S905" i="14"/>
  <c r="B185" i="37" s="1"/>
  <c r="S909" i="14"/>
  <c r="S911" i="14"/>
  <c r="S914" i="14"/>
  <c r="S917" i="14"/>
  <c r="S919" i="14"/>
  <c r="S924" i="14"/>
  <c r="S926" i="14"/>
  <c r="S928" i="14"/>
  <c r="S931" i="14"/>
  <c r="S933" i="14"/>
  <c r="S937" i="14"/>
  <c r="S939" i="14"/>
  <c r="S940" i="14"/>
  <c r="S942" i="14"/>
  <c r="B221" i="37" s="1"/>
  <c r="S944" i="14"/>
  <c r="I1100" i="14"/>
  <c r="N1100" i="14" s="1"/>
  <c r="H1102" i="14"/>
  <c r="I1105" i="14"/>
  <c r="N1105" i="14" s="1"/>
  <c r="H1107" i="14"/>
  <c r="H1109" i="14"/>
  <c r="I1112" i="14"/>
  <c r="N1112" i="14" s="1"/>
  <c r="H1114" i="14"/>
  <c r="C4" i="18"/>
  <c r="C3" i="18"/>
  <c r="L3" i="21" s="1"/>
  <c r="S2" i="14"/>
  <c r="S1016" i="14"/>
  <c r="S3" i="14"/>
  <c r="S4" i="14"/>
  <c r="S5" i="14"/>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S43" i="14"/>
  <c r="S44" i="14"/>
  <c r="S45" i="14"/>
  <c r="S46" i="14"/>
  <c r="S47" i="14"/>
  <c r="S48" i="14"/>
  <c r="S49" i="14"/>
  <c r="S50" i="14"/>
  <c r="S51" i="14"/>
  <c r="S52" i="14"/>
  <c r="S53" i="14"/>
  <c r="S54" i="14"/>
  <c r="S55" i="14"/>
  <c r="S56" i="14"/>
  <c r="S57" i="14"/>
  <c r="S58" i="14"/>
  <c r="S59" i="14"/>
  <c r="S60" i="14"/>
  <c r="S61" i="14"/>
  <c r="S62" i="14"/>
  <c r="S63" i="14"/>
  <c r="S64" i="14"/>
  <c r="S65" i="14"/>
  <c r="S66" i="14"/>
  <c r="S67" i="14"/>
  <c r="S68" i="14"/>
  <c r="S69" i="14"/>
  <c r="S70" i="14"/>
  <c r="S71" i="14"/>
  <c r="S72" i="14"/>
  <c r="S73" i="14"/>
  <c r="S74" i="14"/>
  <c r="S75" i="14"/>
  <c r="S76" i="14"/>
  <c r="S77" i="14"/>
  <c r="S78" i="14"/>
  <c r="S79" i="14"/>
  <c r="S80" i="14"/>
  <c r="S81" i="14"/>
  <c r="S82" i="14"/>
  <c r="S83" i="14"/>
  <c r="S84" i="14"/>
  <c r="S85" i="14"/>
  <c r="S86" i="14"/>
  <c r="S87" i="14"/>
  <c r="S88" i="14"/>
  <c r="S89" i="14"/>
  <c r="S90" i="14"/>
  <c r="S91" i="14"/>
  <c r="S92" i="14"/>
  <c r="S93" i="14"/>
  <c r="S94" i="14"/>
  <c r="S95" i="14"/>
  <c r="S96" i="14"/>
  <c r="S97" i="14"/>
  <c r="S98" i="14"/>
  <c r="S99" i="14"/>
  <c r="S101" i="14"/>
  <c r="S102" i="14"/>
  <c r="S103" i="14"/>
  <c r="S104" i="14"/>
  <c r="S105" i="14"/>
  <c r="S106" i="14"/>
  <c r="S107" i="14"/>
  <c r="S108" i="14"/>
  <c r="S109" i="14"/>
  <c r="S110" i="14"/>
  <c r="S112" i="14"/>
  <c r="S113" i="14"/>
  <c r="S115" i="14"/>
  <c r="S116" i="14"/>
  <c r="S117" i="14"/>
  <c r="S118" i="14"/>
  <c r="S119" i="14"/>
  <c r="S120" i="14"/>
  <c r="S121" i="14"/>
  <c r="S122" i="14"/>
  <c r="S123" i="14"/>
  <c r="S124" i="14"/>
  <c r="S125" i="14"/>
  <c r="S127" i="14"/>
  <c r="S128" i="14"/>
  <c r="S129" i="14"/>
  <c r="S130" i="14"/>
  <c r="S131" i="14"/>
  <c r="S132" i="14"/>
  <c r="S133" i="14"/>
  <c r="S134" i="14"/>
  <c r="S135" i="14"/>
  <c r="S137" i="14"/>
  <c r="S139" i="14"/>
  <c r="S140" i="14"/>
  <c r="S141" i="14"/>
  <c r="S142" i="14"/>
  <c r="S143" i="14"/>
  <c r="S144" i="14"/>
  <c r="S145" i="14"/>
  <c r="S146" i="14"/>
  <c r="S147" i="14"/>
  <c r="S148" i="14"/>
  <c r="S149" i="14"/>
  <c r="S150" i="14"/>
  <c r="S151" i="14"/>
  <c r="S152" i="14"/>
  <c r="S153" i="14"/>
  <c r="S154" i="14"/>
  <c r="S155" i="14"/>
  <c r="S156" i="14"/>
  <c r="S157" i="14"/>
  <c r="S158" i="14"/>
  <c r="S159" i="14"/>
  <c r="S160" i="14"/>
  <c r="S161" i="14"/>
  <c r="S162" i="14"/>
  <c r="S163" i="14"/>
  <c r="S164" i="14"/>
  <c r="S165" i="14"/>
  <c r="S166" i="14"/>
  <c r="S167" i="14"/>
  <c r="S168" i="14"/>
  <c r="S169" i="14"/>
  <c r="S170" i="14"/>
  <c r="S171" i="14"/>
  <c r="S172" i="14"/>
  <c r="S173" i="14"/>
  <c r="S174" i="14"/>
  <c r="S175" i="14"/>
  <c r="S176" i="14"/>
  <c r="S177" i="14"/>
  <c r="S178" i="14"/>
  <c r="S179" i="14"/>
  <c r="S180" i="14"/>
  <c r="S181" i="14"/>
  <c r="S182" i="14"/>
  <c r="S183" i="14"/>
  <c r="S184" i="14"/>
  <c r="S185" i="14"/>
  <c r="S186" i="14"/>
  <c r="S187" i="14"/>
  <c r="S188" i="14"/>
  <c r="S189" i="14"/>
  <c r="S190" i="14"/>
  <c r="S192" i="14"/>
  <c r="S193" i="14"/>
  <c r="S194" i="14"/>
  <c r="S195" i="14"/>
  <c r="S196" i="14"/>
  <c r="S197" i="14"/>
  <c r="S198" i="14"/>
  <c r="S199" i="14"/>
  <c r="S200" i="14"/>
  <c r="S201" i="14"/>
  <c r="S202" i="14"/>
  <c r="S204" i="14"/>
  <c r="S205" i="14"/>
  <c r="S206" i="14"/>
  <c r="S207" i="14"/>
  <c r="S208" i="14"/>
  <c r="S209" i="14"/>
  <c r="S210" i="14"/>
  <c r="S211" i="14"/>
  <c r="S212" i="14"/>
  <c r="S213" i="14"/>
  <c r="S214" i="14"/>
  <c r="S215" i="14"/>
  <c r="S216" i="14"/>
  <c r="S217" i="14"/>
  <c r="S218" i="14"/>
  <c r="S219" i="14"/>
  <c r="S220" i="14"/>
  <c r="S221" i="14"/>
  <c r="S222" i="14"/>
  <c r="S223" i="14"/>
  <c r="S224" i="14"/>
  <c r="S225" i="14"/>
  <c r="S226" i="14"/>
  <c r="S227" i="14"/>
  <c r="S228" i="14"/>
  <c r="S229" i="14"/>
  <c r="S230" i="14"/>
  <c r="S231" i="14"/>
  <c r="S232" i="14"/>
  <c r="S233" i="14"/>
  <c r="S234" i="14"/>
  <c r="S235" i="14"/>
  <c r="S236" i="14"/>
  <c r="S237" i="14"/>
  <c r="S238" i="14"/>
  <c r="S239" i="14"/>
  <c r="S240" i="14"/>
  <c r="S241" i="14"/>
  <c r="S242" i="14"/>
  <c r="S243" i="14"/>
  <c r="S244" i="14"/>
  <c r="S245" i="14"/>
  <c r="S246" i="14"/>
  <c r="S247" i="14"/>
  <c r="S248" i="14"/>
  <c r="S249" i="14"/>
  <c r="S250" i="14"/>
  <c r="S251" i="14"/>
  <c r="S252" i="14"/>
  <c r="S253" i="14"/>
  <c r="S254" i="14"/>
  <c r="S255" i="14"/>
  <c r="S256" i="14"/>
  <c r="S257" i="14"/>
  <c r="S258" i="14"/>
  <c r="S259" i="14"/>
  <c r="S260" i="14"/>
  <c r="S261" i="14"/>
  <c r="S262" i="14"/>
  <c r="S263" i="14"/>
  <c r="S264" i="14"/>
  <c r="S265" i="14"/>
  <c r="S266" i="14"/>
  <c r="S267" i="14"/>
  <c r="S268" i="14"/>
  <c r="S269" i="14"/>
  <c r="S270" i="14"/>
  <c r="S272" i="14"/>
  <c r="S273" i="14"/>
  <c r="S274" i="14"/>
  <c r="S275" i="14"/>
  <c r="S276" i="14"/>
  <c r="S277" i="14"/>
  <c r="S278" i="14"/>
  <c r="S279" i="14"/>
  <c r="S280" i="14"/>
  <c r="S281" i="14"/>
  <c r="S282" i="14"/>
  <c r="S283" i="14"/>
  <c r="S284" i="14"/>
  <c r="S285" i="14"/>
  <c r="S286" i="14"/>
  <c r="S287" i="14"/>
  <c r="S288" i="14"/>
  <c r="S289" i="14"/>
  <c r="S290" i="14"/>
  <c r="S291" i="14"/>
  <c r="S292" i="14"/>
  <c r="S293" i="14"/>
  <c r="S294" i="14"/>
  <c r="S295" i="14"/>
  <c r="S296" i="14"/>
  <c r="S297" i="14"/>
  <c r="S298" i="14"/>
  <c r="S299" i="14"/>
  <c r="S300" i="14"/>
  <c r="S301" i="14"/>
  <c r="S302" i="14"/>
  <c r="S303" i="14"/>
  <c r="S304" i="14"/>
  <c r="S305" i="14"/>
  <c r="S306" i="14"/>
  <c r="S307" i="14"/>
  <c r="S308" i="14"/>
  <c r="S309" i="14"/>
  <c r="S310" i="14"/>
  <c r="S311" i="14"/>
  <c r="S312" i="14"/>
  <c r="S313" i="14"/>
  <c r="S314" i="14"/>
  <c r="S315" i="14"/>
  <c r="S316" i="14"/>
  <c r="S317" i="14"/>
  <c r="S318" i="14"/>
  <c r="S319" i="14"/>
  <c r="S320" i="14"/>
  <c r="S321" i="14"/>
  <c r="S322" i="14"/>
  <c r="S323" i="14"/>
  <c r="S324" i="14"/>
  <c r="S325" i="14"/>
  <c r="S326" i="14"/>
  <c r="S327" i="14"/>
  <c r="S328" i="14"/>
  <c r="S329" i="14"/>
  <c r="S331" i="14"/>
  <c r="S332" i="14"/>
  <c r="S333" i="14"/>
  <c r="S334" i="14"/>
  <c r="S335" i="14"/>
  <c r="S336" i="14"/>
  <c r="S337" i="14"/>
  <c r="S338" i="14"/>
  <c r="S339" i="14"/>
  <c r="S340" i="14"/>
  <c r="S341" i="14"/>
  <c r="S342" i="14"/>
  <c r="S343" i="14"/>
  <c r="S344" i="14"/>
  <c r="S345" i="14"/>
  <c r="S346" i="14"/>
  <c r="S347" i="14"/>
  <c r="S348" i="14"/>
  <c r="S349" i="14"/>
  <c r="S350" i="14"/>
  <c r="S351" i="14"/>
  <c r="S352" i="14"/>
  <c r="S353" i="14"/>
  <c r="S354" i="14"/>
  <c r="S355" i="14"/>
  <c r="S356" i="14"/>
  <c r="S357" i="14"/>
  <c r="S358" i="14"/>
  <c r="S359" i="14"/>
  <c r="S360" i="14"/>
  <c r="S361" i="14"/>
  <c r="S362" i="14"/>
  <c r="S363" i="14"/>
  <c r="S364" i="14"/>
  <c r="S365" i="14"/>
  <c r="S366" i="14"/>
  <c r="S367" i="14"/>
  <c r="S368" i="14"/>
  <c r="S369" i="14"/>
  <c r="S370" i="14"/>
  <c r="S371" i="14"/>
  <c r="S372" i="14"/>
  <c r="S373" i="14"/>
  <c r="S374" i="14"/>
  <c r="S375" i="14"/>
  <c r="S376" i="14"/>
  <c r="S377" i="14"/>
  <c r="S378" i="14"/>
  <c r="S379" i="14"/>
  <c r="S380" i="14"/>
  <c r="S381" i="14"/>
  <c r="S382" i="14"/>
  <c r="S383" i="14"/>
  <c r="S384" i="14"/>
  <c r="S385" i="14"/>
  <c r="S386" i="14"/>
  <c r="S387" i="14"/>
  <c r="S388" i="14"/>
  <c r="S389" i="14"/>
  <c r="S390" i="14"/>
  <c r="S391" i="14"/>
  <c r="S392" i="14"/>
  <c r="S393" i="14"/>
  <c r="S394" i="14"/>
  <c r="S395" i="14"/>
  <c r="S396" i="14"/>
  <c r="S397" i="14"/>
  <c r="S398" i="14"/>
  <c r="S399" i="14"/>
  <c r="S400" i="14"/>
  <c r="S401" i="14"/>
  <c r="S402" i="14"/>
  <c r="S403" i="14"/>
  <c r="S404" i="14"/>
  <c r="S405" i="14"/>
  <c r="S406" i="14"/>
  <c r="S407" i="14"/>
  <c r="S408" i="14"/>
  <c r="S409" i="14"/>
  <c r="S410" i="14"/>
  <c r="S411" i="14"/>
  <c r="S412" i="14"/>
  <c r="S413" i="14"/>
  <c r="S414" i="14"/>
  <c r="S415" i="14"/>
  <c r="S416" i="14"/>
  <c r="S417" i="14"/>
  <c r="S418" i="14"/>
  <c r="S419" i="14"/>
  <c r="S420" i="14"/>
  <c r="S421" i="14"/>
  <c r="S422" i="14"/>
  <c r="S423" i="14"/>
  <c r="S424" i="14"/>
  <c r="S425" i="14"/>
  <c r="S426" i="14"/>
  <c r="S427" i="14"/>
  <c r="S428" i="14"/>
  <c r="S429" i="14"/>
  <c r="S430" i="14"/>
  <c r="S431" i="14"/>
  <c r="S432" i="14"/>
  <c r="S433" i="14"/>
  <c r="S434" i="14"/>
  <c r="S435" i="14"/>
  <c r="S436" i="14"/>
  <c r="S437" i="14"/>
  <c r="S438" i="14"/>
  <c r="S439" i="14"/>
  <c r="S440" i="14"/>
  <c r="S441" i="14"/>
  <c r="S442" i="14"/>
  <c r="S443" i="14"/>
  <c r="S444" i="14"/>
  <c r="S445" i="14"/>
  <c r="S446" i="14"/>
  <c r="S447" i="14"/>
  <c r="S448" i="14"/>
  <c r="S449" i="14"/>
  <c r="S450" i="14"/>
  <c r="S451" i="14"/>
  <c r="S452" i="14"/>
  <c r="S453" i="14"/>
  <c r="S454" i="14"/>
  <c r="S455" i="14"/>
  <c r="S456" i="14"/>
  <c r="S457" i="14"/>
  <c r="S458" i="14"/>
  <c r="S459" i="14"/>
  <c r="S460" i="14"/>
  <c r="S461" i="14"/>
  <c r="S462" i="14"/>
  <c r="S463" i="14"/>
  <c r="S464" i="14"/>
  <c r="S465" i="14"/>
  <c r="S466" i="14"/>
  <c r="S467" i="14"/>
  <c r="S468" i="14"/>
  <c r="S469" i="14"/>
  <c r="S470" i="14"/>
  <c r="S471" i="14"/>
  <c r="S472" i="14"/>
  <c r="S473" i="14"/>
  <c r="S474" i="14"/>
  <c r="S475" i="14"/>
  <c r="S476" i="14"/>
  <c r="S477" i="14"/>
  <c r="S478" i="14"/>
  <c r="S479" i="14"/>
  <c r="S480" i="14"/>
  <c r="S481" i="14"/>
  <c r="S482" i="14"/>
  <c r="S483" i="14"/>
  <c r="S484" i="14"/>
  <c r="S485" i="14"/>
  <c r="S486" i="14"/>
  <c r="S487" i="14"/>
  <c r="S488" i="14"/>
  <c r="S489" i="14"/>
  <c r="S490" i="14"/>
  <c r="S491" i="14"/>
  <c r="S492" i="14"/>
  <c r="S493" i="14"/>
  <c r="S494" i="14"/>
  <c r="S495" i="14"/>
  <c r="S496" i="14"/>
  <c r="S497" i="14"/>
  <c r="S498" i="14"/>
  <c r="S499" i="14"/>
  <c r="S500" i="14"/>
  <c r="S501" i="14"/>
  <c r="S502" i="14"/>
  <c r="S503" i="14"/>
  <c r="S504" i="14"/>
  <c r="S505" i="14"/>
  <c r="S506" i="14"/>
  <c r="S507" i="14"/>
  <c r="S508" i="14"/>
  <c r="S509" i="14"/>
  <c r="S510" i="14"/>
  <c r="S511" i="14"/>
  <c r="S512" i="14"/>
  <c r="S513" i="14"/>
  <c r="S514" i="14"/>
  <c r="S515" i="14"/>
  <c r="S516" i="14"/>
  <c r="S517" i="14"/>
  <c r="S518" i="14"/>
  <c r="S519" i="14"/>
  <c r="S520" i="14"/>
  <c r="S521" i="14"/>
  <c r="S522" i="14"/>
  <c r="S523" i="14"/>
  <c r="S524" i="14"/>
  <c r="S525" i="14"/>
  <c r="S526" i="14"/>
  <c r="S527" i="14"/>
  <c r="S528" i="14"/>
  <c r="S529" i="14"/>
  <c r="S530" i="14"/>
  <c r="S531" i="14"/>
  <c r="S532" i="14"/>
  <c r="S533" i="14"/>
  <c r="S534" i="14"/>
  <c r="S535" i="14"/>
  <c r="S536" i="14"/>
  <c r="S537" i="14"/>
  <c r="S538" i="14"/>
  <c r="S539" i="14"/>
  <c r="S540" i="14"/>
  <c r="S541" i="14"/>
  <c r="S542" i="14"/>
  <c r="S543" i="14"/>
  <c r="S544" i="14"/>
  <c r="S545" i="14"/>
  <c r="S546" i="14"/>
  <c r="S547" i="14"/>
  <c r="S548" i="14"/>
  <c r="S549" i="14"/>
  <c r="S550" i="14"/>
  <c r="S551" i="14"/>
  <c r="S552" i="14"/>
  <c r="S553" i="14"/>
  <c r="S554" i="14"/>
  <c r="S555" i="14"/>
  <c r="S556" i="14"/>
  <c r="S557" i="14"/>
  <c r="S558" i="14"/>
  <c r="S559" i="14"/>
  <c r="S560" i="14"/>
  <c r="S561" i="14"/>
  <c r="S562" i="14"/>
  <c r="S563" i="14"/>
  <c r="S564" i="14"/>
  <c r="S565" i="14"/>
  <c r="S566" i="14"/>
  <c r="S567" i="14"/>
  <c r="S568" i="14"/>
  <c r="S569" i="14"/>
  <c r="S570" i="14"/>
  <c r="S571" i="14"/>
  <c r="S572" i="14"/>
  <c r="S573" i="14"/>
  <c r="S574" i="14"/>
  <c r="S575" i="14"/>
  <c r="S576" i="14"/>
  <c r="S577" i="14"/>
  <c r="S578" i="14"/>
  <c r="S579" i="14"/>
  <c r="S580" i="14"/>
  <c r="S581" i="14"/>
  <c r="S582" i="14"/>
  <c r="S583" i="14"/>
  <c r="S584" i="14"/>
  <c r="S585" i="14"/>
  <c r="S586" i="14"/>
  <c r="S587" i="14"/>
  <c r="S588" i="14"/>
  <c r="S589" i="14"/>
  <c r="S590" i="14"/>
  <c r="S591" i="14"/>
  <c r="S592" i="14"/>
  <c r="S593" i="14"/>
  <c r="S594" i="14"/>
  <c r="S595" i="14"/>
  <c r="S596" i="14"/>
  <c r="S597" i="14"/>
  <c r="S598" i="14"/>
  <c r="S599" i="14"/>
  <c r="S600" i="14"/>
  <c r="S601" i="14"/>
  <c r="S602" i="14"/>
  <c r="S603" i="14"/>
  <c r="S604" i="14"/>
  <c r="S605" i="14"/>
  <c r="S607" i="14"/>
  <c r="S608" i="14"/>
  <c r="S609" i="14"/>
  <c r="S610" i="14"/>
  <c r="S611" i="14"/>
  <c r="S612" i="14"/>
  <c r="S613" i="14"/>
  <c r="S614" i="14"/>
  <c r="S615" i="14"/>
  <c r="S616" i="14"/>
  <c r="S617" i="14"/>
  <c r="S618" i="14"/>
  <c r="S619" i="14"/>
  <c r="S620" i="14"/>
  <c r="S621" i="14"/>
  <c r="S622" i="14"/>
  <c r="S623" i="14"/>
  <c r="S624" i="14"/>
  <c r="S625" i="14"/>
  <c r="S626" i="14"/>
  <c r="S627" i="14"/>
  <c r="S628" i="14"/>
  <c r="S629" i="14"/>
  <c r="S630" i="14"/>
  <c r="S631" i="14"/>
  <c r="S632" i="14"/>
  <c r="S633" i="14"/>
  <c r="S634" i="14"/>
  <c r="S635" i="14"/>
  <c r="S636" i="14"/>
  <c r="S637" i="14"/>
  <c r="S638" i="14"/>
  <c r="S639" i="14"/>
  <c r="S640" i="14"/>
  <c r="S641" i="14"/>
  <c r="S642" i="14"/>
  <c r="S643" i="14"/>
  <c r="S644" i="14"/>
  <c r="S645" i="14"/>
  <c r="S646" i="14"/>
  <c r="S647" i="14"/>
  <c r="S648" i="14"/>
  <c r="S649" i="14"/>
  <c r="S650" i="14"/>
  <c r="S651" i="14"/>
  <c r="S652" i="14"/>
  <c r="S653" i="14"/>
  <c r="S654" i="14"/>
  <c r="S655" i="14"/>
  <c r="S656" i="14"/>
  <c r="S657" i="14"/>
  <c r="S658" i="14"/>
  <c r="S659" i="14"/>
  <c r="S660" i="14"/>
  <c r="S661" i="14"/>
  <c r="S662" i="14"/>
  <c r="S663" i="14"/>
  <c r="S664" i="14"/>
  <c r="S665" i="14"/>
  <c r="S666" i="14"/>
  <c r="S667" i="14"/>
  <c r="S668" i="14"/>
  <c r="S669" i="14"/>
  <c r="S670" i="14"/>
  <c r="S671" i="14"/>
  <c r="S672" i="14"/>
  <c r="S673" i="14"/>
  <c r="S674" i="14"/>
  <c r="S675" i="14"/>
  <c r="S676" i="14"/>
  <c r="S677" i="14"/>
  <c r="S678" i="14"/>
  <c r="S679" i="14"/>
  <c r="S680" i="14"/>
  <c r="S681" i="14"/>
  <c r="S682" i="14"/>
  <c r="S683" i="14"/>
  <c r="S684" i="14"/>
  <c r="S685" i="14"/>
  <c r="S686" i="14"/>
  <c r="S687" i="14"/>
  <c r="S688" i="14"/>
  <c r="S689" i="14"/>
  <c r="S690" i="14"/>
  <c r="S691" i="14"/>
  <c r="S692" i="14"/>
  <c r="S693" i="14"/>
  <c r="S694" i="14"/>
  <c r="S695" i="14"/>
  <c r="S696" i="14"/>
  <c r="S697" i="14"/>
  <c r="S698" i="14"/>
  <c r="S699" i="14"/>
  <c r="S700" i="14"/>
  <c r="S701" i="14"/>
  <c r="S702" i="14"/>
  <c r="S703" i="14"/>
  <c r="S704" i="14"/>
  <c r="S705" i="14"/>
  <c r="S706" i="14"/>
  <c r="S707" i="14"/>
  <c r="S708" i="14"/>
  <c r="S709" i="14"/>
  <c r="S710" i="14"/>
  <c r="S711" i="14"/>
  <c r="S712" i="14"/>
  <c r="S713" i="14"/>
  <c r="S714" i="14"/>
  <c r="S715" i="14"/>
  <c r="S716" i="14"/>
  <c r="S717" i="14"/>
  <c r="S718" i="14"/>
  <c r="S719" i="14"/>
  <c r="S720" i="14"/>
  <c r="S721" i="14"/>
  <c r="S722" i="14"/>
  <c r="S723" i="14"/>
  <c r="B3" i="37" s="1"/>
  <c r="S724" i="14"/>
  <c r="S725" i="14"/>
  <c r="S726" i="14"/>
  <c r="S727" i="14"/>
  <c r="S728" i="14"/>
  <c r="S729" i="14"/>
  <c r="B10" i="37" s="1"/>
  <c r="S730" i="14"/>
  <c r="S731" i="14"/>
  <c r="S732" i="14"/>
  <c r="S733" i="14"/>
  <c r="S734" i="14"/>
  <c r="S735" i="14"/>
  <c r="S736" i="14"/>
  <c r="S737" i="14"/>
  <c r="B17" i="37" s="1"/>
  <c r="S738" i="14"/>
  <c r="S739" i="14"/>
  <c r="B20" i="37" s="1"/>
  <c r="S740" i="14"/>
  <c r="S741" i="14"/>
  <c r="S742" i="14"/>
  <c r="S743" i="14"/>
  <c r="S744" i="14"/>
  <c r="S745" i="14"/>
  <c r="S746" i="14"/>
  <c r="S747" i="14"/>
  <c r="S748" i="14"/>
  <c r="S749" i="14"/>
  <c r="S750" i="14"/>
  <c r="S751" i="14"/>
  <c r="S752" i="14"/>
  <c r="S753" i="14"/>
  <c r="B31" i="37" s="1"/>
  <c r="S754" i="14"/>
  <c r="S755" i="14"/>
  <c r="S756" i="14"/>
  <c r="S757" i="14"/>
  <c r="S758" i="14"/>
  <c r="S759" i="14"/>
  <c r="S760" i="14"/>
  <c r="B41" i="37" s="1"/>
  <c r="S761" i="14"/>
  <c r="S762" i="14"/>
  <c r="S763" i="14"/>
  <c r="S764" i="14"/>
  <c r="S765" i="14"/>
  <c r="S766" i="14"/>
  <c r="S767" i="14"/>
  <c r="S768" i="14"/>
  <c r="B49" i="37" s="1"/>
  <c r="S769" i="14"/>
  <c r="S770" i="14"/>
  <c r="S771" i="14"/>
  <c r="B52" i="37" s="1"/>
  <c r="S772" i="14"/>
  <c r="S773" i="14"/>
  <c r="S774" i="14"/>
  <c r="S775" i="14"/>
  <c r="B56" i="37" s="1"/>
  <c r="S776" i="14"/>
  <c r="S777" i="14"/>
  <c r="S778" i="14"/>
  <c r="S779" i="14"/>
  <c r="B59" i="37" s="1"/>
  <c r="S780" i="14"/>
  <c r="S781" i="14"/>
  <c r="S782" i="14"/>
  <c r="S783" i="14"/>
  <c r="S784" i="14"/>
  <c r="B65" i="37" s="1"/>
  <c r="S785" i="14"/>
  <c r="S786" i="14"/>
  <c r="S787" i="14"/>
  <c r="S788" i="14"/>
  <c r="S789" i="14"/>
  <c r="S790" i="14"/>
  <c r="S791" i="14"/>
  <c r="S792" i="14"/>
  <c r="S793" i="14"/>
  <c r="S794" i="14"/>
  <c r="S795" i="14"/>
  <c r="S796" i="14"/>
  <c r="S797" i="14"/>
  <c r="S798" i="14"/>
  <c r="S799" i="14"/>
  <c r="B77" i="37" s="1"/>
  <c r="S800" i="14"/>
  <c r="S801" i="14"/>
  <c r="B82" i="37" s="1"/>
  <c r="S802" i="14"/>
  <c r="S803" i="14"/>
  <c r="B83" i="37" s="1"/>
  <c r="S804" i="14"/>
  <c r="S805" i="14"/>
  <c r="S806" i="14"/>
  <c r="S807" i="14"/>
  <c r="S808" i="14"/>
  <c r="S809" i="14"/>
  <c r="B90" i="37" s="1"/>
  <c r="S810" i="14"/>
  <c r="S811" i="14"/>
  <c r="B92" i="37" s="1"/>
  <c r="S812" i="14"/>
  <c r="S813" i="14"/>
  <c r="S814" i="14"/>
  <c r="S815" i="14"/>
  <c r="B96" i="37" s="1"/>
  <c r="S816" i="14"/>
  <c r="S817" i="14"/>
  <c r="S818" i="14"/>
  <c r="S819" i="14"/>
  <c r="S820" i="14"/>
  <c r="S821" i="14"/>
  <c r="S822" i="14"/>
  <c r="S823" i="14"/>
  <c r="S824" i="14"/>
  <c r="S825" i="14"/>
  <c r="S826" i="14"/>
  <c r="S827" i="14"/>
  <c r="S828" i="14"/>
  <c r="S829" i="14"/>
  <c r="S830" i="14"/>
  <c r="S831" i="14"/>
  <c r="S832" i="14"/>
  <c r="S833" i="14"/>
  <c r="S834" i="14"/>
  <c r="S835" i="14"/>
  <c r="S836" i="14"/>
  <c r="S837" i="14"/>
  <c r="S838" i="14"/>
  <c r="S839" i="14"/>
  <c r="S840" i="14"/>
  <c r="B121" i="37" s="1"/>
  <c r="S841" i="14"/>
  <c r="B122" i="37" s="1"/>
  <c r="S842" i="14"/>
  <c r="S843" i="14"/>
  <c r="B124" i="37" s="1"/>
  <c r="S844" i="14"/>
  <c r="S845" i="14"/>
  <c r="S846" i="14"/>
  <c r="S847" i="14"/>
  <c r="S848" i="14"/>
  <c r="S849" i="14"/>
  <c r="S850" i="14"/>
  <c r="S851" i="14"/>
  <c r="S852" i="14"/>
  <c r="S853" i="14"/>
  <c r="S854" i="14"/>
  <c r="S855" i="14"/>
  <c r="S857" i="14"/>
  <c r="S859" i="14"/>
  <c r="S862" i="14"/>
  <c r="S864" i="14"/>
  <c r="B145" i="37" s="1"/>
  <c r="S866" i="14"/>
  <c r="S869" i="14"/>
  <c r="S871" i="14"/>
  <c r="S873" i="14"/>
  <c r="S874" i="14"/>
  <c r="S875" i="14"/>
  <c r="B156" i="37" s="1"/>
  <c r="S876" i="14"/>
  <c r="S877" i="14"/>
  <c r="S878" i="14"/>
  <c r="S879" i="14"/>
  <c r="S880" i="14"/>
  <c r="S881" i="14"/>
  <c r="S882" i="14"/>
  <c r="S883" i="14"/>
  <c r="S884" i="14"/>
  <c r="S885" i="14"/>
  <c r="B166" i="37" s="1"/>
  <c r="S886" i="14"/>
  <c r="S887" i="14"/>
  <c r="S888" i="14"/>
  <c r="S889" i="14"/>
  <c r="B167" i="37" s="1"/>
  <c r="S890" i="14"/>
  <c r="S891" i="14"/>
  <c r="S892" i="14"/>
  <c r="S893" i="14"/>
  <c r="B173" i="37" s="1"/>
  <c r="S894" i="14"/>
  <c r="S895" i="14"/>
  <c r="S896" i="14"/>
  <c r="S897" i="14"/>
  <c r="S898" i="14"/>
  <c r="S899" i="14"/>
  <c r="S900" i="14"/>
  <c r="S901" i="14"/>
  <c r="S903" i="14"/>
  <c r="S906" i="14"/>
  <c r="S907" i="14"/>
  <c r="S908" i="14"/>
  <c r="S910" i="14"/>
  <c r="S912" i="14"/>
  <c r="S913" i="14"/>
  <c r="S915" i="14"/>
  <c r="B196" i="37" s="1"/>
  <c r="S916" i="14"/>
  <c r="S918" i="14"/>
  <c r="S920" i="14"/>
  <c r="S922" i="14"/>
  <c r="S923" i="14"/>
  <c r="S925" i="14"/>
  <c r="S927" i="14"/>
  <c r="S929" i="14"/>
  <c r="S930" i="14"/>
  <c r="S932" i="14"/>
  <c r="S934" i="14"/>
  <c r="S935" i="14"/>
  <c r="B212" i="37" s="1"/>
  <c r="S936" i="14"/>
  <c r="B217" i="37" s="1"/>
  <c r="S938" i="14"/>
  <c r="B218" i="37" s="1"/>
  <c r="S941" i="14"/>
  <c r="S943" i="14"/>
  <c r="S945" i="14"/>
  <c r="S946" i="14"/>
  <c r="S947" i="14"/>
  <c r="S948" i="14"/>
  <c r="B225" i="37" s="1"/>
  <c r="S949" i="14"/>
  <c r="S950" i="14"/>
  <c r="S951" i="14"/>
  <c r="S952" i="14"/>
  <c r="S953" i="14"/>
  <c r="S954" i="14"/>
  <c r="S955" i="14"/>
  <c r="S956" i="14"/>
  <c r="S957" i="14"/>
  <c r="B238" i="37" s="1"/>
  <c r="S958" i="14"/>
  <c r="S959" i="14"/>
  <c r="S960" i="14"/>
  <c r="B241" i="37" s="1"/>
  <c r="S961" i="14"/>
  <c r="S962" i="14"/>
  <c r="S963" i="14"/>
  <c r="S964" i="14"/>
  <c r="S965" i="14"/>
  <c r="S966" i="14"/>
  <c r="S967" i="14"/>
  <c r="S968" i="14"/>
  <c r="B249" i="37" s="1"/>
  <c r="S969" i="14"/>
  <c r="S970" i="14"/>
  <c r="S971" i="14"/>
  <c r="S972" i="14"/>
  <c r="B250" i="37" s="1"/>
  <c r="S973" i="14"/>
  <c r="S974" i="14"/>
  <c r="S975" i="14"/>
  <c r="S976" i="14"/>
  <c r="S977" i="14"/>
  <c r="S978" i="14"/>
  <c r="S979" i="14"/>
  <c r="S980" i="14"/>
  <c r="S981" i="14"/>
  <c r="S982" i="14"/>
  <c r="S983" i="14"/>
  <c r="S984" i="14"/>
  <c r="B264" i="37" s="1"/>
  <c r="S985" i="14"/>
  <c r="S986" i="14"/>
  <c r="S987" i="14"/>
  <c r="S988" i="14"/>
  <c r="S989" i="14"/>
  <c r="S990" i="14"/>
  <c r="S991" i="14"/>
  <c r="S992" i="14"/>
  <c r="B273" i="37" s="1"/>
  <c r="S993" i="14"/>
  <c r="S994" i="14"/>
  <c r="S995" i="14"/>
  <c r="S996" i="14"/>
  <c r="S997" i="14"/>
  <c r="S998" i="14"/>
  <c r="S999" i="14"/>
  <c r="S1000" i="14"/>
  <c r="S1001" i="14"/>
  <c r="S1002" i="14"/>
  <c r="S1003" i="14"/>
  <c r="S1004" i="14"/>
  <c r="S1005" i="14"/>
  <c r="S1006" i="14"/>
  <c r="B287" i="37" s="1"/>
  <c r="S1007" i="14"/>
  <c r="S1008" i="14"/>
  <c r="B288" i="37" s="1"/>
  <c r="S1009" i="14"/>
  <c r="S1010" i="14"/>
  <c r="S1011" i="14"/>
  <c r="S1012" i="14"/>
  <c r="S1013" i="14"/>
  <c r="S1014" i="14"/>
  <c r="S1015" i="14"/>
  <c r="S1017" i="14"/>
  <c r="S1018" i="14"/>
  <c r="S1019" i="14"/>
  <c r="S1020" i="14"/>
  <c r="S1021" i="14"/>
  <c r="S1022" i="14"/>
  <c r="S1023" i="14"/>
  <c r="S1024" i="14"/>
  <c r="S1025" i="14"/>
  <c r="S1026" i="14"/>
  <c r="S1027" i="14"/>
  <c r="S1028" i="14"/>
  <c r="S1029" i="14"/>
  <c r="B309" i="37" s="1"/>
  <c r="S1030" i="14"/>
  <c r="S1031" i="14"/>
  <c r="S1032" i="14"/>
  <c r="S1033" i="14"/>
  <c r="S1034" i="14"/>
  <c r="S1035" i="14"/>
  <c r="S1036" i="14"/>
  <c r="S1037" i="14"/>
  <c r="B318" i="37" s="1"/>
  <c r="S1038" i="14"/>
  <c r="S1039" i="14"/>
  <c r="S1040" i="14"/>
  <c r="S1041" i="14"/>
  <c r="S1042" i="14"/>
  <c r="S1043" i="14"/>
  <c r="S1045" i="14"/>
  <c r="S1046" i="14"/>
  <c r="S1047" i="14"/>
  <c r="S1048" i="14"/>
  <c r="S1049" i="14"/>
  <c r="S1050" i="14"/>
  <c r="S1051" i="14"/>
  <c r="S1052" i="14"/>
  <c r="S1053" i="14"/>
  <c r="S1054" i="14"/>
  <c r="B335" i="37" s="1"/>
  <c r="S1055" i="14"/>
  <c r="S1056" i="14"/>
  <c r="S1057" i="14"/>
  <c r="S1058" i="14"/>
  <c r="S1059" i="14"/>
  <c r="S1060" i="14"/>
  <c r="S1061" i="14"/>
  <c r="S1062" i="14"/>
  <c r="S1063" i="14"/>
  <c r="B344" i="37" s="1"/>
  <c r="S1064" i="14"/>
  <c r="S1065" i="14"/>
  <c r="S1066" i="14"/>
  <c r="S1067" i="14"/>
  <c r="S1068" i="14"/>
  <c r="S1069" i="14"/>
  <c r="S1070" i="14"/>
  <c r="S1071" i="14"/>
  <c r="S1072" i="14"/>
  <c r="S1073" i="14"/>
  <c r="S1074" i="14"/>
  <c r="S1075" i="14"/>
  <c r="S1076" i="14"/>
  <c r="S1077" i="14"/>
  <c r="S1078" i="14"/>
  <c r="B356" i="37" s="1"/>
  <c r="S1079" i="14"/>
  <c r="S1080" i="14"/>
  <c r="S1081" i="14"/>
  <c r="S1082" i="14"/>
  <c r="B363" i="37" s="1"/>
  <c r="S1083" i="14"/>
  <c r="S1084" i="14"/>
  <c r="S1085" i="14"/>
  <c r="S1086" i="14"/>
  <c r="S1087" i="14"/>
  <c r="S1088" i="14"/>
  <c r="B369" i="37" s="1"/>
  <c r="S1089" i="14"/>
  <c r="S1090" i="14"/>
  <c r="S1091" i="14"/>
  <c r="S1092" i="14"/>
  <c r="S1093" i="14"/>
  <c r="S1094" i="14"/>
  <c r="S1095" i="14"/>
  <c r="S1096" i="14"/>
  <c r="S1097" i="14"/>
  <c r="S1098" i="14"/>
  <c r="S1099" i="14"/>
  <c r="S1100" i="14"/>
  <c r="S1101" i="14"/>
  <c r="S1102" i="14"/>
  <c r="S1103" i="14"/>
  <c r="S1104" i="14"/>
  <c r="S1105" i="14"/>
  <c r="S1106" i="14"/>
  <c r="S1107" i="14"/>
  <c r="S1108" i="14"/>
  <c r="S1109" i="14"/>
  <c r="S1110" i="14"/>
  <c r="S1111" i="14"/>
  <c r="B392" i="37" s="1"/>
  <c r="S1112" i="14"/>
  <c r="B393" i="37" s="1"/>
  <c r="S1114" i="14"/>
  <c r="J22" i="21"/>
  <c r="J23" i="21"/>
  <c r="B21" i="21"/>
  <c r="J21" i="21" s="1"/>
  <c r="H2477" i="14" s="1"/>
  <c r="I2477" i="14" s="1"/>
  <c r="N2477" i="14" s="1"/>
  <c r="B12" i="21"/>
  <c r="J12" i="21" s="1"/>
  <c r="J18" i="21"/>
  <c r="J20" i="21"/>
  <c r="J30" i="21"/>
  <c r="J28" i="21"/>
  <c r="J27" i="21"/>
  <c r="J26" i="21"/>
  <c r="J25" i="21"/>
  <c r="J24" i="21"/>
  <c r="J19" i="21"/>
  <c r="J17" i="21"/>
  <c r="H2479" i="14" s="1"/>
  <c r="I2479" i="14" s="1"/>
  <c r="N2479" i="14" s="1"/>
  <c r="W367" i="14"/>
  <c r="J11" i="21"/>
  <c r="J78" i="21" s="1"/>
  <c r="J14" i="21"/>
  <c r="I367" i="14"/>
  <c r="N367" i="14" s="1"/>
  <c r="B1109" i="14"/>
  <c r="B1116" i="14" s="1"/>
  <c r="B1123" i="14" s="1"/>
  <c r="B1130" i="14" s="1"/>
  <c r="B1137" i="14" s="1"/>
  <c r="B1144" i="14" s="1"/>
  <c r="B1151" i="14" s="1"/>
  <c r="B1158" i="14" s="1"/>
  <c r="B1165" i="14" s="1"/>
  <c r="B1172" i="14" s="1"/>
  <c r="B1179" i="14" s="1"/>
  <c r="B1186" i="14" s="1"/>
  <c r="B1193" i="14" s="1"/>
  <c r="B1200" i="14" s="1"/>
  <c r="B1207" i="14" s="1"/>
  <c r="B1214" i="14" s="1"/>
  <c r="B1221" i="14" s="1"/>
  <c r="B1228" i="14" s="1"/>
  <c r="B1235" i="14" s="1"/>
  <c r="B1242" i="14" s="1"/>
  <c r="B1249" i="14" s="1"/>
  <c r="B1256" i="14" s="1"/>
  <c r="B1263" i="14" s="1"/>
  <c r="B1270" i="14" s="1"/>
  <c r="B1277" i="14" s="1"/>
  <c r="B1284" i="14" s="1"/>
  <c r="B1291" i="14" s="1"/>
  <c r="B1298" i="14" s="1"/>
  <c r="B1305" i="14" s="1"/>
  <c r="B1312" i="14" s="1"/>
  <c r="B1319" i="14" s="1"/>
  <c r="B1326" i="14" s="1"/>
  <c r="B1333" i="14" s="1"/>
  <c r="B1340" i="14" s="1"/>
  <c r="B1347" i="14" s="1"/>
  <c r="B1354" i="14" s="1"/>
  <c r="B1361" i="14" s="1"/>
  <c r="B1368" i="14" s="1"/>
  <c r="B1375" i="14" s="1"/>
  <c r="B1382" i="14" s="1"/>
  <c r="B1389" i="14" s="1"/>
  <c r="B1396" i="14" s="1"/>
  <c r="B1403" i="14" s="1"/>
  <c r="B1410" i="14" s="1"/>
  <c r="B1417" i="14" s="1"/>
  <c r="B1424" i="14" s="1"/>
  <c r="B1431" i="14" s="1"/>
  <c r="B1438" i="14" s="1"/>
  <c r="B1445" i="14" s="1"/>
  <c r="B1452" i="14" s="1"/>
  <c r="B7" i="14"/>
  <c r="B5" i="33" s="1"/>
  <c r="B7" i="33" s="1"/>
  <c r="B5" i="14"/>
  <c r="B4" i="33" s="1"/>
  <c r="B14" i="14"/>
  <c r="C5" i="33" s="1"/>
  <c r="C7" i="33" s="1"/>
  <c r="B12" i="14"/>
  <c r="C4" i="33" s="1"/>
  <c r="B21" i="14"/>
  <c r="D5" i="33" s="1"/>
  <c r="B19" i="14"/>
  <c r="D4" i="33" s="1"/>
  <c r="B28" i="14"/>
  <c r="E5" i="33" s="1"/>
  <c r="E7" i="33" s="1"/>
  <c r="B26" i="14"/>
  <c r="E4" i="33" s="1"/>
  <c r="B35" i="14"/>
  <c r="F5" i="33" s="1"/>
  <c r="F7" i="33" s="1"/>
  <c r="B33" i="14"/>
  <c r="F4" i="33" s="1"/>
  <c r="B42" i="14"/>
  <c r="G5" i="33" s="1"/>
  <c r="G7" i="33" s="1"/>
  <c r="B40" i="14"/>
  <c r="G4" i="33" s="1"/>
  <c r="B49" i="14"/>
  <c r="H5" i="33" s="1"/>
  <c r="H7" i="33" s="1"/>
  <c r="B47" i="14"/>
  <c r="H4" i="33" s="1"/>
  <c r="B56" i="14"/>
  <c r="I5" i="33" s="1"/>
  <c r="I7" i="33" s="1"/>
  <c r="B54" i="14"/>
  <c r="I4" i="33" s="1"/>
  <c r="B63" i="14"/>
  <c r="J5" i="33" s="1"/>
  <c r="J7" i="33" s="1"/>
  <c r="B61" i="14"/>
  <c r="J4" i="33" s="1"/>
  <c r="B70" i="14"/>
  <c r="K5" i="33" s="1"/>
  <c r="K7" i="33" s="1"/>
  <c r="B68" i="14"/>
  <c r="K4" i="33" s="1"/>
  <c r="B84" i="14"/>
  <c r="M5" i="33" s="1"/>
  <c r="M7" i="33" s="1"/>
  <c r="B98" i="14"/>
  <c r="O5" i="33" s="1"/>
  <c r="O7" i="33" s="1"/>
  <c r="B105" i="14"/>
  <c r="P5" i="33" s="1"/>
  <c r="P7" i="33" s="1"/>
  <c r="B112" i="14"/>
  <c r="Q5" i="33" s="1"/>
  <c r="Q7" i="33" s="1"/>
  <c r="B119" i="14"/>
  <c r="R5" i="33" s="1"/>
  <c r="R7" i="33" s="1"/>
  <c r="B126" i="14"/>
  <c r="S5" i="33" s="1"/>
  <c r="S7" i="33" s="1"/>
  <c r="B133" i="14"/>
  <c r="T5" i="33" s="1"/>
  <c r="T7" i="33" s="1"/>
  <c r="B140" i="14"/>
  <c r="U5" i="33" s="1"/>
  <c r="U7" i="33" s="1"/>
  <c r="B147" i="14"/>
  <c r="V5" i="33" s="1"/>
  <c r="V7" i="33" s="1"/>
  <c r="B154" i="14"/>
  <c r="W5" i="33" s="1"/>
  <c r="W7" i="33" s="1"/>
  <c r="B161" i="14"/>
  <c r="X5" i="33" s="1"/>
  <c r="X7" i="33" s="1"/>
  <c r="B168" i="14"/>
  <c r="Y5" i="33" s="1"/>
  <c r="Y7" i="33" s="1"/>
  <c r="B175" i="14"/>
  <c r="Z5" i="33" s="1"/>
  <c r="Z7" i="33" s="1"/>
  <c r="B182" i="14"/>
  <c r="AA5" i="33" s="1"/>
  <c r="AA7" i="33" s="1"/>
  <c r="B189" i="14"/>
  <c r="AB5" i="33" s="1"/>
  <c r="AB7" i="33" s="1"/>
  <c r="B196" i="14"/>
  <c r="AC5" i="33" s="1"/>
  <c r="AC7" i="33" s="1"/>
  <c r="B203" i="14"/>
  <c r="AD5" i="33" s="1"/>
  <c r="AD7" i="33" s="1"/>
  <c r="B210" i="14"/>
  <c r="AE5" i="33" s="1"/>
  <c r="AE7" i="33" s="1"/>
  <c r="B217" i="14"/>
  <c r="AF5" i="33" s="1"/>
  <c r="AF7" i="33" s="1"/>
  <c r="B224" i="14"/>
  <c r="AG5" i="33" s="1"/>
  <c r="AG7" i="33" s="1"/>
  <c r="B231" i="14"/>
  <c r="AH5" i="33" s="1"/>
  <c r="AH7" i="33" s="1"/>
  <c r="B238" i="14"/>
  <c r="AI5" i="33" s="1"/>
  <c r="AI7" i="33" s="1"/>
  <c r="B245" i="14"/>
  <c r="AJ5" i="33" s="1"/>
  <c r="AJ7" i="33" s="1"/>
  <c r="B252" i="14"/>
  <c r="AK5" i="33" s="1"/>
  <c r="AK7" i="33" s="1"/>
  <c r="B259" i="14"/>
  <c r="AL5" i="33" s="1"/>
  <c r="AL7" i="33" s="1"/>
  <c r="B266" i="14"/>
  <c r="AM5" i="33" s="1"/>
  <c r="AM7" i="33" s="1"/>
  <c r="B273" i="14"/>
  <c r="AN5" i="33" s="1"/>
  <c r="AN7" i="33" s="1"/>
  <c r="B287" i="14"/>
  <c r="AP5" i="33" s="1"/>
  <c r="AP7" i="33" s="1"/>
  <c r="B294" i="14"/>
  <c r="AQ5" i="33" s="1"/>
  <c r="AQ7" i="33" s="1"/>
  <c r="B301" i="14"/>
  <c r="AR5" i="33" s="1"/>
  <c r="AR7" i="33" s="1"/>
  <c r="B308" i="14"/>
  <c r="AS5" i="33" s="1"/>
  <c r="AS7" i="33" s="1"/>
  <c r="B315" i="14"/>
  <c r="AT5" i="33" s="1"/>
  <c r="AT7" i="33" s="1"/>
  <c r="B322" i="14"/>
  <c r="AU5" i="33" s="1"/>
  <c r="AU7" i="33" s="1"/>
  <c r="B329" i="14"/>
  <c r="AV5" i="33" s="1"/>
  <c r="AV7" i="33" s="1"/>
  <c r="B336" i="14"/>
  <c r="AW5" i="33" s="1"/>
  <c r="AW7" i="33" s="1"/>
  <c r="B343" i="14"/>
  <c r="AX5" i="33" s="1"/>
  <c r="AX7" i="33" s="1"/>
  <c r="B350" i="14"/>
  <c r="AY5" i="33" s="1"/>
  <c r="AY7" i="33" s="1"/>
  <c r="B357" i="14"/>
  <c r="AZ5" i="33" s="1"/>
  <c r="AZ7" i="33" s="1"/>
  <c r="B364" i="14"/>
  <c r="BA5" i="33" s="1"/>
  <c r="BA7" i="33" s="1"/>
  <c r="P733" i="14"/>
  <c r="R733" i="14"/>
  <c r="P735" i="14"/>
  <c r="R735" i="14"/>
  <c r="P739" i="14"/>
  <c r="R739" i="14"/>
  <c r="P740" i="14"/>
  <c r="R740" i="14"/>
  <c r="P742" i="14"/>
  <c r="R742" i="14"/>
  <c r="P744" i="14"/>
  <c r="R744" i="14"/>
  <c r="P745" i="14"/>
  <c r="R745" i="14"/>
  <c r="P747" i="14"/>
  <c r="R747" i="14"/>
  <c r="P749" i="14"/>
  <c r="R749" i="14"/>
  <c r="P757" i="14"/>
  <c r="R757" i="14"/>
  <c r="P759" i="14"/>
  <c r="R759" i="14"/>
  <c r="P843" i="14"/>
  <c r="R843" i="14"/>
  <c r="P864" i="14"/>
  <c r="R864" i="14"/>
  <c r="P871" i="14"/>
  <c r="R871" i="14"/>
  <c r="P873" i="14"/>
  <c r="R873" i="14"/>
  <c r="P899" i="14"/>
  <c r="R899" i="14"/>
  <c r="P901" i="14"/>
  <c r="R901" i="14"/>
  <c r="P920" i="14"/>
  <c r="R920" i="14"/>
  <c r="P925" i="14"/>
  <c r="R925" i="14"/>
  <c r="P946" i="14"/>
  <c r="R946" i="14"/>
  <c r="P948" i="14"/>
  <c r="R948" i="14"/>
  <c r="P995" i="14"/>
  <c r="R995" i="14"/>
  <c r="P1004" i="14"/>
  <c r="R1004" i="14"/>
  <c r="P1013" i="14"/>
  <c r="R1013" i="14"/>
  <c r="P1016" i="14"/>
  <c r="R1016" i="14"/>
  <c r="P1031" i="14"/>
  <c r="R1031" i="14"/>
  <c r="P1032" i="14"/>
  <c r="R1032" i="14"/>
  <c r="P1033" i="14"/>
  <c r="R1033" i="14"/>
  <c r="P1039" i="14"/>
  <c r="R1039" i="14"/>
  <c r="P1043" i="14"/>
  <c r="R1043" i="14"/>
  <c r="P1053" i="14"/>
  <c r="R1053" i="14"/>
  <c r="P1095" i="14"/>
  <c r="R1095" i="14"/>
  <c r="P1097" i="14"/>
  <c r="R1097" i="14"/>
  <c r="P1102" i="14"/>
  <c r="R1102" i="14"/>
  <c r="P1107" i="14"/>
  <c r="R1107" i="14"/>
  <c r="P1109" i="14"/>
  <c r="R1109" i="14"/>
  <c r="P1114" i="14"/>
  <c r="R1114" i="14"/>
  <c r="I742" i="14"/>
  <c r="N742" i="14" s="1"/>
  <c r="I761" i="14"/>
  <c r="N761" i="14" s="1"/>
  <c r="I771" i="14"/>
  <c r="N771" i="14" s="1"/>
  <c r="I1031" i="14"/>
  <c r="N1031" i="14" s="1"/>
  <c r="B12" i="30"/>
  <c r="B16" i="30" s="1"/>
  <c r="B34" i="30"/>
  <c r="B35" i="30" s="1"/>
  <c r="B52" i="30"/>
  <c r="L332" i="30" s="1"/>
  <c r="B69" i="30"/>
  <c r="B70" i="30" s="1"/>
  <c r="L333" i="30" s="1"/>
  <c r="B78" i="30"/>
  <c r="B79" i="30"/>
  <c r="B80" i="30"/>
  <c r="B81" i="30"/>
  <c r="B82" i="30"/>
  <c r="B83" i="30"/>
  <c r="B84" i="30"/>
  <c r="B85" i="30"/>
  <c r="B86" i="30"/>
  <c r="B87" i="30"/>
  <c r="B94" i="30"/>
  <c r="B95" i="30"/>
  <c r="B96" i="30"/>
  <c r="B97" i="30"/>
  <c r="B98" i="30"/>
  <c r="B99" i="30"/>
  <c r="B100" i="30"/>
  <c r="B101" i="30"/>
  <c r="B102" i="30"/>
  <c r="B103" i="30"/>
  <c r="B104" i="30"/>
  <c r="B105" i="30"/>
  <c r="B112" i="30"/>
  <c r="B113" i="30"/>
  <c r="B114" i="30"/>
  <c r="B115" i="30"/>
  <c r="B116" i="30"/>
  <c r="B117" i="30"/>
  <c r="B118" i="30"/>
  <c r="B119" i="30"/>
  <c r="B120" i="30"/>
  <c r="B121" i="30"/>
  <c r="B122" i="30"/>
  <c r="B123" i="30"/>
  <c r="B130" i="30"/>
  <c r="B131" i="30"/>
  <c r="B132" i="30"/>
  <c r="B133" i="30"/>
  <c r="B134" i="30"/>
  <c r="B135" i="30"/>
  <c r="B136" i="30"/>
  <c r="B137" i="30"/>
  <c r="B138" i="30"/>
  <c r="B139" i="30"/>
  <c r="B140" i="30"/>
  <c r="B141" i="30"/>
  <c r="B148" i="30"/>
  <c r="B149" i="30"/>
  <c r="B150" i="30"/>
  <c r="B151" i="30"/>
  <c r="B152" i="30"/>
  <c r="B153" i="30"/>
  <c r="B154" i="30"/>
  <c r="B155" i="30"/>
  <c r="B156" i="30"/>
  <c r="B157" i="30"/>
  <c r="B158" i="30"/>
  <c r="B159" i="30"/>
  <c r="B166" i="30"/>
  <c r="B167" i="30"/>
  <c r="B168" i="30"/>
  <c r="B169" i="30"/>
  <c r="B170" i="30"/>
  <c r="B171" i="30"/>
  <c r="B172" i="30"/>
  <c r="B173" i="30"/>
  <c r="B174" i="30"/>
  <c r="B175" i="30"/>
  <c r="B176" i="30"/>
  <c r="B177" i="30"/>
  <c r="B184" i="30"/>
  <c r="B185" i="30"/>
  <c r="B186" i="30"/>
  <c r="B187" i="30"/>
  <c r="B188" i="30"/>
  <c r="B189" i="30"/>
  <c r="B190" i="30"/>
  <c r="B191" i="30"/>
  <c r="B192" i="30"/>
  <c r="B193" i="30"/>
  <c r="B194" i="30"/>
  <c r="B195" i="30"/>
  <c r="B202" i="30"/>
  <c r="B203" i="30"/>
  <c r="P74" i="14"/>
  <c r="R74" i="14"/>
  <c r="P76" i="14"/>
  <c r="R76" i="14"/>
  <c r="P78" i="14"/>
  <c r="R78" i="14"/>
  <c r="P80" i="14"/>
  <c r="R80" i="14"/>
  <c r="P82" i="14"/>
  <c r="R82" i="14"/>
  <c r="P84" i="14"/>
  <c r="R84" i="14"/>
  <c r="P86" i="14"/>
  <c r="R86" i="14"/>
  <c r="P87" i="14"/>
  <c r="R87" i="14"/>
  <c r="P89" i="14"/>
  <c r="R89" i="14"/>
  <c r="P90" i="14"/>
  <c r="R90" i="14"/>
  <c r="P93" i="14"/>
  <c r="R93" i="14"/>
  <c r="P97" i="14"/>
  <c r="R97" i="14"/>
  <c r="P98" i="14"/>
  <c r="R98" i="14"/>
  <c r="P101" i="14"/>
  <c r="R101" i="14"/>
  <c r="P104" i="14"/>
  <c r="R104" i="14"/>
  <c r="P106" i="14"/>
  <c r="R106" i="14"/>
  <c r="P108" i="14"/>
  <c r="R108" i="14"/>
  <c r="P109" i="14"/>
  <c r="R109" i="14"/>
  <c r="P112" i="14"/>
  <c r="R112" i="14"/>
  <c r="P113" i="14"/>
  <c r="R113" i="14"/>
  <c r="P115" i="14"/>
  <c r="R115" i="14"/>
  <c r="P116" i="14"/>
  <c r="R116" i="14"/>
  <c r="P119" i="14"/>
  <c r="R119" i="14"/>
  <c r="P121" i="14"/>
  <c r="R121" i="14"/>
  <c r="P122" i="14"/>
  <c r="R122" i="14"/>
  <c r="P125" i="14"/>
  <c r="R125" i="14"/>
  <c r="P127" i="14"/>
  <c r="R127" i="14"/>
  <c r="P129" i="14"/>
  <c r="R129" i="14"/>
  <c r="P132" i="14"/>
  <c r="R132" i="14"/>
  <c r="P134" i="14"/>
  <c r="R134" i="14"/>
  <c r="P135" i="14"/>
  <c r="R135" i="14"/>
  <c r="P137" i="14"/>
  <c r="R137" i="14"/>
  <c r="P139" i="14"/>
  <c r="R139" i="14"/>
  <c r="P140" i="14"/>
  <c r="R140" i="14"/>
  <c r="P141" i="14"/>
  <c r="R141" i="14"/>
  <c r="P142" i="14"/>
  <c r="R142" i="14"/>
  <c r="P143" i="14"/>
  <c r="R143" i="14"/>
  <c r="P144" i="14"/>
  <c r="R144" i="14"/>
  <c r="P145" i="14"/>
  <c r="R145" i="14"/>
  <c r="P146" i="14"/>
  <c r="R146" i="14"/>
  <c r="P148" i="14"/>
  <c r="R148" i="14"/>
  <c r="P150" i="14"/>
  <c r="R150" i="14"/>
  <c r="P153" i="14"/>
  <c r="R153" i="14"/>
  <c r="P155" i="14"/>
  <c r="R155" i="14"/>
  <c r="P156" i="14"/>
  <c r="R156" i="14"/>
  <c r="P157" i="14"/>
  <c r="R157" i="14"/>
  <c r="P160" i="14"/>
  <c r="R160" i="14"/>
  <c r="P161" i="14"/>
  <c r="R161" i="14"/>
  <c r="P162" i="14"/>
  <c r="R162" i="14"/>
  <c r="P164" i="14"/>
  <c r="R164" i="14"/>
  <c r="P165" i="14"/>
  <c r="R165" i="14"/>
  <c r="P167" i="14"/>
  <c r="R167" i="14"/>
  <c r="P171" i="14"/>
  <c r="R171" i="14"/>
  <c r="P176" i="14"/>
  <c r="R176" i="14"/>
  <c r="P178" i="14"/>
  <c r="R178" i="14"/>
  <c r="P181" i="14"/>
  <c r="R181" i="14"/>
  <c r="P185" i="14"/>
  <c r="R185" i="14"/>
  <c r="P188" i="14"/>
  <c r="R188" i="14"/>
  <c r="P192" i="14"/>
  <c r="R192" i="14"/>
  <c r="P195" i="14"/>
  <c r="R195" i="14"/>
  <c r="P197" i="14"/>
  <c r="R197" i="14"/>
  <c r="P199" i="14"/>
  <c r="R199" i="14"/>
  <c r="P202" i="14"/>
  <c r="R202" i="14"/>
  <c r="P206" i="14"/>
  <c r="R206" i="14"/>
  <c r="P211" i="14"/>
  <c r="R211" i="14"/>
  <c r="P213" i="14"/>
  <c r="R213" i="14"/>
  <c r="P214" i="14"/>
  <c r="R214" i="14"/>
  <c r="P215" i="14"/>
  <c r="R215" i="14"/>
  <c r="P218" i="14"/>
  <c r="R218" i="14"/>
  <c r="P220" i="14"/>
  <c r="R220" i="14"/>
  <c r="P223" i="14"/>
  <c r="R223" i="14"/>
  <c r="P224" i="14"/>
  <c r="R224" i="14"/>
  <c r="P226" i="14"/>
  <c r="R226" i="14"/>
  <c r="P227" i="14"/>
  <c r="R227" i="14"/>
  <c r="P228" i="14"/>
  <c r="R228" i="14"/>
  <c r="P232" i="14"/>
  <c r="R232" i="14"/>
  <c r="P234" i="14"/>
  <c r="R234" i="14"/>
  <c r="P237" i="14"/>
  <c r="R237" i="14"/>
  <c r="P240" i="14"/>
  <c r="R240" i="14"/>
  <c r="P242" i="14"/>
  <c r="R242" i="14"/>
  <c r="P244" i="14"/>
  <c r="R244" i="14"/>
  <c r="P245" i="14"/>
  <c r="R245" i="14"/>
  <c r="P248" i="14"/>
  <c r="R248" i="14"/>
  <c r="P249" i="14"/>
  <c r="R249" i="14"/>
  <c r="P251" i="14"/>
  <c r="R251" i="14"/>
  <c r="P254" i="14"/>
  <c r="R254" i="14"/>
  <c r="P256" i="14"/>
  <c r="R256" i="14"/>
  <c r="P258" i="14"/>
  <c r="R258" i="14"/>
  <c r="P259" i="14"/>
  <c r="R259" i="14"/>
  <c r="P260" i="14"/>
  <c r="R260" i="14"/>
  <c r="P261" i="14"/>
  <c r="R261" i="14"/>
  <c r="P262" i="14"/>
  <c r="R262" i="14"/>
  <c r="P263" i="14"/>
  <c r="R263" i="14"/>
  <c r="P264" i="14"/>
  <c r="R264" i="14"/>
  <c r="P266" i="14"/>
  <c r="R266" i="14"/>
  <c r="P268" i="14"/>
  <c r="R268" i="14"/>
  <c r="P269" i="14"/>
  <c r="R269" i="14"/>
  <c r="P270" i="14"/>
  <c r="R270" i="14"/>
  <c r="P272" i="14"/>
  <c r="R272" i="14"/>
  <c r="P274" i="14"/>
  <c r="R274" i="14"/>
  <c r="P275" i="14"/>
  <c r="R275" i="14"/>
  <c r="P277" i="14"/>
  <c r="R277" i="14"/>
  <c r="P278" i="14"/>
  <c r="R278" i="14"/>
  <c r="P279" i="14"/>
  <c r="R279" i="14"/>
  <c r="P281" i="14"/>
  <c r="R281" i="14"/>
  <c r="P283" i="14"/>
  <c r="R283" i="14"/>
  <c r="P285" i="14"/>
  <c r="R285" i="14"/>
  <c r="P287" i="14"/>
  <c r="R287" i="14"/>
  <c r="P289" i="14"/>
  <c r="R289" i="14"/>
  <c r="P291" i="14"/>
  <c r="R291" i="14"/>
  <c r="P293" i="14"/>
  <c r="R293" i="14"/>
  <c r="P295" i="14"/>
  <c r="R295" i="14"/>
  <c r="P297" i="14"/>
  <c r="R297" i="14"/>
  <c r="P299" i="14"/>
  <c r="R299" i="14"/>
  <c r="P300" i="14"/>
  <c r="R300" i="14"/>
  <c r="P301" i="14"/>
  <c r="R301" i="14"/>
  <c r="P302" i="14"/>
  <c r="R302" i="14"/>
  <c r="P304" i="14"/>
  <c r="R304" i="14"/>
  <c r="P306" i="14"/>
  <c r="R306" i="14"/>
  <c r="P308" i="14"/>
  <c r="R308" i="14"/>
  <c r="P310" i="14"/>
  <c r="R310" i="14"/>
  <c r="P311" i="14"/>
  <c r="R311" i="14"/>
  <c r="P313" i="14"/>
  <c r="R313" i="14"/>
  <c r="P314" i="14"/>
  <c r="R314" i="14"/>
  <c r="P316" i="14"/>
  <c r="R316" i="14"/>
  <c r="P318" i="14"/>
  <c r="R318" i="14"/>
  <c r="P321" i="14"/>
  <c r="R321" i="14"/>
  <c r="P323" i="14"/>
  <c r="R323" i="14"/>
  <c r="P325" i="14"/>
  <c r="R325" i="14"/>
  <c r="P326" i="14"/>
  <c r="R326" i="14"/>
  <c r="P328" i="14"/>
  <c r="R328" i="14"/>
  <c r="P329" i="14"/>
  <c r="R329" i="14"/>
  <c r="P331" i="14"/>
  <c r="R331" i="14"/>
  <c r="P332" i="14"/>
  <c r="R332" i="14"/>
  <c r="P335" i="14"/>
  <c r="R335" i="14"/>
  <c r="P337" i="14"/>
  <c r="R337" i="14"/>
  <c r="P338" i="14"/>
  <c r="R338" i="14"/>
  <c r="P339" i="14"/>
  <c r="R339" i="14"/>
  <c r="P341" i="14"/>
  <c r="R341" i="14"/>
  <c r="P343" i="14"/>
  <c r="R343" i="14"/>
  <c r="P344" i="14"/>
  <c r="R344" i="14"/>
  <c r="P346" i="14"/>
  <c r="R346" i="14"/>
  <c r="P347" i="14"/>
  <c r="R347" i="14"/>
  <c r="P349" i="14"/>
  <c r="R349" i="14"/>
  <c r="P351" i="14"/>
  <c r="R351" i="14"/>
  <c r="P353" i="14"/>
  <c r="R353" i="14"/>
  <c r="P356" i="14"/>
  <c r="R356" i="14"/>
  <c r="P357" i="14"/>
  <c r="R357" i="14"/>
  <c r="P359" i="14"/>
  <c r="R359" i="14"/>
  <c r="P360" i="14"/>
  <c r="R360" i="14"/>
  <c r="P361" i="14"/>
  <c r="R361" i="14"/>
  <c r="P362" i="14"/>
  <c r="R362" i="14"/>
  <c r="P364" i="14"/>
  <c r="R364" i="14"/>
  <c r="P366" i="14"/>
  <c r="R366" i="14"/>
  <c r="P368" i="14"/>
  <c r="R368" i="14"/>
  <c r="P369" i="14"/>
  <c r="R369" i="14"/>
  <c r="N368" i="14"/>
  <c r="V368" i="14"/>
  <c r="N369" i="14"/>
  <c r="I370" i="14"/>
  <c r="N370" i="14" s="1"/>
  <c r="P371" i="14"/>
  <c r="R371" i="14"/>
  <c r="I372" i="14"/>
  <c r="N372" i="14" s="1"/>
  <c r="I373" i="14"/>
  <c r="N373" i="14" s="1"/>
  <c r="B374" i="14"/>
  <c r="B381" i="14" s="1"/>
  <c r="B388" i="14" s="1"/>
  <c r="B395" i="14" s="1"/>
  <c r="B402" i="14" s="1"/>
  <c r="B409" i="14" s="1"/>
  <c r="B416" i="14" s="1"/>
  <c r="B423" i="14" s="1"/>
  <c r="B430" i="14" s="1"/>
  <c r="B437" i="14" s="1"/>
  <c r="B444" i="14" s="1"/>
  <c r="B451" i="14" s="1"/>
  <c r="B458" i="14" s="1"/>
  <c r="B465" i="14" s="1"/>
  <c r="B472" i="14" s="1"/>
  <c r="B479" i="14" s="1"/>
  <c r="B486" i="14" s="1"/>
  <c r="B493" i="14" s="1"/>
  <c r="B500" i="14" s="1"/>
  <c r="B507" i="14" s="1"/>
  <c r="B514" i="14" s="1"/>
  <c r="B521" i="14" s="1"/>
  <c r="B528" i="14" s="1"/>
  <c r="B535" i="14" s="1"/>
  <c r="B542" i="14" s="1"/>
  <c r="B549" i="14" s="1"/>
  <c r="B556" i="14" s="1"/>
  <c r="B563" i="14" s="1"/>
  <c r="B570" i="14" s="1"/>
  <c r="B577" i="14" s="1"/>
  <c r="B584" i="14" s="1"/>
  <c r="B591" i="14" s="1"/>
  <c r="B598" i="14" s="1"/>
  <c r="B605" i="14" s="1"/>
  <c r="B612" i="14" s="1"/>
  <c r="B619" i="14" s="1"/>
  <c r="B626" i="14" s="1"/>
  <c r="B633" i="14" s="1"/>
  <c r="B640" i="14" s="1"/>
  <c r="B647" i="14" s="1"/>
  <c r="B654" i="14" s="1"/>
  <c r="B661" i="14" s="1"/>
  <c r="B668" i="14" s="1"/>
  <c r="B675" i="14" s="1"/>
  <c r="B682" i="14" s="1"/>
  <c r="B689" i="14" s="1"/>
  <c r="B696" i="14" s="1"/>
  <c r="B703" i="14" s="1"/>
  <c r="B710" i="14" s="1"/>
  <c r="B717" i="14" s="1"/>
  <c r="B724" i="14" s="1"/>
  <c r="P374" i="14"/>
  <c r="R374" i="14"/>
  <c r="I375" i="14"/>
  <c r="N375" i="14" s="1"/>
  <c r="I376" i="14"/>
  <c r="N376" i="14" s="1"/>
  <c r="P377" i="14"/>
  <c r="R377" i="14"/>
  <c r="P378" i="14"/>
  <c r="R378" i="14"/>
  <c r="I379" i="14"/>
  <c r="N379" i="14" s="1"/>
  <c r="I380" i="14"/>
  <c r="N380" i="14" s="1"/>
  <c r="P381" i="14"/>
  <c r="R381" i="14"/>
  <c r="I382" i="14"/>
  <c r="N382" i="14" s="1"/>
  <c r="I383" i="14"/>
  <c r="N383" i="14" s="1"/>
  <c r="P384" i="14"/>
  <c r="R384" i="14"/>
  <c r="N385" i="14"/>
  <c r="P385" i="14"/>
  <c r="R385" i="14"/>
  <c r="P386" i="14"/>
  <c r="R386" i="14"/>
  <c r="I387" i="14"/>
  <c r="N387" i="14" s="1"/>
  <c r="P387" i="14"/>
  <c r="R387" i="14"/>
  <c r="P388" i="14"/>
  <c r="R388" i="14"/>
  <c r="P389" i="14"/>
  <c r="R389" i="14"/>
  <c r="I390" i="14"/>
  <c r="N390" i="14" s="1"/>
  <c r="P391" i="14"/>
  <c r="R391" i="14"/>
  <c r="I392" i="14"/>
  <c r="N392" i="14" s="1"/>
  <c r="P393" i="14"/>
  <c r="R393" i="14"/>
  <c r="I394" i="14"/>
  <c r="N394" i="14" s="1"/>
  <c r="P395" i="14"/>
  <c r="R395" i="14"/>
  <c r="I396" i="14"/>
  <c r="N396" i="14"/>
  <c r="I397" i="14"/>
  <c r="N397" i="14" s="1"/>
  <c r="P398" i="14"/>
  <c r="R398" i="14"/>
  <c r="I399" i="14"/>
  <c r="N399" i="14" s="1"/>
  <c r="I400" i="14"/>
  <c r="N400" i="14" s="1"/>
  <c r="P401" i="14"/>
  <c r="R401" i="14"/>
  <c r="I402" i="14"/>
  <c r="N402" i="14" s="1"/>
  <c r="P403" i="14"/>
  <c r="R403" i="14"/>
  <c r="I404" i="14"/>
  <c r="N404" i="14" s="1"/>
  <c r="P405" i="14"/>
  <c r="R405" i="14"/>
  <c r="I406" i="14"/>
  <c r="N406" i="14" s="1"/>
  <c r="P407" i="14"/>
  <c r="R407" i="14"/>
  <c r="I408" i="14"/>
  <c r="N408" i="14" s="1"/>
  <c r="P409" i="14"/>
  <c r="R409" i="14"/>
  <c r="I410" i="14"/>
  <c r="N410" i="14" s="1"/>
  <c r="I411" i="14"/>
  <c r="N411" i="14" s="1"/>
  <c r="P412" i="14"/>
  <c r="R412" i="14"/>
  <c r="I413" i="14"/>
  <c r="N413" i="14" s="1"/>
  <c r="P414" i="14"/>
  <c r="R414" i="14"/>
  <c r="I415" i="14"/>
  <c r="N415" i="14" s="1"/>
  <c r="P416" i="14"/>
  <c r="R416" i="14"/>
  <c r="I417" i="14"/>
  <c r="N417" i="14" s="1"/>
  <c r="I418" i="14"/>
  <c r="N418" i="14" s="1"/>
  <c r="P419" i="14"/>
  <c r="R419" i="14"/>
  <c r="I420" i="14"/>
  <c r="N420" i="14" s="1"/>
  <c r="P421" i="14"/>
  <c r="R421" i="14"/>
  <c r="I422" i="14"/>
  <c r="N422" i="14" s="1"/>
  <c r="P422" i="14"/>
  <c r="R422" i="14"/>
  <c r="P423" i="14"/>
  <c r="R423" i="14"/>
  <c r="P424" i="14"/>
  <c r="R424" i="14"/>
  <c r="I425" i="14"/>
  <c r="N425" i="14" s="1"/>
  <c r="P426" i="14"/>
  <c r="R426" i="14"/>
  <c r="P427" i="14"/>
  <c r="R427" i="14"/>
  <c r="P428" i="14"/>
  <c r="R428" i="14"/>
  <c r="P429" i="14"/>
  <c r="R429" i="14"/>
  <c r="P430" i="14"/>
  <c r="R430" i="14"/>
  <c r="I431" i="14"/>
  <c r="N431" i="14" s="1"/>
  <c r="I433" i="14"/>
  <c r="N433" i="14" s="1"/>
  <c r="I434" i="14"/>
  <c r="N434" i="14" s="1"/>
  <c r="I435" i="14"/>
  <c r="N435" i="14" s="1"/>
  <c r="P436" i="14"/>
  <c r="R436" i="14"/>
  <c r="P437" i="14"/>
  <c r="R437" i="14"/>
  <c r="I438" i="14"/>
  <c r="N438" i="14" s="1"/>
  <c r="I439" i="14"/>
  <c r="N439" i="14" s="1"/>
  <c r="P440" i="14"/>
  <c r="R440" i="14"/>
  <c r="I441" i="14"/>
  <c r="N441" i="14" s="1"/>
  <c r="I442" i="14"/>
  <c r="N442" i="14" s="1"/>
  <c r="I443" i="14"/>
  <c r="N443" i="14" s="1"/>
  <c r="P444" i="14"/>
  <c r="R444" i="14"/>
  <c r="I445" i="14"/>
  <c r="N445" i="14" s="1"/>
  <c r="I446" i="14"/>
  <c r="N446" i="14" s="1"/>
  <c r="I447" i="14"/>
  <c r="N447" i="14" s="1"/>
  <c r="I448" i="14"/>
  <c r="N448" i="14" s="1"/>
  <c r="I449" i="14"/>
  <c r="N449" i="14" s="1"/>
  <c r="P450" i="14"/>
  <c r="R450" i="14"/>
  <c r="P451" i="14"/>
  <c r="R451" i="14"/>
  <c r="I452" i="14"/>
  <c r="N452" i="14" s="1"/>
  <c r="I453" i="14"/>
  <c r="N453" i="14" s="1"/>
  <c r="P454" i="14"/>
  <c r="R454" i="14"/>
  <c r="I455" i="14"/>
  <c r="N455" i="14" s="1"/>
  <c r="P456" i="14"/>
  <c r="R456" i="14"/>
  <c r="I457" i="14"/>
  <c r="N457" i="14" s="1"/>
  <c r="P458" i="14"/>
  <c r="R458" i="14"/>
  <c r="I459" i="14"/>
  <c r="N459" i="14" s="1"/>
  <c r="I460" i="14"/>
  <c r="N460" i="14" s="1"/>
  <c r="I461" i="14"/>
  <c r="N461" i="14" s="1"/>
  <c r="I462" i="14"/>
  <c r="N462" i="14" s="1"/>
  <c r="P463" i="14"/>
  <c r="R463" i="14"/>
  <c r="I464" i="14"/>
  <c r="N464" i="14" s="1"/>
  <c r="I465" i="14"/>
  <c r="N465" i="14" s="1"/>
  <c r="I466" i="14"/>
  <c r="N466" i="14" s="1"/>
  <c r="P467" i="14"/>
  <c r="R467" i="14"/>
  <c r="I468" i="14"/>
  <c r="N468" i="14" s="1"/>
  <c r="I469" i="14"/>
  <c r="N469" i="14" s="1"/>
  <c r="P470" i="14"/>
  <c r="R470" i="14"/>
  <c r="I471" i="14"/>
  <c r="N471" i="14" s="1"/>
  <c r="P472" i="14"/>
  <c r="R472" i="14"/>
  <c r="I473" i="14"/>
  <c r="N473" i="14" s="1"/>
  <c r="I474" i="14"/>
  <c r="N474" i="14" s="1"/>
  <c r="I475" i="14"/>
  <c r="N475" i="14" s="1"/>
  <c r="I476" i="14"/>
  <c r="N476" i="14" s="1"/>
  <c r="I477" i="14"/>
  <c r="N477" i="14" s="1"/>
  <c r="P478" i="14"/>
  <c r="R478" i="14"/>
  <c r="P479" i="14"/>
  <c r="R479" i="14"/>
  <c r="P480" i="14"/>
  <c r="R480" i="14"/>
  <c r="I481" i="14"/>
  <c r="N481" i="14" s="1"/>
  <c r="I482" i="14"/>
  <c r="N482" i="14" s="1"/>
  <c r="P483" i="14"/>
  <c r="R483" i="14"/>
  <c r="I484" i="14"/>
  <c r="N484" i="14" s="1"/>
  <c r="P485" i="14"/>
  <c r="R485" i="14"/>
  <c r="I486" i="14"/>
  <c r="N486" i="14" s="1"/>
  <c r="I487" i="14"/>
  <c r="N487" i="14" s="1"/>
  <c r="I488" i="14"/>
  <c r="N488" i="14" s="1"/>
  <c r="P489" i="14"/>
  <c r="R489" i="14"/>
  <c r="I490" i="14"/>
  <c r="N490" i="14" s="1"/>
  <c r="P491" i="14"/>
  <c r="R491" i="14"/>
  <c r="I492" i="14"/>
  <c r="N492" i="14" s="1"/>
  <c r="P493" i="14"/>
  <c r="R493" i="14"/>
  <c r="I494" i="14"/>
  <c r="N494" i="14" s="1"/>
  <c r="I495" i="14"/>
  <c r="N495" i="14" s="1"/>
  <c r="P496" i="14"/>
  <c r="R496" i="14"/>
  <c r="I497" i="14"/>
  <c r="N497" i="14" s="1"/>
  <c r="I498" i="14"/>
  <c r="N498" i="14" s="1"/>
  <c r="I499" i="14"/>
  <c r="N499" i="14" s="1"/>
  <c r="P500" i="14"/>
  <c r="R500" i="14"/>
  <c r="I501" i="14"/>
  <c r="N501" i="14" s="1"/>
  <c r="I502" i="14"/>
  <c r="N502" i="14" s="1"/>
  <c r="P503" i="14"/>
  <c r="R503" i="14"/>
  <c r="I504" i="14"/>
  <c r="N504" i="14" s="1"/>
  <c r="I505" i="14"/>
  <c r="N505" i="14" s="1"/>
  <c r="I506" i="14"/>
  <c r="N506" i="14" s="1"/>
  <c r="P507" i="14"/>
  <c r="R507" i="14"/>
  <c r="I508" i="14"/>
  <c r="N508" i="14" s="1"/>
  <c r="I509" i="14"/>
  <c r="N509" i="14" s="1"/>
  <c r="P510" i="14"/>
  <c r="R510" i="14"/>
  <c r="P512" i="14"/>
  <c r="R512" i="14"/>
  <c r="I513" i="14"/>
  <c r="N513" i="14" s="1"/>
  <c r="P514" i="14"/>
  <c r="R514" i="14"/>
  <c r="P515" i="14"/>
  <c r="R515" i="14"/>
  <c r="I516" i="14"/>
  <c r="N516" i="14" s="1"/>
  <c r="P517" i="14"/>
  <c r="R517" i="14"/>
  <c r="I518" i="14"/>
  <c r="N518" i="14" s="1"/>
  <c r="P519" i="14"/>
  <c r="R519" i="14"/>
  <c r="I520" i="14"/>
  <c r="N520" i="14" s="1"/>
  <c r="P520" i="14"/>
  <c r="R520" i="14"/>
  <c r="P521" i="14"/>
  <c r="R521" i="14"/>
  <c r="P522" i="14"/>
  <c r="R522" i="14"/>
  <c r="P523" i="14"/>
  <c r="R523" i="14"/>
  <c r="P524" i="14"/>
  <c r="R524" i="14"/>
  <c r="P525" i="14"/>
  <c r="R525" i="14"/>
  <c r="P526" i="14"/>
  <c r="R526" i="14"/>
  <c r="P527" i="14"/>
  <c r="R527" i="14"/>
  <c r="I528" i="14"/>
  <c r="N528" i="14" s="1"/>
  <c r="P529" i="14"/>
  <c r="R529" i="14"/>
  <c r="I530" i="14"/>
  <c r="N530" i="14" s="1"/>
  <c r="P531" i="14"/>
  <c r="R531" i="14"/>
  <c r="I532" i="14"/>
  <c r="N532" i="14" s="1"/>
  <c r="P533" i="14"/>
  <c r="R533" i="14"/>
  <c r="P534" i="14"/>
  <c r="R534" i="14"/>
  <c r="P535" i="14"/>
  <c r="R535" i="14"/>
  <c r="P536" i="14"/>
  <c r="R536" i="14"/>
  <c r="P537" i="14"/>
  <c r="R537" i="14"/>
  <c r="P538" i="14"/>
  <c r="R538" i="14"/>
  <c r="P539" i="14"/>
  <c r="R539" i="14"/>
  <c r="P540" i="14"/>
  <c r="R540" i="14"/>
  <c r="I541" i="14"/>
  <c r="N541" i="14" s="1"/>
  <c r="P542" i="14"/>
  <c r="R542" i="14"/>
  <c r="P543" i="14"/>
  <c r="R543" i="14"/>
  <c r="I544" i="14"/>
  <c r="N544" i="14" s="1"/>
  <c r="P545" i="14"/>
  <c r="R545" i="14"/>
  <c r="P546" i="14"/>
  <c r="R546" i="14"/>
  <c r="I547" i="14"/>
  <c r="P548" i="14"/>
  <c r="R548" i="14"/>
  <c r="P549" i="14"/>
  <c r="R549" i="14"/>
  <c r="I550" i="14"/>
  <c r="N550" i="14"/>
  <c r="I551" i="14"/>
  <c r="N551" i="14" s="1"/>
  <c r="P551" i="14"/>
  <c r="R551" i="14"/>
  <c r="P552" i="14"/>
  <c r="R552" i="14"/>
  <c r="P553" i="14"/>
  <c r="R553" i="14"/>
  <c r="P554" i="14"/>
  <c r="R554" i="14"/>
  <c r="P555" i="14"/>
  <c r="R555" i="14"/>
  <c r="P556" i="14"/>
  <c r="R556" i="14"/>
  <c r="P557" i="14"/>
  <c r="R557" i="14"/>
  <c r="P558" i="14"/>
  <c r="R558" i="14"/>
  <c r="P559" i="14"/>
  <c r="R559" i="14"/>
  <c r="P560" i="14"/>
  <c r="R560" i="14"/>
  <c r="P561" i="14"/>
  <c r="R561" i="14"/>
  <c r="I562" i="14"/>
  <c r="N562" i="14" s="1"/>
  <c r="P563" i="14"/>
  <c r="R563" i="14"/>
  <c r="P564" i="14"/>
  <c r="R564" i="14"/>
  <c r="I565" i="14"/>
  <c r="N565" i="14" s="1"/>
  <c r="P566" i="14"/>
  <c r="R566" i="14"/>
  <c r="P567" i="14"/>
  <c r="R567" i="14"/>
  <c r="I568" i="14"/>
  <c r="N568" i="14" s="1"/>
  <c r="P569" i="14"/>
  <c r="R569" i="14"/>
  <c r="P570" i="14"/>
  <c r="R570" i="14"/>
  <c r="I571" i="14"/>
  <c r="N571" i="14" s="1"/>
  <c r="P572" i="14"/>
  <c r="R572" i="14"/>
  <c r="P573" i="14"/>
  <c r="R573" i="14"/>
  <c r="I574" i="14"/>
  <c r="N574" i="14" s="1"/>
  <c r="P575" i="14"/>
  <c r="R575" i="14"/>
  <c r="I576" i="14"/>
  <c r="N576" i="14" s="1"/>
  <c r="P577" i="14"/>
  <c r="R577" i="14"/>
  <c r="P578" i="14"/>
  <c r="R578" i="14"/>
  <c r="I579" i="14"/>
  <c r="N579" i="14" s="1"/>
  <c r="P580" i="14"/>
  <c r="R580" i="14"/>
  <c r="I581" i="14"/>
  <c r="N581" i="14" s="1"/>
  <c r="P582" i="14"/>
  <c r="R582" i="14"/>
  <c r="P583" i="14"/>
  <c r="R583" i="14"/>
  <c r="P584" i="14"/>
  <c r="R584" i="14"/>
  <c r="P585" i="14"/>
  <c r="R585" i="14"/>
  <c r="P586" i="14"/>
  <c r="R586" i="14"/>
  <c r="I587" i="14"/>
  <c r="N587" i="14" s="1"/>
  <c r="P588" i="14"/>
  <c r="R588" i="14"/>
  <c r="P589" i="14"/>
  <c r="R589" i="14"/>
  <c r="I590" i="14"/>
  <c r="N590" i="14"/>
  <c r="P591" i="14"/>
  <c r="R591" i="14"/>
  <c r="I592" i="14"/>
  <c r="N592" i="14" s="1"/>
  <c r="I593" i="14"/>
  <c r="N593" i="14" s="1"/>
  <c r="P594" i="14"/>
  <c r="R594" i="14"/>
  <c r="I595" i="14"/>
  <c r="N595" i="14"/>
  <c r="P596" i="14"/>
  <c r="R596" i="14"/>
  <c r="I597" i="14"/>
  <c r="N597" i="14" s="1"/>
  <c r="P598" i="14"/>
  <c r="R598" i="14"/>
  <c r="P601" i="14"/>
  <c r="R601" i="14"/>
  <c r="P603" i="14"/>
  <c r="R603" i="14"/>
  <c r="I604" i="14"/>
  <c r="N604" i="14" s="1"/>
  <c r="P605" i="14"/>
  <c r="R605" i="14"/>
  <c r="P610" i="14"/>
  <c r="R610" i="14"/>
  <c r="P612" i="14"/>
  <c r="R612" i="14"/>
  <c r="P613" i="14"/>
  <c r="R613" i="14"/>
  <c r="P615" i="14"/>
  <c r="R615" i="14"/>
  <c r="P617" i="14"/>
  <c r="R617" i="14"/>
  <c r="P619" i="14"/>
  <c r="R619" i="14"/>
  <c r="I624" i="14"/>
  <c r="N624" i="14" s="1"/>
  <c r="P626" i="14"/>
  <c r="R626" i="14"/>
  <c r="I631" i="14"/>
  <c r="N631" i="14" s="1"/>
  <c r="P633" i="14"/>
  <c r="R633" i="14"/>
  <c r="P638" i="14"/>
  <c r="R638" i="14"/>
  <c r="P640" i="14"/>
  <c r="R640" i="14"/>
  <c r="P642" i="14"/>
  <c r="R642" i="14"/>
  <c r="I644" i="14"/>
  <c r="N644" i="14" s="1"/>
  <c r="I646" i="14"/>
  <c r="N646" i="14" s="1"/>
  <c r="I650" i="14"/>
  <c r="N650" i="14"/>
  <c r="P652" i="14"/>
  <c r="R652" i="14"/>
  <c r="I653" i="14"/>
  <c r="N653" i="14" s="1"/>
  <c r="P653" i="14"/>
  <c r="R653" i="14"/>
  <c r="P654" i="14"/>
  <c r="R654" i="14"/>
  <c r="P655" i="14"/>
  <c r="R655" i="14"/>
  <c r="I659" i="14"/>
  <c r="N659" i="14" s="1"/>
  <c r="P661" i="14"/>
  <c r="R661" i="14"/>
  <c r="I662" i="14"/>
  <c r="N662" i="14" s="1"/>
  <c r="P664" i="14"/>
  <c r="R664" i="14"/>
  <c r="P666" i="14"/>
  <c r="R666" i="14"/>
  <c r="P668" i="14"/>
  <c r="R668" i="14"/>
  <c r="P669" i="14"/>
  <c r="R669" i="14"/>
  <c r="I671" i="14"/>
  <c r="N671" i="14" s="1"/>
  <c r="P673" i="14"/>
  <c r="R673" i="14"/>
  <c r="P675" i="14"/>
  <c r="R675" i="14"/>
  <c r="P680" i="14"/>
  <c r="R680" i="14"/>
  <c r="P682" i="14"/>
  <c r="R682" i="14"/>
  <c r="P687" i="14"/>
  <c r="R687" i="14"/>
  <c r="P689" i="14"/>
  <c r="R689" i="14"/>
  <c r="P694" i="14"/>
  <c r="R694" i="14"/>
  <c r="P696" i="14"/>
  <c r="R696" i="14"/>
  <c r="P701" i="14"/>
  <c r="R701" i="14"/>
  <c r="P703" i="14"/>
  <c r="R703" i="14"/>
  <c r="P708" i="14"/>
  <c r="R708" i="14"/>
  <c r="P710" i="14"/>
  <c r="R710" i="14"/>
  <c r="P715" i="14"/>
  <c r="R715" i="14"/>
  <c r="P717" i="14"/>
  <c r="R717" i="14"/>
  <c r="P722" i="14"/>
  <c r="R722" i="14"/>
  <c r="P724" i="14"/>
  <c r="R724" i="14"/>
  <c r="P726" i="14"/>
  <c r="R726" i="14"/>
  <c r="I729" i="14"/>
  <c r="N729" i="14" s="1"/>
  <c r="B738" i="14"/>
  <c r="B745" i="14" s="1"/>
  <c r="B752" i="14" s="1"/>
  <c r="B759" i="14" s="1"/>
  <c r="B766" i="14"/>
  <c r="B773" i="14" s="1"/>
  <c r="B780" i="14" s="1"/>
  <c r="B787" i="14" s="1"/>
  <c r="B794" i="14" s="1"/>
  <c r="B801" i="14" s="1"/>
  <c r="B808" i="14" s="1"/>
  <c r="B815" i="14" s="1"/>
  <c r="B822" i="14" s="1"/>
  <c r="B829" i="14" s="1"/>
  <c r="B836" i="14" s="1"/>
  <c r="B843" i="14" s="1"/>
  <c r="B850" i="14" s="1"/>
  <c r="B857" i="14" s="1"/>
  <c r="B864" i="14" s="1"/>
  <c r="B871" i="14" s="1"/>
  <c r="B878" i="14" s="1"/>
  <c r="B885" i="14" s="1"/>
  <c r="B892" i="14" s="1"/>
  <c r="B899" i="14" s="1"/>
  <c r="B906" i="14" s="1"/>
  <c r="B913" i="14" s="1"/>
  <c r="B920" i="14" s="1"/>
  <c r="B927" i="14" s="1"/>
  <c r="B934" i="14" s="1"/>
  <c r="B941" i="14" s="1"/>
  <c r="B948" i="14" s="1"/>
  <c r="B955" i="14" s="1"/>
  <c r="B962" i="14" s="1"/>
  <c r="B969" i="14" s="1"/>
  <c r="B976" i="14" s="1"/>
  <c r="B983" i="14" s="1"/>
  <c r="B990" i="14" s="1"/>
  <c r="B997" i="14" s="1"/>
  <c r="B1004" i="14" s="1"/>
  <c r="B1011" i="14" s="1"/>
  <c r="B1018" i="14" s="1"/>
  <c r="B1025" i="14" s="1"/>
  <c r="B1032" i="14" s="1"/>
  <c r="B1039" i="14" s="1"/>
  <c r="B1046" i="14" s="1"/>
  <c r="B1053" i="14" s="1"/>
  <c r="B1060" i="14" s="1"/>
  <c r="B1067" i="14" s="1"/>
  <c r="B1074" i="14" s="1"/>
  <c r="B1081" i="14" s="1"/>
  <c r="B1088" i="14" s="1"/>
  <c r="I648" i="14"/>
  <c r="N648" i="14" s="1"/>
  <c r="F14" i="18"/>
  <c r="F15" i="18"/>
  <c r="H14" i="18"/>
  <c r="H13" i="18"/>
  <c r="F11" i="18"/>
  <c r="V3" i="14"/>
  <c r="F22" i="18"/>
  <c r="F23" i="18"/>
  <c r="F24" i="18"/>
  <c r="F25" i="18"/>
  <c r="F27" i="18"/>
  <c r="F28" i="18"/>
  <c r="F21" i="18"/>
  <c r="U3" i="14"/>
  <c r="U4" i="14" s="1"/>
  <c r="U5" i="14" s="1"/>
  <c r="U6" i="14" s="1"/>
  <c r="U7" i="14" s="1"/>
  <c r="T3" i="14"/>
  <c r="T4" i="14" s="1"/>
  <c r="T5" i="14" s="1"/>
  <c r="T6" i="14" s="1"/>
  <c r="T7" i="14" s="1"/>
  <c r="T8" i="14" s="1"/>
  <c r="T9" i="14" s="1"/>
  <c r="T10" i="14" s="1"/>
  <c r="T11" i="14" s="1"/>
  <c r="T12" i="14" s="1"/>
  <c r="T13" i="14" s="1"/>
  <c r="T14" i="14" s="1"/>
  <c r="T15" i="14" s="1"/>
  <c r="T16" i="14" s="1"/>
  <c r="T17" i="14" s="1"/>
  <c r="T18" i="14" s="1"/>
  <c r="T19" i="14" s="1"/>
  <c r="T20" i="14" s="1"/>
  <c r="T21" i="14" s="1"/>
  <c r="T22" i="14" s="1"/>
  <c r="T23" i="14" s="1"/>
  <c r="T24" i="14" s="1"/>
  <c r="T25" i="14" s="1"/>
  <c r="T26" i="14" s="1"/>
  <c r="T27" i="14" s="1"/>
  <c r="T28" i="14" s="1"/>
  <c r="T29" i="14" s="1"/>
  <c r="T30" i="14" s="1"/>
  <c r="T31" i="14" s="1"/>
  <c r="T32" i="14" s="1"/>
  <c r="T33" i="14" s="1"/>
  <c r="T34" i="14" s="1"/>
  <c r="T35" i="14" s="1"/>
  <c r="T36" i="14" s="1"/>
  <c r="T37" i="14" s="1"/>
  <c r="T38" i="14" s="1"/>
  <c r="T39" i="14" s="1"/>
  <c r="T40" i="14" s="1"/>
  <c r="T41" i="14" s="1"/>
  <c r="T42" i="14" s="1"/>
  <c r="T43" i="14" s="1"/>
  <c r="P676" i="14"/>
  <c r="P678" i="14"/>
  <c r="P697" i="14"/>
  <c r="P713" i="14"/>
  <c r="P692" i="14"/>
  <c r="P657" i="14"/>
  <c r="P660" i="14"/>
  <c r="P663" i="14"/>
  <c r="P635" i="14"/>
  <c r="P643" i="14"/>
  <c r="P656" i="14"/>
  <c r="P672" i="14"/>
  <c r="P628" i="14"/>
  <c r="P658" i="14"/>
  <c r="P686" i="14"/>
  <c r="P691" i="14"/>
  <c r="P707" i="14"/>
  <c r="P684" i="14"/>
  <c r="P693" i="14"/>
  <c r="P705" i="14"/>
  <c r="P719" i="14"/>
  <c r="P728" i="14"/>
  <c r="P647" i="14"/>
  <c r="P651" i="14"/>
  <c r="I280" i="14"/>
  <c r="N280" i="14" s="1"/>
  <c r="K278" i="14"/>
  <c r="B280" i="14" s="1"/>
  <c r="AO5" i="33" s="1"/>
  <c r="AO7" i="33" s="1"/>
  <c r="H278" i="14"/>
  <c r="I260" i="14"/>
  <c r="N260" i="14" s="1"/>
  <c r="I281" i="14"/>
  <c r="N281" i="14" s="1"/>
  <c r="N3" i="14"/>
  <c r="N4" i="14"/>
  <c r="N5" i="14"/>
  <c r="N6" i="14"/>
  <c r="N7" i="14"/>
  <c r="N9" i="14"/>
  <c r="N11" i="14"/>
  <c r="N12" i="14"/>
  <c r="N13" i="14"/>
  <c r="N14" i="14"/>
  <c r="N17" i="14"/>
  <c r="N19" i="14"/>
  <c r="N22" i="14"/>
  <c r="N24" i="14"/>
  <c r="N28" i="14"/>
  <c r="N31" i="14"/>
  <c r="N34" i="14"/>
  <c r="N39" i="14"/>
  <c r="N42" i="14"/>
  <c r="N44" i="14"/>
  <c r="N46" i="14"/>
  <c r="N49" i="14"/>
  <c r="N53" i="14"/>
  <c r="N54" i="14"/>
  <c r="N57" i="14"/>
  <c r="N59" i="14"/>
  <c r="N66" i="14"/>
  <c r="N70" i="14"/>
  <c r="N72" i="14"/>
  <c r="N74" i="14"/>
  <c r="N76" i="14"/>
  <c r="N78" i="14"/>
  <c r="N80" i="14"/>
  <c r="N82" i="14"/>
  <c r="N84" i="14"/>
  <c r="N87" i="14"/>
  <c r="N89" i="14"/>
  <c r="N90" i="14"/>
  <c r="N93" i="14"/>
  <c r="N97" i="14"/>
  <c r="N98" i="14"/>
  <c r="N101" i="14"/>
  <c r="N104" i="14"/>
  <c r="N106" i="14"/>
  <c r="N108" i="14"/>
  <c r="N109" i="14"/>
  <c r="N112" i="14"/>
  <c r="N113" i="14"/>
  <c r="N115" i="14"/>
  <c r="N116" i="14"/>
  <c r="N121" i="14"/>
  <c r="N122" i="14"/>
  <c r="N125" i="14"/>
  <c r="N127" i="14"/>
  <c r="N129" i="14"/>
  <c r="N132" i="14"/>
  <c r="N134" i="14"/>
  <c r="N135" i="14"/>
  <c r="N139" i="14"/>
  <c r="N140" i="14"/>
  <c r="N141" i="14"/>
  <c r="N142" i="14"/>
  <c r="N143" i="14"/>
  <c r="N144" i="14"/>
  <c r="N145" i="14"/>
  <c r="N146" i="14"/>
  <c r="N148" i="14"/>
  <c r="N150" i="14"/>
  <c r="N153" i="14"/>
  <c r="N155" i="14"/>
  <c r="N156" i="14"/>
  <c r="N157" i="14"/>
  <c r="N160" i="14"/>
  <c r="N162" i="14"/>
  <c r="N164" i="14"/>
  <c r="N167" i="14"/>
  <c r="N171" i="14"/>
  <c r="N176" i="14"/>
  <c r="N178" i="14"/>
  <c r="N181" i="14"/>
  <c r="N185" i="14"/>
  <c r="I37" i="14"/>
  <c r="N37" i="14" s="1"/>
  <c r="H188" i="14"/>
  <c r="I189" i="14"/>
  <c r="N189" i="14" s="1"/>
  <c r="I190" i="14"/>
  <c r="N190" i="14" s="1"/>
  <c r="I191" i="14"/>
  <c r="H192" i="14"/>
  <c r="I192" i="14" s="1"/>
  <c r="N192" i="14" s="1"/>
  <c r="I193" i="14"/>
  <c r="N193" i="14" s="1"/>
  <c r="I194" i="14"/>
  <c r="N194" i="14" s="1"/>
  <c r="H195" i="14"/>
  <c r="I195" i="14" s="1"/>
  <c r="N195" i="14" s="1"/>
  <c r="I196" i="14"/>
  <c r="N196" i="14" s="1"/>
  <c r="H197" i="14"/>
  <c r="I197" i="14" s="1"/>
  <c r="N197" i="14" s="1"/>
  <c r="I618" i="14"/>
  <c r="N618" i="14" s="1"/>
  <c r="I198" i="14"/>
  <c r="N198" i="14" s="1"/>
  <c r="H199" i="14"/>
  <c r="I199" i="14" s="1"/>
  <c r="N199" i="14" s="1"/>
  <c r="H202" i="14"/>
  <c r="I202" i="14" s="1"/>
  <c r="N202" i="14" s="1"/>
  <c r="I639" i="14"/>
  <c r="N639" i="14" s="1"/>
  <c r="I216" i="14"/>
  <c r="N216" i="14" s="1"/>
  <c r="I222" i="14"/>
  <c r="N222" i="14" s="1"/>
  <c r="I225" i="14"/>
  <c r="N225" i="14" s="1"/>
  <c r="I245" i="14"/>
  <c r="N245" i="14" s="1"/>
  <c r="I243" i="14"/>
  <c r="N243" i="14" s="1"/>
  <c r="I257" i="14"/>
  <c r="N257" i="14" s="1"/>
  <c r="I261" i="14"/>
  <c r="N261" i="14" s="1"/>
  <c r="I267" i="14"/>
  <c r="N267" i="14" s="1"/>
  <c r="N274" i="14"/>
  <c r="I276" i="14"/>
  <c r="N276" i="14" s="1"/>
  <c r="I288" i="14"/>
  <c r="N288" i="14" s="1"/>
  <c r="I290" i="14"/>
  <c r="N290" i="14" s="1"/>
  <c r="I303" i="14"/>
  <c r="N303" i="14" s="1"/>
  <c r="I305" i="14"/>
  <c r="N305" i="14" s="1"/>
  <c r="I309" i="14"/>
  <c r="I330" i="14"/>
  <c r="I342" i="14"/>
  <c r="N342" i="14" s="1"/>
  <c r="I358" i="14"/>
  <c r="N358" i="14" s="1"/>
  <c r="I187" i="14"/>
  <c r="N187" i="14" s="1"/>
  <c r="I186" i="14"/>
  <c r="N186" i="14" s="1"/>
  <c r="I184" i="14"/>
  <c r="N184" i="14" s="1"/>
  <c r="I183" i="14"/>
  <c r="N183" i="14" s="1"/>
  <c r="I182" i="14"/>
  <c r="N182" i="14" s="1"/>
  <c r="I180" i="14"/>
  <c r="N180" i="14" s="1"/>
  <c r="I179" i="14"/>
  <c r="N179" i="14" s="1"/>
  <c r="I177" i="14"/>
  <c r="N177" i="14" s="1"/>
  <c r="I175" i="14"/>
  <c r="N175" i="14" s="1"/>
  <c r="I174" i="14"/>
  <c r="N174" i="14" s="1"/>
  <c r="I173" i="14"/>
  <c r="N173" i="14" s="1"/>
  <c r="I172" i="14"/>
  <c r="N172" i="14" s="1"/>
  <c r="E75" i="21"/>
  <c r="E74" i="21"/>
  <c r="I170" i="14"/>
  <c r="N170" i="14" s="1"/>
  <c r="I169" i="14"/>
  <c r="N169" i="14" s="1"/>
  <c r="I168" i="14"/>
  <c r="N168" i="14" s="1"/>
  <c r="I166" i="14"/>
  <c r="N166" i="14" s="1"/>
  <c r="I165" i="14"/>
  <c r="N165" i="14" s="1"/>
  <c r="I163" i="14"/>
  <c r="N163" i="14" s="1"/>
  <c r="I161" i="14"/>
  <c r="N161" i="14" s="1"/>
  <c r="I159" i="14"/>
  <c r="N159" i="14" s="1"/>
  <c r="I158" i="14"/>
  <c r="N158" i="14" s="1"/>
  <c r="I154" i="14"/>
  <c r="N154" i="14" s="1"/>
  <c r="I152" i="14"/>
  <c r="N152" i="14" s="1"/>
  <c r="I151" i="14"/>
  <c r="N151" i="14" s="1"/>
  <c r="I149" i="14"/>
  <c r="N149" i="14" s="1"/>
  <c r="I147" i="14"/>
  <c r="N147" i="14" s="1"/>
  <c r="I136" i="14"/>
  <c r="I133" i="14"/>
  <c r="N133" i="14" s="1"/>
  <c r="I131" i="14"/>
  <c r="N131" i="14" s="1"/>
  <c r="I130" i="14"/>
  <c r="N130" i="14" s="1"/>
  <c r="I128" i="14"/>
  <c r="N128" i="14" s="1"/>
  <c r="I126" i="14"/>
  <c r="I124" i="14"/>
  <c r="N124" i="14" s="1"/>
  <c r="I123" i="14"/>
  <c r="N123" i="14" s="1"/>
  <c r="I120" i="14"/>
  <c r="N120" i="14" s="1"/>
  <c r="I119" i="14"/>
  <c r="N119" i="14" s="1"/>
  <c r="I118" i="14"/>
  <c r="N118" i="14" s="1"/>
  <c r="I117" i="14"/>
  <c r="N117" i="14" s="1"/>
  <c r="I114" i="14"/>
  <c r="I111" i="14"/>
  <c r="I110" i="14"/>
  <c r="N110" i="14" s="1"/>
  <c r="I107" i="14"/>
  <c r="N107" i="14" s="1"/>
  <c r="I105" i="14"/>
  <c r="N105" i="14" s="1"/>
  <c r="I103" i="14"/>
  <c r="N103" i="14" s="1"/>
  <c r="H104" i="14"/>
  <c r="I102" i="14"/>
  <c r="N102" i="14" s="1"/>
  <c r="H97" i="14"/>
  <c r="H98" i="14"/>
  <c r="H101" i="14"/>
  <c r="H106" i="14"/>
  <c r="H108" i="14"/>
  <c r="H109" i="14"/>
  <c r="H112" i="14"/>
  <c r="H113" i="14"/>
  <c r="H115" i="14"/>
  <c r="H116" i="14"/>
  <c r="H121" i="14"/>
  <c r="H122" i="14"/>
  <c r="H74" i="14"/>
  <c r="H76" i="14"/>
  <c r="H78" i="14"/>
  <c r="H80" i="14"/>
  <c r="H82" i="14"/>
  <c r="H84" i="14"/>
  <c r="H87" i="14"/>
  <c r="H90" i="14"/>
  <c r="H125" i="14"/>
  <c r="H127" i="14"/>
  <c r="H129" i="14"/>
  <c r="H134" i="14"/>
  <c r="H135" i="14"/>
  <c r="H137" i="14"/>
  <c r="H140" i="14"/>
  <c r="H142" i="14"/>
  <c r="H143" i="14"/>
  <c r="H145" i="14"/>
  <c r="H146" i="14"/>
  <c r="H150" i="14"/>
  <c r="H157" i="14"/>
  <c r="H160" i="14"/>
  <c r="H162" i="14"/>
  <c r="H164" i="14"/>
  <c r="H167" i="14"/>
  <c r="H171" i="14"/>
  <c r="H176" i="14"/>
  <c r="H178" i="14"/>
  <c r="H181" i="14"/>
  <c r="H185" i="14"/>
  <c r="I100" i="14"/>
  <c r="I99" i="14"/>
  <c r="N99" i="14" s="1"/>
  <c r="I96" i="14"/>
  <c r="N96" i="14" s="1"/>
  <c r="I95" i="14"/>
  <c r="N95" i="14" s="1"/>
  <c r="I94" i="14"/>
  <c r="N94" i="14" s="1"/>
  <c r="I92" i="14"/>
  <c r="N92" i="14" s="1"/>
  <c r="I91" i="14"/>
  <c r="N91" i="14" s="1"/>
  <c r="I88" i="14"/>
  <c r="N88" i="14" s="1"/>
  <c r="I86" i="14"/>
  <c r="N86" i="14" s="1"/>
  <c r="I85" i="14"/>
  <c r="N85" i="14" s="1"/>
  <c r="I83" i="14"/>
  <c r="N83" i="14" s="1"/>
  <c r="I81" i="14"/>
  <c r="N81" i="14" s="1"/>
  <c r="I79" i="14"/>
  <c r="N79" i="14" s="1"/>
  <c r="I77" i="14"/>
  <c r="N77" i="14" s="1"/>
  <c r="I75" i="14"/>
  <c r="N75" i="14" s="1"/>
  <c r="I73" i="14"/>
  <c r="N73" i="14" s="1"/>
  <c r="I71" i="14"/>
  <c r="N71" i="14" s="1"/>
  <c r="I69" i="14"/>
  <c r="N69" i="14" s="1"/>
  <c r="I68" i="14"/>
  <c r="N68" i="14" s="1"/>
  <c r="I67" i="14"/>
  <c r="N67" i="14" s="1"/>
  <c r="I65" i="14"/>
  <c r="N65" i="14" s="1"/>
  <c r="I64" i="14"/>
  <c r="N64" i="14" s="1"/>
  <c r="I63" i="14"/>
  <c r="N63" i="14" s="1"/>
  <c r="I62" i="14"/>
  <c r="N62" i="14" s="1"/>
  <c r="I61" i="14"/>
  <c r="N61" i="14" s="1"/>
  <c r="I60" i="14"/>
  <c r="N60" i="14" s="1"/>
  <c r="I58" i="14"/>
  <c r="N58" i="14" s="1"/>
  <c r="I56" i="14"/>
  <c r="N56" i="14" s="1"/>
  <c r="I55" i="14"/>
  <c r="N55" i="14" s="1"/>
  <c r="I52" i="14"/>
  <c r="N52" i="14" s="1"/>
  <c r="I51" i="14"/>
  <c r="N51" i="14" s="1"/>
  <c r="I50" i="14"/>
  <c r="N50" i="14" s="1"/>
  <c r="I48" i="14"/>
  <c r="N48" i="14" s="1"/>
  <c r="I47" i="14"/>
  <c r="N47" i="14" s="1"/>
  <c r="I45" i="14"/>
  <c r="N45" i="14" s="1"/>
  <c r="I43" i="14"/>
  <c r="N43" i="14" s="1"/>
  <c r="I41" i="14"/>
  <c r="N41" i="14" s="1"/>
  <c r="I40" i="14"/>
  <c r="N40" i="14" s="1"/>
  <c r="I36" i="14"/>
  <c r="N36" i="14" s="1"/>
  <c r="I38" i="14"/>
  <c r="N38" i="14" s="1"/>
  <c r="I35" i="14"/>
  <c r="N35" i="14" s="1"/>
  <c r="I33" i="14"/>
  <c r="N33" i="14" s="1"/>
  <c r="I32" i="14"/>
  <c r="N32" i="14" s="1"/>
  <c r="I30" i="14"/>
  <c r="N30" i="14" s="1"/>
  <c r="I29" i="14"/>
  <c r="N29" i="14" s="1"/>
  <c r="I27" i="14"/>
  <c r="N27" i="14" s="1"/>
  <c r="I26" i="14"/>
  <c r="N26" i="14" s="1"/>
  <c r="I25" i="14"/>
  <c r="N25" i="14" s="1"/>
  <c r="I23" i="14"/>
  <c r="N23" i="14" s="1"/>
  <c r="I21" i="14"/>
  <c r="N21" i="14" s="1"/>
  <c r="I20" i="14"/>
  <c r="N20" i="14" s="1"/>
  <c r="I18" i="14"/>
  <c r="N18" i="14" s="1"/>
  <c r="I16" i="14"/>
  <c r="N16" i="14" s="1"/>
  <c r="I15" i="14"/>
  <c r="N15" i="14" s="1"/>
  <c r="I10" i="14"/>
  <c r="N10" i="14" s="1"/>
  <c r="I8" i="14"/>
  <c r="N8" i="14" s="1"/>
  <c r="A367" i="13"/>
  <c r="I2" i="14"/>
  <c r="N2" i="14" s="1"/>
  <c r="F371" i="13"/>
  <c r="F368" i="13"/>
  <c r="H380" i="13"/>
  <c r="H379" i="13"/>
  <c r="A369" i="13"/>
  <c r="A362" i="13"/>
  <c r="A335" i="13"/>
  <c r="A355" i="13"/>
  <c r="A345" i="13"/>
  <c r="A328" i="13"/>
  <c r="A321" i="13"/>
  <c r="A314" i="13"/>
  <c r="A307" i="13"/>
  <c r="A300" i="13"/>
  <c r="A293" i="13"/>
  <c r="A286" i="13"/>
  <c r="A279" i="13"/>
  <c r="A272" i="13"/>
  <c r="A265" i="13"/>
  <c r="A258" i="13"/>
  <c r="A251" i="13"/>
  <c r="A244" i="13"/>
  <c r="A237" i="13"/>
  <c r="A230" i="13"/>
  <c r="A223" i="13"/>
  <c r="A216" i="13"/>
  <c r="A209" i="13"/>
  <c r="A202" i="13"/>
  <c r="A195" i="13"/>
  <c r="A188" i="13"/>
  <c r="A181" i="13"/>
  <c r="A174" i="13"/>
  <c r="A167" i="13"/>
  <c r="A160" i="13"/>
  <c r="A153" i="13"/>
  <c r="A146" i="13"/>
  <c r="A139" i="13"/>
  <c r="A132" i="13"/>
  <c r="A125" i="13"/>
  <c r="A118" i="13"/>
  <c r="A111" i="13"/>
  <c r="A104" i="13"/>
  <c r="A97" i="13"/>
  <c r="A90" i="13"/>
  <c r="A83" i="13"/>
  <c r="A76" i="13"/>
  <c r="A69" i="13"/>
  <c r="A62" i="13"/>
  <c r="A55" i="13"/>
  <c r="A48" i="13"/>
  <c r="A41" i="13"/>
  <c r="A34" i="13"/>
  <c r="A27" i="13"/>
  <c r="A20" i="13"/>
  <c r="A347" i="13"/>
  <c r="A337" i="13"/>
  <c r="A330" i="13"/>
  <c r="A323" i="13"/>
  <c r="A316" i="13"/>
  <c r="A309" i="13"/>
  <c r="A302" i="13"/>
  <c r="A295" i="13"/>
  <c r="A288" i="13"/>
  <c r="A281" i="13"/>
  <c r="A274" i="13"/>
  <c r="A267" i="13"/>
  <c r="A260" i="13"/>
  <c r="A253" i="13"/>
  <c r="A246" i="13"/>
  <c r="A239" i="13"/>
  <c r="A232" i="13"/>
  <c r="A225" i="13"/>
  <c r="A218" i="13"/>
  <c r="A211" i="13"/>
  <c r="A204" i="13"/>
  <c r="A197" i="13"/>
  <c r="A190" i="13"/>
  <c r="A183" i="13"/>
  <c r="A176" i="13"/>
  <c r="A169" i="13"/>
  <c r="A162" i="13"/>
  <c r="A155" i="13"/>
  <c r="A148" i="13"/>
  <c r="A141" i="13"/>
  <c r="A134" i="13"/>
  <c r="A127" i="13"/>
  <c r="A13" i="13"/>
  <c r="A120" i="13"/>
  <c r="A113" i="13"/>
  <c r="A106" i="13"/>
  <c r="A99" i="13"/>
  <c r="A92" i="13"/>
  <c r="A85" i="13"/>
  <c r="A78" i="13"/>
  <c r="A57" i="13"/>
  <c r="A71" i="13"/>
  <c r="A64" i="13"/>
  <c r="A50" i="13"/>
  <c r="A43" i="13"/>
  <c r="A36" i="13"/>
  <c r="A29" i="13"/>
  <c r="A22" i="13"/>
  <c r="A15" i="13"/>
  <c r="A6" i="13"/>
  <c r="A8" i="13"/>
  <c r="F98" i="13"/>
  <c r="F350" i="13"/>
  <c r="F347" i="13"/>
  <c r="F342" i="13"/>
  <c r="F339" i="13"/>
  <c r="F336" i="13"/>
  <c r="F331" i="13"/>
  <c r="F328" i="13"/>
  <c r="F325" i="13"/>
  <c r="F324" i="13"/>
  <c r="F320" i="13"/>
  <c r="B10" i="14"/>
  <c r="B17" i="14" s="1"/>
  <c r="B24" i="14" s="1"/>
  <c r="B31" i="14" s="1"/>
  <c r="B38" i="14" s="1"/>
  <c r="B45" i="14" s="1"/>
  <c r="B52" i="14" s="1"/>
  <c r="B59" i="14" s="1"/>
  <c r="B66" i="14" s="1"/>
  <c r="B73" i="14" s="1"/>
  <c r="B80" i="14" s="1"/>
  <c r="B87" i="14" s="1"/>
  <c r="B94" i="14" s="1"/>
  <c r="B101" i="14" s="1"/>
  <c r="B108" i="14" s="1"/>
  <c r="B115" i="14" s="1"/>
  <c r="B122" i="14" s="1"/>
  <c r="B129" i="14" s="1"/>
  <c r="B136" i="14" s="1"/>
  <c r="B143" i="14" s="1"/>
  <c r="B150" i="14" s="1"/>
  <c r="B157" i="14" s="1"/>
  <c r="B164" i="14" s="1"/>
  <c r="B171" i="14" s="1"/>
  <c r="B178" i="14" s="1"/>
  <c r="B185" i="14" s="1"/>
  <c r="B192" i="14" s="1"/>
  <c r="B199" i="14" s="1"/>
  <c r="B206" i="14" s="1"/>
  <c r="B213" i="14" s="1"/>
  <c r="B220" i="14" s="1"/>
  <c r="B227" i="14" s="1"/>
  <c r="B234" i="14" s="1"/>
  <c r="B241" i="14" s="1"/>
  <c r="B248" i="14" s="1"/>
  <c r="B255" i="14" s="1"/>
  <c r="B262" i="14" s="1"/>
  <c r="B269" i="14" s="1"/>
  <c r="B276" i="14" s="1"/>
  <c r="B283" i="14" s="1"/>
  <c r="B290" i="14" s="1"/>
  <c r="B297" i="14" s="1"/>
  <c r="B304" i="14" s="1"/>
  <c r="B311" i="14" s="1"/>
  <c r="B318" i="14" s="1"/>
  <c r="B325" i="14" s="1"/>
  <c r="B332" i="14" s="1"/>
  <c r="B339" i="14" s="1"/>
  <c r="B346" i="14" s="1"/>
  <c r="B353" i="14" s="1"/>
  <c r="B360" i="14" s="1"/>
  <c r="F317" i="13"/>
  <c r="F315" i="13"/>
  <c r="F312" i="13"/>
  <c r="F310" i="13"/>
  <c r="F9" i="13"/>
  <c r="F379" i="13"/>
  <c r="F17" i="13"/>
  <c r="F20" i="13"/>
  <c r="F23" i="13"/>
  <c r="F27" i="13"/>
  <c r="F31" i="13"/>
  <c r="F37" i="13"/>
  <c r="F44" i="13"/>
  <c r="F49" i="13"/>
  <c r="F52" i="13"/>
  <c r="F56" i="13"/>
  <c r="F59" i="13"/>
  <c r="F62" i="13"/>
  <c r="F64" i="13"/>
  <c r="F65" i="13"/>
  <c r="F71" i="13"/>
  <c r="F73" i="13"/>
  <c r="F74" i="13"/>
  <c r="F75" i="13"/>
  <c r="F78" i="13"/>
  <c r="F80" i="13"/>
  <c r="F82" i="13"/>
  <c r="F84" i="13"/>
  <c r="F87" i="13"/>
  <c r="F89" i="13"/>
  <c r="F90" i="13"/>
  <c r="F92" i="13"/>
  <c r="F94" i="13"/>
  <c r="F96" i="13"/>
  <c r="F97" i="13"/>
  <c r="F99" i="13"/>
  <c r="F100" i="13"/>
  <c r="F101" i="13"/>
  <c r="F103" i="13"/>
  <c r="F105" i="13"/>
  <c r="F107" i="13"/>
  <c r="F109" i="13"/>
  <c r="F111" i="13"/>
  <c r="F112" i="13"/>
  <c r="F114" i="13"/>
  <c r="F115" i="13"/>
  <c r="F117" i="13"/>
  <c r="F120" i="13"/>
  <c r="F121" i="13"/>
  <c r="F123" i="13"/>
  <c r="F125" i="13"/>
  <c r="F126" i="13"/>
  <c r="F128" i="13"/>
  <c r="F129" i="13"/>
  <c r="F131" i="13"/>
  <c r="F132" i="13"/>
  <c r="F133" i="13"/>
  <c r="F135" i="13"/>
  <c r="F138" i="13"/>
  <c r="F143" i="13"/>
  <c r="F145" i="13"/>
  <c r="F147" i="13"/>
  <c r="F149" i="13"/>
  <c r="F150" i="13"/>
  <c r="F158" i="13"/>
  <c r="F161" i="13"/>
  <c r="F163" i="13"/>
  <c r="F166" i="13"/>
  <c r="F171" i="13"/>
  <c r="F187" i="13"/>
  <c r="F190" i="13"/>
  <c r="F192" i="13"/>
  <c r="F196" i="13"/>
  <c r="F199" i="13"/>
  <c r="F202" i="13"/>
  <c r="F205" i="13"/>
  <c r="F210" i="13"/>
  <c r="F212" i="13"/>
  <c r="F217" i="13"/>
  <c r="F220" i="13"/>
  <c r="F223" i="13"/>
  <c r="F227" i="13"/>
  <c r="F229" i="13"/>
  <c r="F232" i="13"/>
  <c r="F234" i="13"/>
  <c r="F238" i="13"/>
  <c r="F241" i="13"/>
  <c r="F248" i="13"/>
  <c r="F250" i="13"/>
  <c r="F255" i="13"/>
  <c r="F261" i="13"/>
  <c r="F262" i="13"/>
  <c r="F264" i="13"/>
  <c r="F266" i="13"/>
  <c r="F268" i="13"/>
  <c r="F270" i="13"/>
  <c r="F272" i="13"/>
  <c r="F274" i="13"/>
  <c r="F276" i="13"/>
  <c r="F278" i="13"/>
  <c r="F281" i="13"/>
  <c r="F283" i="13"/>
  <c r="F286" i="13"/>
  <c r="F288" i="13"/>
  <c r="F290" i="13"/>
  <c r="F293" i="13"/>
  <c r="F295" i="13"/>
  <c r="F296" i="13"/>
  <c r="F299" i="13"/>
  <c r="F301" i="13"/>
  <c r="F303" i="13"/>
  <c r="F305" i="13"/>
  <c r="F309" i="13"/>
  <c r="A374" i="13"/>
  <c r="A360" i="13"/>
  <c r="A378" i="13"/>
  <c r="A379" i="13"/>
  <c r="A353" i="13"/>
  <c r="F366" i="12"/>
  <c r="G379" i="13"/>
  <c r="F330" i="12"/>
  <c r="F319" i="12"/>
  <c r="E379" i="13"/>
  <c r="D379" i="13"/>
  <c r="A11" i="13"/>
  <c r="A18" i="13"/>
  <c r="A25" i="13"/>
  <c r="A32" i="13"/>
  <c r="A39" i="13"/>
  <c r="A46" i="13"/>
  <c r="A53" i="13"/>
  <c r="A60" i="13"/>
  <c r="A67" i="13"/>
  <c r="A74" i="13"/>
  <c r="A81" i="13"/>
  <c r="A88" i="13"/>
  <c r="A95" i="13"/>
  <c r="A102" i="13"/>
  <c r="A109" i="13"/>
  <c r="A116" i="13"/>
  <c r="A123" i="13"/>
  <c r="A130" i="13"/>
  <c r="A137" i="13"/>
  <c r="A144" i="13"/>
  <c r="A151" i="13"/>
  <c r="A158" i="13"/>
  <c r="A165" i="13"/>
  <c r="A172" i="13"/>
  <c r="A179" i="13"/>
  <c r="A186" i="13"/>
  <c r="A193" i="13"/>
  <c r="A200" i="13"/>
  <c r="A207" i="13"/>
  <c r="A214" i="13"/>
  <c r="A221" i="13"/>
  <c r="A228" i="13"/>
  <c r="A235" i="13"/>
  <c r="A242" i="13"/>
  <c r="A249" i="13"/>
  <c r="A256" i="13"/>
  <c r="A263" i="13"/>
  <c r="A270" i="13"/>
  <c r="A277" i="13"/>
  <c r="A284" i="13"/>
  <c r="A291" i="13"/>
  <c r="A298" i="13"/>
  <c r="A305" i="13"/>
  <c r="A312" i="13"/>
  <c r="A319" i="13"/>
  <c r="A326" i="13"/>
  <c r="A333" i="13"/>
  <c r="A343" i="13"/>
  <c r="A351" i="13"/>
  <c r="A358" i="13"/>
  <c r="A365" i="13"/>
  <c r="A372" i="13"/>
  <c r="R12" i="13"/>
  <c r="Q12" i="13"/>
  <c r="O12" i="13"/>
  <c r="R11" i="13"/>
  <c r="Q11" i="13"/>
  <c r="O11" i="13"/>
  <c r="Q10" i="13"/>
  <c r="O10" i="13"/>
  <c r="Q9" i="13"/>
  <c r="O9" i="13"/>
  <c r="Q8" i="13"/>
  <c r="O8" i="13"/>
  <c r="F317" i="12"/>
  <c r="F306" i="12"/>
  <c r="F302" i="12"/>
  <c r="F297" i="12"/>
  <c r="F300" i="12"/>
  <c r="F284" i="12"/>
  <c r="F280" i="12"/>
  <c r="F275" i="12"/>
  <c r="F270" i="12"/>
  <c r="F263" i="12"/>
  <c r="F258" i="12"/>
  <c r="F254" i="12"/>
  <c r="F252" i="12"/>
  <c r="F235" i="12"/>
  <c r="F224" i="12"/>
  <c r="F220" i="12"/>
  <c r="F218" i="12"/>
  <c r="F214" i="12"/>
  <c r="F204" i="12"/>
  <c r="F200" i="12"/>
  <c r="F190" i="12"/>
  <c r="F197" i="12"/>
  <c r="F187" i="12"/>
  <c r="F183" i="12"/>
  <c r="F180" i="12"/>
  <c r="F175" i="12"/>
  <c r="F172" i="12"/>
  <c r="F170" i="12"/>
  <c r="F167" i="12"/>
  <c r="F165" i="12"/>
  <c r="F162" i="12"/>
  <c r="F159" i="12"/>
  <c r="F156" i="12"/>
  <c r="F154" i="12"/>
  <c r="F146" i="12"/>
  <c r="F143" i="12"/>
  <c r="F141" i="12"/>
  <c r="F138" i="12"/>
  <c r="F131" i="12"/>
  <c r="F129" i="12"/>
  <c r="F126" i="12"/>
  <c r="F123" i="12"/>
  <c r="F121" i="12"/>
  <c r="F119" i="12"/>
  <c r="F115" i="12"/>
  <c r="F112" i="12"/>
  <c r="F111" i="12"/>
  <c r="F110" i="12"/>
  <c r="F105" i="12"/>
  <c r="F103" i="12"/>
  <c r="F101" i="12"/>
  <c r="F96" i="12"/>
  <c r="F98" i="12"/>
  <c r="F94" i="12"/>
  <c r="F91" i="12"/>
  <c r="F85" i="12"/>
  <c r="F80" i="12"/>
  <c r="F74" i="12"/>
  <c r="F68" i="12"/>
  <c r="F63" i="12"/>
  <c r="F58" i="12"/>
  <c r="F52" i="12"/>
  <c r="F45" i="12"/>
  <c r="F24" i="12"/>
  <c r="F22" i="12"/>
  <c r="F16" i="12"/>
  <c r="F6" i="12"/>
  <c r="F375" i="12"/>
  <c r="A179" i="1"/>
  <c r="F371" i="9"/>
  <c r="F364" i="9"/>
  <c r="E375" i="12"/>
  <c r="D375" i="12"/>
  <c r="A370" i="12"/>
  <c r="A363" i="12"/>
  <c r="A356" i="12"/>
  <c r="A349" i="12"/>
  <c r="A342" i="12"/>
  <c r="A374" i="12"/>
  <c r="A375" i="12"/>
  <c r="A335" i="12"/>
  <c r="A328" i="12"/>
  <c r="A321" i="12"/>
  <c r="A314" i="12"/>
  <c r="A307" i="12"/>
  <c r="A300" i="12"/>
  <c r="A293" i="12"/>
  <c r="A286" i="12"/>
  <c r="A279" i="12"/>
  <c r="A272" i="12"/>
  <c r="A265" i="12"/>
  <c r="A258" i="12"/>
  <c r="A251" i="12"/>
  <c r="A244" i="12"/>
  <c r="A237" i="12"/>
  <c r="A230" i="12"/>
  <c r="A223" i="12"/>
  <c r="A216" i="12"/>
  <c r="A209" i="12"/>
  <c r="A202" i="12"/>
  <c r="A195" i="12"/>
  <c r="A188" i="12"/>
  <c r="A181" i="12"/>
  <c r="A174" i="12"/>
  <c r="A167" i="12"/>
  <c r="A160" i="12"/>
  <c r="A153" i="12"/>
  <c r="A146" i="12"/>
  <c r="A139" i="12"/>
  <c r="A132" i="12"/>
  <c r="A125" i="12"/>
  <c r="A118" i="12"/>
  <c r="A111" i="12"/>
  <c r="A104" i="12"/>
  <c r="A97" i="12"/>
  <c r="A90" i="12"/>
  <c r="A83" i="12"/>
  <c r="A76" i="12"/>
  <c r="A69" i="12"/>
  <c r="A62" i="12"/>
  <c r="A55" i="12"/>
  <c r="A48" i="12"/>
  <c r="A41" i="12"/>
  <c r="A34" i="12"/>
  <c r="A27" i="12"/>
  <c r="A20" i="12"/>
  <c r="A13" i="12"/>
  <c r="A6" i="12"/>
  <c r="A11" i="12"/>
  <c r="A18" i="12"/>
  <c r="A25" i="12"/>
  <c r="A32" i="12"/>
  <c r="A39" i="12"/>
  <c r="A46" i="12"/>
  <c r="A53" i="12"/>
  <c r="A60" i="12"/>
  <c r="A67" i="12"/>
  <c r="A74" i="12"/>
  <c r="A81" i="12"/>
  <c r="A88" i="12"/>
  <c r="A95" i="12"/>
  <c r="A102" i="12"/>
  <c r="A109" i="12"/>
  <c r="A116" i="12"/>
  <c r="A123" i="12"/>
  <c r="A130" i="12"/>
  <c r="A137" i="12"/>
  <c r="A144" i="12"/>
  <c r="A151" i="12"/>
  <c r="A158" i="12"/>
  <c r="A165" i="12"/>
  <c r="A172" i="12"/>
  <c r="A179" i="12"/>
  <c r="A186" i="12"/>
  <c r="A193" i="12"/>
  <c r="A200" i="12"/>
  <c r="A207" i="12"/>
  <c r="A214" i="12"/>
  <c r="A221" i="12"/>
  <c r="A228" i="12"/>
  <c r="A235" i="12"/>
  <c r="A242" i="12"/>
  <c r="A249" i="12"/>
  <c r="A256" i="12"/>
  <c r="A263" i="12"/>
  <c r="A270" i="12"/>
  <c r="A277" i="12"/>
  <c r="A284" i="12"/>
  <c r="A291" i="12"/>
  <c r="A298" i="12"/>
  <c r="A305" i="12"/>
  <c r="A312" i="12"/>
  <c r="A319" i="12"/>
  <c r="A326" i="12"/>
  <c r="A333" i="12"/>
  <c r="A340" i="12"/>
  <c r="A347" i="12"/>
  <c r="A354" i="12"/>
  <c r="A361" i="12"/>
  <c r="A368" i="12"/>
  <c r="P12" i="12"/>
  <c r="O12" i="12"/>
  <c r="M12" i="12"/>
  <c r="P11" i="12"/>
  <c r="O11" i="12"/>
  <c r="M11" i="12"/>
  <c r="O10" i="12"/>
  <c r="M10" i="12"/>
  <c r="O9" i="12"/>
  <c r="M9" i="12"/>
  <c r="O8" i="12"/>
  <c r="M8" i="12"/>
  <c r="F359" i="9"/>
  <c r="F353" i="9"/>
  <c r="F350" i="9"/>
  <c r="F346" i="9"/>
  <c r="F342" i="9"/>
  <c r="F338" i="9"/>
  <c r="F331" i="9"/>
  <c r="F322" i="9"/>
  <c r="F320" i="9"/>
  <c r="F318" i="9"/>
  <c r="F315" i="9"/>
  <c r="F286" i="9"/>
  <c r="F276" i="9"/>
  <c r="F274" i="9"/>
  <c r="F272" i="9"/>
  <c r="F269" i="9"/>
  <c r="F266" i="9"/>
  <c r="F264" i="9"/>
  <c r="A265" i="9"/>
  <c r="A7" i="1"/>
  <c r="A14" i="1"/>
  <c r="A21" i="1"/>
  <c r="A28" i="1"/>
  <c r="A35" i="1"/>
  <c r="A42" i="1"/>
  <c r="A49" i="1"/>
  <c r="A63" i="1"/>
  <c r="A70" i="1"/>
  <c r="A77" i="1"/>
  <c r="A84" i="1"/>
  <c r="A91" i="1"/>
  <c r="A98" i="1"/>
  <c r="A105" i="1"/>
  <c r="A112" i="1"/>
  <c r="A119" i="1"/>
  <c r="A126" i="1"/>
  <c r="A133" i="1"/>
  <c r="A140" i="1"/>
  <c r="A147" i="1"/>
  <c r="A154" i="1"/>
  <c r="A161" i="1"/>
  <c r="A168" i="1"/>
  <c r="A175" i="1"/>
  <c r="D50" i="2"/>
  <c r="A6" i="3"/>
  <c r="A11" i="3"/>
  <c r="A18" i="3"/>
  <c r="A25" i="3"/>
  <c r="A32" i="3"/>
  <c r="A39" i="3"/>
  <c r="A46" i="3"/>
  <c r="A53" i="3"/>
  <c r="A60" i="3"/>
  <c r="A67" i="3"/>
  <c r="A74" i="3"/>
  <c r="A81" i="3"/>
  <c r="A88" i="3"/>
  <c r="A95" i="3"/>
  <c r="A102" i="3"/>
  <c r="A109" i="3"/>
  <c r="A116" i="3"/>
  <c r="A123" i="3"/>
  <c r="A130" i="3"/>
  <c r="A137" i="3"/>
  <c r="A144" i="3"/>
  <c r="A151" i="3"/>
  <c r="A158" i="3"/>
  <c r="A165" i="3"/>
  <c r="A172" i="3"/>
  <c r="A179" i="3"/>
  <c r="A186" i="3"/>
  <c r="A193" i="3"/>
  <c r="A200" i="3"/>
  <c r="A207" i="3"/>
  <c r="A214" i="3"/>
  <c r="A221" i="3"/>
  <c r="A13" i="3"/>
  <c r="L15" i="3"/>
  <c r="M15" i="3"/>
  <c r="L16" i="3"/>
  <c r="E218" i="3"/>
  <c r="M16" i="3"/>
  <c r="A20" i="3"/>
  <c r="A27" i="3"/>
  <c r="A34" i="3"/>
  <c r="A41" i="3"/>
  <c r="A48" i="3"/>
  <c r="A55" i="3"/>
  <c r="A62" i="3"/>
  <c r="A69" i="3"/>
  <c r="A76" i="3"/>
  <c r="A83" i="3"/>
  <c r="A90" i="3"/>
  <c r="A97" i="3"/>
  <c r="A104" i="3"/>
  <c r="A111" i="3"/>
  <c r="A118" i="3"/>
  <c r="A125" i="3"/>
  <c r="A132" i="3"/>
  <c r="A139" i="3"/>
  <c r="A146" i="3"/>
  <c r="A153" i="3"/>
  <c r="A160" i="3"/>
  <c r="A167" i="3"/>
  <c r="A174" i="3"/>
  <c r="A181" i="3"/>
  <c r="A188" i="3"/>
  <c r="A195" i="3"/>
  <c r="A202" i="3"/>
  <c r="A209" i="3"/>
  <c r="A216" i="3"/>
  <c r="A227" i="3"/>
  <c r="A223" i="3"/>
  <c r="H5" i="4"/>
  <c r="A8" i="4"/>
  <c r="H8" i="4"/>
  <c r="H11" i="4"/>
  <c r="A13" i="4"/>
  <c r="A20" i="4"/>
  <c r="A27" i="4"/>
  <c r="A34" i="4"/>
  <c r="A41" i="4"/>
  <c r="A48" i="4"/>
  <c r="A55" i="4"/>
  <c r="A62" i="4"/>
  <c r="A69" i="4"/>
  <c r="A76" i="4"/>
  <c r="A83" i="4"/>
  <c r="A90" i="4"/>
  <c r="A97" i="4"/>
  <c r="A104" i="4"/>
  <c r="A111" i="4"/>
  <c r="A118" i="4"/>
  <c r="A125" i="4"/>
  <c r="A132" i="4"/>
  <c r="A139" i="4"/>
  <c r="A146" i="4"/>
  <c r="A153" i="4"/>
  <c r="A160" i="4"/>
  <c r="A167" i="4"/>
  <c r="A174" i="4"/>
  <c r="A181" i="4"/>
  <c r="A188" i="4"/>
  <c r="A195" i="4"/>
  <c r="A202" i="4"/>
  <c r="A209" i="4"/>
  <c r="A216" i="4"/>
  <c r="A223" i="4"/>
  <c r="A230" i="4"/>
  <c r="A237" i="4"/>
  <c r="A244" i="4"/>
  <c r="A251" i="4"/>
  <c r="A258" i="4"/>
  <c r="A265" i="4"/>
  <c r="A272" i="4"/>
  <c r="A279" i="4"/>
  <c r="A286" i="4"/>
  <c r="A293" i="4"/>
  <c r="A300" i="4"/>
  <c r="A307" i="4"/>
  <c r="H14" i="4"/>
  <c r="A15" i="4"/>
  <c r="H16" i="4"/>
  <c r="O17" i="4"/>
  <c r="P17" i="4"/>
  <c r="O18" i="4"/>
  <c r="P18" i="4"/>
  <c r="H19" i="4"/>
  <c r="A22" i="4"/>
  <c r="H24" i="4"/>
  <c r="H28" i="4"/>
  <c r="A29" i="4"/>
  <c r="H30" i="4"/>
  <c r="H33" i="4"/>
  <c r="H35" i="4"/>
  <c r="A36" i="4"/>
  <c r="A313" i="4"/>
  <c r="A314" i="4"/>
  <c r="H37" i="4"/>
  <c r="H42" i="4"/>
  <c r="A43" i="4"/>
  <c r="H45" i="4"/>
  <c r="H47" i="4"/>
  <c r="H48" i="4"/>
  <c r="A50" i="4"/>
  <c r="H50" i="4"/>
  <c r="H53" i="4"/>
  <c r="A57" i="4"/>
  <c r="H57" i="4"/>
  <c r="H61" i="4"/>
  <c r="A64" i="4"/>
  <c r="A71" i="4"/>
  <c r="A78" i="4"/>
  <c r="A85" i="4"/>
  <c r="A92" i="4"/>
  <c r="A99" i="4"/>
  <c r="A106" i="4"/>
  <c r="A113" i="4"/>
  <c r="A120" i="4"/>
  <c r="A127" i="4"/>
  <c r="A134" i="4"/>
  <c r="A141" i="4"/>
  <c r="A148" i="4"/>
  <c r="A155" i="4"/>
  <c r="A162" i="4"/>
  <c r="A169" i="4"/>
  <c r="A176" i="4"/>
  <c r="A183" i="4"/>
  <c r="A190" i="4"/>
  <c r="A197" i="4"/>
  <c r="A204" i="4"/>
  <c r="A211" i="4"/>
  <c r="A218" i="4"/>
  <c r="A225" i="4"/>
  <c r="A232" i="4"/>
  <c r="A239" i="4"/>
  <c r="A246" i="4"/>
  <c r="A253" i="4"/>
  <c r="A260" i="4"/>
  <c r="A267" i="4"/>
  <c r="A274" i="4"/>
  <c r="A281" i="4"/>
  <c r="A288" i="4"/>
  <c r="A295" i="4"/>
  <c r="A302" i="4"/>
  <c r="A309" i="4"/>
  <c r="H65" i="4"/>
  <c r="H68" i="4"/>
  <c r="H83" i="4"/>
  <c r="H91" i="4"/>
  <c r="H95" i="4"/>
  <c r="H98" i="4"/>
  <c r="H101" i="4"/>
  <c r="H109" i="4"/>
  <c r="H112" i="4"/>
  <c r="H115" i="4"/>
  <c r="H123" i="4"/>
  <c r="H128" i="4"/>
  <c r="H133" i="4"/>
  <c r="H140" i="4"/>
  <c r="H142" i="4"/>
  <c r="H146" i="4"/>
  <c r="H152" i="4"/>
  <c r="H156" i="4"/>
  <c r="H159" i="4"/>
  <c r="H166" i="4"/>
  <c r="H169" i="4"/>
  <c r="H172" i="4"/>
  <c r="H176" i="4"/>
  <c r="H180" i="4"/>
  <c r="H184" i="4"/>
  <c r="H196" i="4"/>
  <c r="H208" i="4"/>
  <c r="H217" i="4"/>
  <c r="H220" i="4"/>
  <c r="H229" i="4"/>
  <c r="H232" i="4"/>
  <c r="H234" i="4"/>
  <c r="H236" i="4"/>
  <c r="H239" i="4"/>
  <c r="H257" i="4"/>
  <c r="H284" i="4"/>
  <c r="H292" i="4"/>
  <c r="H313" i="4"/>
  <c r="A6" i="5"/>
  <c r="H8" i="5"/>
  <c r="P13" i="5"/>
  <c r="R9" i="5"/>
  <c r="A11" i="5"/>
  <c r="A18" i="5"/>
  <c r="A25" i="5"/>
  <c r="A32" i="5"/>
  <c r="A39" i="5"/>
  <c r="A46" i="5"/>
  <c r="A53" i="5"/>
  <c r="A60" i="5"/>
  <c r="A67" i="5"/>
  <c r="A74" i="5"/>
  <c r="A81" i="5"/>
  <c r="A88" i="5"/>
  <c r="A95" i="5"/>
  <c r="A102" i="5"/>
  <c r="A109" i="5"/>
  <c r="A116" i="5"/>
  <c r="A123" i="5"/>
  <c r="A130" i="5"/>
  <c r="A137" i="5"/>
  <c r="A144" i="5"/>
  <c r="A151" i="5"/>
  <c r="A158" i="5"/>
  <c r="A165" i="5"/>
  <c r="A172" i="5"/>
  <c r="A179" i="5"/>
  <c r="A186" i="5"/>
  <c r="A193" i="5"/>
  <c r="A200" i="5"/>
  <c r="A207" i="5"/>
  <c r="A214" i="5"/>
  <c r="A221" i="5"/>
  <c r="A228" i="5"/>
  <c r="A235" i="5"/>
  <c r="A242" i="5"/>
  <c r="A249" i="5"/>
  <c r="A256" i="5"/>
  <c r="A263" i="5"/>
  <c r="A270" i="5"/>
  <c r="A277" i="5"/>
  <c r="A284" i="5"/>
  <c r="A291" i="5"/>
  <c r="A298" i="5"/>
  <c r="A305" i="5"/>
  <c r="A312" i="5"/>
  <c r="A319" i="5"/>
  <c r="A326" i="5"/>
  <c r="A333" i="5"/>
  <c r="A340" i="5"/>
  <c r="A347" i="5"/>
  <c r="A354" i="5"/>
  <c r="A361" i="5"/>
  <c r="A368" i="5"/>
  <c r="S11" i="5"/>
  <c r="S12" i="5"/>
  <c r="A13" i="5"/>
  <c r="A20" i="5"/>
  <c r="H24" i="5"/>
  <c r="A27" i="5"/>
  <c r="A34" i="5"/>
  <c r="H37" i="5"/>
  <c r="A41" i="5"/>
  <c r="A48" i="5"/>
  <c r="A55" i="5"/>
  <c r="H58" i="5"/>
  <c r="A62" i="5"/>
  <c r="H65" i="5"/>
  <c r="A69" i="5"/>
  <c r="H69" i="5"/>
  <c r="H72" i="5"/>
  <c r="A76" i="5"/>
  <c r="H76" i="5"/>
  <c r="H79" i="5"/>
  <c r="A83" i="5"/>
  <c r="A90" i="5"/>
  <c r="H92" i="5"/>
  <c r="H96" i="5"/>
  <c r="A97" i="5"/>
  <c r="H98" i="5"/>
  <c r="H100" i="5"/>
  <c r="H103" i="5"/>
  <c r="A104" i="5"/>
  <c r="H105" i="5"/>
  <c r="H108" i="5"/>
  <c r="H110" i="5"/>
  <c r="A111" i="5"/>
  <c r="H112" i="5"/>
  <c r="H113" i="5"/>
  <c r="H114" i="5"/>
  <c r="H115" i="5"/>
  <c r="H117" i="5"/>
  <c r="A118" i="5"/>
  <c r="H120" i="5"/>
  <c r="H124" i="5"/>
  <c r="A125" i="5"/>
  <c r="H127" i="5"/>
  <c r="H129" i="5"/>
  <c r="H131" i="5"/>
  <c r="A132" i="5"/>
  <c r="H133" i="5"/>
  <c r="H136" i="5"/>
  <c r="H138" i="5"/>
  <c r="A139" i="5"/>
  <c r="H139" i="5"/>
  <c r="H141" i="5"/>
  <c r="H143" i="5"/>
  <c r="A146" i="5"/>
  <c r="H146" i="5"/>
  <c r="H148" i="5"/>
  <c r="H151" i="5"/>
  <c r="A153" i="5"/>
  <c r="H153" i="5"/>
  <c r="H156" i="5"/>
  <c r="H157" i="5"/>
  <c r="A160" i="5"/>
  <c r="H161" i="5"/>
  <c r="H164" i="5"/>
  <c r="H166" i="5"/>
  <c r="A167" i="5"/>
  <c r="H169" i="5"/>
  <c r="H170" i="5"/>
  <c r="H171" i="5"/>
  <c r="H173" i="5"/>
  <c r="A174" i="5"/>
  <c r="H176" i="5"/>
  <c r="H180" i="5"/>
  <c r="A181" i="5"/>
  <c r="H182" i="5"/>
  <c r="H185" i="5"/>
  <c r="A188" i="5"/>
  <c r="H192" i="5"/>
  <c r="H194" i="5"/>
  <c r="A195" i="5"/>
  <c r="H197" i="5"/>
  <c r="H199" i="5"/>
  <c r="H201" i="5"/>
  <c r="A202" i="5"/>
  <c r="H203" i="5"/>
  <c r="H205" i="5"/>
  <c r="H208" i="5"/>
  <c r="A209" i="5"/>
  <c r="H209" i="5"/>
  <c r="H210" i="5"/>
  <c r="H212" i="5"/>
  <c r="H213" i="5"/>
  <c r="H215" i="5"/>
  <c r="A216" i="5"/>
  <c r="H218" i="5"/>
  <c r="H220" i="5"/>
  <c r="H222" i="5"/>
  <c r="A223" i="5"/>
  <c r="H224" i="5"/>
  <c r="H226" i="5"/>
  <c r="H227" i="5"/>
  <c r="H229" i="5"/>
  <c r="A230" i="5"/>
  <c r="H232" i="5"/>
  <c r="H234" i="5"/>
  <c r="H236" i="5"/>
  <c r="A237" i="5"/>
  <c r="H238" i="5"/>
  <c r="H241" i="5"/>
  <c r="A244" i="5"/>
  <c r="H244" i="5"/>
  <c r="H246" i="5"/>
  <c r="H248" i="5"/>
  <c r="A251" i="5"/>
  <c r="H254" i="5"/>
  <c r="H257" i="5"/>
  <c r="A258" i="5"/>
  <c r="H261" i="5"/>
  <c r="H264" i="5"/>
  <c r="A265" i="5"/>
  <c r="H266" i="5"/>
  <c r="H268" i="5"/>
  <c r="H271" i="5"/>
  <c r="A272" i="5"/>
  <c r="H275" i="5"/>
  <c r="H276" i="5"/>
  <c r="A279" i="5"/>
  <c r="H283" i="5"/>
  <c r="A286" i="5"/>
  <c r="H286" i="5"/>
  <c r="H290" i="5"/>
  <c r="A293" i="5"/>
  <c r="A300" i="5"/>
  <c r="H301" i="5"/>
  <c r="H303" i="5"/>
  <c r="A307" i="5"/>
  <c r="H310" i="5"/>
  <c r="A314" i="5"/>
  <c r="H318" i="5"/>
  <c r="A321" i="5"/>
  <c r="H325" i="5"/>
  <c r="A328" i="5"/>
  <c r="A335" i="5"/>
  <c r="H339" i="5"/>
  <c r="A342" i="5"/>
  <c r="H345" i="5"/>
  <c r="H346" i="5"/>
  <c r="A349" i="5"/>
  <c r="H352" i="5"/>
  <c r="H353" i="5"/>
  <c r="A356" i="5"/>
  <c r="A370" i="5"/>
  <c r="A363" i="5"/>
  <c r="H360" i="5"/>
  <c r="H369" i="5"/>
  <c r="H373" i="5"/>
  <c r="H5" i="6"/>
  <c r="A6" i="6"/>
  <c r="P8" i="6"/>
  <c r="R8" i="6"/>
  <c r="P9" i="6"/>
  <c r="R9" i="6"/>
  <c r="P10" i="6"/>
  <c r="R10" i="6"/>
  <c r="A11" i="6"/>
  <c r="A18" i="6"/>
  <c r="A25" i="6"/>
  <c r="A32" i="6"/>
  <c r="A39" i="6"/>
  <c r="A46" i="6"/>
  <c r="A53" i="6"/>
  <c r="A60" i="6"/>
  <c r="A67" i="6"/>
  <c r="A74" i="6"/>
  <c r="A81" i="6"/>
  <c r="A88" i="6"/>
  <c r="A95" i="6"/>
  <c r="A102" i="6"/>
  <c r="A109" i="6"/>
  <c r="A116" i="6"/>
  <c r="A123" i="6"/>
  <c r="A130" i="6"/>
  <c r="A137" i="6"/>
  <c r="A144" i="6"/>
  <c r="A151" i="6"/>
  <c r="A158" i="6"/>
  <c r="A165" i="6"/>
  <c r="A172" i="6"/>
  <c r="A179" i="6"/>
  <c r="A186" i="6"/>
  <c r="A193" i="6"/>
  <c r="A200" i="6"/>
  <c r="A207" i="6"/>
  <c r="A214" i="6"/>
  <c r="A221" i="6"/>
  <c r="A228" i="6"/>
  <c r="A235" i="6"/>
  <c r="A242" i="6"/>
  <c r="A249" i="6"/>
  <c r="A256" i="6"/>
  <c r="A263" i="6"/>
  <c r="A270" i="6"/>
  <c r="A277" i="6"/>
  <c r="A284" i="6"/>
  <c r="A291" i="6"/>
  <c r="A298" i="6"/>
  <c r="A305" i="6"/>
  <c r="A312" i="6"/>
  <c r="A319" i="6"/>
  <c r="A326" i="6"/>
  <c r="A333" i="6"/>
  <c r="A340" i="6"/>
  <c r="A347" i="6"/>
  <c r="A354" i="6"/>
  <c r="A361" i="6"/>
  <c r="A368" i="6"/>
  <c r="P11" i="6"/>
  <c r="R11" i="6"/>
  <c r="S11" i="6"/>
  <c r="P12" i="6"/>
  <c r="R12" i="6"/>
  <c r="S12" i="6"/>
  <c r="A13" i="6"/>
  <c r="H17" i="6"/>
  <c r="A20" i="6"/>
  <c r="H24" i="6"/>
  <c r="A27" i="6"/>
  <c r="A34" i="6"/>
  <c r="A41" i="6"/>
  <c r="H43" i="6"/>
  <c r="H45" i="6"/>
  <c r="A48" i="6"/>
  <c r="H51" i="6"/>
  <c r="A55" i="6"/>
  <c r="H57" i="6"/>
  <c r="H59" i="6"/>
  <c r="A62" i="6"/>
  <c r="H63" i="6"/>
  <c r="H65" i="6"/>
  <c r="H68" i="6"/>
  <c r="A69" i="6"/>
  <c r="H71" i="6"/>
  <c r="H73" i="6"/>
  <c r="A76" i="6"/>
  <c r="H76" i="6"/>
  <c r="H78" i="6"/>
  <c r="H80" i="6"/>
  <c r="A83" i="6"/>
  <c r="H83" i="6"/>
  <c r="H86" i="6"/>
  <c r="H89" i="6"/>
  <c r="A90" i="6"/>
  <c r="H92" i="6"/>
  <c r="H94" i="6"/>
  <c r="A97" i="6"/>
  <c r="H97" i="6"/>
  <c r="H99" i="6"/>
  <c r="A104" i="6"/>
  <c r="H105" i="6"/>
  <c r="H108" i="6"/>
  <c r="H110" i="6"/>
  <c r="A111" i="6"/>
  <c r="H113" i="6"/>
  <c r="H116" i="6"/>
  <c r="A118" i="6"/>
  <c r="H118" i="6"/>
  <c r="H121" i="6"/>
  <c r="H123" i="6"/>
  <c r="A125" i="6"/>
  <c r="H125" i="6"/>
  <c r="H127" i="6"/>
  <c r="A132" i="6"/>
  <c r="H132" i="6"/>
  <c r="H133" i="6"/>
  <c r="H136" i="6"/>
  <c r="A139" i="6"/>
  <c r="H141" i="6"/>
  <c r="H143" i="6"/>
  <c r="H145" i="6"/>
  <c r="A146" i="6"/>
  <c r="H147" i="6"/>
  <c r="H149" i="6"/>
  <c r="H151" i="6"/>
  <c r="A153" i="6"/>
  <c r="H153" i="6"/>
  <c r="H156" i="6"/>
  <c r="H157" i="6"/>
  <c r="A160" i="6"/>
  <c r="H161" i="6"/>
  <c r="E163" i="6"/>
  <c r="H164" i="6"/>
  <c r="A167" i="6"/>
  <c r="H167" i="6"/>
  <c r="H168" i="6"/>
  <c r="H170" i="6"/>
  <c r="H172" i="6"/>
  <c r="H173" i="6"/>
  <c r="A174" i="6"/>
  <c r="H175" i="6"/>
  <c r="H176" i="6"/>
  <c r="H177" i="6"/>
  <c r="H180" i="6"/>
  <c r="A181" i="6"/>
  <c r="H182" i="6"/>
  <c r="H184" i="6"/>
  <c r="H186" i="6"/>
  <c r="A188" i="6"/>
  <c r="H188" i="6"/>
  <c r="H191" i="6"/>
  <c r="H193" i="6"/>
  <c r="A195" i="6"/>
  <c r="H195" i="6"/>
  <c r="H197" i="6"/>
  <c r="H198" i="6"/>
  <c r="H201" i="6"/>
  <c r="A202" i="6"/>
  <c r="H202" i="6"/>
  <c r="H204" i="6"/>
  <c r="H207" i="6"/>
  <c r="A209" i="6"/>
  <c r="H209" i="6"/>
  <c r="H212" i="6"/>
  <c r="H213" i="6"/>
  <c r="H215" i="6"/>
  <c r="A216" i="6"/>
  <c r="H216" i="6"/>
  <c r="H218" i="6"/>
  <c r="H220" i="6"/>
  <c r="H222" i="6"/>
  <c r="A223" i="6"/>
  <c r="H225" i="6"/>
  <c r="H226" i="6"/>
  <c r="H227" i="6"/>
  <c r="A230" i="6"/>
  <c r="H231" i="6"/>
  <c r="H233" i="6"/>
  <c r="H234" i="6"/>
  <c r="H236" i="6"/>
  <c r="A237" i="6"/>
  <c r="H240" i="6"/>
  <c r="H241" i="6"/>
  <c r="H243" i="6"/>
  <c r="A244" i="6"/>
  <c r="H244" i="6"/>
  <c r="H247" i="6"/>
  <c r="H248" i="6"/>
  <c r="H250" i="6"/>
  <c r="A251" i="6"/>
  <c r="H254" i="6"/>
  <c r="H255" i="6"/>
  <c r="A258" i="6"/>
  <c r="H258" i="6"/>
  <c r="H261" i="6"/>
  <c r="H262" i="6"/>
  <c r="H264" i="6"/>
  <c r="A265" i="6"/>
  <c r="H265" i="6"/>
  <c r="H267" i="6"/>
  <c r="H269" i="6"/>
  <c r="H270" i="6"/>
  <c r="A272" i="6"/>
  <c r="H272" i="6"/>
  <c r="H274" i="6"/>
  <c r="H276" i="6"/>
  <c r="A279" i="6"/>
  <c r="H279" i="6"/>
  <c r="H282" i="6"/>
  <c r="H283" i="6"/>
  <c r="H285" i="6"/>
  <c r="A286" i="6"/>
  <c r="H286" i="6"/>
  <c r="H289" i="6"/>
  <c r="H290" i="6"/>
  <c r="H292" i="6"/>
  <c r="A293" i="6"/>
  <c r="H293" i="6"/>
  <c r="H295" i="6"/>
  <c r="H297" i="6"/>
  <c r="H299" i="6"/>
  <c r="A300" i="6"/>
  <c r="H300" i="6"/>
  <c r="H302" i="6"/>
  <c r="H304" i="6"/>
  <c r="A307" i="6"/>
  <c r="H311" i="6"/>
  <c r="A314" i="6"/>
  <c r="A321" i="6"/>
  <c r="A328" i="6"/>
  <c r="A335" i="6"/>
  <c r="A342" i="6"/>
  <c r="H346" i="6"/>
  <c r="A349" i="6"/>
  <c r="A356" i="6"/>
  <c r="A363" i="6"/>
  <c r="A370" i="6"/>
  <c r="H368" i="6"/>
  <c r="A6" i="7"/>
  <c r="P8" i="7"/>
  <c r="R8" i="7"/>
  <c r="P9" i="7"/>
  <c r="R9" i="7"/>
  <c r="H10" i="7"/>
  <c r="P10" i="7"/>
  <c r="R10" i="7"/>
  <c r="A11" i="7"/>
  <c r="A18" i="7"/>
  <c r="A25" i="7"/>
  <c r="A32" i="7"/>
  <c r="A39" i="7"/>
  <c r="A46" i="7"/>
  <c r="A53" i="7"/>
  <c r="A60" i="7"/>
  <c r="A67" i="7"/>
  <c r="A74" i="7"/>
  <c r="A81" i="7"/>
  <c r="A88" i="7"/>
  <c r="A95" i="7"/>
  <c r="A102" i="7"/>
  <c r="A109" i="7"/>
  <c r="A116" i="7"/>
  <c r="A123" i="7"/>
  <c r="A130" i="7"/>
  <c r="A137" i="7"/>
  <c r="A144" i="7"/>
  <c r="A151" i="7"/>
  <c r="A158" i="7"/>
  <c r="A165" i="7"/>
  <c r="A172" i="7"/>
  <c r="A179" i="7"/>
  <c r="A186" i="7"/>
  <c r="A193" i="7"/>
  <c r="A200" i="7"/>
  <c r="A207" i="7"/>
  <c r="A214" i="7"/>
  <c r="A221" i="7"/>
  <c r="A228" i="7"/>
  <c r="A235" i="7"/>
  <c r="A242" i="7"/>
  <c r="A249" i="7"/>
  <c r="A256" i="7"/>
  <c r="A263" i="7"/>
  <c r="A270" i="7"/>
  <c r="A277" i="7"/>
  <c r="A284" i="7"/>
  <c r="A291" i="7"/>
  <c r="A298" i="7"/>
  <c r="A305" i="7"/>
  <c r="A312" i="7"/>
  <c r="A319" i="7"/>
  <c r="A326" i="7"/>
  <c r="A333" i="7"/>
  <c r="A340" i="7"/>
  <c r="A347" i="7"/>
  <c r="A354" i="7"/>
  <c r="A361" i="7"/>
  <c r="A368" i="7"/>
  <c r="P11" i="7"/>
  <c r="R11" i="7"/>
  <c r="S11" i="7"/>
  <c r="P12" i="7"/>
  <c r="R12" i="7"/>
  <c r="S12" i="7"/>
  <c r="A13" i="7"/>
  <c r="H16" i="7"/>
  <c r="A20" i="7"/>
  <c r="A27" i="7"/>
  <c r="A34" i="7"/>
  <c r="A41" i="7"/>
  <c r="H45" i="7"/>
  <c r="A48" i="7"/>
  <c r="A55" i="7"/>
  <c r="H59" i="7"/>
  <c r="A62" i="7"/>
  <c r="A69" i="7"/>
  <c r="H71" i="7"/>
  <c r="H74" i="7"/>
  <c r="A76" i="7"/>
  <c r="A83" i="7"/>
  <c r="A90" i="7"/>
  <c r="A97" i="7"/>
  <c r="A104" i="7"/>
  <c r="H108" i="7"/>
  <c r="A111" i="7"/>
  <c r="H115" i="7"/>
  <c r="A118" i="7"/>
  <c r="H124" i="7"/>
  <c r="A125" i="7"/>
  <c r="H130" i="7"/>
  <c r="A132" i="7"/>
  <c r="H132" i="7"/>
  <c r="H137" i="7"/>
  <c r="A139" i="7"/>
  <c r="H139" i="7"/>
  <c r="H142" i="7"/>
  <c r="H144" i="7"/>
  <c r="A146" i="7"/>
  <c r="H146" i="7"/>
  <c r="A153" i="7"/>
  <c r="A160" i="7"/>
  <c r="H164" i="7"/>
  <c r="A167" i="7"/>
  <c r="H169" i="7"/>
  <c r="H171" i="7"/>
  <c r="A174" i="7"/>
  <c r="A181" i="7"/>
  <c r="A188" i="7"/>
  <c r="H194" i="7"/>
  <c r="A195" i="7"/>
  <c r="H197" i="7"/>
  <c r="H201" i="7"/>
  <c r="A202" i="7"/>
  <c r="H204" i="7"/>
  <c r="H208" i="7"/>
  <c r="A209" i="7"/>
  <c r="A216" i="7"/>
  <c r="H222" i="7"/>
  <c r="A223" i="7"/>
  <c r="H226" i="7"/>
  <c r="H228" i="7"/>
  <c r="A230" i="7"/>
  <c r="H232" i="7"/>
  <c r="H234" i="7"/>
  <c r="H236" i="7"/>
  <c r="A237" i="7"/>
  <c r="H239" i="7"/>
  <c r="A244" i="7"/>
  <c r="H244" i="7"/>
  <c r="H248" i="7"/>
  <c r="H250" i="7"/>
  <c r="A251" i="7"/>
  <c r="H253" i="7"/>
  <c r="A258" i="7"/>
  <c r="A265" i="7"/>
  <c r="A272" i="7"/>
  <c r="A279" i="7"/>
  <c r="H280" i="7"/>
  <c r="H283" i="7"/>
  <c r="H285" i="7"/>
  <c r="A286" i="7"/>
  <c r="H288" i="7"/>
  <c r="H290" i="7"/>
  <c r="A293" i="7"/>
  <c r="H293" i="7"/>
  <c r="H296" i="7"/>
  <c r="H298" i="7"/>
  <c r="A300" i="7"/>
  <c r="H300" i="7"/>
  <c r="H306" i="7"/>
  <c r="A307" i="7"/>
  <c r="H311" i="7"/>
  <c r="H313" i="7"/>
  <c r="A314" i="7"/>
  <c r="H317" i="7"/>
  <c r="A321" i="7"/>
  <c r="H321" i="7"/>
  <c r="A328" i="7"/>
  <c r="H328" i="7"/>
  <c r="H334" i="7"/>
  <c r="A335" i="7"/>
  <c r="A342" i="7"/>
  <c r="A349" i="7"/>
  <c r="A356" i="7"/>
  <c r="A363" i="7"/>
  <c r="A370" i="7"/>
  <c r="G5" i="8"/>
  <c r="A6" i="8"/>
  <c r="O8" i="8"/>
  <c r="Q8" i="8"/>
  <c r="O9" i="8"/>
  <c r="Q9" i="8"/>
  <c r="O10" i="8"/>
  <c r="Q10" i="8"/>
  <c r="A11" i="8"/>
  <c r="A18" i="8"/>
  <c r="A25" i="8"/>
  <c r="A32" i="8"/>
  <c r="A39" i="8"/>
  <c r="A46" i="8"/>
  <c r="A53" i="8"/>
  <c r="A60" i="8"/>
  <c r="A67" i="8"/>
  <c r="A74" i="8"/>
  <c r="A81" i="8"/>
  <c r="A88" i="8"/>
  <c r="A95" i="8"/>
  <c r="A102" i="8"/>
  <c r="A109" i="8"/>
  <c r="A116" i="8"/>
  <c r="A123" i="8"/>
  <c r="A130" i="8"/>
  <c r="A137" i="8"/>
  <c r="A144" i="8"/>
  <c r="A151" i="8"/>
  <c r="A158" i="8"/>
  <c r="A165" i="8"/>
  <c r="A172" i="8"/>
  <c r="A179" i="8"/>
  <c r="A186" i="8"/>
  <c r="A193" i="8"/>
  <c r="A200" i="8"/>
  <c r="A207" i="8"/>
  <c r="A214" i="8"/>
  <c r="A221" i="8"/>
  <c r="A228" i="8"/>
  <c r="A235" i="8"/>
  <c r="A242" i="8"/>
  <c r="A249" i="8"/>
  <c r="A256" i="8"/>
  <c r="A263" i="8"/>
  <c r="A270" i="8"/>
  <c r="A277" i="8"/>
  <c r="A284" i="8"/>
  <c r="A291" i="8"/>
  <c r="A298" i="8"/>
  <c r="A305" i="8"/>
  <c r="A312" i="8"/>
  <c r="A319" i="8"/>
  <c r="A326" i="8"/>
  <c r="A333" i="8"/>
  <c r="A340" i="8"/>
  <c r="A347" i="8"/>
  <c r="A354" i="8"/>
  <c r="A361" i="8"/>
  <c r="A368" i="8"/>
  <c r="O11" i="8"/>
  <c r="Q11" i="8"/>
  <c r="R11" i="8"/>
  <c r="O12" i="8"/>
  <c r="Q12" i="8"/>
  <c r="R12" i="8"/>
  <c r="A13" i="8"/>
  <c r="G17" i="8"/>
  <c r="G19" i="8"/>
  <c r="A20" i="8"/>
  <c r="G22" i="8"/>
  <c r="G26" i="8"/>
  <c r="G29" i="8"/>
  <c r="G31" i="8"/>
  <c r="G34" i="8"/>
  <c r="G39" i="8"/>
  <c r="G43" i="8"/>
  <c r="G45" i="8"/>
  <c r="G47" i="8"/>
  <c r="G48" i="8"/>
  <c r="G50" i="8"/>
  <c r="G52" i="8"/>
  <c r="G54" i="8"/>
  <c r="G55" i="8"/>
  <c r="G56" i="8"/>
  <c r="G58" i="8"/>
  <c r="G61" i="8"/>
  <c r="G63" i="8"/>
  <c r="G65" i="8"/>
  <c r="G66" i="8"/>
  <c r="G68" i="8"/>
  <c r="G69" i="8"/>
  <c r="G71" i="8"/>
  <c r="G73" i="8"/>
  <c r="G75" i="8"/>
  <c r="G76" i="8"/>
  <c r="G78" i="8"/>
  <c r="G80" i="8"/>
  <c r="G82" i="8"/>
  <c r="G85" i="8"/>
  <c r="G87" i="8"/>
  <c r="G90" i="8"/>
  <c r="G91" i="8"/>
  <c r="G94" i="8"/>
  <c r="G96" i="8"/>
  <c r="G97" i="8"/>
  <c r="G99" i="8"/>
  <c r="G101" i="8"/>
  <c r="G103" i="8"/>
  <c r="G105" i="8"/>
  <c r="G108" i="8"/>
  <c r="G112" i="8"/>
  <c r="G115" i="8"/>
  <c r="G116" i="8"/>
  <c r="G118" i="8"/>
  <c r="G120" i="8"/>
  <c r="G121" i="8"/>
  <c r="G125" i="8"/>
  <c r="G129" i="8"/>
  <c r="G139" i="8"/>
  <c r="G143" i="8"/>
  <c r="G145" i="8"/>
  <c r="G148" i="8"/>
  <c r="G153" i="8"/>
  <c r="G155" i="8"/>
  <c r="G158" i="8"/>
  <c r="G160" i="8"/>
  <c r="G165" i="8"/>
  <c r="G167" i="8"/>
  <c r="G169" i="8"/>
  <c r="G171" i="8"/>
  <c r="G173" i="8"/>
  <c r="G177" i="8"/>
  <c r="G186" i="8"/>
  <c r="G189" i="8"/>
  <c r="G192" i="8"/>
  <c r="G194" i="8"/>
  <c r="G196" i="8"/>
  <c r="G197" i="8"/>
  <c r="G202" i="8"/>
  <c r="G204" i="8"/>
  <c r="G206" i="8"/>
  <c r="G207" i="8"/>
  <c r="G209" i="8"/>
  <c r="G211" i="8"/>
  <c r="G214" i="8"/>
  <c r="G216" i="8"/>
  <c r="G217" i="8"/>
  <c r="G218" i="8"/>
  <c r="G220" i="8"/>
  <c r="G221" i="8"/>
  <c r="G223" i="8"/>
  <c r="G225" i="8"/>
  <c r="G227" i="8"/>
  <c r="G229" i="8"/>
  <c r="G230" i="8"/>
  <c r="G231" i="8"/>
  <c r="G233" i="8"/>
  <c r="G236" i="8"/>
  <c r="G237" i="8"/>
  <c r="G240" i="8"/>
  <c r="G241" i="8"/>
  <c r="G243" i="8"/>
  <c r="G244" i="8"/>
  <c r="G246" i="8"/>
  <c r="G250" i="8"/>
  <c r="G253" i="8"/>
  <c r="G254" i="8"/>
  <c r="G255" i="8"/>
  <c r="G257" i="8"/>
  <c r="G259" i="8"/>
  <c r="G261" i="8"/>
  <c r="G262" i="8"/>
  <c r="G264" i="8"/>
  <c r="G265" i="8"/>
  <c r="G267" i="8"/>
  <c r="G269" i="8"/>
  <c r="G271" i="8"/>
  <c r="G272" i="8"/>
  <c r="G274" i="8"/>
  <c r="G275" i="8"/>
  <c r="G278" i="8"/>
  <c r="G279" i="8"/>
  <c r="G281" i="8"/>
  <c r="G283" i="8"/>
  <c r="G285" i="8"/>
  <c r="G286" i="8"/>
  <c r="G287" i="8"/>
  <c r="G289" i="8"/>
  <c r="G290" i="8"/>
  <c r="G292" i="8"/>
  <c r="G294" i="8"/>
  <c r="G296" i="8"/>
  <c r="G297" i="8"/>
  <c r="G299" i="8"/>
  <c r="G301" i="8"/>
  <c r="G304" i="8"/>
  <c r="G305" i="8"/>
  <c r="G311" i="8"/>
  <c r="G316" i="8"/>
  <c r="G319" i="8"/>
  <c r="G321" i="8"/>
  <c r="G323" i="8"/>
  <c r="G325" i="8"/>
  <c r="G335" i="8"/>
  <c r="G338" i="8"/>
  <c r="G343" i="8"/>
  <c r="G348" i="8"/>
  <c r="G351" i="8"/>
  <c r="G360" i="8"/>
  <c r="G365" i="8"/>
  <c r="G368" i="8"/>
  <c r="G370" i="8"/>
  <c r="A27" i="8"/>
  <c r="A34" i="8"/>
  <c r="A41" i="8"/>
  <c r="A48" i="8"/>
  <c r="A55" i="8"/>
  <c r="A62" i="8"/>
  <c r="A69" i="8"/>
  <c r="A76" i="8"/>
  <c r="A83" i="8"/>
  <c r="A90" i="8"/>
  <c r="A97" i="8"/>
  <c r="A104" i="8"/>
  <c r="A111" i="8"/>
  <c r="A118" i="8"/>
  <c r="A125" i="8"/>
  <c r="A132" i="8"/>
  <c r="A139" i="8"/>
  <c r="A146" i="8"/>
  <c r="A153" i="8"/>
  <c r="A160" i="8"/>
  <c r="A167" i="8"/>
  <c r="A174" i="8"/>
  <c r="A181" i="8"/>
  <c r="A188" i="8"/>
  <c r="A195" i="8"/>
  <c r="A202" i="8"/>
  <c r="A209" i="8"/>
  <c r="A216" i="8"/>
  <c r="A223" i="8"/>
  <c r="A230" i="8"/>
  <c r="A237" i="8"/>
  <c r="A244" i="8"/>
  <c r="A251" i="8"/>
  <c r="A258" i="8"/>
  <c r="A265" i="8"/>
  <c r="A272" i="8"/>
  <c r="A279" i="8"/>
  <c r="A286" i="8"/>
  <c r="A293" i="8"/>
  <c r="A300" i="8"/>
  <c r="A307" i="8"/>
  <c r="A314" i="8"/>
  <c r="A321" i="8"/>
  <c r="A328" i="8"/>
  <c r="A335" i="8"/>
  <c r="A342" i="8"/>
  <c r="A349" i="8"/>
  <c r="A356" i="8"/>
  <c r="A363" i="8"/>
  <c r="A370" i="8"/>
  <c r="D375" i="8"/>
  <c r="F375" i="8"/>
  <c r="A6" i="9"/>
  <c r="N8" i="9"/>
  <c r="P8" i="9"/>
  <c r="N9" i="9"/>
  <c r="P9" i="9"/>
  <c r="N10" i="9"/>
  <c r="P10" i="9"/>
  <c r="A11" i="9"/>
  <c r="A18" i="9"/>
  <c r="A25" i="9"/>
  <c r="A32" i="9"/>
  <c r="A39" i="9"/>
  <c r="A46" i="9"/>
  <c r="A53" i="9"/>
  <c r="A60" i="9"/>
  <c r="A67" i="9"/>
  <c r="A74" i="9"/>
  <c r="A81" i="9"/>
  <c r="A88" i="9"/>
  <c r="A95" i="9"/>
  <c r="A102" i="9"/>
  <c r="A109" i="9"/>
  <c r="A116" i="9"/>
  <c r="A123" i="9"/>
  <c r="A130" i="9"/>
  <c r="A137" i="9"/>
  <c r="A144" i="9"/>
  <c r="A151" i="9"/>
  <c r="A158" i="9"/>
  <c r="A165" i="9"/>
  <c r="A172" i="9"/>
  <c r="A179" i="9"/>
  <c r="A186" i="9"/>
  <c r="A193" i="9"/>
  <c r="A200" i="9"/>
  <c r="A207" i="9"/>
  <c r="A214" i="9"/>
  <c r="A221" i="9"/>
  <c r="A228" i="9"/>
  <c r="A235" i="9"/>
  <c r="A242" i="9"/>
  <c r="A249" i="9"/>
  <c r="A256" i="9"/>
  <c r="A263" i="9"/>
  <c r="A270" i="9"/>
  <c r="A277" i="9"/>
  <c r="A284" i="9"/>
  <c r="A291" i="9"/>
  <c r="A298" i="9"/>
  <c r="A305" i="9"/>
  <c r="A312" i="9"/>
  <c r="A319" i="9"/>
  <c r="A326" i="9"/>
  <c r="A333" i="9"/>
  <c r="A340" i="9"/>
  <c r="A347" i="9"/>
  <c r="A354" i="9"/>
  <c r="A361" i="9"/>
  <c r="A368" i="9"/>
  <c r="F11" i="9"/>
  <c r="F375" i="9"/>
  <c r="F13" i="9"/>
  <c r="F16" i="9"/>
  <c r="F19" i="9"/>
  <c r="F21" i="9"/>
  <c r="F25" i="9"/>
  <c r="F27" i="9"/>
  <c r="F32" i="9"/>
  <c r="F34" i="9"/>
  <c r="F37" i="9"/>
  <c r="F39" i="9"/>
  <c r="F42" i="9"/>
  <c r="F44" i="9"/>
  <c r="F46" i="9"/>
  <c r="F48" i="9"/>
  <c r="F52" i="9"/>
  <c r="F54" i="9"/>
  <c r="F55" i="9"/>
  <c r="F56" i="9"/>
  <c r="F58" i="9"/>
  <c r="F60" i="9"/>
  <c r="F62" i="9"/>
  <c r="F63" i="9"/>
  <c r="F65" i="9"/>
  <c r="F66" i="9"/>
  <c r="F68" i="9"/>
  <c r="F69" i="9"/>
  <c r="F71" i="9"/>
  <c r="F73" i="9"/>
  <c r="F74" i="9"/>
  <c r="F78" i="9"/>
  <c r="F79" i="9"/>
  <c r="F81" i="9"/>
  <c r="F83" i="9"/>
  <c r="F86" i="9"/>
  <c r="F87" i="9"/>
  <c r="F89" i="9"/>
  <c r="F91" i="9"/>
  <c r="F92" i="9"/>
  <c r="F94" i="9"/>
  <c r="F96" i="9"/>
  <c r="F98" i="9"/>
  <c r="F100" i="9"/>
  <c r="F101" i="9"/>
  <c r="F103" i="9"/>
  <c r="F104" i="9"/>
  <c r="F105" i="9"/>
  <c r="F107" i="9"/>
  <c r="F108" i="9"/>
  <c r="F110" i="9"/>
  <c r="F112" i="9"/>
  <c r="F114" i="9"/>
  <c r="F118" i="9"/>
  <c r="F122" i="9"/>
  <c r="F128" i="9"/>
  <c r="F130" i="9"/>
  <c r="F134" i="9"/>
  <c r="F137" i="9"/>
  <c r="F140" i="9"/>
  <c r="F143" i="9"/>
  <c r="F149" i="9"/>
  <c r="F154" i="9"/>
  <c r="F159" i="9"/>
  <c r="F161" i="9"/>
  <c r="F163" i="9"/>
  <c r="F165" i="9"/>
  <c r="F167" i="9"/>
  <c r="F169" i="9"/>
  <c r="F171" i="9"/>
  <c r="F173" i="9"/>
  <c r="F174" i="9"/>
  <c r="F175" i="9"/>
  <c r="F178" i="9"/>
  <c r="F180" i="9"/>
  <c r="F181" i="9"/>
  <c r="F184" i="9"/>
  <c r="F185" i="9"/>
  <c r="F187" i="9"/>
  <c r="F189" i="9"/>
  <c r="F192" i="9"/>
  <c r="F194" i="9"/>
  <c r="F197" i="9"/>
  <c r="F199" i="9"/>
  <c r="F203" i="9"/>
  <c r="F208" i="9"/>
  <c r="F210" i="9"/>
  <c r="F213" i="9"/>
  <c r="F215" i="9"/>
  <c r="F216" i="9"/>
  <c r="F217" i="9"/>
  <c r="F219" i="9"/>
  <c r="F220" i="9"/>
  <c r="F222" i="9"/>
  <c r="F223" i="9"/>
  <c r="F225" i="9"/>
  <c r="F227" i="9"/>
  <c r="F229" i="9"/>
  <c r="F231" i="9"/>
  <c r="F232" i="9"/>
  <c r="F234" i="9"/>
  <c r="F236" i="9"/>
  <c r="F238" i="9"/>
  <c r="F239" i="9"/>
  <c r="F241" i="9"/>
  <c r="F242" i="9"/>
  <c r="F243" i="9"/>
  <c r="F245" i="9"/>
  <c r="F246" i="9"/>
  <c r="F248" i="9"/>
  <c r="F250" i="9"/>
  <c r="F252" i="9"/>
  <c r="F254" i="9"/>
  <c r="F255" i="9"/>
  <c r="F257" i="9"/>
  <c r="F258" i="9"/>
  <c r="F261" i="9"/>
  <c r="F262" i="9"/>
  <c r="N11" i="9"/>
  <c r="P11" i="9"/>
  <c r="Q11" i="9"/>
  <c r="N12" i="9"/>
  <c r="P12" i="9"/>
  <c r="Q12" i="9"/>
  <c r="A13" i="9"/>
  <c r="A20" i="9"/>
  <c r="A27" i="9"/>
  <c r="A34" i="9"/>
  <c r="A41" i="9"/>
  <c r="A48" i="9"/>
  <c r="A55" i="9"/>
  <c r="A62" i="9"/>
  <c r="A69" i="9"/>
  <c r="A76" i="9"/>
  <c r="D76" i="9"/>
  <c r="D375" i="9"/>
  <c r="A83" i="9"/>
  <c r="A90" i="9"/>
  <c r="A97" i="9"/>
  <c r="A104" i="9"/>
  <c r="A111" i="9"/>
  <c r="A118" i="9"/>
  <c r="A125" i="9"/>
  <c r="A132" i="9"/>
  <c r="A139" i="9"/>
  <c r="A146" i="9"/>
  <c r="A153" i="9"/>
  <c r="A160" i="9"/>
  <c r="A167" i="9"/>
  <c r="A174" i="9"/>
  <c r="A181" i="9"/>
  <c r="A188" i="9"/>
  <c r="A195" i="9"/>
  <c r="A202" i="9"/>
  <c r="A209" i="9"/>
  <c r="A216" i="9"/>
  <c r="A223" i="9"/>
  <c r="A230" i="9"/>
  <c r="A237" i="9"/>
  <c r="A244" i="9"/>
  <c r="A251" i="9"/>
  <c r="A258" i="9"/>
  <c r="A272" i="9"/>
  <c r="A279" i="9"/>
  <c r="A286" i="9"/>
  <c r="A293" i="9"/>
  <c r="A300" i="9"/>
  <c r="A307" i="9"/>
  <c r="A314" i="9"/>
  <c r="A321" i="9"/>
  <c r="A328" i="9"/>
  <c r="A335" i="9"/>
  <c r="A342" i="9"/>
  <c r="A374" i="9"/>
  <c r="A375" i="9"/>
  <c r="A349" i="9"/>
  <c r="A356" i="9"/>
  <c r="A363" i="9"/>
  <c r="A370" i="9"/>
  <c r="E375" i="9"/>
  <c r="H155" i="14"/>
  <c r="H141" i="14"/>
  <c r="H153" i="14"/>
  <c r="H148" i="14"/>
  <c r="H144" i="14"/>
  <c r="H132" i="14"/>
  <c r="H156" i="14"/>
  <c r="H139" i="14"/>
  <c r="N645" i="14"/>
  <c r="I611" i="14"/>
  <c r="N611" i="14" s="1"/>
  <c r="I365" i="14"/>
  <c r="N365" i="14" s="1"/>
  <c r="I355" i="14"/>
  <c r="N355" i="14" s="1"/>
  <c r="I363" i="14"/>
  <c r="N363" i="14" s="1"/>
  <c r="I307" i="14"/>
  <c r="N307" i="14" s="1"/>
  <c r="I252" i="14"/>
  <c r="N252" i="14" s="1"/>
  <c r="I219" i="14"/>
  <c r="N219" i="14" s="1"/>
  <c r="I286" i="14"/>
  <c r="N286" i="14" s="1"/>
  <c r="I212" i="14"/>
  <c r="N212" i="14" s="1"/>
  <c r="I205" i="14"/>
  <c r="N205" i="14" s="1"/>
  <c r="I253" i="14"/>
  <c r="N253" i="14" s="1"/>
  <c r="I282" i="14"/>
  <c r="N282" i="14" s="1"/>
  <c r="I284" i="14"/>
  <c r="N284" i="14" s="1"/>
  <c r="N266" i="14"/>
  <c r="I317" i="14"/>
  <c r="N317" i="14" s="1"/>
  <c r="I237" i="14"/>
  <c r="N237" i="14" s="1"/>
  <c r="I246" i="14"/>
  <c r="N246" i="14" s="1"/>
  <c r="I298" i="14"/>
  <c r="N298" i="14" s="1"/>
  <c r="I233" i="14"/>
  <c r="N233" i="14" s="1"/>
  <c r="I238" i="14"/>
  <c r="N238" i="14" s="1"/>
  <c r="I236" i="14"/>
  <c r="N236" i="14" s="1"/>
  <c r="I271" i="14"/>
  <c r="I320" i="14"/>
  <c r="N320" i="14" s="1"/>
  <c r="R12" i="5"/>
  <c r="I250" i="14"/>
  <c r="N250" i="14" s="1"/>
  <c r="I204" i="14"/>
  <c r="N204" i="14" s="1"/>
  <c r="I208" i="14"/>
  <c r="N208" i="14" s="1"/>
  <c r="I292" i="14"/>
  <c r="N292" i="14" s="1"/>
  <c r="I350" i="14"/>
  <c r="N350" i="14" s="1"/>
  <c r="I224" i="14"/>
  <c r="N224" i="14" s="1"/>
  <c r="I273" i="14"/>
  <c r="N273" i="14" s="1"/>
  <c r="I322" i="14"/>
  <c r="N322" i="14" s="1"/>
  <c r="I201" i="14"/>
  <c r="N201" i="14" s="1"/>
  <c r="I210" i="14"/>
  <c r="N210" i="14" s="1"/>
  <c r="I221" i="14"/>
  <c r="N221" i="14" s="1"/>
  <c r="I229" i="14"/>
  <c r="N229" i="14" s="1"/>
  <c r="N278" i="14"/>
  <c r="I294" i="14"/>
  <c r="N294" i="14" s="1"/>
  <c r="I315" i="14"/>
  <c r="N315" i="14" s="1"/>
  <c r="I336" i="14"/>
  <c r="N336" i="14" s="1"/>
  <c r="I348" i="14"/>
  <c r="N348" i="14" s="1"/>
  <c r="I247" i="14"/>
  <c r="N247" i="14" s="1"/>
  <c r="P445" i="14"/>
  <c r="R622" i="14"/>
  <c r="P622" i="14"/>
  <c r="R657" i="14"/>
  <c r="R628" i="14"/>
  <c r="R660" i="14"/>
  <c r="R663" i="14"/>
  <c r="R705" i="14"/>
  <c r="R707" i="14"/>
  <c r="R635" i="14"/>
  <c r="R643" i="14"/>
  <c r="R656" i="14"/>
  <c r="R672" i="14"/>
  <c r="R719" i="14"/>
  <c r="R728" i="14"/>
  <c r="R686" i="14"/>
  <c r="R691" i="14"/>
  <c r="R684" i="14"/>
  <c r="R693" i="14"/>
  <c r="R645" i="14"/>
  <c r="R649" i="14"/>
  <c r="P645" i="14"/>
  <c r="P649" i="14"/>
  <c r="P737" i="14"/>
  <c r="R445" i="14"/>
  <c r="P670" i="14"/>
  <c r="I203" i="14"/>
  <c r="R189" i="14"/>
  <c r="R608" i="14"/>
  <c r="R670" i="14"/>
  <c r="R676" i="14"/>
  <c r="R678" i="14"/>
  <c r="R699" i="14"/>
  <c r="P620" i="14"/>
  <c r="P608" i="14"/>
  <c r="R658" i="14"/>
  <c r="R620" i="14"/>
  <c r="R636" i="14"/>
  <c r="P636" i="14"/>
  <c r="P189" i="14"/>
  <c r="P600" i="14"/>
  <c r="R600" i="14"/>
  <c r="R632" i="14"/>
  <c r="R647" i="14"/>
  <c r="R651" i="14"/>
  <c r="R623" i="14"/>
  <c r="R630" i="14"/>
  <c r="R625" i="14"/>
  <c r="R731" i="14"/>
  <c r="P731" i="14"/>
  <c r="P632" i="14"/>
  <c r="P623" i="14"/>
  <c r="P630" i="14"/>
  <c r="P625" i="14"/>
  <c r="I340" i="14"/>
  <c r="N340" i="14" s="1"/>
  <c r="I319" i="14"/>
  <c r="N319" i="14" s="1"/>
  <c r="I345" i="14"/>
  <c r="N345" i="14" s="1"/>
  <c r="I231" i="14"/>
  <c r="N231" i="14" s="1"/>
  <c r="I230" i="14"/>
  <c r="N230" i="14" s="1"/>
  <c r="I228" i="14"/>
  <c r="N228" i="14" s="1"/>
  <c r="I217" i="14"/>
  <c r="N217" i="14" s="1"/>
  <c r="I209" i="14"/>
  <c r="N209" i="14" s="1"/>
  <c r="I214" i="14"/>
  <c r="N214" i="14" s="1"/>
  <c r="I200" i="14"/>
  <c r="N200" i="14" s="1"/>
  <c r="I609" i="14"/>
  <c r="N609" i="14" s="1"/>
  <c r="I637" i="14"/>
  <c r="N637" i="14" s="1"/>
  <c r="I432" i="14"/>
  <c r="N432" i="14" s="1"/>
  <c r="I627" i="14"/>
  <c r="N627" i="14" s="1"/>
  <c r="I629" i="14"/>
  <c r="N629" i="14" s="1"/>
  <c r="I602" i="14"/>
  <c r="N602" i="14" s="1"/>
  <c r="I683" i="14"/>
  <c r="N683" i="14" s="1"/>
  <c r="I621" i="14"/>
  <c r="N621" i="14" s="1"/>
  <c r="I674" i="14"/>
  <c r="N674" i="14" s="1"/>
  <c r="I677" i="14"/>
  <c r="N677" i="14" s="1"/>
  <c r="I679" i="14"/>
  <c r="N679" i="14" s="1"/>
  <c r="I681" i="14"/>
  <c r="N681" i="14" s="1"/>
  <c r="I688" i="14"/>
  <c r="N688" i="14" s="1"/>
  <c r="I695" i="14"/>
  <c r="N695" i="14" s="1"/>
  <c r="I700" i="14"/>
  <c r="N700" i="14" s="1"/>
  <c r="I600" i="14"/>
  <c r="N600" i="14" s="1"/>
  <c r="I607" i="14"/>
  <c r="N607" i="14" s="1"/>
  <c r="I665" i="14"/>
  <c r="N665" i="14" s="1"/>
  <c r="I616" i="14"/>
  <c r="N616" i="14" s="1"/>
  <c r="I667" i="14"/>
  <c r="N667" i="14" s="1"/>
  <c r="I716" i="14"/>
  <c r="N716" i="14" s="1"/>
  <c r="I719" i="14"/>
  <c r="N719" i="14" s="1"/>
  <c r="I721" i="14"/>
  <c r="N721" i="14" s="1"/>
  <c r="I723" i="14"/>
  <c r="N723" i="14" s="1"/>
  <c r="I327" i="14"/>
  <c r="N327" i="14" s="1"/>
  <c r="I354" i="14"/>
  <c r="N354" i="14" s="1"/>
  <c r="I241" i="14"/>
  <c r="N241" i="14" s="1"/>
  <c r="I255" i="14"/>
  <c r="N255" i="14" s="1"/>
  <c r="I352" i="14"/>
  <c r="N352" i="14" s="1"/>
  <c r="I324" i="14"/>
  <c r="N324" i="14" s="1"/>
  <c r="I296" i="14"/>
  <c r="N296" i="14" s="1"/>
  <c r="I235" i="14"/>
  <c r="N235" i="14" s="1"/>
  <c r="I207" i="14"/>
  <c r="N207" i="14" s="1"/>
  <c r="I698" i="14"/>
  <c r="N698" i="14" s="1"/>
  <c r="I670" i="14"/>
  <c r="N670" i="14" s="1"/>
  <c r="I634" i="14"/>
  <c r="N634" i="14" s="1"/>
  <c r="I614" i="14"/>
  <c r="N614" i="14" s="1"/>
  <c r="I641" i="14"/>
  <c r="N641" i="14" s="1"/>
  <c r="I333" i="14"/>
  <c r="N333" i="14" s="1"/>
  <c r="I599" i="14"/>
  <c r="N599" i="14" s="1"/>
  <c r="I312" i="14"/>
  <c r="N312" i="14" s="1"/>
  <c r="I334" i="14"/>
  <c r="N334" i="14" s="1"/>
  <c r="I606" i="14"/>
  <c r="N606" i="14" s="1"/>
  <c r="P12" i="5"/>
  <c r="R741" i="14"/>
  <c r="E189" i="3"/>
  <c r="I736" i="14"/>
  <c r="N736" i="14" s="1"/>
  <c r="I800" i="14"/>
  <c r="N800" i="14" s="1"/>
  <c r="R720" i="14"/>
  <c r="E216" i="3"/>
  <c r="I239" i="14"/>
  <c r="N239" i="14" s="1"/>
  <c r="P711" i="14"/>
  <c r="P741" i="14"/>
  <c r="R706" i="14"/>
  <c r="R692" i="14"/>
  <c r="R718" i="14"/>
  <c r="R697" i="14"/>
  <c r="R713" i="14"/>
  <c r="R725" i="14"/>
  <c r="R711" i="14"/>
  <c r="R730" i="14"/>
  <c r="R737" i="14"/>
  <c r="R709" i="14"/>
  <c r="P709" i="14"/>
  <c r="P730" i="14"/>
  <c r="P706" i="14"/>
  <c r="P720" i="14"/>
  <c r="P699" i="14"/>
  <c r="R712" i="14"/>
  <c r="I714" i="14"/>
  <c r="N714" i="14" s="1"/>
  <c r="P712" i="14"/>
  <c r="P718" i="14"/>
  <c r="P725" i="14"/>
  <c r="I743" i="14"/>
  <c r="N743" i="14" s="1"/>
  <c r="I751" i="14"/>
  <c r="N751" i="14" s="1"/>
  <c r="I765" i="14"/>
  <c r="N765" i="14" s="1"/>
  <c r="I769" i="14"/>
  <c r="N769" i="14" s="1"/>
  <c r="I767" i="14"/>
  <c r="N767" i="14" s="1"/>
  <c r="I727" i="14"/>
  <c r="N727" i="14" s="1"/>
  <c r="I746" i="14"/>
  <c r="N746" i="14" s="1"/>
  <c r="I738" i="14"/>
  <c r="N738" i="14" s="1"/>
  <c r="I690" i="14"/>
  <c r="N690" i="14" s="1"/>
  <c r="I685" i="14"/>
  <c r="N685" i="14" s="1"/>
  <c r="I734" i="14"/>
  <c r="N734" i="14" s="1"/>
  <c r="I704" i="14"/>
  <c r="N704" i="14" s="1"/>
  <c r="I732" i="14"/>
  <c r="N732" i="14" s="1"/>
  <c r="P10" i="5"/>
  <c r="R8" i="5"/>
  <c r="P8" i="5"/>
  <c r="R10" i="5"/>
  <c r="R11" i="5"/>
  <c r="P9" i="5"/>
  <c r="P11" i="5"/>
  <c r="A374" i="6"/>
  <c r="A375" i="6"/>
  <c r="P795" i="14"/>
  <c r="R913" i="14"/>
  <c r="R827" i="14"/>
  <c r="R394" i="14"/>
  <c r="R929" i="14"/>
  <c r="R822" i="14"/>
  <c r="R795" i="14"/>
  <c r="R729" i="14"/>
  <c r="R541" i="14"/>
  <c r="R810" i="14"/>
  <c r="R927" i="14"/>
  <c r="R498" i="14"/>
  <c r="R499" i="14"/>
  <c r="R435" i="14"/>
  <c r="R198" i="14"/>
  <c r="R191" i="14"/>
  <c r="R923" i="14"/>
  <c r="R938" i="14"/>
  <c r="R797" i="14"/>
  <c r="P914" i="14"/>
  <c r="R754" i="14"/>
  <c r="R768" i="14"/>
  <c r="R784" i="14"/>
  <c r="R778" i="14"/>
  <c r="R750" i="14"/>
  <c r="R764" i="14"/>
  <c r="R780" i="14"/>
  <c r="R988" i="14"/>
  <c r="R782" i="14"/>
  <c r="R918" i="14"/>
  <c r="R974" i="14"/>
  <c r="R752" i="14"/>
  <c r="R792" i="14"/>
  <c r="R766" i="14"/>
  <c r="R788" i="14"/>
  <c r="R772" i="14"/>
  <c r="R790" i="14"/>
  <c r="R762" i="14"/>
  <c r="P1018" i="14"/>
  <c r="P394" i="14"/>
  <c r="R866" i="14"/>
  <c r="R544" i="14"/>
  <c r="R571" i="14"/>
  <c r="R727" i="14"/>
  <c r="R562" i="14"/>
  <c r="R532" i="14"/>
  <c r="R147" i="14"/>
  <c r="R914" i="14"/>
  <c r="R874" i="14"/>
  <c r="R851" i="14"/>
  <c r="R911" i="14"/>
  <c r="R907" i="14"/>
  <c r="P1020" i="14"/>
  <c r="P913" i="14"/>
  <c r="R903" i="14"/>
  <c r="R897" i="14"/>
  <c r="R855" i="14"/>
  <c r="R850" i="14"/>
  <c r="R1018" i="14"/>
  <c r="P1028" i="14"/>
  <c r="R808" i="14"/>
  <c r="R910" i="14"/>
  <c r="R971" i="14"/>
  <c r="R550" i="14"/>
  <c r="R284" i="14"/>
  <c r="R576" i="14"/>
  <c r="R568" i="14"/>
  <c r="R936" i="14"/>
  <c r="R859" i="14"/>
  <c r="R806" i="14"/>
  <c r="R823" i="14"/>
  <c r="R574" i="14"/>
  <c r="R688" i="14"/>
  <c r="R593" i="14"/>
  <c r="R679" i="14"/>
  <c r="R685" i="14"/>
  <c r="R969" i="14"/>
  <c r="R953" i="14"/>
  <c r="R111" i="14"/>
  <c r="P834" i="14"/>
  <c r="P799" i="14"/>
  <c r="R704" i="14"/>
  <c r="R581" i="14"/>
  <c r="P850" i="14"/>
  <c r="R834" i="14"/>
  <c r="R799" i="14"/>
  <c r="R836" i="14"/>
  <c r="R976" i="14"/>
  <c r="R775" i="14"/>
  <c r="R1028" i="14"/>
  <c r="R506" i="14"/>
  <c r="R983" i="14"/>
  <c r="R128" i="14"/>
  <c r="R324" i="14"/>
  <c r="R170" i="14"/>
  <c r="R449" i="14"/>
  <c r="R611" i="14"/>
  <c r="R247" i="14"/>
  <c r="P983" i="14"/>
  <c r="R443" i="14"/>
  <c r="I828" i="14"/>
  <c r="N828" i="14" s="1"/>
  <c r="P352" i="14"/>
  <c r="P324" i="14"/>
  <c r="P449" i="14"/>
  <c r="P128" i="14"/>
  <c r="P170" i="14"/>
  <c r="P611" i="14"/>
  <c r="R477" i="14"/>
  <c r="R471" i="14"/>
  <c r="R221" i="14"/>
  <c r="R448" i="14"/>
  <c r="R650" i="14"/>
  <c r="R492" i="14"/>
  <c r="R464" i="14"/>
  <c r="R930" i="14"/>
  <c r="R73" i="14"/>
  <c r="R460" i="14"/>
  <c r="R273" i="14"/>
  <c r="R219" i="14"/>
  <c r="R246" i="14"/>
  <c r="P785" i="14"/>
  <c r="P815" i="14"/>
  <c r="P862" i="14"/>
  <c r="P915" i="14"/>
  <c r="P937" i="14"/>
  <c r="P943" i="14"/>
  <c r="P787" i="14"/>
  <c r="P804" i="14"/>
  <c r="P783" i="14"/>
  <c r="P773" i="14"/>
  <c r="P829" i="14"/>
  <c r="P857" i="14"/>
  <c r="P922" i="14"/>
  <c r="R355" i="14"/>
  <c r="R886" i="14"/>
  <c r="R665" i="14"/>
  <c r="R698" i="14"/>
  <c r="R934" i="14"/>
  <c r="R888" i="14"/>
  <c r="R906" i="14"/>
  <c r="R802" i="14"/>
  <c r="R921" i="14"/>
  <c r="R955" i="14"/>
  <c r="R723" i="14"/>
  <c r="R714" i="14"/>
  <c r="R1035" i="14"/>
  <c r="R644" i="14"/>
  <c r="R565" i="14"/>
  <c r="R290" i="14"/>
  <c r="R599" i="14"/>
  <c r="R420" i="14"/>
  <c r="R958" i="14"/>
  <c r="R978" i="14"/>
  <c r="R700" i="14"/>
  <c r="R908" i="14"/>
  <c r="R882" i="14"/>
  <c r="R1006" i="14"/>
  <c r="R892" i="14"/>
  <c r="R997" i="14"/>
  <c r="R890" i="14"/>
  <c r="R390" i="14"/>
  <c r="R173" i="14"/>
  <c r="R184" i="14"/>
  <c r="R88" i="14"/>
  <c r="R869" i="14"/>
  <c r="R785" i="14"/>
  <c r="R815" i="14"/>
  <c r="R862" i="14"/>
  <c r="R915" i="14"/>
  <c r="R937" i="14"/>
  <c r="R943" i="14"/>
  <c r="R853" i="14"/>
  <c r="R804" i="14"/>
  <c r="R773" i="14"/>
  <c r="R962" i="14"/>
  <c r="R829" i="14"/>
  <c r="R857" i="14"/>
  <c r="R922" i="14"/>
  <c r="R787" i="14"/>
  <c r="R783" i="14"/>
  <c r="R845" i="14"/>
  <c r="R434" i="14"/>
  <c r="R280" i="14"/>
  <c r="R690" i="14"/>
  <c r="R579" i="14"/>
  <c r="R1037" i="14"/>
  <c r="R894" i="14"/>
  <c r="R75" i="14"/>
  <c r="R606" i="14"/>
  <c r="R648" i="14"/>
  <c r="R376" i="14"/>
  <c r="R721" i="14"/>
  <c r="R530" i="14"/>
  <c r="R276" i="14"/>
  <c r="R457" i="14"/>
  <c r="R884" i="14"/>
  <c r="R602" i="14"/>
  <c r="R683" i="14"/>
  <c r="R641" i="14"/>
  <c r="R659" i="14"/>
  <c r="R662" i="14"/>
  <c r="R809" i="14"/>
  <c r="R760" i="14"/>
  <c r="R880" i="14"/>
  <c r="R770" i="14"/>
  <c r="R878" i="14"/>
  <c r="R932" i="14"/>
  <c r="R217" i="14"/>
  <c r="R495" i="14"/>
  <c r="R253" i="14"/>
  <c r="R590" i="14"/>
  <c r="R935" i="14"/>
  <c r="R233" i="14"/>
  <c r="R960" i="14"/>
  <c r="R107" i="14"/>
  <c r="R1022" i="14"/>
  <c r="R177" i="14"/>
  <c r="R415" i="14"/>
  <c r="R639" i="14"/>
  <c r="R604" i="14"/>
  <c r="R484" i="14"/>
  <c r="R205" i="14"/>
  <c r="R225" i="14"/>
  <c r="R912" i="14"/>
  <c r="R702" i="14"/>
  <c r="R345" i="14"/>
  <c r="R317" i="14"/>
  <c r="R110" i="14"/>
  <c r="R168" i="14"/>
  <c r="R380" i="14"/>
  <c r="R618" i="14"/>
  <c r="R681" i="14"/>
  <c r="R159" i="14"/>
  <c r="R163" i="14"/>
  <c r="R408" i="14"/>
  <c r="R502" i="14"/>
  <c r="R210" i="14"/>
  <c r="R342" i="14"/>
  <c r="R334" i="14"/>
  <c r="P791" i="14"/>
  <c r="P755" i="14"/>
  <c r="R212" i="14"/>
  <c r="R239" i="14"/>
  <c r="R462" i="14"/>
  <c r="R695" i="14"/>
  <c r="R481" i="14"/>
  <c r="R446" i="14"/>
  <c r="R154" i="14"/>
  <c r="R180" i="14"/>
  <c r="R614" i="14"/>
  <c r="R286" i="14"/>
  <c r="R190" i="14"/>
  <c r="R131" i="14"/>
  <c r="R629" i="14"/>
  <c r="R194" i="14"/>
  <c r="R791" i="14"/>
  <c r="R755" i="14"/>
  <c r="R257" i="14"/>
  <c r="R518" i="14"/>
  <c r="R118" i="14"/>
  <c r="R83" i="14"/>
  <c r="R102" i="14"/>
  <c r="R487" i="14"/>
  <c r="R624" i="14"/>
  <c r="R117" i="14"/>
  <c r="R151" i="14"/>
  <c r="R365" i="14"/>
  <c r="R322" i="14"/>
  <c r="R379" i="14"/>
  <c r="R453" i="14"/>
  <c r="R411" i="14"/>
  <c r="R183" i="14"/>
  <c r="R105" i="14"/>
  <c r="R370" i="14"/>
  <c r="R124" i="14"/>
  <c r="R320" i="14"/>
  <c r="R123" i="14"/>
  <c r="R92" i="14"/>
  <c r="R298" i="14"/>
  <c r="R231" i="14"/>
  <c r="R292" i="14"/>
  <c r="R196" i="14"/>
  <c r="R439" i="14"/>
  <c r="R528" i="14"/>
  <c r="R418" i="14"/>
  <c r="R476" i="14"/>
  <c r="R187" i="14"/>
  <c r="R136" i="14"/>
  <c r="R130" i="14"/>
  <c r="R236" i="14"/>
  <c r="R490" i="14"/>
  <c r="R425" i="14"/>
  <c r="R133" i="14"/>
  <c r="R671" i="14"/>
  <c r="R305" i="14"/>
  <c r="R114" i="14"/>
  <c r="R432" i="14"/>
  <c r="R265" i="14"/>
  <c r="R229" i="14"/>
  <c r="R621" i="14"/>
  <c r="R204" i="14"/>
  <c r="R208" i="14"/>
  <c r="R120" i="14"/>
  <c r="R169" i="14"/>
  <c r="R383" i="14"/>
  <c r="R609" i="14"/>
  <c r="R838" i="14"/>
  <c r="R841" i="14"/>
  <c r="R509" i="14"/>
  <c r="R627" i="14"/>
  <c r="R238" i="14"/>
  <c r="R250" i="14"/>
  <c r="R363" i="14"/>
  <c r="R677" i="14"/>
  <c r="R303" i="14"/>
  <c r="R243" i="14"/>
  <c r="R637" i="14"/>
  <c r="R126" i="14"/>
  <c r="R469" i="14"/>
  <c r="R201" i="14"/>
  <c r="R348" i="14"/>
  <c r="R595" i="14"/>
  <c r="R152" i="14"/>
  <c r="R674" i="14"/>
  <c r="R452" i="14"/>
  <c r="R474" i="14"/>
  <c r="R307" i="14"/>
  <c r="R431" i="14"/>
  <c r="R271" i="14"/>
  <c r="R597" i="14"/>
  <c r="P399" i="14"/>
  <c r="R402" i="14"/>
  <c r="R505" i="14"/>
  <c r="R100" i="14"/>
  <c r="R327" i="14"/>
  <c r="R817" i="14"/>
  <c r="R330" i="14"/>
  <c r="R138" i="14"/>
  <c r="R1020" i="14"/>
  <c r="R166" i="14"/>
  <c r="R96" i="14"/>
  <c r="R442" i="14"/>
  <c r="R222" i="14"/>
  <c r="R831" i="14"/>
  <c r="R294" i="14"/>
  <c r="R400" i="14"/>
  <c r="R175" i="14"/>
  <c r="R149" i="14"/>
  <c r="R158" i="14"/>
  <c r="R193" i="14"/>
  <c r="R1002" i="14"/>
  <c r="R466" i="14"/>
  <c r="R1045" i="14"/>
  <c r="R587" i="14"/>
  <c r="R634" i="14"/>
  <c r="R404" i="14"/>
  <c r="R511" i="14"/>
  <c r="R397" i="14"/>
  <c r="R85" i="14"/>
  <c r="R1030" i="14"/>
  <c r="R95" i="14"/>
  <c r="R941" i="14"/>
  <c r="R813" i="14"/>
  <c r="P191" i="14"/>
  <c r="P506" i="14"/>
  <c r="P219" i="14"/>
  <c r="P464" i="14"/>
  <c r="P247" i="14"/>
  <c r="P492" i="14"/>
  <c r="P568" i="14"/>
  <c r="P75" i="14"/>
  <c r="P544" i="14"/>
  <c r="P727" i="14"/>
  <c r="P565" i="14"/>
  <c r="P376" i="14"/>
  <c r="P550" i="14"/>
  <c r="P541" i="14"/>
  <c r="P714" i="14"/>
  <c r="P571" i="14"/>
  <c r="P606" i="14"/>
  <c r="P147" i="14"/>
  <c r="P290" i="14"/>
  <c r="P723" i="14"/>
  <c r="P721" i="14"/>
  <c r="P562" i="14"/>
  <c r="P530" i="14"/>
  <c r="P576" i="14"/>
  <c r="P284" i="14"/>
  <c r="P644" i="14"/>
  <c r="P532" i="14"/>
  <c r="P648" i="14"/>
  <c r="P1035" i="14"/>
  <c r="P639" i="14"/>
  <c r="P233" i="14"/>
  <c r="P205" i="14"/>
  <c r="P177" i="14"/>
  <c r="R990" i="14"/>
  <c r="R825" i="14"/>
  <c r="R928" i="14"/>
  <c r="R716" i="14"/>
  <c r="R951" i="14"/>
  <c r="R309" i="14"/>
  <c r="R616" i="14"/>
  <c r="R267" i="14"/>
  <c r="R315" i="14"/>
  <c r="R288" i="14"/>
  <c r="R592" i="14"/>
  <c r="R547" i="14"/>
  <c r="R282" i="14"/>
  <c r="R375" i="14"/>
  <c r="R916" i="14"/>
  <c r="R794" i="14"/>
  <c r="R848" i="14"/>
  <c r="P435" i="14"/>
  <c r="P471" i="14"/>
  <c r="P317" i="14"/>
  <c r="P618" i="14"/>
  <c r="P484" i="14"/>
  <c r="P415" i="14"/>
  <c r="P408" i="14"/>
  <c r="P225" i="14"/>
  <c r="P604" i="14"/>
  <c r="P198" i="14"/>
  <c r="P681" i="14"/>
  <c r="P163" i="14"/>
  <c r="P253" i="14"/>
  <c r="P838" i="14"/>
  <c r="P695" i="14"/>
  <c r="P193" i="14"/>
  <c r="P96" i="14"/>
  <c r="P194" i="14"/>
  <c r="P320" i="14"/>
  <c r="P498" i="14"/>
  <c r="P425" i="14"/>
  <c r="P474" i="14"/>
  <c r="P502" i="14"/>
  <c r="P505" i="14"/>
  <c r="P431" i="14"/>
  <c r="P330" i="14"/>
  <c r="P100" i="14"/>
  <c r="P487" i="14"/>
  <c r="P418" i="14"/>
  <c r="P210" i="14"/>
  <c r="P229" i="14"/>
  <c r="P476" i="14"/>
  <c r="P322" i="14"/>
  <c r="P190" i="14"/>
  <c r="P92" i="14"/>
  <c r="P187" i="14"/>
  <c r="P629" i="14"/>
  <c r="P204" i="14"/>
  <c r="P102" i="14"/>
  <c r="P217" i="14"/>
  <c r="P621" i="14"/>
  <c r="P624" i="14"/>
  <c r="P133" i="14"/>
  <c r="P363" i="14"/>
  <c r="P222" i="14"/>
  <c r="P383" i="14"/>
  <c r="P400" i="14"/>
  <c r="P481" i="14"/>
  <c r="P637" i="14"/>
  <c r="P404" i="14"/>
  <c r="P138" i="14"/>
  <c r="P595" i="14"/>
  <c r="P439" i="14"/>
  <c r="P120" i="14"/>
  <c r="P634" i="14"/>
  <c r="P411" i="14"/>
  <c r="P238" i="14"/>
  <c r="P114" i="14"/>
  <c r="P169" i="14"/>
  <c r="P286" i="14"/>
  <c r="P126" i="14"/>
  <c r="P183" i="14"/>
  <c r="P175" i="14"/>
  <c r="P124" i="14"/>
  <c r="P136" i="14"/>
  <c r="P342" i="14"/>
  <c r="P460" i="14"/>
  <c r="P597" i="14"/>
  <c r="P397" i="14"/>
  <c r="P201" i="14"/>
  <c r="P390" i="14"/>
  <c r="P327" i="14"/>
  <c r="P453" i="14"/>
  <c r="P292" i="14"/>
  <c r="P307" i="14"/>
  <c r="P614" i="14"/>
  <c r="P152" i="14"/>
  <c r="P151" i="14"/>
  <c r="P671" i="14"/>
  <c r="P117" i="14"/>
  <c r="P166" i="14"/>
  <c r="P370" i="14"/>
  <c r="P149" i="14"/>
  <c r="P334" i="14"/>
  <c r="P208" i="14"/>
  <c r="P123" i="14"/>
  <c r="P469" i="14"/>
  <c r="P609" i="14"/>
  <c r="P627" i="14"/>
  <c r="P250" i="14"/>
  <c r="P528" i="14"/>
  <c r="P173" i="14"/>
  <c r="P402" i="14"/>
  <c r="P265" i="14"/>
  <c r="P365" i="14"/>
  <c r="P298" i="14"/>
  <c r="P509" i="14"/>
  <c r="P196" i="14"/>
  <c r="P442" i="14"/>
  <c r="P130" i="14"/>
  <c r="P180" i="14"/>
  <c r="P246" i="14"/>
  <c r="P495" i="14"/>
  <c r="P105" i="14"/>
  <c r="P231" i="14"/>
  <c r="P432" i="14"/>
  <c r="P490" i="14"/>
  <c r="P303" i="14"/>
  <c r="P294" i="14"/>
  <c r="P462" i="14"/>
  <c r="P221" i="14"/>
  <c r="P305" i="14"/>
  <c r="P677" i="14"/>
  <c r="P452" i="14"/>
  <c r="P446" i="14"/>
  <c r="P154" i="14"/>
  <c r="P271" i="14"/>
  <c r="P466" i="14"/>
  <c r="P511" i="14"/>
  <c r="P379" i="14"/>
  <c r="P158" i="14"/>
  <c r="P348" i="14"/>
  <c r="P131" i="14"/>
  <c r="P243" i="14"/>
  <c r="P674" i="14"/>
  <c r="P236" i="14"/>
  <c r="P817" i="14"/>
  <c r="P831" i="14"/>
  <c r="R352" i="14"/>
  <c r="R513" i="14"/>
  <c r="R373" i="14"/>
  <c r="P257" i="14"/>
  <c r="P518" i="14"/>
  <c r="P111" i="14"/>
  <c r="P118" i="14"/>
  <c r="P650" i="14"/>
  <c r="P83" i="14"/>
  <c r="P866" i="14"/>
  <c r="P457" i="14"/>
  <c r="P280" i="14"/>
  <c r="P420" i="14"/>
  <c r="P599" i="14"/>
  <c r="P729" i="14"/>
  <c r="P434" i="14"/>
  <c r="P355" i="14"/>
  <c r="P448" i="14"/>
  <c r="P276" i="14"/>
  <c r="P273" i="14"/>
  <c r="P892" i="14"/>
  <c r="P788" i="14"/>
  <c r="P665" i="14"/>
  <c r="P997" i="14"/>
  <c r="P762" i="14"/>
  <c r="P809" i="14"/>
  <c r="P602" i="14"/>
  <c r="P574" i="14"/>
  <c r="P772" i="14"/>
  <c r="P823" i="14"/>
  <c r="P641" i="14"/>
  <c r="P698" i="14"/>
  <c r="P685" i="14"/>
  <c r="P886" i="14"/>
  <c r="P593" i="14"/>
  <c r="P679" i="14"/>
  <c r="P659" i="14"/>
  <c r="P683" i="14"/>
  <c r="P766" i="14"/>
  <c r="P974" i="14"/>
  <c r="P581" i="14"/>
  <c r="P760" i="14"/>
  <c r="P688" i="14"/>
  <c r="P752" i="14"/>
  <c r="P704" i="14"/>
  <c r="P778" i="14"/>
  <c r="P890" i="14"/>
  <c r="P754" i="14"/>
  <c r="P770" i="14"/>
  <c r="P1006" i="14"/>
  <c r="P579" i="14"/>
  <c r="P662" i="14"/>
  <c r="P988" i="14"/>
  <c r="P790" i="14"/>
  <c r="P690" i="14"/>
  <c r="P906" i="14"/>
  <c r="P918" i="14"/>
  <c r="P750" i="14"/>
  <c r="P782" i="14"/>
  <c r="P894" i="14"/>
  <c r="P764" i="14"/>
  <c r="P934" i="14"/>
  <c r="P784" i="14"/>
  <c r="P882" i="14"/>
  <c r="P780" i="14"/>
  <c r="P884" i="14"/>
  <c r="P700" i="14"/>
  <c r="P792" i="14"/>
  <c r="P878" i="14"/>
  <c r="P910" i="14"/>
  <c r="P806" i="14"/>
  <c r="P908" i="14"/>
  <c r="P768" i="14"/>
  <c r="P880" i="14"/>
  <c r="R350" i="14"/>
  <c r="R392" i="14"/>
  <c r="R399" i="14"/>
  <c r="R296" i="14"/>
  <c r="R372" i="14"/>
  <c r="R336" i="14"/>
  <c r="R358" i="14"/>
  <c r="R1011" i="14"/>
  <c r="P73" i="14"/>
  <c r="P499" i="14"/>
  <c r="P184" i="14"/>
  <c r="P477" i="14"/>
  <c r="P212" i="14"/>
  <c r="P239" i="14"/>
  <c r="P443" i="14"/>
  <c r="P1030" i="14"/>
  <c r="P85" i="14"/>
  <c r="P88" i="14"/>
  <c r="P95" i="14"/>
  <c r="P107" i="14"/>
  <c r="P380" i="14"/>
  <c r="P587" i="14"/>
  <c r="P590" i="14"/>
  <c r="P168" i="14"/>
  <c r="P110" i="14"/>
  <c r="P702" i="14"/>
  <c r="P159" i="14"/>
  <c r="P345" i="14"/>
  <c r="P825" i="14"/>
  <c r="P716" i="14"/>
  <c r="P616" i="14"/>
  <c r="P282" i="14"/>
  <c r="P288" i="14"/>
  <c r="P928" i="14"/>
  <c r="P315" i="14"/>
  <c r="P267" i="14"/>
  <c r="P375" i="14"/>
  <c r="P592" i="14"/>
  <c r="P794" i="14"/>
  <c r="P990" i="14"/>
  <c r="P547" i="14"/>
  <c r="P309" i="14"/>
  <c r="P916" i="14"/>
  <c r="P911" i="14"/>
  <c r="P951" i="14"/>
  <c r="P932" i="14"/>
  <c r="P1037" i="14"/>
  <c r="P971" i="14"/>
  <c r="P953" i="14"/>
  <c r="P888" i="14"/>
  <c r="P962" i="14"/>
  <c r="P955" i="14"/>
  <c r="P874" i="14"/>
  <c r="P1045" i="14"/>
  <c r="P960" i="14"/>
  <c r="P853" i="14"/>
  <c r="P1022" i="14"/>
  <c r="P907" i="14"/>
  <c r="P930" i="14"/>
  <c r="P855" i="14"/>
  <c r="P897" i="14"/>
  <c r="P903" i="14"/>
  <c r="P869" i="14"/>
  <c r="P1002" i="14"/>
  <c r="P827" i="14"/>
  <c r="P841" i="14"/>
  <c r="P912" i="14"/>
  <c r="P373" i="14"/>
  <c r="P921" i="14"/>
  <c r="P836" i="14"/>
  <c r="P372" i="14"/>
  <c r="P358" i="14"/>
  <c r="P513" i="14"/>
  <c r="P936" i="14"/>
  <c r="P969" i="14"/>
  <c r="P775" i="14"/>
  <c r="P808" i="14"/>
  <c r="P822" i="14"/>
  <c r="P927" i="14"/>
  <c r="P859" i="14"/>
  <c r="P958" i="14"/>
  <c r="I777" i="14"/>
  <c r="N777" i="14" s="1"/>
  <c r="I781" i="14"/>
  <c r="N781" i="14" s="1"/>
  <c r="P978" i="14"/>
  <c r="P350" i="14"/>
  <c r="P392" i="14"/>
  <c r="P336" i="14"/>
  <c r="P296" i="14"/>
  <c r="I753" i="14"/>
  <c r="N753" i="14" s="1"/>
  <c r="I789" i="14"/>
  <c r="N789" i="14" s="1"/>
  <c r="P1011" i="14"/>
  <c r="P848" i="14"/>
  <c r="P813" i="14"/>
  <c r="P976" i="14"/>
  <c r="P810" i="14"/>
  <c r="P929" i="14"/>
  <c r="P802" i="14"/>
  <c r="P935" i="14"/>
  <c r="I786" i="14"/>
  <c r="N786" i="14" s="1"/>
  <c r="I758" i="14"/>
  <c r="N758" i="14" s="1"/>
  <c r="I798" i="14"/>
  <c r="N798" i="14" s="1"/>
  <c r="I776" i="14"/>
  <c r="N776" i="14" s="1"/>
  <c r="P851" i="14"/>
  <c r="P938" i="14"/>
  <c r="P845" i="14"/>
  <c r="P797" i="14"/>
  <c r="P923" i="14"/>
  <c r="P941" i="14"/>
  <c r="I793" i="14"/>
  <c r="N793" i="14" s="1"/>
  <c r="I809" i="14"/>
  <c r="N809" i="14" s="1"/>
  <c r="I774" i="14"/>
  <c r="N774" i="14" s="1"/>
  <c r="I760" i="14"/>
  <c r="N760" i="14" s="1"/>
  <c r="I748" i="14"/>
  <c r="N748" i="14" s="1"/>
  <c r="I801" i="14"/>
  <c r="N801" i="14" s="1"/>
  <c r="I796" i="14"/>
  <c r="N796" i="14" s="1"/>
  <c r="B91" i="14"/>
  <c r="N5" i="33" s="1"/>
  <c r="N7" i="33" s="1"/>
  <c r="I820" i="14"/>
  <c r="N820" i="14" s="1"/>
  <c r="I852" i="14"/>
  <c r="N852" i="14" s="1"/>
  <c r="I844" i="14"/>
  <c r="N844" i="14" s="1"/>
  <c r="I756" i="14"/>
  <c r="N756" i="14" s="1"/>
  <c r="I830" i="14"/>
  <c r="N830" i="14" s="1"/>
  <c r="I805" i="14"/>
  <c r="N805" i="14" s="1"/>
  <c r="I832" i="14"/>
  <c r="N832" i="14" s="1"/>
  <c r="I839" i="14"/>
  <c r="N839" i="14" s="1"/>
  <c r="I818" i="14"/>
  <c r="N818" i="14" s="1"/>
  <c r="I811" i="14"/>
  <c r="N811" i="14" s="1"/>
  <c r="I833" i="14"/>
  <c r="N833" i="14" s="1"/>
  <c r="I819" i="14"/>
  <c r="N819" i="14" s="1"/>
  <c r="I807" i="14"/>
  <c r="N807" i="14" s="1"/>
  <c r="I816" i="14"/>
  <c r="N816" i="14" s="1"/>
  <c r="I821" i="14"/>
  <c r="N821" i="14" s="1"/>
  <c r="I779" i="14"/>
  <c r="N779" i="14" s="1"/>
  <c r="I847" i="14"/>
  <c r="N847" i="14" s="1"/>
  <c r="I837" i="14"/>
  <c r="N837" i="14" s="1"/>
  <c r="I763" i="14"/>
  <c r="N763" i="14" s="1"/>
  <c r="I835" i="14"/>
  <c r="N835" i="14" s="1"/>
  <c r="I842" i="14"/>
  <c r="N842" i="14" s="1"/>
  <c r="I814" i="14"/>
  <c r="N814" i="14" s="1"/>
  <c r="I854" i="14"/>
  <c r="N854" i="14" s="1"/>
  <c r="I824" i="14"/>
  <c r="N824" i="14" s="1"/>
  <c r="I803" i="14"/>
  <c r="N803" i="14" s="1"/>
  <c r="I826" i="14"/>
  <c r="N826" i="14" s="1"/>
  <c r="I849" i="14"/>
  <c r="N849" i="14" s="1"/>
  <c r="I806" i="14"/>
  <c r="N806" i="14" s="1"/>
  <c r="I846" i="14"/>
  <c r="N846" i="14" s="1"/>
  <c r="I812" i="14"/>
  <c r="N812" i="14" s="1"/>
  <c r="I840" i="14"/>
  <c r="N840" i="14" s="1"/>
  <c r="I887" i="14"/>
  <c r="N887" i="14" s="1"/>
  <c r="I893" i="14"/>
  <c r="N893" i="14" s="1"/>
  <c r="I940" i="14"/>
  <c r="N940" i="14" s="1"/>
  <c r="I944" i="14"/>
  <c r="N944" i="14" s="1"/>
  <c r="K958" i="14"/>
  <c r="I924" i="14"/>
  <c r="I947" i="14"/>
  <c r="N947" i="14" s="1"/>
  <c r="I898" i="14"/>
  <c r="N898" i="14" s="1"/>
  <c r="I877" i="14"/>
  <c r="N877" i="14" s="1"/>
  <c r="I891" i="14"/>
  <c r="N891" i="14" s="1"/>
  <c r="I902" i="14"/>
  <c r="N902" i="14" s="1"/>
  <c r="I895" i="14"/>
  <c r="N895" i="14" s="1"/>
  <c r="I909" i="14"/>
  <c r="N909" i="14" s="1"/>
  <c r="K951" i="14"/>
  <c r="I952" i="14"/>
  <c r="N952" i="14" s="1"/>
  <c r="I928" i="14"/>
  <c r="I889" i="14"/>
  <c r="N889" i="14" s="1"/>
  <c r="I879" i="14"/>
  <c r="N879" i="14" s="1"/>
  <c r="I896" i="14"/>
  <c r="N896" i="14" s="1"/>
  <c r="I945" i="14"/>
  <c r="N945" i="14" s="1"/>
  <c r="K2136" i="14"/>
  <c r="Y2136" i="14" s="1"/>
  <c r="K2093" i="14"/>
  <c r="K2024" i="14"/>
  <c r="B171" i="37"/>
  <c r="B118" i="37"/>
  <c r="K2031" i="14"/>
  <c r="K2021" i="14"/>
  <c r="H1971" i="14"/>
  <c r="I1985" i="14"/>
  <c r="N1985" i="14" s="1"/>
  <c r="I1999" i="14"/>
  <c r="N1999" i="14" s="1"/>
  <c r="H1963" i="14"/>
  <c r="I1974" i="14"/>
  <c r="N1974" i="14" s="1"/>
  <c r="H1977" i="14"/>
  <c r="I1991" i="14"/>
  <c r="N1991" i="14" s="1"/>
  <c r="I2002" i="14"/>
  <c r="N2002" i="14"/>
  <c r="I2005" i="14"/>
  <c r="N2005" i="14" s="1"/>
  <c r="I1964" i="14"/>
  <c r="I1978" i="14"/>
  <c r="N1978" i="14" s="1"/>
  <c r="I1992" i="14"/>
  <c r="N1992" i="14" s="1"/>
  <c r="I2006" i="14"/>
  <c r="N2006" i="14" s="1"/>
  <c r="I1970" i="14"/>
  <c r="N1970" i="14" s="1"/>
  <c r="H1984" i="14"/>
  <c r="I1984" i="14" s="1"/>
  <c r="N1984" i="14" s="1"/>
  <c r="I1995" i="14"/>
  <c r="N1995" i="14" s="1"/>
  <c r="I1998" i="14"/>
  <c r="N1998" i="14" s="1"/>
  <c r="K1976" i="14"/>
  <c r="B175" i="37"/>
  <c r="B146" i="37"/>
  <c r="B148" i="37"/>
  <c r="B115" i="37"/>
  <c r="B139" i="37"/>
  <c r="B134" i="37"/>
  <c r="B153" i="37"/>
  <c r="B160" i="37"/>
  <c r="H1248" i="14"/>
  <c r="P1915" i="14"/>
  <c r="P1936" i="14"/>
  <c r="P1901" i="14"/>
  <c r="R1915" i="14"/>
  <c r="R1936" i="14"/>
  <c r="R1901" i="14"/>
  <c r="K1898" i="14"/>
  <c r="K1962" i="14"/>
  <c r="K1919" i="14"/>
  <c r="K1891" i="14"/>
  <c r="K1940" i="14"/>
  <c r="K1905" i="14"/>
  <c r="K2045" i="14"/>
  <c r="K2059" i="14"/>
  <c r="I1957" i="14"/>
  <c r="N1957" i="14" s="1"/>
  <c r="H1960" i="14"/>
  <c r="I1960" i="14" s="1"/>
  <c r="N1960" i="14" s="1"/>
  <c r="A374" i="8"/>
  <c r="A375" i="8"/>
  <c r="G375" i="8"/>
  <c r="A374" i="5"/>
  <c r="A375" i="5"/>
  <c r="A374" i="7"/>
  <c r="A375" i="7"/>
  <c r="E132" i="3"/>
  <c r="E225" i="3"/>
  <c r="B117" i="37"/>
  <c r="E145" i="3"/>
  <c r="B132" i="37"/>
  <c r="B159" i="37"/>
  <c r="B170" i="37"/>
  <c r="E174" i="3"/>
  <c r="E187" i="3"/>
  <c r="K1812" i="14"/>
  <c r="K1817" i="14"/>
  <c r="K1642" i="14"/>
  <c r="K1819" i="14"/>
  <c r="K1644" i="14"/>
  <c r="K1617" i="14"/>
  <c r="K1810" i="14"/>
  <c r="K1794" i="14"/>
  <c r="R1756" i="14"/>
  <c r="R1770" i="14"/>
  <c r="K1499" i="14"/>
  <c r="K1730" i="14"/>
  <c r="K1736" i="14"/>
  <c r="K1820" i="14"/>
  <c r="K1619" i="14"/>
  <c r="K1515" i="14"/>
  <c r="R1778" i="14"/>
  <c r="R1573" i="14"/>
  <c r="R1595" i="14"/>
  <c r="R1564" i="14"/>
  <c r="R1589" i="14"/>
  <c r="K1738" i="14"/>
  <c r="K1649" i="14"/>
  <c r="K1659" i="14"/>
  <c r="K1750" i="14"/>
  <c r="K1472" i="14"/>
  <c r="K1764" i="14"/>
  <c r="K1599" i="14"/>
  <c r="K1694" i="14"/>
  <c r="K1771" i="14"/>
  <c r="K1621" i="14"/>
  <c r="K1631" i="14"/>
  <c r="K1645" i="14"/>
  <c r="K1672" i="14"/>
  <c r="K1773" i="14"/>
  <c r="K1752" i="14"/>
  <c r="K1717" i="14"/>
  <c r="K1601" i="14"/>
  <c r="K1665" i="14"/>
  <c r="H1396" i="14"/>
  <c r="I1396" i="14" s="1"/>
  <c r="N1396" i="14" s="1"/>
  <c r="H1417" i="14"/>
  <c r="I1368" i="14"/>
  <c r="N1368" i="14" s="1"/>
  <c r="I1029" i="14"/>
  <c r="N1029" i="14" s="1"/>
  <c r="K1330" i="14"/>
  <c r="K1379" i="14"/>
  <c r="K1346" i="14"/>
  <c r="H1217" i="14"/>
  <c r="H1527" i="14"/>
  <c r="K1632" i="14"/>
  <c r="K1674" i="14"/>
  <c r="K1688" i="14"/>
  <c r="K1716" i="14"/>
  <c r="K1744" i="14"/>
  <c r="K1772" i="14"/>
  <c r="K1779" i="14"/>
  <c r="K1814" i="14"/>
  <c r="K1514" i="14"/>
  <c r="K1549" i="14"/>
  <c r="K1577" i="14"/>
  <c r="K1541" i="14"/>
  <c r="K1535" i="14"/>
  <c r="H1211" i="14"/>
  <c r="H1215" i="14"/>
  <c r="H2307" i="14"/>
  <c r="I2307" i="14" s="1"/>
  <c r="N2307" i="14" s="1"/>
  <c r="H1263" i="14"/>
  <c r="I1270" i="14"/>
  <c r="N1270" i="14" s="1"/>
  <c r="H1286" i="14"/>
  <c r="H1207" i="14"/>
  <c r="H1298" i="14"/>
  <c r="H1333" i="14"/>
  <c r="H1281" i="14"/>
  <c r="H1256" i="14"/>
  <c r="H1209" i="14"/>
  <c r="I1279" i="14"/>
  <c r="N1279" i="14" s="1"/>
  <c r="K1259" i="14"/>
  <c r="K1275" i="14"/>
  <c r="K1289" i="14"/>
  <c r="B395" i="37"/>
  <c r="I1019" i="14"/>
  <c r="N1019" i="14" s="1"/>
  <c r="I1012" i="14"/>
  <c r="N1012" i="14" s="1"/>
  <c r="I1216" i="14"/>
  <c r="N1216" i="14" s="1"/>
  <c r="I1232" i="14"/>
  <c r="N1232" i="14" s="1"/>
  <c r="H1238" i="14"/>
  <c r="H1244" i="14"/>
  <c r="H1260" i="14"/>
  <c r="I1198" i="14"/>
  <c r="N1198" i="14" s="1"/>
  <c r="I1250" i="14"/>
  <c r="N1250" i="14" s="1"/>
  <c r="I1214" i="14"/>
  <c r="N1214" i="14" s="1"/>
  <c r="H1228" i="14"/>
  <c r="H1178" i="14"/>
  <c r="H1194" i="14"/>
  <c r="H1313" i="14"/>
  <c r="I1113" i="14"/>
  <c r="I1106" i="14"/>
  <c r="N1106" i="14" s="1"/>
  <c r="H1049" i="14"/>
  <c r="I1049" i="14" s="1"/>
  <c r="N1049" i="14" s="1"/>
  <c r="H1068" i="14"/>
  <c r="I1068" i="14" s="1"/>
  <c r="N1068" i="14" s="1"/>
  <c r="H1051" i="14"/>
  <c r="I1051" i="14" s="1"/>
  <c r="N1051" i="14" s="1"/>
  <c r="I1052" i="14"/>
  <c r="N1052" i="14" s="1"/>
  <c r="I1205" i="14"/>
  <c r="N1205" i="14" s="1"/>
  <c r="I1183" i="14"/>
  <c r="N1183" i="14"/>
  <c r="H1066" i="14"/>
  <c r="I1066" i="14" s="1"/>
  <c r="N1066" i="14" s="1"/>
  <c r="I1240" i="14"/>
  <c r="N1240" i="14" s="1"/>
  <c r="I1212" i="14"/>
  <c r="N1212" i="14" s="1"/>
  <c r="H1027" i="14"/>
  <c r="I1027" i="14" s="1"/>
  <c r="N1027" i="14" s="1"/>
  <c r="H1047" i="14"/>
  <c r="I1047" i="14" s="1"/>
  <c r="N1047" i="14" s="1"/>
  <c r="K1367" i="14"/>
  <c r="K1269" i="14"/>
  <c r="B377" i="37"/>
  <c r="B373" i="37"/>
  <c r="B345" i="37"/>
  <c r="B388" i="37"/>
  <c r="B384" i="37"/>
  <c r="B380" i="37"/>
  <c r="B336" i="37"/>
  <c r="B70" i="37"/>
  <c r="B343" i="37"/>
  <c r="B339" i="37"/>
  <c r="B246" i="37"/>
  <c r="B76" i="37"/>
  <c r="B44" i="37"/>
  <c r="B348" i="37"/>
  <c r="B340" i="37"/>
  <c r="B255" i="37"/>
  <c r="B247" i="37"/>
  <c r="B243" i="37"/>
  <c r="B87" i="37"/>
  <c r="B331" i="37"/>
  <c r="B60" i="37"/>
  <c r="B38" i="37"/>
  <c r="B371" i="37"/>
  <c r="B290" i="37"/>
  <c r="B286" i="37"/>
  <c r="B254" i="37"/>
  <c r="B242" i="37"/>
  <c r="B50" i="37"/>
  <c r="B46" i="37"/>
  <c r="B42" i="37"/>
  <c r="B2" i="37"/>
  <c r="B358" i="37"/>
  <c r="B334" i="37"/>
  <c r="B322" i="37"/>
  <c r="B281" i="37"/>
  <c r="B245" i="37"/>
  <c r="B182" i="37"/>
  <c r="B85" i="37"/>
  <c r="B73" i="37"/>
  <c r="B297" i="37"/>
  <c r="B337" i="37"/>
  <c r="B333" i="37"/>
  <c r="B305" i="37"/>
  <c r="B260" i="37"/>
  <c r="B104" i="37"/>
  <c r="B100" i="37"/>
  <c r="B64" i="37"/>
  <c r="B16" i="37"/>
  <c r="B8" i="37"/>
  <c r="B35" i="37"/>
  <c r="B27" i="37"/>
  <c r="F2" i="18"/>
  <c r="L14" i="21" s="1"/>
  <c r="P2430" i="14" s="1"/>
  <c r="H7" i="18"/>
  <c r="N71" i="21" s="1"/>
  <c r="R2386" i="14" s="1"/>
  <c r="H6" i="18"/>
  <c r="N62" i="21" s="1"/>
  <c r="H3" i="18"/>
  <c r="N30" i="21" s="1"/>
  <c r="R1017" i="14" s="1"/>
  <c r="N12" i="21"/>
  <c r="R1214" i="14" s="1"/>
  <c r="H4" i="18"/>
  <c r="F5" i="18" s="1"/>
  <c r="L55" i="21" s="1"/>
  <c r="H5" i="18"/>
  <c r="N54" i="21" s="1"/>
  <c r="I1090" i="14"/>
  <c r="N1090" i="14" s="1"/>
  <c r="I1088" i="14"/>
  <c r="N1088" i="14" s="1"/>
  <c r="I1086" i="14"/>
  <c r="N1086" i="14" s="1"/>
  <c r="I1084" i="14"/>
  <c r="N1084" i="14" s="1"/>
  <c r="I1082" i="14"/>
  <c r="N1082" i="14" s="1"/>
  <c r="I1080" i="14"/>
  <c r="N1080" i="14" s="1"/>
  <c r="I1005" i="14"/>
  <c r="N1005" i="14" s="1"/>
  <c r="I998" i="14"/>
  <c r="N998" i="14" s="1"/>
  <c r="I977" i="14"/>
  <c r="N977" i="14" s="1"/>
  <c r="I970" i="14"/>
  <c r="N970" i="14" s="1"/>
  <c r="H966" i="14"/>
  <c r="I966" i="14" s="1"/>
  <c r="N966" i="14" s="1"/>
  <c r="I1096" i="14"/>
  <c r="N1096" i="14" s="1"/>
  <c r="I1048" i="14"/>
  <c r="N1048" i="14" s="1"/>
  <c r="H1046" i="14"/>
  <c r="I1046" i="14" s="1"/>
  <c r="N1046" i="14" s="1"/>
  <c r="I1044" i="14"/>
  <c r="I1042" i="14"/>
  <c r="N1042" i="14" s="1"/>
  <c r="I1040" i="14"/>
  <c r="N1040" i="14" s="1"/>
  <c r="H1036" i="14"/>
  <c r="I1036" i="14" s="1"/>
  <c r="N1036" i="14" s="1"/>
  <c r="H1025" i="14"/>
  <c r="I1025" i="14" s="1"/>
  <c r="N1025" i="14" s="1"/>
  <c r="H1023" i="14"/>
  <c r="I1023" i="14" s="1"/>
  <c r="N1023" i="14" s="1"/>
  <c r="I1017" i="14"/>
  <c r="N1017" i="14" s="1"/>
  <c r="H1062" i="14"/>
  <c r="I1062" i="14" s="1"/>
  <c r="N1062" i="14" s="1"/>
  <c r="H1060" i="14"/>
  <c r="I1060" i="14" s="1"/>
  <c r="N1060" i="14" s="1"/>
  <c r="H1058" i="14"/>
  <c r="I1058" i="14" s="1"/>
  <c r="N1058" i="14" s="1"/>
  <c r="H1056" i="14"/>
  <c r="I1056" i="14" s="1"/>
  <c r="N1056" i="14" s="1"/>
  <c r="H1054" i="14"/>
  <c r="I1054" i="14" s="1"/>
  <c r="N1054" i="14" s="1"/>
  <c r="H968" i="14"/>
  <c r="I968" i="14" s="1"/>
  <c r="N968" i="14" s="1"/>
  <c r="H1076" i="14"/>
  <c r="H1074" i="14"/>
  <c r="H1072" i="14"/>
  <c r="I1070" i="14"/>
  <c r="N1070" i="14" s="1"/>
  <c r="R1034" i="14"/>
  <c r="P1034" i="14"/>
  <c r="B231" i="37"/>
  <c r="B228" i="37"/>
  <c r="B219" i="37"/>
  <c r="B208" i="37"/>
  <c r="B186" i="37"/>
  <c r="B223" i="37"/>
  <c r="B214" i="37"/>
  <c r="B226" i="37"/>
  <c r="B222" i="37"/>
  <c r="B216" i="37"/>
  <c r="B192" i="37"/>
  <c r="K2014" i="14"/>
  <c r="K2028" i="14"/>
  <c r="R2015" i="14"/>
  <c r="R1987" i="14"/>
  <c r="R1966" i="14"/>
  <c r="K1915" i="14"/>
  <c r="K2073" i="14"/>
  <c r="K1901" i="14"/>
  <c r="I1956" i="14"/>
  <c r="N1956" i="14" s="1"/>
  <c r="R1605" i="14"/>
  <c r="R1705" i="14"/>
  <c r="R1707" i="14"/>
  <c r="R1735" i="14"/>
  <c r="R1742" i="14"/>
  <c r="R1397" i="14"/>
  <c r="P1397" i="14"/>
  <c r="R1698" i="14"/>
  <c r="R1407" i="14"/>
  <c r="R1557" i="14"/>
  <c r="R1493" i="14"/>
  <c r="R1555" i="14"/>
  <c r="R1505" i="14"/>
  <c r="R1533" i="14"/>
  <c r="R1571" i="14"/>
  <c r="R1582" i="14"/>
  <c r="R1464" i="14"/>
  <c r="P1505" i="14"/>
  <c r="P1533" i="14"/>
  <c r="P1571" i="14"/>
  <c r="P1464" i="14"/>
  <c r="R1211" i="14"/>
  <c r="R1215" i="14"/>
  <c r="R1295" i="14"/>
  <c r="R1277" i="14"/>
  <c r="R1174" i="14"/>
  <c r="P1277" i="14"/>
  <c r="P1295" i="14"/>
  <c r="R1163" i="14"/>
  <c r="P1163" i="14"/>
  <c r="P2081" i="14"/>
  <c r="P2073" i="14"/>
  <c r="R2081" i="14"/>
  <c r="R1285" i="14"/>
  <c r="P1285" i="14"/>
  <c r="R1116" i="14"/>
  <c r="R1172" i="14"/>
  <c r="R1137" i="14"/>
  <c r="P1116" i="14"/>
  <c r="P1172" i="14"/>
  <c r="P1137" i="14"/>
  <c r="R1283" i="14"/>
  <c r="R1125" i="14"/>
  <c r="R1372" i="14"/>
  <c r="R1132" i="14"/>
  <c r="R1190" i="14"/>
  <c r="R1258" i="14"/>
  <c r="R1160" i="14"/>
  <c r="R1265" i="14"/>
  <c r="R1278" i="14"/>
  <c r="R1280" i="14"/>
  <c r="R1291" i="14"/>
  <c r="R1099" i="14"/>
  <c r="P1190" i="14"/>
  <c r="P1258" i="14"/>
  <c r="P1294" i="14"/>
  <c r="P1265" i="14"/>
  <c r="P1280" i="14"/>
  <c r="P1291" i="14"/>
  <c r="P1125" i="14"/>
  <c r="P1365" i="14"/>
  <c r="P1372" i="14"/>
  <c r="P1358" i="14"/>
  <c r="P1099" i="14"/>
  <c r="R1403" i="14"/>
  <c r="R2305" i="14"/>
  <c r="R2050" i="14"/>
  <c r="P1403" i="14"/>
  <c r="P2095" i="14"/>
  <c r="R944" i="14"/>
  <c r="R340" i="14"/>
  <c r="R79" i="14"/>
  <c r="R319" i="14"/>
  <c r="R172" i="14"/>
  <c r="R382" i="14"/>
  <c r="R354" i="14"/>
  <c r="R255" i="14"/>
  <c r="R333" i="14"/>
  <c r="R1344" i="14"/>
  <c r="R501" i="14"/>
  <c r="P964" i="14"/>
  <c r="P992" i="14"/>
  <c r="P1001" i="14"/>
  <c r="P980" i="14"/>
  <c r="R992" i="14"/>
  <c r="R980" i="14"/>
  <c r="R964" i="14"/>
  <c r="R1001" i="14"/>
  <c r="I949" i="14"/>
  <c r="N949" i="14" s="1"/>
  <c r="P2136" i="14"/>
  <c r="R2073" i="14"/>
  <c r="R2038" i="14"/>
  <c r="R2101" i="14"/>
  <c r="R2131" i="14"/>
  <c r="R2014" i="14"/>
  <c r="P2133" i="14"/>
  <c r="R2133" i="14"/>
  <c r="P2038" i="14"/>
  <c r="P2101" i="14"/>
  <c r="P2131" i="14"/>
  <c r="P2014" i="14"/>
  <c r="R1722" i="14"/>
  <c r="P2135" i="14"/>
  <c r="P2134" i="14"/>
  <c r="R2134" i="14"/>
  <c r="R2135" i="14"/>
  <c r="R2024" i="14"/>
  <c r="P2118" i="14"/>
  <c r="R2118" i="14"/>
  <c r="P2024" i="14"/>
  <c r="R2097" i="14"/>
  <c r="R1955" i="14"/>
  <c r="R2093" i="14"/>
  <c r="R2061" i="14"/>
  <c r="R2028" i="14"/>
  <c r="R2031" i="14"/>
  <c r="P1955" i="14"/>
  <c r="P2028" i="14"/>
  <c r="P2093" i="14"/>
  <c r="P2021" i="14"/>
  <c r="P2031" i="14"/>
  <c r="P2097" i="14"/>
  <c r="R2095" i="14"/>
  <c r="R2021" i="14"/>
  <c r="K1758" i="14"/>
  <c r="R1990" i="14"/>
  <c r="R1976" i="14"/>
  <c r="P1987" i="14"/>
  <c r="P1966" i="14"/>
  <c r="P2148" i="14"/>
  <c r="P2015" i="14"/>
  <c r="P1963" i="14"/>
  <c r="P2146" i="14"/>
  <c r="P1967" i="14"/>
  <c r="P2160" i="14"/>
  <c r="P2187" i="14"/>
  <c r="P1971" i="14"/>
  <c r="P1964" i="14"/>
  <c r="P1984" i="14"/>
  <c r="P2013" i="14"/>
  <c r="P1977" i="14"/>
  <c r="R2146" i="14"/>
  <c r="R1963" i="14"/>
  <c r="R2160" i="14"/>
  <c r="R1967" i="14"/>
  <c r="R2034" i="14"/>
  <c r="R1971" i="14"/>
  <c r="R2027" i="14"/>
  <c r="R1964" i="14"/>
  <c r="R1984" i="14"/>
  <c r="R2013" i="14"/>
  <c r="R1977" i="14"/>
  <c r="P1990" i="14"/>
  <c r="P1976" i="14"/>
  <c r="R1168" i="14"/>
  <c r="R2127" i="14"/>
  <c r="R1907" i="14"/>
  <c r="R2049" i="14"/>
  <c r="R2041" i="14"/>
  <c r="R1911" i="14"/>
  <c r="R1900" i="14"/>
  <c r="R1928" i="14"/>
  <c r="R1904" i="14"/>
  <c r="R1932" i="14"/>
  <c r="R1921" i="14"/>
  <c r="R1893" i="14"/>
  <c r="R1897" i="14"/>
  <c r="P1960" i="14"/>
  <c r="P2129" i="14"/>
  <c r="P2066" i="14"/>
  <c r="R1960" i="14"/>
  <c r="R2129" i="14"/>
  <c r="P1896" i="14"/>
  <c r="P1903" i="14"/>
  <c r="P1931" i="14"/>
  <c r="P1560" i="14"/>
  <c r="P1907" i="14"/>
  <c r="P2049" i="14"/>
  <c r="P1911" i="14"/>
  <c r="P1900" i="14"/>
  <c r="P1928" i="14"/>
  <c r="P1904" i="14"/>
  <c r="P1932" i="14"/>
  <c r="P1921" i="14"/>
  <c r="P1893" i="14"/>
  <c r="P1897" i="14"/>
  <c r="P1597" i="14"/>
  <c r="P2087" i="14"/>
  <c r="R2066" i="14"/>
  <c r="P2127" i="14"/>
  <c r="P1962" i="14"/>
  <c r="P2059" i="14"/>
  <c r="P1898" i="14"/>
  <c r="P1919" i="14"/>
  <c r="P1891" i="14"/>
  <c r="P1940" i="14"/>
  <c r="P2045" i="14"/>
  <c r="P1905" i="14"/>
  <c r="R1905" i="14"/>
  <c r="R1898" i="14"/>
  <c r="R1962" i="14"/>
  <c r="R1919" i="14"/>
  <c r="R1891" i="14"/>
  <c r="R1940" i="14"/>
  <c r="R2059" i="14"/>
  <c r="R2053" i="14"/>
  <c r="R2045" i="14"/>
  <c r="R1597" i="14"/>
  <c r="R2087" i="14"/>
  <c r="R1903" i="14"/>
  <c r="R1931" i="14"/>
  <c r="R1896" i="14"/>
  <c r="R1876" i="14"/>
  <c r="P1876" i="14"/>
  <c r="R1529" i="14"/>
  <c r="R1887" i="14"/>
  <c r="R1801" i="14"/>
  <c r="R1747" i="14"/>
  <c r="P1499" i="14"/>
  <c r="R1644" i="14"/>
  <c r="R1617" i="14"/>
  <c r="R1691" i="14"/>
  <c r="R1810" i="14"/>
  <c r="R1812" i="14"/>
  <c r="R1817" i="14"/>
  <c r="R1642" i="14"/>
  <c r="R1819" i="14"/>
  <c r="R1794" i="14"/>
  <c r="P1747" i="14"/>
  <c r="R1749" i="14"/>
  <c r="P1617" i="14"/>
  <c r="P1691" i="14"/>
  <c r="P1810" i="14"/>
  <c r="P1812" i="14"/>
  <c r="P1817" i="14"/>
  <c r="P1642" i="14"/>
  <c r="P1819" i="14"/>
  <c r="P1644" i="14"/>
  <c r="R1499" i="14"/>
  <c r="P1749" i="14"/>
  <c r="P1756" i="14"/>
  <c r="P1770" i="14"/>
  <c r="R1562" i="14"/>
  <c r="R1757" i="14"/>
  <c r="R1560" i="14"/>
  <c r="R1708" i="14"/>
  <c r="R1714" i="14"/>
  <c r="R1526" i="14"/>
  <c r="R1736" i="14"/>
  <c r="R1724" i="14"/>
  <c r="R1684" i="14"/>
  <c r="P1619" i="14"/>
  <c r="P1515" i="14"/>
  <c r="R1610" i="14"/>
  <c r="R1806" i="14"/>
  <c r="P1611" i="14"/>
  <c r="P1610" i="14"/>
  <c r="P1806" i="14"/>
  <c r="R1619" i="14"/>
  <c r="R1515" i="14"/>
  <c r="R1686" i="14"/>
  <c r="R1712" i="14"/>
  <c r="R1500" i="14"/>
  <c r="R1696" i="14"/>
  <c r="P1566" i="14"/>
  <c r="P1820" i="14"/>
  <c r="R1820" i="14"/>
  <c r="P1586" i="14"/>
  <c r="P1766" i="14"/>
  <c r="P1633" i="14"/>
  <c r="P1647" i="14"/>
  <c r="P1661" i="14"/>
  <c r="P1591" i="14"/>
  <c r="R1575" i="14"/>
  <c r="P1645" i="14"/>
  <c r="P1649" i="14"/>
  <c r="P1659" i="14"/>
  <c r="P1750" i="14"/>
  <c r="P1764" i="14"/>
  <c r="P1719" i="14"/>
  <c r="P1599" i="14"/>
  <c r="P1694" i="14"/>
  <c r="P1771" i="14"/>
  <c r="P1621" i="14"/>
  <c r="P1631" i="14"/>
  <c r="P1472" i="14"/>
  <c r="R1586" i="14"/>
  <c r="R1766" i="14"/>
  <c r="R1365" i="14"/>
  <c r="R1470" i="14"/>
  <c r="P1738" i="14"/>
  <c r="R1754" i="14"/>
  <c r="P1768" i="14"/>
  <c r="P1784" i="14"/>
  <c r="R1604" i="14"/>
  <c r="R1611" i="14"/>
  <c r="P1601" i="14"/>
  <c r="P1792" i="14"/>
  <c r="R1645" i="14"/>
  <c r="R1649" i="14"/>
  <c r="R1659" i="14"/>
  <c r="R1750" i="14"/>
  <c r="R1764" i="14"/>
  <c r="R1719" i="14"/>
  <c r="R1599" i="14"/>
  <c r="R1694" i="14"/>
  <c r="R1771" i="14"/>
  <c r="R1472" i="14"/>
  <c r="R1621" i="14"/>
  <c r="R1631" i="14"/>
  <c r="P1575" i="14"/>
  <c r="P1470" i="14"/>
  <c r="R1721" i="14"/>
  <c r="R1792" i="14"/>
  <c r="P1717" i="14"/>
  <c r="P1773" i="14"/>
  <c r="P1548" i="14"/>
  <c r="P1752" i="14"/>
  <c r="R1548" i="14"/>
  <c r="R1752" i="14"/>
  <c r="R1717" i="14"/>
  <c r="R1773" i="14"/>
  <c r="R1601" i="14"/>
  <c r="R1661" i="14"/>
  <c r="R1633" i="14"/>
  <c r="R1647" i="14"/>
  <c r="R1768" i="14"/>
  <c r="R1784" i="14"/>
  <c r="R1609" i="14"/>
  <c r="R1805" i="14"/>
  <c r="R1568" i="14"/>
  <c r="R1591" i="14"/>
  <c r="R1726" i="14"/>
  <c r="P1609" i="14"/>
  <c r="P1805" i="14"/>
  <c r="R1738" i="14"/>
  <c r="P1568" i="14"/>
  <c r="R1566" i="14"/>
  <c r="P1562" i="14"/>
  <c r="P1573" i="14"/>
  <c r="P1736" i="14"/>
  <c r="P1708" i="14"/>
  <c r="P1722" i="14"/>
  <c r="P1794" i="14"/>
  <c r="P1595" i="14"/>
  <c r="P1684" i="14"/>
  <c r="P1564" i="14"/>
  <c r="P1712" i="14"/>
  <c r="P1589" i="14"/>
  <c r="P1724" i="14"/>
  <c r="P1778" i="14"/>
  <c r="I1537" i="14"/>
  <c r="N1537" i="14" s="1"/>
  <c r="H1589" i="14"/>
  <c r="H1555" i="14"/>
  <c r="H1740" i="14"/>
  <c r="I1740" i="14" s="1"/>
  <c r="N1740" i="14" s="1"/>
  <c r="P1721" i="14"/>
  <c r="P1686" i="14"/>
  <c r="P1582" i="14"/>
  <c r="P1735" i="14"/>
  <c r="P1742" i="14"/>
  <c r="R1343" i="14"/>
  <c r="R1665" i="14"/>
  <c r="R1670" i="14"/>
  <c r="P1672" i="14"/>
  <c r="P1330" i="14"/>
  <c r="P1665" i="14"/>
  <c r="P1670" i="14"/>
  <c r="P1707" i="14"/>
  <c r="R1672" i="14"/>
  <c r="H1698" i="14"/>
  <c r="P1763" i="14"/>
  <c r="R1335" i="14"/>
  <c r="P1728" i="14"/>
  <c r="R1728" i="14"/>
  <c r="P1409" i="14"/>
  <c r="P1759" i="14"/>
  <c r="R1763" i="14"/>
  <c r="R1376" i="14"/>
  <c r="P1401" i="14"/>
  <c r="P1761" i="14"/>
  <c r="P1417" i="14"/>
  <c r="R1401" i="14"/>
  <c r="R1409" i="14"/>
  <c r="R1759" i="14"/>
  <c r="P1698" i="14"/>
  <c r="P1726" i="14"/>
  <c r="R1326" i="14"/>
  <c r="R1761" i="14"/>
  <c r="R1417" i="14"/>
  <c r="K1698" i="14"/>
  <c r="K1726" i="14"/>
  <c r="R1377" i="14"/>
  <c r="R1394" i="14"/>
  <c r="R1398" i="14"/>
  <c r="P1381" i="14"/>
  <c r="P1398" i="14"/>
  <c r="R1358" i="14"/>
  <c r="R1330" i="14"/>
  <c r="P1343" i="14"/>
  <c r="R1381" i="14"/>
  <c r="R1419" i="14"/>
  <c r="R1379" i="14"/>
  <c r="R1346" i="14"/>
  <c r="P1419" i="14"/>
  <c r="P1379" i="14"/>
  <c r="P1346" i="14"/>
  <c r="P1396" i="14"/>
  <c r="P1354" i="14"/>
  <c r="R1356" i="14"/>
  <c r="P1376" i="14"/>
  <c r="P1378" i="14"/>
  <c r="R1378" i="14"/>
  <c r="R1292" i="14"/>
  <c r="R1396" i="14"/>
  <c r="R1354" i="14"/>
  <c r="P1326" i="14"/>
  <c r="R1342" i="14"/>
  <c r="R1282" i="14"/>
  <c r="P1278" i="14"/>
  <c r="P1394" i="14"/>
  <c r="P1590" i="14"/>
  <c r="P1373" i="14"/>
  <c r="P1584" i="14"/>
  <c r="P1525" i="14"/>
  <c r="P1779" i="14"/>
  <c r="P1814" i="14"/>
  <c r="P1625" i="14"/>
  <c r="P1632" i="14"/>
  <c r="P1653" i="14"/>
  <c r="P1674" i="14"/>
  <c r="P1688" i="14"/>
  <c r="P1702" i="14"/>
  <c r="P1716" i="14"/>
  <c r="P1730" i="14"/>
  <c r="P1751" i="14"/>
  <c r="P1765" i="14"/>
  <c r="P1772" i="14"/>
  <c r="P1786" i="14"/>
  <c r="P1807" i="14"/>
  <c r="P1744" i="14"/>
  <c r="P1758" i="14"/>
  <c r="P1541" i="14"/>
  <c r="P1577" i="14"/>
  <c r="P1514" i="14"/>
  <c r="P1570" i="14"/>
  <c r="P1549" i="14"/>
  <c r="P1352" i="14"/>
  <c r="P1634" i="14"/>
  <c r="P1655" i="14"/>
  <c r="P1669" i="14"/>
  <c r="P1676" i="14"/>
  <c r="P1690" i="14"/>
  <c r="P1704" i="14"/>
  <c r="P1725" i="14"/>
  <c r="P1491" i="14"/>
  <c r="P1543" i="14"/>
  <c r="P1547" i="14"/>
  <c r="P1746" i="14"/>
  <c r="P1760" i="14"/>
  <c r="P1762" i="14"/>
  <c r="P1781" i="14"/>
  <c r="P1788" i="14"/>
  <c r="P1809" i="14"/>
  <c r="P1823" i="14"/>
  <c r="P1629" i="14"/>
  <c r="P1636" i="14"/>
  <c r="P1671" i="14"/>
  <c r="P1748" i="14"/>
  <c r="P1767" i="14"/>
  <c r="P1774" i="14"/>
  <c r="P1797" i="14"/>
  <c r="P1739" i="14"/>
  <c r="P1753" i="14"/>
  <c r="P1795" i="14"/>
  <c r="P1592" i="14"/>
  <c r="P1755" i="14"/>
  <c r="P1769" i="14"/>
  <c r="P1776" i="14"/>
  <c r="P1790" i="14"/>
  <c r="P1825" i="14"/>
  <c r="P1466" i="14"/>
  <c r="P1811" i="14"/>
  <c r="P1460" i="14"/>
  <c r="P1312" i="14"/>
  <c r="P1340" i="14"/>
  <c r="R1551" i="14"/>
  <c r="R1541" i="14"/>
  <c r="R1577" i="14"/>
  <c r="R1514" i="14"/>
  <c r="R1570" i="14"/>
  <c r="R1549" i="14"/>
  <c r="R1352" i="14"/>
  <c r="R1373" i="14"/>
  <c r="R1584" i="14"/>
  <c r="R1268" i="14"/>
  <c r="R1594" i="14"/>
  <c r="R1310" i="14"/>
  <c r="R1579" i="14"/>
  <c r="R1527" i="14"/>
  <c r="P1303" i="14"/>
  <c r="P1273" i="14"/>
  <c r="R1625" i="14"/>
  <c r="R1632" i="14"/>
  <c r="R1653" i="14"/>
  <c r="R1674" i="14"/>
  <c r="R1688" i="14"/>
  <c r="R1702" i="14"/>
  <c r="R1716" i="14"/>
  <c r="R1730" i="14"/>
  <c r="R1525" i="14"/>
  <c r="R1744" i="14"/>
  <c r="R1758" i="14"/>
  <c r="R1751" i="14"/>
  <c r="R1772" i="14"/>
  <c r="R1786" i="14"/>
  <c r="R1800" i="14"/>
  <c r="R1807" i="14"/>
  <c r="R1814" i="14"/>
  <c r="R1765" i="14"/>
  <c r="R1779" i="14"/>
  <c r="P1297" i="14"/>
  <c r="P1535" i="14"/>
  <c r="P1324" i="14"/>
  <c r="P1366" i="14"/>
  <c r="P1555" i="14"/>
  <c r="R1301" i="14"/>
  <c r="R1511" i="14"/>
  <c r="R1321" i="14"/>
  <c r="R1592" i="14"/>
  <c r="R1491" i="14"/>
  <c r="R1543" i="14"/>
  <c r="R1547" i="14"/>
  <c r="R1629" i="14"/>
  <c r="R1636" i="14"/>
  <c r="R1671" i="14"/>
  <c r="R1678" i="14"/>
  <c r="R1692" i="14"/>
  <c r="R1727" i="14"/>
  <c r="R1734" i="14"/>
  <c r="R1748" i="14"/>
  <c r="R1755" i="14"/>
  <c r="R1762" i="14"/>
  <c r="R1769" i="14"/>
  <c r="R1776" i="14"/>
  <c r="R1790" i="14"/>
  <c r="R1797" i="14"/>
  <c r="R1811" i="14"/>
  <c r="R1825" i="14"/>
  <c r="R1466" i="14"/>
  <c r="R1788" i="14"/>
  <c r="R1634" i="14"/>
  <c r="R1655" i="14"/>
  <c r="R1669" i="14"/>
  <c r="R1676" i="14"/>
  <c r="R1690" i="14"/>
  <c r="R1704" i="14"/>
  <c r="R1725" i="14"/>
  <c r="R1732" i="14"/>
  <c r="R1746" i="14"/>
  <c r="R1760" i="14"/>
  <c r="R1781" i="14"/>
  <c r="R1739" i="14"/>
  <c r="R1753" i="14"/>
  <c r="R1767" i="14"/>
  <c r="R1774" i="14"/>
  <c r="R1795" i="14"/>
  <c r="R1823" i="14"/>
  <c r="R1809" i="14"/>
  <c r="R1460" i="14"/>
  <c r="R1340" i="14"/>
  <c r="R1312" i="14"/>
  <c r="R1347" i="14"/>
  <c r="R1284" i="14"/>
  <c r="P1282" i="14"/>
  <c r="R1273" i="14"/>
  <c r="R1590" i="14"/>
  <c r="P1527" i="14"/>
  <c r="P1579" i="14"/>
  <c r="P1268" i="14"/>
  <c r="P1594" i="14"/>
  <c r="P1310" i="14"/>
  <c r="P1217" i="14"/>
  <c r="P1489" i="14"/>
  <c r="P1557" i="14"/>
  <c r="R1538" i="14"/>
  <c r="R1217" i="14"/>
  <c r="R1489" i="14"/>
  <c r="R1297" i="14"/>
  <c r="R1535" i="14"/>
  <c r="R1366" i="14"/>
  <c r="R1324" i="14"/>
  <c r="R1294" i="14"/>
  <c r="R1303" i="14"/>
  <c r="P1160" i="14"/>
  <c r="K1211" i="14"/>
  <c r="K1557" i="14"/>
  <c r="K1555" i="14"/>
  <c r="P1337" i="14"/>
  <c r="R1337" i="14"/>
  <c r="P1211" i="14"/>
  <c r="P1215" i="14"/>
  <c r="P1339" i="14"/>
  <c r="R1339" i="14"/>
  <c r="P1275" i="14"/>
  <c r="P1289" i="14"/>
  <c r="P1392" i="14"/>
  <c r="P1209" i="14"/>
  <c r="P1195" i="14"/>
  <c r="R1209" i="14"/>
  <c r="R1195" i="14"/>
  <c r="R1259" i="14"/>
  <c r="R1266" i="14"/>
  <c r="P1259" i="14"/>
  <c r="P1266" i="14"/>
  <c r="P1199" i="14"/>
  <c r="P1207" i="14"/>
  <c r="P1256" i="14"/>
  <c r="P1298" i="14"/>
  <c r="P1263" i="14"/>
  <c r="P1197" i="14"/>
  <c r="P1281" i="14"/>
  <c r="P1286" i="14"/>
  <c r="R1275" i="14"/>
  <c r="R1289" i="14"/>
  <c r="R1392" i="14"/>
  <c r="R1197" i="14"/>
  <c r="R1286" i="14"/>
  <c r="R1199" i="14"/>
  <c r="R1298" i="14"/>
  <c r="R1207" i="14"/>
  <c r="R1256" i="14"/>
  <c r="R1263" i="14"/>
  <c r="R1281" i="14"/>
  <c r="P1170" i="14"/>
  <c r="R1170" i="14"/>
  <c r="P1382" i="14"/>
  <c r="P1121" i="14"/>
  <c r="R1121" i="14"/>
  <c r="R1140" i="14"/>
  <c r="R1071" i="14"/>
  <c r="R1083" i="14"/>
  <c r="R1081" i="14"/>
  <c r="R1085" i="14"/>
  <c r="R1087" i="14"/>
  <c r="R1382" i="14"/>
  <c r="P1081" i="14"/>
  <c r="P1085" i="14"/>
  <c r="P1087" i="14"/>
  <c r="P1071" i="14"/>
  <c r="P1083" i="14"/>
  <c r="P1333" i="14"/>
  <c r="P1441" i="14"/>
  <c r="P1449" i="14"/>
  <c r="P1457" i="14"/>
  <c r="P1459" i="14"/>
  <c r="P1413" i="14"/>
  <c r="P1429" i="14"/>
  <c r="P1453" i="14"/>
  <c r="P1415" i="14"/>
  <c r="P1455" i="14"/>
  <c r="R1369" i="14"/>
  <c r="R1451" i="14"/>
  <c r="R1375" i="14"/>
  <c r="R1415" i="14"/>
  <c r="R1455" i="14"/>
  <c r="R1441" i="14"/>
  <c r="R1449" i="14"/>
  <c r="R1457" i="14"/>
  <c r="R1459" i="14"/>
  <c r="R1413" i="14"/>
  <c r="R1429" i="14"/>
  <c r="R1453" i="14"/>
  <c r="P1347" i="14"/>
  <c r="P1411" i="14"/>
  <c r="P1427" i="14"/>
  <c r="P1431" i="14"/>
  <c r="R1431" i="14"/>
  <c r="R1411" i="14"/>
  <c r="R1427" i="14"/>
  <c r="P1369" i="14"/>
  <c r="P1451" i="14"/>
  <c r="P1336" i="14"/>
  <c r="R1336" i="14"/>
  <c r="R1386" i="14"/>
  <c r="P1119" i="14"/>
  <c r="R1383" i="14"/>
  <c r="R1384" i="14"/>
  <c r="P1306" i="14"/>
  <c r="R1180" i="14"/>
  <c r="R1388" i="14"/>
  <c r="R1333" i="14"/>
  <c r="P1383" i="14"/>
  <c r="P1384" i="14"/>
  <c r="P1375" i="14"/>
  <c r="P1300" i="14"/>
  <c r="R1306" i="14"/>
  <c r="R1300" i="14"/>
  <c r="P1178" i="14"/>
  <c r="P1203" i="14"/>
  <c r="P1132" i="14"/>
  <c r="R1104" i="14"/>
  <c r="P1142" i="14"/>
  <c r="R1117" i="14"/>
  <c r="R1119" i="14"/>
  <c r="R1126" i="14"/>
  <c r="R1142" i="14"/>
  <c r="P1123" i="14"/>
  <c r="R1176" i="14"/>
  <c r="R1178" i="14"/>
  <c r="R1203" i="14"/>
  <c r="P1104" i="14"/>
  <c r="R1123" i="14"/>
  <c r="P1111" i="14"/>
  <c r="P1117" i="14"/>
  <c r="R1111" i="14"/>
  <c r="P1091" i="14"/>
  <c r="P1051" i="14"/>
  <c r="P1049" i="14"/>
  <c r="R1079" i="14"/>
  <c r="R1093" i="14"/>
  <c r="P1047" i="14"/>
  <c r="P1061" i="14"/>
  <c r="P1089" i="14"/>
  <c r="R1051" i="14"/>
  <c r="R1091" i="14"/>
  <c r="R1049" i="14"/>
  <c r="P1079" i="14"/>
  <c r="P1093" i="14"/>
  <c r="R1089" i="14"/>
  <c r="R1061" i="14"/>
  <c r="R1047" i="14"/>
  <c r="P1374" i="14"/>
  <c r="P1248" i="14"/>
  <c r="P1254" i="14"/>
  <c r="P1164" i="14"/>
  <c r="P1367" i="14"/>
  <c r="P1331" i="14"/>
  <c r="P1360" i="14"/>
  <c r="P1157" i="14"/>
  <c r="P1304" i="14"/>
  <c r="P1230" i="14"/>
  <c r="P1238" i="14"/>
  <c r="P1246" i="14"/>
  <c r="P1192" i="14"/>
  <c r="P1200" i="14"/>
  <c r="P1224" i="14"/>
  <c r="P1257" i="14"/>
  <c r="P1260" i="14"/>
  <c r="P1271" i="14"/>
  <c r="P1351" i="14"/>
  <c r="P1155" i="14"/>
  <c r="P1194" i="14"/>
  <c r="P1202" i="14"/>
  <c r="P1218" i="14"/>
  <c r="P1242" i="14"/>
  <c r="P1204" i="14"/>
  <c r="P1228" i="14"/>
  <c r="P1236" i="14"/>
  <c r="P1244" i="14"/>
  <c r="P1313" i="14"/>
  <c r="P1315" i="14"/>
  <c r="P1385" i="14"/>
  <c r="P1106" i="14"/>
  <c r="P1380" i="14"/>
  <c r="R1254" i="14"/>
  <c r="R1248" i="14"/>
  <c r="P1296" i="14"/>
  <c r="P1371" i="14"/>
  <c r="R1138" i="14"/>
  <c r="R1290" i="14"/>
  <c r="R1276" i="14"/>
  <c r="R1157" i="14"/>
  <c r="R1304" i="14"/>
  <c r="R1164" i="14"/>
  <c r="R1367" i="14"/>
  <c r="R1331" i="14"/>
  <c r="R1360" i="14"/>
  <c r="R1374" i="14"/>
  <c r="R1269" i="14"/>
  <c r="R1436" i="14"/>
  <c r="R1458" i="14"/>
  <c r="R1422" i="14"/>
  <c r="R1450" i="14"/>
  <c r="R1444" i="14"/>
  <c r="R1212" i="14"/>
  <c r="R1220" i="14"/>
  <c r="R1317" i="14"/>
  <c r="R1122" i="14"/>
  <c r="R1206" i="14"/>
  <c r="R1353" i="14"/>
  <c r="R1150" i="14"/>
  <c r="R1226" i="14"/>
  <c r="R1234" i="14"/>
  <c r="R1262" i="14"/>
  <c r="R1456" i="14"/>
  <c r="R1414" i="14"/>
  <c r="R1287" i="14"/>
  <c r="R1362" i="14"/>
  <c r="R1299" i="14"/>
  <c r="R1308" i="14"/>
  <c r="R1152" i="14"/>
  <c r="R1322" i="14"/>
  <c r="R1159" i="14"/>
  <c r="R1371" i="14"/>
  <c r="P1276" i="14"/>
  <c r="P1290" i="14"/>
  <c r="P1269" i="14"/>
  <c r="P1420" i="14"/>
  <c r="P1438" i="14"/>
  <c r="P1448" i="14"/>
  <c r="P1404" i="14"/>
  <c r="P1432" i="14"/>
  <c r="P1406" i="14"/>
  <c r="P1424" i="14"/>
  <c r="P1434" i="14"/>
  <c r="P1452" i="14"/>
  <c r="P1400" i="14"/>
  <c r="P1418" i="14"/>
  <c r="P1426" i="14"/>
  <c r="P1446" i="14"/>
  <c r="P1454" i="14"/>
  <c r="R1302" i="14"/>
  <c r="R1162" i="14"/>
  <c r="R1204" i="14"/>
  <c r="R1228" i="14"/>
  <c r="R1236" i="14"/>
  <c r="R1244" i="14"/>
  <c r="R1313" i="14"/>
  <c r="R1315" i="14"/>
  <c r="R1230" i="14"/>
  <c r="R1238" i="14"/>
  <c r="R1246" i="14"/>
  <c r="R1148" i="14"/>
  <c r="R1192" i="14"/>
  <c r="R1200" i="14"/>
  <c r="R1224" i="14"/>
  <c r="R1257" i="14"/>
  <c r="R1260" i="14"/>
  <c r="R1271" i="14"/>
  <c r="R1349" i="14"/>
  <c r="R1351" i="14"/>
  <c r="R1385" i="14"/>
  <c r="R1155" i="14"/>
  <c r="R1194" i="14"/>
  <c r="R1202" i="14"/>
  <c r="R1218" i="14"/>
  <c r="R1242" i="14"/>
  <c r="R1106" i="14"/>
  <c r="R1166" i="14"/>
  <c r="R1380" i="14"/>
  <c r="P1458" i="14"/>
  <c r="P1422" i="14"/>
  <c r="P1450" i="14"/>
  <c r="P1444" i="14"/>
  <c r="P1436" i="14"/>
  <c r="P1122" i="14"/>
  <c r="P1206" i="14"/>
  <c r="P1353" i="14"/>
  <c r="P1150" i="14"/>
  <c r="P1226" i="14"/>
  <c r="P1234" i="14"/>
  <c r="P1262" i="14"/>
  <c r="P1212" i="14"/>
  <c r="P1220" i="14"/>
  <c r="P1317" i="14"/>
  <c r="P1414" i="14"/>
  <c r="P1456" i="14"/>
  <c r="P1299" i="14"/>
  <c r="P1308" i="14"/>
  <c r="P1322" i="14"/>
  <c r="P1287" i="14"/>
  <c r="P1362" i="14"/>
  <c r="R972" i="14"/>
  <c r="R1319" i="14"/>
  <c r="R1328" i="14"/>
  <c r="R1400" i="14"/>
  <c r="R1418" i="14"/>
  <c r="R1426" i="14"/>
  <c r="R1446" i="14"/>
  <c r="R1454" i="14"/>
  <c r="R1420" i="14"/>
  <c r="R1438" i="14"/>
  <c r="R1448" i="14"/>
  <c r="R1404" i="14"/>
  <c r="R1432" i="14"/>
  <c r="R1406" i="14"/>
  <c r="R1424" i="14"/>
  <c r="R1434" i="14"/>
  <c r="R1452" i="14"/>
  <c r="R1296" i="14"/>
  <c r="R186" i="14"/>
  <c r="R438" i="14"/>
  <c r="R465" i="14"/>
  <c r="R207" i="14"/>
  <c r="R986" i="14"/>
  <c r="R989" i="14"/>
  <c r="R1023" i="14"/>
  <c r="R968" i="14"/>
  <c r="R1066" i="14"/>
  <c r="R1072" i="14"/>
  <c r="R1058" i="14"/>
  <c r="R179" i="14"/>
  <c r="R949" i="14"/>
  <c r="R433" i="14"/>
  <c r="R473" i="14"/>
  <c r="R216" i="14"/>
  <c r="R497" i="14"/>
  <c r="R203" i="14"/>
  <c r="R410" i="14"/>
  <c r="R230" i="14"/>
  <c r="R461" i="14"/>
  <c r="R1027" i="14"/>
  <c r="R966" i="14"/>
  <c r="R1025" i="14"/>
  <c r="R406" i="14"/>
  <c r="R459" i="14"/>
  <c r="R396" i="14"/>
  <c r="R607" i="14"/>
  <c r="R200" i="14"/>
  <c r="R979" i="14"/>
  <c r="R1044" i="14"/>
  <c r="R1036" i="14"/>
  <c r="R1040" i="14"/>
  <c r="R1082" i="14"/>
  <c r="R1054" i="14"/>
  <c r="R1056" i="14"/>
  <c r="R1068" i="14"/>
  <c r="R1074" i="14"/>
  <c r="R1076" i="14"/>
  <c r="R1060" i="14"/>
  <c r="R1046" i="14"/>
  <c r="R1062" i="14"/>
  <c r="P1027" i="14"/>
  <c r="P1076" i="14"/>
  <c r="P1062" i="14"/>
  <c r="P1054" i="14"/>
  <c r="P1068" i="14"/>
  <c r="P1082" i="14"/>
  <c r="P1056" i="14"/>
  <c r="P1040" i="14"/>
  <c r="P1060" i="14"/>
  <c r="P1046" i="14"/>
  <c r="P1036" i="14"/>
  <c r="P1074" i="14"/>
  <c r="P501" i="14"/>
  <c r="R1078" i="14"/>
  <c r="R1064" i="14"/>
  <c r="R984" i="14"/>
  <c r="R1007" i="14"/>
  <c r="P1058" i="14"/>
  <c r="P968" i="14"/>
  <c r="P1066" i="14"/>
  <c r="P1023" i="14"/>
  <c r="P1072" i="14"/>
  <c r="P984" i="14"/>
  <c r="P1078" i="14"/>
  <c r="P1064" i="14"/>
  <c r="R1098" i="14"/>
  <c r="R893" i="14"/>
  <c r="R902" i="14"/>
  <c r="R494" i="14"/>
  <c r="P989" i="14"/>
  <c r="P966" i="14"/>
  <c r="P1025" i="14"/>
  <c r="P893" i="14"/>
  <c r="P494" i="14"/>
  <c r="P1098" i="14"/>
  <c r="P902" i="14"/>
  <c r="P2061" i="14"/>
  <c r="P1377" i="14"/>
  <c r="P1044" i="14"/>
  <c r="P1007" i="14"/>
  <c r="P2034" i="14"/>
  <c r="P2027" i="14"/>
  <c r="P1168" i="14"/>
  <c r="P1732" i="14"/>
  <c r="P1887" i="14"/>
  <c r="R1782" i="14"/>
  <c r="P1734" i="14"/>
  <c r="P1727" i="14"/>
  <c r="P1782" i="14"/>
  <c r="I1553" i="14"/>
  <c r="N1553" i="14" s="1"/>
  <c r="R1802" i="14"/>
  <c r="P1802" i="14"/>
  <c r="P1526" i="14"/>
  <c r="P1800" i="14"/>
  <c r="P1604" i="14"/>
  <c r="P1696" i="14"/>
  <c r="P1500" i="14"/>
  <c r="P1605" i="14"/>
  <c r="P1705" i="14"/>
  <c r="P1801" i="14"/>
  <c r="P1596" i="14"/>
  <c r="P1799" i="14"/>
  <c r="P1603" i="14"/>
  <c r="P1754" i="14"/>
  <c r="R1803" i="14"/>
  <c r="R1607" i="14"/>
  <c r="R1596" i="14"/>
  <c r="R1603" i="14"/>
  <c r="R1799" i="14"/>
  <c r="P1692" i="14"/>
  <c r="P1714" i="14"/>
  <c r="P1803" i="14"/>
  <c r="P1607" i="14"/>
  <c r="K1376" i="14"/>
  <c r="P1757" i="14"/>
  <c r="P1678" i="14"/>
  <c r="K1397" i="14"/>
  <c r="K1686" i="14"/>
  <c r="K1707" i="14"/>
  <c r="K1749" i="14"/>
  <c r="H1397" i="14"/>
  <c r="H1390" i="14"/>
  <c r="H1950" i="14"/>
  <c r="P1386" i="14"/>
  <c r="P1407" i="14"/>
  <c r="H1403" i="14"/>
  <c r="P1356" i="14"/>
  <c r="P1529" i="14"/>
  <c r="P1551" i="14"/>
  <c r="P1493" i="14"/>
  <c r="P1538" i="14"/>
  <c r="P1342" i="14"/>
  <c r="P1349" i="14"/>
  <c r="P1511" i="14"/>
  <c r="P1321" i="14"/>
  <c r="K1566" i="14"/>
  <c r="K1505" i="14"/>
  <c r="K1582" i="14"/>
  <c r="K1533" i="14"/>
  <c r="K1568" i="14"/>
  <c r="K1571" i="14"/>
  <c r="K1575" i="14"/>
  <c r="K1464" i="14"/>
  <c r="H1591" i="14"/>
  <c r="H1582" i="14"/>
  <c r="H1533" i="14"/>
  <c r="H1571" i="14"/>
  <c r="K1191" i="14"/>
  <c r="H1191" i="14"/>
  <c r="I1222" i="14"/>
  <c r="N1222" i="14" s="1"/>
  <c r="P1292" i="14"/>
  <c r="P1159" i="14"/>
  <c r="P1301" i="14"/>
  <c r="H1277" i="14"/>
  <c r="H1193" i="14"/>
  <c r="K1277" i="14"/>
  <c r="K1193" i="14"/>
  <c r="H1295" i="14"/>
  <c r="H1192" i="14"/>
  <c r="I1264" i="14"/>
  <c r="N1264" i="14" s="1"/>
  <c r="K1295" i="14"/>
  <c r="H1254" i="14"/>
  <c r="H1257" i="14"/>
  <c r="I1141" i="14"/>
  <c r="N1141" i="14" s="1"/>
  <c r="I1118" i="14"/>
  <c r="N1118" i="14" s="1"/>
  <c r="P1140" i="14"/>
  <c r="H1123" i="14"/>
  <c r="P1162" i="14"/>
  <c r="P1335" i="14"/>
  <c r="P1174" i="14"/>
  <c r="P1284" i="14"/>
  <c r="P1388" i="14"/>
  <c r="P1126" i="14"/>
  <c r="P1344" i="14"/>
  <c r="H1285" i="14"/>
  <c r="H1282" i="14"/>
  <c r="K1285" i="14"/>
  <c r="H1382" i="14"/>
  <c r="I1382" i="14" s="1"/>
  <c r="N1382" i="14" s="1"/>
  <c r="K1383" i="14"/>
  <c r="P1152" i="14"/>
  <c r="R1390" i="14"/>
  <c r="P1390" i="14"/>
  <c r="P1176" i="14"/>
  <c r="P1180" i="14"/>
  <c r="P1166" i="14"/>
  <c r="P1148" i="14"/>
  <c r="H1116" i="14"/>
  <c r="I1120" i="14"/>
  <c r="N1120" i="14" s="1"/>
  <c r="H1137" i="14"/>
  <c r="H1236" i="14"/>
  <c r="I1181" i="14"/>
  <c r="N1181" i="14" s="1"/>
  <c r="K1116" i="14"/>
  <c r="K1137" i="14"/>
  <c r="I1038" i="14"/>
  <c r="N1038" i="14" s="1"/>
  <c r="I994" i="14"/>
  <c r="N994" i="14" s="1"/>
  <c r="I1009" i="14"/>
  <c r="N1009" i="14" s="1"/>
  <c r="P1328" i="14"/>
  <c r="P1319" i="14"/>
  <c r="P1138" i="14"/>
  <c r="P1302" i="14"/>
  <c r="P1283" i="14"/>
  <c r="H1347" i="14"/>
  <c r="K986" i="14"/>
  <c r="K1381" i="14"/>
  <c r="K1372" i="14"/>
  <c r="K1265" i="14"/>
  <c r="K1291" i="14"/>
  <c r="K1339" i="14"/>
  <c r="K1132" i="14"/>
  <c r="K1258" i="14"/>
  <c r="K1365" i="14"/>
  <c r="K1297" i="14"/>
  <c r="K1099" i="14"/>
  <c r="K1007" i="14"/>
  <c r="H1300" i="14"/>
  <c r="I1300" i="14" s="1"/>
  <c r="N1300" i="14" s="1"/>
  <c r="I1361" i="14"/>
  <c r="N1361" i="14" s="1"/>
  <c r="H1117" i="14"/>
  <c r="H1265" i="14"/>
  <c r="H1291" i="14"/>
  <c r="H1258" i="14"/>
  <c r="I1288" i="14"/>
  <c r="N1288" i="14" s="1"/>
  <c r="H1303" i="14"/>
  <c r="H1312" i="14"/>
  <c r="H1326" i="14"/>
  <c r="H1132" i="14"/>
  <c r="H1278" i="14"/>
  <c r="H1375" i="14"/>
  <c r="I1309" i="14"/>
  <c r="N1309" i="14" s="1"/>
  <c r="H1111" i="14"/>
  <c r="H1099" i="14"/>
  <c r="H1104" i="14"/>
  <c r="K984" i="14"/>
  <c r="I963" i="14"/>
  <c r="N963" i="14" s="1"/>
  <c r="P944" i="14"/>
  <c r="P319" i="14"/>
  <c r="P172" i="14"/>
  <c r="P79" i="14"/>
  <c r="P333" i="14"/>
  <c r="P354" i="14"/>
  <c r="P382" i="14"/>
  <c r="P255" i="14"/>
  <c r="P340" i="14"/>
  <c r="P186" i="14"/>
  <c r="P438" i="14"/>
  <c r="P949" i="14"/>
  <c r="P433" i="14"/>
  <c r="P179" i="14"/>
  <c r="P473" i="14"/>
  <c r="P216" i="14"/>
  <c r="P607" i="14"/>
  <c r="P459" i="14"/>
  <c r="P979" i="14"/>
  <c r="P200" i="14"/>
  <c r="P396" i="14"/>
  <c r="P406" i="14"/>
  <c r="J51" i="21"/>
  <c r="P497" i="14"/>
  <c r="P461" i="14"/>
  <c r="P203" i="14"/>
  <c r="P230" i="14"/>
  <c r="P410" i="14"/>
  <c r="K1770" i="14"/>
  <c r="K2148" i="14"/>
  <c r="Y2148" i="14" s="1"/>
  <c r="P972" i="14"/>
  <c r="P207" i="14"/>
  <c r="P465" i="14"/>
  <c r="P986" i="14"/>
  <c r="H1034" i="14"/>
  <c r="I1034" i="14" s="1"/>
  <c r="N1034" i="14" s="1"/>
  <c r="H964" i="14"/>
  <c r="I964" i="14" s="1"/>
  <c r="N964" i="14" s="1"/>
  <c r="H980" i="14"/>
  <c r="I980" i="14" s="1"/>
  <c r="N980" i="14" s="1"/>
  <c r="H1001" i="14"/>
  <c r="I954" i="14"/>
  <c r="N954" i="14" s="1"/>
  <c r="K964" i="14"/>
  <c r="K1034" i="14"/>
  <c r="K980" i="14"/>
  <c r="K1001" i="14"/>
  <c r="K2081" i="14"/>
  <c r="I2020" i="14"/>
  <c r="N2020" i="14" s="1"/>
  <c r="H2034" i="14"/>
  <c r="H2038" i="14"/>
  <c r="H2128" i="14"/>
  <c r="I2128" i="14" s="1"/>
  <c r="N2128" i="14" s="1"/>
  <c r="H2134" i="14"/>
  <c r="H2101" i="14"/>
  <c r="I2101" i="14" s="1"/>
  <c r="N2101" i="14" s="1"/>
  <c r="H2081" i="14"/>
  <c r="I2016" i="14"/>
  <c r="N2016" i="14" s="1"/>
  <c r="H2013" i="14"/>
  <c r="I2009" i="14"/>
  <c r="N2009" i="14" s="1"/>
  <c r="I2012" i="14"/>
  <c r="N2012" i="14" s="1"/>
  <c r="I1988" i="14"/>
  <c r="N1988" i="14"/>
  <c r="I1981" i="14"/>
  <c r="N1981" i="14" s="1"/>
  <c r="H1967" i="14"/>
  <c r="I1959" i="14"/>
  <c r="N1959" i="14" s="1"/>
  <c r="K2122" i="14"/>
  <c r="H2087" i="14"/>
  <c r="I2087" i="14" s="1"/>
  <c r="N2087" i="14" s="1"/>
  <c r="I1583" i="14"/>
  <c r="N1583" i="14" s="1"/>
  <c r="H2093" i="14"/>
  <c r="I2093" i="14" s="1"/>
  <c r="N2093" i="14" s="1"/>
  <c r="I1941" i="14"/>
  <c r="N1941" i="14" s="1"/>
  <c r="H2021" i="14"/>
  <c r="I1576" i="14"/>
  <c r="N1576" i="14" s="1"/>
  <c r="H2066" i="14"/>
  <c r="H1955" i="14"/>
  <c r="I1946" i="14"/>
  <c r="N1946" i="14" s="1"/>
  <c r="I1953" i="14"/>
  <c r="N1953" i="14" s="1"/>
  <c r="H1899" i="14"/>
  <c r="H1931" i="14"/>
  <c r="I1787" i="14"/>
  <c r="N1787" i="14" s="1"/>
  <c r="I1934" i="14"/>
  <c r="N1934" i="14"/>
  <c r="I1920" i="14"/>
  <c r="N1920" i="14" s="1"/>
  <c r="I1892" i="14"/>
  <c r="N1892" i="14" s="1"/>
  <c r="H1947" i="14"/>
  <c r="H1976" i="14"/>
  <c r="K2013" i="14"/>
  <c r="K2146" i="14"/>
  <c r="Y2146" i="14" s="1"/>
  <c r="K1967" i="14"/>
  <c r="K2187" i="14"/>
  <c r="Y2187" i="14" s="1"/>
  <c r="K1977" i="14"/>
  <c r="K1963" i="14"/>
  <c r="K1971" i="14"/>
  <c r="K1984" i="14"/>
  <c r="K2160" i="14"/>
  <c r="Y2160" i="14" s="1"/>
  <c r="H1878" i="14"/>
  <c r="I1878" i="14" s="1"/>
  <c r="N1878" i="14" s="1"/>
  <c r="H1962" i="14"/>
  <c r="K1878" i="14"/>
  <c r="K1960" i="14"/>
  <c r="K2129" i="14"/>
  <c r="H1898" i="14"/>
  <c r="H1919" i="14"/>
  <c r="H1940" i="14"/>
  <c r="H1905" i="14"/>
  <c r="H1893" i="14"/>
  <c r="H1911" i="14"/>
  <c r="I1911" i="14" s="1"/>
  <c r="N1911" i="14" s="1"/>
  <c r="H1900" i="14"/>
  <c r="H1897" i="14"/>
  <c r="H1921" i="14"/>
  <c r="H1907" i="14"/>
  <c r="H1904" i="14"/>
  <c r="H1928" i="14"/>
  <c r="I1928" i="14" s="1"/>
  <c r="N1928" i="14" s="1"/>
  <c r="I1882" i="14"/>
  <c r="N1882" i="14" s="1"/>
  <c r="H1903" i="14"/>
  <c r="I1889" i="14"/>
  <c r="N1889" i="14" s="1"/>
  <c r="H1896" i="14"/>
  <c r="I1896" i="14" s="1"/>
  <c r="N1896" i="14" s="1"/>
  <c r="I1871" i="14"/>
  <c r="N1871" i="14" s="1"/>
  <c r="H2045" i="14"/>
  <c r="K2066" i="14"/>
  <c r="K1157" i="14"/>
  <c r="H2049" i="14"/>
  <c r="K2128" i="14"/>
  <c r="I1875" i="14"/>
  <c r="N1875" i="14" s="1"/>
  <c r="H1891" i="14"/>
  <c r="H1870" i="14"/>
  <c r="I1869" i="14"/>
  <c r="N1869" i="14" s="1"/>
  <c r="H1876" i="14"/>
  <c r="I1872" i="14"/>
  <c r="N1872" i="14" s="1"/>
  <c r="I1865" i="14"/>
  <c r="N1865" i="14" s="1"/>
  <c r="H1858" i="14"/>
  <c r="H1806" i="14"/>
  <c r="I1831" i="14"/>
  <c r="N1831" i="14" s="1"/>
  <c r="I1789" i="14"/>
  <c r="N1789" i="14" s="1"/>
  <c r="I1785" i="14"/>
  <c r="N1785" i="14" s="1"/>
  <c r="H1710" i="14"/>
  <c r="I1710" i="14" s="1"/>
  <c r="N1710" i="14" s="1"/>
  <c r="H1759" i="14"/>
  <c r="I1759" i="14" s="1"/>
  <c r="N1759" i="14" s="1"/>
  <c r="I1675" i="14"/>
  <c r="N1675" i="14" s="1"/>
  <c r="H1689" i="14"/>
  <c r="H1687" i="14"/>
  <c r="I1687" i="14" s="1"/>
  <c r="N1687" i="14" s="1"/>
  <c r="H1666" i="14"/>
  <c r="H1673" i="14"/>
  <c r="I1612" i="14"/>
  <c r="N1612" i="14" s="1"/>
  <c r="H1626" i="14"/>
  <c r="I1616" i="14"/>
  <c r="N1616" i="14" s="1"/>
  <c r="H1624" i="14"/>
  <c r="I1610" i="14"/>
  <c r="I1606" i="14"/>
  <c r="N1606" i="14" s="1"/>
  <c r="I1604" i="14"/>
  <c r="N1604" i="14" s="1"/>
  <c r="I1798" i="14"/>
  <c r="N1798" i="14" s="1"/>
  <c r="H1805" i="14"/>
  <c r="H1812" i="14"/>
  <c r="H1817" i="14"/>
  <c r="H1810" i="14"/>
  <c r="I1826" i="14"/>
  <c r="N1826" i="14" s="1"/>
  <c r="I1824" i="14"/>
  <c r="N1824" i="14" s="1"/>
  <c r="H1819" i="14"/>
  <c r="I1588" i="14"/>
  <c r="N1588" i="14" s="1"/>
  <c r="I1656" i="14"/>
  <c r="N1656" i="14" s="1"/>
  <c r="H1611" i="14"/>
  <c r="H1617" i="14"/>
  <c r="I1630" i="14"/>
  <c r="H1642" i="14"/>
  <c r="H1628" i="14"/>
  <c r="H1644" i="14"/>
  <c r="I1775" i="14"/>
  <c r="N1775" i="14" s="1"/>
  <c r="H1668" i="14"/>
  <c r="H1767" i="14"/>
  <c r="H1749" i="14"/>
  <c r="I1749" i="14" s="1"/>
  <c r="N1749" i="14" s="1"/>
  <c r="I1569" i="14"/>
  <c r="N1569" i="14" s="1"/>
  <c r="H1770" i="14"/>
  <c r="H1756" i="14"/>
  <c r="H1763" i="14"/>
  <c r="I1791" i="14"/>
  <c r="N1791" i="14" s="1"/>
  <c r="H1603" i="14"/>
  <c r="I1563" i="14"/>
  <c r="N1563" i="14" s="1"/>
  <c r="H1564" i="14"/>
  <c r="H1609" i="14"/>
  <c r="H1557" i="14"/>
  <c r="I1567" i="14"/>
  <c r="N1567" i="14" s="1"/>
  <c r="H1794" i="14"/>
  <c r="H1742" i="14"/>
  <c r="I1742" i="14" s="1"/>
  <c r="N1742" i="14" s="1"/>
  <c r="H1595" i="14"/>
  <c r="H1573" i="14"/>
  <c r="H1778" i="14"/>
  <c r="H1568" i="14"/>
  <c r="H1566" i="14"/>
  <c r="I1534" i="14"/>
  <c r="N1534" i="14" s="1"/>
  <c r="H1766" i="14"/>
  <c r="I1766" i="14" s="1"/>
  <c r="N1766" i="14" s="1"/>
  <c r="I1585" i="14"/>
  <c r="N1585" i="14" s="1"/>
  <c r="H1736" i="14"/>
  <c r="I1510" i="14"/>
  <c r="N1510" i="14" s="1"/>
  <c r="H1479" i="14"/>
  <c r="I1524" i="14"/>
  <c r="N1524" i="14" s="1"/>
  <c r="H1505" i="14"/>
  <c r="I1578" i="14"/>
  <c r="N1578" i="14" s="1"/>
  <c r="H1619" i="14"/>
  <c r="H1708" i="14"/>
  <c r="I1512" i="14"/>
  <c r="N1512" i="14" s="1"/>
  <c r="H1724" i="14"/>
  <c r="K1591" i="14"/>
  <c r="K1786" i="14"/>
  <c r="H1820" i="14"/>
  <c r="H1782" i="14"/>
  <c r="I1782" i="14" s="1"/>
  <c r="N1782" i="14" s="1"/>
  <c r="I1796" i="14"/>
  <c r="N1796" i="14" s="1"/>
  <c r="H1586" i="14"/>
  <c r="I1503" i="14"/>
  <c r="N1503" i="14" s="1"/>
  <c r="H1684" i="14"/>
  <c r="K1611" i="14"/>
  <c r="K1806" i="14"/>
  <c r="H1515" i="14"/>
  <c r="H1431" i="14"/>
  <c r="I1488" i="14"/>
  <c r="N1488" i="14" s="1"/>
  <c r="H1475" i="14"/>
  <c r="H1477" i="14"/>
  <c r="I1623" i="14"/>
  <c r="N1623" i="14" s="1"/>
  <c r="H1631" i="14"/>
  <c r="I1635" i="14"/>
  <c r="N1635" i="14" s="1"/>
  <c r="I1651" i="14"/>
  <c r="N1651" i="14"/>
  <c r="H1659" i="14"/>
  <c r="H1621" i="14"/>
  <c r="I1637" i="14"/>
  <c r="N1637" i="14" s="1"/>
  <c r="I1645" i="14"/>
  <c r="N1645" i="14" s="1"/>
  <c r="H1649" i="14"/>
  <c r="I1490" i="14"/>
  <c r="N1490" i="14"/>
  <c r="H1647" i="14"/>
  <c r="H1633" i="14"/>
  <c r="H1661" i="14"/>
  <c r="I1548" i="14"/>
  <c r="I1556" i="14"/>
  <c r="N1556" i="14" s="1"/>
  <c r="H1584" i="14"/>
  <c r="I1521" i="14"/>
  <c r="N1521" i="14" s="1"/>
  <c r="I1492" i="14"/>
  <c r="N1492" i="14" s="1"/>
  <c r="H1601" i="14"/>
  <c r="I1498" i="14"/>
  <c r="N1498" i="14" s="1"/>
  <c r="I1550" i="14"/>
  <c r="N1550" i="14" s="1"/>
  <c r="H1599" i="14"/>
  <c r="I1504" i="14"/>
  <c r="N1504" i="14" s="1"/>
  <c r="H1468" i="14"/>
  <c r="H1472" i="14"/>
  <c r="H1470" i="14"/>
  <c r="H1460" i="14"/>
  <c r="H1462" i="14"/>
  <c r="I1542" i="14"/>
  <c r="N1542" i="14" s="1"/>
  <c r="I1513" i="14"/>
  <c r="N1513" i="14" s="1"/>
  <c r="K1586" i="14"/>
  <c r="K1570" i="14"/>
  <c r="H1575" i="14"/>
  <c r="K1609" i="14"/>
  <c r="H1464" i="14"/>
  <c r="I1474" i="14"/>
  <c r="N1474" i="14" s="1"/>
  <c r="I1530" i="14"/>
  <c r="N1530" i="14" s="1"/>
  <c r="H1771" i="14"/>
  <c r="I1467" i="14"/>
  <c r="N1467" i="14" s="1"/>
  <c r="K1805" i="14"/>
  <c r="K1766" i="14"/>
  <c r="H1672" i="14"/>
  <c r="I1672" i="14" s="1"/>
  <c r="N1672" i="14" s="1"/>
  <c r="H1686" i="14"/>
  <c r="H1717" i="14"/>
  <c r="I1717" i="14" s="1"/>
  <c r="N1717" i="14" s="1"/>
  <c r="H1752" i="14"/>
  <c r="I1752" i="14" s="1"/>
  <c r="N1752" i="14" s="1"/>
  <c r="H1773" i="14"/>
  <c r="I1780" i="14"/>
  <c r="N1780" i="14" s="1"/>
  <c r="H1707" i="14"/>
  <c r="H1694" i="14"/>
  <c r="H1764" i="14"/>
  <c r="H1750" i="14"/>
  <c r="I1750" i="14" s="1"/>
  <c r="N1750" i="14" s="1"/>
  <c r="H1728" i="14"/>
  <c r="I1728" i="14" s="1"/>
  <c r="N1728" i="14" s="1"/>
  <c r="H1726" i="14"/>
  <c r="H1784" i="14"/>
  <c r="H1768" i="14"/>
  <c r="I1768" i="14" s="1"/>
  <c r="N1768" i="14" s="1"/>
  <c r="H1753" i="14"/>
  <c r="K1742" i="14"/>
  <c r="H1803" i="14"/>
  <c r="H1712" i="14"/>
  <c r="H1725" i="14"/>
  <c r="I1657" i="14"/>
  <c r="N1657" i="14" s="1"/>
  <c r="H1760" i="14"/>
  <c r="I1760" i="14" s="1"/>
  <c r="N1760" i="14" s="1"/>
  <c r="H1671" i="14"/>
  <c r="K1765" i="14"/>
  <c r="K1807" i="14"/>
  <c r="H1730" i="14"/>
  <c r="I1465" i="14"/>
  <c r="N1465" i="14" s="1"/>
  <c r="I1461" i="14"/>
  <c r="N1461" i="14" s="1"/>
  <c r="H1418" i="14"/>
  <c r="H1489" i="14"/>
  <c r="I1450" i="14"/>
  <c r="N1450" i="14" s="1"/>
  <c r="H1761" i="14"/>
  <c r="H1690" i="14"/>
  <c r="H1802" i="14"/>
  <c r="I1650" i="14"/>
  <c r="N1650" i="14" s="1"/>
  <c r="I1818" i="14"/>
  <c r="N1818" i="14" s="1"/>
  <c r="H1704" i="14"/>
  <c r="I1508" i="14"/>
  <c r="N1508" i="14" s="1"/>
  <c r="I1473" i="14"/>
  <c r="N1473" i="14" s="1"/>
  <c r="H1491" i="14"/>
  <c r="H1811" i="14"/>
  <c r="H1669" i="14"/>
  <c r="H1466" i="14"/>
  <c r="I1519" i="14"/>
  <c r="N1519" i="14" s="1"/>
  <c r="I1480" i="14"/>
  <c r="N1480" i="14" s="1"/>
  <c r="H1543" i="14"/>
  <c r="H1739" i="14"/>
  <c r="I1739" i="14" s="1"/>
  <c r="N1739" i="14" s="1"/>
  <c r="I1620" i="14"/>
  <c r="N1620" i="14" s="1"/>
  <c r="H1592" i="14"/>
  <c r="H1634" i="14"/>
  <c r="H1746" i="14"/>
  <c r="H1547" i="14"/>
  <c r="H1629" i="14"/>
  <c r="H1788" i="14"/>
  <c r="I1627" i="14"/>
  <c r="N1627" i="14" s="1"/>
  <c r="I1643" i="14"/>
  <c r="N1643" i="14" s="1"/>
  <c r="I1613" i="14"/>
  <c r="N1613" i="14"/>
  <c r="H1781" i="14"/>
  <c r="I1648" i="14"/>
  <c r="N1648" i="14" s="1"/>
  <c r="H1797" i="14"/>
  <c r="H1636" i="14"/>
  <c r="I1636" i="14" s="1"/>
  <c r="N1636" i="14" s="1"/>
  <c r="H1795" i="14"/>
  <c r="H1459" i="14"/>
  <c r="H1774" i="14"/>
  <c r="I1774" i="14" s="1"/>
  <c r="N1774" i="14" s="1"/>
  <c r="I1622" i="14"/>
  <c r="N1622" i="14" s="1"/>
  <c r="I1816" i="14"/>
  <c r="N1816" i="14" s="1"/>
  <c r="H1655" i="14"/>
  <c r="I1804" i="14"/>
  <c r="N1804" i="14" s="1"/>
  <c r="I1641" i="14"/>
  <c r="H1809" i="14"/>
  <c r="H1676" i="14"/>
  <c r="H1825" i="14"/>
  <c r="H1823" i="14"/>
  <c r="I1823" i="14" s="1"/>
  <c r="N1823" i="14" s="1"/>
  <c r="I1425" i="14"/>
  <c r="N1425" i="14" s="1"/>
  <c r="I1410" i="14"/>
  <c r="N1410" i="14" s="1"/>
  <c r="H1424" i="14"/>
  <c r="H1438" i="14"/>
  <c r="I1452" i="14"/>
  <c r="N1452" i="14" s="1"/>
  <c r="H1432" i="14"/>
  <c r="H1448" i="14"/>
  <c r="H1446" i="14"/>
  <c r="H1404" i="14"/>
  <c r="I1395" i="14"/>
  <c r="N1395" i="14" s="1"/>
  <c r="H1352" i="14"/>
  <c r="H1665" i="14"/>
  <c r="H1670" i="14"/>
  <c r="I1329" i="14"/>
  <c r="N1329" i="14" s="1"/>
  <c r="I1389" i="14"/>
  <c r="I1359" i="14"/>
  <c r="N1359" i="14" s="1"/>
  <c r="K1310" i="14"/>
  <c r="K1763" i="14"/>
  <c r="K1401" i="14"/>
  <c r="K1751" i="14"/>
  <c r="K1409" i="14"/>
  <c r="K1759" i="14"/>
  <c r="K1761" i="14"/>
  <c r="K1489" i="14"/>
  <c r="K1728" i="14"/>
  <c r="H1394" i="14"/>
  <c r="I1350" i="14"/>
  <c r="N1350" i="14" s="1"/>
  <c r="H1420" i="14"/>
  <c r="H1427" i="14"/>
  <c r="I1427" i="14" s="1"/>
  <c r="N1427" i="14" s="1"/>
  <c r="H1434" i="14"/>
  <c r="I1406" i="14"/>
  <c r="N1406" i="14"/>
  <c r="H1392" i="14"/>
  <c r="I1402" i="14"/>
  <c r="N1402" i="14" s="1"/>
  <c r="H1415" i="14"/>
  <c r="I1455" i="14"/>
  <c r="N1455" i="14" s="1"/>
  <c r="I1453" i="14"/>
  <c r="N1453" i="14" s="1"/>
  <c r="H1457" i="14"/>
  <c r="H1413" i="14"/>
  <c r="H1411" i="14"/>
  <c r="H1401" i="14"/>
  <c r="H1429" i="14"/>
  <c r="I1327" i="14"/>
  <c r="N1327" i="14" s="1"/>
  <c r="H1385" i="14"/>
  <c r="K1326" i="14"/>
  <c r="K1417" i="14"/>
  <c r="I1483" i="14"/>
  <c r="N1483" i="14" s="1"/>
  <c r="H1422" i="14"/>
  <c r="K1403" i="14"/>
  <c r="I1357" i="14"/>
  <c r="N1357" i="14" s="1"/>
  <c r="I1348" i="14"/>
  <c r="N1348" i="14" s="1"/>
  <c r="I1445" i="14"/>
  <c r="N1445" i="14" s="1"/>
  <c r="I1443" i="14"/>
  <c r="N1443" i="14" s="1"/>
  <c r="H1441" i="14"/>
  <c r="I1439" i="14"/>
  <c r="N1439" i="14" s="1"/>
  <c r="I1408" i="14"/>
  <c r="N1408" i="14" s="1"/>
  <c r="H1436" i="14"/>
  <c r="I1399" i="14"/>
  <c r="N1399" i="14" s="1"/>
  <c r="H1330" i="14"/>
  <c r="H1376" i="14"/>
  <c r="H1378" i="14"/>
  <c r="I1336" i="14"/>
  <c r="N1336" i="14" s="1"/>
  <c r="H1358" i="14"/>
  <c r="H1381" i="14"/>
  <c r="H1369" i="14"/>
  <c r="I1320" i="14"/>
  <c r="N1320" i="14" s="1"/>
  <c r="I1343" i="14"/>
  <c r="N1343" i="14"/>
  <c r="H1365" i="14"/>
  <c r="I1323" i="14"/>
  <c r="N1323" i="14" s="1"/>
  <c r="H1372" i="14"/>
  <c r="I1423" i="14"/>
  <c r="N1423" i="14" s="1"/>
  <c r="H1400" i="14"/>
  <c r="H1409" i="14"/>
  <c r="I1421" i="14"/>
  <c r="N1421" i="14" s="1"/>
  <c r="I1393" i="14"/>
  <c r="N1393" i="14" s="1"/>
  <c r="H1346" i="14"/>
  <c r="H1379" i="14"/>
  <c r="I1316" i="14"/>
  <c r="N1316" i="14" s="1"/>
  <c r="I1412" i="14"/>
  <c r="N1412" i="14" s="1"/>
  <c r="I1440" i="14"/>
  <c r="N1440" i="14" s="1"/>
  <c r="H1458" i="14"/>
  <c r="I1318" i="14"/>
  <c r="N1318" i="14" s="1"/>
  <c r="I1449" i="14"/>
  <c r="N1449" i="14" s="1"/>
  <c r="H1337" i="14"/>
  <c r="I1435" i="14"/>
  <c r="N1435" i="14"/>
  <c r="I1451" i="14"/>
  <c r="N1451" i="14" s="1"/>
  <c r="I1353" i="14"/>
  <c r="I1430" i="14"/>
  <c r="N1430" i="14" s="1"/>
  <c r="I1437" i="14"/>
  <c r="N1437" i="14" s="1"/>
  <c r="I1454" i="14"/>
  <c r="N1454" i="14" s="1"/>
  <c r="H1444" i="14"/>
  <c r="I1416" i="14"/>
  <c r="N1416" i="14"/>
  <c r="H1590" i="14"/>
  <c r="K1324" i="14"/>
  <c r="K1378" i="14"/>
  <c r="K1303" i="14"/>
  <c r="K1396" i="14"/>
  <c r="K1354" i="14"/>
  <c r="H1758" i="14"/>
  <c r="I1758" i="14" s="1"/>
  <c r="N1758" i="14" s="1"/>
  <c r="H1765" i="14"/>
  <c r="I1765" i="14" s="1"/>
  <c r="N1765" i="14" s="1"/>
  <c r="H1807" i="14"/>
  <c r="H1751" i="14"/>
  <c r="H1786" i="14"/>
  <c r="H1688" i="14"/>
  <c r="I1688" i="14" s="1"/>
  <c r="N1688" i="14" s="1"/>
  <c r="H1716" i="14"/>
  <c r="H1744" i="14"/>
  <c r="H1779" i="14"/>
  <c r="H1632" i="14"/>
  <c r="H1772" i="14"/>
  <c r="H1814" i="14"/>
  <c r="K1669" i="14"/>
  <c r="K1725" i="14"/>
  <c r="K1753" i="14"/>
  <c r="K1788" i="14"/>
  <c r="K1795" i="14"/>
  <c r="K1629" i="14"/>
  <c r="K1655" i="14"/>
  <c r="K1690" i="14"/>
  <c r="K1746" i="14"/>
  <c r="K1781" i="14"/>
  <c r="K1811" i="14"/>
  <c r="K1823" i="14"/>
  <c r="K1634" i="14"/>
  <c r="K1671" i="14"/>
  <c r="K1739" i="14"/>
  <c r="K1774" i="14"/>
  <c r="K1797" i="14"/>
  <c r="K1676" i="14"/>
  <c r="K1704" i="14"/>
  <c r="K1760" i="14"/>
  <c r="K1767" i="14"/>
  <c r="K1809" i="14"/>
  <c r="K1825" i="14"/>
  <c r="K1543" i="14"/>
  <c r="K1491" i="14"/>
  <c r="K1547" i="14"/>
  <c r="K1592" i="14"/>
  <c r="K1466" i="14"/>
  <c r="K1304" i="14"/>
  <c r="K1373" i="14"/>
  <c r="K1584" i="14"/>
  <c r="I1476" i="14"/>
  <c r="N1476" i="14" s="1"/>
  <c r="I1469" i="14"/>
  <c r="N1469" i="14" s="1"/>
  <c r="H1535" i="14"/>
  <c r="I1506" i="14"/>
  <c r="N1506" i="14" s="1"/>
  <c r="K1527" i="14"/>
  <c r="K1394" i="14"/>
  <c r="H1541" i="14"/>
  <c r="H1549" i="14"/>
  <c r="H1577" i="14"/>
  <c r="H1570" i="14"/>
  <c r="H1514" i="14"/>
  <c r="H1310" i="14"/>
  <c r="H1317" i="14"/>
  <c r="H1499" i="14"/>
  <c r="I1161" i="14"/>
  <c r="N1161" i="14" s="1"/>
  <c r="H1497" i="14"/>
  <c r="K1460" i="14"/>
  <c r="I1338" i="14"/>
  <c r="N1338" i="14" s="1"/>
  <c r="H1373" i="14"/>
  <c r="H1297" i="14"/>
  <c r="I1366" i="14"/>
  <c r="H1324" i="14"/>
  <c r="K1358" i="14"/>
  <c r="K1282" i="14"/>
  <c r="K1278" i="14"/>
  <c r="K1296" i="14"/>
  <c r="K1340" i="14"/>
  <c r="K1268" i="14"/>
  <c r="K1360" i="14"/>
  <c r="K1276" i="14"/>
  <c r="K1266" i="14"/>
  <c r="K1290" i="14"/>
  <c r="K1347" i="14"/>
  <c r="K1249" i="14"/>
  <c r="K1273" i="14"/>
  <c r="K1242" i="14"/>
  <c r="K1234" i="14"/>
  <c r="I1219" i="14"/>
  <c r="N1219" i="14" s="1"/>
  <c r="H1223" i="14"/>
  <c r="K1337" i="14"/>
  <c r="H1674" i="14"/>
  <c r="H1339" i="14"/>
  <c r="H1266" i="14"/>
  <c r="H1351" i="14"/>
  <c r="H1315" i="14"/>
  <c r="K1195" i="14"/>
  <c r="K1199" i="14"/>
  <c r="K1197" i="14"/>
  <c r="H1271" i="14"/>
  <c r="K1281" i="14"/>
  <c r="K1207" i="14"/>
  <c r="K1209" i="14"/>
  <c r="K1298" i="14"/>
  <c r="K1263" i="14"/>
  <c r="I1274" i="14"/>
  <c r="N1274" i="14" s="1"/>
  <c r="H1273" i="14"/>
  <c r="H1384" i="14"/>
  <c r="K1312" i="14"/>
  <c r="H1246" i="14"/>
  <c r="I1305" i="14"/>
  <c r="N1305" i="14" s="1"/>
  <c r="H1262" i="14"/>
  <c r="K1286" i="14"/>
  <c r="K1256" i="14"/>
  <c r="I1177" i="14"/>
  <c r="N1177" i="14" s="1"/>
  <c r="H1259" i="14"/>
  <c r="H1224" i="14"/>
  <c r="H1230" i="14"/>
  <c r="H1218" i="14"/>
  <c r="I1267" i="14"/>
  <c r="N1267" i="14"/>
  <c r="I1149" i="14"/>
  <c r="N1149" i="14" s="1"/>
  <c r="H1289" i="14"/>
  <c r="H1170" i="14"/>
  <c r="I1156" i="14"/>
  <c r="N1156" i="14" s="1"/>
  <c r="I1163" i="14"/>
  <c r="N1163" i="14"/>
  <c r="K1382" i="14"/>
  <c r="K1121" i="14"/>
  <c r="H1374" i="14"/>
  <c r="I1143" i="14"/>
  <c r="N1143" i="14" s="1"/>
  <c r="K1081" i="14"/>
  <c r="K1085" i="14"/>
  <c r="K1087" i="14"/>
  <c r="K1369" i="14"/>
  <c r="K1451" i="14"/>
  <c r="K1333" i="14"/>
  <c r="K1415" i="14"/>
  <c r="K1455" i="14"/>
  <c r="K1459" i="14"/>
  <c r="K1413" i="14"/>
  <c r="K1429" i="14"/>
  <c r="K1441" i="14"/>
  <c r="K1449" i="14"/>
  <c r="K1453" i="14"/>
  <c r="K1457" i="14"/>
  <c r="K1331" i="14"/>
  <c r="K1411" i="14"/>
  <c r="K1427" i="14"/>
  <c r="K1431" i="14"/>
  <c r="I1332" i="14"/>
  <c r="N1332" i="14" s="1"/>
  <c r="I999" i="14"/>
  <c r="N999" i="14" s="1"/>
  <c r="K1300" i="14"/>
  <c r="K1375" i="14"/>
  <c r="H1383" i="14"/>
  <c r="H1220" i="14"/>
  <c r="I1220" i="14" s="1"/>
  <c r="N1220" i="14" s="1"/>
  <c r="K1028" i="14"/>
  <c r="K1392" i="14"/>
  <c r="I1311" i="14"/>
  <c r="N1311" i="14" s="1"/>
  <c r="I1255" i="14"/>
  <c r="N1255" i="14" s="1"/>
  <c r="K1117" i="14"/>
  <c r="K1215" i="14"/>
  <c r="K1203" i="14"/>
  <c r="K1217" i="14"/>
  <c r="H1122" i="14"/>
  <c r="H1150" i="14"/>
  <c r="I1094" i="14"/>
  <c r="N1094" i="14" s="1"/>
  <c r="K1178" i="14"/>
  <c r="K1123" i="14"/>
  <c r="K1164" i="14"/>
  <c r="K1119" i="14"/>
  <c r="K1142" i="14"/>
  <c r="K1104" i="14"/>
  <c r="K1111" i="14"/>
  <c r="B77" i="14"/>
  <c r="L5" i="33" s="1"/>
  <c r="L7" i="33" s="1"/>
  <c r="H1142" i="14"/>
  <c r="I1171" i="14"/>
  <c r="N1171" i="14" s="1"/>
  <c r="K1138" i="14"/>
  <c r="K1299" i="14"/>
  <c r="I1021" i="14"/>
  <c r="N1021" i="14" s="1"/>
  <c r="K1308" i="14"/>
  <c r="K1414" i="14"/>
  <c r="K1456" i="14"/>
  <c r="K1287" i="14"/>
  <c r="K1051" i="14"/>
  <c r="K1093" i="14"/>
  <c r="K1079" i="14"/>
  <c r="K1049" i="14"/>
  <c r="K1091" i="14"/>
  <c r="K1089" i="14"/>
  <c r="K1047" i="14"/>
  <c r="K1078" i="14"/>
  <c r="K1064" i="14"/>
  <c r="I991" i="14"/>
  <c r="N991" i="14" s="1"/>
  <c r="I989" i="14"/>
  <c r="I996" i="14"/>
  <c r="N996" i="14" s="1"/>
  <c r="I992" i="14"/>
  <c r="N992" i="14" s="1"/>
  <c r="K1315" i="14"/>
  <c r="K1351" i="14"/>
  <c r="K1317" i="14"/>
  <c r="K1027" i="14"/>
  <c r="K1374" i="14"/>
  <c r="K1248" i="14"/>
  <c r="K1254" i="14"/>
  <c r="I1272" i="14"/>
  <c r="N1272" i="14" s="1"/>
  <c r="H1164" i="14"/>
  <c r="H1367" i="14"/>
  <c r="I1136" i="14"/>
  <c r="N1136" i="14" s="1"/>
  <c r="H1157" i="14"/>
  <c r="H1331" i="14"/>
  <c r="I1331" i="14" s="1"/>
  <c r="N1331" i="14" s="1"/>
  <c r="H1304" i="14"/>
  <c r="H1360" i="14"/>
  <c r="H1269" i="14"/>
  <c r="I1101" i="14"/>
  <c r="N1101" i="14" s="1"/>
  <c r="H1276" i="14"/>
  <c r="H1290" i="14"/>
  <c r="I1108" i="14"/>
  <c r="N1108" i="14" s="1"/>
  <c r="I1252" i="14"/>
  <c r="N1252" i="14" s="1"/>
  <c r="K1192" i="14"/>
  <c r="K1200" i="14"/>
  <c r="K1204" i="14"/>
  <c r="K1271" i="14"/>
  <c r="K1385" i="14"/>
  <c r="K1246" i="14"/>
  <c r="K1224" i="14"/>
  <c r="K1228" i="14"/>
  <c r="K1236" i="14"/>
  <c r="K1244" i="14"/>
  <c r="K1260" i="14"/>
  <c r="K1238" i="14"/>
  <c r="K1194" i="14"/>
  <c r="K1202" i="14"/>
  <c r="K1257" i="14"/>
  <c r="K1218" i="14"/>
  <c r="K1230" i="14"/>
  <c r="K1420" i="14"/>
  <c r="K1424" i="14"/>
  <c r="K1446" i="14"/>
  <c r="K1454" i="14"/>
  <c r="K1432" i="14"/>
  <c r="K1400" i="14"/>
  <c r="K1404" i="14"/>
  <c r="K1434" i="14"/>
  <c r="K1438" i="14"/>
  <c r="K1418" i="14"/>
  <c r="K1426" i="14"/>
  <c r="K1448" i="14"/>
  <c r="K1452" i="14"/>
  <c r="I975" i="14"/>
  <c r="N975" i="14" s="1"/>
  <c r="I1129" i="14"/>
  <c r="N1129" i="14" s="1"/>
  <c r="H1296" i="14"/>
  <c r="I1325" i="14"/>
  <c r="N1325" i="14"/>
  <c r="I1115" i="14"/>
  <c r="N1115" i="14" s="1"/>
  <c r="K1450" i="14"/>
  <c r="K1436" i="14"/>
  <c r="K1422" i="14"/>
  <c r="K1444" i="14"/>
  <c r="K1458" i="14"/>
  <c r="K1150" i="14"/>
  <c r="K1220" i="14"/>
  <c r="K1122" i="14"/>
  <c r="K1206" i="14"/>
  <c r="K1262" i="14"/>
  <c r="I1190" i="14"/>
  <c r="N1190" i="14" s="1"/>
  <c r="H1380" i="14"/>
  <c r="H1007" i="14"/>
  <c r="H1456" i="14"/>
  <c r="H1414" i="14"/>
  <c r="I1414" i="14" s="1"/>
  <c r="N1414" i="14" s="1"/>
  <c r="H1308" i="14"/>
  <c r="H1362" i="14"/>
  <c r="H1287" i="14"/>
  <c r="I1345" i="14"/>
  <c r="N1345" i="14" s="1"/>
  <c r="H1299" i="14"/>
  <c r="I1299" i="14" s="1"/>
  <c r="N1299" i="14" s="1"/>
  <c r="K1025" i="14"/>
  <c r="K966" i="14"/>
  <c r="K1060" i="14"/>
  <c r="K1062" i="14"/>
  <c r="K1036" i="14"/>
  <c r="K1046" i="14"/>
  <c r="K1056" i="14"/>
  <c r="K1068" i="14"/>
  <c r="K1074" i="14"/>
  <c r="K1054" i="14"/>
  <c r="K1076" i="14"/>
  <c r="I1014" i="14"/>
  <c r="N1014" i="14" s="1"/>
  <c r="K1058" i="14"/>
  <c r="K1023" i="14"/>
  <c r="K968" i="14"/>
  <c r="K1072" i="14"/>
  <c r="K1066" i="14"/>
  <c r="H1064" i="14"/>
  <c r="I1064" i="14" s="1"/>
  <c r="N1064" i="14" s="1"/>
  <c r="H1078" i="14"/>
  <c r="I1000" i="14"/>
  <c r="N1000" i="14" s="1"/>
  <c r="I1010" i="14"/>
  <c r="N1010" i="14" s="1"/>
  <c r="I982" i="14"/>
  <c r="N982" i="14" s="1"/>
  <c r="I1003" i="14"/>
  <c r="N1003" i="14" s="1"/>
  <c r="I961" i="14"/>
  <c r="N961" i="14" s="1"/>
  <c r="I1008" i="14"/>
  <c r="N1008" i="14" s="1"/>
  <c r="I973" i="14"/>
  <c r="N973" i="14" s="1"/>
  <c r="I1015" i="14"/>
  <c r="N1015" i="14" s="1"/>
  <c r="I957" i="14"/>
  <c r="N957" i="14" s="1"/>
  <c r="H2135" i="14"/>
  <c r="I2135" i="14" s="1"/>
  <c r="N2135" i="14" s="1"/>
  <c r="H2118" i="14"/>
  <c r="K2118" i="14"/>
  <c r="H2127" i="14"/>
  <c r="K2127" i="14"/>
  <c r="H2097" i="14"/>
  <c r="I2097" i="14" s="1"/>
  <c r="N2097" i="14" s="1"/>
  <c r="K2034" i="14"/>
  <c r="H1722" i="14"/>
  <c r="I1539" i="14"/>
  <c r="N1539" i="14" s="1"/>
  <c r="I2018" i="14"/>
  <c r="N2018" i="14" s="1"/>
  <c r="H2122" i="14"/>
  <c r="I2026" i="14"/>
  <c r="N2026" i="14" s="1"/>
  <c r="K2061" i="14"/>
  <c r="K2027" i="14"/>
  <c r="K2087" i="14"/>
  <c r="H1692" i="14"/>
  <c r="I1602" i="14"/>
  <c r="N1602" i="14" s="1"/>
  <c r="K1722" i="14"/>
  <c r="I1951" i="14"/>
  <c r="N1951" i="14" s="1"/>
  <c r="I1952" i="14"/>
  <c r="N1952" i="14" s="1"/>
  <c r="I1942" i="14"/>
  <c r="N1942" i="14" s="1"/>
  <c r="I2004" i="14"/>
  <c r="N2004" i="14" s="1"/>
  <c r="I2011" i="14"/>
  <c r="N2011" i="14" s="1"/>
  <c r="I1990" i="14"/>
  <c r="I1983" i="14"/>
  <c r="N1983" i="14" s="1"/>
  <c r="I1997" i="14"/>
  <c r="N1997" i="14" s="1"/>
  <c r="I1969" i="14"/>
  <c r="N1969" i="14" s="1"/>
  <c r="I1938" i="14"/>
  <c r="N1938" i="14" s="1"/>
  <c r="I1917" i="14"/>
  <c r="N1917" i="14" s="1"/>
  <c r="I1912" i="14"/>
  <c r="N1912" i="14" s="1"/>
  <c r="I1926" i="14"/>
  <c r="N1926" i="14" s="1"/>
  <c r="I1935" i="14"/>
  <c r="N1935" i="14" s="1"/>
  <c r="I1910" i="14"/>
  <c r="N1910" i="14" s="1"/>
  <c r="I1939" i="14"/>
  <c r="N1939" i="14" s="1"/>
  <c r="I1924" i="14"/>
  <c r="N1924" i="14" s="1"/>
  <c r="I1914" i="14"/>
  <c r="N1914" i="14" s="1"/>
  <c r="I1918" i="14"/>
  <c r="N1918" i="14" s="1"/>
  <c r="I1925" i="14"/>
  <c r="N1925" i="14" s="1"/>
  <c r="I1933" i="14"/>
  <c r="N1933" i="14" s="1"/>
  <c r="H1769" i="14"/>
  <c r="I2108" i="14"/>
  <c r="N2108" i="14" s="1"/>
  <c r="K1769" i="14"/>
  <c r="I1884" i="14"/>
  <c r="N1884" i="14" s="1"/>
  <c r="I1883" i="14"/>
  <c r="N1883" i="14" s="1"/>
  <c r="I1890" i="14"/>
  <c r="N1890" i="14" s="1"/>
  <c r="I1886" i="14"/>
  <c r="N1886" i="14" s="1"/>
  <c r="I1879" i="14"/>
  <c r="N1879" i="14" s="1"/>
  <c r="I1877" i="14"/>
  <c r="N1877" i="14" s="1"/>
  <c r="I1862" i="14"/>
  <c r="N1862" i="14" s="1"/>
  <c r="I1864" i="14"/>
  <c r="N1864" i="14" s="1"/>
  <c r="I1854" i="14"/>
  <c r="N1854" i="14" s="1"/>
  <c r="I1856" i="14"/>
  <c r="N1856" i="14" s="1"/>
  <c r="I1851" i="14"/>
  <c r="N1851" i="14" s="1"/>
  <c r="I1663" i="14"/>
  <c r="N1663" i="14" s="1"/>
  <c r="I1693" i="14"/>
  <c r="N1693" i="14" s="1"/>
  <c r="I1662" i="14"/>
  <c r="N1662" i="14" s="1"/>
  <c r="I1677" i="14"/>
  <c r="N1677" i="14" s="1"/>
  <c r="I1658" i="14"/>
  <c r="N1658" i="14" s="1"/>
  <c r="I1679" i="14"/>
  <c r="N1679" i="14" s="1"/>
  <c r="I1691" i="14"/>
  <c r="I1715" i="14"/>
  <c r="N1715" i="14" s="1"/>
  <c r="I1718" i="14"/>
  <c r="N1718" i="14" s="1"/>
  <c r="I1683" i="14"/>
  <c r="N1683" i="14" s="1"/>
  <c r="I1664" i="14"/>
  <c r="N1664" i="14" s="1"/>
  <c r="I1711" i="14"/>
  <c r="N1711" i="14" s="1"/>
  <c r="I1733" i="14"/>
  <c r="N1733" i="14" s="1"/>
  <c r="I1700" i="14"/>
  <c r="N1700" i="14" s="1"/>
  <c r="I1552" i="14"/>
  <c r="N1552" i="14" s="1"/>
  <c r="H1596" i="14"/>
  <c r="I1600" i="14"/>
  <c r="N1600" i="14" s="1"/>
  <c r="I1580" i="14"/>
  <c r="N1580" i="14" s="1"/>
  <c r="K1782" i="14"/>
  <c r="I1777" i="14"/>
  <c r="N1777" i="14"/>
  <c r="K1594" i="14"/>
  <c r="K1562" i="14"/>
  <c r="H1562" i="14"/>
  <c r="I1559" i="14"/>
  <c r="N1559" i="14" s="1"/>
  <c r="K1579" i="14"/>
  <c r="H1579" i="14"/>
  <c r="I1405" i="14"/>
  <c r="N1405" i="14" s="1"/>
  <c r="H1560" i="14"/>
  <c r="I1560" i="14" s="1"/>
  <c r="N1560" i="14" s="1"/>
  <c r="K1560" i="14"/>
  <c r="I1572" i="14"/>
  <c r="N1572" i="14" s="1"/>
  <c r="I1528" i="14"/>
  <c r="N1528" i="14" s="1"/>
  <c r="I1540" i="14"/>
  <c r="N1540" i="14" s="1"/>
  <c r="H1719" i="14"/>
  <c r="I1719" i="14" s="1"/>
  <c r="N1719" i="14" s="1"/>
  <c r="I1526" i="14"/>
  <c r="K1525" i="14"/>
  <c r="K1800" i="14"/>
  <c r="H1800" i="14"/>
  <c r="I1501" i="14"/>
  <c r="N1501" i="14" s="1"/>
  <c r="K1802" i="14"/>
  <c r="I1608" i="14"/>
  <c r="N1608" i="14" s="1"/>
  <c r="H1755" i="14"/>
  <c r="H1500" i="14"/>
  <c r="N1605" i="14"/>
  <c r="K1500" i="14"/>
  <c r="K1596" i="14"/>
  <c r="K1603" i="14"/>
  <c r="H1529" i="14"/>
  <c r="I1536" i="14"/>
  <c r="N1536" i="14" s="1"/>
  <c r="K1754" i="14"/>
  <c r="K1732" i="14"/>
  <c r="K1597" i="14"/>
  <c r="K1792" i="14"/>
  <c r="H1594" i="14"/>
  <c r="H1525" i="14"/>
  <c r="K1803" i="14"/>
  <c r="K1607" i="14"/>
  <c r="H1721" i="14"/>
  <c r="K1705" i="14"/>
  <c r="K1696" i="14"/>
  <c r="H1696" i="14"/>
  <c r="K1721" i="14"/>
  <c r="H1714" i="14"/>
  <c r="I1598" i="14"/>
  <c r="N1598" i="14" s="1"/>
  <c r="K1511" i="14"/>
  <c r="K1714" i="14"/>
  <c r="H1747" i="14"/>
  <c r="I1494" i="14"/>
  <c r="N1494" i="14" s="1"/>
  <c r="H1801" i="14"/>
  <c r="H1705" i="14"/>
  <c r="K1790" i="14"/>
  <c r="K1768" i="14"/>
  <c r="K1784" i="14"/>
  <c r="H1732" i="14"/>
  <c r="K1719" i="14"/>
  <c r="H1776" i="14"/>
  <c r="I1776" i="14" s="1"/>
  <c r="N1776" i="14" s="1"/>
  <c r="H1735" i="14"/>
  <c r="K1384" i="14"/>
  <c r="K1735" i="14"/>
  <c r="H1762" i="14"/>
  <c r="H1754" i="14"/>
  <c r="K1747" i="14"/>
  <c r="K1801" i="14"/>
  <c r="K1727" i="14"/>
  <c r="K1776" i="14"/>
  <c r="I1783" i="14"/>
  <c r="N1783" i="14" s="1"/>
  <c r="K1755" i="14"/>
  <c r="K1762" i="14"/>
  <c r="H1790" i="14"/>
  <c r="K1748" i="14"/>
  <c r="H1799" i="14"/>
  <c r="I1799" i="14" s="1"/>
  <c r="N1799" i="14" s="1"/>
  <c r="K1799" i="14"/>
  <c r="I1615" i="14"/>
  <c r="N1615" i="14" s="1"/>
  <c r="I1496" i="14"/>
  <c r="N1496" i="14" s="1"/>
  <c r="I1523" i="14"/>
  <c r="N1523" i="14" s="1"/>
  <c r="H1426" i="14"/>
  <c r="H1419" i="14"/>
  <c r="K1419" i="14"/>
  <c r="H1356" i="14"/>
  <c r="H1407" i="14"/>
  <c r="H1757" i="14"/>
  <c r="H1678" i="14"/>
  <c r="K1407" i="14"/>
  <c r="K1757" i="14"/>
  <c r="K1692" i="14"/>
  <c r="K1734" i="14"/>
  <c r="H1398" i="14"/>
  <c r="H1748" i="14"/>
  <c r="H1551" i="14"/>
  <c r="I1447" i="14"/>
  <c r="N1447" i="14" s="1"/>
  <c r="I1433" i="14"/>
  <c r="N1433" i="14" s="1"/>
  <c r="K1538" i="14"/>
  <c r="K1356" i="14"/>
  <c r="K1398" i="14"/>
  <c r="I1709" i="14"/>
  <c r="N1709" i="14" s="1"/>
  <c r="I1828" i="14"/>
  <c r="N1828" i="14" s="1"/>
  <c r="I1723" i="14"/>
  <c r="N1723" i="14" s="1"/>
  <c r="I1702" i="14"/>
  <c r="I1681" i="14"/>
  <c r="N1681" i="14" s="1"/>
  <c r="I1821" i="14"/>
  <c r="N1821" i="14" s="1"/>
  <c r="I1793" i="14"/>
  <c r="N1793" i="14" s="1"/>
  <c r="I1695" i="14"/>
  <c r="N1695" i="14" s="1"/>
  <c r="I1660" i="14"/>
  <c r="N1660" i="14" s="1"/>
  <c r="I1667" i="14"/>
  <c r="N1667" i="14" s="1"/>
  <c r="I1625" i="14"/>
  <c r="I1737" i="14"/>
  <c r="N1737" i="14" s="1"/>
  <c r="I1639" i="14"/>
  <c r="N1639" i="14" s="1"/>
  <c r="I1653" i="14"/>
  <c r="I1618" i="14"/>
  <c r="N1618" i="14" s="1"/>
  <c r="I1565" i="14"/>
  <c r="N1565" i="14" s="1"/>
  <c r="I1127" i="14"/>
  <c r="N1127" i="14"/>
  <c r="K1493" i="14"/>
  <c r="I1261" i="14"/>
  <c r="N1261" i="14" s="1"/>
  <c r="K1349" i="14"/>
  <c r="K1551" i="14"/>
  <c r="K1319" i="14"/>
  <c r="K1529" i="14"/>
  <c r="K1590" i="14"/>
  <c r="I1363" i="14"/>
  <c r="N1363" i="14" s="1"/>
  <c r="I1532" i="14"/>
  <c r="N1532" i="14" s="1"/>
  <c r="H1268" i="14"/>
  <c r="I1268" i="14" s="1"/>
  <c r="N1268" i="14" s="1"/>
  <c r="I1478" i="14"/>
  <c r="N1478" i="14" s="1"/>
  <c r="I1481" i="14"/>
  <c r="N1481" i="14" s="1"/>
  <c r="I1160" i="14"/>
  <c r="N1160" i="14" s="1"/>
  <c r="K1390" i="14"/>
  <c r="H1275" i="14"/>
  <c r="I1485" i="14"/>
  <c r="N1485" i="14" s="1"/>
  <c r="I1364" i="14"/>
  <c r="N1364" i="14" s="1"/>
  <c r="H1342" i="14"/>
  <c r="H1538" i="14"/>
  <c r="H1493" i="14"/>
  <c r="H1321" i="14"/>
  <c r="H1511" i="14"/>
  <c r="K1294" i="14"/>
  <c r="K1280" i="14"/>
  <c r="I1370" i="14"/>
  <c r="N1370" i="14" s="1"/>
  <c r="H1280" i="14"/>
  <c r="K1386" i="14"/>
  <c r="I1307" i="14"/>
  <c r="N1307" i="14" s="1"/>
  <c r="H1386" i="14"/>
  <c r="I1169" i="14"/>
  <c r="N1169" i="14" s="1"/>
  <c r="H1294" i="14"/>
  <c r="K1301" i="14"/>
  <c r="K1321" i="14"/>
  <c r="K1328" i="14"/>
  <c r="K1342" i="14"/>
  <c r="H1335" i="14"/>
  <c r="K1292" i="14"/>
  <c r="H1292" i="14"/>
  <c r="I1314" i="14"/>
  <c r="N1314" i="14" s="1"/>
  <c r="I1146" i="14"/>
  <c r="N1146" i="14" s="1"/>
  <c r="H1349" i="14"/>
  <c r="K1322" i="14"/>
  <c r="I1201" i="14"/>
  <c r="N1201" i="14" s="1"/>
  <c r="I1208" i="14"/>
  <c r="N1208" i="14"/>
  <c r="H1203" i="14"/>
  <c r="K1306" i="14"/>
  <c r="H1306" i="14"/>
  <c r="K1283" i="14"/>
  <c r="I1167" i="14"/>
  <c r="N1167" i="14" s="1"/>
  <c r="H1168" i="14"/>
  <c r="I1125" i="14"/>
  <c r="N1125" i="14" s="1"/>
  <c r="H1202" i="14"/>
  <c r="I1158" i="14"/>
  <c r="H1301" i="14"/>
  <c r="I1210" i="14"/>
  <c r="N1210" i="14" s="1"/>
  <c r="I1196" i="14"/>
  <c r="N1196" i="14" s="1"/>
  <c r="I1154" i="14"/>
  <c r="N1154" i="14" s="1"/>
  <c r="I1153" i="14"/>
  <c r="N1153" i="14" s="1"/>
  <c r="K1170" i="14"/>
  <c r="K1344" i="14"/>
  <c r="K1152" i="14"/>
  <c r="K1172" i="14"/>
  <c r="K1302" i="14"/>
  <c r="I1173" i="14"/>
  <c r="N1173" i="14" s="1"/>
  <c r="I1151" i="14"/>
  <c r="N1151" i="14" s="1"/>
  <c r="H1172" i="14"/>
  <c r="H1388" i="14"/>
  <c r="I1165" i="14"/>
  <c r="N1165" i="14"/>
  <c r="I993" i="14"/>
  <c r="N993" i="14" s="1"/>
  <c r="I1147" i="14"/>
  <c r="N1147" i="14" s="1"/>
  <c r="I1133" i="14"/>
  <c r="N1133" i="14" s="1"/>
  <c r="K1362" i="14"/>
  <c r="K1380" i="14"/>
  <c r="K1155" i="14"/>
  <c r="I1134" i="14"/>
  <c r="N1134" i="14" s="1"/>
  <c r="H1155" i="14"/>
  <c r="H1119" i="14"/>
  <c r="I1175" i="14"/>
  <c r="N1175" i="14" s="1"/>
  <c r="H1159" i="14"/>
  <c r="I1179" i="14"/>
  <c r="N1179" i="14" s="1"/>
  <c r="K1284" i="14"/>
  <c r="K1140" i="14"/>
  <c r="K1388" i="14"/>
  <c r="K1371" i="14"/>
  <c r="K1377" i="14"/>
  <c r="H1344" i="14"/>
  <c r="K1174" i="14"/>
  <c r="K1166" i="14"/>
  <c r="K1180" i="14"/>
  <c r="K1159" i="14"/>
  <c r="I1139" i="14"/>
  <c r="N1139" i="14" s="1"/>
  <c r="H1140" i="14"/>
  <c r="H1371" i="14"/>
  <c r="H1322" i="14"/>
  <c r="H1174" i="14"/>
  <c r="H1284" i="14"/>
  <c r="I1226" i="14"/>
  <c r="H1126" i="14"/>
  <c r="K1176" i="14"/>
  <c r="K1335" i="14"/>
  <c r="K1126" i="14"/>
  <c r="H1166" i="14"/>
  <c r="K1148" i="14"/>
  <c r="K1162" i="14"/>
  <c r="K1168" i="14"/>
  <c r="H1152" i="14"/>
  <c r="H1180" i="14"/>
  <c r="I1355" i="14"/>
  <c r="N1355" i="14" s="1"/>
  <c r="H1148" i="14"/>
  <c r="H1162" i="14"/>
  <c r="H1176" i="14"/>
  <c r="H984" i="14"/>
  <c r="I984" i="14" s="1"/>
  <c r="N984" i="14" s="1"/>
  <c r="I985" i="14"/>
  <c r="N985" i="14" s="1"/>
  <c r="I987" i="14"/>
  <c r="N987" i="14" s="1"/>
  <c r="H986" i="14"/>
  <c r="I986" i="14" s="1"/>
  <c r="N986" i="14" s="1"/>
  <c r="H1138" i="14"/>
  <c r="H1283" i="14"/>
  <c r="I1442" i="14"/>
  <c r="N1442" i="14"/>
  <c r="I972" i="14"/>
  <c r="N972" i="14" s="1"/>
  <c r="H1319" i="14"/>
  <c r="I979" i="14"/>
  <c r="N979" i="14" s="1"/>
  <c r="H1328" i="14"/>
  <c r="H1377" i="14"/>
  <c r="I956" i="14"/>
  <c r="N956" i="14" s="1"/>
  <c r="H1302" i="14"/>
  <c r="I1428" i="14"/>
  <c r="N1428" i="14" s="1"/>
  <c r="I1463" i="14"/>
  <c r="N1463" i="14" s="1"/>
  <c r="I1050" i="14"/>
  <c r="N1050" i="14" s="1"/>
  <c r="I959" i="14"/>
  <c r="N959" i="14" s="1"/>
  <c r="I1098" i="14"/>
  <c r="I1092" i="14"/>
  <c r="N1092" i="14" s="1"/>
  <c r="I2025" i="14"/>
  <c r="N2025" i="14" s="1"/>
  <c r="I1720" i="14"/>
  <c r="N1720" i="14" s="1"/>
  <c r="I1685" i="14"/>
  <c r="N1685" i="14" s="1"/>
  <c r="I1697" i="14"/>
  <c r="N1697" i="14" s="1"/>
  <c r="I1706" i="14"/>
  <c r="N1706" i="14" s="1"/>
  <c r="I1699" i="14"/>
  <c r="N1699" i="14" s="1"/>
  <c r="I1713" i="14"/>
  <c r="N1713" i="14" s="1"/>
  <c r="I1509" i="14"/>
  <c r="N1509" i="14" s="1"/>
  <c r="I1518" i="14"/>
  <c r="N1518" i="14" s="1"/>
  <c r="I1545" i="14"/>
  <c r="N1545" i="14" s="1"/>
  <c r="I1581" i="14"/>
  <c r="N1581" i="14" s="1"/>
  <c r="I1471" i="14"/>
  <c r="N1471" i="14" s="1"/>
  <c r="I1561" i="14"/>
  <c r="N1561" i="14" s="1"/>
  <c r="I1554" i="14"/>
  <c r="N1554" i="14" s="1"/>
  <c r="I1544" i="14"/>
  <c r="N1544" i="14" s="1"/>
  <c r="I1391" i="14"/>
  <c r="N1391" i="14" s="1"/>
  <c r="I1502" i="14"/>
  <c r="N1502" i="14" s="1"/>
  <c r="I1516" i="14"/>
  <c r="N1516" i="14"/>
  <c r="I1574" i="14"/>
  <c r="N1574" i="14" s="1"/>
  <c r="I1334" i="14"/>
  <c r="N1334" i="14" s="1"/>
  <c r="I1387" i="14"/>
  <c r="N1387" i="14" s="1"/>
  <c r="I1145" i="14"/>
  <c r="N1145" i="14" s="1"/>
  <c r="I1110" i="14"/>
  <c r="N1110" i="14" s="1"/>
  <c r="I1124" i="14"/>
  <c r="N1124" i="14" s="1"/>
  <c r="I1103" i="14"/>
  <c r="N1103" i="14" s="1"/>
  <c r="I1131" i="14"/>
  <c r="N1131" i="14" s="1"/>
  <c r="I1293" i="14"/>
  <c r="N1293" i="14" s="1"/>
  <c r="I1341" i="14"/>
  <c r="N1341" i="14" s="1"/>
  <c r="I1558" i="14"/>
  <c r="N1558" i="14" s="1"/>
  <c r="I1546" i="14"/>
  <c r="N1546" i="14" s="1"/>
  <c r="H2027" i="14"/>
  <c r="H2014" i="14"/>
  <c r="I2023" i="14"/>
  <c r="N2023" i="14" s="1"/>
  <c r="I2019" i="14"/>
  <c r="N2019" i="14" s="1"/>
  <c r="I2015" i="14"/>
  <c r="N2015" i="14" s="1"/>
  <c r="H2073" i="14"/>
  <c r="H1901" i="14"/>
  <c r="H1915" i="14"/>
  <c r="H1738" i="14"/>
  <c r="H1852" i="14"/>
  <c r="I1646" i="14"/>
  <c r="N1646" i="14" s="1"/>
  <c r="I2119" i="14"/>
  <c r="N2119" i="14" s="1"/>
  <c r="K2135" i="14"/>
  <c r="Y2135" i="14" s="1"/>
  <c r="I2022" i="14"/>
  <c r="N2022" i="14" s="1"/>
  <c r="I1908" i="14"/>
  <c r="N1908" i="14" s="1"/>
  <c r="I1922" i="14"/>
  <c r="N1922" i="14" s="1"/>
  <c r="I1936" i="14"/>
  <c r="N1936" i="14" s="1"/>
  <c r="I1929" i="14"/>
  <c r="N1929" i="14" s="1"/>
  <c r="H1734" i="14"/>
  <c r="H1727" i="14"/>
  <c r="K1678" i="14"/>
  <c r="K1684" i="14"/>
  <c r="I1894" i="14"/>
  <c r="N1894" i="14" s="1"/>
  <c r="I1880" i="14"/>
  <c r="N1880" i="14" s="1"/>
  <c r="I1887" i="14"/>
  <c r="N1887" i="14" s="1"/>
  <c r="I1873" i="14"/>
  <c r="N1873" i="14" s="1"/>
  <c r="I1866" i="14"/>
  <c r="N1866" i="14" s="1"/>
  <c r="I1741" i="14"/>
  <c r="N1741" i="14" s="1"/>
  <c r="I1587" i="14"/>
  <c r="N1587" i="14" s="1"/>
  <c r="B1276" i="37"/>
  <c r="B1274" i="37"/>
  <c r="I2029" i="14"/>
  <c r="N2029" i="14" s="1"/>
  <c r="H2028" i="14"/>
  <c r="R2297" i="14"/>
  <c r="R2162" i="14"/>
  <c r="R2190" i="14"/>
  <c r="R2054" i="14"/>
  <c r="R2187" i="14"/>
  <c r="R2148" i="14"/>
  <c r="R2136" i="14"/>
  <c r="P2070" i="14"/>
  <c r="P2054" i="14"/>
  <c r="R2107" i="14"/>
  <c r="R2085" i="14"/>
  <c r="P2305" i="14"/>
  <c r="P2107" i="14"/>
  <c r="P2190" i="14"/>
  <c r="P2162" i="14"/>
  <c r="P2041" i="14"/>
  <c r="P2085" i="14"/>
  <c r="I2030" i="14"/>
  <c r="N2030" i="14" s="1"/>
  <c r="B1275" i="37"/>
  <c r="H2136" i="14"/>
  <c r="I2136" i="14" s="1"/>
  <c r="N2136" i="14" s="1"/>
  <c r="H2160" i="14"/>
  <c r="I2160" i="14" s="1"/>
  <c r="N2160" i="14" s="1"/>
  <c r="I2036" i="14"/>
  <c r="N2036" i="14" s="1"/>
  <c r="I2033" i="14"/>
  <c r="N2033" i="14" s="1"/>
  <c r="I2037" i="14"/>
  <c r="N2037" i="14" s="1"/>
  <c r="I2032" i="14"/>
  <c r="N2032" i="14" s="1"/>
  <c r="I2035" i="14"/>
  <c r="N2035" i="14" s="1"/>
  <c r="B1280" i="37"/>
  <c r="B1278" i="37"/>
  <c r="B1281" i="37"/>
  <c r="B1282" i="37"/>
  <c r="B1277" i="37"/>
  <c r="B1279" i="37"/>
  <c r="B1283" i="37"/>
  <c r="P2050" i="14"/>
  <c r="R2083" i="14"/>
  <c r="P2078" i="14"/>
  <c r="P2053" i="14"/>
  <c r="R2094" i="14"/>
  <c r="R2277" i="14"/>
  <c r="K2109" i="14"/>
  <c r="R2109" i="14"/>
  <c r="R2301" i="14"/>
  <c r="P2068" i="14"/>
  <c r="P2086" i="14"/>
  <c r="P2056" i="14"/>
  <c r="P2058" i="14"/>
  <c r="P2090" i="14"/>
  <c r="P2047" i="14"/>
  <c r="P2099" i="14"/>
  <c r="P2063" i="14"/>
  <c r="P2109" i="14"/>
  <c r="K2047" i="14"/>
  <c r="K2063" i="14"/>
  <c r="K2099" i="14"/>
  <c r="R2270" i="14"/>
  <c r="R2056" i="14"/>
  <c r="R2309" i="14"/>
  <c r="R2058" i="14"/>
  <c r="R2086" i="14"/>
  <c r="R2068" i="14"/>
  <c r="R2090" i="14"/>
  <c r="R2063" i="14"/>
  <c r="R2293" i="14"/>
  <c r="R2099" i="14"/>
  <c r="R2141" i="14"/>
  <c r="R2047" i="14"/>
  <c r="K2102" i="14"/>
  <c r="K2056" i="14"/>
  <c r="K2058" i="14"/>
  <c r="K2068" i="14"/>
  <c r="K2309" i="14"/>
  <c r="Y2309" i="14" s="1"/>
  <c r="K2086" i="14"/>
  <c r="I2043" i="14"/>
  <c r="N2043" i="14" s="1"/>
  <c r="I2040" i="14"/>
  <c r="N2040" i="14" s="1"/>
  <c r="H2099" i="14"/>
  <c r="I2099" i="14" s="1"/>
  <c r="N2099" i="14" s="1"/>
  <c r="I2042" i="14"/>
  <c r="N2042" i="14"/>
  <c r="I2305" i="14"/>
  <c r="N2305" i="14" s="1"/>
  <c r="H2041" i="14"/>
  <c r="K2303" i="14"/>
  <c r="Y2303" i="14" s="1"/>
  <c r="I2039" i="14"/>
  <c r="N2039" i="14" s="1"/>
  <c r="I2044" i="14"/>
  <c r="N2044" i="14"/>
  <c r="K2041" i="14"/>
  <c r="B1284" i="37"/>
  <c r="B1299" i="37"/>
  <c r="B1290" i="37"/>
  <c r="B2045" i="14"/>
  <c r="B1292" i="37"/>
  <c r="B1287" i="37"/>
  <c r="B1285" i="37"/>
  <c r="B1293" i="37"/>
  <c r="B1295" i="37"/>
  <c r="B1297" i="37"/>
  <c r="B1286" i="37"/>
  <c r="B1294" i="37"/>
  <c r="B1296" i="37"/>
  <c r="H2047" i="14"/>
  <c r="I2046" i="14"/>
  <c r="N2046" i="14" s="1"/>
  <c r="K2078" i="14"/>
  <c r="R2105" i="14"/>
  <c r="R2078" i="14"/>
  <c r="R2070" i="14"/>
  <c r="R2303" i="14"/>
  <c r="R2235" i="14"/>
  <c r="B1291" i="37"/>
  <c r="B1289" i="37"/>
  <c r="B1288" i="37"/>
  <c r="B1298" i="37"/>
  <c r="B2052" i="14"/>
  <c r="I2048" i="14"/>
  <c r="N2048" i="14" s="1"/>
  <c r="I2052" i="14"/>
  <c r="N2052" i="14" s="1"/>
  <c r="I2053" i="14"/>
  <c r="I2051" i="14"/>
  <c r="N2051" i="14"/>
  <c r="H2086" i="14"/>
  <c r="I2086" i="14" s="1"/>
  <c r="N2086" i="14" s="1"/>
  <c r="H2054" i="14"/>
  <c r="I2088" i="14"/>
  <c r="N2088" i="14" s="1"/>
  <c r="H2085" i="14"/>
  <c r="I2085" i="14" s="1"/>
  <c r="N2085" i="14" s="1"/>
  <c r="H2050" i="14"/>
  <c r="K2085" i="14"/>
  <c r="K2054" i="14"/>
  <c r="K2050" i="14"/>
  <c r="BB41" i="33"/>
  <c r="H2058" i="14"/>
  <c r="H2056" i="14"/>
  <c r="I2056" i="14" s="1"/>
  <c r="N2056" i="14" s="1"/>
  <c r="I2055" i="14"/>
  <c r="N2055" i="14" s="1"/>
  <c r="I2057" i="14"/>
  <c r="N2057" i="14" s="1"/>
  <c r="B1312" i="37"/>
  <c r="B1311" i="37"/>
  <c r="B1310" i="37"/>
  <c r="B2066" i="14"/>
  <c r="B1303" i="37"/>
  <c r="B1307" i="37"/>
  <c r="B1313" i="37"/>
  <c r="B1305" i="37"/>
  <c r="B1308" i="37"/>
  <c r="B1306" i="37"/>
  <c r="B1309" i="37"/>
  <c r="B1300" i="37"/>
  <c r="B1301" i="37"/>
  <c r="B1304" i="37"/>
  <c r="B1302" i="37"/>
  <c r="I2060" i="14"/>
  <c r="N2060" i="14" s="1"/>
  <c r="I2062" i="14"/>
  <c r="N2062" i="14" s="1"/>
  <c r="H2059" i="14"/>
  <c r="H2063" i="14"/>
  <c r="I2063" i="14" s="1"/>
  <c r="N2063" i="14" s="1"/>
  <c r="H2061" i="14"/>
  <c r="I2065" i="14"/>
  <c r="N2065" i="14" s="1"/>
  <c r="I2064" i="14"/>
  <c r="N2064" i="14" s="1"/>
  <c r="H2068" i="14"/>
  <c r="I2067" i="14"/>
  <c r="N2067" i="14"/>
  <c r="B1330" i="37"/>
  <c r="B1332" i="37"/>
  <c r="B1321" i="37"/>
  <c r="B1328" i="37"/>
  <c r="B1314" i="37"/>
  <c r="B1323" i="37"/>
  <c r="B1327" i="37"/>
  <c r="B1315" i="37"/>
  <c r="B1324" i="37"/>
  <c r="B1316" i="37"/>
  <c r="B1317" i="37"/>
  <c r="B2080" i="14"/>
  <c r="B1337" i="37"/>
  <c r="B1326" i="37"/>
  <c r="B1319" i="37"/>
  <c r="B1322" i="37"/>
  <c r="B1329" i="37"/>
  <c r="B1325" i="37"/>
  <c r="B1318" i="37"/>
  <c r="B1336" i="37"/>
  <c r="B1335" i="37"/>
  <c r="B1331" i="37"/>
  <c r="B1320" i="37"/>
  <c r="B1346" i="37"/>
  <c r="B1344" i="37"/>
  <c r="B2073" i="14"/>
  <c r="I2075" i="14"/>
  <c r="N2075" i="14" s="1"/>
  <c r="I2071" i="14"/>
  <c r="N2071" i="14" s="1"/>
  <c r="H2109" i="14"/>
  <c r="I2072" i="14"/>
  <c r="N2072" i="14" s="1"/>
  <c r="H2107" i="14"/>
  <c r="I2107" i="14" s="1"/>
  <c r="N2107" i="14" s="1"/>
  <c r="H2070" i="14"/>
  <c r="I2074" i="14"/>
  <c r="N2074" i="14" s="1"/>
  <c r="I2069" i="14"/>
  <c r="N2069" i="14" s="1"/>
  <c r="K2070" i="14"/>
  <c r="I2076" i="14"/>
  <c r="N2076" i="14" s="1"/>
  <c r="K2107" i="14"/>
  <c r="P2309" i="14"/>
  <c r="P2083" i="14"/>
  <c r="P2259" i="14"/>
  <c r="R2262" i="14"/>
  <c r="R2307" i="14"/>
  <c r="R1540" i="14"/>
  <c r="R1537" i="14"/>
  <c r="R1553" i="14"/>
  <c r="K34" i="21"/>
  <c r="K2333" i="14" s="1"/>
  <c r="Y2333" i="14" s="1"/>
  <c r="K47" i="21"/>
  <c r="K40" i="21"/>
  <c r="K15" i="21"/>
  <c r="K2235" i="14"/>
  <c r="Y2235" i="14" s="1"/>
  <c r="K2094" i="14"/>
  <c r="R2102" i="14"/>
  <c r="P2295" i="14"/>
  <c r="P2307" i="14"/>
  <c r="I2077" i="14"/>
  <c r="N2077" i="14" s="1"/>
  <c r="H2078" i="14"/>
  <c r="I2079" i="14"/>
  <c r="N2079" i="14" s="1"/>
  <c r="L28" i="18"/>
  <c r="L33" i="18"/>
  <c r="O24" i="18"/>
  <c r="O20" i="18"/>
  <c r="R11" i="18"/>
  <c r="O25" i="18"/>
  <c r="S4" i="18"/>
  <c r="O22" i="18"/>
  <c r="O21" i="18"/>
  <c r="O23" i="18"/>
  <c r="B91" i="37" l="1"/>
  <c r="B385" i="37"/>
  <c r="B376" i="37"/>
  <c r="B368" i="37"/>
  <c r="B361" i="37"/>
  <c r="B353" i="37"/>
  <c r="B328" i="37"/>
  <c r="B320" i="37"/>
  <c r="B312" i="37"/>
  <c r="B304" i="37"/>
  <c r="B294" i="37"/>
  <c r="B279" i="37"/>
  <c r="B271" i="37"/>
  <c r="B262" i="37"/>
  <c r="B239" i="37"/>
  <c r="B230" i="37"/>
  <c r="B206" i="37"/>
  <c r="B190" i="37"/>
  <c r="B180" i="37"/>
  <c r="B172" i="37"/>
  <c r="B164" i="37"/>
  <c r="B138" i="37"/>
  <c r="B130" i="37"/>
  <c r="B113" i="37"/>
  <c r="B105" i="37"/>
  <c r="B97" i="37"/>
  <c r="B74" i="37"/>
  <c r="B66" i="37"/>
  <c r="B57" i="37"/>
  <c r="B33" i="37"/>
  <c r="B26" i="37"/>
  <c r="B18" i="37"/>
  <c r="B9" i="37"/>
  <c r="B204" i="37"/>
  <c r="B181" i="37"/>
  <c r="B141" i="37"/>
  <c r="B391" i="37"/>
  <c r="B383" i="37"/>
  <c r="B375" i="37"/>
  <c r="B360" i="37"/>
  <c r="B352" i="37"/>
  <c r="B351" i="37"/>
  <c r="B338" i="37"/>
  <c r="B327" i="37"/>
  <c r="B311" i="37"/>
  <c r="B310" i="37"/>
  <c r="B302" i="37"/>
  <c r="B293" i="37"/>
  <c r="B285" i="37"/>
  <c r="B276" i="37"/>
  <c r="B267" i="37"/>
  <c r="B261" i="37"/>
  <c r="B253" i="37"/>
  <c r="B237" i="37"/>
  <c r="B229" i="37"/>
  <c r="B193" i="37"/>
  <c r="B183" i="37"/>
  <c r="B178" i="37"/>
  <c r="B165" i="37"/>
  <c r="B155" i="37"/>
  <c r="B154" i="37"/>
  <c r="B136" i="37"/>
  <c r="B128" i="37"/>
  <c r="B120" i="37"/>
  <c r="B108" i="37"/>
  <c r="B98" i="37"/>
  <c r="B95" i="37"/>
  <c r="B88" i="37"/>
  <c r="B80" i="37"/>
  <c r="B72" i="37"/>
  <c r="B58" i="37"/>
  <c r="B45" i="37"/>
  <c r="B40" i="37"/>
  <c r="B32" i="37"/>
  <c r="B24" i="37"/>
  <c r="B14" i="37"/>
  <c r="B7" i="37"/>
  <c r="B198" i="37"/>
  <c r="B235" i="37"/>
  <c r="B29" i="37"/>
  <c r="B362" i="37"/>
  <c r="B307" i="37"/>
  <c r="B55" i="37"/>
  <c r="B86" i="37"/>
  <c r="B140" i="37"/>
  <c r="V8" i="14"/>
  <c r="B387" i="37"/>
  <c r="B382" i="37"/>
  <c r="B372" i="37"/>
  <c r="B364" i="37"/>
  <c r="B355" i="37"/>
  <c r="B350" i="37"/>
  <c r="B342" i="37"/>
  <c r="B330" i="37"/>
  <c r="B325" i="37"/>
  <c r="B315" i="37"/>
  <c r="B308" i="37"/>
  <c r="B299" i="37"/>
  <c r="B292" i="37"/>
  <c r="B284" i="37"/>
  <c r="B275" i="37"/>
  <c r="B265" i="37"/>
  <c r="B256" i="37"/>
  <c r="B248" i="37"/>
  <c r="B244" i="37"/>
  <c r="B236" i="37"/>
  <c r="B227" i="37"/>
  <c r="B207" i="37"/>
  <c r="B201" i="37"/>
  <c r="B187" i="37"/>
  <c r="B174" i="37"/>
  <c r="B168" i="37"/>
  <c r="B157" i="37"/>
  <c r="B152" i="37"/>
  <c r="B131" i="37"/>
  <c r="B125" i="37"/>
  <c r="B116" i="37"/>
  <c r="B107" i="37"/>
  <c r="B103" i="37"/>
  <c r="B93" i="37"/>
  <c r="B84" i="37"/>
  <c r="B75" i="37"/>
  <c r="B71" i="37"/>
  <c r="B61" i="37"/>
  <c r="B51" i="37"/>
  <c r="B47" i="37"/>
  <c r="B36" i="37"/>
  <c r="B30" i="37"/>
  <c r="B22" i="37"/>
  <c r="B12" i="37"/>
  <c r="B6" i="37"/>
  <c r="B195" i="37"/>
  <c r="B268" i="37"/>
  <c r="B37" i="37"/>
  <c r="B366" i="37"/>
  <c r="B291" i="37"/>
  <c r="B251" i="37"/>
  <c r="B169" i="37"/>
  <c r="B127" i="37"/>
  <c r="B188" i="37"/>
  <c r="B189" i="37"/>
  <c r="B205" i="37"/>
  <c r="B301" i="37"/>
  <c r="B277" i="37"/>
  <c r="B390" i="37"/>
  <c r="B94" i="37"/>
  <c r="B367" i="37"/>
  <c r="B295" i="37"/>
  <c r="B324" i="37"/>
  <c r="B341" i="37"/>
  <c r="B161" i="37"/>
  <c r="B234" i="37"/>
  <c r="B313" i="37"/>
  <c r="B89" i="37"/>
  <c r="B258" i="37"/>
  <c r="B81" i="37"/>
  <c r="B300" i="37"/>
  <c r="B298" i="37"/>
  <c r="B347" i="37"/>
  <c r="B349" i="37"/>
  <c r="B147" i="37"/>
  <c r="B149" i="37"/>
  <c r="B158" i="37"/>
  <c r="B213" i="37"/>
  <c r="B215" i="37"/>
  <c r="B211" i="37"/>
  <c r="B202" i="37"/>
  <c r="B203" i="37"/>
  <c r="B233" i="37"/>
  <c r="B240" i="37"/>
  <c r="B23" i="37"/>
  <c r="B4" i="37"/>
  <c r="B48" i="37"/>
  <c r="B252" i="37"/>
  <c r="B296" i="37"/>
  <c r="B329" i="37"/>
  <c r="B25" i="37"/>
  <c r="B69" i="37"/>
  <c r="B109" i="37"/>
  <c r="B269" i="37"/>
  <c r="B306" i="37"/>
  <c r="B354" i="37"/>
  <c r="B386" i="37"/>
  <c r="B34" i="37"/>
  <c r="B78" i="37"/>
  <c r="B184" i="37"/>
  <c r="B282" i="37"/>
  <c r="B359" i="37"/>
  <c r="B79" i="37"/>
  <c r="B111" i="37"/>
  <c r="B332" i="37"/>
  <c r="B28" i="37"/>
  <c r="B319" i="37"/>
  <c r="B54" i="37"/>
  <c r="B272" i="37"/>
  <c r="B365" i="37"/>
  <c r="B177" i="37"/>
  <c r="B179" i="37"/>
  <c r="B114" i="37"/>
  <c r="B150" i="37"/>
  <c r="B135" i="37"/>
  <c r="B123" i="37"/>
  <c r="B119" i="37"/>
  <c r="B2325" i="14"/>
  <c r="B39" i="37"/>
  <c r="B68" i="37"/>
  <c r="B5" i="37"/>
  <c r="B370" i="37"/>
  <c r="B63" i="37"/>
  <c r="B278" i="37"/>
  <c r="B381" i="37"/>
  <c r="B191" i="37"/>
  <c r="B197" i="37"/>
  <c r="B224" i="37"/>
  <c r="B232" i="37"/>
  <c r="B11" i="37"/>
  <c r="B43" i="37"/>
  <c r="B112" i="37"/>
  <c r="B280" i="37"/>
  <c r="B317" i="37"/>
  <c r="B53" i="37"/>
  <c r="B257" i="37"/>
  <c r="B289" i="37"/>
  <c r="B374" i="37"/>
  <c r="B62" i="37"/>
  <c r="B102" i="37"/>
  <c r="B266" i="37"/>
  <c r="B323" i="37"/>
  <c r="B379" i="37"/>
  <c r="B101" i="37"/>
  <c r="B67" i="37"/>
  <c r="B99" i="37"/>
  <c r="B263" i="37"/>
  <c r="V5" i="14"/>
  <c r="B314" i="37"/>
  <c r="B283" i="37"/>
  <c r="V4" i="14"/>
  <c r="B133" i="37"/>
  <c r="B129" i="37"/>
  <c r="B144" i="37"/>
  <c r="B163" i="37"/>
  <c r="B162" i="37"/>
  <c r="B200" i="37"/>
  <c r="B220" i="37"/>
  <c r="B259" i="37"/>
  <c r="B176" i="37"/>
  <c r="B199" i="37"/>
  <c r="B194" i="37"/>
  <c r="B15" i="37"/>
  <c r="B321" i="37"/>
  <c r="B13" i="37"/>
  <c r="B346" i="37"/>
  <c r="B378" i="37"/>
  <c r="B106" i="37"/>
  <c r="B270" i="37"/>
  <c r="B316" i="37"/>
  <c r="B326" i="37"/>
  <c r="B303" i="37"/>
  <c r="B357" i="37"/>
  <c r="B389" i="37"/>
  <c r="B126" i="37"/>
  <c r="B143" i="37"/>
  <c r="B2388" i="14"/>
  <c r="B210" i="37"/>
  <c r="B209" i="37"/>
  <c r="B19" i="37"/>
  <c r="B21" i="37"/>
  <c r="B110" i="37"/>
  <c r="B274" i="37"/>
  <c r="B151" i="37"/>
  <c r="B520" i="37"/>
  <c r="L23" i="40"/>
  <c r="M23" i="40" s="1"/>
  <c r="N23" i="40" s="1"/>
  <c r="K2382" i="14"/>
  <c r="Y2382" i="14" s="1"/>
  <c r="K2557" i="14"/>
  <c r="Y2557" i="14" s="1"/>
  <c r="K2347" i="14"/>
  <c r="Y2347" i="14" s="1"/>
  <c r="K2529" i="14"/>
  <c r="Y2529" i="14" s="1"/>
  <c r="K2482" i="14"/>
  <c r="Y2482" i="14" s="1"/>
  <c r="K2375" i="14"/>
  <c r="Y2375" i="14" s="1"/>
  <c r="K2501" i="14"/>
  <c r="Y2501" i="14" s="1"/>
  <c r="K2476" i="14"/>
  <c r="Y2476" i="14" s="1"/>
  <c r="K2543" i="14"/>
  <c r="Y2543" i="14" s="1"/>
  <c r="K2361" i="14"/>
  <c r="Y2361" i="14" s="1"/>
  <c r="K2319" i="14"/>
  <c r="Y2319" i="14" s="1"/>
  <c r="K2389" i="14"/>
  <c r="Y2389" i="14" s="1"/>
  <c r="K2515" i="14"/>
  <c r="Y2515" i="14" s="1"/>
  <c r="M1" i="45"/>
  <c r="N49" i="21"/>
  <c r="R413" i="14" s="1"/>
  <c r="L15" i="40"/>
  <c r="N33" i="21"/>
  <c r="R2069" i="14" s="1"/>
  <c r="N25" i="21"/>
  <c r="R856" i="14" s="1"/>
  <c r="N11" i="21"/>
  <c r="R1528" i="14"/>
  <c r="N32" i="21"/>
  <c r="R2177" i="14" s="1"/>
  <c r="N13" i="21"/>
  <c r="R861" i="14" s="1"/>
  <c r="N14" i="21"/>
  <c r="R1232" i="14" s="1"/>
  <c r="F3" i="18"/>
  <c r="L29" i="21" s="1"/>
  <c r="N35" i="21"/>
  <c r="R1101" i="14" s="1"/>
  <c r="N18" i="21"/>
  <c r="R2016" i="14" s="1"/>
  <c r="N28" i="21"/>
  <c r="B941" i="37"/>
  <c r="B1471" i="37"/>
  <c r="B1495" i="37"/>
  <c r="B1487" i="37"/>
  <c r="B1479" i="37"/>
  <c r="B2395" i="14"/>
  <c r="B1494" i="37"/>
  <c r="B1486" i="37"/>
  <c r="B1478" i="37"/>
  <c r="B1493" i="37"/>
  <c r="B1485" i="37"/>
  <c r="B1477" i="37"/>
  <c r="B1492" i="37"/>
  <c r="B1484" i="37"/>
  <c r="B1476" i="37"/>
  <c r="B2346" i="14"/>
  <c r="B2318" i="14"/>
  <c r="B2262" i="14"/>
  <c r="B1491" i="37"/>
  <c r="B1483" i="37"/>
  <c r="B1475" i="37"/>
  <c r="B900" i="37"/>
  <c r="B2360" i="14"/>
  <c r="B2248" i="14"/>
  <c r="B1498" i="37"/>
  <c r="B1490" i="37"/>
  <c r="B1482" i="37"/>
  <c r="B499" i="37"/>
  <c r="B473" i="37"/>
  <c r="B451" i="37"/>
  <c r="B432" i="37"/>
  <c r="B409" i="37"/>
  <c r="B1250" i="37"/>
  <c r="B1497" i="37"/>
  <c r="B1489" i="37"/>
  <c r="B1481" i="37"/>
  <c r="V7" i="14"/>
  <c r="B1496" i="37"/>
  <c r="B1488" i="37"/>
  <c r="B1480" i="37"/>
  <c r="B670" i="37"/>
  <c r="B653" i="37"/>
  <c r="B621" i="37"/>
  <c r="B588" i="37"/>
  <c r="B530" i="37"/>
  <c r="B526" i="37"/>
  <c r="B509" i="37"/>
  <c r="B502" i="37"/>
  <c r="B493" i="37"/>
  <c r="B480" i="37"/>
  <c r="B475" i="37"/>
  <c r="B456" i="37"/>
  <c r="B433" i="37"/>
  <c r="B416" i="37"/>
  <c r="B411" i="37"/>
  <c r="B1473" i="37"/>
  <c r="B553" i="37"/>
  <c r="B443" i="37"/>
  <c r="B424" i="37"/>
  <c r="B403" i="37"/>
  <c r="B620" i="37"/>
  <c r="B1912" i="14"/>
  <c r="B2206" i="14"/>
  <c r="B969" i="37"/>
  <c r="B811" i="37"/>
  <c r="B807" i="37"/>
  <c r="B1121" i="37"/>
  <c r="B545" i="37"/>
  <c r="B796" i="37"/>
  <c r="B793" i="37"/>
  <c r="B1248" i="37"/>
  <c r="B1149" i="37"/>
  <c r="B673" i="37"/>
  <c r="B584" i="37"/>
  <c r="B508" i="37"/>
  <c r="B491" i="37"/>
  <c r="B490" i="37"/>
  <c r="B484" i="37"/>
  <c r="B465" i="37"/>
  <c r="B441" i="37"/>
  <c r="B401" i="37"/>
  <c r="B1062" i="37"/>
  <c r="B1055" i="37"/>
  <c r="B898" i="37"/>
  <c r="B873" i="37"/>
  <c r="B856" i="37"/>
  <c r="B814" i="37"/>
  <c r="B1219" i="37"/>
  <c r="B1120" i="37"/>
  <c r="B2276" i="14"/>
  <c r="B2234" i="14"/>
  <c r="B2220" i="14"/>
  <c r="U8" i="14"/>
  <c r="B518" i="37"/>
  <c r="B511" i="37"/>
  <c r="B448" i="37"/>
  <c r="B440" i="37"/>
  <c r="B419" i="37"/>
  <c r="B400" i="37"/>
  <c r="B1052" i="37"/>
  <c r="B925" i="37"/>
  <c r="B797" i="37"/>
  <c r="B772" i="37"/>
  <c r="B1425" i="37"/>
  <c r="B1241" i="37"/>
  <c r="B2297" i="14"/>
  <c r="B2290" i="14"/>
  <c r="B2283" i="14"/>
  <c r="R2214" i="14"/>
  <c r="L28" i="21"/>
  <c r="S13" i="18"/>
  <c r="B1474" i="37"/>
  <c r="B1439" i="37"/>
  <c r="B1472" i="37"/>
  <c r="N60" i="21"/>
  <c r="R2462" i="14" s="1"/>
  <c r="N53" i="21"/>
  <c r="L12" i="21"/>
  <c r="P917" i="14" s="1"/>
  <c r="N73" i="21"/>
  <c r="R956" i="14" s="1"/>
  <c r="L11" i="21"/>
  <c r="N70" i="21"/>
  <c r="L15" i="21"/>
  <c r="P1364" i="14" s="1"/>
  <c r="L50" i="21"/>
  <c r="P367" i="14" s="1"/>
  <c r="L59" i="21"/>
  <c r="P2456" i="14" s="1"/>
  <c r="L37" i="21"/>
  <c r="P947" i="14" s="1"/>
  <c r="L52" i="21"/>
  <c r="L13" i="21"/>
  <c r="P868" i="14" s="1"/>
  <c r="N72" i="21"/>
  <c r="R2473" i="14" s="1"/>
  <c r="N83" i="21"/>
  <c r="R1994" i="14" s="1"/>
  <c r="N68" i="21"/>
  <c r="N65" i="21"/>
  <c r="F7" i="18"/>
  <c r="L75" i="21" s="1"/>
  <c r="P441" i="14" s="1"/>
  <c r="N67" i="21"/>
  <c r="R488" i="14" s="1"/>
  <c r="N63" i="21"/>
  <c r="R2413" i="14" s="1"/>
  <c r="N66" i="21"/>
  <c r="R2119" i="14" s="1"/>
  <c r="L51" i="21"/>
  <c r="N51" i="21"/>
  <c r="R2447" i="14" s="1"/>
  <c r="L56" i="21"/>
  <c r="N56" i="21"/>
  <c r="L58" i="21"/>
  <c r="N74" i="21"/>
  <c r="R174" i="14" s="1"/>
  <c r="L53" i="21"/>
  <c r="P2071" i="14" s="1"/>
  <c r="N36" i="21"/>
  <c r="R1737" i="14" s="1"/>
  <c r="N23" i="21"/>
  <c r="R1100" i="14" s="1"/>
  <c r="R2139" i="14"/>
  <c r="N58" i="21"/>
  <c r="R905" i="14"/>
  <c r="L49" i="21"/>
  <c r="P860" i="14" s="1"/>
  <c r="N41" i="21"/>
  <c r="N42" i="21"/>
  <c r="N38" i="21"/>
  <c r="R1149" i="14" s="1"/>
  <c r="R812" i="14"/>
  <c r="F4" i="18"/>
  <c r="N44" i="21"/>
  <c r="N50" i="21"/>
  <c r="R486" i="14" s="1"/>
  <c r="N52" i="21"/>
  <c r="R2044" i="14" s="1"/>
  <c r="R1118" i="14"/>
  <c r="N21" i="21"/>
  <c r="R1279" i="14" s="1"/>
  <c r="N26" i="21"/>
  <c r="R814" i="14" s="1"/>
  <c r="L60" i="21"/>
  <c r="N19" i="21"/>
  <c r="R1804" i="14" s="1"/>
  <c r="N31" i="21"/>
  <c r="R1952" i="14" s="1"/>
  <c r="N17" i="21"/>
  <c r="L57" i="21"/>
  <c r="P2429" i="14" s="1"/>
  <c r="R1938" i="14"/>
  <c r="N37" i="21"/>
  <c r="R1492" i="14" s="1"/>
  <c r="N40" i="21"/>
  <c r="R1521" i="14" s="1"/>
  <c r="N59" i="21"/>
  <c r="R963" i="14"/>
  <c r="L54" i="21"/>
  <c r="N24" i="21"/>
  <c r="R793" i="14" s="1"/>
  <c r="N43" i="21"/>
  <c r="R1685" i="14"/>
  <c r="R1222" i="14"/>
  <c r="N20" i="21"/>
  <c r="R991" i="14" s="1"/>
  <c r="F6" i="18"/>
  <c r="L63" i="21" s="1"/>
  <c r="P2413" i="14" s="1"/>
  <c r="R957" i="14"/>
  <c r="B1467" i="37"/>
  <c r="B1459" i="37"/>
  <c r="B1466" i="37"/>
  <c r="B1458" i="37"/>
  <c r="B1465" i="37"/>
  <c r="B1457" i="37"/>
  <c r="B1464" i="37"/>
  <c r="B1456" i="37"/>
  <c r="B1463" i="37"/>
  <c r="B1447" i="37"/>
  <c r="B1470" i="37"/>
  <c r="B1462" i="37"/>
  <c r="B1446" i="37"/>
  <c r="B1469" i="37"/>
  <c r="B1461" i="37"/>
  <c r="B1440" i="37"/>
  <c r="B1468" i="37"/>
  <c r="B1460" i="37"/>
  <c r="B1438" i="37"/>
  <c r="B1455" i="37"/>
  <c r="B1432" i="37"/>
  <c r="B1454" i="37"/>
  <c r="B1431" i="37"/>
  <c r="B1448" i="37"/>
  <c r="B1430" i="37"/>
  <c r="B1429" i="37"/>
  <c r="B1452" i="37"/>
  <c r="B1444" i="37"/>
  <c r="B1436" i="37"/>
  <c r="B1428" i="37"/>
  <c r="B1437" i="37"/>
  <c r="B1451" i="37"/>
  <c r="B1443" i="37"/>
  <c r="B1435" i="37"/>
  <c r="B1427" i="37"/>
  <c r="B1445" i="37"/>
  <c r="B1450" i="37"/>
  <c r="B1442" i="37"/>
  <c r="B1434" i="37"/>
  <c r="B1426" i="37"/>
  <c r="B1453" i="37"/>
  <c r="B1449" i="37"/>
  <c r="B1441" i="37"/>
  <c r="B1433" i="37"/>
  <c r="B464" i="37"/>
  <c r="B650" i="37"/>
  <c r="B569" i="37"/>
  <c r="B496" i="37"/>
  <c r="B470" i="37"/>
  <c r="B462" i="37"/>
  <c r="B422" i="37"/>
  <c r="B700" i="37"/>
  <c r="B794" i="37"/>
  <c r="B781" i="37"/>
  <c r="B764" i="37"/>
  <c r="B1115" i="37"/>
  <c r="B2542" i="14"/>
  <c r="B2437" i="14"/>
  <c r="B2339" i="14"/>
  <c r="B482" i="37"/>
  <c r="B459" i="37"/>
  <c r="B417" i="37"/>
  <c r="B674" i="37"/>
  <c r="B664" i="37"/>
  <c r="B630" i="37"/>
  <c r="B593" i="37"/>
  <c r="B560" i="37"/>
  <c r="B536" i="37"/>
  <c r="B532" i="37"/>
  <c r="B524" i="37"/>
  <c r="B506" i="37"/>
  <c r="B478" i="37"/>
  <c r="B798" i="37"/>
  <c r="B758" i="37"/>
  <c r="B870" i="37"/>
  <c r="B768" i="37"/>
  <c r="B1238" i="37"/>
  <c r="B1173" i="37"/>
  <c r="B1152" i="37"/>
  <c r="B527" i="37"/>
  <c r="B457" i="37"/>
  <c r="B435" i="37"/>
  <c r="B932" i="37"/>
  <c r="B869" i="37"/>
  <c r="B837" i="37"/>
  <c r="B799" i="37"/>
  <c r="B775" i="37"/>
  <c r="B1240" i="37"/>
  <c r="B1224" i="37"/>
  <c r="B1209" i="37"/>
  <c r="B1926" i="14"/>
  <c r="B500" i="37"/>
  <c r="B575" i="37"/>
  <c r="B439" i="37"/>
  <c r="B431" i="37"/>
  <c r="B415" i="37"/>
  <c r="B407" i="37"/>
  <c r="B729" i="37"/>
  <c r="B1031" i="37"/>
  <c r="B947" i="37"/>
  <c r="B899" i="37"/>
  <c r="B866" i="37"/>
  <c r="B844" i="37"/>
  <c r="B826" i="37"/>
  <c r="B818" i="37"/>
  <c r="B804" i="37"/>
  <c r="B800" i="37"/>
  <c r="B789" i="37"/>
  <c r="B786" i="37"/>
  <c r="B774" i="37"/>
  <c r="B1246" i="37"/>
  <c r="B531" i="37"/>
  <c r="B523" i="37"/>
  <c r="B510" i="37"/>
  <c r="B488" i="37"/>
  <c r="B477" i="37"/>
  <c r="B471" i="37"/>
  <c r="B461" i="37"/>
  <c r="B453" i="37"/>
  <c r="B445" i="37"/>
  <c r="B437" i="37"/>
  <c r="B421" i="37"/>
  <c r="B418" i="37"/>
  <c r="B413" i="37"/>
  <c r="B410" i="37"/>
  <c r="B405" i="37"/>
  <c r="B397" i="37"/>
  <c r="B1842" i="14"/>
  <c r="B2402" i="14"/>
  <c r="B2374" i="14"/>
  <c r="B2367" i="14"/>
  <c r="B2311" i="14"/>
  <c r="B2255" i="14"/>
  <c r="B2199" i="14"/>
  <c r="B472" i="37"/>
  <c r="B449" i="37"/>
  <c r="B427" i="37"/>
  <c r="B408" i="37"/>
  <c r="B394" i="37"/>
  <c r="B642" i="37"/>
  <c r="B613" i="37"/>
  <c r="B603" i="37"/>
  <c r="B519" i="37"/>
  <c r="B514" i="37"/>
  <c r="B512" i="37"/>
  <c r="B504" i="37"/>
  <c r="B495" i="37"/>
  <c r="B486" i="37"/>
  <c r="B479" i="37"/>
  <c r="B474" i="37"/>
  <c r="B469" i="37"/>
  <c r="B2178" i="14"/>
  <c r="B1251" i="37"/>
  <c r="B1175" i="37"/>
  <c r="B1148" i="37"/>
  <c r="B1138" i="37"/>
  <c r="B1114" i="37"/>
  <c r="B2465" i="14"/>
  <c r="B517" i="37"/>
  <c r="B467" i="37"/>
  <c r="B425" i="37"/>
  <c r="B1076" i="37"/>
  <c r="B945" i="37"/>
  <c r="B928" i="37"/>
  <c r="B895" i="37"/>
  <c r="B891" i="37"/>
  <c r="B865" i="37"/>
  <c r="B816" i="37"/>
  <c r="B771" i="37"/>
  <c r="B763" i="37"/>
  <c r="B2010" i="14"/>
  <c r="B2003" i="14"/>
  <c r="B1961" i="14"/>
  <c r="B1176" i="37"/>
  <c r="B2493" i="14"/>
  <c r="B611" i="37"/>
  <c r="B579" i="37"/>
  <c r="B463" i="37"/>
  <c r="B423" i="37"/>
  <c r="B746" i="37"/>
  <c r="B727" i="37"/>
  <c r="B682" i="37"/>
  <c r="B1110" i="37"/>
  <c r="B1094" i="37"/>
  <c r="B1060" i="37"/>
  <c r="B1008" i="37"/>
  <c r="B995" i="37"/>
  <c r="B992" i="37"/>
  <c r="B987" i="37"/>
  <c r="B936" i="37"/>
  <c r="B883" i="37"/>
  <c r="B862" i="37"/>
  <c r="B840" i="37"/>
  <c r="B830" i="37"/>
  <c r="B815" i="37"/>
  <c r="B808" i="37"/>
  <c r="B795" i="37"/>
  <c r="B778" i="37"/>
  <c r="B2332" i="14"/>
  <c r="B2304" i="14"/>
  <c r="B2269" i="14"/>
  <c r="B2227" i="14"/>
  <c r="B2213" i="14"/>
  <c r="B522" i="37"/>
  <c r="B503" i="37"/>
  <c r="B494" i="37"/>
  <c r="B485" i="37"/>
  <c r="B476" i="37"/>
  <c r="B468" i="37"/>
  <c r="B460" i="37"/>
  <c r="B452" i="37"/>
  <c r="B444" i="37"/>
  <c r="B436" i="37"/>
  <c r="B428" i="37"/>
  <c r="B420" i="37"/>
  <c r="B412" i="37"/>
  <c r="B404" i="37"/>
  <c r="B396" i="37"/>
  <c r="B657" i="37"/>
  <c r="B649" i="37"/>
  <c r="B624" i="37"/>
  <c r="B577" i="37"/>
  <c r="B684" i="37"/>
  <c r="B754" i="37"/>
  <c r="B782" i="37"/>
  <c r="B1007" i="37"/>
  <c r="B757" i="37"/>
  <c r="B792" i="37"/>
  <c r="B2143" i="14"/>
  <c r="B1168" i="37"/>
  <c r="B1165" i="37"/>
  <c r="B1870" i="14"/>
  <c r="B2535" i="14"/>
  <c r="B2528" i="14"/>
  <c r="B2479" i="14"/>
  <c r="B2409" i="14"/>
  <c r="B2556" i="14"/>
  <c r="B616" i="37"/>
  <c r="B608" i="37"/>
  <c r="B600" i="37"/>
  <c r="B576" i="37"/>
  <c r="B552" i="37"/>
  <c r="B521" i="37"/>
  <c r="B481" i="37"/>
  <c r="B1109" i="37"/>
  <c r="B1093" i="37"/>
  <c r="B1058" i="37"/>
  <c r="B1054" i="37"/>
  <c r="B1041" i="37"/>
  <c r="B1025" i="37"/>
  <c r="B1006" i="37"/>
  <c r="B983" i="37"/>
  <c r="B978" i="37"/>
  <c r="B942" i="37"/>
  <c r="B938" i="37"/>
  <c r="B921" i="37"/>
  <c r="B896" i="37"/>
  <c r="B859" i="37"/>
  <c r="B827" i="37"/>
  <c r="B780" i="37"/>
  <c r="B777" i="37"/>
  <c r="B773" i="37"/>
  <c r="B1183" i="37"/>
  <c r="B1333" i="37"/>
  <c r="B2024" i="14"/>
  <c r="B2017" i="14"/>
  <c r="B1204" i="37"/>
  <c r="B2451" i="14"/>
  <c r="B2381" i="14"/>
  <c r="B2563" i="14"/>
  <c r="B528" i="37"/>
  <c r="B501" i="37"/>
  <c r="B492" i="37"/>
  <c r="B483" i="37"/>
  <c r="B466" i="37"/>
  <c r="B458" i="37"/>
  <c r="B450" i="37"/>
  <c r="B442" i="37"/>
  <c r="B434" i="37"/>
  <c r="B426" i="37"/>
  <c r="B402" i="37"/>
  <c r="B672" i="37"/>
  <c r="B663" i="37"/>
  <c r="B655" i="37"/>
  <c r="B646" i="37"/>
  <c r="B615" i="37"/>
  <c r="B607" i="37"/>
  <c r="B599" i="37"/>
  <c r="B591" i="37"/>
  <c r="B583" i="37"/>
  <c r="B567" i="37"/>
  <c r="B551" i="37"/>
  <c r="B543" i="37"/>
  <c r="B529" i="37"/>
  <c r="B762" i="37"/>
  <c r="B1237" i="37"/>
  <c r="B2108" i="14"/>
  <c r="B2514" i="14"/>
  <c r="B2486" i="14"/>
  <c r="B2353" i="14"/>
  <c r="B2549" i="14"/>
  <c r="B637" i="37"/>
  <c r="B629" i="37"/>
  <c r="B619" i="37"/>
  <c r="B614" i="37"/>
  <c r="B606" i="37"/>
  <c r="B596" i="37"/>
  <c r="B590" i="37"/>
  <c r="B574" i="37"/>
  <c r="B566" i="37"/>
  <c r="B558" i="37"/>
  <c r="B550" i="37"/>
  <c r="B542" i="37"/>
  <c r="B533" i="37"/>
  <c r="B726" i="37"/>
  <c r="B831" i="37"/>
  <c r="B658" i="37"/>
  <c r="B652" i="37"/>
  <c r="B640" i="37"/>
  <c r="B627" i="37"/>
  <c r="B609" i="37"/>
  <c r="B601" i="37"/>
  <c r="B585" i="37"/>
  <c r="B581" i="37"/>
  <c r="B564" i="37"/>
  <c r="B554" i="37"/>
  <c r="B541" i="37"/>
  <c r="B717" i="37"/>
  <c r="B709" i="37"/>
  <c r="B701" i="37"/>
  <c r="B525" i="37"/>
  <c r="B516" i="37"/>
  <c r="B507" i="37"/>
  <c r="B498" i="37"/>
  <c r="B455" i="37"/>
  <c r="B447" i="37"/>
  <c r="B399" i="37"/>
  <c r="B556" i="37"/>
  <c r="B589" i="37"/>
  <c r="B631" i="37"/>
  <c r="B745" i="37"/>
  <c r="B725" i="37"/>
  <c r="B724" i="37"/>
  <c r="B715" i="37"/>
  <c r="B692" i="37"/>
  <c r="B681" i="37"/>
  <c r="B825" i="37"/>
  <c r="B2192" i="14"/>
  <c r="B2164" i="14"/>
  <c r="B1258" i="37"/>
  <c r="B1968" i="14"/>
  <c r="B2472" i="14"/>
  <c r="B515" i="37"/>
  <c r="B487" i="37"/>
  <c r="B454" i="37"/>
  <c r="B446" i="37"/>
  <c r="B438" i="37"/>
  <c r="B430" i="37"/>
  <c r="B414" i="37"/>
  <c r="B406" i="37"/>
  <c r="B398" i="37"/>
  <c r="B829" i="37"/>
  <c r="B1073" i="37"/>
  <c r="B1048" i="37"/>
  <c r="B1164" i="37"/>
  <c r="B2430" i="14"/>
  <c r="B429" i="37"/>
  <c r="B565" i="37"/>
  <c r="B604" i="37"/>
  <c r="B639" i="37"/>
  <c r="B833" i="37"/>
  <c r="B760" i="37"/>
  <c r="B753" i="37"/>
  <c r="B1005" i="37"/>
  <c r="B2458" i="14"/>
  <c r="B2444" i="14"/>
  <c r="B196" i="30"/>
  <c r="B197" i="30" s="1"/>
  <c r="B124" i="30"/>
  <c r="B125" i="30" s="1"/>
  <c r="L331" i="30"/>
  <c r="B53" i="30"/>
  <c r="B88" i="30"/>
  <c r="B89" i="30" s="1"/>
  <c r="L336" i="30"/>
  <c r="B178" i="30"/>
  <c r="B179" i="30" s="1"/>
  <c r="B160" i="30"/>
  <c r="B161" i="30" s="1"/>
  <c r="B71" i="30"/>
  <c r="L338" i="30"/>
  <c r="L339" i="30"/>
  <c r="B142" i="30"/>
  <c r="L337" i="30" s="1"/>
  <c r="B106" i="30"/>
  <c r="L335" i="30" s="1"/>
  <c r="B143" i="30"/>
  <c r="B17" i="30"/>
  <c r="L330" i="30"/>
  <c r="L340" i="30"/>
  <c r="BB44" i="33"/>
  <c r="R981" i="14"/>
  <c r="R847" i="14"/>
  <c r="R985" i="14"/>
  <c r="P1370" i="14"/>
  <c r="R1581" i="14"/>
  <c r="P1537" i="14"/>
  <c r="R994" i="14"/>
  <c r="R1015" i="14"/>
  <c r="R896" i="14"/>
  <c r="R1173" i="14"/>
  <c r="R1147" i="14"/>
  <c r="R950" i="14"/>
  <c r="R840" i="14"/>
  <c r="R904" i="14"/>
  <c r="R1000" i="14"/>
  <c r="R1021" i="14"/>
  <c r="R1544" i="14"/>
  <c r="R987" i="14"/>
  <c r="R819" i="14"/>
  <c r="R1588" i="14"/>
  <c r="R1364" i="14"/>
  <c r="R1412" i="14"/>
  <c r="R1009" i="14"/>
  <c r="R1370" i="14"/>
  <c r="R1623" i="14"/>
  <c r="R1718" i="14"/>
  <c r="R852" i="14"/>
  <c r="R1134" i="14"/>
  <c r="R876" i="14"/>
  <c r="P801" i="14"/>
  <c r="P819" i="14"/>
  <c r="R1869" i="14"/>
  <c r="R2004" i="14"/>
  <c r="P1009" i="14"/>
  <c r="P1161" i="14"/>
  <c r="R1103" i="14"/>
  <c r="P1021" i="14"/>
  <c r="P1154" i="14"/>
  <c r="P1153" i="14"/>
  <c r="R2230" i="14"/>
  <c r="R1953" i="14"/>
  <c r="R1014" i="14"/>
  <c r="P486" i="14"/>
  <c r="R846" i="14"/>
  <c r="R1733" i="14"/>
  <c r="R2290" i="14"/>
  <c r="R1995" i="14"/>
  <c r="P812" i="14"/>
  <c r="I2304" i="14"/>
  <c r="N2304" i="14" s="1"/>
  <c r="R2274" i="14"/>
  <c r="R1741" i="14"/>
  <c r="R1485" i="14"/>
  <c r="R883" i="14"/>
  <c r="P945" i="14"/>
  <c r="R2236" i="14"/>
  <c r="R2311" i="14"/>
  <c r="P1510" i="14"/>
  <c r="P1173" i="14"/>
  <c r="P2288" i="14"/>
  <c r="R1983" i="14"/>
  <c r="R807" i="14"/>
  <c r="P973" i="14"/>
  <c r="R2188" i="14"/>
  <c r="J77" i="21"/>
  <c r="H2475" i="14" s="1"/>
  <c r="I2475" i="14" s="1"/>
  <c r="N2475" i="14" s="1"/>
  <c r="N78" i="21"/>
  <c r="R508" i="14" s="1"/>
  <c r="R2272" i="14"/>
  <c r="R1305" i="14"/>
  <c r="R2288" i="14"/>
  <c r="R1974" i="14"/>
  <c r="R2052" i="14"/>
  <c r="R1461" i="14"/>
  <c r="R1334" i="14"/>
  <c r="R1585" i="14"/>
  <c r="P985" i="14"/>
  <c r="R2153" i="14"/>
  <c r="R2554" i="14"/>
  <c r="R2316" i="14"/>
  <c r="R2348" i="14"/>
  <c r="R2364" i="14"/>
  <c r="R2385" i="14"/>
  <c r="R2442" i="14"/>
  <c r="R2516" i="14"/>
  <c r="R2532" i="14"/>
  <c r="R2540" i="14"/>
  <c r="R2334" i="14"/>
  <c r="R2350" i="14"/>
  <c r="R2415" i="14"/>
  <c r="R2421" i="14"/>
  <c r="R2448" i="14"/>
  <c r="R2488" i="14"/>
  <c r="R2502" i="14"/>
  <c r="R2518" i="14"/>
  <c r="R2320" i="14"/>
  <c r="R2336" i="14"/>
  <c r="R2425" i="14"/>
  <c r="R2504" i="14"/>
  <c r="R2544" i="14"/>
  <c r="R2322" i="14"/>
  <c r="R2392" i="14"/>
  <c r="R2464" i="14"/>
  <c r="R2490" i="14"/>
  <c r="R2546" i="14"/>
  <c r="R2356" i="14"/>
  <c r="R2390" i="14"/>
  <c r="R2524" i="14"/>
  <c r="R2538" i="14"/>
  <c r="R2156" i="14"/>
  <c r="R2342" i="14"/>
  <c r="R2358" i="14"/>
  <c r="R2428" i="14"/>
  <c r="R2510" i="14"/>
  <c r="R2526" i="14"/>
  <c r="R2152" i="14"/>
  <c r="R2328" i="14"/>
  <c r="R2344" i="14"/>
  <c r="R2373" i="14"/>
  <c r="R2379" i="14"/>
  <c r="R2406" i="14"/>
  <c r="R2412" i="14"/>
  <c r="R2496" i="14"/>
  <c r="R2512" i="14"/>
  <c r="R2552" i="14"/>
  <c r="R2314" i="14"/>
  <c r="R2330" i="14"/>
  <c r="R2362" i="14"/>
  <c r="R2453" i="14"/>
  <c r="R2455" i="14"/>
  <c r="R2461" i="14"/>
  <c r="R2498" i="14"/>
  <c r="R2530" i="14"/>
  <c r="L77" i="21"/>
  <c r="R631" i="14"/>
  <c r="R1959" i="14"/>
  <c r="P832" i="14"/>
  <c r="R2042" i="14"/>
  <c r="R2370" i="14"/>
  <c r="R2195" i="14"/>
  <c r="R2377" i="14"/>
  <c r="R2074" i="14"/>
  <c r="R2409" i="14"/>
  <c r="R2381" i="14"/>
  <c r="R895" i="14"/>
  <c r="R844" i="14"/>
  <c r="R241" i="14"/>
  <c r="P1008" i="14"/>
  <c r="R779" i="14"/>
  <c r="R1791" i="14"/>
  <c r="P763" i="14"/>
  <c r="R2304" i="14"/>
  <c r="R2479" i="14"/>
  <c r="K2186" i="14"/>
  <c r="Y2186" i="14" s="1"/>
  <c r="K2542" i="14"/>
  <c r="Y2542" i="14" s="1"/>
  <c r="K2368" i="14"/>
  <c r="Y2368" i="14" s="1"/>
  <c r="K2536" i="14"/>
  <c r="Y2536" i="14" s="1"/>
  <c r="K2354" i="14"/>
  <c r="Y2354" i="14" s="1"/>
  <c r="K2522" i="14"/>
  <c r="Y2522" i="14" s="1"/>
  <c r="K2340" i="14"/>
  <c r="Y2340" i="14" s="1"/>
  <c r="K2396" i="14"/>
  <c r="Y2396" i="14" s="1"/>
  <c r="K2492" i="14"/>
  <c r="Y2492" i="14" s="1"/>
  <c r="K2508" i="14"/>
  <c r="Y2508" i="14" s="1"/>
  <c r="K2326" i="14"/>
  <c r="Y2326" i="14" s="1"/>
  <c r="K2371" i="14"/>
  <c r="Y2371" i="14" s="1"/>
  <c r="K2422" i="14"/>
  <c r="Y2422" i="14" s="1"/>
  <c r="K2494" i="14"/>
  <c r="Y2494" i="14" s="1"/>
  <c r="K2550" i="14"/>
  <c r="Y2550" i="14" s="1"/>
  <c r="K2360" i="14"/>
  <c r="Y2360" i="14" s="1"/>
  <c r="K2418" i="14"/>
  <c r="Y2418" i="14" s="1"/>
  <c r="K2528" i="14"/>
  <c r="Y2528" i="14" s="1"/>
  <c r="K2346" i="14"/>
  <c r="Y2346" i="14" s="1"/>
  <c r="K2514" i="14"/>
  <c r="Y2514" i="14" s="1"/>
  <c r="K2158" i="14"/>
  <c r="Y2158" i="14" s="1"/>
  <c r="K2332" i="14"/>
  <c r="Y2332" i="14" s="1"/>
  <c r="K2500" i="14"/>
  <c r="Y2500" i="14" s="1"/>
  <c r="K2559" i="14"/>
  <c r="Y2559" i="14" s="1"/>
  <c r="K2556" i="14"/>
  <c r="Y2556" i="14" s="1"/>
  <c r="K2221" i="14"/>
  <c r="Y2221" i="14" s="1"/>
  <c r="K2318" i="14"/>
  <c r="Y2318" i="14" s="1"/>
  <c r="R2298" i="14"/>
  <c r="P2272" i="14"/>
  <c r="P2447" i="14"/>
  <c r="P2465" i="14"/>
  <c r="R1070" i="14"/>
  <c r="R2011" i="14"/>
  <c r="R2008" i="14"/>
  <c r="R1889" i="14"/>
  <c r="P2046" i="14"/>
  <c r="P2469" i="14"/>
  <c r="P2388" i="14"/>
  <c r="P939" i="14"/>
  <c r="P2269" i="14"/>
  <c r="P2416" i="14"/>
  <c r="P2444" i="14"/>
  <c r="K2165" i="14"/>
  <c r="Y2165" i="14" s="1"/>
  <c r="R1368" i="14"/>
  <c r="R743" i="14"/>
  <c r="R1361" i="14"/>
  <c r="R942" i="14"/>
  <c r="P1127" i="14"/>
  <c r="P2407" i="14"/>
  <c r="P1539" i="14"/>
  <c r="R1311" i="14"/>
  <c r="R1055" i="14"/>
  <c r="R1509" i="14"/>
  <c r="R2217" i="14"/>
  <c r="R2237" i="14"/>
  <c r="R982" i="14"/>
  <c r="P994" i="14"/>
  <c r="P840" i="14"/>
  <c r="P896" i="14"/>
  <c r="P963" i="14"/>
  <c r="P1118" i="14"/>
  <c r="P861" i="14"/>
  <c r="P1015" i="14"/>
  <c r="P950" i="14"/>
  <c r="P1000" i="14"/>
  <c r="P904" i="14"/>
  <c r="R879" i="14"/>
  <c r="R2430" i="14"/>
  <c r="P1518" i="14"/>
  <c r="P2391" i="14"/>
  <c r="R756" i="14"/>
  <c r="R1198" i="14"/>
  <c r="P2477" i="14"/>
  <c r="R1880" i="14"/>
  <c r="R1536" i="14"/>
  <c r="R2404" i="14"/>
  <c r="P2079" i="14"/>
  <c r="R1105" i="14"/>
  <c r="R1502" i="14"/>
  <c r="P981" i="14"/>
  <c r="R1096" i="14"/>
  <c r="R2234" i="14"/>
  <c r="P987" i="14"/>
  <c r="R1245" i="14"/>
  <c r="R761" i="14"/>
  <c r="R776" i="14"/>
  <c r="R2132" i="14"/>
  <c r="R1307" i="14"/>
  <c r="R1998" i="14"/>
  <c r="P2302" i="14"/>
  <c r="R889" i="14"/>
  <c r="R2138" i="14"/>
  <c r="R1620" i="14"/>
  <c r="R1188" i="14"/>
  <c r="R2477" i="14"/>
  <c r="P2301" i="14"/>
  <c r="P2462" i="14"/>
  <c r="R1314" i="14"/>
  <c r="R2173" i="14"/>
  <c r="R865" i="14"/>
  <c r="R1267" i="14"/>
  <c r="R993" i="14"/>
  <c r="R900" i="14"/>
  <c r="R1084" i="14"/>
  <c r="P867" i="14"/>
  <c r="R1108" i="14"/>
  <c r="R1789" i="14"/>
  <c r="P876" i="14"/>
  <c r="P1134" i="14"/>
  <c r="P1183" i="14"/>
  <c r="R824" i="14"/>
  <c r="R2280" i="14"/>
  <c r="P475" i="14"/>
  <c r="R2001" i="14"/>
  <c r="P957" i="14"/>
  <c r="P1147" i="14"/>
  <c r="P847" i="14"/>
  <c r="P1552" i="14"/>
  <c r="P2419" i="14"/>
  <c r="P1528" i="14"/>
  <c r="P1581" i="14"/>
  <c r="R1110" i="14"/>
  <c r="R803" i="14"/>
  <c r="R977" i="14"/>
  <c r="R2180" i="14"/>
  <c r="R1835" i="14"/>
  <c r="R2438" i="14"/>
  <c r="R2263" i="14"/>
  <c r="R2374" i="14"/>
  <c r="R2067" i="14"/>
  <c r="R2199" i="14"/>
  <c r="R1997" i="14"/>
  <c r="R2402" i="14"/>
  <c r="R2048" i="14"/>
  <c r="R2397" i="14"/>
  <c r="R2399" i="14"/>
  <c r="R2427" i="14"/>
  <c r="R2433" i="14"/>
  <c r="R2446" i="14"/>
  <c r="R2154" i="14"/>
  <c r="R2378" i="14"/>
  <c r="R2380" i="14"/>
  <c r="R2405" i="14"/>
  <c r="R2411" i="14"/>
  <c r="R2450" i="14"/>
  <c r="R1600" i="14"/>
  <c r="R2233" i="14"/>
  <c r="R2376" i="14"/>
  <c r="R2435" i="14"/>
  <c r="R2460" i="14"/>
  <c r="R2194" i="14"/>
  <c r="R2441" i="14"/>
  <c r="R2443" i="14"/>
  <c r="R2140" i="14"/>
  <c r="R2408" i="14"/>
  <c r="R2414" i="14"/>
  <c r="R2420" i="14"/>
  <c r="R1777" i="14"/>
  <c r="R1357" i="14"/>
  <c r="R2369" i="14"/>
  <c r="R2457" i="14"/>
  <c r="R2387" i="14"/>
  <c r="R2463" i="14"/>
  <c r="R828" i="14"/>
  <c r="R2454" i="14"/>
  <c r="P2399" i="14"/>
  <c r="P2427" i="14"/>
  <c r="P2433" i="14"/>
  <c r="P2446" i="14"/>
  <c r="P2154" i="14"/>
  <c r="P2378" i="14"/>
  <c r="P2380" i="14"/>
  <c r="P2405" i="14"/>
  <c r="P2411" i="14"/>
  <c r="P2450" i="14"/>
  <c r="P2376" i="14"/>
  <c r="P2435" i="14"/>
  <c r="P2460" i="14"/>
  <c r="P2194" i="14"/>
  <c r="P2441" i="14"/>
  <c r="P2443" i="14"/>
  <c r="P2140" i="14"/>
  <c r="P2408" i="14"/>
  <c r="P2414" i="14"/>
  <c r="P2420" i="14"/>
  <c r="P2369" i="14"/>
  <c r="P2457" i="14"/>
  <c r="P2188" i="14"/>
  <c r="P2266" i="14"/>
  <c r="P2387" i="14"/>
  <c r="P2463" i="14"/>
  <c r="P2397" i="14"/>
  <c r="P852" i="14"/>
  <c r="R2142" i="14"/>
  <c r="R1183" i="14"/>
  <c r="R1029" i="14"/>
  <c r="R2465" i="14"/>
  <c r="P2440" i="14"/>
  <c r="R2391" i="14"/>
  <c r="R2451" i="14"/>
  <c r="R2449" i="14"/>
  <c r="P2126" i="14"/>
  <c r="R2416" i="14"/>
  <c r="R2388" i="14"/>
  <c r="R2115" i="14"/>
  <c r="R2269" i="14"/>
  <c r="R2471" i="14"/>
  <c r="R2456" i="14"/>
  <c r="R2469" i="14"/>
  <c r="R2423" i="14"/>
  <c r="R2444" i="14"/>
  <c r="R2440" i="14"/>
  <c r="T44" i="14"/>
  <c r="V6" i="14"/>
  <c r="B555" i="37"/>
  <c r="B561" i="37"/>
  <c r="B580" i="37"/>
  <c r="B578" i="37"/>
  <c r="B618" i="37"/>
  <c r="B651" i="37"/>
  <c r="B656" i="37"/>
  <c r="B647" i="37"/>
  <c r="B568" i="37"/>
  <c r="B683" i="37"/>
  <c r="B721" i="37"/>
  <c r="B719" i="37"/>
  <c r="B742" i="37"/>
  <c r="B734" i="37"/>
  <c r="B710" i="37"/>
  <c r="B694" i="37"/>
  <c r="B686" i="37"/>
  <c r="B678" i="37"/>
  <c r="B755" i="37"/>
  <c r="B858" i="37"/>
  <c r="B1088" i="37"/>
  <c r="B1107" i="37"/>
  <c r="B1106" i="37"/>
  <c r="B1019" i="37"/>
  <c r="B1022" i="37"/>
  <c r="B1016" i="37"/>
  <c r="B997" i="37"/>
  <c r="B661" i="37"/>
  <c r="B671" i="37"/>
  <c r="B638" i="37"/>
  <c r="B622" i="37"/>
  <c r="B559" i="37"/>
  <c r="B535" i="37"/>
  <c r="B699" i="37"/>
  <c r="B723" i="37"/>
  <c r="B741" i="37"/>
  <c r="B733" i="37"/>
  <c r="B693" i="37"/>
  <c r="B685" i="37"/>
  <c r="B677" i="37"/>
  <c r="B1089" i="37"/>
  <c r="B748" i="37"/>
  <c r="B662" i="37"/>
  <c r="B654" i="37"/>
  <c r="B645" i="37"/>
  <c r="B582" i="37"/>
  <c r="B738" i="37"/>
  <c r="B737" i="37"/>
  <c r="B740" i="37"/>
  <c r="B732" i="37"/>
  <c r="B728" i="37"/>
  <c r="B731" i="37"/>
  <c r="B706" i="37"/>
  <c r="B707" i="37"/>
  <c r="B697" i="37"/>
  <c r="B698" i="37"/>
  <c r="B752" i="37"/>
  <c r="B1105" i="37"/>
  <c r="B1101" i="37"/>
  <c r="B1100" i="37"/>
  <c r="B1099" i="37"/>
  <c r="B1097" i="37"/>
  <c r="B1086" i="37"/>
  <c r="B1084" i="37"/>
  <c r="B1077" i="37"/>
  <c r="B1078" i="37"/>
  <c r="B1071" i="37"/>
  <c r="B1063" i="37"/>
  <c r="B1061" i="37"/>
  <c r="B1047" i="37"/>
  <c r="B1035" i="37"/>
  <c r="B1039" i="37"/>
  <c r="B1024" i="37"/>
  <c r="B1023" i="37"/>
  <c r="B1013" i="37"/>
  <c r="B1011" i="37"/>
  <c r="B1003" i="37"/>
  <c r="B994" i="37"/>
  <c r="B991" i="37"/>
  <c r="B986" i="37"/>
  <c r="B985" i="37"/>
  <c r="B976" i="37"/>
  <c r="B981" i="37"/>
  <c r="B974" i="37"/>
  <c r="B979" i="37"/>
  <c r="B959" i="37"/>
  <c r="B962" i="37"/>
  <c r="B958" i="37"/>
  <c r="B973" i="37"/>
  <c r="B950" i="37"/>
  <c r="B949" i="37"/>
  <c r="B943" i="37"/>
  <c r="B940" i="37"/>
  <c r="B933" i="37"/>
  <c r="B930" i="37"/>
  <c r="B926" i="37"/>
  <c r="B922" i="37"/>
  <c r="B929" i="37"/>
  <c r="B920" i="37"/>
  <c r="B913" i="37"/>
  <c r="B907" i="37"/>
  <c r="B908" i="37"/>
  <c r="B903" i="37"/>
  <c r="B904" i="37"/>
  <c r="B901" i="37"/>
  <c r="B894" i="37"/>
  <c r="B893" i="37"/>
  <c r="B889" i="37"/>
  <c r="B886" i="37"/>
  <c r="B882" i="37"/>
  <c r="B879" i="37"/>
  <c r="B878" i="37"/>
  <c r="B868" i="37"/>
  <c r="B874" i="37"/>
  <c r="B876" i="37"/>
  <c r="B867" i="37"/>
  <c r="B853" i="37"/>
  <c r="B845" i="37"/>
  <c r="B544" i="37"/>
  <c r="B534" i="37"/>
  <c r="B557" i="37"/>
  <c r="B562" i="37"/>
  <c r="B592" i="37"/>
  <c r="B598" i="37"/>
  <c r="B605" i="37"/>
  <c r="B623" i="37"/>
  <c r="B634" i="37"/>
  <c r="B641" i="37"/>
  <c r="B660" i="37"/>
  <c r="B667" i="37"/>
  <c r="B668" i="37"/>
  <c r="B644" i="37"/>
  <c r="B635" i="37"/>
  <c r="B628" i="37"/>
  <c r="B612" i="37"/>
  <c r="B597" i="37"/>
  <c r="B573" i="37"/>
  <c r="B549" i="37"/>
  <c r="B540" i="37"/>
  <c r="B688" i="37"/>
  <c r="B703" i="37"/>
  <c r="B718" i="37"/>
  <c r="B712" i="37"/>
  <c r="B744" i="37"/>
  <c r="B739" i="37"/>
  <c r="B988" i="37"/>
  <c r="B957" i="37"/>
  <c r="B954" i="37"/>
  <c r="B759" i="37"/>
  <c r="B1075" i="37"/>
  <c r="B1017" i="37"/>
  <c r="B1036" i="37"/>
  <c r="B1068" i="37"/>
  <c r="B1079" i="37"/>
  <c r="B1108" i="37"/>
  <c r="B1092" i="37"/>
  <c r="B1038" i="37"/>
  <c r="B1002" i="37"/>
  <c r="B980" i="37"/>
  <c r="B897" i="37"/>
  <c r="B539" i="37"/>
  <c r="B548" i="37"/>
  <c r="B538" i="37"/>
  <c r="B587" i="37"/>
  <c r="B586" i="37"/>
  <c r="B625" i="37"/>
  <c r="B633" i="37"/>
  <c r="B643" i="37"/>
  <c r="B659" i="37"/>
  <c r="B675" i="37"/>
  <c r="B690" i="37"/>
  <c r="B702" i="37"/>
  <c r="B722" i="37"/>
  <c r="B716" i="37"/>
  <c r="B714" i="37"/>
  <c r="B705" i="37"/>
  <c r="B689" i="37"/>
  <c r="B972" i="37"/>
  <c r="B961" i="37"/>
  <c r="B1083" i="37"/>
  <c r="B1015" i="37"/>
  <c r="B1044" i="37"/>
  <c r="B1064" i="37"/>
  <c r="B749" i="37"/>
  <c r="B1095" i="37"/>
  <c r="B1091" i="37"/>
  <c r="B1069" i="37"/>
  <c r="B1045" i="37"/>
  <c r="B1027" i="37"/>
  <c r="B967" i="37"/>
  <c r="B937" i="37"/>
  <c r="B923" i="37"/>
  <c r="B871" i="37"/>
  <c r="B857" i="37"/>
  <c r="B563" i="37"/>
  <c r="B571" i="37"/>
  <c r="B617" i="37"/>
  <c r="B626" i="37"/>
  <c r="B632" i="37"/>
  <c r="B665" i="37"/>
  <c r="B666" i="37"/>
  <c r="B676" i="37"/>
  <c r="B595" i="37"/>
  <c r="B691" i="37"/>
  <c r="B720" i="37"/>
  <c r="B993" i="37"/>
  <c r="B982" i="37"/>
  <c r="B860" i="37"/>
  <c r="B939" i="37"/>
  <c r="B885" i="37"/>
  <c r="B965" i="37"/>
  <c r="B902" i="37"/>
  <c r="B843" i="37"/>
  <c r="B927" i="37"/>
  <c r="B1040" i="37"/>
  <c r="B1018" i="37"/>
  <c r="B1029" i="37"/>
  <c r="B1070" i="37"/>
  <c r="B1102" i="37"/>
  <c r="B513" i="37"/>
  <c r="B505" i="37"/>
  <c r="B497" i="37"/>
  <c r="B489" i="37"/>
  <c r="B547" i="37"/>
  <c r="B546" i="37"/>
  <c r="B572" i="37"/>
  <c r="B594" i="37"/>
  <c r="B636" i="37"/>
  <c r="B602" i="37"/>
  <c r="B708" i="37"/>
  <c r="B730" i="37"/>
  <c r="B736" i="37"/>
  <c r="B680" i="37"/>
  <c r="B996" i="37"/>
  <c r="B990" i="37"/>
  <c r="B880" i="37"/>
  <c r="B747" i="37"/>
  <c r="B905" i="37"/>
  <c r="B906" i="37"/>
  <c r="B847" i="37"/>
  <c r="B931" i="37"/>
  <c r="B1021" i="37"/>
  <c r="B1046" i="37"/>
  <c r="B1103" i="37"/>
  <c r="B1010" i="37"/>
  <c r="B984" i="37"/>
  <c r="B977" i="37"/>
  <c r="B963" i="37"/>
  <c r="B956" i="37"/>
  <c r="B537" i="37"/>
  <c r="B570" i="37"/>
  <c r="B610" i="37"/>
  <c r="B648" i="37"/>
  <c r="B669" i="37"/>
  <c r="B696" i="37"/>
  <c r="B743" i="37"/>
  <c r="B735" i="37"/>
  <c r="B711" i="37"/>
  <c r="B695" i="37"/>
  <c r="B687" i="37"/>
  <c r="B679" i="37"/>
  <c r="B970" i="37"/>
  <c r="B975" i="37"/>
  <c r="B892" i="37"/>
  <c r="B751" i="37"/>
  <c r="B909" i="37"/>
  <c r="B910" i="37"/>
  <c r="B851" i="37"/>
  <c r="B935" i="37"/>
  <c r="B1074" i="37"/>
  <c r="B1043" i="37"/>
  <c r="B1085" i="37"/>
  <c r="B1081" i="37"/>
  <c r="B1080" i="37"/>
  <c r="B1072" i="37"/>
  <c r="B1065" i="37"/>
  <c r="B1066" i="37"/>
  <c r="B1057" i="37"/>
  <c r="B1050" i="37"/>
  <c r="B1049" i="37"/>
  <c r="B1042" i="37"/>
  <c r="B1033" i="37"/>
  <c r="B1034" i="37"/>
  <c r="B1026" i="37"/>
  <c r="B704" i="37"/>
  <c r="B713" i="37"/>
  <c r="B1000" i="37"/>
  <c r="B836" i="37"/>
  <c r="B964" i="37"/>
  <c r="B821" i="37"/>
  <c r="B861" i="37"/>
  <c r="B766" i="37"/>
  <c r="B810" i="37"/>
  <c r="B850" i="37"/>
  <c r="B934" i="37"/>
  <c r="B835" i="37"/>
  <c r="B1096" i="37"/>
  <c r="B1087" i="37"/>
  <c r="B998" i="37"/>
  <c r="B999" i="37"/>
  <c r="B952" i="37"/>
  <c r="B953" i="37"/>
  <c r="B948" i="37"/>
  <c r="B924" i="37"/>
  <c r="B916" i="37"/>
  <c r="B914" i="37"/>
  <c r="B917" i="37"/>
  <c r="B881" i="37"/>
  <c r="B855" i="37"/>
  <c r="B822" i="37"/>
  <c r="B1122" i="37"/>
  <c r="B1144" i="37"/>
  <c r="B1187" i="37"/>
  <c r="B1243" i="37"/>
  <c r="B2185" i="14"/>
  <c r="B2171" i="14"/>
  <c r="B2150" i="14"/>
  <c r="B1414" i="37"/>
  <c r="B2136" i="14"/>
  <c r="B1223" i="37"/>
  <c r="B1947" i="14"/>
  <c r="B1211" i="37"/>
  <c r="B1210" i="37"/>
  <c r="B1202" i="37"/>
  <c r="B1919" i="14"/>
  <c r="B1195" i="37"/>
  <c r="B1178" i="37"/>
  <c r="B1898" i="14"/>
  <c r="B1174" i="37"/>
  <c r="B1156" i="37"/>
  <c r="B1147" i="37"/>
  <c r="B1146" i="37"/>
  <c r="B1142" i="37"/>
  <c r="B1141" i="37"/>
  <c r="B1863" i="14"/>
  <c r="B1140" i="37"/>
  <c r="B1139" i="37"/>
  <c r="B1129" i="37"/>
  <c r="B1127" i="37"/>
  <c r="B1128" i="37"/>
  <c r="B1119" i="37"/>
  <c r="B1118" i="37"/>
  <c r="B1117" i="37"/>
  <c r="B1113" i="37"/>
  <c r="B1111" i="37"/>
  <c r="B1835" i="14"/>
  <c r="B1112" i="37"/>
  <c r="B1410" i="37"/>
  <c r="B1222" i="37"/>
  <c r="B1218" i="37"/>
  <c r="B1186" i="37"/>
  <c r="B1182" i="37"/>
  <c r="B1177" i="37"/>
  <c r="B1166" i="37"/>
  <c r="B1884" i="14"/>
  <c r="B1877" i="14"/>
  <c r="B1153" i="37"/>
  <c r="B1154" i="37"/>
  <c r="B1151" i="37"/>
  <c r="B951" i="37"/>
  <c r="B1181" i="37"/>
  <c r="B1197" i="37"/>
  <c r="B1424" i="37"/>
  <c r="B1420" i="37"/>
  <c r="B1409" i="37"/>
  <c r="B1205" i="37"/>
  <c r="B805" i="37"/>
  <c r="B785" i="37"/>
  <c r="B1215" i="37"/>
  <c r="B1213" i="37"/>
  <c r="B2416" i="14"/>
  <c r="B824" i="37"/>
  <c r="B864" i="37"/>
  <c r="B761" i="37"/>
  <c r="B801" i="37"/>
  <c r="B834" i="37"/>
  <c r="B779" i="37"/>
  <c r="B819" i="37"/>
  <c r="B863" i="37"/>
  <c r="B756" i="37"/>
  <c r="B1104" i="37"/>
  <c r="B1030" i="37"/>
  <c r="B1014" i="37"/>
  <c r="B989" i="37"/>
  <c r="B971" i="37"/>
  <c r="B946" i="37"/>
  <c r="B911" i="37"/>
  <c r="B842" i="37"/>
  <c r="B817" i="37"/>
  <c r="B788" i="37"/>
  <c r="B776" i="37"/>
  <c r="B767" i="37"/>
  <c r="B770" i="37"/>
  <c r="B769" i="37"/>
  <c r="B1150" i="37"/>
  <c r="B1180" i="37"/>
  <c r="B1217" i="37"/>
  <c r="B2059" i="14"/>
  <c r="B1272" i="37"/>
  <c r="B1271" i="37"/>
  <c r="B1996" i="14"/>
  <c r="B1989" i="14"/>
  <c r="B1265" i="37"/>
  <c r="B1259" i="37"/>
  <c r="B1260" i="37"/>
  <c r="B1261" i="37"/>
  <c r="B1257" i="37"/>
  <c r="B1244" i="37"/>
  <c r="B1245" i="37"/>
  <c r="B1226" i="37"/>
  <c r="B1225" i="37"/>
  <c r="B784" i="37"/>
  <c r="B828" i="37"/>
  <c r="B765" i="37"/>
  <c r="B809" i="37"/>
  <c r="B838" i="37"/>
  <c r="B783" i="37"/>
  <c r="B750" i="37"/>
  <c r="B1053" i="37"/>
  <c r="B1037" i="37"/>
  <c r="B1012" i="37"/>
  <c r="B1009" i="37"/>
  <c r="B1001" i="37"/>
  <c r="B960" i="37"/>
  <c r="B944" i="37"/>
  <c r="B888" i="37"/>
  <c r="B884" i="37"/>
  <c r="B875" i="37"/>
  <c r="B877" i="37"/>
  <c r="B849" i="37"/>
  <c r="B848" i="37"/>
  <c r="B839" i="37"/>
  <c r="B841" i="37"/>
  <c r="B823" i="37"/>
  <c r="B820" i="37"/>
  <c r="B806" i="37"/>
  <c r="B812" i="37"/>
  <c r="B803" i="37"/>
  <c r="B1131" i="37"/>
  <c r="B1155" i="37"/>
  <c r="B1157" i="37"/>
  <c r="B1161" i="37"/>
  <c r="B1200" i="37"/>
  <c r="B1198" i="37"/>
  <c r="B1416" i="37"/>
  <c r="B1411" i="37"/>
  <c r="B1405" i="37"/>
  <c r="B2129" i="14"/>
  <c r="B1270" i="37"/>
  <c r="B1269" i="37"/>
  <c r="B1264" i="37"/>
  <c r="B1256" i="37"/>
  <c r="B1255" i="37"/>
  <c r="B1254" i="37"/>
  <c r="B832" i="37"/>
  <c r="B872" i="37"/>
  <c r="B912" i="37"/>
  <c r="B813" i="37"/>
  <c r="B802" i="37"/>
  <c r="B846" i="37"/>
  <c r="B890" i="37"/>
  <c r="B966" i="37"/>
  <c r="B787" i="37"/>
  <c r="B915" i="37"/>
  <c r="B1098" i="37"/>
  <c r="B1090" i="37"/>
  <c r="B1082" i="37"/>
  <c r="B1067" i="37"/>
  <c r="B1059" i="37"/>
  <c r="B1051" i="37"/>
  <c r="B1028" i="37"/>
  <c r="B1130" i="37"/>
  <c r="B1136" i="37"/>
  <c r="B1162" i="37"/>
  <c r="B1232" i="37"/>
  <c r="B1229" i="37"/>
  <c r="B1201" i="37"/>
  <c r="B2157" i="14"/>
  <c r="B1415" i="37"/>
  <c r="B1403" i="37"/>
  <c r="B1273" i="37"/>
  <c r="B1267" i="37"/>
  <c r="B1266" i="37"/>
  <c r="B1263" i="37"/>
  <c r="B1975" i="14"/>
  <c r="B1252" i="37"/>
  <c r="B1253" i="37"/>
  <c r="B1212" i="37"/>
  <c r="B1143" i="37"/>
  <c r="B1137" i="37"/>
  <c r="B1856" i="14"/>
  <c r="B1849" i="14"/>
  <c r="B1124" i="37"/>
  <c r="B1125" i="37"/>
  <c r="B1123" i="37"/>
  <c r="B790" i="37"/>
  <c r="B1421" i="37"/>
  <c r="B1417" i="37"/>
  <c r="B1406" i="37"/>
  <c r="B1268" i="37"/>
  <c r="B1262" i="37"/>
  <c r="B1982" i="14"/>
  <c r="B1249" i="37"/>
  <c r="B1242" i="37"/>
  <c r="B1228" i="37"/>
  <c r="B1227" i="37"/>
  <c r="B2423" i="14"/>
  <c r="B1145" i="37"/>
  <c r="B919" i="37"/>
  <c r="B1423" i="37"/>
  <c r="B1419" i="37"/>
  <c r="B1413" i="37"/>
  <c r="B1408" i="37"/>
  <c r="B2038" i="14"/>
  <c r="B2031" i="14"/>
  <c r="B1247" i="37"/>
  <c r="B1221" i="37"/>
  <c r="B1207" i="37"/>
  <c r="B1203" i="37"/>
  <c r="B1193" i="37"/>
  <c r="B1189" i="37"/>
  <c r="B1185" i="37"/>
  <c r="B1905" i="14"/>
  <c r="B1172" i="37"/>
  <c r="B1160" i="37"/>
  <c r="B1134" i="37"/>
  <c r="B1135" i="37"/>
  <c r="B1133" i="37"/>
  <c r="B1132" i="37"/>
  <c r="B1126" i="37"/>
  <c r="B1116" i="37"/>
  <c r="B2507" i="14"/>
  <c r="B2500" i="14"/>
  <c r="B1056" i="37"/>
  <c r="B1032" i="37"/>
  <c r="B1020" i="37"/>
  <c r="B1004" i="37"/>
  <c r="B968" i="37"/>
  <c r="B955" i="37"/>
  <c r="B887" i="37"/>
  <c r="B852" i="37"/>
  <c r="B791" i="37"/>
  <c r="B1191" i="37"/>
  <c r="B1422" i="37"/>
  <c r="B1418" i="37"/>
  <c r="B1412" i="37"/>
  <c r="B1407" i="37"/>
  <c r="B1236" i="37"/>
  <c r="B1239" i="37"/>
  <c r="B1234" i="37"/>
  <c r="B1235" i="37"/>
  <c r="B1233" i="37"/>
  <c r="B1954" i="14"/>
  <c r="B1230" i="37"/>
  <c r="B1231" i="37"/>
  <c r="B1220" i="37"/>
  <c r="B1940" i="14"/>
  <c r="B1214" i="37"/>
  <c r="B1216" i="37"/>
  <c r="B1208" i="37"/>
  <c r="B1933" i="14"/>
  <c r="B1206" i="37"/>
  <c r="B1199" i="37"/>
  <c r="B1194" i="37"/>
  <c r="B1196" i="37"/>
  <c r="B1190" i="37"/>
  <c r="B1192" i="37"/>
  <c r="B1188" i="37"/>
  <c r="B1184" i="37"/>
  <c r="B1179" i="37"/>
  <c r="B1169" i="37"/>
  <c r="B1170" i="37"/>
  <c r="B1171" i="37"/>
  <c r="B1891" i="14"/>
  <c r="B1167" i="37"/>
  <c r="B1163" i="37"/>
  <c r="B1158" i="37"/>
  <c r="B1159" i="37"/>
  <c r="B2521" i="14"/>
  <c r="B854" i="37"/>
  <c r="B918" i="37"/>
  <c r="BB5" i="33"/>
  <c r="BB7" i="33" s="1"/>
  <c r="B1404" i="37"/>
  <c r="B1402" i="37"/>
  <c r="B1401" i="37"/>
  <c r="D7" i="33"/>
  <c r="B1399" i="37"/>
  <c r="B2122" i="14"/>
  <c r="B1400" i="37"/>
  <c r="B1398" i="37"/>
  <c r="B1397" i="37"/>
  <c r="B1396" i="37"/>
  <c r="BB43" i="33"/>
  <c r="BB42" i="33"/>
  <c r="B1395" i="37"/>
  <c r="B1394" i="37"/>
  <c r="B1393" i="37"/>
  <c r="B1392" i="37"/>
  <c r="B2115" i="14"/>
  <c r="B1351" i="37"/>
  <c r="B1355" i="37"/>
  <c r="B1357" i="37"/>
  <c r="C57" i="44"/>
  <c r="C281" i="44"/>
  <c r="C359" i="44"/>
  <c r="C478" i="44"/>
  <c r="C529" i="44"/>
  <c r="C539" i="44"/>
  <c r="C183" i="44"/>
  <c r="C217" i="44"/>
  <c r="C569" i="44"/>
  <c r="C214" i="44"/>
  <c r="I1176" i="14"/>
  <c r="N1176" i="14" s="1"/>
  <c r="C106" i="44"/>
  <c r="C107" i="44"/>
  <c r="I1155" i="14"/>
  <c r="N1155" i="14" s="1"/>
  <c r="C84" i="44"/>
  <c r="C85" i="44"/>
  <c r="C86" i="44"/>
  <c r="I2122" i="14"/>
  <c r="N2122" i="14" s="1"/>
  <c r="C87" i="44"/>
  <c r="C88" i="44"/>
  <c r="I1142" i="14"/>
  <c r="N1142" i="14" s="1"/>
  <c r="C72" i="44"/>
  <c r="C73" i="44"/>
  <c r="I1814" i="14"/>
  <c r="N1814" i="14" s="1"/>
  <c r="I1358" i="14"/>
  <c r="N1358" i="14" s="1"/>
  <c r="C288" i="44"/>
  <c r="C289" i="44"/>
  <c r="I1415" i="14"/>
  <c r="N1415" i="14" s="1"/>
  <c r="C346" i="44"/>
  <c r="I1420" i="14"/>
  <c r="N1420" i="14" s="1"/>
  <c r="C351" i="44"/>
  <c r="C408" i="44"/>
  <c r="C407" i="44"/>
  <c r="I1644" i="14"/>
  <c r="N1644" i="14" s="1"/>
  <c r="C574" i="44"/>
  <c r="C575" i="44"/>
  <c r="I1940" i="14"/>
  <c r="N1940" i="14" s="1"/>
  <c r="I2034" i="14"/>
  <c r="N2034" i="14" s="1"/>
  <c r="I1117" i="14"/>
  <c r="N1117" i="14" s="1"/>
  <c r="C48" i="44"/>
  <c r="I1228" i="14"/>
  <c r="N1228" i="14" s="1"/>
  <c r="C159" i="44"/>
  <c r="I2078" i="14"/>
  <c r="N2078" i="14" s="1"/>
  <c r="I2050" i="14"/>
  <c r="N2050" i="14" s="1"/>
  <c r="I1138" i="14"/>
  <c r="N1138" i="14" s="1"/>
  <c r="C69" i="44"/>
  <c r="I1335" i="14"/>
  <c r="N1335" i="14" s="1"/>
  <c r="C266" i="44"/>
  <c r="C265" i="44"/>
  <c r="C636" i="44"/>
  <c r="I1276" i="14"/>
  <c r="N1276" i="14" s="1"/>
  <c r="C207" i="44"/>
  <c r="I1302" i="14"/>
  <c r="N1302" i="14" s="1"/>
  <c r="C233" i="44"/>
  <c r="I1371" i="14"/>
  <c r="N1371" i="14" s="1"/>
  <c r="C301" i="44"/>
  <c r="C302" i="44"/>
  <c r="C90" i="44"/>
  <c r="C89" i="44"/>
  <c r="I1493" i="14"/>
  <c r="N1493" i="14" s="1"/>
  <c r="C424" i="44"/>
  <c r="C423" i="44"/>
  <c r="C626" i="44"/>
  <c r="C627" i="44"/>
  <c r="I1596" i="14"/>
  <c r="N1596" i="14" s="1"/>
  <c r="C527" i="44"/>
  <c r="I2118" i="14"/>
  <c r="N2118" i="14" s="1"/>
  <c r="I1269" i="14"/>
  <c r="N1269" i="14" s="1"/>
  <c r="C200" i="44"/>
  <c r="C149" i="44"/>
  <c r="I1535" i="14"/>
  <c r="N1535" i="14" s="1"/>
  <c r="C465" i="44"/>
  <c r="C466" i="44"/>
  <c r="I1379" i="14"/>
  <c r="N1379" i="14" s="1"/>
  <c r="C310" i="44"/>
  <c r="I1376" i="14"/>
  <c r="N1376" i="14" s="1"/>
  <c r="C307" i="44"/>
  <c r="I1352" i="14"/>
  <c r="N1352" i="14" s="1"/>
  <c r="C283" i="44"/>
  <c r="C70" i="44"/>
  <c r="C211" i="44"/>
  <c r="C467" i="44"/>
  <c r="C609" i="44"/>
  <c r="C371" i="44"/>
  <c r="C606" i="44"/>
  <c r="C591" i="44"/>
  <c r="C639" i="44"/>
  <c r="C542" i="44"/>
  <c r="C147" i="44"/>
  <c r="C137" i="44"/>
  <c r="C75" i="44"/>
  <c r="C99" i="44"/>
  <c r="C481" i="44"/>
  <c r="C246" i="44"/>
  <c r="C479" i="44"/>
  <c r="C638" i="44"/>
  <c r="C121" i="44"/>
  <c r="C518" i="44"/>
  <c r="C179" i="44"/>
  <c r="C115" i="44"/>
  <c r="C570" i="44"/>
  <c r="I2058" i="14"/>
  <c r="N2058" i="14" s="1"/>
  <c r="C258" i="44"/>
  <c r="C259" i="44"/>
  <c r="C286" i="44"/>
  <c r="C287" i="44"/>
  <c r="I1380" i="14"/>
  <c r="N1380" i="14" s="1"/>
  <c r="C311" i="44"/>
  <c r="I1499" i="14"/>
  <c r="N1499" i="14" s="1"/>
  <c r="C429" i="44"/>
  <c r="C430" i="44"/>
  <c r="I1337" i="14"/>
  <c r="N1337" i="14" s="1"/>
  <c r="C268" i="44"/>
  <c r="C267" i="44"/>
  <c r="C390" i="44"/>
  <c r="I1564" i="14"/>
  <c r="N1564" i="14" s="1"/>
  <c r="C495" i="44"/>
  <c r="C494" i="44"/>
  <c r="I1326" i="14"/>
  <c r="N1326" i="14" s="1"/>
  <c r="C256" i="44"/>
  <c r="C257" i="44"/>
  <c r="I1285" i="14"/>
  <c r="N1285" i="14" s="1"/>
  <c r="C216" i="44"/>
  <c r="I1963" i="14"/>
  <c r="N1963" i="14" s="1"/>
  <c r="I1162" i="14"/>
  <c r="N1162" i="14" s="1"/>
  <c r="C92" i="44"/>
  <c r="C93" i="44"/>
  <c r="C91" i="44"/>
  <c r="I1284" i="14"/>
  <c r="N1284" i="14" s="1"/>
  <c r="C215" i="44"/>
  <c r="I2127" i="14"/>
  <c r="N2127" i="14" s="1"/>
  <c r="I1384" i="14"/>
  <c r="N1384" i="14" s="1"/>
  <c r="C315" i="44"/>
  <c r="I1339" i="14"/>
  <c r="N1339" i="14" s="1"/>
  <c r="C269" i="44"/>
  <c r="C270" i="44"/>
  <c r="I1373" i="14"/>
  <c r="N1373" i="14" s="1"/>
  <c r="C304" i="44"/>
  <c r="I1772" i="14"/>
  <c r="N1772" i="14" s="1"/>
  <c r="I1807" i="14"/>
  <c r="N1807" i="14" s="1"/>
  <c r="I1365" i="14"/>
  <c r="N1365" i="14" s="1"/>
  <c r="C296" i="44"/>
  <c r="C294" i="44"/>
  <c r="C295" i="44"/>
  <c r="I1448" i="14"/>
  <c r="N1448" i="14" s="1"/>
  <c r="C378" i="44"/>
  <c r="C379" i="44"/>
  <c r="I1634" i="14"/>
  <c r="N1634" i="14" s="1"/>
  <c r="C565" i="44"/>
  <c r="C621" i="44"/>
  <c r="I1773" i="14"/>
  <c r="N1773" i="14" s="1"/>
  <c r="I1575" i="14"/>
  <c r="N1575" i="14" s="1"/>
  <c r="C505" i="44"/>
  <c r="C506" i="44"/>
  <c r="I1460" i="14"/>
  <c r="N1460" i="14" s="1"/>
  <c r="C391" i="44"/>
  <c r="C514" i="44"/>
  <c r="C78" i="44"/>
  <c r="C279" i="44"/>
  <c r="C439" i="44"/>
  <c r="C343" i="44"/>
  <c r="I1915" i="14"/>
  <c r="N1915" i="14" s="1"/>
  <c r="I1398" i="14"/>
  <c r="N1398" i="14" s="1"/>
  <c r="C329" i="44"/>
  <c r="I1078" i="14"/>
  <c r="N1078" i="14" s="1"/>
  <c r="C8" i="44"/>
  <c r="C9" i="44"/>
  <c r="C197" i="44"/>
  <c r="I1297" i="14"/>
  <c r="N1297" i="14" s="1"/>
  <c r="C228" i="44"/>
  <c r="I1436" i="14"/>
  <c r="N1436" i="14" s="1"/>
  <c r="C366" i="44"/>
  <c r="C367" i="44"/>
  <c r="I1802" i="14"/>
  <c r="N1802" i="14" s="1"/>
  <c r="I1462" i="14"/>
  <c r="N1462" i="14" s="1"/>
  <c r="C392" i="44"/>
  <c r="C393" i="44"/>
  <c r="C614" i="44"/>
  <c r="C615" i="44"/>
  <c r="C504" i="44"/>
  <c r="C503" i="44"/>
  <c r="I1817" i="14"/>
  <c r="N1817" i="14" s="1"/>
  <c r="I1347" i="14"/>
  <c r="N1347" i="14" s="1"/>
  <c r="C278" i="44"/>
  <c r="C54" i="44"/>
  <c r="I1571" i="14"/>
  <c r="N1571" i="14" s="1"/>
  <c r="C502" i="44"/>
  <c r="I1244" i="14"/>
  <c r="N1244" i="14" s="1"/>
  <c r="C175" i="44"/>
  <c r="I1301" i="14"/>
  <c r="N1301" i="14" s="1"/>
  <c r="C232" i="44"/>
  <c r="I1386" i="14"/>
  <c r="N1386" i="14" s="1"/>
  <c r="C317" i="44"/>
  <c r="C248" i="44"/>
  <c r="C247" i="44"/>
  <c r="C521" i="44"/>
  <c r="I1411" i="14"/>
  <c r="N1411" i="14" s="1"/>
  <c r="C341" i="44"/>
  <c r="C342" i="44"/>
  <c r="I1726" i="14"/>
  <c r="N1726" i="14" s="1"/>
  <c r="C553" i="44"/>
  <c r="C249" i="44"/>
  <c r="C593" i="44"/>
  <c r="C118" i="44"/>
  <c r="C543" i="44"/>
  <c r="C438" i="44"/>
  <c r="I1290" i="14"/>
  <c r="N1290" i="14" s="1"/>
  <c r="C221" i="44"/>
  <c r="I1401" i="14"/>
  <c r="N1401" i="14" s="1"/>
  <c r="C332" i="44"/>
  <c r="I1446" i="14"/>
  <c r="N1446" i="14" s="1"/>
  <c r="C376" i="44"/>
  <c r="C377" i="44"/>
  <c r="C588" i="44"/>
  <c r="C589" i="44"/>
  <c r="C587" i="44"/>
  <c r="C590" i="44"/>
  <c r="I1770" i="14"/>
  <c r="N1770" i="14" s="1"/>
  <c r="I1666" i="14"/>
  <c r="N1666" i="14" s="1"/>
  <c r="C597" i="44"/>
  <c r="I1104" i="14"/>
  <c r="N1104" i="14" s="1"/>
  <c r="C34" i="44"/>
  <c r="C35" i="44"/>
  <c r="C166" i="44"/>
  <c r="C167" i="44"/>
  <c r="C208" i="44"/>
  <c r="I2109" i="14"/>
  <c r="N2109" i="14" s="1"/>
  <c r="I2028" i="14"/>
  <c r="N2028" i="14" s="1"/>
  <c r="I1692" i="14"/>
  <c r="N1692" i="14" s="1"/>
  <c r="C622" i="44"/>
  <c r="C623" i="44"/>
  <c r="I1296" i="14"/>
  <c r="N1296" i="14" s="1"/>
  <c r="C227" i="44"/>
  <c r="C274" i="44"/>
  <c r="C275" i="44"/>
  <c r="I1203" i="14"/>
  <c r="N1203" i="14" s="1"/>
  <c r="C134" i="44"/>
  <c r="I1308" i="14"/>
  <c r="N1308" i="14" s="1"/>
  <c r="C238" i="44"/>
  <c r="C239" i="44"/>
  <c r="I1164" i="14"/>
  <c r="N1164" i="14" s="1"/>
  <c r="C95" i="44"/>
  <c r="C94" i="44"/>
  <c r="I1262" i="14"/>
  <c r="N1262" i="14" s="1"/>
  <c r="C192" i="44"/>
  <c r="C193" i="44"/>
  <c r="C152" i="44"/>
  <c r="C154" i="44"/>
  <c r="C153" i="44"/>
  <c r="I1570" i="14"/>
  <c r="N1570" i="14" s="1"/>
  <c r="C500" i="44"/>
  <c r="C501" i="44"/>
  <c r="I1744" i="14"/>
  <c r="N1744" i="14" s="1"/>
  <c r="C373" i="44"/>
  <c r="C374" i="44"/>
  <c r="C375" i="44"/>
  <c r="I1385" i="14"/>
  <c r="N1385" i="14" s="1"/>
  <c r="C316" i="44"/>
  <c r="I1825" i="14"/>
  <c r="N1825" i="14" s="1"/>
  <c r="I1669" i="14"/>
  <c r="N1669" i="14" s="1"/>
  <c r="C600" i="44"/>
  <c r="I1803" i="14"/>
  <c r="N1803" i="14" s="1"/>
  <c r="I1764" i="14"/>
  <c r="N1764" i="14" s="1"/>
  <c r="I1686" i="14"/>
  <c r="N1686" i="14" s="1"/>
  <c r="C616" i="44"/>
  <c r="C617" i="44"/>
  <c r="I1468" i="14"/>
  <c r="N1468" i="14" s="1"/>
  <c r="C398" i="44"/>
  <c r="C399" i="44"/>
  <c r="I1601" i="14"/>
  <c r="N1601" i="14" s="1"/>
  <c r="C532" i="44"/>
  <c r="C531" i="44"/>
  <c r="I1431" i="14"/>
  <c r="N1431" i="14" s="1"/>
  <c r="C362" i="44"/>
  <c r="C361" i="44"/>
  <c r="I1479" i="14"/>
  <c r="N1479" i="14" s="1"/>
  <c r="C410" i="44"/>
  <c r="C409" i="44"/>
  <c r="I1767" i="14"/>
  <c r="N1767" i="14" s="1"/>
  <c r="I1617" i="14"/>
  <c r="N1617" i="14" s="1"/>
  <c r="C548" i="44"/>
  <c r="C546" i="44"/>
  <c r="C547" i="44"/>
  <c r="I1626" i="14"/>
  <c r="N1626" i="14" s="1"/>
  <c r="C556" i="44"/>
  <c r="C557" i="44"/>
  <c r="I1903" i="14"/>
  <c r="N1903" i="14" s="1"/>
  <c r="I1900" i="14"/>
  <c r="N1900" i="14" s="1"/>
  <c r="I2134" i="14"/>
  <c r="N2134" i="14" s="1"/>
  <c r="I1116" i="14"/>
  <c r="N1116" i="14" s="1"/>
  <c r="C47" i="44"/>
  <c r="C46" i="44"/>
  <c r="I1295" i="14"/>
  <c r="N1295" i="14" s="1"/>
  <c r="C226" i="44"/>
  <c r="C263" i="44"/>
  <c r="C113" i="44"/>
  <c r="I1114" i="14"/>
  <c r="N1114" i="14" s="1"/>
  <c r="C44" i="44"/>
  <c r="C45" i="44"/>
  <c r="C43" i="44"/>
  <c r="C13" i="44"/>
  <c r="C15" i="44"/>
  <c r="C16" i="44"/>
  <c r="I1340" i="14"/>
  <c r="N1340" i="14" s="1"/>
  <c r="C271" i="44"/>
  <c r="I1242" i="14"/>
  <c r="N1242" i="14" s="1"/>
  <c r="C173" i="44"/>
  <c r="I1827" i="14"/>
  <c r="N1827" i="14" s="1"/>
  <c r="I1682" i="14"/>
  <c r="N1682" i="14" s="1"/>
  <c r="C612" i="44"/>
  <c r="C613" i="44"/>
  <c r="I1486" i="14"/>
  <c r="N1486" i="14" s="1"/>
  <c r="C416" i="44"/>
  <c r="C417" i="44"/>
  <c r="I1937" i="14"/>
  <c r="N1937" i="14" s="1"/>
  <c r="I1927" i="14"/>
  <c r="N1927" i="14" s="1"/>
  <c r="I1913" i="14"/>
  <c r="N1913" i="14" s="1"/>
  <c r="I1909" i="14"/>
  <c r="N1909" i="14" s="1"/>
  <c r="I1843" i="14"/>
  <c r="N1843" i="14" s="1"/>
  <c r="C641" i="44"/>
  <c r="C619" i="44"/>
  <c r="C595" i="44"/>
  <c r="C545" i="44"/>
  <c r="C519" i="44"/>
  <c r="C441" i="44"/>
  <c r="C345" i="44"/>
  <c r="C313" i="44"/>
  <c r="C185" i="44"/>
  <c r="C14" i="44"/>
  <c r="I1743" i="14"/>
  <c r="N1743" i="14" s="1"/>
  <c r="C640" i="44"/>
  <c r="C618" i="44"/>
  <c r="C594" i="44"/>
  <c r="C491" i="44"/>
  <c r="C151" i="44"/>
  <c r="I1475" i="14"/>
  <c r="N1475" i="14" s="1"/>
  <c r="C404" i="44"/>
  <c r="C405" i="44"/>
  <c r="I1595" i="14"/>
  <c r="N1595" i="14" s="1"/>
  <c r="C526" i="44"/>
  <c r="I1628" i="14"/>
  <c r="N1628" i="14" s="1"/>
  <c r="C559" i="44"/>
  <c r="I1907" i="14"/>
  <c r="N1907" i="14" s="1"/>
  <c r="I1099" i="14"/>
  <c r="N1099" i="14" s="1"/>
  <c r="C29" i="44"/>
  <c r="C30" i="44"/>
  <c r="C464" i="44"/>
  <c r="I1238" i="14"/>
  <c r="N1238" i="14" s="1"/>
  <c r="C168" i="44"/>
  <c r="I1251" i="14"/>
  <c r="N1251" i="14" s="1"/>
  <c r="C181" i="44"/>
  <c r="I1241" i="14"/>
  <c r="N1241" i="14" s="1"/>
  <c r="C172" i="44"/>
  <c r="C171" i="44"/>
  <c r="I1231" i="14"/>
  <c r="N1231" i="14" s="1"/>
  <c r="C162" i="44"/>
  <c r="I1121" i="14"/>
  <c r="N1121" i="14" s="1"/>
  <c r="C52" i="44"/>
  <c r="I1640" i="14"/>
  <c r="N1640" i="14" s="1"/>
  <c r="C571" i="44"/>
  <c r="I1520" i="14"/>
  <c r="N1520" i="14" s="1"/>
  <c r="C448" i="44"/>
  <c r="C447" i="44"/>
  <c r="C449" i="44"/>
  <c r="I2073" i="14"/>
  <c r="N2073" i="14" s="1"/>
  <c r="I2027" i="14"/>
  <c r="N2027" i="14" s="1"/>
  <c r="C76" i="44"/>
  <c r="C77" i="44"/>
  <c r="C79" i="44"/>
  <c r="I1166" i="14"/>
  <c r="N1166" i="14" s="1"/>
  <c r="C96" i="44"/>
  <c r="I1174" i="14"/>
  <c r="N1174" i="14" s="1"/>
  <c r="C104" i="44"/>
  <c r="C105" i="44"/>
  <c r="I1306" i="14"/>
  <c r="N1306" i="14" s="1"/>
  <c r="C236" i="44"/>
  <c r="C237" i="44"/>
  <c r="I1349" i="14"/>
  <c r="N1349" i="14" s="1"/>
  <c r="C280" i="44"/>
  <c r="I1511" i="14"/>
  <c r="N1511" i="14" s="1"/>
  <c r="C440" i="44"/>
  <c r="C442" i="44"/>
  <c r="I1419" i="14"/>
  <c r="N1419" i="14" s="1"/>
  <c r="C350" i="44"/>
  <c r="I1735" i="14"/>
  <c r="N1735" i="14" s="1"/>
  <c r="I1801" i="14"/>
  <c r="N1801" i="14" s="1"/>
  <c r="I1714" i="14"/>
  <c r="N1714" i="14" s="1"/>
  <c r="C644" i="44"/>
  <c r="C645" i="44"/>
  <c r="I1525" i="14"/>
  <c r="N1525" i="14" s="1"/>
  <c r="C456" i="44"/>
  <c r="I1529" i="14"/>
  <c r="N1529" i="14" s="1"/>
  <c r="C460" i="44"/>
  <c r="C459" i="44"/>
  <c r="I1562" i="14"/>
  <c r="N1562" i="14" s="1"/>
  <c r="C492" i="44"/>
  <c r="C493" i="44"/>
  <c r="I1287" i="14"/>
  <c r="N1287" i="14" s="1"/>
  <c r="C218" i="44"/>
  <c r="C204" i="44"/>
  <c r="C203" i="44"/>
  <c r="I1271" i="14"/>
  <c r="N1271" i="14" s="1"/>
  <c r="C202" i="44"/>
  <c r="I1674" i="14"/>
  <c r="N1674" i="14" s="1"/>
  <c r="C605" i="44"/>
  <c r="C240" i="44"/>
  <c r="C241" i="44"/>
  <c r="C563" i="44"/>
  <c r="C340" i="44"/>
  <c r="C344" i="44"/>
  <c r="C601" i="44"/>
  <c r="C363" i="44"/>
  <c r="C586" i="44"/>
  <c r="C523" i="44"/>
  <c r="I1761" i="14"/>
  <c r="N1761" i="14" s="1"/>
  <c r="I1771" i="14"/>
  <c r="N1771" i="14" s="1"/>
  <c r="C400" i="44"/>
  <c r="C401" i="44"/>
  <c r="I1649" i="14"/>
  <c r="N1649" i="14" s="1"/>
  <c r="C580" i="44"/>
  <c r="I1724" i="14"/>
  <c r="N1724" i="14" s="1"/>
  <c r="C572" i="44"/>
  <c r="C573" i="44"/>
  <c r="C620" i="44"/>
  <c r="I1898" i="14"/>
  <c r="N1898" i="14" s="1"/>
  <c r="I2081" i="14"/>
  <c r="N2081" i="14" s="1"/>
  <c r="C41" i="44"/>
  <c r="C42" i="44"/>
  <c r="C234" i="44"/>
  <c r="I1582" i="14"/>
  <c r="N1582" i="14" s="1"/>
  <c r="C512" i="44"/>
  <c r="C511" i="44"/>
  <c r="C513" i="44"/>
  <c r="I1397" i="14"/>
  <c r="N1397" i="14" s="1"/>
  <c r="C328" i="44"/>
  <c r="I1072" i="14"/>
  <c r="N1072" i="14" s="1"/>
  <c r="C3" i="44"/>
  <c r="I1256" i="14"/>
  <c r="N1256" i="14" s="1"/>
  <c r="C186" i="44"/>
  <c r="C187" i="44"/>
  <c r="I1263" i="14"/>
  <c r="N1263" i="14" s="1"/>
  <c r="C194" i="44"/>
  <c r="I1097" i="14"/>
  <c r="N1097" i="14" s="1"/>
  <c r="C28" i="44"/>
  <c r="C27" i="44"/>
  <c r="I1354" i="14"/>
  <c r="N1354" i="14" s="1"/>
  <c r="C284" i="44"/>
  <c r="C285" i="44"/>
  <c r="I1225" i="14"/>
  <c r="N1225" i="14" s="1"/>
  <c r="C156" i="44"/>
  <c r="I1197" i="14"/>
  <c r="N1197" i="14" s="1"/>
  <c r="C128" i="44"/>
  <c r="C127" i="44"/>
  <c r="I1135" i="14"/>
  <c r="N1135" i="14" s="1"/>
  <c r="C64" i="44"/>
  <c r="C66" i="44"/>
  <c r="C65" i="44"/>
  <c r="I1652" i="14"/>
  <c r="N1652" i="14" s="1"/>
  <c r="C581" i="44"/>
  <c r="I1841" i="14"/>
  <c r="N1841" i="14" s="1"/>
  <c r="C567" i="44"/>
  <c r="C515" i="44"/>
  <c r="C490" i="44"/>
  <c r="C406" i="44"/>
  <c r="C182" i="44"/>
  <c r="C150" i="44"/>
  <c r="I1505" i="14"/>
  <c r="N1505" i="14" s="1"/>
  <c r="C436" i="44"/>
  <c r="C432" i="44"/>
  <c r="C434" i="44"/>
  <c r="C433" i="44"/>
  <c r="I1812" i="14"/>
  <c r="N1812" i="14" s="1"/>
  <c r="I1312" i="14"/>
  <c r="N1312" i="14" s="1"/>
  <c r="C242" i="44"/>
  <c r="C68" i="44"/>
  <c r="C67" i="44"/>
  <c r="I1390" i="14"/>
  <c r="N1390" i="14" s="1"/>
  <c r="C320" i="44"/>
  <c r="C321" i="44"/>
  <c r="I1209" i="14"/>
  <c r="N1209" i="14" s="1"/>
  <c r="C140" i="44"/>
  <c r="C139" i="44"/>
  <c r="I1128" i="14"/>
  <c r="N1128" i="14" s="1"/>
  <c r="C58" i="44"/>
  <c r="C59" i="44"/>
  <c r="I1836" i="14"/>
  <c r="N1836" i="14" s="1"/>
  <c r="I1834" i="14"/>
  <c r="N1834" i="14" s="1"/>
  <c r="I1319" i="14"/>
  <c r="N1319" i="14" s="1"/>
  <c r="C250" i="44"/>
  <c r="I1322" i="14"/>
  <c r="N1322" i="14" s="1"/>
  <c r="C253" i="44"/>
  <c r="I1202" i="14"/>
  <c r="N1202" i="14" s="1"/>
  <c r="C132" i="44"/>
  <c r="C133" i="44"/>
  <c r="I1321" i="14"/>
  <c r="N1321" i="14" s="1"/>
  <c r="C252" i="44"/>
  <c r="C251" i="44"/>
  <c r="I1275" i="14"/>
  <c r="N1275" i="14" s="1"/>
  <c r="C205" i="44"/>
  <c r="C206" i="44"/>
  <c r="I1426" i="14"/>
  <c r="N1426" i="14" s="1"/>
  <c r="C356" i="44"/>
  <c r="C357" i="44"/>
  <c r="I1594" i="14"/>
  <c r="N1594" i="14" s="1"/>
  <c r="C525" i="44"/>
  <c r="C292" i="44"/>
  <c r="C293" i="44"/>
  <c r="C298" i="44"/>
  <c r="C314" i="44"/>
  <c r="I1514" i="14"/>
  <c r="N1514" i="14" s="1"/>
  <c r="C444" i="44"/>
  <c r="C445" i="44"/>
  <c r="C443" i="44"/>
  <c r="I1400" i="14"/>
  <c r="N1400" i="14" s="1"/>
  <c r="C330" i="44"/>
  <c r="C331" i="44"/>
  <c r="I1378" i="14"/>
  <c r="N1378" i="14" s="1"/>
  <c r="C309" i="44"/>
  <c r="I1457" i="14"/>
  <c r="N1457" i="14" s="1"/>
  <c r="C388" i="44"/>
  <c r="C322" i="44"/>
  <c r="C324" i="44"/>
  <c r="C325" i="44"/>
  <c r="C596" i="44"/>
  <c r="I1797" i="14"/>
  <c r="N1797" i="14" s="1"/>
  <c r="I1466" i="14"/>
  <c r="N1466" i="14" s="1"/>
  <c r="C396" i="44"/>
  <c r="C397" i="44"/>
  <c r="I1704" i="14"/>
  <c r="N1704" i="14" s="1"/>
  <c r="C635" i="44"/>
  <c r="I1730" i="14"/>
  <c r="N1730" i="14" s="1"/>
  <c r="I1712" i="14"/>
  <c r="N1712" i="14" s="1"/>
  <c r="C642" i="44"/>
  <c r="C643" i="44"/>
  <c r="C402" i="44"/>
  <c r="I1586" i="14"/>
  <c r="N1586" i="14" s="1"/>
  <c r="C516" i="44"/>
  <c r="C517" i="44"/>
  <c r="I1794" i="14"/>
  <c r="N1794" i="14" s="1"/>
  <c r="I1603" i="14"/>
  <c r="N1603" i="14" s="1"/>
  <c r="C533" i="44"/>
  <c r="C534" i="44"/>
  <c r="I2049" i="14"/>
  <c r="N2049" i="14" s="1"/>
  <c r="I1897" i="14"/>
  <c r="N1897" i="14" s="1"/>
  <c r="I1192" i="14"/>
  <c r="N1192" i="14" s="1"/>
  <c r="C123" i="44"/>
  <c r="C522" i="44"/>
  <c r="I1074" i="14"/>
  <c r="N1074" i="14" s="1"/>
  <c r="C4" i="44"/>
  <c r="C5" i="44"/>
  <c r="I1281" i="14"/>
  <c r="N1281" i="14" s="1"/>
  <c r="C212" i="44"/>
  <c r="I1109" i="14"/>
  <c r="N1109" i="14" s="1"/>
  <c r="C39" i="44"/>
  <c r="C40" i="44"/>
  <c r="I1095" i="14"/>
  <c r="N1095" i="14" s="1"/>
  <c r="C25" i="44"/>
  <c r="C26" i="44"/>
  <c r="I1081" i="14"/>
  <c r="N1081" i="14" s="1"/>
  <c r="C12" i="44"/>
  <c r="C11" i="44"/>
  <c r="I1233" i="14"/>
  <c r="N1233" i="14" s="1"/>
  <c r="C164" i="44"/>
  <c r="I1189" i="14"/>
  <c r="N1189" i="14" s="1"/>
  <c r="C119" i="44"/>
  <c r="C120" i="44"/>
  <c r="I1187" i="14"/>
  <c r="N1187" i="14" s="1"/>
  <c r="C116" i="44"/>
  <c r="C117" i="44"/>
  <c r="I1130" i="14"/>
  <c r="N1130" i="14" s="1"/>
  <c r="C60" i="44"/>
  <c r="C61" i="44"/>
  <c r="I1614" i="14"/>
  <c r="N1614" i="14" s="1"/>
  <c r="C544" i="44"/>
  <c r="I1607" i="14"/>
  <c r="N1607" i="14" s="1"/>
  <c r="C536" i="44"/>
  <c r="C535" i="44"/>
  <c r="C537" i="44"/>
  <c r="C538" i="44"/>
  <c r="I1522" i="14"/>
  <c r="N1522" i="14" s="1"/>
  <c r="C452" i="44"/>
  <c r="C453" i="44"/>
  <c r="I1507" i="14"/>
  <c r="N1507" i="14" s="1"/>
  <c r="C437" i="44"/>
  <c r="I1495" i="14"/>
  <c r="N1495" i="14" s="1"/>
  <c r="C426" i="44"/>
  <c r="I2010" i="14"/>
  <c r="N2010" i="14" s="1"/>
  <c r="I1954" i="14"/>
  <c r="N1954" i="14" s="1"/>
  <c r="I1857" i="14"/>
  <c r="N1857" i="14" s="1"/>
  <c r="C566" i="44"/>
  <c r="C489" i="44"/>
  <c r="C463" i="44"/>
  <c r="C435" i="44"/>
  <c r="C403" i="44"/>
  <c r="C339" i="44"/>
  <c r="C243" i="44"/>
  <c r="I1107" i="14"/>
  <c r="N1107" i="14" s="1"/>
  <c r="C36" i="44"/>
  <c r="C37" i="44"/>
  <c r="C38" i="44"/>
  <c r="I1093" i="14"/>
  <c r="N1093" i="14" s="1"/>
  <c r="C23" i="44"/>
  <c r="C24" i="44"/>
  <c r="I1079" i="14"/>
  <c r="N1079" i="14" s="1"/>
  <c r="C10" i="44"/>
  <c r="I1182" i="14"/>
  <c r="N1182" i="14" s="1"/>
  <c r="C112" i="44"/>
  <c r="I1701" i="14"/>
  <c r="N1701" i="14" s="1"/>
  <c r="C632" i="44"/>
  <c r="I1482" i="14"/>
  <c r="N1482" i="14" s="1"/>
  <c r="C412" i="44"/>
  <c r="C413" i="44"/>
  <c r="C411" i="44"/>
  <c r="I1961" i="14"/>
  <c r="N1961" i="14" s="1"/>
  <c r="I1874" i="14"/>
  <c r="N1874" i="14" s="1"/>
  <c r="I1867" i="14"/>
  <c r="N1867" i="14" s="1"/>
  <c r="I1932" i="14"/>
  <c r="N1932" i="14" s="1"/>
  <c r="C631" i="44"/>
  <c r="C583" i="44"/>
  <c r="C558" i="44"/>
  <c r="C455" i="44"/>
  <c r="C425" i="44"/>
  <c r="C297" i="44"/>
  <c r="C201" i="44"/>
  <c r="C169" i="44"/>
  <c r="I1258" i="14"/>
  <c r="N1258" i="14" s="1"/>
  <c r="C189" i="44"/>
  <c r="I1091" i="14"/>
  <c r="N1091" i="14" s="1"/>
  <c r="C21" i="44"/>
  <c r="C22" i="44"/>
  <c r="I1227" i="14"/>
  <c r="N1227" i="14" s="1"/>
  <c r="C157" i="44"/>
  <c r="C158" i="44"/>
  <c r="I1213" i="14"/>
  <c r="N1213" i="14" s="1"/>
  <c r="C144" i="44"/>
  <c r="C143" i="44"/>
  <c r="I1206" i="14"/>
  <c r="N1206" i="14" s="1"/>
  <c r="C136" i="44"/>
  <c r="I1195" i="14"/>
  <c r="N1195" i="14" s="1"/>
  <c r="C126" i="44"/>
  <c r="I1144" i="14"/>
  <c r="N1144" i="14" s="1"/>
  <c r="C74" i="44"/>
  <c r="I1234" i="14"/>
  <c r="N1234" i="14" s="1"/>
  <c r="C165" i="44"/>
  <c r="I1654" i="14"/>
  <c r="N1654" i="14" s="1"/>
  <c r="C584" i="44"/>
  <c r="C585" i="44"/>
  <c r="I1996" i="14"/>
  <c r="N1996" i="14" s="1"/>
  <c r="I1989" i="14"/>
  <c r="N1989" i="14" s="1"/>
  <c r="I1975" i="14"/>
  <c r="N1975" i="14" s="1"/>
  <c r="I1965" i="14"/>
  <c r="N1965" i="14" s="1"/>
  <c r="I1842" i="14"/>
  <c r="N1842" i="14" s="1"/>
  <c r="I1930" i="14"/>
  <c r="N1930" i="14" s="1"/>
  <c r="C630" i="44"/>
  <c r="C607" i="44"/>
  <c r="C582" i="44"/>
  <c r="C555" i="44"/>
  <c r="C530" i="44"/>
  <c r="C454" i="44"/>
  <c r="C327" i="44"/>
  <c r="C231" i="44"/>
  <c r="C199" i="44"/>
  <c r="C135" i="44"/>
  <c r="C97" i="44"/>
  <c r="I1180" i="14"/>
  <c r="N1180" i="14" s="1"/>
  <c r="C111" i="44"/>
  <c r="C110" i="44"/>
  <c r="I1140" i="14"/>
  <c r="N1140" i="14" s="1"/>
  <c r="C71" i="44"/>
  <c r="I1538" i="14"/>
  <c r="N1538" i="14" s="1"/>
  <c r="C468" i="44"/>
  <c r="C469" i="44"/>
  <c r="I1722" i="14"/>
  <c r="N1722" i="14" s="1"/>
  <c r="C161" i="44"/>
  <c r="I1577" i="14"/>
  <c r="N1577" i="14" s="1"/>
  <c r="C508" i="44"/>
  <c r="C507" i="44"/>
  <c r="I1346" i="14"/>
  <c r="N1346" i="14" s="1"/>
  <c r="C276" i="44"/>
  <c r="C277" i="44"/>
  <c r="I1441" i="14"/>
  <c r="N1441" i="14" s="1"/>
  <c r="C372" i="44"/>
  <c r="C370" i="44"/>
  <c r="I1438" i="14"/>
  <c r="N1438" i="14" s="1"/>
  <c r="C368" i="44"/>
  <c r="C369" i="44"/>
  <c r="C420" i="44"/>
  <c r="C418" i="44"/>
  <c r="C624" i="44"/>
  <c r="C625" i="44"/>
  <c r="C592" i="44"/>
  <c r="C561" i="44"/>
  <c r="C562" i="44"/>
  <c r="C496" i="44"/>
  <c r="C497" i="44"/>
  <c r="C541" i="44"/>
  <c r="I1403" i="14"/>
  <c r="N1403" i="14" s="1"/>
  <c r="C333" i="44"/>
  <c r="C334" i="44"/>
  <c r="I1698" i="14"/>
  <c r="N1698" i="14" s="1"/>
  <c r="C628" i="44"/>
  <c r="C629" i="44"/>
  <c r="I1555" i="14"/>
  <c r="N1555" i="14" s="1"/>
  <c r="C484" i="44"/>
  <c r="C485" i="44"/>
  <c r="C483" i="44"/>
  <c r="C486" i="44"/>
  <c r="I1313" i="14"/>
  <c r="N1313" i="14" s="1"/>
  <c r="C244" i="44"/>
  <c r="I1215" i="14"/>
  <c r="N1215" i="14" s="1"/>
  <c r="C146" i="44"/>
  <c r="C145" i="44"/>
  <c r="I1217" i="14"/>
  <c r="N1217" i="14" s="1"/>
  <c r="C148" i="44"/>
  <c r="I2041" i="14"/>
  <c r="N2041" i="14" s="1"/>
  <c r="I1852" i="14"/>
  <c r="N1852" i="14" s="1"/>
  <c r="C82" i="44"/>
  <c r="C83" i="44"/>
  <c r="I1388" i="14"/>
  <c r="N1388" i="14" s="1"/>
  <c r="C318" i="44"/>
  <c r="C319" i="44"/>
  <c r="C98" i="44"/>
  <c r="I1294" i="14"/>
  <c r="N1294" i="14" s="1"/>
  <c r="C224" i="44"/>
  <c r="C225" i="44"/>
  <c r="I1342" i="14"/>
  <c r="N1342" i="14" s="1"/>
  <c r="C272" i="44"/>
  <c r="C273" i="44"/>
  <c r="C482" i="44"/>
  <c r="I1754" i="14"/>
  <c r="N1754" i="14" s="1"/>
  <c r="C509" i="44"/>
  <c r="C510" i="44"/>
  <c r="I1456" i="14"/>
  <c r="N1456" i="14" s="1"/>
  <c r="C380" i="44"/>
  <c r="C381" i="44"/>
  <c r="C384" i="44"/>
  <c r="C386" i="44"/>
  <c r="C382" i="44"/>
  <c r="C383" i="44"/>
  <c r="C385" i="44"/>
  <c r="I1304" i="14"/>
  <c r="N1304" i="14" s="1"/>
  <c r="C235" i="44"/>
  <c r="I1150" i="14"/>
  <c r="N1150" i="14" s="1"/>
  <c r="C80" i="44"/>
  <c r="C81" i="44"/>
  <c r="I1170" i="14"/>
  <c r="N1170" i="14" s="1"/>
  <c r="C100" i="44"/>
  <c r="C101" i="44"/>
  <c r="I1224" i="14"/>
  <c r="N1224" i="14" s="1"/>
  <c r="C155" i="44"/>
  <c r="I1315" i="14"/>
  <c r="N1315" i="14" s="1"/>
  <c r="C245" i="44"/>
  <c r="I1324" i="14"/>
  <c r="N1324" i="14" s="1"/>
  <c r="C254" i="44"/>
  <c r="C255" i="44"/>
  <c r="C480" i="44"/>
  <c r="I1372" i="14"/>
  <c r="N1372" i="14" s="1"/>
  <c r="C303" i="44"/>
  <c r="C300" i="44"/>
  <c r="C299" i="44"/>
  <c r="I1434" i="14"/>
  <c r="N1434" i="14" s="1"/>
  <c r="C364" i="44"/>
  <c r="C365" i="44"/>
  <c r="I1424" i="14"/>
  <c r="N1424" i="14" s="1"/>
  <c r="C354" i="44"/>
  <c r="I1809" i="14"/>
  <c r="N1809" i="14" s="1"/>
  <c r="I1781" i="14"/>
  <c r="N1781" i="14" s="1"/>
  <c r="I1629" i="14"/>
  <c r="N1629" i="14" s="1"/>
  <c r="C560" i="44"/>
  <c r="I1543" i="14"/>
  <c r="N1543" i="14" s="1"/>
  <c r="C473" i="44"/>
  <c r="C474" i="44"/>
  <c r="I1491" i="14"/>
  <c r="N1491" i="14" s="1"/>
  <c r="C421" i="44"/>
  <c r="C349" i="44"/>
  <c r="I1671" i="14"/>
  <c r="N1671" i="14" s="1"/>
  <c r="C602" i="44"/>
  <c r="C637" i="44"/>
  <c r="I1633" i="14"/>
  <c r="N1633" i="14" s="1"/>
  <c r="C564" i="44"/>
  <c r="I1619" i="14"/>
  <c r="N1619" i="14" s="1"/>
  <c r="C549" i="44"/>
  <c r="C550" i="44"/>
  <c r="I1568" i="14"/>
  <c r="N1568" i="14" s="1"/>
  <c r="C498" i="44"/>
  <c r="C499" i="44"/>
  <c r="C488" i="44"/>
  <c r="C487" i="44"/>
  <c r="I1763" i="14"/>
  <c r="N1763" i="14" s="1"/>
  <c r="I1870" i="14"/>
  <c r="N1870" i="14" s="1"/>
  <c r="I2045" i="14"/>
  <c r="N2045" i="14" s="1"/>
  <c r="I1893" i="14"/>
  <c r="N1893" i="14" s="1"/>
  <c r="I1962" i="14"/>
  <c r="N1962" i="14" s="1"/>
  <c r="I1955" i="14"/>
  <c r="N1955" i="14" s="1"/>
  <c r="I1278" i="14"/>
  <c r="N1278" i="14" s="1"/>
  <c r="C209" i="44"/>
  <c r="I1291" i="14"/>
  <c r="N1291" i="14" s="1"/>
  <c r="C222" i="44"/>
  <c r="I1257" i="14"/>
  <c r="N1257" i="14" s="1"/>
  <c r="C188" i="44"/>
  <c r="I1191" i="14"/>
  <c r="N1191" i="14" s="1"/>
  <c r="C122" i="44"/>
  <c r="I1589" i="14"/>
  <c r="N1589" i="14" s="1"/>
  <c r="C520" i="44"/>
  <c r="I1194" i="14"/>
  <c r="N1194" i="14" s="1"/>
  <c r="C125" i="44"/>
  <c r="I1207" i="14"/>
  <c r="N1207" i="14" s="1"/>
  <c r="C138" i="44"/>
  <c r="I1211" i="14"/>
  <c r="N1211" i="14" s="1"/>
  <c r="C141" i="44"/>
  <c r="C142" i="44"/>
  <c r="C178" i="44"/>
  <c r="I1089" i="14"/>
  <c r="N1089" i="14" s="1"/>
  <c r="C20" i="44"/>
  <c r="C19" i="44"/>
  <c r="I1249" i="14"/>
  <c r="N1249" i="14" s="1"/>
  <c r="C180" i="44"/>
  <c r="I1184" i="14"/>
  <c r="N1184" i="14" s="1"/>
  <c r="C114" i="44"/>
  <c r="I1729" i="14"/>
  <c r="N1729" i="14" s="1"/>
  <c r="I1680" i="14"/>
  <c r="N1680" i="14" s="1"/>
  <c r="C610" i="44"/>
  <c r="C611" i="44"/>
  <c r="I1597" i="14"/>
  <c r="N1597" i="14" s="1"/>
  <c r="C528" i="44"/>
  <c r="I1593" i="14"/>
  <c r="N1593" i="14" s="1"/>
  <c r="C524" i="44"/>
  <c r="I1484" i="14"/>
  <c r="N1484" i="14" s="1"/>
  <c r="C414" i="44"/>
  <c r="C415" i="44"/>
  <c r="I1993" i="14"/>
  <c r="N1993" i="14" s="1"/>
  <c r="I1986" i="14"/>
  <c r="N1986" i="14" s="1"/>
  <c r="I1982" i="14"/>
  <c r="N1982" i="14" s="1"/>
  <c r="C2" i="44"/>
  <c r="C579" i="44"/>
  <c r="C554" i="44"/>
  <c r="C451" i="44"/>
  <c r="C422" i="44"/>
  <c r="C358" i="44"/>
  <c r="C326" i="44"/>
  <c r="C262" i="44"/>
  <c r="C230" i="44"/>
  <c r="C198" i="44"/>
  <c r="C51" i="44"/>
  <c r="I1076" i="14"/>
  <c r="N1076" i="14" s="1"/>
  <c r="C6" i="44"/>
  <c r="C7" i="44"/>
  <c r="I1333" i="14"/>
  <c r="N1333" i="14" s="1"/>
  <c r="C264" i="44"/>
  <c r="C457" i="44"/>
  <c r="C458" i="44"/>
  <c r="I2068" i="14"/>
  <c r="N2068" i="14" s="1"/>
  <c r="I2054" i="14"/>
  <c r="N2054" i="14" s="1"/>
  <c r="I1280" i="14"/>
  <c r="N1280" i="14" s="1"/>
  <c r="C210" i="44"/>
  <c r="I1678" i="14"/>
  <c r="N1678" i="14" s="1"/>
  <c r="C608" i="44"/>
  <c r="I1360" i="14"/>
  <c r="N1360" i="14" s="1"/>
  <c r="C290" i="44"/>
  <c r="I1497" i="14"/>
  <c r="N1497" i="14" s="1"/>
  <c r="C428" i="44"/>
  <c r="C427" i="44"/>
  <c r="I1716" i="14"/>
  <c r="N1716" i="14" s="1"/>
  <c r="C646" i="44"/>
  <c r="C647" i="44"/>
  <c r="I1458" i="14"/>
  <c r="N1458" i="14" s="1"/>
  <c r="C389" i="44"/>
  <c r="I1330" i="14"/>
  <c r="N1330" i="14" s="1"/>
  <c r="C260" i="44"/>
  <c r="C261" i="44"/>
  <c r="I1788" i="14"/>
  <c r="N1788" i="14" s="1"/>
  <c r="I1811" i="14"/>
  <c r="N1811" i="14" s="1"/>
  <c r="C446" i="44"/>
  <c r="I1668" i="14"/>
  <c r="N1668" i="14" s="1"/>
  <c r="C598" i="44"/>
  <c r="C599" i="44"/>
  <c r="C306" i="44"/>
  <c r="I1298" i="14"/>
  <c r="N1298" i="14" s="1"/>
  <c r="C229" i="44"/>
  <c r="I1417" i="14"/>
  <c r="N1417" i="14" s="1"/>
  <c r="C348" i="44"/>
  <c r="C347" i="44"/>
  <c r="I1971" i="14"/>
  <c r="N1971" i="14" s="1"/>
  <c r="I1734" i="14"/>
  <c r="N1734" i="14" s="1"/>
  <c r="I1377" i="14"/>
  <c r="N1377" i="14" s="1"/>
  <c r="C308" i="44"/>
  <c r="I1126" i="14"/>
  <c r="N1126" i="14" s="1"/>
  <c r="C55" i="44"/>
  <c r="C56" i="44"/>
  <c r="I1119" i="14"/>
  <c r="N1119" i="14" s="1"/>
  <c r="C50" i="44"/>
  <c r="I1172" i="14"/>
  <c r="N1172" i="14" s="1"/>
  <c r="C103" i="44"/>
  <c r="C102" i="44"/>
  <c r="I1292" i="14"/>
  <c r="N1292" i="14" s="1"/>
  <c r="C223" i="44"/>
  <c r="I1407" i="14"/>
  <c r="N1407" i="14" s="1"/>
  <c r="C336" i="44"/>
  <c r="C338" i="44"/>
  <c r="C337" i="44"/>
  <c r="I1762" i="14"/>
  <c r="N1762" i="14" s="1"/>
  <c r="I1500" i="14"/>
  <c r="N1500" i="14" s="1"/>
  <c r="C431" i="44"/>
  <c r="I1122" i="14"/>
  <c r="N1122" i="14" s="1"/>
  <c r="C53" i="44"/>
  <c r="I1374" i="14"/>
  <c r="N1374" i="14" s="1"/>
  <c r="C305" i="44"/>
  <c r="I1289" i="14"/>
  <c r="N1289" i="14" s="1"/>
  <c r="C220" i="44"/>
  <c r="C219" i="44"/>
  <c r="I1259" i="14"/>
  <c r="N1259" i="14" s="1"/>
  <c r="C190" i="44"/>
  <c r="I1246" i="14"/>
  <c r="N1246" i="14" s="1"/>
  <c r="C176" i="44"/>
  <c r="C177" i="44"/>
  <c r="C282" i="44"/>
  <c r="C472" i="44"/>
  <c r="C470" i="44"/>
  <c r="C471" i="44"/>
  <c r="I1786" i="14"/>
  <c r="N1786" i="14" s="1"/>
  <c r="C312" i="44"/>
  <c r="C352" i="44"/>
  <c r="C353" i="44"/>
  <c r="C360" i="44"/>
  <c r="I1404" i="14"/>
  <c r="N1404" i="14" s="1"/>
  <c r="C335" i="44"/>
  <c r="I1547" i="14"/>
  <c r="N1547" i="14" s="1"/>
  <c r="C476" i="44"/>
  <c r="C477" i="44"/>
  <c r="I1464" i="14"/>
  <c r="N1464" i="14" s="1"/>
  <c r="C394" i="44"/>
  <c r="C395" i="44"/>
  <c r="I1647" i="14"/>
  <c r="N1647" i="14" s="1"/>
  <c r="C576" i="44"/>
  <c r="C577" i="44"/>
  <c r="I1621" i="14"/>
  <c r="N1621" i="14" s="1"/>
  <c r="C552" i="44"/>
  <c r="C551" i="44"/>
  <c r="I1820" i="14"/>
  <c r="N1820" i="14" s="1"/>
  <c r="I1736" i="14"/>
  <c r="N1736" i="14" s="1"/>
  <c r="I1778" i="14"/>
  <c r="N1778" i="14" s="1"/>
  <c r="C540" i="44"/>
  <c r="I1756" i="14"/>
  <c r="N1756" i="14" s="1"/>
  <c r="I1810" i="14"/>
  <c r="N1810" i="14" s="1"/>
  <c r="I1673" i="14"/>
  <c r="N1673" i="14" s="1"/>
  <c r="C604" i="44"/>
  <c r="I1891" i="14"/>
  <c r="N1891" i="14" s="1"/>
  <c r="B1890" i="14" s="1"/>
  <c r="I1905" i="14"/>
  <c r="N1905" i="14" s="1"/>
  <c r="I1947" i="14"/>
  <c r="N1947" i="14" s="1"/>
  <c r="B1946" i="14" s="1"/>
  <c r="I2066" i="14"/>
  <c r="N2066" i="14" s="1"/>
  <c r="I2038" i="14"/>
  <c r="N2038" i="14" s="1"/>
  <c r="I1132" i="14"/>
  <c r="N1132" i="14" s="1"/>
  <c r="C63" i="44"/>
  <c r="C62" i="44"/>
  <c r="I1265" i="14"/>
  <c r="N1265" i="14" s="1"/>
  <c r="C196" i="44"/>
  <c r="I1282" i="14"/>
  <c r="N1282" i="14" s="1"/>
  <c r="C213" i="44"/>
  <c r="I1254" i="14"/>
  <c r="N1254" i="14" s="1"/>
  <c r="C184" i="44"/>
  <c r="I1193" i="14"/>
  <c r="N1193" i="14" s="1"/>
  <c r="C124" i="44"/>
  <c r="I1178" i="14"/>
  <c r="N1178" i="14" s="1"/>
  <c r="C108" i="44"/>
  <c r="C109" i="44"/>
  <c r="I1260" i="14"/>
  <c r="N1260" i="14" s="1"/>
  <c r="C191" i="44"/>
  <c r="I1102" i="14"/>
  <c r="N1102" i="14" s="1"/>
  <c r="C31" i="44"/>
  <c r="C32" i="44"/>
  <c r="C33" i="44"/>
  <c r="I1087" i="14"/>
  <c r="N1087" i="14" s="1"/>
  <c r="C17" i="44"/>
  <c r="C18" i="44"/>
  <c r="I1239" i="14"/>
  <c r="N1239" i="14" s="1"/>
  <c r="C170" i="44"/>
  <c r="I1229" i="14"/>
  <c r="N1229" i="14" s="1"/>
  <c r="C160" i="44"/>
  <c r="I1199" i="14"/>
  <c r="N1199" i="14" s="1"/>
  <c r="C130" i="44"/>
  <c r="C129" i="44"/>
  <c r="I1243" i="14"/>
  <c r="N1243" i="14" s="1"/>
  <c r="C174" i="44"/>
  <c r="I1703" i="14"/>
  <c r="N1703" i="14" s="1"/>
  <c r="C633" i="44"/>
  <c r="C634" i="44"/>
  <c r="I1638" i="14"/>
  <c r="N1638" i="14" s="1"/>
  <c r="C568" i="44"/>
  <c r="I1531" i="14"/>
  <c r="N1531" i="14" s="1"/>
  <c r="C461" i="44"/>
  <c r="C462" i="44"/>
  <c r="I1949" i="14"/>
  <c r="N1949" i="14" s="1"/>
  <c r="I1906" i="14"/>
  <c r="N1906" i="14" s="1"/>
  <c r="I1885" i="14"/>
  <c r="N1885" i="14" s="1"/>
  <c r="I1881" i="14"/>
  <c r="N1881" i="14" s="1"/>
  <c r="I1860" i="14"/>
  <c r="N1860" i="14" s="1"/>
  <c r="I1850" i="14"/>
  <c r="N1850" i="14" s="1"/>
  <c r="I2017" i="14"/>
  <c r="N2017" i="14" s="1"/>
  <c r="C648" i="44"/>
  <c r="C603" i="44"/>
  <c r="C578" i="44"/>
  <c r="C475" i="44"/>
  <c r="C450" i="44"/>
  <c r="C419" i="44"/>
  <c r="C387" i="44"/>
  <c r="C355" i="44"/>
  <c r="C323" i="44"/>
  <c r="C291" i="44"/>
  <c r="C195" i="44"/>
  <c r="C163" i="44"/>
  <c r="C131" i="44"/>
  <c r="C49" i="44"/>
  <c r="B1391" i="37"/>
  <c r="B1390" i="37"/>
  <c r="B1387" i="37"/>
  <c r="C5" i="21"/>
  <c r="R1524" i="14"/>
  <c r="P879" i="14"/>
  <c r="P1232" i="14"/>
  <c r="P919" i="14"/>
  <c r="P1103" i="14"/>
  <c r="P1545" i="14"/>
  <c r="P1580" i="14"/>
  <c r="P2076" i="14"/>
  <c r="R1576" i="14"/>
  <c r="R1067" i="14"/>
  <c r="R872" i="14"/>
  <c r="R2201" i="14"/>
  <c r="N75" i="21"/>
  <c r="N39" i="21"/>
  <c r="R947" i="14"/>
  <c r="R835" i="14"/>
  <c r="R2035" i="14"/>
  <c r="P1133" i="14"/>
  <c r="R1787" i="14"/>
  <c r="R2012" i="14"/>
  <c r="R961" i="14"/>
  <c r="R475" i="14"/>
  <c r="R1167" i="14"/>
  <c r="R858" i="14"/>
  <c r="R1882" i="14"/>
  <c r="R1951" i="14"/>
  <c r="R1005" i="14"/>
  <c r="R965" i="14"/>
  <c r="R1090" i="14"/>
  <c r="R1999" i="14"/>
  <c r="R1831" i="14"/>
  <c r="R1917" i="14"/>
  <c r="P2088" i="14"/>
  <c r="R2286" i="14"/>
  <c r="R816" i="14"/>
  <c r="R1041" i="14"/>
  <c r="R1129" i="14"/>
  <c r="R2281" i="14"/>
  <c r="R830" i="14"/>
  <c r="R1293" i="14"/>
  <c r="R933" i="14"/>
  <c r="N34" i="21"/>
  <c r="R2292" i="14" s="1"/>
  <c r="R2116" i="14"/>
  <c r="R2248" i="14"/>
  <c r="R1956" i="14"/>
  <c r="R1981" i="14"/>
  <c r="R833" i="14"/>
  <c r="R1216" i="14"/>
  <c r="R1042" i="14"/>
  <c r="R1910" i="14"/>
  <c r="R931" i="14"/>
  <c r="R1113" i="14"/>
  <c r="R1057" i="14"/>
  <c r="R2006" i="14"/>
  <c r="R2019" i="14"/>
  <c r="R1316" i="14"/>
  <c r="R1063" i="14"/>
  <c r="R2276" i="14"/>
  <c r="R919" i="14"/>
  <c r="N29" i="21"/>
  <c r="R1808" i="14"/>
  <c r="R1363" i="14"/>
  <c r="N77" i="21"/>
  <c r="R2475" i="14" s="1"/>
  <c r="R2213" i="14"/>
  <c r="R1288" i="14"/>
  <c r="R1120" i="14"/>
  <c r="R1868" i="14"/>
  <c r="R736" i="14"/>
  <c r="R1237" i="14"/>
  <c r="R1052" i="14"/>
  <c r="R1985" i="14"/>
  <c r="R1871" i="14"/>
  <c r="R967" i="14"/>
  <c r="R1092" i="14"/>
  <c r="R959" i="14"/>
  <c r="K1487" i="14"/>
  <c r="B1491" i="14" s="1"/>
  <c r="E33" i="33" s="1"/>
  <c r="E35" i="33" s="1"/>
  <c r="K82" i="21"/>
  <c r="L47" i="21"/>
  <c r="P1828" i="14" s="1"/>
  <c r="K81" i="21"/>
  <c r="K80" i="21"/>
  <c r="K36" i="21"/>
  <c r="L84" i="21"/>
  <c r="P1853" i="14" s="1"/>
  <c r="K46" i="21"/>
  <c r="K39" i="21"/>
  <c r="N47" i="21"/>
  <c r="R2209" i="14" s="1"/>
  <c r="K32" i="21"/>
  <c r="K35" i="21"/>
  <c r="L46" i="21"/>
  <c r="N46" i="21"/>
  <c r="N84" i="21"/>
  <c r="R2220" i="14" s="1"/>
  <c r="K31" i="21"/>
  <c r="K2506" i="14" s="1"/>
  <c r="Y2506" i="14" s="1"/>
  <c r="K38" i="21"/>
  <c r="K2248" i="14" s="1"/>
  <c r="Y2248" i="14" s="1"/>
  <c r="K33" i="21"/>
  <c r="K2400" i="14" s="1"/>
  <c r="Y2400" i="14" s="1"/>
  <c r="K37" i="21"/>
  <c r="R860" i="14"/>
  <c r="R732" i="14"/>
  <c r="R999" i="14"/>
  <c r="R839" i="14"/>
  <c r="R763" i="14"/>
  <c r="K2228" i="14"/>
  <c r="Y2228" i="14" s="1"/>
  <c r="K2250" i="14"/>
  <c r="Y2250" i="14" s="1"/>
  <c r="K2172" i="14"/>
  <c r="Y2172" i="14" s="1"/>
  <c r="K2143" i="14"/>
  <c r="Y2143" i="14" s="1"/>
  <c r="K2264" i="14"/>
  <c r="Y2264" i="14" s="1"/>
  <c r="K2151" i="14"/>
  <c r="Y2151" i="14" s="1"/>
  <c r="L78" i="21"/>
  <c r="P2297" i="14"/>
  <c r="R447" i="14"/>
  <c r="B5" i="21"/>
  <c r="P999" i="14"/>
  <c r="P779" i="14"/>
  <c r="P959" i="14"/>
  <c r="P756" i="14"/>
  <c r="P818" i="14"/>
  <c r="P631" i="14"/>
  <c r="R832" i="14"/>
  <c r="P1014" i="14"/>
  <c r="R818" i="14"/>
  <c r="P447" i="14"/>
  <c r="R1991" i="14"/>
  <c r="R2005" i="14"/>
  <c r="R1783" i="14"/>
  <c r="R1309" i="14"/>
  <c r="R1861" i="14"/>
  <c r="R1972" i="14"/>
  <c r="R2002" i="14"/>
  <c r="R1796" i="14"/>
  <c r="R1957" i="14"/>
  <c r="R1785" i="14"/>
  <c r="R1816" i="14"/>
  <c r="R1979" i="14"/>
  <c r="R1879" i="14"/>
  <c r="R1992" i="14"/>
  <c r="R1970" i="14"/>
  <c r="R2020" i="14"/>
  <c r="R2026" i="14"/>
  <c r="R767" i="14"/>
  <c r="R2208" i="14"/>
  <c r="R1274" i="14"/>
  <c r="P1029" i="14"/>
  <c r="P1588" i="14"/>
  <c r="R2106" i="14"/>
  <c r="R2222" i="14"/>
  <c r="R2062" i="14"/>
  <c r="R1445" i="14"/>
  <c r="R1389" i="14"/>
  <c r="R1627" i="14"/>
  <c r="R2278" i="14"/>
  <c r="R2240" i="14"/>
  <c r="R2032" i="14"/>
  <c r="R1681" i="14"/>
  <c r="R1920" i="14"/>
  <c r="R926" i="14"/>
  <c r="R765" i="14"/>
  <c r="R2241" i="14"/>
  <c r="P182" i="14"/>
  <c r="P1540" i="14"/>
  <c r="R917" i="14"/>
  <c r="N27" i="21"/>
  <c r="R2114" i="14"/>
  <c r="R1410" i="14"/>
  <c r="R2282" i="14"/>
  <c r="R1329" i="14"/>
  <c r="R1641" i="14"/>
  <c r="R1421" i="14"/>
  <c r="R2275" i="14"/>
  <c r="R2273" i="14"/>
  <c r="R2055" i="14"/>
  <c r="R2117" i="14"/>
  <c r="R2302" i="14"/>
  <c r="R2176" i="14"/>
  <c r="R2121" i="14"/>
  <c r="R1662" i="14"/>
  <c r="R1405" i="14"/>
  <c r="R2037" i="14"/>
  <c r="R2065" i="14"/>
  <c r="R1657" i="14"/>
  <c r="R2229" i="14"/>
  <c r="R1437" i="14"/>
  <c r="R1516" i="14"/>
  <c r="R1523" i="14"/>
  <c r="R800" i="14"/>
  <c r="R2057" i="14"/>
  <c r="P1214" i="14"/>
  <c r="P751" i="14"/>
  <c r="R2224" i="14"/>
  <c r="R2169" i="14"/>
  <c r="R2202" i="14"/>
  <c r="R1656" i="14"/>
  <c r="R1862" i="14"/>
  <c r="R1699" i="14"/>
  <c r="R2110" i="14"/>
  <c r="R2210" i="14"/>
  <c r="R1883" i="14"/>
  <c r="R1894" i="14"/>
  <c r="R2206" i="14"/>
  <c r="R1639" i="14"/>
  <c r="R1512" i="14"/>
  <c r="P1553" i="14"/>
  <c r="R2039" i="14"/>
  <c r="R891" i="14"/>
  <c r="R1094" i="14"/>
  <c r="R1024" i="14"/>
  <c r="R2089" i="14"/>
  <c r="R2183" i="14"/>
  <c r="R2167" i="14"/>
  <c r="R1859" i="14"/>
  <c r="R2043" i="14"/>
  <c r="R1327" i="14"/>
  <c r="R2289" i="14"/>
  <c r="R1780" i="14"/>
  <c r="R1929" i="14"/>
  <c r="R1478" i="14"/>
  <c r="R1504" i="14"/>
  <c r="L26" i="21"/>
  <c r="P814" i="14" s="1"/>
  <c r="P1038" i="14"/>
  <c r="B1386" i="37"/>
  <c r="B1389" i="37"/>
  <c r="B1382" i="37"/>
  <c r="B1388" i="37"/>
  <c r="B1385" i="37"/>
  <c r="B1380" i="37"/>
  <c r="B1384" i="37"/>
  <c r="B1383" i="37"/>
  <c r="O14" i="18"/>
  <c r="B1349" i="37"/>
  <c r="B1348" i="37"/>
  <c r="B1350" i="37"/>
  <c r="B1354" i="37"/>
  <c r="B1352" i="37"/>
  <c r="B1356" i="37"/>
  <c r="B1366" i="37"/>
  <c r="B1347" i="37"/>
  <c r="B1353" i="37"/>
  <c r="B1341" i="37"/>
  <c r="B1343" i="37"/>
  <c r="B1345" i="37"/>
  <c r="B1342" i="37"/>
  <c r="B1381" i="37"/>
  <c r="B1373" i="37"/>
  <c r="B1365" i="37"/>
  <c r="B2101" i="14"/>
  <c r="B1372" i="37"/>
  <c r="B1364" i="37"/>
  <c r="B1379" i="37"/>
  <c r="B1371" i="37"/>
  <c r="B1363" i="37"/>
  <c r="B1378" i="37"/>
  <c r="B1370" i="37"/>
  <c r="B1362" i="37"/>
  <c r="B1377" i="37"/>
  <c r="B1369" i="37"/>
  <c r="B1361" i="37"/>
  <c r="B1376" i="37"/>
  <c r="B1368" i="37"/>
  <c r="B1360" i="37"/>
  <c r="B1375" i="37"/>
  <c r="B1367" i="37"/>
  <c r="B1374" i="37"/>
  <c r="B1505" i="14"/>
  <c r="G33" i="33" s="1"/>
  <c r="G35" i="33" s="1"/>
  <c r="B2094" i="14"/>
  <c r="B1339" i="37"/>
  <c r="B1338" i="37"/>
  <c r="B1340" i="37"/>
  <c r="B1916" i="14"/>
  <c r="R2227" i="14"/>
  <c r="R2046" i="14"/>
  <c r="R2018" i="14"/>
  <c r="R940" i="14"/>
  <c r="R2088" i="14"/>
  <c r="R1534" i="14"/>
  <c r="R2283" i="14"/>
  <c r="R2255" i="14"/>
  <c r="R2025" i="14"/>
  <c r="R1115" i="14"/>
  <c r="R2091" i="14"/>
  <c r="R1580" i="14"/>
  <c r="K2277" i="14"/>
  <c r="Y2277" i="14" s="1"/>
  <c r="R2147" i="14"/>
  <c r="R2166" i="14"/>
  <c r="R2181" i="14"/>
  <c r="R2113" i="14"/>
  <c r="R2198" i="14"/>
  <c r="R2184" i="14"/>
  <c r="R2212" i="14"/>
  <c r="R2124" i="14"/>
  <c r="R2260" i="14"/>
  <c r="R2077" i="14"/>
  <c r="R2231" i="14"/>
  <c r="R2149" i="14"/>
  <c r="R2174" i="14"/>
  <c r="R2155" i="14"/>
  <c r="R2287" i="14"/>
  <c r="R2294" i="14"/>
  <c r="P2299" i="14"/>
  <c r="P2125" i="14"/>
  <c r="R1127" i="14"/>
  <c r="R2071" i="14"/>
  <c r="R2079" i="14"/>
  <c r="R2246" i="14"/>
  <c r="R1008" i="14"/>
  <c r="R367" i="14"/>
  <c r="R867" i="14"/>
  <c r="P1363" i="14"/>
  <c r="R1136" i="14"/>
  <c r="R998" i="14"/>
  <c r="R885" i="14"/>
  <c r="R1250" i="14"/>
  <c r="R1143" i="14"/>
  <c r="R1088" i="14"/>
  <c r="R1112" i="14"/>
  <c r="R1247" i="14"/>
  <c r="R1272" i="14"/>
  <c r="R1221" i="14"/>
  <c r="R1255" i="14"/>
  <c r="R789" i="14"/>
  <c r="R1252" i="14"/>
  <c r="R786" i="14"/>
  <c r="R1059" i="14"/>
  <c r="R875" i="14"/>
  <c r="R970" i="14"/>
  <c r="R924" i="14"/>
  <c r="R1270" i="14"/>
  <c r="R1240" i="14"/>
  <c r="R1205" i="14"/>
  <c r="R1145" i="14"/>
  <c r="R1141" i="14"/>
  <c r="R1080" i="14"/>
  <c r="R758" i="14"/>
  <c r="R1050" i="14"/>
  <c r="R877" i="14"/>
  <c r="R898" i="14"/>
  <c r="R1556" i="14"/>
  <c r="R2128" i="14"/>
  <c r="R1980" i="14"/>
  <c r="R1945" i="14"/>
  <c r="R1973" i="14"/>
  <c r="R1875" i="14"/>
  <c r="P81" i="14"/>
  <c r="P2044" i="14"/>
  <c r="R2252" i="14"/>
  <c r="R842" i="14"/>
  <c r="R2189" i="14"/>
  <c r="R2191" i="14"/>
  <c r="R1939" i="14"/>
  <c r="R1700" i="14"/>
  <c r="R1922" i="14"/>
  <c r="R1658" i="14"/>
  <c r="R1969" i="14"/>
  <c r="R2009" i="14"/>
  <c r="R1697" i="14"/>
  <c r="R1886" i="14"/>
  <c r="R1934" i="14"/>
  <c r="R1908" i="14"/>
  <c r="R1402" i="14"/>
  <c r="R1399" i="14"/>
  <c r="R2072" i="14"/>
  <c r="R2253" i="14"/>
  <c r="R2238" i="14"/>
  <c r="R1849" i="14"/>
  <c r="R1890" i="14"/>
  <c r="R1660" i="14"/>
  <c r="R1916" i="14"/>
  <c r="R2022" i="14"/>
  <c r="R1598" i="14"/>
  <c r="R2023" i="14"/>
  <c r="R1355" i="14"/>
  <c r="R2098" i="14"/>
  <c r="R1440" i="14"/>
  <c r="R1663" i="14"/>
  <c r="R1683" i="14"/>
  <c r="R2205" i="14"/>
  <c r="R2299" i="14"/>
  <c r="R1925" i="14"/>
  <c r="R2075" i="14"/>
  <c r="R1720" i="14"/>
  <c r="R2092" i="14"/>
  <c r="R1914" i="14"/>
  <c r="R1935" i="14"/>
  <c r="R1851" i="14"/>
  <c r="R1706" i="14"/>
  <c r="R1651" i="14"/>
  <c r="R2096" i="14"/>
  <c r="R1488" i="14"/>
  <c r="R2296" i="14"/>
  <c r="R2125" i="14"/>
  <c r="R2266" i="14"/>
  <c r="R2111" i="14"/>
  <c r="R2259" i="14"/>
  <c r="R1856" i="14"/>
  <c r="R1912" i="14"/>
  <c r="R1393" i="14"/>
  <c r="R1865" i="14"/>
  <c r="R1473" i="14"/>
  <c r="R1615" i="14"/>
  <c r="R1433" i="14"/>
  <c r="R1391" i="14"/>
  <c r="R1606" i="14"/>
  <c r="R1613" i="14"/>
  <c r="R1602" i="14"/>
  <c r="R2215" i="14"/>
  <c r="R821" i="14"/>
  <c r="R909" i="14"/>
  <c r="R777" i="14"/>
  <c r="R753" i="14"/>
  <c r="R769" i="14"/>
  <c r="R774" i="14"/>
  <c r="R820" i="14"/>
  <c r="R1179" i="14"/>
  <c r="P940" i="14"/>
  <c r="P842" i="14"/>
  <c r="P835" i="14"/>
  <c r="P1492" i="14"/>
  <c r="P1003" i="14"/>
  <c r="P1136" i="14"/>
  <c r="P2018" i="14"/>
  <c r="P2116" i="14"/>
  <c r="P2025" i="14"/>
  <c r="P1115" i="14"/>
  <c r="R2279" i="14"/>
  <c r="R2295" i="14"/>
  <c r="C6" i="21"/>
  <c r="B84" i="21" s="1"/>
  <c r="P252" i="14"/>
  <c r="P516" i="14"/>
  <c r="C7" i="21"/>
  <c r="R805" i="14"/>
  <c r="R1978" i="14"/>
  <c r="R1872" i="14"/>
  <c r="R1798" i="14"/>
  <c r="K2137" i="14"/>
  <c r="Y2137" i="14" s="1"/>
  <c r="K2179" i="14"/>
  <c r="Y2179" i="14" s="1"/>
  <c r="P839" i="14"/>
  <c r="P846" i="14"/>
  <c r="R1171" i="14"/>
  <c r="R939" i="14"/>
  <c r="R2245" i="14"/>
  <c r="R2250" i="14"/>
  <c r="R1854" i="14"/>
  <c r="R887" i="14"/>
  <c r="R1196" i="14"/>
  <c r="R996" i="14"/>
  <c r="R1075" i="14"/>
  <c r="R1012" i="14"/>
  <c r="R2285" i="14"/>
  <c r="R2170" i="14"/>
  <c r="R2159" i="14"/>
  <c r="R2145" i="14"/>
  <c r="R2029" i="14"/>
  <c r="R2120" i="14"/>
  <c r="R1318" i="14"/>
  <c r="R2040" i="14"/>
  <c r="R1818" i="14"/>
  <c r="R1709" i="14"/>
  <c r="R2267" i="14"/>
  <c r="R1387" i="14"/>
  <c r="P1129" i="14"/>
  <c r="P2282" i="14"/>
  <c r="R798" i="14"/>
  <c r="P2091" i="14"/>
  <c r="P2252" i="14"/>
  <c r="K2157" i="14"/>
  <c r="Y2157" i="14" s="1"/>
  <c r="R1003" i="14"/>
  <c r="R2226" i="14"/>
  <c r="R1924" i="14"/>
  <c r="R796" i="14"/>
  <c r="R1073" i="14"/>
  <c r="R1131" i="14"/>
  <c r="R1235" i="14"/>
  <c r="R1086" i="14"/>
  <c r="R2033" i="14"/>
  <c r="R2036" i="14"/>
  <c r="R2161" i="14"/>
  <c r="R1323" i="14"/>
  <c r="R1775" i="14"/>
  <c r="R1646" i="14"/>
  <c r="R1494" i="14"/>
  <c r="R1519" i="14"/>
  <c r="R1332" i="14"/>
  <c r="R1648" i="14"/>
  <c r="P1534" i="14"/>
  <c r="R748" i="14"/>
  <c r="R2076" i="14"/>
  <c r="R1545" i="14"/>
  <c r="L67" i="21"/>
  <c r="L62" i="21"/>
  <c r="L68" i="21"/>
  <c r="L83" i="21"/>
  <c r="L65" i="21"/>
  <c r="L66" i="21"/>
  <c r="L64" i="21"/>
  <c r="P2112" i="14" s="1"/>
  <c r="R1210" i="14"/>
  <c r="R826" i="14"/>
  <c r="R837" i="14"/>
  <c r="R952" i="14"/>
  <c r="R1065" i="14"/>
  <c r="R811" i="14"/>
  <c r="R1139" i="14"/>
  <c r="R1261" i="14"/>
  <c r="R1186" i="14"/>
  <c r="R1201" i="14"/>
  <c r="L31" i="21"/>
  <c r="P2100" i="14" s="1"/>
  <c r="L23" i="21"/>
  <c r="L22" i="21"/>
  <c r="L38" i="21"/>
  <c r="L41" i="21"/>
  <c r="L20" i="21"/>
  <c r="L18" i="21"/>
  <c r="B3" i="21" s="1"/>
  <c r="L40" i="21"/>
  <c r="L35" i="21"/>
  <c r="P2227" i="14" s="1"/>
  <c r="L36" i="21"/>
  <c r="L32" i="21"/>
  <c r="P2240" i="14" s="1"/>
  <c r="L42" i="21"/>
  <c r="L27" i="21"/>
  <c r="L39" i="21"/>
  <c r="L19" i="21"/>
  <c r="L34" i="21"/>
  <c r="L24" i="21"/>
  <c r="P793" i="14" s="1"/>
  <c r="L44" i="21"/>
  <c r="L17" i="21"/>
  <c r="L30" i="21"/>
  <c r="L25" i="21"/>
  <c r="P2279" i="14" s="1"/>
  <c r="R1208" i="14"/>
  <c r="R1175" i="14"/>
  <c r="R1873" i="14"/>
  <c r="R2064" i="14"/>
  <c r="R1048" i="14"/>
  <c r="R1069" i="14"/>
  <c r="R2163" i="14"/>
  <c r="R2271" i="14"/>
  <c r="R2239" i="14"/>
  <c r="R2200" i="14"/>
  <c r="K2259" i="14"/>
  <c r="Y2259" i="14" s="1"/>
  <c r="R2157" i="14"/>
  <c r="L70" i="21"/>
  <c r="L71" i="21"/>
  <c r="P2386" i="14" s="1"/>
  <c r="L74" i="21"/>
  <c r="P174" i="14" s="1"/>
  <c r="L72" i="21"/>
  <c r="P2473" i="14" s="1"/>
  <c r="R751" i="14"/>
  <c r="N55" i="21"/>
  <c r="R2244" i="14" s="1"/>
  <c r="N57" i="21"/>
  <c r="R1161" i="14"/>
  <c r="R945" i="14"/>
  <c r="R973" i="14"/>
  <c r="R801" i="14"/>
  <c r="R868" i="14"/>
  <c r="R1038" i="14"/>
  <c r="R1154" i="14"/>
  <c r="N64" i="21"/>
  <c r="R2426" i="14" s="1"/>
  <c r="B504" i="14"/>
  <c r="U12" i="33" s="1"/>
  <c r="U14" i="33" s="1"/>
  <c r="B1881" i="14"/>
  <c r="B502" i="14"/>
  <c r="U11" i="33" s="1"/>
  <c r="B1978" i="14"/>
  <c r="B1979" i="14"/>
  <c r="I1829" i="14"/>
  <c r="N1829" i="14" s="1"/>
  <c r="B959" i="14"/>
  <c r="AH19" i="33" s="1"/>
  <c r="AH21" i="33" s="1"/>
  <c r="B406" i="14"/>
  <c r="G12" i="33" s="1"/>
  <c r="G14" i="33" s="1"/>
  <c r="B1334" i="37"/>
  <c r="B1358" i="37"/>
  <c r="B2035" i="14"/>
  <c r="U368" i="14"/>
  <c r="V369" i="14" s="1"/>
  <c r="B929" i="14"/>
  <c r="AD18" i="33" s="1"/>
  <c r="B628" i="14"/>
  <c r="AM11" i="33" s="1"/>
  <c r="B488" i="14"/>
  <c r="S11" i="33" s="1"/>
  <c r="B875" i="14"/>
  <c r="V19" i="33" s="1"/>
  <c r="V21" i="33" s="1"/>
  <c r="B220" i="30"/>
  <c r="B987" i="14"/>
  <c r="AL19" i="33" s="1"/>
  <c r="AL21" i="33" s="1"/>
  <c r="B1860" i="14"/>
  <c r="B784" i="14"/>
  <c r="I19" i="33" s="1"/>
  <c r="I21" i="33" s="1"/>
  <c r="B481" i="14"/>
  <c r="R11" i="33" s="1"/>
  <c r="B166" i="14"/>
  <c r="Y4" i="33" s="1"/>
  <c r="B441" i="14"/>
  <c r="L12" i="33" s="1"/>
  <c r="L14" i="33" s="1"/>
  <c r="B103" i="14"/>
  <c r="P4" i="33" s="1"/>
  <c r="B973" i="14"/>
  <c r="AJ19" i="33" s="1"/>
  <c r="AJ21" i="33" s="1"/>
  <c r="B903" i="14"/>
  <c r="Z19" i="33" s="1"/>
  <c r="Z21" i="33" s="1"/>
  <c r="B868" i="14"/>
  <c r="U19" i="33" s="1"/>
  <c r="U21" i="33" s="1"/>
  <c r="B833" i="14"/>
  <c r="P19" i="33" s="1"/>
  <c r="P21" i="33" s="1"/>
  <c r="B770" i="14"/>
  <c r="G19" i="33" s="1"/>
  <c r="G21" i="33" s="1"/>
  <c r="B859" i="14"/>
  <c r="T18" i="33" s="1"/>
  <c r="B432" i="14"/>
  <c r="K11" i="33" s="1"/>
  <c r="B455" i="14"/>
  <c r="N12" i="33" s="1"/>
  <c r="N14" i="33" s="1"/>
  <c r="B469" i="14"/>
  <c r="P12" i="33" s="1"/>
  <c r="P14" i="33" s="1"/>
  <c r="B490" i="14"/>
  <c r="S12" i="33" s="1"/>
  <c r="S14" i="33" s="1"/>
  <c r="B588" i="14"/>
  <c r="AG12" i="33" s="1"/>
  <c r="AG14" i="33" s="1"/>
  <c r="B672" i="14"/>
  <c r="AS12" i="33" s="1"/>
  <c r="AS14" i="33" s="1"/>
  <c r="B679" i="14"/>
  <c r="AT12" i="33" s="1"/>
  <c r="AT14" i="33" s="1"/>
  <c r="B686" i="14"/>
  <c r="AU12" i="33" s="1"/>
  <c r="AU14" i="33" s="1"/>
  <c r="B1993" i="14"/>
  <c r="B747" i="14"/>
  <c r="D18" i="33" s="1"/>
  <c r="I436" i="14"/>
  <c r="N436" i="14" s="1"/>
  <c r="B239" i="30"/>
  <c r="B761" i="14"/>
  <c r="F18" i="33" s="1"/>
  <c r="B2021" i="14"/>
  <c r="B292" i="14"/>
  <c r="AQ4" i="33" s="1"/>
  <c r="B924" i="14"/>
  <c r="AC19" i="33" s="1"/>
  <c r="AC21" i="33" s="1"/>
  <c r="B635" i="14"/>
  <c r="AN11" i="33" s="1"/>
  <c r="B222" i="14"/>
  <c r="AG4" i="33" s="1"/>
  <c r="B306" i="14"/>
  <c r="AS4" i="33" s="1"/>
  <c r="B894" i="14"/>
  <c r="Y18" i="33" s="1"/>
  <c r="B642" i="14"/>
  <c r="AO11" i="33" s="1"/>
  <c r="B1006" i="14"/>
  <c r="AO18" i="33" s="1"/>
  <c r="B362" i="14"/>
  <c r="BA4" i="33" s="1"/>
  <c r="B215" i="14"/>
  <c r="AF4" i="33" s="1"/>
  <c r="B264" i="14"/>
  <c r="AM4" i="33" s="1"/>
  <c r="B649" i="14"/>
  <c r="AP11" i="33" s="1"/>
  <c r="B819" i="14"/>
  <c r="N19" i="33" s="1"/>
  <c r="N21" i="33" s="1"/>
  <c r="B243" i="14"/>
  <c r="AJ4" i="33" s="1"/>
  <c r="B511" i="14"/>
  <c r="V12" i="33" s="1"/>
  <c r="V14" i="33" s="1"/>
  <c r="B117" i="14"/>
  <c r="R4" i="33" s="1"/>
  <c r="B824" i="14"/>
  <c r="O18" i="33" s="1"/>
  <c r="B665" i="14"/>
  <c r="AR12" i="33" s="1"/>
  <c r="AR14" i="33" s="1"/>
  <c r="B714" i="14"/>
  <c r="AY12" i="33" s="1"/>
  <c r="AY14" i="33" s="1"/>
  <c r="B378" i="14"/>
  <c r="C12" i="33" s="1"/>
  <c r="C14" i="33" s="1"/>
  <c r="B630" i="14"/>
  <c r="AM12" i="33" s="1"/>
  <c r="AM14" i="33" s="1"/>
  <c r="B651" i="14"/>
  <c r="AP12" i="33" s="1"/>
  <c r="AP14" i="33" s="1"/>
  <c r="B159" i="14"/>
  <c r="X4" i="33" s="1"/>
  <c r="B96" i="14"/>
  <c r="O4" i="33" s="1"/>
  <c r="B1043" i="14"/>
  <c r="AT19" i="33" s="1"/>
  <c r="AT21" i="33" s="1"/>
  <c r="B812" i="14"/>
  <c r="M19" i="33" s="1"/>
  <c r="M21" i="33" s="1"/>
  <c r="B936" i="14"/>
  <c r="AE18" i="33" s="1"/>
  <c r="B1923" i="14"/>
  <c r="B1888" i="14"/>
  <c r="B201" i="14"/>
  <c r="AD4" i="33" s="1"/>
  <c r="B446" i="14"/>
  <c r="M11" i="33" s="1"/>
  <c r="B1992" i="14"/>
  <c r="B1022" i="14"/>
  <c r="AQ19" i="33" s="1"/>
  <c r="AQ21" i="33" s="1"/>
  <c r="B1113" i="14"/>
  <c r="C26" i="33" s="1"/>
  <c r="C28" i="33" s="1"/>
  <c r="B572" i="14"/>
  <c r="AE11" i="33" s="1"/>
  <c r="B1013" i="14"/>
  <c r="AP18" i="33" s="1"/>
  <c r="B803" i="14"/>
  <c r="L18" i="33" s="1"/>
  <c r="B551" i="14"/>
  <c r="AB11" i="33" s="1"/>
  <c r="B1624" i="14"/>
  <c r="X33" i="33" s="1"/>
  <c r="X35" i="33" s="1"/>
  <c r="B1652" i="14"/>
  <c r="AB33" i="33" s="1"/>
  <c r="AB35" i="33" s="1"/>
  <c r="B1895" i="14"/>
  <c r="B145" i="14"/>
  <c r="V4" i="33" s="1"/>
  <c r="B152" i="14"/>
  <c r="W4" i="33" s="1"/>
  <c r="B847" i="14"/>
  <c r="R19" i="33" s="1"/>
  <c r="R21" i="33" s="1"/>
  <c r="B791" i="14"/>
  <c r="J19" i="33" s="1"/>
  <c r="J21" i="33" s="1"/>
  <c r="B420" i="14"/>
  <c r="I12" i="33" s="1"/>
  <c r="I14" i="33" s="1"/>
  <c r="B992" i="14"/>
  <c r="AM18" i="33" s="1"/>
  <c r="B413" i="14"/>
  <c r="H12" i="33" s="1"/>
  <c r="H14" i="33" s="1"/>
  <c r="B586" i="14"/>
  <c r="AG11" i="33" s="1"/>
  <c r="B1930" i="14"/>
  <c r="B707" i="14"/>
  <c r="AX12" i="33" s="1"/>
  <c r="AX14" i="33" s="1"/>
  <c r="B376" i="14"/>
  <c r="C11" i="33" s="1"/>
  <c r="B1132" i="14"/>
  <c r="F25" i="33" s="1"/>
  <c r="B425" i="14"/>
  <c r="J11" i="33" s="1"/>
  <c r="B1470" i="14"/>
  <c r="B33" i="33" s="1"/>
  <c r="B35" i="33" s="1"/>
  <c r="B187" i="14"/>
  <c r="AB4" i="33" s="1"/>
  <c r="B138" i="14"/>
  <c r="U4" i="33" s="1"/>
  <c r="B945" i="14"/>
  <c r="AF19" i="33" s="1"/>
  <c r="AF21" i="33" s="1"/>
  <c r="B763" i="14"/>
  <c r="F19" i="33" s="1"/>
  <c r="F21" i="33" s="1"/>
  <c r="B1838" i="14"/>
  <c r="B210" i="30"/>
  <c r="B602" i="14"/>
  <c r="AI12" i="33" s="1"/>
  <c r="AI14" i="33" s="1"/>
  <c r="B1944" i="14"/>
  <c r="B110" i="14"/>
  <c r="Q4" i="33" s="1"/>
  <c r="B225" i="30"/>
  <c r="B663" i="14"/>
  <c r="AR11" i="33" s="1"/>
  <c r="B866" i="14"/>
  <c r="U18" i="33" s="1"/>
  <c r="B285" i="14"/>
  <c r="AP4" i="33" s="1"/>
  <c r="B922" i="14"/>
  <c r="AC18" i="33" s="1"/>
  <c r="B383" i="14"/>
  <c r="D11" i="33" s="1"/>
  <c r="B733" i="14"/>
  <c r="B18" i="33" s="1"/>
  <c r="B691" i="14"/>
  <c r="AV11" i="33" s="1"/>
  <c r="I934" i="14"/>
  <c r="N934" i="14" s="1"/>
  <c r="C198" i="37" s="1"/>
  <c r="B873" i="14"/>
  <c r="V18" i="33" s="1"/>
  <c r="B712" i="14"/>
  <c r="AY11" i="33" s="1"/>
  <c r="B229" i="30"/>
  <c r="B211" i="30"/>
  <c r="B1666" i="14"/>
  <c r="AD33" i="33" s="1"/>
  <c r="AD35" i="33" s="1"/>
  <c r="I1977" i="14"/>
  <c r="N1977" i="14" s="1"/>
  <c r="I1838" i="14"/>
  <c r="N1838" i="14" s="1"/>
  <c r="B411" i="14"/>
  <c r="H11" i="33" s="1"/>
  <c r="B271" i="14"/>
  <c r="AN4" i="33" s="1"/>
  <c r="B231" i="30"/>
  <c r="B1986" i="14"/>
  <c r="B1001" i="14"/>
  <c r="AN19" i="33" s="1"/>
  <c r="AN21" i="33" s="1"/>
  <c r="B537" i="14"/>
  <c r="Z11" i="33" s="1"/>
  <c r="B1859" i="14"/>
  <c r="I1830" i="14"/>
  <c r="N1830" i="14" s="1"/>
  <c r="B1880" i="14"/>
  <c r="B460" i="14"/>
  <c r="O11" i="33" s="1"/>
  <c r="B950" i="14"/>
  <c r="AG18" i="33" s="1"/>
  <c r="B705" i="14"/>
  <c r="AX11" i="33" s="1"/>
  <c r="B838" i="14"/>
  <c r="Q18" i="33" s="1"/>
  <c r="B278" i="14"/>
  <c r="AO4" i="33" s="1"/>
  <c r="B313" i="14"/>
  <c r="AT4" i="33" s="1"/>
  <c r="B230" i="30"/>
  <c r="B957" i="14"/>
  <c r="AH18" i="33" s="1"/>
  <c r="B565" i="14"/>
  <c r="AD11" i="33" s="1"/>
  <c r="B523" i="14"/>
  <c r="X11" i="33" s="1"/>
  <c r="B908" i="14"/>
  <c r="AA18" i="33" s="1"/>
  <c r="B327" i="14"/>
  <c r="AV4" i="33" s="1"/>
  <c r="B257" i="14"/>
  <c r="AL4" i="33" s="1"/>
  <c r="B1638" i="14"/>
  <c r="Z33" i="33" s="1"/>
  <c r="Z35" i="33" s="1"/>
  <c r="B1936" i="14"/>
  <c r="B1659" i="14"/>
  <c r="AC33" i="33" s="1"/>
  <c r="AC35" i="33" s="1"/>
  <c r="B1547" i="14"/>
  <c r="M33" i="33" s="1"/>
  <c r="M35" i="33" s="1"/>
  <c r="B2014" i="14"/>
  <c r="B1902" i="14"/>
  <c r="B1561" i="14"/>
  <c r="O33" i="33" s="1"/>
  <c r="O35" i="33" s="1"/>
  <c r="B1512" i="14"/>
  <c r="H33" i="33" s="1"/>
  <c r="H35" i="33" s="1"/>
  <c r="B2077" i="14"/>
  <c r="B1127" i="14"/>
  <c r="E26" i="33" s="1"/>
  <c r="E28" i="33" s="1"/>
  <c r="B1055" i="14"/>
  <c r="AV18" i="33" s="1"/>
  <c r="B1253" i="14"/>
  <c r="W26" i="33" s="1"/>
  <c r="W28" i="33" s="1"/>
  <c r="B1617" i="14"/>
  <c r="W33" i="33" s="1"/>
  <c r="W35" i="33" s="1"/>
  <c r="B1937" i="14"/>
  <c r="B1524" i="14"/>
  <c r="J32" i="33" s="1"/>
  <c r="B1442" i="14"/>
  <c r="AX26" i="33" s="1"/>
  <c r="AX28" i="33" s="1"/>
  <c r="B1202" i="14"/>
  <c r="P25" i="33" s="1"/>
  <c r="B1195" i="14"/>
  <c r="O25" i="33" s="1"/>
  <c r="B1097" i="14"/>
  <c r="B1076" i="14"/>
  <c r="AY18" i="33" s="1"/>
  <c r="B1908" i="14"/>
  <c r="B1715" i="14"/>
  <c r="AK33" i="33" s="1"/>
  <c r="AK35" i="33" s="1"/>
  <c r="B2028" i="14"/>
  <c r="B1489" i="14"/>
  <c r="E32" i="33" s="1"/>
  <c r="B1887" i="14"/>
  <c r="B1359" i="37"/>
  <c r="B2087" i="14"/>
  <c r="I1489" i="14"/>
  <c r="N1489" i="14" s="1"/>
  <c r="B1181" i="14"/>
  <c r="M25" i="33" s="1"/>
  <c r="B520" i="44"/>
  <c r="B1531" i="14"/>
  <c r="K32" i="33" s="1"/>
  <c r="B1631" i="14"/>
  <c r="Y33" i="33" s="1"/>
  <c r="Y35" i="33" s="1"/>
  <c r="B1608" i="14"/>
  <c r="V32" i="33" s="1"/>
  <c r="B1687" i="14"/>
  <c r="AG33" i="33" s="1"/>
  <c r="AG35" i="33" s="1"/>
  <c r="B1538" i="14"/>
  <c r="L32" i="33" s="1"/>
  <c r="B1468" i="14"/>
  <c r="B32" i="33" s="1"/>
  <c r="B1929" i="14"/>
  <c r="B1461" i="14"/>
  <c r="BA25" i="33" s="1"/>
  <c r="B1426" i="14"/>
  <c r="AV25" i="33" s="1"/>
  <c r="B1594" i="14"/>
  <c r="T32" i="33" s="1"/>
  <c r="B1064" i="14"/>
  <c r="AW19" i="33" s="1"/>
  <c r="AW21" i="33" s="1"/>
  <c r="I1858" i="14"/>
  <c r="N1858" i="14" s="1"/>
  <c r="B480" i="44"/>
  <c r="B193" i="44"/>
  <c r="B1447" i="14"/>
  <c r="AY25" i="33" s="1"/>
  <c r="B1155" i="14"/>
  <c r="I26" i="33" s="1"/>
  <c r="I28" i="33" s="1"/>
  <c r="B1764" i="14"/>
  <c r="AR33" i="33" s="1"/>
  <c r="AR35" i="33" s="1"/>
  <c r="B1785" i="14"/>
  <c r="AU33" i="33" s="1"/>
  <c r="AU35" i="33" s="1"/>
  <c r="B1736" i="14"/>
  <c r="AN33" i="33" s="1"/>
  <c r="AN35" i="33" s="1"/>
  <c r="B1580" i="14"/>
  <c r="R32" i="33" s="1"/>
  <c r="B966" i="14"/>
  <c r="AI19" i="33" s="1"/>
  <c r="AI21" i="33" s="1"/>
  <c r="B1204" i="14"/>
  <c r="P26" i="33" s="1"/>
  <c r="P28" i="33" s="1"/>
  <c r="B1449" i="14"/>
  <c r="AY26" i="33" s="1"/>
  <c r="AY28" i="33" s="1"/>
  <c r="B1407" i="14"/>
  <c r="AS26" i="33" s="1"/>
  <c r="AS28" i="33" s="1"/>
  <c r="B1218" i="14"/>
  <c r="R26" i="33" s="1"/>
  <c r="R28" i="33" s="1"/>
  <c r="B1463" i="14"/>
  <c r="BA26" i="33" s="1"/>
  <c r="BA28" i="33" s="1"/>
  <c r="B1216" i="14"/>
  <c r="R25" i="33" s="1"/>
  <c r="B1771" i="14"/>
  <c r="AS33" i="33" s="1"/>
  <c r="AS35" i="33" s="1"/>
  <c r="B1799" i="14"/>
  <c r="AW33" i="33" s="1"/>
  <c r="AW35" i="33" s="1"/>
  <c r="B1391" i="14"/>
  <c r="AQ25" i="33" s="1"/>
  <c r="B1664" i="14"/>
  <c r="AD32" i="33" s="1"/>
  <c r="B1806" i="14"/>
  <c r="AX33" i="33" s="1"/>
  <c r="AX35" i="33" s="1"/>
  <c r="B1559" i="14"/>
  <c r="O32" i="33" s="1"/>
  <c r="B1335" i="14"/>
  <c r="AI25" i="33" s="1"/>
  <c r="B1545" i="14"/>
  <c r="M32" i="33" s="1"/>
  <c r="I1609" i="14"/>
  <c r="N1609" i="14" s="1"/>
  <c r="O8" i="18"/>
  <c r="B1813" i="14"/>
  <c r="AY33" i="33" s="1"/>
  <c r="AY35" i="33" s="1"/>
  <c r="B1965" i="14"/>
  <c r="B1846" i="14"/>
  <c r="B1484" i="14"/>
  <c r="D33" i="33" s="1"/>
  <c r="D35" i="33" s="1"/>
  <c r="B1393" i="14"/>
  <c r="AQ26" i="33" s="1"/>
  <c r="AQ28" i="33" s="1"/>
  <c r="B1139" i="14"/>
  <c r="G25" i="33" s="1"/>
  <c r="B1540" i="14"/>
  <c r="L33" i="33" s="1"/>
  <c r="L35" i="33" s="1"/>
  <c r="B1603" i="14"/>
  <c r="U33" i="33" s="1"/>
  <c r="U35" i="33" s="1"/>
  <c r="B1820" i="14"/>
  <c r="AZ33" i="33" s="1"/>
  <c r="AZ35" i="33" s="1"/>
  <c r="B75" i="14"/>
  <c r="L4" i="33" s="1"/>
  <c r="B205" i="30"/>
  <c r="B896" i="14"/>
  <c r="Y19" i="33" s="1"/>
  <c r="Y21" i="33" s="1"/>
  <c r="B777" i="14"/>
  <c r="H19" i="33" s="1"/>
  <c r="H21" i="33" s="1"/>
  <c r="B1622" i="14"/>
  <c r="X32" i="33" s="1"/>
  <c r="B373" i="44"/>
  <c r="B1694" i="14"/>
  <c r="AH33" i="33" s="1"/>
  <c r="AH35" i="33" s="1"/>
  <c r="B1029" i="14"/>
  <c r="AR19" i="33" s="1"/>
  <c r="AR21" i="33" s="1"/>
  <c r="B1260" i="14"/>
  <c r="X26" i="33" s="1"/>
  <c r="X28" i="33" s="1"/>
  <c r="B1239" i="14"/>
  <c r="U26" i="33" s="1"/>
  <c r="U28" i="33" s="1"/>
  <c r="B18" i="44"/>
  <c r="B1316" i="14"/>
  <c r="AF26" i="33" s="1"/>
  <c r="AF28" i="33" s="1"/>
  <c r="B1120" i="14"/>
  <c r="D26" i="33" s="1"/>
  <c r="D28" i="33" s="1"/>
  <c r="B1428" i="14"/>
  <c r="AV26" i="33" s="1"/>
  <c r="AV28" i="33" s="1"/>
  <c r="B1197" i="14"/>
  <c r="O26" i="33" s="1"/>
  <c r="O28" i="33" s="1"/>
  <c r="B1337" i="14"/>
  <c r="AI26" i="33" s="1"/>
  <c r="AI28" i="33" s="1"/>
  <c r="B1281" i="14"/>
  <c r="AA26" i="33" s="1"/>
  <c r="AA28" i="33" s="1"/>
  <c r="B1673" i="14"/>
  <c r="AE33" i="33" s="1"/>
  <c r="AE35" i="33" s="1"/>
  <c r="B305" i="44"/>
  <c r="B340" i="44"/>
  <c r="I1931" i="14"/>
  <c r="N1931" i="14" s="1"/>
  <c r="B1568" i="14"/>
  <c r="P33" i="33" s="1"/>
  <c r="P35" i="33" s="1"/>
  <c r="B180" i="14"/>
  <c r="AA4" i="33" s="1"/>
  <c r="B82" i="14"/>
  <c r="M4" i="33" s="1"/>
  <c r="B1106" i="14"/>
  <c r="B26" i="33" s="1"/>
  <c r="B28" i="33" s="1"/>
  <c r="B882" i="14"/>
  <c r="W19" i="33" s="1"/>
  <c r="W21" i="33" s="1"/>
  <c r="B1034" i="14"/>
  <c r="AS18" i="33" s="1"/>
  <c r="B229" i="14"/>
  <c r="AH4" i="33" s="1"/>
  <c r="B369" i="14"/>
  <c r="B11" i="33" s="1"/>
  <c r="B385" i="14"/>
  <c r="D12" i="33" s="1"/>
  <c r="D14" i="33" s="1"/>
  <c r="B392" i="14"/>
  <c r="E12" i="33" s="1"/>
  <c r="E14" i="33" s="1"/>
  <c r="B434" i="14"/>
  <c r="K12" i="33" s="1"/>
  <c r="K14" i="33" s="1"/>
  <c r="B448" i="14"/>
  <c r="M12" i="33" s="1"/>
  <c r="M14" i="33" s="1"/>
  <c r="B224" i="30"/>
  <c r="B539" i="14"/>
  <c r="Z12" i="33" s="1"/>
  <c r="Z14" i="33" s="1"/>
  <c r="B609" i="14"/>
  <c r="AJ12" i="33" s="1"/>
  <c r="AJ14" i="33" s="1"/>
  <c r="B721" i="14"/>
  <c r="AZ12" i="33" s="1"/>
  <c r="AZ14" i="33" s="1"/>
  <c r="B728" i="14"/>
  <c r="BA12" i="33" s="1"/>
  <c r="BA14" i="33" s="1"/>
  <c r="B1183" i="14"/>
  <c r="M26" i="33" s="1"/>
  <c r="M28" i="33" s="1"/>
  <c r="B1853" i="14"/>
  <c r="B1832" i="14"/>
  <c r="B1008" i="14"/>
  <c r="AO19" i="33" s="1"/>
  <c r="AO21" i="33" s="1"/>
  <c r="B1027" i="14"/>
  <c r="AR18" i="33" s="1"/>
  <c r="B1778" i="14"/>
  <c r="AT33" i="33" s="1"/>
  <c r="AT35" i="33" s="1"/>
  <c r="B1951" i="14"/>
  <c r="B985" i="14"/>
  <c r="AL18" i="33" s="1"/>
  <c r="B1057" i="14"/>
  <c r="AV19" i="33" s="1"/>
  <c r="AV21" i="33" s="1"/>
  <c r="B1050" i="14"/>
  <c r="AU19" i="33" s="1"/>
  <c r="AU21" i="33" s="1"/>
  <c r="B1267" i="14"/>
  <c r="Y26" i="33" s="1"/>
  <c r="Y28" i="33" s="1"/>
  <c r="B1358" i="14"/>
  <c r="AL26" i="33" s="1"/>
  <c r="AL28" i="33" s="1"/>
  <c r="B1309" i="14"/>
  <c r="AE26" i="33" s="1"/>
  <c r="AE28" i="33" s="1"/>
  <c r="B1601" i="14"/>
  <c r="U32" i="33" s="1"/>
  <c r="B1972" i="14"/>
  <c r="B889" i="14"/>
  <c r="X19" i="33" s="1"/>
  <c r="X21" i="33" s="1"/>
  <c r="B854" i="14"/>
  <c r="S19" i="33" s="1"/>
  <c r="S21" i="33" s="1"/>
  <c r="B826" i="14"/>
  <c r="O19" i="33" s="1"/>
  <c r="O21" i="33" s="1"/>
  <c r="B798" i="14"/>
  <c r="K19" i="33" s="1"/>
  <c r="K21" i="33" s="1"/>
  <c r="B756" i="14"/>
  <c r="E19" i="33" s="1"/>
  <c r="E21" i="33" s="1"/>
  <c r="B742" i="14"/>
  <c r="C19" i="33" s="1"/>
  <c r="C21" i="33" s="1"/>
  <c r="B735" i="14"/>
  <c r="B19" i="33" s="1"/>
  <c r="B21" i="33" s="1"/>
  <c r="B371" i="14"/>
  <c r="B12" i="33" s="1"/>
  <c r="B14" i="33" s="1"/>
  <c r="B476" i="14"/>
  <c r="Q12" i="33" s="1"/>
  <c r="Q14" i="33" s="1"/>
  <c r="B518" i="14"/>
  <c r="W12" i="33" s="1"/>
  <c r="W14" i="33" s="1"/>
  <c r="B532" i="14"/>
  <c r="Y12" i="33" s="1"/>
  <c r="Y14" i="33" s="1"/>
  <c r="B553" i="14"/>
  <c r="AB12" i="33" s="1"/>
  <c r="AB14" i="33" s="1"/>
  <c r="B574" i="14"/>
  <c r="AE12" i="33" s="1"/>
  <c r="AE14" i="33" s="1"/>
  <c r="B581" i="14"/>
  <c r="AF12" i="33" s="1"/>
  <c r="AF14" i="33" s="1"/>
  <c r="B593" i="14"/>
  <c r="AH11" i="33" s="1"/>
  <c r="B623" i="14"/>
  <c r="AL12" i="33" s="1"/>
  <c r="AL14" i="33" s="1"/>
  <c r="B644" i="14"/>
  <c r="AO12" i="33" s="1"/>
  <c r="AO14" i="33" s="1"/>
  <c r="B1909" i="14"/>
  <c r="B1839" i="14"/>
  <c r="B1321" i="14"/>
  <c r="AG25" i="33" s="1"/>
  <c r="B1274" i="14"/>
  <c r="Z26" i="33" s="1"/>
  <c r="Z28" i="33" s="1"/>
  <c r="B1554" i="14"/>
  <c r="N33" i="33" s="1"/>
  <c r="N35" i="33" s="1"/>
  <c r="B595" i="14"/>
  <c r="AH12" i="33" s="1"/>
  <c r="AH14" i="33" s="1"/>
  <c r="B1526" i="14"/>
  <c r="J33" i="33" s="1"/>
  <c r="J35" i="33" s="1"/>
  <c r="B89" i="14"/>
  <c r="N4" i="33" s="1"/>
  <c r="B931" i="14"/>
  <c r="AD19" i="33" s="1"/>
  <c r="AD21" i="33" s="1"/>
  <c r="B917" i="14"/>
  <c r="AB19" i="33" s="1"/>
  <c r="AB21" i="33" s="1"/>
  <c r="B399" i="14"/>
  <c r="F12" i="33" s="1"/>
  <c r="F14" i="33" s="1"/>
  <c r="B1533" i="14"/>
  <c r="K33" i="33" s="1"/>
  <c r="K35" i="33" s="1"/>
  <c r="B980" i="14"/>
  <c r="AK19" i="33" s="1"/>
  <c r="AK21" i="33" s="1"/>
  <c r="I850" i="14"/>
  <c r="N850" i="14" s="1"/>
  <c r="C125" i="37" s="1"/>
  <c r="B852" i="14"/>
  <c r="S18" i="33" s="1"/>
  <c r="I752" i="14"/>
  <c r="N752" i="14" s="1"/>
  <c r="B754" i="14"/>
  <c r="E18" i="33" s="1"/>
  <c r="I206" i="14"/>
  <c r="N206" i="14" s="1"/>
  <c r="B208" i="14"/>
  <c r="AE4" i="33" s="1"/>
  <c r="B693" i="14"/>
  <c r="AV12" i="33" s="1"/>
  <c r="AV14" i="33" s="1"/>
  <c r="B1831" i="14"/>
  <c r="I2310" i="14"/>
  <c r="N2310" i="14" s="1"/>
  <c r="I1032" i="14"/>
  <c r="N1032" i="14" s="1"/>
  <c r="C304" i="37" s="1"/>
  <c r="B915" i="14"/>
  <c r="AB18" i="33" s="1"/>
  <c r="B1225" i="14"/>
  <c r="S26" i="33" s="1"/>
  <c r="S28" i="33" s="1"/>
  <c r="B262" i="44"/>
  <c r="B354" i="44"/>
  <c r="B290" i="44"/>
  <c r="B452" i="44"/>
  <c r="I188" i="14"/>
  <c r="N188" i="14" s="1"/>
  <c r="B208" i="30"/>
  <c r="I339" i="14"/>
  <c r="N339" i="14" s="1"/>
  <c r="B341" i="14"/>
  <c r="AX4" i="33" s="1"/>
  <c r="I472" i="14"/>
  <c r="N472" i="14" s="1"/>
  <c r="B474" i="14"/>
  <c r="Q11" i="33" s="1"/>
  <c r="I493" i="14"/>
  <c r="N493" i="14" s="1"/>
  <c r="B495" i="14"/>
  <c r="T11" i="33" s="1"/>
  <c r="B207" i="30"/>
  <c r="B243" i="30"/>
  <c r="B241" i="30"/>
  <c r="B2013" i="14"/>
  <c r="I2013" i="14"/>
  <c r="N2013" i="14" s="1"/>
  <c r="B938" i="14"/>
  <c r="AE19" i="33" s="1"/>
  <c r="AE21" i="33" s="1"/>
  <c r="I792" i="14"/>
  <c r="N792" i="14" s="1"/>
  <c r="B789" i="14"/>
  <c r="J18" i="33" s="1"/>
  <c r="I437" i="14"/>
  <c r="N437" i="14" s="1"/>
  <c r="B439" i="14"/>
  <c r="L11" i="33" s="1"/>
  <c r="B483" i="14"/>
  <c r="R12" i="33" s="1"/>
  <c r="R14" i="33" s="1"/>
  <c r="I584" i="14"/>
  <c r="N584" i="14" s="1"/>
  <c r="B227" i="30"/>
  <c r="B637" i="14"/>
  <c r="AN12" i="33" s="1"/>
  <c r="AN14" i="33" s="1"/>
  <c r="B245" i="30"/>
  <c r="B404" i="14"/>
  <c r="G11" i="33" s="1"/>
  <c r="B213" i="30"/>
  <c r="B880" i="14"/>
  <c r="W18" i="33" s="1"/>
  <c r="B768" i="14"/>
  <c r="G18" i="33" s="1"/>
  <c r="B299" i="14"/>
  <c r="AR4" i="33" s="1"/>
  <c r="B943" i="14"/>
  <c r="AF18" i="33" s="1"/>
  <c r="B1162" i="14"/>
  <c r="J26" i="33" s="1"/>
  <c r="J28" i="33" s="1"/>
  <c r="B1356" i="14"/>
  <c r="AL25" i="33" s="1"/>
  <c r="B1610" i="14"/>
  <c r="V33" i="33" s="1"/>
  <c r="V35" i="33" s="1"/>
  <c r="B1722" i="14"/>
  <c r="AL33" i="33" s="1"/>
  <c r="AL35" i="33" s="1"/>
  <c r="B1901" i="14"/>
  <c r="B1099" i="14"/>
  <c r="I2335" i="14"/>
  <c r="N2335" i="14" s="1"/>
  <c r="B599" i="44"/>
  <c r="I962" i="14"/>
  <c r="N962" i="14" s="1"/>
  <c r="B964" i="14"/>
  <c r="AI18" i="33" s="1"/>
  <c r="I577" i="14"/>
  <c r="N577" i="14" s="1"/>
  <c r="B579" i="14"/>
  <c r="AF11" i="33" s="1"/>
  <c r="I598" i="14"/>
  <c r="N598" i="14" s="1"/>
  <c r="B600" i="14"/>
  <c r="AI11" i="33" s="1"/>
  <c r="I1987" i="14"/>
  <c r="N1987" i="14" s="1"/>
  <c r="B1985" i="14"/>
  <c r="B1943" i="14"/>
  <c r="B782" i="14"/>
  <c r="I18" i="33" s="1"/>
  <c r="B901" i="14"/>
  <c r="Z18" i="33" s="1"/>
  <c r="B1699" i="14"/>
  <c r="AI32" i="33" s="1"/>
  <c r="B684" i="14"/>
  <c r="AU11" i="33" s="1"/>
  <c r="B223" i="30"/>
  <c r="B740" i="14"/>
  <c r="C18" i="33" s="1"/>
  <c r="B249" i="30"/>
  <c r="B131" i="14"/>
  <c r="T4" i="33" s="1"/>
  <c r="B861" i="14"/>
  <c r="T19" i="33" s="1"/>
  <c r="T21" i="33" s="1"/>
  <c r="I794" i="14"/>
  <c r="N794" i="14" s="1"/>
  <c r="B240" i="30"/>
  <c r="I514" i="14"/>
  <c r="N514" i="14" s="1"/>
  <c r="B516" i="14"/>
  <c r="W11" i="33" s="1"/>
  <c r="B616" i="14"/>
  <c r="AK12" i="33" s="1"/>
  <c r="AK14" i="33" s="1"/>
  <c r="B831" i="14"/>
  <c r="P18" i="33" s="1"/>
  <c r="B206" i="30"/>
  <c r="B910" i="14"/>
  <c r="AA19" i="33" s="1"/>
  <c r="AA21" i="33" s="1"/>
  <c r="I323" i="14"/>
  <c r="N323" i="14" s="1"/>
  <c r="B320" i="14"/>
  <c r="AU4" i="33" s="1"/>
  <c r="I454" i="14"/>
  <c r="N454" i="14" s="1"/>
  <c r="B453" i="14"/>
  <c r="N11" i="33" s="1"/>
  <c r="B497" i="14"/>
  <c r="T12" i="33" s="1"/>
  <c r="T14" i="33" s="1"/>
  <c r="I676" i="14"/>
  <c r="N676" i="14" s="1"/>
  <c r="B677" i="14"/>
  <c r="AT11" i="33" s="1"/>
  <c r="I718" i="14"/>
  <c r="N718" i="14" s="1"/>
  <c r="B719" i="14"/>
  <c r="AZ11" i="33" s="1"/>
  <c r="B1477" i="14"/>
  <c r="C33" i="33" s="1"/>
  <c r="C35" i="33" s="1"/>
  <c r="I2007" i="14"/>
  <c r="N2007" i="14" s="1"/>
  <c r="B2006" i="14"/>
  <c r="B2000" i="14"/>
  <c r="I1958" i="14"/>
  <c r="N1958" i="14" s="1"/>
  <c r="B1957" i="14"/>
  <c r="B470" i="44"/>
  <c r="B221" i="30"/>
  <c r="B1454" i="14"/>
  <c r="AZ25" i="33" s="1"/>
  <c r="B656" i="14"/>
  <c r="AQ11" i="33" s="1"/>
  <c r="B509" i="14"/>
  <c r="V11" i="33" s="1"/>
  <c r="B1041" i="14"/>
  <c r="AT18" i="33" s="1"/>
  <c r="I591" i="14"/>
  <c r="N591" i="14" s="1"/>
  <c r="B334" i="14"/>
  <c r="AW4" i="33" s="1"/>
  <c r="B670" i="14"/>
  <c r="AS11" i="33" s="1"/>
  <c r="B1496" i="14"/>
  <c r="F32" i="33" s="1"/>
  <c r="B810" i="14"/>
  <c r="M18" i="33" s="1"/>
  <c r="B1482" i="14"/>
  <c r="D32" i="33" s="1"/>
  <c r="B544" i="14"/>
  <c r="AA11" i="33" s="1"/>
  <c r="B194" i="14"/>
  <c r="AC4" i="33" s="1"/>
  <c r="B1090" i="14"/>
  <c r="BA18" i="33" s="1"/>
  <c r="B124" i="14"/>
  <c r="S4" i="33" s="1"/>
  <c r="B845" i="14"/>
  <c r="R18" i="33" s="1"/>
  <c r="B1211" i="14"/>
  <c r="Q26" i="33" s="1"/>
  <c r="Q28" i="33" s="1"/>
  <c r="B1729" i="14"/>
  <c r="AM33" i="33" s="1"/>
  <c r="AM35" i="33" s="1"/>
  <c r="B165" i="44"/>
  <c r="B174" i="44"/>
  <c r="B335" i="44"/>
  <c r="I815" i="14"/>
  <c r="N815" i="14" s="1"/>
  <c r="B817" i="14"/>
  <c r="N18" i="33" s="1"/>
  <c r="I248" i="14"/>
  <c r="N248" i="14" s="1"/>
  <c r="B250" i="14"/>
  <c r="AK4" i="33" s="1"/>
  <c r="I2511" i="14"/>
  <c r="N2511" i="14" s="1"/>
  <c r="B388" i="44"/>
  <c r="B1176" i="14"/>
  <c r="L26" i="33" s="1"/>
  <c r="L28" i="33" s="1"/>
  <c r="B1708" i="14"/>
  <c r="AJ33" i="33" s="1"/>
  <c r="AJ35" i="33" s="1"/>
  <c r="B1302" i="14"/>
  <c r="AD26" i="33" s="1"/>
  <c r="B1379" i="14"/>
  <c r="AO26" i="33" s="1"/>
  <c r="B805" i="14"/>
  <c r="L19" i="33" s="1"/>
  <c r="L21" i="33" s="1"/>
  <c r="B560" i="14"/>
  <c r="AC12" i="33" s="1"/>
  <c r="AC14" i="33" s="1"/>
  <c r="B700" i="14"/>
  <c r="AW12" i="33" s="1"/>
  <c r="AW14" i="33" s="1"/>
  <c r="B2007" i="14"/>
  <c r="B355" i="14"/>
  <c r="AZ4" i="33" s="1"/>
  <c r="B796" i="14"/>
  <c r="K18" i="33" s="1"/>
  <c r="B397" i="14"/>
  <c r="F11" i="33" s="1"/>
  <c r="B1636" i="14"/>
  <c r="Z32" i="33" s="1"/>
  <c r="B173" i="14"/>
  <c r="Z4" i="33" s="1"/>
  <c r="B204" i="30"/>
  <c r="I234" i="14"/>
  <c r="N234" i="14" s="1"/>
  <c r="B236" i="14"/>
  <c r="AI4" i="33" s="1"/>
  <c r="B427" i="14"/>
  <c r="J12" i="33" s="1"/>
  <c r="J14" i="33" s="1"/>
  <c r="B462" i="14"/>
  <c r="O12" i="33" s="1"/>
  <c r="O14" i="33" s="1"/>
  <c r="B525" i="14"/>
  <c r="X12" i="33" s="1"/>
  <c r="B546" i="14"/>
  <c r="AA12" i="33" s="1"/>
  <c r="AA14" i="33" s="1"/>
  <c r="I2003" i="14"/>
  <c r="N2003" i="14" s="1"/>
  <c r="B2002" i="14" s="1"/>
  <c r="B1999" i="14"/>
  <c r="B1867" i="14"/>
  <c r="I1844" i="14"/>
  <c r="N1844" i="14" s="1"/>
  <c r="B1845" i="14"/>
  <c r="B887" i="14"/>
  <c r="X18" i="33" s="1"/>
  <c r="B297" i="30"/>
  <c r="B244" i="30"/>
  <c r="B1118" i="14"/>
  <c r="D25" i="33" s="1"/>
  <c r="B614" i="14"/>
  <c r="AK11" i="33" s="1"/>
  <c r="B228" i="30"/>
  <c r="B1188" i="14"/>
  <c r="N25" i="33" s="1"/>
  <c r="B1258" i="14"/>
  <c r="X25" i="33" s="1"/>
  <c r="B1251" i="14"/>
  <c r="W25" i="33" s="1"/>
  <c r="B222" i="30"/>
  <c r="I1218" i="14"/>
  <c r="N1218" i="14" s="1"/>
  <c r="B348" i="14"/>
  <c r="AY4" i="33" s="1"/>
  <c r="B1069" i="14"/>
  <c r="AX18" i="33" s="1"/>
  <c r="B1020" i="14"/>
  <c r="AQ18" i="33" s="1"/>
  <c r="B971" i="14"/>
  <c r="AJ18" i="33" s="1"/>
  <c r="I227" i="14"/>
  <c r="N227" i="14" s="1"/>
  <c r="B530" i="14"/>
  <c r="Y11" i="33" s="1"/>
  <c r="B840" i="14"/>
  <c r="Q19" i="33" s="1"/>
  <c r="Q21" i="33" s="1"/>
  <c r="I1085" i="14"/>
  <c r="N1085" i="14" s="1"/>
  <c r="B1083" i="14"/>
  <c r="AZ18" i="33" s="1"/>
  <c r="I215" i="14"/>
  <c r="N215" i="14" s="1"/>
  <c r="B209" i="30"/>
  <c r="I470" i="14"/>
  <c r="N470" i="14" s="1"/>
  <c r="B467" i="14"/>
  <c r="P11" i="33" s="1"/>
  <c r="I556" i="14"/>
  <c r="N556" i="14" s="1"/>
  <c r="B558" i="14"/>
  <c r="AC11" i="33" s="1"/>
  <c r="B567" i="14"/>
  <c r="AD12" i="33" s="1"/>
  <c r="AD14" i="33" s="1"/>
  <c r="I623" i="14"/>
  <c r="N623" i="14" s="1"/>
  <c r="B621" i="14"/>
  <c r="AL11" i="33" s="1"/>
  <c r="B658" i="14"/>
  <c r="AQ12" i="33" s="1"/>
  <c r="AQ14" i="33" s="1"/>
  <c r="I699" i="14"/>
  <c r="N699" i="14" s="1"/>
  <c r="B698" i="14"/>
  <c r="AW11" i="33" s="1"/>
  <c r="I726" i="14"/>
  <c r="N726" i="14" s="1"/>
  <c r="B726" i="14"/>
  <c r="BA11" i="33" s="1"/>
  <c r="I2403" i="14"/>
  <c r="N2403" i="14" s="1"/>
  <c r="B1874" i="14"/>
  <c r="I2021" i="14"/>
  <c r="N2021" i="14" s="1"/>
  <c r="B2023" i="14" s="1"/>
  <c r="B2020" i="14"/>
  <c r="B1645" i="14"/>
  <c r="AA33" i="33" s="1"/>
  <c r="AA35" i="33" s="1"/>
  <c r="B1015" i="14"/>
  <c r="AP19" i="33" s="1"/>
  <c r="AP21" i="33" s="1"/>
  <c r="B242" i="30"/>
  <c r="I778" i="14"/>
  <c r="N778" i="14" s="1"/>
  <c r="B775" i="14"/>
  <c r="H18" i="33" s="1"/>
  <c r="I733" i="14"/>
  <c r="N733" i="14" s="1"/>
  <c r="B238" i="30"/>
  <c r="I310" i="14"/>
  <c r="N310" i="14" s="1"/>
  <c r="B212" i="30"/>
  <c r="I388" i="14"/>
  <c r="N388" i="14" s="1"/>
  <c r="B390" i="14"/>
  <c r="E11" i="33" s="1"/>
  <c r="I419" i="14"/>
  <c r="N419" i="14" s="1"/>
  <c r="B418" i="14"/>
  <c r="I11" i="33" s="1"/>
  <c r="B2042" i="14"/>
  <c r="I1591" i="14"/>
  <c r="N1591" i="14" s="1"/>
  <c r="B1587" i="14"/>
  <c r="S32" i="33" s="1"/>
  <c r="B246" i="44"/>
  <c r="B1811" i="14"/>
  <c r="AY32" i="33" s="1"/>
  <c r="B1398" i="14"/>
  <c r="AR25" i="33" s="1"/>
  <c r="B2034" i="14"/>
  <c r="B1344" i="14"/>
  <c r="AJ26" i="33" s="1"/>
  <c r="AJ28" i="33" s="1"/>
  <c r="B607" i="14"/>
  <c r="AJ11" i="33" s="1"/>
  <c r="B1104" i="14"/>
  <c r="B25" i="33" s="1"/>
  <c r="B1701" i="14"/>
  <c r="AI33" i="33" s="1"/>
  <c r="AI35" i="33" s="1"/>
  <c r="B226" i="30"/>
  <c r="B1365" i="14"/>
  <c r="AM26" i="33" s="1"/>
  <c r="AM28" i="33" s="1"/>
  <c r="B1575" i="14"/>
  <c r="Q33" i="33" s="1"/>
  <c r="Q35" i="33" s="1"/>
  <c r="B1519" i="14"/>
  <c r="I33" i="33" s="1"/>
  <c r="I35" i="33" s="1"/>
  <c r="B1190" i="14"/>
  <c r="N26" i="33" s="1"/>
  <c r="N28" i="33" s="1"/>
  <c r="B200" i="44"/>
  <c r="B1232" i="14"/>
  <c r="T26" i="33" s="1"/>
  <c r="T28" i="33" s="1"/>
  <c r="B1085" i="14"/>
  <c r="AZ19" i="33" s="1"/>
  <c r="AZ21" i="33" s="1"/>
  <c r="B433" i="44"/>
  <c r="B413" i="44"/>
  <c r="B106" i="44"/>
  <c r="B212" i="44"/>
  <c r="B421" i="44"/>
  <c r="B1295" i="14"/>
  <c r="AC26" i="33" s="1"/>
  <c r="AC28" i="33" s="1"/>
  <c r="I1921" i="14"/>
  <c r="N1921" i="14" s="1"/>
  <c r="B1922" i="14"/>
  <c r="B295" i="30"/>
  <c r="B563" i="44"/>
  <c r="B574" i="44"/>
  <c r="B571" i="44"/>
  <c r="B564" i="44"/>
  <c r="B558" i="44"/>
  <c r="B569" i="44"/>
  <c r="B1915" i="14"/>
  <c r="B511" i="44"/>
  <c r="B493" i="44"/>
  <c r="B487" i="44"/>
  <c r="B566" i="44"/>
  <c r="I1919" i="14"/>
  <c r="N1919" i="14" s="1"/>
  <c r="B554" i="44"/>
  <c r="B543" i="44"/>
  <c r="B521" i="44"/>
  <c r="I1123" i="14"/>
  <c r="N1123" i="14" s="1"/>
  <c r="B1125" i="14"/>
  <c r="E25" i="33" s="1"/>
  <c r="I1277" i="14"/>
  <c r="N1277" i="14" s="1"/>
  <c r="B1279" i="14"/>
  <c r="AA25" i="33" s="1"/>
  <c r="B454" i="44"/>
  <c r="B293" i="44"/>
  <c r="I1152" i="14"/>
  <c r="N1152" i="14" s="1"/>
  <c r="B1153" i="14"/>
  <c r="I25" i="33" s="1"/>
  <c r="B445" i="44"/>
  <c r="B439" i="44"/>
  <c r="B438" i="44"/>
  <c r="I1790" i="14"/>
  <c r="N1790" i="14" s="1"/>
  <c r="B1790" i="14"/>
  <c r="AV32" i="33" s="1"/>
  <c r="B440" i="44"/>
  <c r="I1747" i="14"/>
  <c r="N1747" i="14" s="1"/>
  <c r="B402" i="44"/>
  <c r="B3" i="44"/>
  <c r="B1363" i="14"/>
  <c r="AM25" i="33" s="1"/>
  <c r="B7" i="44"/>
  <c r="B9" i="44"/>
  <c r="B10" i="44"/>
  <c r="B15" i="44"/>
  <c r="B13" i="44"/>
  <c r="B4" i="44"/>
  <c r="I1383" i="14"/>
  <c r="N1383" i="14" s="1"/>
  <c r="B34" i="44"/>
  <c r="B35" i="44"/>
  <c r="B36" i="44"/>
  <c r="B38" i="44"/>
  <c r="B37" i="44"/>
  <c r="B1111" i="14"/>
  <c r="C25" i="33" s="1"/>
  <c r="I1111" i="14"/>
  <c r="N1111" i="14" s="1"/>
  <c r="I1303" i="14"/>
  <c r="N1303" i="14" s="1"/>
  <c r="B1300" i="14"/>
  <c r="AD25" i="33" s="1"/>
  <c r="I1236" i="14"/>
  <c r="N1236" i="14" s="1"/>
  <c r="B1237" i="14"/>
  <c r="U25" i="33" s="1"/>
  <c r="B327" i="44"/>
  <c r="B519" i="44"/>
  <c r="I1967" i="14"/>
  <c r="N1967" i="14" s="1"/>
  <c r="B591" i="44"/>
  <c r="B604" i="44"/>
  <c r="B579" i="44"/>
  <c r="B577" i="44"/>
  <c r="B610" i="44"/>
  <c r="B999" i="14"/>
  <c r="AN18" i="33" s="1"/>
  <c r="I1001" i="14"/>
  <c r="N1001" i="14" s="1"/>
  <c r="C244" i="37" s="1"/>
  <c r="I1732" i="14"/>
  <c r="N1732" i="14" s="1"/>
  <c r="B387" i="44"/>
  <c r="B378" i="44"/>
  <c r="B364" i="44"/>
  <c r="B384" i="44"/>
  <c r="B371" i="44"/>
  <c r="B368" i="44"/>
  <c r="B1734" i="14"/>
  <c r="AN32" i="33" s="1"/>
  <c r="B372" i="44"/>
  <c r="I1409" i="14"/>
  <c r="N1409" i="14" s="1"/>
  <c r="B59" i="44"/>
  <c r="B57" i="44"/>
  <c r="B39" i="44"/>
  <c r="I1413" i="14"/>
  <c r="N1413" i="14" s="1"/>
  <c r="B1412" i="14"/>
  <c r="AT25" i="33" s="1"/>
  <c r="I1670" i="14"/>
  <c r="N1670" i="14" s="1"/>
  <c r="B321" i="44"/>
  <c r="B1671" i="14"/>
  <c r="AE32" i="33" s="1"/>
  <c r="B318" i="44"/>
  <c r="B309" i="44"/>
  <c r="B298" i="44"/>
  <c r="I1655" i="14"/>
  <c r="N1655" i="14" s="1"/>
  <c r="B308" i="44"/>
  <c r="B1657" i="14"/>
  <c r="AC32" i="33" s="1"/>
  <c r="B303" i="44"/>
  <c r="B307" i="44"/>
  <c r="B299" i="44"/>
  <c r="B394" i="44"/>
  <c r="I1746" i="14"/>
  <c r="N1746" i="14" s="1"/>
  <c r="B397" i="44"/>
  <c r="B73" i="44"/>
  <c r="I1418" i="14"/>
  <c r="N1418" i="14" s="1"/>
  <c r="B70" i="44"/>
  <c r="I1661" i="14"/>
  <c r="N1661" i="14" s="1"/>
  <c r="B316" i="44"/>
  <c r="B285" i="44"/>
  <c r="I1631" i="14"/>
  <c r="N1631" i="14" s="1"/>
  <c r="B277" i="44"/>
  <c r="B275" i="44"/>
  <c r="B253" i="44"/>
  <c r="B278" i="44"/>
  <c r="B284" i="44"/>
  <c r="B271" i="44"/>
  <c r="B266" i="44"/>
  <c r="B1517" i="14"/>
  <c r="I32" i="33" s="1"/>
  <c r="B95" i="44"/>
  <c r="B122" i="44"/>
  <c r="B133" i="44"/>
  <c r="B111" i="44"/>
  <c r="I1515" i="14"/>
  <c r="N1515" i="14" s="1"/>
  <c r="B147" i="44"/>
  <c r="B137" i="44"/>
  <c r="B116" i="44"/>
  <c r="I1708" i="14"/>
  <c r="N1708" i="14" s="1"/>
  <c r="B363" i="44"/>
  <c r="B351" i="44"/>
  <c r="I1566" i="14"/>
  <c r="N1566" i="14" s="1"/>
  <c r="B218" i="44"/>
  <c r="B1566" i="14"/>
  <c r="P32" i="33" s="1"/>
  <c r="B219" i="44"/>
  <c r="B215" i="44"/>
  <c r="B214" i="44"/>
  <c r="B195" i="44"/>
  <c r="B217" i="44"/>
  <c r="B179" i="44"/>
  <c r="B175" i="44"/>
  <c r="B1643" i="14"/>
  <c r="AA32" i="33" s="1"/>
  <c r="B297" i="44"/>
  <c r="B291" i="44"/>
  <c r="B296" i="44"/>
  <c r="B292" i="44"/>
  <c r="I1642" i="14"/>
  <c r="N1642" i="14" s="1"/>
  <c r="B295" i="44"/>
  <c r="B474" i="44"/>
  <c r="B466" i="44"/>
  <c r="B467" i="44"/>
  <c r="B463" i="44"/>
  <c r="B469" i="44"/>
  <c r="B1818" i="14"/>
  <c r="AZ32" i="33" s="1"/>
  <c r="B472" i="44"/>
  <c r="B460" i="44"/>
  <c r="B459" i="44"/>
  <c r="I1805" i="14"/>
  <c r="N1805" i="14" s="1"/>
  <c r="I1689" i="14"/>
  <c r="N1689" i="14" s="1"/>
  <c r="B342" i="44"/>
  <c r="B330" i="44"/>
  <c r="B338" i="44"/>
  <c r="B1685" i="14"/>
  <c r="AG32" i="33" s="1"/>
  <c r="B343" i="44"/>
  <c r="B344" i="44"/>
  <c r="B334" i="44"/>
  <c r="B333" i="44"/>
  <c r="B331" i="44"/>
  <c r="B329" i="44"/>
  <c r="B339" i="44"/>
  <c r="B503" i="44"/>
  <c r="B352" i="44"/>
  <c r="B203" i="44"/>
  <c r="B514" i="44"/>
  <c r="B231" i="44"/>
  <c r="B1405" i="14"/>
  <c r="AS25" i="33" s="1"/>
  <c r="B562" i="44"/>
  <c r="B557" i="44"/>
  <c r="B2027" i="14"/>
  <c r="B1755" i="14"/>
  <c r="AQ32" i="33" s="1"/>
  <c r="I1753" i="14"/>
  <c r="N1753" i="14" s="1"/>
  <c r="B407" i="44"/>
  <c r="B390" i="44"/>
  <c r="B391" i="44"/>
  <c r="I1738" i="14"/>
  <c r="N1738" i="14" s="1"/>
  <c r="B392" i="44"/>
  <c r="I1367" i="14"/>
  <c r="N1367" i="14" s="1"/>
  <c r="B22" i="44"/>
  <c r="B21" i="44"/>
  <c r="B86" i="44"/>
  <c r="B85" i="44"/>
  <c r="I1432" i="14"/>
  <c r="N1432" i="14" s="1"/>
  <c r="B74" i="44"/>
  <c r="B77" i="44"/>
  <c r="B80" i="44"/>
  <c r="B82" i="44"/>
  <c r="I1795" i="14"/>
  <c r="N1795" i="14" s="1"/>
  <c r="B446" i="44"/>
  <c r="B349" i="44"/>
  <c r="B347" i="44"/>
  <c r="B162" i="44"/>
  <c r="I1694" i="14"/>
  <c r="N1694" i="14" s="1"/>
  <c r="B263" i="44"/>
  <c r="B167" i="44"/>
  <c r="B366" i="44"/>
  <c r="B234" i="44"/>
  <c r="B71" i="44"/>
  <c r="B1804" i="14"/>
  <c r="AX32" i="33" s="1"/>
  <c r="B6" i="21"/>
  <c r="I1707" i="14"/>
  <c r="N1707" i="14" s="1"/>
  <c r="B356" i="44"/>
  <c r="B360" i="44"/>
  <c r="B523" i="44"/>
  <c r="B505" i="44"/>
  <c r="I1579" i="14"/>
  <c r="N1579" i="14" s="1"/>
  <c r="B233" i="44"/>
  <c r="B1071" i="14"/>
  <c r="AX19" i="33" s="1"/>
  <c r="AX21" i="33" s="1"/>
  <c r="B48" i="44"/>
  <c r="B583" i="44"/>
  <c r="B249" i="44"/>
  <c r="B243" i="44"/>
  <c r="B289" i="44"/>
  <c r="B255" i="44"/>
  <c r="B254" i="44"/>
  <c r="B148" i="44"/>
  <c r="B26" i="44"/>
  <c r="B143" i="44"/>
  <c r="B206" i="44"/>
  <c r="B541" i="44"/>
  <c r="B582" i="44"/>
  <c r="B1223" i="14"/>
  <c r="S25" i="33" s="1"/>
  <c r="B257" i="44"/>
  <c r="B144" i="44"/>
  <c r="B1062" i="14"/>
  <c r="AW18" i="33" s="1"/>
  <c r="B1615" i="14"/>
  <c r="W32" i="33" s="1"/>
  <c r="B479" i="44"/>
  <c r="B88" i="44"/>
  <c r="B97" i="44"/>
  <c r="B230" i="44"/>
  <c r="B186" i="44"/>
  <c r="B423" i="44"/>
  <c r="B52" i="44"/>
  <c r="B45" i="44"/>
  <c r="B110" i="44"/>
  <c r="B613" i="44"/>
  <c r="B403" i="44"/>
  <c r="B1757" i="14"/>
  <c r="AQ33" i="33" s="1"/>
  <c r="AQ35" i="33" s="1"/>
  <c r="B453" i="44"/>
  <c r="B1141" i="14"/>
  <c r="G26" i="33" s="1"/>
  <c r="G28" i="33" s="1"/>
  <c r="I1444" i="14"/>
  <c r="N1444" i="14" s="1"/>
  <c r="B98" i="44"/>
  <c r="I1599" i="14"/>
  <c r="N1599" i="14" s="1"/>
  <c r="B250" i="44"/>
  <c r="B272" i="44"/>
  <c r="B268" i="44"/>
  <c r="B298" i="30"/>
  <c r="I1950" i="14"/>
  <c r="N1950" i="14" s="1"/>
  <c r="B1950" i="14"/>
  <c r="B434" i="44"/>
  <c r="B606" i="44"/>
  <c r="B611" i="44"/>
  <c r="B595" i="44"/>
  <c r="B136" i="44"/>
  <c r="B135" i="44"/>
  <c r="B180" i="44"/>
  <c r="B176" i="44"/>
  <c r="B422" i="44"/>
  <c r="B30" i="44"/>
  <c r="B210" i="44"/>
  <c r="B546" i="44"/>
  <c r="B535" i="44"/>
  <c r="B241" i="44"/>
  <c r="I1223" i="14"/>
  <c r="N1223" i="14" s="1"/>
  <c r="B155" i="44"/>
  <c r="B598" i="44"/>
  <c r="B49" i="44"/>
  <c r="B486" i="44"/>
  <c r="B1825" i="14"/>
  <c r="BA32" i="33" s="1"/>
  <c r="B259" i="44"/>
  <c r="B549" i="44"/>
  <c r="B1706" i="14"/>
  <c r="AJ32" i="33" s="1"/>
  <c r="B978" i="14"/>
  <c r="AK18" i="33" s="1"/>
  <c r="B248" i="30"/>
  <c r="I1551" i="14"/>
  <c r="N1551" i="14" s="1"/>
  <c r="I1676" i="14"/>
  <c r="N1676" i="14" s="1"/>
  <c r="B1678" i="14"/>
  <c r="AF32" i="33" s="1"/>
  <c r="I1690" i="14"/>
  <c r="N1690" i="14" s="1"/>
  <c r="B1692" i="14"/>
  <c r="AH32" i="33" s="1"/>
  <c r="B313" i="44"/>
  <c r="B312" i="44"/>
  <c r="B132" i="44"/>
  <c r="B126" i="44"/>
  <c r="I1611" i="14"/>
  <c r="N1611" i="14" s="1"/>
  <c r="B265" i="44"/>
  <c r="B27" i="44"/>
  <c r="B1372" i="14"/>
  <c r="AN26" i="33" s="1"/>
  <c r="AN28" i="33" s="1"/>
  <c r="B319" i="44"/>
  <c r="B44" i="44"/>
  <c r="B527" i="44"/>
  <c r="B223" i="44"/>
  <c r="B51" i="44"/>
  <c r="B156" i="44"/>
  <c r="B117" i="44"/>
  <c r="B431" i="44"/>
  <c r="B238" i="44"/>
  <c r="B581" i="44"/>
  <c r="B496" i="44"/>
  <c r="B154" i="44"/>
  <c r="B127" i="44"/>
  <c r="B120" i="44"/>
  <c r="B534" i="44"/>
  <c r="B1964" i="14"/>
  <c r="I1137" i="14"/>
  <c r="N1137" i="14" s="1"/>
  <c r="B504" i="44"/>
  <c r="B93" i="44"/>
  <c r="B227" i="44"/>
  <c r="B260" i="44"/>
  <c r="B531" i="44"/>
  <c r="B140" i="44"/>
  <c r="B430" i="44"/>
  <c r="B1048" i="14"/>
  <c r="AU18" i="33" s="1"/>
  <c r="B246" i="30"/>
  <c r="B53" i="44"/>
  <c r="B1552" i="14"/>
  <c r="N32" i="33" s="1"/>
  <c r="B261" i="44"/>
  <c r="I1876" i="14"/>
  <c r="N1876" i="14" s="1"/>
  <c r="B118" i="44"/>
  <c r="B115" i="44"/>
  <c r="B1510" i="14"/>
  <c r="H32" i="33" s="1"/>
  <c r="B1092" i="14"/>
  <c r="BA19" i="33" s="1"/>
  <c r="BA21" i="33" s="1"/>
  <c r="B194" i="44"/>
  <c r="B442" i="44"/>
  <c r="B1713" i="14"/>
  <c r="AK32" i="33" s="1"/>
  <c r="B125" i="44"/>
  <c r="B294" i="30"/>
  <c r="B205" i="44"/>
  <c r="B320" i="44"/>
  <c r="B536" i="44"/>
  <c r="B497" i="44"/>
  <c r="B489" i="44"/>
  <c r="I1394" i="14"/>
  <c r="N1394" i="14" s="1"/>
  <c r="B270" i="44"/>
  <c r="B529" i="44"/>
  <c r="B130" i="44"/>
  <c r="B191" i="44"/>
  <c r="I1779" i="14"/>
  <c r="N1779" i="14" s="1"/>
  <c r="B517" i="44"/>
  <c r="B33" i="44"/>
  <c r="B55" i="44"/>
  <c r="B134" i="44"/>
  <c r="B435" i="44"/>
  <c r="B28" i="44"/>
  <c r="B101" i="44"/>
  <c r="B242" i="44"/>
  <c r="B506" i="44"/>
  <c r="B432" i="44"/>
  <c r="B417" i="44"/>
  <c r="B1776" i="14"/>
  <c r="AT32" i="33" s="1"/>
  <c r="B492" i="44"/>
  <c r="B317" i="44"/>
  <c r="B267" i="44"/>
  <c r="B424" i="44"/>
  <c r="B274" i="44"/>
  <c r="B235" i="44"/>
  <c r="B522" i="44"/>
  <c r="B172" i="44"/>
  <c r="B436" i="44"/>
  <c r="B145" i="44"/>
  <c r="B508" i="44"/>
  <c r="B185" i="44"/>
  <c r="B542" i="44"/>
  <c r="B169" i="44"/>
  <c r="B495" i="44"/>
  <c r="B484" i="44"/>
  <c r="B296" i="30"/>
  <c r="B40" i="44"/>
  <c r="B355" i="44"/>
  <c r="B512" i="44"/>
  <c r="B128" i="44"/>
  <c r="I1392" i="14"/>
  <c r="N1392" i="14" s="1"/>
  <c r="B158" i="44"/>
  <c r="B141" i="44"/>
  <c r="B139" i="44"/>
  <c r="B1209" i="14"/>
  <c r="Q25" i="33" s="1"/>
  <c r="I1248" i="14"/>
  <c r="N1248" i="14" s="1"/>
  <c r="B1244" i="14"/>
  <c r="V25" i="33" s="1"/>
  <c r="C160" i="37"/>
  <c r="B1342" i="14"/>
  <c r="AJ25" i="33" s="1"/>
  <c r="B1386" i="14"/>
  <c r="AP26" i="33" s="1"/>
  <c r="AP28" i="33" s="1"/>
  <c r="B1148" i="14"/>
  <c r="H26" i="33" s="1"/>
  <c r="H28" i="33" s="1"/>
  <c r="B952" i="14"/>
  <c r="AG19" i="33" s="1"/>
  <c r="AG21" i="33" s="1"/>
  <c r="T369" i="14"/>
  <c r="T370" i="14" s="1"/>
  <c r="T371" i="14" s="1"/>
  <c r="T372" i="14" s="1"/>
  <c r="T373" i="14" s="1"/>
  <c r="T374" i="14" s="1"/>
  <c r="T375" i="14" s="1"/>
  <c r="T376" i="14" s="1"/>
  <c r="T377" i="14" s="1"/>
  <c r="T378" i="14" s="1"/>
  <c r="B1743" i="14"/>
  <c r="AO33" i="33" s="1"/>
  <c r="AO35" i="33" s="1"/>
  <c r="B616" i="44"/>
  <c r="C149" i="37"/>
  <c r="C146" i="37"/>
  <c r="B615" i="44"/>
  <c r="B41" i="44"/>
  <c r="B1748" i="14"/>
  <c r="AP32" i="33" s="1"/>
  <c r="B1498" i="14"/>
  <c r="F33" i="33" s="1"/>
  <c r="F35" i="33" s="1"/>
  <c r="B226" i="44"/>
  <c r="B416" i="44"/>
  <c r="B1036" i="14"/>
  <c r="AS19" i="33" s="1"/>
  <c r="AS21" i="33" s="1"/>
  <c r="B1351" i="14"/>
  <c r="AK26" i="33" s="1"/>
  <c r="AK28" i="33" s="1"/>
  <c r="B151" i="44"/>
  <c r="B441" i="44"/>
  <c r="B1330" i="14"/>
  <c r="AH26" i="33" s="1"/>
  <c r="AH28" i="33" s="1"/>
  <c r="C163" i="37"/>
  <c r="B2049" i="14"/>
  <c r="B1174" i="14"/>
  <c r="L25" i="33" s="1"/>
  <c r="B1169" i="14"/>
  <c r="K26" i="33" s="1"/>
  <c r="K28" i="33" s="1"/>
  <c r="B160" i="44"/>
  <c r="B1750" i="14"/>
  <c r="AP33" i="33" s="1"/>
  <c r="AP35" i="33" s="1"/>
  <c r="B14" i="44"/>
  <c r="B47" i="44"/>
  <c r="B83" i="44"/>
  <c r="B314" i="44"/>
  <c r="B124" i="44"/>
  <c r="B337" i="44"/>
  <c r="B1596" i="14"/>
  <c r="T33" i="33" s="1"/>
  <c r="T35" i="33" s="1"/>
  <c r="B2048" i="14"/>
  <c r="I2061" i="14"/>
  <c r="N2061" i="14" s="1"/>
  <c r="B2062" i="14"/>
  <c r="C164" i="37"/>
  <c r="C135" i="37"/>
  <c r="I1901" i="14"/>
  <c r="N1901" i="14" s="1"/>
  <c r="B518" i="44"/>
  <c r="B539" i="44"/>
  <c r="I2014" i="14"/>
  <c r="N2014" i="14" s="1"/>
  <c r="B601" i="44"/>
  <c r="B589" i="44"/>
  <c r="B588" i="44"/>
  <c r="I1328" i="14"/>
  <c r="N1328" i="14" s="1"/>
  <c r="B1328" i="14"/>
  <c r="AH25" i="33" s="1"/>
  <c r="I1283" i="14"/>
  <c r="N1283" i="14" s="1"/>
  <c r="B548" i="44"/>
  <c r="C161" i="37"/>
  <c r="I1310" i="14"/>
  <c r="N1310" i="14" s="1"/>
  <c r="B1307" i="14"/>
  <c r="AE25" i="33" s="1"/>
  <c r="I1632" i="14"/>
  <c r="N1632" i="14" s="1"/>
  <c r="B280" i="44"/>
  <c r="B1629" i="14"/>
  <c r="Y32" i="33" s="1"/>
  <c r="B282" i="44"/>
  <c r="B287" i="44"/>
  <c r="B264" i="44"/>
  <c r="B281" i="44"/>
  <c r="B286" i="44"/>
  <c r="B1323" i="14"/>
  <c r="AG26" i="33" s="1"/>
  <c r="AG28" i="33" s="1"/>
  <c r="I1705" i="14"/>
  <c r="N1705" i="14" s="1"/>
  <c r="B348" i="44"/>
  <c r="B358" i="44"/>
  <c r="B345" i="44"/>
  <c r="I1755" i="14"/>
  <c r="N1755" i="14" s="1"/>
  <c r="B410" i="44"/>
  <c r="B408" i="44"/>
  <c r="B379" i="44"/>
  <c r="B209" i="44"/>
  <c r="B427" i="44"/>
  <c r="B50" i="44"/>
  <c r="B283" i="44"/>
  <c r="B294" i="44"/>
  <c r="B19" i="44"/>
  <c r="B447" i="44"/>
  <c r="B256" i="44"/>
  <c r="B389" i="44"/>
  <c r="B54" i="44"/>
  <c r="B258" i="44"/>
  <c r="B418" i="44"/>
  <c r="B498" i="44"/>
  <c r="B252" i="44"/>
  <c r="B325" i="44"/>
  <c r="B1433" i="14"/>
  <c r="AW25" i="33" s="1"/>
  <c r="B332" i="44"/>
  <c r="B1384" i="14"/>
  <c r="AP25" i="33" s="1"/>
  <c r="I1541" i="14"/>
  <c r="N1541" i="14" s="1"/>
  <c r="B1293" i="14"/>
  <c r="AC25" i="33" s="1"/>
  <c r="B324" i="44"/>
  <c r="B251" i="44"/>
  <c r="B597" i="44"/>
  <c r="I1748" i="14"/>
  <c r="N1748" i="14" s="1"/>
  <c r="B400" i="44"/>
  <c r="B395" i="44"/>
  <c r="I1266" i="14"/>
  <c r="N1266" i="14" s="1"/>
  <c r="B1265" i="14"/>
  <c r="Y25" i="33" s="1"/>
  <c r="B1246" i="14"/>
  <c r="V26" i="33" s="1"/>
  <c r="V28" i="33" s="1"/>
  <c r="B189" i="44"/>
  <c r="B196" i="44"/>
  <c r="B170" i="44"/>
  <c r="I1381" i="14"/>
  <c r="N1381" i="14" s="1"/>
  <c r="B31" i="44"/>
  <c r="B66" i="44"/>
  <c r="B56" i="44"/>
  <c r="B63" i="44"/>
  <c r="B76" i="44"/>
  <c r="B68" i="44"/>
  <c r="B75" i="44"/>
  <c r="B46" i="44"/>
  <c r="I1422" i="14"/>
  <c r="N1422" i="14" s="1"/>
  <c r="I1784" i="14"/>
  <c r="N1784" i="14" s="1"/>
  <c r="B437" i="44"/>
  <c r="B1783" i="14"/>
  <c r="AU32" i="33" s="1"/>
  <c r="I1659" i="14"/>
  <c r="N1659" i="14" s="1"/>
  <c r="B300" i="44"/>
  <c r="B302" i="44"/>
  <c r="B301" i="44"/>
  <c r="B306" i="44"/>
  <c r="I1477" i="14"/>
  <c r="N1477" i="14" s="1"/>
  <c r="B1475" i="14"/>
  <c r="C32" i="33" s="1"/>
  <c r="B121" i="44"/>
  <c r="B326" i="44"/>
  <c r="I1899" i="14"/>
  <c r="N1899" i="14" s="1"/>
  <c r="B544" i="44"/>
  <c r="B538" i="44"/>
  <c r="B515" i="44"/>
  <c r="B510" i="44"/>
  <c r="B528" i="44"/>
  <c r="B1400" i="14"/>
  <c r="AR26" i="33" s="1"/>
  <c r="AR28" i="33" s="1"/>
  <c r="I1362" i="14"/>
  <c r="N1362" i="14" s="1"/>
  <c r="B16" i="44"/>
  <c r="B6" i="44"/>
  <c r="B12" i="44"/>
  <c r="B404" i="44"/>
  <c r="I1725" i="14"/>
  <c r="N1725" i="14" s="1"/>
  <c r="B380" i="44"/>
  <c r="B1573" i="14"/>
  <c r="Q32" i="33" s="1"/>
  <c r="B224" i="44"/>
  <c r="B220" i="44"/>
  <c r="B216" i="44"/>
  <c r="I1806" i="14"/>
  <c r="N1806" i="14" s="1"/>
  <c r="B458" i="44"/>
  <c r="I1375" i="14"/>
  <c r="N1375" i="14" s="1"/>
  <c r="B1377" i="14"/>
  <c r="AO25" i="33" s="1"/>
  <c r="B184" i="44"/>
  <c r="B481" i="44"/>
  <c r="B1852" i="14"/>
  <c r="B507" i="44"/>
  <c r="B483" i="44"/>
  <c r="B490" i="44"/>
  <c r="B475" i="44"/>
  <c r="B482" i="44"/>
  <c r="B465" i="44"/>
  <c r="B464" i="44"/>
  <c r="I1159" i="14"/>
  <c r="N1159" i="14" s="1"/>
  <c r="B1160" i="14"/>
  <c r="J25" i="33" s="1"/>
  <c r="B1421" i="14"/>
  <c r="AU26" i="33" s="1"/>
  <c r="AU28" i="33" s="1"/>
  <c r="I1721" i="14"/>
  <c r="N1721" i="14" s="1"/>
  <c r="B376" i="44"/>
  <c r="B375" i="44"/>
  <c r="B146" i="44"/>
  <c r="B149" i="44"/>
  <c r="B150" i="44"/>
  <c r="I1800" i="14"/>
  <c r="N1800" i="14" s="1"/>
  <c r="B1797" i="14"/>
  <c r="AW32" i="33" s="1"/>
  <c r="B377" i="44"/>
  <c r="B240" i="44"/>
  <c r="B244" i="44"/>
  <c r="B237" i="44"/>
  <c r="B114" i="44"/>
  <c r="I1459" i="14"/>
  <c r="N1459" i="14" s="1"/>
  <c r="B419" i="44"/>
  <c r="B1167" i="14"/>
  <c r="K25" i="33" s="1"/>
  <c r="B119" i="44"/>
  <c r="B2" i="44"/>
  <c r="I1230" i="14"/>
  <c r="N1230" i="14" s="1"/>
  <c r="B1230" i="14"/>
  <c r="T25" i="33" s="1"/>
  <c r="B113" i="44"/>
  <c r="B1419" i="14"/>
  <c r="AU25" i="33" s="1"/>
  <c r="B64" i="44"/>
  <c r="B60" i="44"/>
  <c r="I1624" i="14"/>
  <c r="N1624" i="14" s="1"/>
  <c r="B273" i="44"/>
  <c r="I1757" i="14"/>
  <c r="N1757" i="14" s="1"/>
  <c r="B412" i="44"/>
  <c r="B385" i="44"/>
  <c r="B382" i="44"/>
  <c r="B350" i="44"/>
  <c r="I1696" i="14"/>
  <c r="N1696" i="14" s="1"/>
  <c r="B248" i="44"/>
  <c r="B247" i="44"/>
  <c r="B25" i="44"/>
  <c r="B207" i="44"/>
  <c r="I1557" i="14"/>
  <c r="N1557" i="14" s="1"/>
  <c r="B288" i="44"/>
  <c r="I1819" i="14"/>
  <c r="N1819" i="14" s="1"/>
  <c r="B471" i="44"/>
  <c r="B183" i="44"/>
  <c r="B1582" i="14"/>
  <c r="R33" i="33" s="1"/>
  <c r="R35" i="33" s="1"/>
  <c r="B1078" i="14"/>
  <c r="AY19" i="33" s="1"/>
  <c r="AY21" i="33" s="1"/>
  <c r="B1288" i="14"/>
  <c r="AB26" i="33" s="1"/>
  <c r="AB28" i="33" s="1"/>
  <c r="B1958" i="14"/>
  <c r="B2063" i="14"/>
  <c r="B1456" i="14"/>
  <c r="AZ26" i="33" s="1"/>
  <c r="B1440" i="14"/>
  <c r="AX25" i="33" s="1"/>
  <c r="B1827" i="14"/>
  <c r="BA33" i="33" s="1"/>
  <c r="BA35" i="33" s="1"/>
  <c r="B1792" i="14"/>
  <c r="AV33" i="33" s="1"/>
  <c r="AV35" i="33" s="1"/>
  <c r="B420" i="44"/>
  <c r="B1589" i="14"/>
  <c r="S33" i="33" s="1"/>
  <c r="S35" i="33" s="1"/>
  <c r="B1720" i="14"/>
  <c r="AL32" i="33" s="1"/>
  <c r="B1894" i="14"/>
  <c r="B17" i="44"/>
  <c r="B1435" i="14"/>
  <c r="AW26" i="33" s="1"/>
  <c r="AW28" i="33" s="1"/>
  <c r="B623" i="44"/>
  <c r="I2047" i="14"/>
  <c r="N2047" i="14" s="1"/>
  <c r="B607" i="44"/>
  <c r="B444" i="44"/>
  <c r="I1168" i="14"/>
  <c r="N1168" i="14" s="1"/>
  <c r="I1157" i="14"/>
  <c r="N1157" i="14" s="1"/>
  <c r="B525" i="44"/>
  <c r="B449" i="44"/>
  <c r="B1873" i="14"/>
  <c r="B524" i="44"/>
  <c r="B451" i="44"/>
  <c r="B533" i="44"/>
  <c r="I1976" i="14"/>
  <c r="N1976" i="14" s="1"/>
  <c r="B594" i="44"/>
  <c r="B567" i="44"/>
  <c r="B552" i="44"/>
  <c r="B572" i="44"/>
  <c r="B618" i="44"/>
  <c r="B580" i="44"/>
  <c r="B603" i="44"/>
  <c r="B605" i="44"/>
  <c r="B590" i="44"/>
  <c r="B596" i="44"/>
  <c r="B545" i="44"/>
  <c r="B617" i="44"/>
  <c r="B188" i="44"/>
  <c r="B163" i="44"/>
  <c r="B164" i="44"/>
  <c r="I1533" i="14"/>
  <c r="N1533" i="14" s="1"/>
  <c r="B2070" i="14"/>
  <c r="I1470" i="14"/>
  <c r="N1470" i="14" s="1"/>
  <c r="B92" i="44"/>
  <c r="B79" i="44"/>
  <c r="B103" i="44"/>
  <c r="B81" i="44"/>
  <c r="B42" i="44"/>
  <c r="B87" i="44"/>
  <c r="B104" i="44"/>
  <c r="B109" i="44"/>
  <c r="B62" i="44"/>
  <c r="B228" i="44"/>
  <c r="B239" i="44"/>
  <c r="B232" i="44"/>
  <c r="B192" i="44"/>
  <c r="I1584" i="14"/>
  <c r="N1584" i="14" s="1"/>
  <c r="B197" i="44"/>
  <c r="B213" i="44"/>
  <c r="B190" i="44"/>
  <c r="B198" i="44"/>
  <c r="B211" i="44"/>
  <c r="B157" i="44"/>
  <c r="B1503" i="14"/>
  <c r="G32" i="33" s="1"/>
  <c r="B153" i="44"/>
  <c r="B131" i="44"/>
  <c r="B614" i="44"/>
  <c r="B619" i="44"/>
  <c r="B612" i="44"/>
  <c r="B621" i="44"/>
  <c r="B602" i="44"/>
  <c r="B494" i="44"/>
  <c r="B455" i="44"/>
  <c r="B568" i="44"/>
  <c r="B576" i="44"/>
  <c r="B553" i="44"/>
  <c r="B532" i="44"/>
  <c r="B461" i="44"/>
  <c r="B587" i="44"/>
  <c r="B516" i="44"/>
  <c r="B586" i="44"/>
  <c r="B1971" i="14"/>
  <c r="B448" i="44"/>
  <c r="B476" i="44"/>
  <c r="B401" i="44"/>
  <c r="B425" i="44"/>
  <c r="B386" i="44"/>
  <c r="B399" i="44"/>
  <c r="B362" i="44"/>
  <c r="B367" i="44"/>
  <c r="B414" i="44"/>
  <c r="B426" i="44"/>
  <c r="B411" i="44"/>
  <c r="B393" i="44"/>
  <c r="I1592" i="14"/>
  <c r="N1592" i="14" s="1"/>
  <c r="B245" i="44"/>
  <c r="B645" i="44"/>
  <c r="B622" i="44"/>
  <c r="B620" i="44"/>
  <c r="B600" i="44"/>
  <c r="B166" i="44"/>
  <c r="B565" i="44"/>
  <c r="B500" i="44"/>
  <c r="B168" i="44"/>
  <c r="B187" i="44"/>
  <c r="B112" i="44"/>
  <c r="B556" i="44"/>
  <c r="B570" i="44"/>
  <c r="B177" i="44"/>
  <c r="B547" i="44"/>
  <c r="B293" i="30"/>
  <c r="B501" i="44"/>
  <c r="B499" i="44"/>
  <c r="B161" i="44"/>
  <c r="B102" i="44"/>
  <c r="B108" i="44"/>
  <c r="B123" i="44"/>
  <c r="B129" i="44"/>
  <c r="B100" i="44"/>
  <c r="I1351" i="14"/>
  <c r="N1351" i="14" s="1"/>
  <c r="B5" i="44"/>
  <c r="B513" i="44"/>
  <c r="I1286" i="14"/>
  <c r="N1286" i="14" s="1"/>
  <c r="B1286" i="14"/>
  <c r="AB25" i="33" s="1"/>
  <c r="I1769" i="14"/>
  <c r="N1769" i="14" s="1"/>
  <c r="B1769" i="14"/>
  <c r="AS32" i="33" s="1"/>
  <c r="B1414" i="14"/>
  <c r="AT26" i="33" s="1"/>
  <c r="AT28" i="33" s="1"/>
  <c r="B269" i="44"/>
  <c r="B276" i="44"/>
  <c r="B468" i="44"/>
  <c r="B559" i="44"/>
  <c r="B1762" i="14"/>
  <c r="AR32" i="33" s="1"/>
  <c r="B429" i="44"/>
  <c r="B236" i="44"/>
  <c r="I1148" i="14"/>
  <c r="N1148" i="14" s="1"/>
  <c r="B1146" i="14"/>
  <c r="H25" i="33" s="1"/>
  <c r="I1751" i="14"/>
  <c r="N1751" i="14" s="1"/>
  <c r="B406" i="44"/>
  <c r="B20" i="44"/>
  <c r="I1527" i="14"/>
  <c r="N1527" i="14" s="1"/>
  <c r="B181" i="44"/>
  <c r="B208" i="44"/>
  <c r="B450" i="44"/>
  <c r="B304" i="44"/>
  <c r="B138" i="44"/>
  <c r="B23" i="44"/>
  <c r="B24" i="44"/>
  <c r="B409" i="44"/>
  <c r="B383" i="44"/>
  <c r="B279" i="44"/>
  <c r="B359" i="44"/>
  <c r="B142" i="44"/>
  <c r="B84" i="44"/>
  <c r="B99" i="44"/>
  <c r="B341" i="44"/>
  <c r="B415" i="44"/>
  <c r="B32" i="44"/>
  <c r="B152" i="44"/>
  <c r="B502" i="44"/>
  <c r="B29" i="44"/>
  <c r="B58" i="44"/>
  <c r="B89" i="44"/>
  <c r="B201" i="44"/>
  <c r="B221" i="44"/>
  <c r="B609" i="44"/>
  <c r="B322" i="44"/>
  <c r="B485" i="44"/>
  <c r="B357" i="44"/>
  <c r="B107" i="44"/>
  <c r="B573" i="44"/>
  <c r="B1741" i="14"/>
  <c r="AO32" i="33" s="1"/>
  <c r="B90" i="44"/>
  <c r="B72" i="44"/>
  <c r="B96" i="44"/>
  <c r="B323" i="44"/>
  <c r="B361" i="44"/>
  <c r="B67" i="44"/>
  <c r="B555" i="44"/>
  <c r="B1866" i="14"/>
  <c r="B374" i="44"/>
  <c r="B477" i="44"/>
  <c r="B608" i="44"/>
  <c r="B578" i="44"/>
  <c r="B491" i="44"/>
  <c r="B1349" i="14"/>
  <c r="AK25" i="33" s="1"/>
  <c r="B292" i="30"/>
  <c r="B462" i="44"/>
  <c r="B43" i="44"/>
  <c r="B1680" i="14"/>
  <c r="AF33" i="33" s="1"/>
  <c r="AF35" i="33" s="1"/>
  <c r="M6" i="18"/>
  <c r="O9" i="18" s="1"/>
  <c r="S3" i="18"/>
  <c r="C3" i="21"/>
  <c r="C169" i="37"/>
  <c r="C148" i="37"/>
  <c r="C144" i="37"/>
  <c r="C142" i="37"/>
  <c r="C141" i="37"/>
  <c r="C151" i="37"/>
  <c r="C132" i="37"/>
  <c r="C165" i="37"/>
  <c r="B2069" i="14"/>
  <c r="I2070" i="14"/>
  <c r="N2070" i="14" s="1"/>
  <c r="B624" i="44"/>
  <c r="C133" i="37"/>
  <c r="I1727" i="14"/>
  <c r="N1727" i="14" s="1"/>
  <c r="B1727" i="14"/>
  <c r="AM32" i="33" s="1"/>
  <c r="B381" i="44"/>
  <c r="I1317" i="14"/>
  <c r="N1317" i="14" s="1"/>
  <c r="B1314" i="14"/>
  <c r="AF25" i="33" s="1"/>
  <c r="B346" i="44"/>
  <c r="B478" i="44"/>
  <c r="B488" i="44"/>
  <c r="B526" i="44"/>
  <c r="B509" i="44"/>
  <c r="B473" i="44"/>
  <c r="B530" i="44"/>
  <c r="B353" i="44"/>
  <c r="B365" i="44"/>
  <c r="B443" i="44"/>
  <c r="B428" i="44"/>
  <c r="I1369" i="14"/>
  <c r="N1369" i="14" s="1"/>
  <c r="B1370" i="14"/>
  <c r="AN25" i="33" s="1"/>
  <c r="B182" i="44"/>
  <c r="B159" i="44"/>
  <c r="B173" i="44"/>
  <c r="B178" i="44"/>
  <c r="B171" i="44"/>
  <c r="I1684" i="14"/>
  <c r="N1684" i="14" s="1"/>
  <c r="B336" i="44"/>
  <c r="B328" i="44"/>
  <c r="C140" i="37"/>
  <c r="I1356" i="14"/>
  <c r="N1356" i="14" s="1"/>
  <c r="B8" i="44"/>
  <c r="B11" i="44"/>
  <c r="I1590" i="14"/>
  <c r="N1590" i="14" s="1"/>
  <c r="B229" i="44"/>
  <c r="I1472" i="14"/>
  <c r="N1472" i="14" s="1"/>
  <c r="B94" i="44"/>
  <c r="B91" i="44"/>
  <c r="B105" i="44"/>
  <c r="B1650" i="14"/>
  <c r="AB32" i="33" s="1"/>
  <c r="B575" i="44"/>
  <c r="B592" i="44"/>
  <c r="B561" i="44"/>
  <c r="B584" i="44"/>
  <c r="B560" i="44"/>
  <c r="B593" i="44"/>
  <c r="B585" i="44"/>
  <c r="I1007" i="14"/>
  <c r="N1007" i="14" s="1"/>
  <c r="B247" i="30"/>
  <c r="I1273" i="14"/>
  <c r="N1273" i="14" s="1"/>
  <c r="B1272" i="14"/>
  <c r="Z25" i="33" s="1"/>
  <c r="I1665" i="14"/>
  <c r="N1665" i="14" s="1"/>
  <c r="B311" i="44"/>
  <c r="B315" i="44"/>
  <c r="B310" i="44"/>
  <c r="B456" i="44"/>
  <c r="B457" i="44"/>
  <c r="B2056" i="14"/>
  <c r="I1344" i="14"/>
  <c r="N1344" i="14" s="1"/>
  <c r="B405" i="44"/>
  <c r="B396" i="44"/>
  <c r="B398" i="44"/>
  <c r="I1573" i="14"/>
  <c r="N1573" i="14" s="1"/>
  <c r="B222" i="44"/>
  <c r="B225" i="44"/>
  <c r="I1549" i="14"/>
  <c r="N1549" i="14" s="1"/>
  <c r="B202" i="44"/>
  <c r="B199" i="44"/>
  <c r="B204" i="44"/>
  <c r="I1429" i="14"/>
  <c r="N1429" i="14" s="1"/>
  <c r="B69" i="44"/>
  <c r="B78" i="44"/>
  <c r="B65" i="44"/>
  <c r="B61" i="44"/>
  <c r="I1904" i="14"/>
  <c r="N1904" i="14" s="1"/>
  <c r="B537" i="44"/>
  <c r="B551" i="44"/>
  <c r="B540" i="44"/>
  <c r="B550" i="44"/>
  <c r="B369" i="44"/>
  <c r="B370" i="44"/>
  <c r="B640" i="44"/>
  <c r="B642" i="44"/>
  <c r="B625" i="44"/>
  <c r="B637" i="44"/>
  <c r="B638" i="44"/>
  <c r="B635" i="44"/>
  <c r="B636" i="44"/>
  <c r="B626" i="44"/>
  <c r="B2055" i="14"/>
  <c r="B633" i="44"/>
  <c r="B641" i="44"/>
  <c r="B634" i="44"/>
  <c r="B632" i="44"/>
  <c r="B639" i="44"/>
  <c r="I2059" i="14"/>
  <c r="N2059" i="14" s="1"/>
  <c r="B629" i="44"/>
  <c r="B643" i="44"/>
  <c r="B299" i="30"/>
  <c r="B644" i="44"/>
  <c r="C166" i="37"/>
  <c r="C162" i="37"/>
  <c r="C171" i="37"/>
  <c r="C134" i="37"/>
  <c r="C159" i="37"/>
  <c r="C156" i="37"/>
  <c r="C158" i="37"/>
  <c r="C154" i="37"/>
  <c r="C147" i="37"/>
  <c r="C157" i="37"/>
  <c r="C137" i="37"/>
  <c r="C167" i="37"/>
  <c r="C138" i="37"/>
  <c r="C155" i="37"/>
  <c r="C150" i="37"/>
  <c r="C143" i="37"/>
  <c r="C153" i="37"/>
  <c r="C136" i="37"/>
  <c r="C168" i="37"/>
  <c r="C170" i="37"/>
  <c r="C139" i="37"/>
  <c r="C152" i="37"/>
  <c r="C145" i="37"/>
  <c r="B2041" i="14"/>
  <c r="B631" i="44"/>
  <c r="B630" i="44"/>
  <c r="B627" i="44"/>
  <c r="B628" i="44"/>
  <c r="N15" i="40" l="1"/>
  <c r="N13" i="40" s="1"/>
  <c r="N12" i="40"/>
  <c r="K2226" i="14"/>
  <c r="Y2226" i="14" s="1"/>
  <c r="K2324" i="14"/>
  <c r="Y2324" i="14" s="1"/>
  <c r="K2398" i="14"/>
  <c r="Y2398" i="14" s="1"/>
  <c r="K2468" i="14"/>
  <c r="Y2468" i="14" s="1"/>
  <c r="Y2206" i="14"/>
  <c r="K2439" i="14"/>
  <c r="Y2439" i="14" s="1"/>
  <c r="K2401" i="14"/>
  <c r="Y2401" i="14" s="1"/>
  <c r="K2352" i="14"/>
  <c r="Y2352" i="14" s="1"/>
  <c r="K2437" i="14"/>
  <c r="Y2437" i="14" s="1"/>
  <c r="K2458" i="14"/>
  <c r="Y2458" i="14" s="1"/>
  <c r="K2467" i="14"/>
  <c r="Y2467" i="14" s="1"/>
  <c r="Y2207" i="14"/>
  <c r="K2545" i="14"/>
  <c r="Y2545" i="14" s="1"/>
  <c r="K2551" i="14"/>
  <c r="Y2551" i="14" s="1"/>
  <c r="K2315" i="14"/>
  <c r="Y2315" i="14" s="1"/>
  <c r="K2351" i="14"/>
  <c r="Y2351" i="14" s="1"/>
  <c r="K2503" i="14"/>
  <c r="Y2503" i="14" s="1"/>
  <c r="K2509" i="14"/>
  <c r="Y2509" i="14" s="1"/>
  <c r="K2527" i="14"/>
  <c r="Y2527" i="14" s="1"/>
  <c r="K2327" i="14"/>
  <c r="Y2327" i="14" s="1"/>
  <c r="K2345" i="14"/>
  <c r="Y2345" i="14" s="1"/>
  <c r="K2519" i="14"/>
  <c r="Y2519" i="14" s="1"/>
  <c r="K2531" i="14"/>
  <c r="Y2531" i="14" s="1"/>
  <c r="K2537" i="14"/>
  <c r="Y2537" i="14" s="1"/>
  <c r="K2555" i="14"/>
  <c r="Y2555" i="14" s="1"/>
  <c r="K2313" i="14"/>
  <c r="Y2313" i="14" s="1"/>
  <c r="K2331" i="14"/>
  <c r="Y2331" i="14" s="1"/>
  <c r="K2349" i="14"/>
  <c r="Y2349" i="14" s="1"/>
  <c r="K2355" i="14"/>
  <c r="Y2355" i="14" s="1"/>
  <c r="K2495" i="14"/>
  <c r="Y2495" i="14" s="1"/>
  <c r="K2513" i="14"/>
  <c r="Y2513" i="14" s="1"/>
  <c r="K2365" i="14"/>
  <c r="Y2365" i="14" s="1"/>
  <c r="K2547" i="14"/>
  <c r="Y2547" i="14" s="1"/>
  <c r="K2317" i="14"/>
  <c r="Y2317" i="14" s="1"/>
  <c r="K2359" i="14"/>
  <c r="Y2359" i="14" s="1"/>
  <c r="K2505" i="14"/>
  <c r="Y2505" i="14" s="1"/>
  <c r="K2517" i="14"/>
  <c r="Y2517" i="14" s="1"/>
  <c r="K2523" i="14"/>
  <c r="Y2523" i="14" s="1"/>
  <c r="K2541" i="14"/>
  <c r="Y2541" i="14" s="1"/>
  <c r="K2329" i="14"/>
  <c r="Y2329" i="14" s="1"/>
  <c r="K2499" i="14"/>
  <c r="Y2499" i="14" s="1"/>
  <c r="K2341" i="14"/>
  <c r="Y2341" i="14" s="1"/>
  <c r="K2363" i="14"/>
  <c r="Y2363" i="14" s="1"/>
  <c r="K2533" i="14"/>
  <c r="Y2533" i="14" s="1"/>
  <c r="K2534" i="14"/>
  <c r="Y2534" i="14" s="1"/>
  <c r="K2548" i="14"/>
  <c r="Y2548" i="14" s="1"/>
  <c r="K2394" i="14"/>
  <c r="Y2394" i="14" s="1"/>
  <c r="K2366" i="14"/>
  <c r="Y2366" i="14" s="1"/>
  <c r="K2338" i="14"/>
  <c r="Y2338" i="14" s="1"/>
  <c r="K2384" i="14"/>
  <c r="Y2384" i="14" s="1"/>
  <c r="K2436" i="14"/>
  <c r="Y2436" i="14" s="1"/>
  <c r="K2432" i="14"/>
  <c r="Y2432" i="14" s="1"/>
  <c r="K2393" i="14"/>
  <c r="Y2393" i="14" s="1"/>
  <c r="K2520" i="14"/>
  <c r="Y2520" i="14" s="1"/>
  <c r="B2560" i="14"/>
  <c r="R1793" i="14"/>
  <c r="R2100" i="14"/>
  <c r="R1518" i="14"/>
  <c r="R1946" i="14"/>
  <c r="P1171" i="14"/>
  <c r="R2211" i="14"/>
  <c r="K2163" i="14"/>
  <c r="Y2163" i="14" s="1"/>
  <c r="K2205" i="14"/>
  <c r="L33" i="21"/>
  <c r="R1010" i="14"/>
  <c r="R1583" i="14"/>
  <c r="P1576" i="14"/>
  <c r="P2223" i="14"/>
  <c r="R1124" i="14"/>
  <c r="L21" i="21"/>
  <c r="L43" i="21"/>
  <c r="R2223" i="14"/>
  <c r="V9" i="14"/>
  <c r="U9" i="14"/>
  <c r="P2230" i="14"/>
  <c r="P2214" i="14"/>
  <c r="R734" i="14"/>
  <c r="K2200" i="14"/>
  <c r="Y2200" i="14" s="1"/>
  <c r="K2214" i="14"/>
  <c r="Y2214" i="14" s="1"/>
  <c r="R854" i="14"/>
  <c r="R1077" i="14"/>
  <c r="R1474" i="14"/>
  <c r="R781" i="14"/>
  <c r="R2407" i="14"/>
  <c r="R1539" i="14"/>
  <c r="P2191" i="14"/>
  <c r="R1416" i="14"/>
  <c r="L73" i="21"/>
  <c r="P956" i="14" s="1"/>
  <c r="R1264" i="14"/>
  <c r="R746" i="14"/>
  <c r="R881" i="14"/>
  <c r="R1942" i="14"/>
  <c r="R2207" i="14"/>
  <c r="P732" i="14"/>
  <c r="P413" i="14"/>
  <c r="R1542" i="14"/>
  <c r="R1506" i="14"/>
  <c r="P2189" i="14"/>
  <c r="R1824" i="14"/>
  <c r="B1897" i="14"/>
  <c r="L334" i="30"/>
  <c r="B107" i="30"/>
  <c r="B1939" i="14"/>
  <c r="B1918" i="14"/>
  <c r="C77" i="21"/>
  <c r="B66" i="21"/>
  <c r="B49" i="21"/>
  <c r="J49" i="21" s="1"/>
  <c r="B57" i="21"/>
  <c r="B55" i="21"/>
  <c r="B56" i="21"/>
  <c r="B54" i="21"/>
  <c r="B58" i="21"/>
  <c r="B53" i="21"/>
  <c r="R1546" i="14"/>
  <c r="R1430" i="14"/>
  <c r="R1425" i="14"/>
  <c r="R1165" i="14"/>
  <c r="R1480" i="14"/>
  <c r="R1839" i="14"/>
  <c r="P667" i="14"/>
  <c r="P2204" i="14"/>
  <c r="R1567" i="14"/>
  <c r="R1572" i="14"/>
  <c r="R1677" i="14"/>
  <c r="P2120" i="14"/>
  <c r="R1481" i="14"/>
  <c r="R1884" i="14"/>
  <c r="P2246" i="14"/>
  <c r="R1635" i="14"/>
  <c r="R1643" i="14"/>
  <c r="R1469" i="14"/>
  <c r="R1565" i="14"/>
  <c r="D84" i="21"/>
  <c r="K84" i="21" s="1"/>
  <c r="K2220" i="14" s="1"/>
  <c r="Y2220" i="14" s="1"/>
  <c r="R1345" i="14"/>
  <c r="R1501" i="14"/>
  <c r="R1395" i="14"/>
  <c r="P312" i="14"/>
  <c r="R1476" i="14"/>
  <c r="R1608" i="14"/>
  <c r="R1408" i="14"/>
  <c r="R1443" i="14"/>
  <c r="R1554" i="14"/>
  <c r="R1864" i="14"/>
  <c r="R1435" i="14"/>
  <c r="R2112" i="14"/>
  <c r="K2215" i="14"/>
  <c r="Y2215" i="14" s="1"/>
  <c r="P2291" i="14"/>
  <c r="P2284" i="14"/>
  <c r="P2459" i="14"/>
  <c r="P2258" i="14"/>
  <c r="P2426" i="14"/>
  <c r="K2381" i="14"/>
  <c r="Y2381" i="14" s="1"/>
  <c r="K2409" i="14"/>
  <c r="Y2409" i="14" s="1"/>
  <c r="R2284" i="14"/>
  <c r="R2459" i="14"/>
  <c r="P2286" i="14"/>
  <c r="P2454" i="14"/>
  <c r="P2119" i="14"/>
  <c r="P2449" i="14"/>
  <c r="R2332" i="14"/>
  <c r="R2467" i="14"/>
  <c r="R2500" i="14"/>
  <c r="R2559" i="14"/>
  <c r="R2556" i="14"/>
  <c r="R2221" i="14"/>
  <c r="R2318" i="14"/>
  <c r="R2366" i="14"/>
  <c r="R2534" i="14"/>
  <c r="R2542" i="14"/>
  <c r="R2352" i="14"/>
  <c r="R2368" i="14"/>
  <c r="R2520" i="14"/>
  <c r="R2536" i="14"/>
  <c r="R2158" i="14"/>
  <c r="R2338" i="14"/>
  <c r="R2354" i="14"/>
  <c r="R2394" i="14"/>
  <c r="R2506" i="14"/>
  <c r="R2522" i="14"/>
  <c r="R2324" i="14"/>
  <c r="R2340" i="14"/>
  <c r="R2396" i="14"/>
  <c r="R2492" i="14"/>
  <c r="R2508" i="14"/>
  <c r="R2548" i="14"/>
  <c r="R2326" i="14"/>
  <c r="R2371" i="14"/>
  <c r="R2400" i="14"/>
  <c r="R2422" i="14"/>
  <c r="R2432" i="14"/>
  <c r="R2494" i="14"/>
  <c r="R2550" i="14"/>
  <c r="R2360" i="14"/>
  <c r="R2418" i="14"/>
  <c r="R2528" i="14"/>
  <c r="R2346" i="14"/>
  <c r="R2383" i="14"/>
  <c r="R2393" i="14"/>
  <c r="R2436" i="14"/>
  <c r="R2514" i="14"/>
  <c r="R2144" i="14"/>
  <c r="R2243" i="14"/>
  <c r="R2165" i="14"/>
  <c r="R1177" i="14"/>
  <c r="R1675" i="14"/>
  <c r="R1320" i="14"/>
  <c r="R1341" i="14"/>
  <c r="R1695" i="14"/>
  <c r="R1877" i="14"/>
  <c r="P2283" i="14"/>
  <c r="P2423" i="14"/>
  <c r="P2451" i="14"/>
  <c r="P2115" i="14"/>
  <c r="P2276" i="14"/>
  <c r="R2257" i="14"/>
  <c r="R2123" i="14"/>
  <c r="K2263" i="14"/>
  <c r="Y2263" i="14" s="1"/>
  <c r="K2374" i="14"/>
  <c r="Y2374" i="14" s="1"/>
  <c r="Y2199" i="14"/>
  <c r="K2402" i="14"/>
  <c r="Y2402" i="14" s="1"/>
  <c r="K2438" i="14"/>
  <c r="Y2438" i="14" s="1"/>
  <c r="K2227" i="14"/>
  <c r="Y2227" i="14" s="1"/>
  <c r="R2261" i="14"/>
  <c r="R2429" i="14"/>
  <c r="R1447" i="14"/>
  <c r="R1711" i="14"/>
  <c r="R1650" i="14"/>
  <c r="P2304" i="14"/>
  <c r="P2479" i="14"/>
  <c r="P2280" i="14"/>
  <c r="P2540" i="14"/>
  <c r="P2334" i="14"/>
  <c r="P2350" i="14"/>
  <c r="P2415" i="14"/>
  <c r="P2421" i="14"/>
  <c r="P2448" i="14"/>
  <c r="P2488" i="14"/>
  <c r="P2502" i="14"/>
  <c r="P2518" i="14"/>
  <c r="P2320" i="14"/>
  <c r="P2336" i="14"/>
  <c r="P2425" i="14"/>
  <c r="P2504" i="14"/>
  <c r="P2544" i="14"/>
  <c r="P2322" i="14"/>
  <c r="P2392" i="14"/>
  <c r="P2464" i="14"/>
  <c r="P2490" i="14"/>
  <c r="P2546" i="14"/>
  <c r="P2356" i="14"/>
  <c r="P2390" i="14"/>
  <c r="P2524" i="14"/>
  <c r="P2538" i="14"/>
  <c r="P2342" i="14"/>
  <c r="P2358" i="14"/>
  <c r="P2428" i="14"/>
  <c r="P2510" i="14"/>
  <c r="P2526" i="14"/>
  <c r="P2156" i="14"/>
  <c r="P2328" i="14"/>
  <c r="P2344" i="14"/>
  <c r="P2373" i="14"/>
  <c r="P2379" i="14"/>
  <c r="P2406" i="14"/>
  <c r="P2412" i="14"/>
  <c r="P2496" i="14"/>
  <c r="P2512" i="14"/>
  <c r="P2289" i="14"/>
  <c r="P2552" i="14"/>
  <c r="P2314" i="14"/>
  <c r="P2330" i="14"/>
  <c r="P2362" i="14"/>
  <c r="P2453" i="14"/>
  <c r="P2455" i="14"/>
  <c r="P2461" i="14"/>
  <c r="P2498" i="14"/>
  <c r="P2530" i="14"/>
  <c r="P2152" i="14"/>
  <c r="P2554" i="14"/>
  <c r="P2316" i="14"/>
  <c r="P2348" i="14"/>
  <c r="P2364" i="14"/>
  <c r="P2385" i="14"/>
  <c r="P2442" i="14"/>
  <c r="P2516" i="14"/>
  <c r="P2532" i="14"/>
  <c r="P2138" i="14"/>
  <c r="P2142" i="14"/>
  <c r="R2219" i="14"/>
  <c r="P2237" i="14"/>
  <c r="R2247" i="14"/>
  <c r="P508" i="14"/>
  <c r="P2471" i="14"/>
  <c r="K2388" i="14"/>
  <c r="Y2388" i="14" s="1"/>
  <c r="K2416" i="14"/>
  <c r="Y2416" i="14" s="1"/>
  <c r="K2444" i="14"/>
  <c r="Y2444" i="14" s="1"/>
  <c r="K2320" i="14"/>
  <c r="Y2320" i="14" s="1"/>
  <c r="K2336" i="14"/>
  <c r="Y2336" i="14" s="1"/>
  <c r="K2425" i="14"/>
  <c r="Y2425" i="14" s="1"/>
  <c r="K2504" i="14"/>
  <c r="Y2504" i="14" s="1"/>
  <c r="K2544" i="14"/>
  <c r="Y2544" i="14" s="1"/>
  <c r="K2322" i="14"/>
  <c r="Y2322" i="14" s="1"/>
  <c r="K2490" i="14"/>
  <c r="Y2490" i="14" s="1"/>
  <c r="K2546" i="14"/>
  <c r="Y2546" i="14" s="1"/>
  <c r="K2356" i="14"/>
  <c r="Y2356" i="14" s="1"/>
  <c r="K2390" i="14"/>
  <c r="Y2390" i="14" s="1"/>
  <c r="K2524" i="14"/>
  <c r="Y2524" i="14" s="1"/>
  <c r="K2538" i="14"/>
  <c r="Y2538" i="14" s="1"/>
  <c r="K2152" i="14"/>
  <c r="Y2152" i="14" s="1"/>
  <c r="K2342" i="14"/>
  <c r="Y2342" i="14" s="1"/>
  <c r="K2358" i="14"/>
  <c r="Y2358" i="14" s="1"/>
  <c r="K2428" i="14"/>
  <c r="Y2428" i="14" s="1"/>
  <c r="K2510" i="14"/>
  <c r="Y2510" i="14" s="1"/>
  <c r="K2526" i="14"/>
  <c r="Y2526" i="14" s="1"/>
  <c r="K2328" i="14"/>
  <c r="Y2328" i="14" s="1"/>
  <c r="K2344" i="14"/>
  <c r="Y2344" i="14" s="1"/>
  <c r="K2373" i="14"/>
  <c r="Y2373" i="14" s="1"/>
  <c r="K2379" i="14"/>
  <c r="Y2379" i="14" s="1"/>
  <c r="K2496" i="14"/>
  <c r="Y2496" i="14" s="1"/>
  <c r="K2512" i="14"/>
  <c r="Y2512" i="14" s="1"/>
  <c r="K2552" i="14"/>
  <c r="Y2552" i="14" s="1"/>
  <c r="K2314" i="14"/>
  <c r="Y2314" i="14" s="1"/>
  <c r="K2330" i="14"/>
  <c r="Y2330" i="14" s="1"/>
  <c r="K2362" i="14"/>
  <c r="Y2362" i="14" s="1"/>
  <c r="K2453" i="14"/>
  <c r="Y2453" i="14" s="1"/>
  <c r="K2498" i="14"/>
  <c r="Y2498" i="14" s="1"/>
  <c r="K2530" i="14"/>
  <c r="Y2530" i="14" s="1"/>
  <c r="K2142" i="14"/>
  <c r="Y2142" i="14" s="1"/>
  <c r="K2554" i="14"/>
  <c r="Y2554" i="14" s="1"/>
  <c r="K2316" i="14"/>
  <c r="Y2316" i="14" s="1"/>
  <c r="K2348" i="14"/>
  <c r="Y2348" i="14" s="1"/>
  <c r="K2364" i="14"/>
  <c r="Y2364" i="14" s="1"/>
  <c r="K2385" i="14"/>
  <c r="Y2385" i="14" s="1"/>
  <c r="K2516" i="14"/>
  <c r="Y2516" i="14" s="1"/>
  <c r="K2532" i="14"/>
  <c r="Y2532" i="14" s="1"/>
  <c r="K2540" i="14"/>
  <c r="Y2540" i="14" s="1"/>
  <c r="K2334" i="14"/>
  <c r="Y2334" i="14" s="1"/>
  <c r="K2350" i="14"/>
  <c r="Y2350" i="14" s="1"/>
  <c r="K2415" i="14"/>
  <c r="Y2415" i="14" s="1"/>
  <c r="K2421" i="14"/>
  <c r="Y2421" i="14" s="1"/>
  <c r="K2448" i="14"/>
  <c r="Y2448" i="14" s="1"/>
  <c r="K2488" i="14"/>
  <c r="Y2488" i="14" s="1"/>
  <c r="K2502" i="14"/>
  <c r="Y2502" i="14" s="1"/>
  <c r="K2518" i="14"/>
  <c r="Y2518" i="14" s="1"/>
  <c r="K2156" i="14"/>
  <c r="Y2156" i="14" s="1"/>
  <c r="K2138" i="14"/>
  <c r="Y2138" i="14" s="1"/>
  <c r="P2372" i="14"/>
  <c r="P2384" i="14"/>
  <c r="P2197" i="14"/>
  <c r="R2251" i="14"/>
  <c r="R2419" i="14"/>
  <c r="P2201" i="14"/>
  <c r="P2370" i="14"/>
  <c r="P2377" i="14"/>
  <c r="P2195" i="14"/>
  <c r="R1821" i="14"/>
  <c r="R1561" i="14"/>
  <c r="R2080" i="14"/>
  <c r="R1574" i="14"/>
  <c r="R2060" i="14"/>
  <c r="P2409" i="14"/>
  <c r="P2381" i="14"/>
  <c r="R2196" i="14"/>
  <c r="Y2213" i="14"/>
  <c r="P2278" i="14"/>
  <c r="K2380" i="14"/>
  <c r="Y2380" i="14" s="1"/>
  <c r="K2405" i="14"/>
  <c r="Y2405" i="14" s="1"/>
  <c r="K2411" i="14"/>
  <c r="Y2411" i="14" s="1"/>
  <c r="K2376" i="14"/>
  <c r="Y2376" i="14" s="1"/>
  <c r="K2435" i="14"/>
  <c r="Y2435" i="14" s="1"/>
  <c r="K2460" i="14"/>
  <c r="Y2460" i="14" s="1"/>
  <c r="K2441" i="14"/>
  <c r="Y2441" i="14" s="1"/>
  <c r="K2443" i="14"/>
  <c r="Y2443" i="14" s="1"/>
  <c r="K2140" i="14"/>
  <c r="Y2140" i="14" s="1"/>
  <c r="K2408" i="14"/>
  <c r="Y2408" i="14" s="1"/>
  <c r="K2420" i="14"/>
  <c r="Y2420" i="14" s="1"/>
  <c r="K2457" i="14"/>
  <c r="Y2457" i="14" s="1"/>
  <c r="K2188" i="14"/>
  <c r="Y2188" i="14" s="1"/>
  <c r="K2387" i="14"/>
  <c r="Y2387" i="14" s="1"/>
  <c r="K2463" i="14"/>
  <c r="Y2463" i="14" s="1"/>
  <c r="K2397" i="14"/>
  <c r="Y2397" i="14" s="1"/>
  <c r="K2433" i="14"/>
  <c r="Y2433" i="14" s="1"/>
  <c r="K2446" i="14"/>
  <c r="Y2446" i="14" s="1"/>
  <c r="K2154" i="14"/>
  <c r="Y2154" i="14" s="1"/>
  <c r="K2266" i="14"/>
  <c r="Y2266" i="14" s="1"/>
  <c r="K2233" i="14"/>
  <c r="Y2233" i="14" s="1"/>
  <c r="K2271" i="14"/>
  <c r="Y2271" i="14" s="1"/>
  <c r="R2372" i="14"/>
  <c r="R2384" i="14"/>
  <c r="R2197" i="14"/>
  <c r="R1941" i="14"/>
  <c r="R1439" i="14"/>
  <c r="R1563" i="14"/>
  <c r="R1496" i="14"/>
  <c r="R1933" i="14"/>
  <c r="R1350" i="14"/>
  <c r="R1325" i="14"/>
  <c r="P2263" i="14"/>
  <c r="P2374" i="14"/>
  <c r="P2199" i="14"/>
  <c r="P2402" i="14"/>
  <c r="P2438" i="14"/>
  <c r="K2241" i="14"/>
  <c r="Y2241" i="14" s="1"/>
  <c r="K2451" i="14"/>
  <c r="Y2451" i="14" s="1"/>
  <c r="K2423" i="14"/>
  <c r="Y2423" i="14" s="1"/>
  <c r="K2284" i="14"/>
  <c r="Y2284" i="14" s="1"/>
  <c r="K2459" i="14"/>
  <c r="Y2459" i="14" s="1"/>
  <c r="K2204" i="14"/>
  <c r="Y2204" i="14" s="1"/>
  <c r="R2218" i="14"/>
  <c r="P2273" i="14"/>
  <c r="P2250" i="14"/>
  <c r="P2559" i="14"/>
  <c r="P2556" i="14"/>
  <c r="P2221" i="14"/>
  <c r="P2318" i="14"/>
  <c r="P2366" i="14"/>
  <c r="P2534" i="14"/>
  <c r="P2542" i="14"/>
  <c r="P2352" i="14"/>
  <c r="P2368" i="14"/>
  <c r="P2520" i="14"/>
  <c r="P2536" i="14"/>
  <c r="P2338" i="14"/>
  <c r="P2354" i="14"/>
  <c r="P2394" i="14"/>
  <c r="P2506" i="14"/>
  <c r="P2522" i="14"/>
  <c r="P2144" i="14"/>
  <c r="P2324" i="14"/>
  <c r="P2340" i="14"/>
  <c r="P2396" i="14"/>
  <c r="P2492" i="14"/>
  <c r="P2508" i="14"/>
  <c r="P2548" i="14"/>
  <c r="P2326" i="14"/>
  <c r="P2371" i="14"/>
  <c r="P2400" i="14"/>
  <c r="P2422" i="14"/>
  <c r="P2432" i="14"/>
  <c r="P2494" i="14"/>
  <c r="P2550" i="14"/>
  <c r="P2360" i="14"/>
  <c r="P2418" i="14"/>
  <c r="P2528" i="14"/>
  <c r="P2346" i="14"/>
  <c r="P2383" i="14"/>
  <c r="P2393" i="14"/>
  <c r="P2436" i="14"/>
  <c r="P2514" i="14"/>
  <c r="P2332" i="14"/>
  <c r="P2467" i="14"/>
  <c r="P2500" i="14"/>
  <c r="P2158" i="14"/>
  <c r="P2219" i="14"/>
  <c r="P2165" i="14"/>
  <c r="P2236" i="14"/>
  <c r="P2404" i="14"/>
  <c r="P77" i="14"/>
  <c r="P2475" i="14"/>
  <c r="B52" i="21"/>
  <c r="T45" i="14"/>
  <c r="B2044" i="14"/>
  <c r="B1925" i="14"/>
  <c r="B1967" i="14"/>
  <c r="B2009" i="14"/>
  <c r="B2030" i="14"/>
  <c r="C315" i="37"/>
  <c r="C318" i="37"/>
  <c r="C316" i="37"/>
  <c r="C314" i="37"/>
  <c r="C453" i="37"/>
  <c r="C321" i="37"/>
  <c r="C317" i="37"/>
  <c r="C322" i="37"/>
  <c r="B2072" i="14"/>
  <c r="B2037" i="14"/>
  <c r="C78" i="21"/>
  <c r="B1911" i="14"/>
  <c r="B2065" i="14"/>
  <c r="C320" i="37"/>
  <c r="B2051" i="14"/>
  <c r="C451" i="37"/>
  <c r="B1953" i="14"/>
  <c r="C324" i="37"/>
  <c r="C51" i="21"/>
  <c r="B1988" i="14"/>
  <c r="B1834" i="14"/>
  <c r="B1995" i="14"/>
  <c r="B1855" i="14"/>
  <c r="C450" i="37"/>
  <c r="C454" i="37"/>
  <c r="C319" i="37"/>
  <c r="C455" i="37"/>
  <c r="C452" i="37"/>
  <c r="B59" i="21"/>
  <c r="F5" i="21"/>
  <c r="B60" i="21"/>
  <c r="B1869" i="14"/>
  <c r="B1960" i="14"/>
  <c r="C441" i="37"/>
  <c r="B1932" i="14"/>
  <c r="B1981" i="14"/>
  <c r="B1883" i="14"/>
  <c r="B1862" i="14"/>
  <c r="B1841" i="14"/>
  <c r="B50" i="21"/>
  <c r="J50" i="21" s="1"/>
  <c r="B1848" i="14"/>
  <c r="C11" i="37"/>
  <c r="R2291" i="14"/>
  <c r="R975" i="14"/>
  <c r="R849" i="14"/>
  <c r="R954" i="14"/>
  <c r="R1156" i="14"/>
  <c r="R1513" i="14"/>
  <c r="R863" i="14"/>
  <c r="R1926" i="14"/>
  <c r="R870" i="14"/>
  <c r="R1715" i="14"/>
  <c r="R1151" i="14"/>
  <c r="R2186" i="14"/>
  <c r="R2143" i="14"/>
  <c r="R1745" i="14"/>
  <c r="R1530" i="14"/>
  <c r="R1558" i="14"/>
  <c r="R1338" i="14"/>
  <c r="R1423" i="14"/>
  <c r="R1471" i="14"/>
  <c r="R2193" i="14"/>
  <c r="R2151" i="14"/>
  <c r="R1637" i="14"/>
  <c r="R2232" i="14"/>
  <c r="R2254" i="14"/>
  <c r="R1616" i="14"/>
  <c r="R1667" i="14"/>
  <c r="R1618" i="14"/>
  <c r="R1892" i="14"/>
  <c r="R1465" i="14"/>
  <c r="R1503" i="14"/>
  <c r="R2051" i="14"/>
  <c r="R1428" i="14"/>
  <c r="R2203" i="14"/>
  <c r="R1918" i="14"/>
  <c r="R1348" i="14"/>
  <c r="R2137" i="14"/>
  <c r="R2179" i="14"/>
  <c r="R1731" i="14"/>
  <c r="R1713" i="14"/>
  <c r="R2228" i="14"/>
  <c r="R1569" i="14"/>
  <c r="R1550" i="14"/>
  <c r="R2172" i="14"/>
  <c r="R2084" i="14"/>
  <c r="R1612" i="14"/>
  <c r="R1219" i="14"/>
  <c r="R1988" i="14"/>
  <c r="R2225" i="14"/>
  <c r="R1532" i="14"/>
  <c r="R1158" i="14"/>
  <c r="R1498" i="14"/>
  <c r="R1578" i="14"/>
  <c r="R1517" i="14"/>
  <c r="R2104" i="14"/>
  <c r="R2082" i="14"/>
  <c r="R1467" i="14"/>
  <c r="R1826" i="14"/>
  <c r="R2264" i="14"/>
  <c r="R1508" i="14"/>
  <c r="R1622" i="14"/>
  <c r="R1359" i="14"/>
  <c r="R771" i="14"/>
  <c r="R1693" i="14"/>
  <c r="R1679" i="14"/>
  <c r="R182" i="14"/>
  <c r="R441" i="14"/>
  <c r="R252" i="14"/>
  <c r="R516" i="14"/>
  <c r="R77" i="14"/>
  <c r="R2300" i="14"/>
  <c r="R81" i="14"/>
  <c r="P2217" i="14"/>
  <c r="P2205" i="14"/>
  <c r="K2270" i="14"/>
  <c r="Y2270" i="14" s="1"/>
  <c r="K2234" i="14"/>
  <c r="Y2234" i="14" s="1"/>
  <c r="K2116" i="14"/>
  <c r="K2276" i="14"/>
  <c r="Y2276" i="14" s="1"/>
  <c r="K2155" i="14"/>
  <c r="Y2155" i="14" s="1"/>
  <c r="K2176" i="14"/>
  <c r="Y2176" i="14" s="1"/>
  <c r="K2167" i="14"/>
  <c r="Y2167" i="14" s="1"/>
  <c r="K2161" i="14"/>
  <c r="Y2161" i="14" s="1"/>
  <c r="K2198" i="14"/>
  <c r="Y2198" i="14" s="1"/>
  <c r="K2170" i="14"/>
  <c r="Y2170" i="14" s="1"/>
  <c r="K2153" i="14"/>
  <c r="Y2153" i="14" s="1"/>
  <c r="K2173" i="14"/>
  <c r="Y2173" i="14" s="1"/>
  <c r="K2183" i="14"/>
  <c r="Y2183" i="14" s="1"/>
  <c r="K2180" i="14"/>
  <c r="Y2180" i="14" s="1"/>
  <c r="K2177" i="14"/>
  <c r="Y2177" i="14" s="1"/>
  <c r="K2145" i="14"/>
  <c r="Y2145" i="14" s="1"/>
  <c r="K2166" i="14"/>
  <c r="Y2166" i="14" s="1"/>
  <c r="K2147" i="14"/>
  <c r="Y2147" i="14" s="1"/>
  <c r="K2181" i="14"/>
  <c r="Y2181" i="14" s="1"/>
  <c r="K2149" i="14"/>
  <c r="Y2149" i="14" s="1"/>
  <c r="K2169" i="14"/>
  <c r="Y2169" i="14" s="1"/>
  <c r="K2247" i="14"/>
  <c r="Y2247" i="14" s="1"/>
  <c r="K2184" i="14"/>
  <c r="Y2184" i="14" s="1"/>
  <c r="K2141" i="14"/>
  <c r="Y2141" i="14" s="1"/>
  <c r="Y2205" i="14"/>
  <c r="K2159" i="14"/>
  <c r="Y2159" i="14" s="1"/>
  <c r="K2285" i="14"/>
  <c r="Y2285" i="14" s="1"/>
  <c r="K2257" i="14"/>
  <c r="Y2257" i="14" s="1"/>
  <c r="P1723" i="14"/>
  <c r="P1442" i="14"/>
  <c r="P1833" i="14"/>
  <c r="P1487" i="14"/>
  <c r="P1463" i="14"/>
  <c r="P1483" i="14"/>
  <c r="B4" i="21"/>
  <c r="P1490" i="14"/>
  <c r="P2285" i="14"/>
  <c r="P2253" i="14"/>
  <c r="P2244" i="14"/>
  <c r="P2274" i="14"/>
  <c r="P2247" i="14"/>
  <c r="K2267" i="14"/>
  <c r="Y2267" i="14" s="1"/>
  <c r="K2273" i="14"/>
  <c r="Y2273" i="14" s="1"/>
  <c r="K2219" i="14"/>
  <c r="Y2219" i="14" s="1"/>
  <c r="K2240" i="14"/>
  <c r="Y2240" i="14" s="1"/>
  <c r="K2292" i="14"/>
  <c r="Y2292" i="14" s="1"/>
  <c r="K2125" i="14"/>
  <c r="K2237" i="14"/>
  <c r="Y2237" i="14" s="1"/>
  <c r="K2282" i="14"/>
  <c r="Y2282" i="14" s="1"/>
  <c r="K2278" i="14"/>
  <c r="Y2278" i="14" s="1"/>
  <c r="K2212" i="14"/>
  <c r="Y2212" i="14" s="1"/>
  <c r="R1483" i="14"/>
  <c r="R1487" i="14"/>
  <c r="R1463" i="14"/>
  <c r="C4" i="21"/>
  <c r="R1490" i="14"/>
  <c r="R1833" i="14"/>
  <c r="R1723" i="14"/>
  <c r="R2204" i="14"/>
  <c r="R1828" i="14"/>
  <c r="R1442" i="14"/>
  <c r="R2216" i="14"/>
  <c r="P2296" i="14"/>
  <c r="P2238" i="14"/>
  <c r="K2283" i="14"/>
  <c r="Y2283" i="14" s="1"/>
  <c r="P2270" i="14"/>
  <c r="P2206" i="14"/>
  <c r="P2234" i="14"/>
  <c r="P2103" i="14"/>
  <c r="P2228" i="14"/>
  <c r="P2203" i="14"/>
  <c r="P2226" i="14"/>
  <c r="P2268" i="14"/>
  <c r="P2215" i="14"/>
  <c r="P2211" i="14"/>
  <c r="P2255" i="14"/>
  <c r="R455" i="14"/>
  <c r="R667" i="14"/>
  <c r="R417" i="14"/>
  <c r="R738" i="14"/>
  <c r="R1853" i="14"/>
  <c r="R482" i="14"/>
  <c r="R312" i="14"/>
  <c r="R2030" i="14"/>
  <c r="P417" i="14"/>
  <c r="P455" i="14"/>
  <c r="P482" i="14"/>
  <c r="P2030" i="14"/>
  <c r="P738" i="14"/>
  <c r="P2202" i="14"/>
  <c r="B62" i="21"/>
  <c r="O15" i="18"/>
  <c r="O16" i="18" s="1"/>
  <c r="B2098" i="14"/>
  <c r="C343" i="37"/>
  <c r="C190" i="37"/>
  <c r="C192" i="37"/>
  <c r="C1106" i="37"/>
  <c r="C131" i="37"/>
  <c r="U369" i="14"/>
  <c r="V370" i="14" s="1"/>
  <c r="C199" i="37"/>
  <c r="C121" i="37"/>
  <c r="C100" i="37"/>
  <c r="C124" i="37"/>
  <c r="C107" i="37"/>
  <c r="C1109" i="37"/>
  <c r="C101" i="37"/>
  <c r="C97" i="37"/>
  <c r="C104" i="37"/>
  <c r="C1096" i="37"/>
  <c r="C130" i="37"/>
  <c r="C112" i="37"/>
  <c r="C99" i="37"/>
  <c r="C115" i="37"/>
  <c r="W368" i="14"/>
  <c r="C174" i="37"/>
  <c r="C298" i="37"/>
  <c r="C176" i="37"/>
  <c r="C302" i="37"/>
  <c r="C184" i="37"/>
  <c r="C195" i="37"/>
  <c r="C173" i="37"/>
  <c r="C178" i="37"/>
  <c r="C211" i="37"/>
  <c r="C310" i="37"/>
  <c r="C179" i="37"/>
  <c r="C329" i="37"/>
  <c r="C183" i="37"/>
  <c r="C1133" i="37"/>
  <c r="C189" i="37"/>
  <c r="C193" i="37"/>
  <c r="C182" i="37"/>
  <c r="C181" i="37"/>
  <c r="C186" i="37"/>
  <c r="R1026" i="14"/>
  <c r="R1169" i="14"/>
  <c r="R468" i="14"/>
  <c r="R1181" i="14"/>
  <c r="R504" i="14"/>
  <c r="R235" i="14"/>
  <c r="R646" i="14"/>
  <c r="R1664" i="14"/>
  <c r="R1019" i="14"/>
  <c r="R209" i="14"/>
  <c r="R1559" i="14"/>
  <c r="R2126" i="14"/>
  <c r="R2268" i="14"/>
  <c r="R1153" i="14"/>
  <c r="P905" i="14"/>
  <c r="P1017" i="14"/>
  <c r="P2262" i="14"/>
  <c r="P2123" i="14"/>
  <c r="P1149" i="14"/>
  <c r="P1583" i="14"/>
  <c r="P1542" i="14"/>
  <c r="P2290" i="14"/>
  <c r="P1506" i="14"/>
  <c r="P209" i="14"/>
  <c r="P1019" i="14"/>
  <c r="P1181" i="14"/>
  <c r="P235" i="14"/>
  <c r="P1169" i="14"/>
  <c r="P1026" i="14"/>
  <c r="P1559" i="14"/>
  <c r="P468" i="14"/>
  <c r="P646" i="14"/>
  <c r="P504" i="14"/>
  <c r="P1664" i="14"/>
  <c r="R1133" i="14"/>
  <c r="R1552" i="14"/>
  <c r="R2103" i="14"/>
  <c r="R2258" i="14"/>
  <c r="P2225" i="14"/>
  <c r="P1524" i="14"/>
  <c r="P2132" i="14"/>
  <c r="P2311" i="14"/>
  <c r="P2196" i="14"/>
  <c r="P2139" i="14"/>
  <c r="P2167" i="14"/>
  <c r="P2209" i="14"/>
  <c r="P2181" i="14"/>
  <c r="P2184" i="14"/>
  <c r="P2110" i="14"/>
  <c r="P2212" i="14"/>
  <c r="P2260" i="14"/>
  <c r="P2155" i="14"/>
  <c r="P2281" i="14"/>
  <c r="P2166" i="14"/>
  <c r="P2218" i="14"/>
  <c r="P2153" i="14"/>
  <c r="P2159" i="14"/>
  <c r="P2183" i="14"/>
  <c r="P2105" i="14"/>
  <c r="P2077" i="14"/>
  <c r="P2267" i="14"/>
  <c r="P2124" i="14"/>
  <c r="P2170" i="14"/>
  <c r="P2287" i="14"/>
  <c r="P2294" i="14"/>
  <c r="P2224" i="14"/>
  <c r="P2254" i="14"/>
  <c r="P2141" i="14"/>
  <c r="P2106" i="14"/>
  <c r="P2303" i="14"/>
  <c r="P2104" i="14"/>
  <c r="P2177" i="14"/>
  <c r="P2198" i="14"/>
  <c r="P2113" i="14"/>
  <c r="P2169" i="14"/>
  <c r="P2036" i="14"/>
  <c r="P2161" i="14"/>
  <c r="P2176" i="14"/>
  <c r="P2033" i="14"/>
  <c r="P2147" i="14"/>
  <c r="P2145" i="14"/>
  <c r="P2029" i="14"/>
  <c r="P2245" i="14"/>
  <c r="P2231" i="14"/>
  <c r="P2229" i="14"/>
  <c r="P2292" i="14"/>
  <c r="P2173" i="14"/>
  <c r="P2180" i="14"/>
  <c r="P2300" i="14"/>
  <c r="P2174" i="14"/>
  <c r="P2251" i="14"/>
  <c r="P2149" i="14"/>
  <c r="P2264" i="14"/>
  <c r="P1067" i="14"/>
  <c r="P826" i="14"/>
  <c r="P1042" i="14"/>
  <c r="P1092" i="14"/>
  <c r="P1293" i="14"/>
  <c r="P1222" i="14"/>
  <c r="P1084" i="14"/>
  <c r="P746" i="14"/>
  <c r="P824" i="14"/>
  <c r="P1186" i="14"/>
  <c r="P858" i="14"/>
  <c r="P1216" i="14"/>
  <c r="P952" i="14"/>
  <c r="P854" i="14"/>
  <c r="P1048" i="14"/>
  <c r="P803" i="14"/>
  <c r="P993" i="14"/>
  <c r="P1264" i="14"/>
  <c r="P811" i="14"/>
  <c r="P816" i="14"/>
  <c r="P1120" i="14"/>
  <c r="P830" i="14"/>
  <c r="P1139" i="14"/>
  <c r="P1110" i="14"/>
  <c r="P1041" i="14"/>
  <c r="P1063" i="14"/>
  <c r="P734" i="14"/>
  <c r="P1261" i="14"/>
  <c r="P1201" i="14"/>
  <c r="P1288" i="14"/>
  <c r="P1267" i="14"/>
  <c r="P833" i="14"/>
  <c r="P1077" i="14"/>
  <c r="P1069" i="14"/>
  <c r="P900" i="14"/>
  <c r="P865" i="14"/>
  <c r="P1065" i="14"/>
  <c r="P1210" i="14"/>
  <c r="P881" i="14"/>
  <c r="P837" i="14"/>
  <c r="P872" i="14"/>
  <c r="P1167" i="14"/>
  <c r="P2035" i="14"/>
  <c r="P1502" i="14"/>
  <c r="P1509" i="14"/>
  <c r="P2042" i="14"/>
  <c r="P2216" i="14"/>
  <c r="P2208" i="14"/>
  <c r="B7" i="21"/>
  <c r="F7" i="21" s="1" a="1"/>
  <c r="F7" i="21" s="1"/>
  <c r="B70" i="21" s="1"/>
  <c r="P2102" i="14"/>
  <c r="P2220" i="14"/>
  <c r="P2074" i="14"/>
  <c r="P1737" i="14"/>
  <c r="P1620" i="14"/>
  <c r="P2039" i="14"/>
  <c r="P2248" i="14"/>
  <c r="P1108" i="14"/>
  <c r="P1247" i="14"/>
  <c r="P1235" i="14"/>
  <c r="P895" i="14"/>
  <c r="P1094" i="14"/>
  <c r="P1124" i="14"/>
  <c r="P758" i="14"/>
  <c r="P736" i="14"/>
  <c r="P1368" i="14"/>
  <c r="P931" i="14"/>
  <c r="P998" i="14"/>
  <c r="P1361" i="14"/>
  <c r="P1143" i="14"/>
  <c r="P1245" i="14"/>
  <c r="P1250" i="14"/>
  <c r="P1050" i="14"/>
  <c r="P1196" i="14"/>
  <c r="P889" i="14"/>
  <c r="P1059" i="14"/>
  <c r="P885" i="14"/>
  <c r="P1073" i="14"/>
  <c r="P1141" i="14"/>
  <c r="P1198" i="14"/>
  <c r="P1252" i="14"/>
  <c r="P1052" i="14"/>
  <c r="P1113" i="14"/>
  <c r="P942" i="14"/>
  <c r="P1088" i="14"/>
  <c r="P1090" i="14"/>
  <c r="P1237" i="14"/>
  <c r="P996" i="14"/>
  <c r="P1055" i="14"/>
  <c r="P743" i="14"/>
  <c r="P1112" i="14"/>
  <c r="P1131" i="14"/>
  <c r="P1096" i="14"/>
  <c r="P1100" i="14"/>
  <c r="P786" i="14"/>
  <c r="P1005" i="14"/>
  <c r="P924" i="14"/>
  <c r="P1075" i="14"/>
  <c r="P796" i="14"/>
  <c r="P1012" i="14"/>
  <c r="P1255" i="14"/>
  <c r="P1270" i="14"/>
  <c r="P844" i="14"/>
  <c r="P1057" i="14"/>
  <c r="P1086" i="14"/>
  <c r="P965" i="14"/>
  <c r="P1272" i="14"/>
  <c r="P1024" i="14"/>
  <c r="P977" i="14"/>
  <c r="P1145" i="14"/>
  <c r="P1240" i="14"/>
  <c r="P1070" i="14"/>
  <c r="P1221" i="14"/>
  <c r="P887" i="14"/>
  <c r="P875" i="14"/>
  <c r="P1205" i="14"/>
  <c r="P789" i="14"/>
  <c r="P1105" i="14"/>
  <c r="P1080" i="14"/>
  <c r="P970" i="14"/>
  <c r="P1868" i="14"/>
  <c r="P2008" i="14"/>
  <c r="P1945" i="14"/>
  <c r="P1924" i="14"/>
  <c r="P1994" i="14"/>
  <c r="P1875" i="14"/>
  <c r="P1854" i="14"/>
  <c r="P1882" i="14"/>
  <c r="P1910" i="14"/>
  <c r="P1938" i="14"/>
  <c r="P1980" i="14"/>
  <c r="P2128" i="14"/>
  <c r="P1973" i="14"/>
  <c r="P1889" i="14"/>
  <c r="P2241" i="14"/>
  <c r="P1997" i="14"/>
  <c r="P1681" i="14"/>
  <c r="P1920" i="14"/>
  <c r="P2004" i="14"/>
  <c r="P1516" i="14"/>
  <c r="P1478" i="14"/>
  <c r="P1639" i="14"/>
  <c r="P2277" i="14"/>
  <c r="P2213" i="14"/>
  <c r="P1585" i="14"/>
  <c r="P1718" i="14"/>
  <c r="P1485" i="14"/>
  <c r="P1544" i="14"/>
  <c r="P1437" i="14"/>
  <c r="P1983" i="14"/>
  <c r="P2032" i="14"/>
  <c r="P1523" i="14"/>
  <c r="P2067" i="14"/>
  <c r="P2011" i="14"/>
  <c r="P1512" i="14"/>
  <c r="P1101" i="14"/>
  <c r="P1835" i="14"/>
  <c r="P1504" i="14"/>
  <c r="P1942" i="14"/>
  <c r="P1951" i="14"/>
  <c r="P1953" i="14"/>
  <c r="P1946" i="14"/>
  <c r="P1952" i="14"/>
  <c r="P1469" i="14"/>
  <c r="P1151" i="14"/>
  <c r="P2239" i="14"/>
  <c r="P1219" i="14"/>
  <c r="P1517" i="14"/>
  <c r="P2080" i="14"/>
  <c r="P1338" i="14"/>
  <c r="P1821" i="14"/>
  <c r="P1561" i="14"/>
  <c r="P1695" i="14"/>
  <c r="P2051" i="14"/>
  <c r="P2193" i="14"/>
  <c r="P1693" i="14"/>
  <c r="P1435" i="14"/>
  <c r="P1177" i="14"/>
  <c r="P1345" i="14"/>
  <c r="P1745" i="14"/>
  <c r="P1622" i="14"/>
  <c r="P1430" i="14"/>
  <c r="P1480" i="14"/>
  <c r="P1637" i="14"/>
  <c r="P1933" i="14"/>
  <c r="P1503" i="14"/>
  <c r="P1554" i="14"/>
  <c r="P1508" i="14"/>
  <c r="P1679" i="14"/>
  <c r="P1496" i="14"/>
  <c r="P1713" i="14"/>
  <c r="P2261" i="14"/>
  <c r="P1348" i="14"/>
  <c r="P1618" i="14"/>
  <c r="P1395" i="14"/>
  <c r="P1667" i="14"/>
  <c r="P1474" i="14"/>
  <c r="P2257" i="14"/>
  <c r="P2060" i="14"/>
  <c r="P1612" i="14"/>
  <c r="P1864" i="14"/>
  <c r="P1550" i="14"/>
  <c r="P1325" i="14"/>
  <c r="P1165" i="14"/>
  <c r="P1447" i="14"/>
  <c r="P1408" i="14"/>
  <c r="P1501" i="14"/>
  <c r="P1574" i="14"/>
  <c r="P1675" i="14"/>
  <c r="P1569" i="14"/>
  <c r="P1711" i="14"/>
  <c r="P1616" i="14"/>
  <c r="P1731" i="14"/>
  <c r="P2232" i="14"/>
  <c r="P2275" i="14"/>
  <c r="P1425" i="14"/>
  <c r="P1884" i="14"/>
  <c r="P2157" i="14"/>
  <c r="P2186" i="14"/>
  <c r="P1498" i="14"/>
  <c r="P1567" i="14"/>
  <c r="P2235" i="14"/>
  <c r="P1572" i="14"/>
  <c r="P2200" i="14"/>
  <c r="P1320" i="14"/>
  <c r="P1558" i="14"/>
  <c r="P1341" i="14"/>
  <c r="P1359" i="14"/>
  <c r="P2151" i="14"/>
  <c r="P1565" i="14"/>
  <c r="P1941" i="14"/>
  <c r="P2179" i="14"/>
  <c r="P1481" i="14"/>
  <c r="P2137" i="14"/>
  <c r="P1428" i="14"/>
  <c r="P1563" i="14"/>
  <c r="P2094" i="14"/>
  <c r="P1476" i="14"/>
  <c r="P1350" i="14"/>
  <c r="P1877" i="14"/>
  <c r="P2143" i="14"/>
  <c r="P2210" i="14"/>
  <c r="P1546" i="14"/>
  <c r="P1608" i="14"/>
  <c r="P1158" i="14"/>
  <c r="P1439" i="14"/>
  <c r="P2163" i="14"/>
  <c r="P1826" i="14"/>
  <c r="P1423" i="14"/>
  <c r="P1839" i="14"/>
  <c r="P1532" i="14"/>
  <c r="P771" i="14"/>
  <c r="P1824" i="14"/>
  <c r="P1715" i="14"/>
  <c r="P2233" i="14"/>
  <c r="P2207" i="14"/>
  <c r="P2082" i="14"/>
  <c r="P1465" i="14"/>
  <c r="P2222" i="14"/>
  <c r="P1918" i="14"/>
  <c r="P2172" i="14"/>
  <c r="P1650" i="14"/>
  <c r="P2271" i="14"/>
  <c r="P1578" i="14"/>
  <c r="P1988" i="14"/>
  <c r="P1530" i="14"/>
  <c r="P1443" i="14"/>
  <c r="P2084" i="14"/>
  <c r="P1677" i="14"/>
  <c r="P1892" i="14"/>
  <c r="P1471" i="14"/>
  <c r="P1635" i="14"/>
  <c r="P1416" i="14"/>
  <c r="P1467" i="14"/>
  <c r="P1643" i="14"/>
  <c r="P961" i="14"/>
  <c r="P898" i="14"/>
  <c r="P1521" i="14"/>
  <c r="P877" i="14"/>
  <c r="P982" i="14"/>
  <c r="P1556" i="14"/>
  <c r="P891" i="14"/>
  <c r="P1010" i="14"/>
  <c r="P1208" i="14"/>
  <c r="P1873" i="14"/>
  <c r="P1175" i="14"/>
  <c r="P1536" i="14"/>
  <c r="P1880" i="14"/>
  <c r="D62" i="21"/>
  <c r="P2243" i="14"/>
  <c r="P2064" i="14"/>
  <c r="P761" i="14"/>
  <c r="P1311" i="14"/>
  <c r="P781" i="14"/>
  <c r="P1804" i="14"/>
  <c r="P1314" i="14"/>
  <c r="P1793" i="14"/>
  <c r="P776" i="14"/>
  <c r="P1991" i="14"/>
  <c r="P1998" i="14"/>
  <c r="P1783" i="14"/>
  <c r="P1787" i="14"/>
  <c r="P1956" i="14"/>
  <c r="P1978" i="14"/>
  <c r="P1307" i="14"/>
  <c r="P2020" i="14"/>
  <c r="P2016" i="14"/>
  <c r="P1798" i="14"/>
  <c r="P1957" i="14"/>
  <c r="P1879" i="14"/>
  <c r="P2026" i="14"/>
  <c r="P1959" i="14"/>
  <c r="P1995" i="14"/>
  <c r="P1791" i="14"/>
  <c r="P2001" i="14"/>
  <c r="P1796" i="14"/>
  <c r="P1305" i="14"/>
  <c r="P2002" i="14"/>
  <c r="P1872" i="14"/>
  <c r="P1979" i="14"/>
  <c r="P1808" i="14"/>
  <c r="P1816" i="14"/>
  <c r="P1970" i="14"/>
  <c r="P2012" i="14"/>
  <c r="P1789" i="14"/>
  <c r="P1974" i="14"/>
  <c r="P1992" i="14"/>
  <c r="P1981" i="14"/>
  <c r="P1972" i="14"/>
  <c r="P1785" i="14"/>
  <c r="P2005" i="14"/>
  <c r="P1309" i="14"/>
  <c r="P1861" i="14"/>
  <c r="P488" i="14"/>
  <c r="P241" i="14"/>
  <c r="P870" i="14"/>
  <c r="P1156" i="14"/>
  <c r="P975" i="14"/>
  <c r="P849" i="14"/>
  <c r="P863" i="14"/>
  <c r="P954" i="14"/>
  <c r="P2298" i="14"/>
  <c r="P1926" i="14"/>
  <c r="P1513" i="14"/>
  <c r="P821" i="14"/>
  <c r="P769" i="14"/>
  <c r="P777" i="14"/>
  <c r="P909" i="14"/>
  <c r="P1179" i="14"/>
  <c r="P753" i="14"/>
  <c r="P991" i="14"/>
  <c r="P774" i="14"/>
  <c r="P820" i="14"/>
  <c r="P765" i="14"/>
  <c r="P798" i="14"/>
  <c r="P767" i="14"/>
  <c r="P748" i="14"/>
  <c r="P2265" i="14"/>
  <c r="P1146" i="14"/>
  <c r="P1587" i="14"/>
  <c r="R2265" i="14"/>
  <c r="R1587" i="14"/>
  <c r="R1146" i="14"/>
  <c r="P2293" i="14"/>
  <c r="P933" i="14"/>
  <c r="P967" i="14"/>
  <c r="P828" i="14"/>
  <c r="P883" i="14"/>
  <c r="P926" i="14"/>
  <c r="P807" i="14"/>
  <c r="P856" i="14"/>
  <c r="P800" i="14"/>
  <c r="C1112" i="37"/>
  <c r="C26" i="37"/>
  <c r="C1107" i="37"/>
  <c r="C113" i="37"/>
  <c r="C1101" i="37"/>
  <c r="C1103" i="37"/>
  <c r="C122" i="37"/>
  <c r="C106" i="37"/>
  <c r="C12" i="37"/>
  <c r="C105" i="37"/>
  <c r="C108" i="37"/>
  <c r="C1102" i="37"/>
  <c r="C197" i="37"/>
  <c r="C127" i="37"/>
  <c r="C759" i="37"/>
  <c r="C175" i="37"/>
  <c r="C103" i="37"/>
  <c r="C9" i="37"/>
  <c r="C118" i="37"/>
  <c r="C119" i="37"/>
  <c r="C1104" i="37"/>
  <c r="C1110" i="37"/>
  <c r="C180" i="37"/>
  <c r="C191" i="37"/>
  <c r="C188" i="37"/>
  <c r="C196" i="37"/>
  <c r="C110" i="37"/>
  <c r="C172" i="37"/>
  <c r="C102" i="37"/>
  <c r="C313" i="37"/>
  <c r="C117" i="37"/>
  <c r="C123" i="37"/>
  <c r="C299" i="37"/>
  <c r="C194" i="37"/>
  <c r="C126" i="37"/>
  <c r="C177" i="37"/>
  <c r="C1108" i="37"/>
  <c r="C116" i="37"/>
  <c r="C111" i="37"/>
  <c r="C109" i="37"/>
  <c r="C1111" i="37"/>
  <c r="C1105" i="37"/>
  <c r="C1113" i="37"/>
  <c r="C128" i="37"/>
  <c r="C8" i="37"/>
  <c r="C114" i="37"/>
  <c r="C185" i="37"/>
  <c r="C235" i="37"/>
  <c r="C187" i="37"/>
  <c r="C65" i="37"/>
  <c r="C289" i="37"/>
  <c r="C309" i="37"/>
  <c r="C295" i="37"/>
  <c r="C297" i="37"/>
  <c r="C292" i="37"/>
  <c r="C296" i="37"/>
  <c r="C303" i="37"/>
  <c r="C305" i="37"/>
  <c r="C284" i="37"/>
  <c r="C34" i="37"/>
  <c r="C300" i="37"/>
  <c r="C290" i="37"/>
  <c r="C294" i="37"/>
  <c r="C291" i="37"/>
  <c r="C311" i="37"/>
  <c r="C312" i="37"/>
  <c r="C1135" i="37"/>
  <c r="C306" i="37"/>
  <c r="C301" i="37"/>
  <c r="C293" i="37"/>
  <c r="C307" i="37"/>
  <c r="C308" i="37"/>
  <c r="C367" i="37"/>
  <c r="C1187" i="37"/>
  <c r="C25" i="37"/>
  <c r="C370" i="37"/>
  <c r="C39" i="37"/>
  <c r="C23" i="37"/>
  <c r="C28" i="37"/>
  <c r="C761" i="37"/>
  <c r="C120" i="37"/>
  <c r="C129" i="37"/>
  <c r="C1124" i="37"/>
  <c r="C1128" i="37"/>
  <c r="C756" i="37"/>
  <c r="C380" i="37"/>
  <c r="C1134" i="37"/>
  <c r="C383" i="37"/>
  <c r="C1118" i="37"/>
  <c r="C379" i="37"/>
  <c r="C1114" i="37"/>
  <c r="C1125" i="37"/>
  <c r="C1186" i="37"/>
  <c r="C372" i="37"/>
  <c r="C1129" i="37"/>
  <c r="C1116" i="37"/>
  <c r="C54" i="37"/>
  <c r="C1294" i="37"/>
  <c r="B232" i="30"/>
  <c r="L342" i="30" s="1"/>
  <c r="C1088" i="37"/>
  <c r="C384" i="37"/>
  <c r="C88" i="37"/>
  <c r="C461" i="37"/>
  <c r="C73" i="37"/>
  <c r="C7" i="37"/>
  <c r="C371" i="37"/>
  <c r="B214" i="30"/>
  <c r="L341" i="30" s="1"/>
  <c r="C353" i="37"/>
  <c r="C365" i="37"/>
  <c r="C45" i="37"/>
  <c r="C58" i="37"/>
  <c r="C46" i="37"/>
  <c r="C1284" i="37"/>
  <c r="C473" i="37"/>
  <c r="C86" i="37"/>
  <c r="C1093" i="37"/>
  <c r="C1306" i="37"/>
  <c r="C228" i="37"/>
  <c r="C1122" i="37"/>
  <c r="C243" i="37"/>
  <c r="F6" i="21"/>
  <c r="C1267" i="37"/>
  <c r="C224" i="37"/>
  <c r="C230" i="37"/>
  <c r="C237" i="37"/>
  <c r="C202" i="37"/>
  <c r="C1120" i="37"/>
  <c r="C231" i="37"/>
  <c r="C368" i="37"/>
  <c r="C48" i="37"/>
  <c r="C201" i="37"/>
  <c r="C1130" i="37"/>
  <c r="C374" i="37"/>
  <c r="C520" i="37"/>
  <c r="C207" i="37"/>
  <c r="C378" i="37"/>
  <c r="C1132" i="37"/>
  <c r="C1123" i="37"/>
  <c r="C449" i="37"/>
  <c r="C697" i="37"/>
  <c r="C217" i="37"/>
  <c r="C705" i="37"/>
  <c r="C210" i="37"/>
  <c r="C219" i="37"/>
  <c r="C444" i="37"/>
  <c r="C1119" i="37"/>
  <c r="C1117" i="37"/>
  <c r="C1115" i="37"/>
  <c r="B1876" i="14"/>
  <c r="C226" i="37"/>
  <c r="C240" i="37"/>
  <c r="C369" i="37"/>
  <c r="C1056" i="37"/>
  <c r="C366" i="37"/>
  <c r="C467" i="37"/>
  <c r="C241" i="37"/>
  <c r="C216" i="37"/>
  <c r="C446" i="37"/>
  <c r="C204" i="37"/>
  <c r="C755" i="37"/>
  <c r="C1131" i="37"/>
  <c r="C1127" i="37"/>
  <c r="C232" i="37"/>
  <c r="C233" i="37"/>
  <c r="C1032" i="37"/>
  <c r="C782" i="37"/>
  <c r="C886" i="37"/>
  <c r="C669" i="37"/>
  <c r="C821" i="37"/>
  <c r="C1255" i="37"/>
  <c r="C1283" i="37"/>
  <c r="C1292" i="37"/>
  <c r="C31" i="37"/>
  <c r="C778" i="37"/>
  <c r="B65" i="21"/>
  <c r="BB11" i="33"/>
  <c r="C69" i="37"/>
  <c r="BB18" i="33"/>
  <c r="C1034" i="37"/>
  <c r="C892" i="37"/>
  <c r="C1290" i="37"/>
  <c r="C18" i="37"/>
  <c r="C769" i="37"/>
  <c r="C5" i="37"/>
  <c r="BB4" i="33"/>
  <c r="C507" i="37"/>
  <c r="C1237" i="37"/>
  <c r="C781" i="37"/>
  <c r="C686" i="37"/>
  <c r="C783" i="37"/>
  <c r="C67" i="21"/>
  <c r="B64" i="21"/>
  <c r="C712" i="37"/>
  <c r="C354" i="37"/>
  <c r="C713" i="37"/>
  <c r="C1065" i="37"/>
  <c r="C696" i="37"/>
  <c r="C375" i="37"/>
  <c r="C1278" i="37"/>
  <c r="C1213" i="37"/>
  <c r="C87" i="37"/>
  <c r="C1275" i="37"/>
  <c r="C94" i="37"/>
  <c r="C352" i="37"/>
  <c r="C37" i="37"/>
  <c r="C64" i="37"/>
  <c r="C464" i="37"/>
  <c r="C62" i="37"/>
  <c r="C2" i="37"/>
  <c r="C10" i="37"/>
  <c r="C1303" i="37"/>
  <c r="C1228" i="37"/>
  <c r="C357" i="37"/>
  <c r="C527" i="37"/>
  <c r="C1258" i="37"/>
  <c r="C42" i="37"/>
  <c r="B2016" i="14"/>
  <c r="C71" i="37"/>
  <c r="C14" i="37"/>
  <c r="BB12" i="33"/>
  <c r="BB14" i="33" s="1"/>
  <c r="C1297" i="37"/>
  <c r="C470" i="37"/>
  <c r="C44" i="37"/>
  <c r="C458" i="37"/>
  <c r="C206" i="37"/>
  <c r="C445" i="37"/>
  <c r="C32" i="37"/>
  <c r="C481" i="37"/>
  <c r="C362" i="37"/>
  <c r="C471" i="37"/>
  <c r="C333" i="37"/>
  <c r="C768" i="37"/>
  <c r="C1262" i="37"/>
  <c r="C1253" i="37"/>
  <c r="C1266" i="37"/>
  <c r="C82" i="37"/>
  <c r="C70" i="37"/>
  <c r="C93" i="37"/>
  <c r="C4" i="37"/>
  <c r="C22" i="37"/>
  <c r="C754" i="37"/>
  <c r="C344" i="37"/>
  <c r="C1291" i="37"/>
  <c r="C336" i="37"/>
  <c r="C534" i="37"/>
  <c r="C752" i="37"/>
  <c r="C79" i="37"/>
  <c r="C349" i="37"/>
  <c r="C347" i="37"/>
  <c r="C757" i="37"/>
  <c r="C20" i="37"/>
  <c r="C36" i="37"/>
  <c r="C208" i="37"/>
  <c r="C13" i="37"/>
  <c r="C472" i="37"/>
  <c r="C236" i="37"/>
  <c r="C234" i="37"/>
  <c r="C766" i="37"/>
  <c r="C51" i="37"/>
  <c r="C1076" i="37"/>
  <c r="C1085" i="37"/>
  <c r="C687" i="37"/>
  <c r="C356" i="37"/>
  <c r="C763" i="37"/>
  <c r="C221" i="37"/>
  <c r="C1276" i="37"/>
  <c r="C494" i="37"/>
  <c r="C813" i="37"/>
  <c r="C899" i="37"/>
  <c r="C40" i="37"/>
  <c r="C81" i="37"/>
  <c r="C1279" i="37"/>
  <c r="C78" i="37"/>
  <c r="C325" i="37"/>
  <c r="C57" i="37"/>
  <c r="C49" i="37"/>
  <c r="C395" i="37"/>
  <c r="C74" i="37"/>
  <c r="C38" i="37"/>
  <c r="C1089" i="37"/>
  <c r="C1295" i="37"/>
  <c r="C334" i="37"/>
  <c r="C1289" i="37"/>
  <c r="C80" i="37"/>
  <c r="C90" i="37"/>
  <c r="C908" i="37"/>
  <c r="C84" i="37"/>
  <c r="C52" i="37"/>
  <c r="C1060" i="37"/>
  <c r="C55" i="37"/>
  <c r="C528" i="37"/>
  <c r="C1193" i="37"/>
  <c r="C95" i="37"/>
  <c r="C1273" i="37"/>
  <c r="C1194" i="37"/>
  <c r="C330" i="37"/>
  <c r="C50" i="37"/>
  <c r="C1285" i="37"/>
  <c r="C1274" i="37"/>
  <c r="C1048" i="37"/>
  <c r="C203" i="37"/>
  <c r="C47" i="37"/>
  <c r="C462" i="37"/>
  <c r="C328" i="37"/>
  <c r="C381" i="37"/>
  <c r="C1280" i="37"/>
  <c r="C66" i="37"/>
  <c r="C89" i="37"/>
  <c r="C16" i="37"/>
  <c r="C382" i="37"/>
  <c r="C92" i="37"/>
  <c r="C682" i="37"/>
  <c r="C60" i="37"/>
  <c r="C24" i="37"/>
  <c r="C19" i="37"/>
  <c r="C1050" i="37"/>
  <c r="C1037" i="37"/>
  <c r="C460" i="37"/>
  <c r="C229" i="37"/>
  <c r="C1042" i="37"/>
  <c r="C220" i="37"/>
  <c r="C30" i="37"/>
  <c r="C77" i="37"/>
  <c r="C463" i="37"/>
  <c r="C457" i="37"/>
  <c r="C53" i="37"/>
  <c r="C762" i="37"/>
  <c r="C340" i="37"/>
  <c r="C331" i="37"/>
  <c r="C376" i="37"/>
  <c r="C1264" i="37"/>
  <c r="C1272" i="37"/>
  <c r="C1259" i="37"/>
  <c r="C83" i="37"/>
  <c r="C85" i="37"/>
  <c r="C15" i="37"/>
  <c r="C6" i="37"/>
  <c r="C326" i="37"/>
  <c r="C1100" i="37"/>
  <c r="C1054" i="37"/>
  <c r="C377" i="37"/>
  <c r="C339" i="37"/>
  <c r="C912" i="37"/>
  <c r="C337" i="37"/>
  <c r="C1136" i="37"/>
  <c r="C1126" i="37"/>
  <c r="C56" i="37"/>
  <c r="C350" i="37"/>
  <c r="C355" i="37"/>
  <c r="C29" i="37"/>
  <c r="C760" i="37"/>
  <c r="C456" i="37"/>
  <c r="C209" i="37"/>
  <c r="C459" i="37"/>
  <c r="C222" i="37"/>
  <c r="C239" i="37"/>
  <c r="C363" i="37"/>
  <c r="C1233" i="37"/>
  <c r="C17" i="37"/>
  <c r="C373" i="37"/>
  <c r="C1011" i="37"/>
  <c r="C76" i="37"/>
  <c r="C1066" i="37"/>
  <c r="C335" i="37"/>
  <c r="C1270" i="37"/>
  <c r="C91" i="37"/>
  <c r="C1073" i="37"/>
  <c r="C1097" i="37"/>
  <c r="C1208" i="37"/>
  <c r="C358" i="37"/>
  <c r="C59" i="37"/>
  <c r="C43" i="37"/>
  <c r="C41" i="37"/>
  <c r="C720" i="37"/>
  <c r="C1265" i="37"/>
  <c r="C323" i="37"/>
  <c r="C913" i="37"/>
  <c r="C33" i="37"/>
  <c r="C359" i="37"/>
  <c r="C654" i="37"/>
  <c r="C61" i="37"/>
  <c r="C465" i="37"/>
  <c r="C332" i="37"/>
  <c r="C1277" i="37"/>
  <c r="C67" i="37"/>
  <c r="C96" i="37"/>
  <c r="C35" i="37"/>
  <c r="C214" i="37"/>
  <c r="C218" i="37"/>
  <c r="C522" i="37"/>
  <c r="C519" i="37"/>
  <c r="C385" i="37"/>
  <c r="C1263" i="37"/>
  <c r="C1260" i="37"/>
  <c r="C72" i="37"/>
  <c r="C758" i="37"/>
  <c r="C21" i="37"/>
  <c r="C342" i="37"/>
  <c r="C338" i="37"/>
  <c r="C327" i="37"/>
  <c r="B250" i="30"/>
  <c r="B251" i="30" s="1"/>
  <c r="C75" i="37"/>
  <c r="C200" i="37"/>
  <c r="C1282" i="37"/>
  <c r="C225" i="37"/>
  <c r="C63" i="37"/>
  <c r="C345" i="37"/>
  <c r="C348" i="37"/>
  <c r="C360" i="37"/>
  <c r="C238" i="37"/>
  <c r="C213" i="37"/>
  <c r="C212" i="37"/>
  <c r="C466" i="37"/>
  <c r="C1299" i="37"/>
  <c r="C27" i="37"/>
  <c r="C1091" i="37"/>
  <c r="C764" i="37"/>
  <c r="C887" i="37"/>
  <c r="C1041" i="37"/>
  <c r="C1281" i="37"/>
  <c r="C1261" i="37"/>
  <c r="C770" i="37"/>
  <c r="C68" i="37"/>
  <c r="C346" i="37"/>
  <c r="C3" i="37"/>
  <c r="C765" i="37"/>
  <c r="C341" i="37"/>
  <c r="C1095" i="37"/>
  <c r="C1286" i="37"/>
  <c r="C1121" i="37"/>
  <c r="C361" i="37"/>
  <c r="C351" i="37"/>
  <c r="C364" i="37"/>
  <c r="C215" i="37"/>
  <c r="C1268" i="37"/>
  <c r="C242" i="37"/>
  <c r="C223" i="37"/>
  <c r="C227" i="37"/>
  <c r="C1269" i="37"/>
  <c r="C98" i="37"/>
  <c r="C205" i="37"/>
  <c r="C987" i="37"/>
  <c r="C1053" i="37"/>
  <c r="C709" i="37"/>
  <c r="C703" i="37"/>
  <c r="C691" i="37"/>
  <c r="C1189" i="37"/>
  <c r="C1072" i="37"/>
  <c r="C890" i="37"/>
  <c r="C676" i="37"/>
  <c r="C875" i="37"/>
  <c r="C670" i="37"/>
  <c r="C695" i="37"/>
  <c r="C1058" i="37"/>
  <c r="C1197" i="37"/>
  <c r="C1030" i="37"/>
  <c r="C1015" i="37"/>
  <c r="C1207" i="37"/>
  <c r="C510" i="37"/>
  <c r="C489" i="37"/>
  <c r="C660" i="37"/>
  <c r="C815" i="37"/>
  <c r="C1205" i="37"/>
  <c r="C1062" i="37"/>
  <c r="C884" i="37"/>
  <c r="C893" i="37"/>
  <c r="C702" i="37"/>
  <c r="C1031" i="37"/>
  <c r="C902" i="37"/>
  <c r="C1086" i="37"/>
  <c r="C895" i="37"/>
  <c r="C667" i="37"/>
  <c r="C1061" i="37"/>
  <c r="C874" i="37"/>
  <c r="C1192" i="37"/>
  <c r="C672" i="37"/>
  <c r="C906" i="37"/>
  <c r="C693" i="37"/>
  <c r="C698" i="37"/>
  <c r="C1209" i="37"/>
  <c r="C972" i="37"/>
  <c r="C1023" i="37"/>
  <c r="C529" i="37"/>
  <c r="C1082" i="37"/>
  <c r="C1079" i="37"/>
  <c r="C730" i="37"/>
  <c r="C514" i="37"/>
  <c r="C881" i="37"/>
  <c r="C1055" i="37"/>
  <c r="C526" i="37"/>
  <c r="C823" i="37"/>
  <c r="C889" i="37"/>
  <c r="C665" i="37"/>
  <c r="C1043" i="37"/>
  <c r="C668" i="37"/>
  <c r="C872" i="37"/>
  <c r="C692" i="37"/>
  <c r="C1195" i="37"/>
  <c r="C704" i="37"/>
  <c r="C663" i="37"/>
  <c r="C677" i="37"/>
  <c r="C896" i="37"/>
  <c r="C888" i="37"/>
  <c r="C671" i="37"/>
  <c r="C898" i="37"/>
  <c r="C1070" i="37"/>
  <c r="C1203" i="37"/>
  <c r="C1190" i="37"/>
  <c r="C483" i="37"/>
  <c r="C873" i="37"/>
  <c r="C542" i="37"/>
  <c r="C664" i="37"/>
  <c r="C1217" i="37"/>
  <c r="C1077" i="37"/>
  <c r="C897" i="37"/>
  <c r="C1064" i="37"/>
  <c r="C725" i="37"/>
  <c r="C1051" i="37"/>
  <c r="C1027" i="37"/>
  <c r="C920" i="37"/>
  <c r="C1068" i="37"/>
  <c r="C690" i="37"/>
  <c r="C683" i="37"/>
  <c r="C1200" i="37"/>
  <c r="C1099" i="37"/>
  <c r="C785" i="37"/>
  <c r="C885" i="37"/>
  <c r="C903" i="37"/>
  <c r="C657" i="37"/>
  <c r="B2058" i="14"/>
  <c r="C864" i="37"/>
  <c r="C642" i="37"/>
  <c r="C576" i="37"/>
  <c r="C1202" i="37"/>
  <c r="C482" i="37"/>
  <c r="C1198" i="37"/>
  <c r="C722" i="37"/>
  <c r="C1083" i="37"/>
  <c r="C516" i="37"/>
  <c r="C1067" i="37"/>
  <c r="C673" i="37"/>
  <c r="C1059" i="37"/>
  <c r="C1305" i="37"/>
  <c r="C1087" i="37"/>
  <c r="C684" i="37"/>
  <c r="C602" i="37"/>
  <c r="C1081" i="37"/>
  <c r="C879" i="37"/>
  <c r="C681" i="37"/>
  <c r="C1040" i="37"/>
  <c r="C1052" i="37"/>
  <c r="C883" i="37"/>
  <c r="C675" i="37"/>
  <c r="C1191" i="37"/>
  <c r="C1047" i="37"/>
  <c r="C547" i="37"/>
  <c r="C517" i="37"/>
  <c r="C1218" i="37"/>
  <c r="C877" i="37"/>
  <c r="C1080" i="37"/>
  <c r="C1044" i="37"/>
  <c r="C685" i="37"/>
  <c r="C1199" i="37"/>
  <c r="C679" i="37"/>
  <c r="C891" i="37"/>
  <c r="C666" i="37"/>
  <c r="C1152" i="37"/>
  <c r="C1231" i="37"/>
  <c r="C1201" i="37"/>
  <c r="C1210" i="37"/>
  <c r="C1063" i="37"/>
  <c r="C1084" i="37"/>
  <c r="C1211" i="37"/>
  <c r="C515" i="37"/>
  <c r="C1078" i="37"/>
  <c r="C658" i="37"/>
  <c r="C1035" i="37"/>
  <c r="C688" i="37"/>
  <c r="C1188" i="37"/>
  <c r="C880" i="37"/>
  <c r="C1075" i="37"/>
  <c r="C1204" i="37"/>
  <c r="C1212" i="37"/>
  <c r="C1071" i="37"/>
  <c r="C425" i="37"/>
  <c r="C774" i="37"/>
  <c r="C531" i="37"/>
  <c r="C1057" i="37"/>
  <c r="C1301" i="37"/>
  <c r="C767" i="37"/>
  <c r="C1196" i="37"/>
  <c r="C882" i="37"/>
  <c r="C1298" i="37"/>
  <c r="C700" i="37"/>
  <c r="C699" i="37"/>
  <c r="C706" i="37"/>
  <c r="C388" i="37"/>
  <c r="C689" i="37"/>
  <c r="C1069" i="37"/>
  <c r="C1045" i="37"/>
  <c r="C1074" i="37"/>
  <c r="C876" i="37"/>
  <c r="C1094" i="37"/>
  <c r="C894" i="37"/>
  <c r="C680" i="37"/>
  <c r="C1002" i="37"/>
  <c r="C1206" i="37"/>
  <c r="C1221" i="37"/>
  <c r="C68" i="21"/>
  <c r="B63" i="21"/>
  <c r="C434" i="37"/>
  <c r="C979" i="37"/>
  <c r="C474" i="37"/>
  <c r="C501" i="37"/>
  <c r="C848" i="37"/>
  <c r="C491" i="37"/>
  <c r="C499" i="37"/>
  <c r="C918" i="37"/>
  <c r="C487" i="37"/>
  <c r="C721" i="37"/>
  <c r="C773" i="37"/>
  <c r="C442" i="37"/>
  <c r="C728" i="37"/>
  <c r="C652" i="37"/>
  <c r="C497" i="37"/>
  <c r="C735" i="37"/>
  <c r="C396" i="37"/>
  <c r="C792" i="37"/>
  <c r="C386" i="37"/>
  <c r="C1313" i="37"/>
  <c r="C612" i="37"/>
  <c r="C922" i="37"/>
  <c r="C392" i="37"/>
  <c r="C1256" i="37"/>
  <c r="C1222" i="37"/>
  <c r="C1098" i="37"/>
  <c r="C1024" i="37"/>
  <c r="C1219" i="37"/>
  <c r="C1214" i="37"/>
  <c r="C488" i="37"/>
  <c r="C429" i="37"/>
  <c r="C1092" i="37"/>
  <c r="C661" i="37"/>
  <c r="C504" i="37"/>
  <c r="C838" i="37"/>
  <c r="C1151" i="37"/>
  <c r="C485" i="37"/>
  <c r="C476" i="37"/>
  <c r="C509" i="37"/>
  <c r="C743" i="37"/>
  <c r="C498" i="37"/>
  <c r="C746" i="37"/>
  <c r="C738" i="37"/>
  <c r="C275" i="37"/>
  <c r="C653" i="37"/>
  <c r="C787" i="37"/>
  <c r="C416" i="37"/>
  <c r="C1140" i="37"/>
  <c r="C503" i="37"/>
  <c r="C1232" i="37"/>
  <c r="C701" i="37"/>
  <c r="C1224" i="37"/>
  <c r="C1216" i="37"/>
  <c r="C469" i="37"/>
  <c r="C420" i="37"/>
  <c r="C492" i="37"/>
  <c r="C490" i="37"/>
  <c r="C500" i="37"/>
  <c r="C830" i="37"/>
  <c r="C479" i="37"/>
  <c r="C718" i="37"/>
  <c r="C390" i="37"/>
  <c r="C468" i="37"/>
  <c r="C475" i="37"/>
  <c r="C827" i="37"/>
  <c r="C736" i="37"/>
  <c r="C804" i="37"/>
  <c r="C651" i="37"/>
  <c r="C750" i="37"/>
  <c r="C1308" i="37"/>
  <c r="C724" i="37"/>
  <c r="C771" i="37"/>
  <c r="C656" i="37"/>
  <c r="C694" i="37"/>
  <c r="BB33" i="33"/>
  <c r="BB35" i="33" s="1"/>
  <c r="C505" i="37"/>
  <c r="C1238" i="37"/>
  <c r="C1235" i="37"/>
  <c r="C1220" i="37"/>
  <c r="C478" i="37"/>
  <c r="C443" i="37"/>
  <c r="C530" i="37"/>
  <c r="C502" i="37"/>
  <c r="C1234" i="37"/>
  <c r="C506" i="37"/>
  <c r="BB32" i="33"/>
  <c r="C480" i="37"/>
  <c r="C448" i="37"/>
  <c r="C662" i="37"/>
  <c r="C447" i="37"/>
  <c r="C632" i="37"/>
  <c r="C432" i="37"/>
  <c r="C508" i="37"/>
  <c r="C731" i="37"/>
  <c r="C484" i="37"/>
  <c r="C477" i="37"/>
  <c r="C739" i="37"/>
  <c r="C966" i="37"/>
  <c r="C726" i="37"/>
  <c r="C717" i="37"/>
  <c r="C742" i="37"/>
  <c r="C745" i="37"/>
  <c r="C655" i="37"/>
  <c r="C659" i="37"/>
  <c r="C1254" i="37"/>
  <c r="C393" i="37"/>
  <c r="C779" i="37"/>
  <c r="C780" i="37"/>
  <c r="C919" i="37"/>
  <c r="C772" i="37"/>
  <c r="C1252" i="37"/>
  <c r="C1293" i="37"/>
  <c r="C1243" i="37"/>
  <c r="C486" i="37"/>
  <c r="C495" i="37"/>
  <c r="C493" i="37"/>
  <c r="C496" i="37"/>
  <c r="C277" i="37"/>
  <c r="C1029" i="37"/>
  <c r="C984" i="37"/>
  <c r="C1020" i="37"/>
  <c r="C397" i="37"/>
  <c r="C994" i="37"/>
  <c r="C973" i="37"/>
  <c r="C916" i="37"/>
  <c r="C907" i="37"/>
  <c r="C1146" i="37"/>
  <c r="C1149" i="37"/>
  <c r="C541" i="37"/>
  <c r="C719" i="37"/>
  <c r="C775" i="37"/>
  <c r="C1250" i="37"/>
  <c r="C1229" i="37"/>
  <c r="C1090" i="37"/>
  <c r="C1022" i="37"/>
  <c r="C1033" i="37"/>
  <c r="C440" i="37"/>
  <c r="C418" i="37"/>
  <c r="C439" i="37"/>
  <c r="C776" i="37"/>
  <c r="C1271" i="37"/>
  <c r="C1288" i="37"/>
  <c r="C278" i="37"/>
  <c r="C992" i="37"/>
  <c r="C871" i="37"/>
  <c r="C400" i="37"/>
  <c r="C405" i="37"/>
  <c r="C250" i="37"/>
  <c r="C990" i="37"/>
  <c r="C409" i="37"/>
  <c r="C558" i="37"/>
  <c r="C816" i="37"/>
  <c r="C825" i="37"/>
  <c r="C826" i="37"/>
  <c r="C833" i="37"/>
  <c r="C406" i="37"/>
  <c r="C1009" i="37"/>
  <c r="C1159" i="37"/>
  <c r="C407" i="37"/>
  <c r="C968" i="37"/>
  <c r="C832" i="37"/>
  <c r="C998" i="37"/>
  <c r="C1141" i="37"/>
  <c r="C831" i="37"/>
  <c r="C807" i="37"/>
  <c r="C1016" i="37"/>
  <c r="C841" i="37"/>
  <c r="C917" i="37"/>
  <c r="C850" i="37"/>
  <c r="C921" i="37"/>
  <c r="C1010" i="37"/>
  <c r="C387" i="37"/>
  <c r="C1161" i="37"/>
  <c r="C557" i="37"/>
  <c r="C810" i="37"/>
  <c r="C524" i="37"/>
  <c r="C267" i="37"/>
  <c r="C286" i="37"/>
  <c r="C989" i="37"/>
  <c r="C1049" i="37"/>
  <c r="C1025" i="37"/>
  <c r="C1046" i="37"/>
  <c r="C1038" i="37"/>
  <c r="C1014" i="37"/>
  <c r="C1012" i="37"/>
  <c r="C1178" i="37"/>
  <c r="C417" i="37"/>
  <c r="C1039" i="37"/>
  <c r="C777" i="37"/>
  <c r="C401" i="37"/>
  <c r="C593" i="37"/>
  <c r="C967" i="37"/>
  <c r="C914" i="37"/>
  <c r="C1225" i="37"/>
  <c r="C900" i="37"/>
  <c r="C1242" i="37"/>
  <c r="C1236" i="37"/>
  <c r="C1021" i="37"/>
  <c r="C1036" i="37"/>
  <c r="C1215" i="37"/>
  <c r="C410" i="37"/>
  <c r="C436" i="37"/>
  <c r="C430" i="37"/>
  <c r="C878" i="37"/>
  <c r="C1287" i="37"/>
  <c r="C438" i="37"/>
  <c r="C1239" i="37"/>
  <c r="C969" i="37"/>
  <c r="C1142" i="37"/>
  <c r="C1145" i="37"/>
  <c r="C829" i="37"/>
  <c r="C963" i="37"/>
  <c r="C426" i="37"/>
  <c r="C412" i="37"/>
  <c r="C431" i="37"/>
  <c r="C1241" i="37"/>
  <c r="C901" i="37"/>
  <c r="C1026" i="37"/>
  <c r="C285" i="37"/>
  <c r="C978" i="37"/>
  <c r="C1137" i="37"/>
  <c r="C997" i="37"/>
  <c r="C428" i="37"/>
  <c r="C433" i="37"/>
  <c r="C421" i="37"/>
  <c r="C1230" i="37"/>
  <c r="C266" i="37"/>
  <c r="C398" i="37"/>
  <c r="C280" i="37"/>
  <c r="C862" i="37"/>
  <c r="C626" i="37"/>
  <c r="C1028" i="37"/>
  <c r="C424" i="37"/>
  <c r="C437" i="37"/>
  <c r="C399" i="37"/>
  <c r="C1227" i="37"/>
  <c r="C977" i="37"/>
  <c r="C866" i="37"/>
  <c r="C269" i="37"/>
  <c r="C859" i="37"/>
  <c r="C415" i="37"/>
  <c r="C411" i="37"/>
  <c r="C404" i="37"/>
  <c r="C1317" i="37"/>
  <c r="C1019" i="37"/>
  <c r="C413" i="37"/>
  <c r="C1223" i="37"/>
  <c r="C403" i="37"/>
  <c r="C1139" i="37"/>
  <c r="C1156" i="37"/>
  <c r="C981" i="37"/>
  <c r="C270" i="37"/>
  <c r="C636" i="37"/>
  <c r="C402" i="37"/>
  <c r="C844" i="37"/>
  <c r="C996" i="37"/>
  <c r="C1150" i="37"/>
  <c r="C930" i="37"/>
  <c r="C1017" i="37"/>
  <c r="C435" i="37"/>
  <c r="C800" i="37"/>
  <c r="C644" i="37"/>
  <c r="C645" i="37"/>
  <c r="C634" i="37"/>
  <c r="C391" i="37"/>
  <c r="C282" i="37"/>
  <c r="C1013" i="37"/>
  <c r="C915" i="37"/>
  <c r="C786" i="37"/>
  <c r="C408" i="37"/>
  <c r="C910" i="37"/>
  <c r="C911" i="37"/>
  <c r="C1296" i="37"/>
  <c r="C904" i="37"/>
  <c r="C1138" i="37"/>
  <c r="C1155" i="37"/>
  <c r="C1249" i="37"/>
  <c r="C1018" i="37"/>
  <c r="C427" i="37"/>
  <c r="B1974" i="14"/>
  <c r="C1244" i="37"/>
  <c r="C1164" i="37"/>
  <c r="C262" i="37"/>
  <c r="C809" i="37"/>
  <c r="C648" i="37"/>
  <c r="C268" i="37"/>
  <c r="C820" i="37"/>
  <c r="C837" i="37"/>
  <c r="C276" i="37"/>
  <c r="C985" i="37"/>
  <c r="C860" i="37"/>
  <c r="C855" i="37"/>
  <c r="C975" i="37"/>
  <c r="C1162" i="37"/>
  <c r="C790" i="37"/>
  <c r="C789" i="37"/>
  <c r="C991" i="37"/>
  <c r="C988" i="37"/>
  <c r="C863" i="37"/>
  <c r="C1310" i="37"/>
  <c r="C909" i="37"/>
  <c r="C995" i="37"/>
  <c r="C1154" i="37"/>
  <c r="C1143" i="37"/>
  <c r="C835" i="37"/>
  <c r="B268" i="30"/>
  <c r="L344" i="30" s="1"/>
  <c r="C414" i="37"/>
  <c r="C389" i="37"/>
  <c r="C394" i="37"/>
  <c r="C799" i="37"/>
  <c r="C856" i="37"/>
  <c r="C271" i="37"/>
  <c r="C1153" i="37"/>
  <c r="C1168" i="37"/>
  <c r="C865" i="37"/>
  <c r="C828" i="37"/>
  <c r="C840" i="37"/>
  <c r="C265" i="37"/>
  <c r="C842" i="37"/>
  <c r="C1167" i="37"/>
  <c r="C861" i="37"/>
  <c r="C867" i="37"/>
  <c r="C1144" i="37"/>
  <c r="C1177" i="37"/>
  <c r="C1185" i="37"/>
  <c r="C836" i="37"/>
  <c r="C791" i="37"/>
  <c r="C795" i="37"/>
  <c r="C568" i="37"/>
  <c r="C817" i="37"/>
  <c r="C556" i="37"/>
  <c r="C796" i="37"/>
  <c r="C808" i="37"/>
  <c r="C805" i="37"/>
  <c r="C279" i="37"/>
  <c r="C261" i="37"/>
  <c r="C283" i="37"/>
  <c r="C980" i="37"/>
  <c r="C854" i="37"/>
  <c r="C999" i="37"/>
  <c r="C1175" i="37"/>
  <c r="C1184" i="37"/>
  <c r="C794" i="37"/>
  <c r="C970" i="37"/>
  <c r="C857" i="37"/>
  <c r="C868" i="37"/>
  <c r="C1311" i="37"/>
  <c r="C947" i="37"/>
  <c r="C1148" i="37"/>
  <c r="C1147" i="37"/>
  <c r="BB25" i="33"/>
  <c r="C784" i="37"/>
  <c r="C905" i="37"/>
  <c r="C423" i="37"/>
  <c r="B1904" i="14"/>
  <c r="C993" i="37"/>
  <c r="C616" i="37"/>
  <c r="C581" i="37"/>
  <c r="C802" i="37"/>
  <c r="C287" i="37"/>
  <c r="C281" i="37"/>
  <c r="C274" i="37"/>
  <c r="C982" i="37"/>
  <c r="C849" i="37"/>
  <c r="C1003" i="37"/>
  <c r="C1005" i="37"/>
  <c r="C1165" i="37"/>
  <c r="C1176" i="37"/>
  <c r="C986" i="37"/>
  <c r="C976" i="37"/>
  <c r="C870" i="37"/>
  <c r="C1314" i="37"/>
  <c r="C1309" i="37"/>
  <c r="C1157" i="37"/>
  <c r="C419" i="37"/>
  <c r="C422" i="37"/>
  <c r="C574" i="37"/>
  <c r="C1251" i="37"/>
  <c r="C1248" i="37"/>
  <c r="C1247" i="37"/>
  <c r="C1257" i="37"/>
  <c r="C1245" i="37"/>
  <c r="C1246" i="37"/>
  <c r="C1240" i="37"/>
  <c r="C1226" i="37"/>
  <c r="C599" i="37"/>
  <c r="C600" i="37"/>
  <c r="C604" i="37"/>
  <c r="C617" i="37"/>
  <c r="C620" i="37"/>
  <c r="C615" i="37"/>
  <c r="C621" i="37"/>
  <c r="C609" i="37"/>
  <c r="C925" i="37"/>
  <c r="C598" i="37"/>
  <c r="C585" i="37"/>
  <c r="C953" i="37"/>
  <c r="C582" i="37"/>
  <c r="C595" i="37"/>
  <c r="C846" i="37"/>
  <c r="C586" i="37"/>
  <c r="C611" i="37"/>
  <c r="C619" i="37"/>
  <c r="C927" i="37"/>
  <c r="C944" i="37"/>
  <c r="C288" i="37"/>
  <c r="C272" i="37"/>
  <c r="C273" i="37"/>
  <c r="C264" i="37"/>
  <c r="C811" i="37"/>
  <c r="C555" i="37"/>
  <c r="C249" i="37"/>
  <c r="C251" i="37"/>
  <c r="C578" i="37"/>
  <c r="C562" i="37"/>
  <c r="C573" i="37"/>
  <c r="C594" i="37"/>
  <c r="C964" i="37"/>
  <c r="C623" i="37"/>
  <c r="C591" i="37"/>
  <c r="C957" i="37"/>
  <c r="C613" i="37"/>
  <c r="C928" i="37"/>
  <c r="C788" i="37"/>
  <c r="C589" i="37"/>
  <c r="C606" i="37"/>
  <c r="C592" i="37"/>
  <c r="C961" i="37"/>
  <c r="C845" i="37"/>
  <c r="C1315" i="37"/>
  <c r="C933" i="37"/>
  <c r="C945" i="37"/>
  <c r="C965" i="37"/>
  <c r="C710" i="37"/>
  <c r="C708" i="37"/>
  <c r="B286" i="30"/>
  <c r="C649" i="37"/>
  <c r="C650" i="37"/>
  <c r="C638" i="37"/>
  <c r="C647" i="37"/>
  <c r="C646" i="37"/>
  <c r="C641" i="37"/>
  <c r="C639" i="37"/>
  <c r="C643" i="37"/>
  <c r="C640" i="37"/>
  <c r="C523" i="37"/>
  <c r="C797" i="37"/>
  <c r="C256" i="37"/>
  <c r="C258" i="37"/>
  <c r="C564" i="37"/>
  <c r="C579" i="37"/>
  <c r="C580" i="37"/>
  <c r="C583" i="37"/>
  <c r="C588" i="37"/>
  <c r="C607" i="37"/>
  <c r="C610" i="37"/>
  <c r="C630" i="37"/>
  <c r="C628" i="37"/>
  <c r="C629" i="37"/>
  <c r="C627" i="37"/>
  <c r="C637" i="37"/>
  <c r="C631" i="37"/>
  <c r="C633" i="37"/>
  <c r="C635" i="37"/>
  <c r="C723" i="37"/>
  <c r="C716" i="37"/>
  <c r="C674" i="37"/>
  <c r="C263" i="37"/>
  <c r="C858" i="37"/>
  <c r="C561" i="37"/>
  <c r="C577" i="37"/>
  <c r="C707" i="37"/>
  <c r="C960" i="37"/>
  <c r="C951" i="37"/>
  <c r="C958" i="37"/>
  <c r="C949" i="37"/>
  <c r="C948" i="37"/>
  <c r="C952" i="37"/>
  <c r="C937" i="37"/>
  <c r="C926" i="37"/>
  <c r="C625" i="37"/>
  <c r="C614" i="37"/>
  <c r="C584" i="37"/>
  <c r="C959" i="37"/>
  <c r="C954" i="37"/>
  <c r="C923" i="37"/>
  <c r="C956" i="37"/>
  <c r="C931" i="37"/>
  <c r="C843" i="37"/>
  <c r="C950" i="37"/>
  <c r="C929" i="37"/>
  <c r="C596" i="37"/>
  <c r="C793" i="37"/>
  <c r="C601" i="37"/>
  <c r="C622" i="37"/>
  <c r="C597" i="37"/>
  <c r="C605" i="37"/>
  <c r="C955" i="37"/>
  <c r="C942" i="37"/>
  <c r="C943" i="37"/>
  <c r="C1173" i="37"/>
  <c r="C1172" i="37"/>
  <c r="C1179" i="37"/>
  <c r="C1183" i="37"/>
  <c r="C1166" i="37"/>
  <c r="C1181" i="37"/>
  <c r="C1169" i="37"/>
  <c r="C1182" i="37"/>
  <c r="C1174" i="37"/>
  <c r="C1171" i="37"/>
  <c r="C1160" i="37"/>
  <c r="C1170" i="37"/>
  <c r="C1158" i="37"/>
  <c r="C1180" i="37"/>
  <c r="C869" i="37"/>
  <c r="C946" i="37"/>
  <c r="C939" i="37"/>
  <c r="C932" i="37"/>
  <c r="C934" i="37"/>
  <c r="C1008" i="37"/>
  <c r="C1007" i="37"/>
  <c r="C1001" i="37"/>
  <c r="C1006" i="37"/>
  <c r="C974" i="37"/>
  <c r="C971" i="37"/>
  <c r="C983" i="37"/>
  <c r="C1000" i="37"/>
  <c r="C1004" i="37"/>
  <c r="C936" i="37"/>
  <c r="C1163" i="37"/>
  <c r="C678" i="37"/>
  <c r="C737" i="37"/>
  <c r="C259" i="37"/>
  <c r="C253" i="37"/>
  <c r="C247" i="37"/>
  <c r="C560" i="37"/>
  <c r="C590" i="37"/>
  <c r="C571" i="37"/>
  <c r="C624" i="37"/>
  <c r="C935" i="37"/>
  <c r="C938" i="37"/>
  <c r="C819" i="37"/>
  <c r="C822" i="37"/>
  <c r="C818" i="37"/>
  <c r="C812" i="37"/>
  <c r="C798" i="37"/>
  <c r="C801" i="37"/>
  <c r="C803" i="37"/>
  <c r="C806" i="37"/>
  <c r="C814" i="37"/>
  <c r="C847" i="37"/>
  <c r="C839" i="37"/>
  <c r="C851" i="37"/>
  <c r="C834" i="37"/>
  <c r="C852" i="37"/>
  <c r="C853" i="37"/>
  <c r="C824" i="37"/>
  <c r="C246" i="37"/>
  <c r="C248" i="37"/>
  <c r="C254" i="37"/>
  <c r="C257" i="37"/>
  <c r="C575" i="37"/>
  <c r="C572" i="37"/>
  <c r="C567" i="37"/>
  <c r="C924" i="37"/>
  <c r="C941" i="37"/>
  <c r="C545" i="37"/>
  <c r="C540" i="37"/>
  <c r="C546" i="37"/>
  <c r="C543" i="37"/>
  <c r="C539" i="37"/>
  <c r="C521" i="37"/>
  <c r="C554" i="37"/>
  <c r="C544" i="37"/>
  <c r="C552" i="37"/>
  <c r="C533" i="37"/>
  <c r="C535" i="37"/>
  <c r="C512" i="37"/>
  <c r="C513" i="37"/>
  <c r="C525" i="37"/>
  <c r="C532" i="37"/>
  <c r="C553" i="37"/>
  <c r="C548" i="37"/>
  <c r="C537" i="37"/>
  <c r="C518" i="37"/>
  <c r="C536" i="37"/>
  <c r="C538" i="37"/>
  <c r="C549" i="37"/>
  <c r="C550" i="37"/>
  <c r="C551" i="37"/>
  <c r="C749" i="37"/>
  <c r="C740" i="37"/>
  <c r="C741" i="37"/>
  <c r="C734" i="37"/>
  <c r="C751" i="37"/>
  <c r="C753" i="37"/>
  <c r="C733" i="37"/>
  <c r="C747" i="37"/>
  <c r="C711" i="37"/>
  <c r="C748" i="37"/>
  <c r="C732" i="37"/>
  <c r="C727" i="37"/>
  <c r="C714" i="37"/>
  <c r="C744" i="37"/>
  <c r="C729" i="37"/>
  <c r="C255" i="37"/>
  <c r="C570" i="37"/>
  <c r="C569" i="37"/>
  <c r="C563" i="37"/>
  <c r="C2" i="21"/>
  <c r="B2" i="21"/>
  <c r="C608" i="37"/>
  <c r="C618" i="37"/>
  <c r="C962" i="37"/>
  <c r="C603" i="37"/>
  <c r="C587" i="37"/>
  <c r="C940" i="37"/>
  <c r="C715" i="37"/>
  <c r="C511" i="37"/>
  <c r="C565" i="37"/>
  <c r="C252" i="37"/>
  <c r="C245" i="37"/>
  <c r="C260" i="37"/>
  <c r="C566" i="37"/>
  <c r="C559" i="37"/>
  <c r="C28" i="21"/>
  <c r="K28" i="21" s="1"/>
  <c r="C25" i="21"/>
  <c r="K25" i="21" s="1"/>
  <c r="K2480" i="14" s="1"/>
  <c r="Y2480" i="14" s="1"/>
  <c r="C23" i="21"/>
  <c r="K23" i="21" s="1"/>
  <c r="K1131" i="14" s="1"/>
  <c r="B1134" i="14" s="1"/>
  <c r="F26" i="33" s="1"/>
  <c r="C17" i="21"/>
  <c r="K17" i="21" s="1"/>
  <c r="B38" i="21"/>
  <c r="J38" i="21" s="1"/>
  <c r="F82" i="21"/>
  <c r="B33" i="21"/>
  <c r="J33" i="21" s="1"/>
  <c r="C26" i="21"/>
  <c r="K26" i="21" s="1"/>
  <c r="C22" i="21"/>
  <c r="K22" i="21" s="1"/>
  <c r="B36" i="21"/>
  <c r="J36" i="21" s="1"/>
  <c r="B31" i="21"/>
  <c r="J31" i="21" s="1"/>
  <c r="C29" i="21"/>
  <c r="K29" i="21" s="1"/>
  <c r="C24" i="21"/>
  <c r="K24" i="21" s="1"/>
  <c r="F80" i="21"/>
  <c r="B34" i="21"/>
  <c r="J34" i="21" s="1"/>
  <c r="B39" i="21"/>
  <c r="J39" i="21" s="1"/>
  <c r="B37" i="21"/>
  <c r="J37" i="21" s="1"/>
  <c r="H2410" i="14" s="1"/>
  <c r="I2410" i="14" s="1"/>
  <c r="N2410" i="14" s="1"/>
  <c r="C19" i="21"/>
  <c r="K19" i="21" s="1"/>
  <c r="C30" i="21"/>
  <c r="K30" i="21" s="1"/>
  <c r="K2472" i="14" s="1"/>
  <c r="Y2472" i="14" s="1"/>
  <c r="C21" i="21"/>
  <c r="K21" i="21" s="1"/>
  <c r="K2477" i="14" s="1"/>
  <c r="Y2477" i="14" s="1"/>
  <c r="C27" i="21"/>
  <c r="K27" i="21" s="1"/>
  <c r="F3" i="21"/>
  <c r="C18" i="21"/>
  <c r="K18" i="21" s="1"/>
  <c r="K2484" i="14" s="1"/>
  <c r="F81" i="21"/>
  <c r="B40" i="21"/>
  <c r="J40" i="21" s="1"/>
  <c r="C20" i="21"/>
  <c r="K20" i="21" s="1"/>
  <c r="K991" i="14" s="1"/>
  <c r="B994" i="14" s="1"/>
  <c r="AM19" i="33" s="1"/>
  <c r="AM21" i="33" s="1"/>
  <c r="B32" i="21"/>
  <c r="J32" i="21" s="1"/>
  <c r="B35" i="21"/>
  <c r="J35" i="21" s="1"/>
  <c r="H2472" i="14" s="1"/>
  <c r="I2472" i="14" s="1"/>
  <c r="N2472" i="14" s="1"/>
  <c r="C1304" i="37"/>
  <c r="C1316" i="37"/>
  <c r="C1300" i="37"/>
  <c r="C1302" i="37"/>
  <c r="T379" i="14"/>
  <c r="C1307" i="37"/>
  <c r="C1312" i="37"/>
  <c r="H2482" i="14" l="1"/>
  <c r="H2543" i="14"/>
  <c r="I2543" i="14" s="1"/>
  <c r="N2543" i="14" s="1"/>
  <c r="H2501" i="14"/>
  <c r="I2501" i="14" s="1"/>
  <c r="N2501" i="14" s="1"/>
  <c r="H2557" i="14"/>
  <c r="I2557" i="14" s="1"/>
  <c r="N2557" i="14" s="1"/>
  <c r="H2382" i="14"/>
  <c r="I2382" i="14" s="1"/>
  <c r="N2382" i="14" s="1"/>
  <c r="H2515" i="14"/>
  <c r="I2515" i="14" s="1"/>
  <c r="N2515" i="14" s="1"/>
  <c r="H2529" i="14"/>
  <c r="H2333" i="14"/>
  <c r="I2333" i="14" s="1"/>
  <c r="N2333" i="14" s="1"/>
  <c r="H2551" i="14"/>
  <c r="I2551" i="14" s="1"/>
  <c r="N2551" i="14" s="1"/>
  <c r="H2331" i="14"/>
  <c r="I2331" i="14" s="1"/>
  <c r="N2331" i="14" s="1"/>
  <c r="H2351" i="14"/>
  <c r="I2351" i="14" s="1"/>
  <c r="N2351" i="14" s="1"/>
  <c r="H2363" i="14"/>
  <c r="I2363" i="14" s="1"/>
  <c r="N2363" i="14" s="1"/>
  <c r="H2509" i="14"/>
  <c r="I2509" i="14" s="1"/>
  <c r="N2509" i="14" s="1"/>
  <c r="H2517" i="14"/>
  <c r="I2517" i="14" s="1"/>
  <c r="N2517" i="14" s="1"/>
  <c r="H2533" i="14"/>
  <c r="I2533" i="14" s="1"/>
  <c r="N2533" i="14" s="1"/>
  <c r="H2541" i="14"/>
  <c r="I2541" i="14" s="1"/>
  <c r="N2541" i="14" s="1"/>
  <c r="H2329" i="14"/>
  <c r="I2329" i="14" s="1"/>
  <c r="N2329" i="14" s="1"/>
  <c r="H2349" i="14"/>
  <c r="I2349" i="14" s="1"/>
  <c r="N2349" i="14" s="1"/>
  <c r="H2499" i="14"/>
  <c r="H2523" i="14"/>
  <c r="I2523" i="14" s="1"/>
  <c r="N2523" i="14" s="1"/>
  <c r="H2531" i="14"/>
  <c r="I2531" i="14" s="1"/>
  <c r="N2531" i="14" s="1"/>
  <c r="H2547" i="14"/>
  <c r="I2547" i="14" s="1"/>
  <c r="N2547" i="14" s="1"/>
  <c r="H2555" i="14"/>
  <c r="I2555" i="14" s="1"/>
  <c r="N2555" i="14" s="1"/>
  <c r="H2327" i="14"/>
  <c r="I2327" i="14" s="1"/>
  <c r="N2327" i="14" s="1"/>
  <c r="H2505" i="14"/>
  <c r="I2505" i="14" s="1"/>
  <c r="N2505" i="14" s="1"/>
  <c r="H2513" i="14"/>
  <c r="I2513" i="14" s="1"/>
  <c r="N2513" i="14" s="1"/>
  <c r="H2537" i="14"/>
  <c r="I2537" i="14" s="1"/>
  <c r="N2537" i="14" s="1"/>
  <c r="H2545" i="14"/>
  <c r="I2545" i="14" s="1"/>
  <c r="N2545" i="14" s="1"/>
  <c r="H2365" i="14"/>
  <c r="I2365" i="14" s="1"/>
  <c r="N2365" i="14" s="1"/>
  <c r="H2495" i="14"/>
  <c r="I2495" i="14" s="1"/>
  <c r="N2495" i="14" s="1"/>
  <c r="H2503" i="14"/>
  <c r="I2503" i="14" s="1"/>
  <c r="N2503" i="14" s="1"/>
  <c r="H2519" i="14"/>
  <c r="I2519" i="14" s="1"/>
  <c r="N2519" i="14" s="1"/>
  <c r="H2527" i="14"/>
  <c r="I2527" i="14" s="1"/>
  <c r="N2527" i="14" s="1"/>
  <c r="H2375" i="14"/>
  <c r="I2375" i="14" s="1"/>
  <c r="N2375" i="14" s="1"/>
  <c r="H2437" i="14"/>
  <c r="I2437" i="14" s="1"/>
  <c r="N2437" i="14" s="1"/>
  <c r="H2458" i="14"/>
  <c r="I2458" i="14" s="1"/>
  <c r="N2458" i="14" s="1"/>
  <c r="I2482" i="14"/>
  <c r="N2482" i="14" s="1"/>
  <c r="B2485" i="14" s="1"/>
  <c r="B2482" i="14"/>
  <c r="K2479" i="14"/>
  <c r="Y2479" i="14" s="1"/>
  <c r="K2486" i="14"/>
  <c r="Y2486" i="14" s="1"/>
  <c r="H2439" i="14"/>
  <c r="I2439" i="14" s="1"/>
  <c r="N2439" i="14" s="1"/>
  <c r="H2401" i="14"/>
  <c r="I2401" i="14" s="1"/>
  <c r="N2401" i="14" s="1"/>
  <c r="H2398" i="14"/>
  <c r="I2398" i="14" s="1"/>
  <c r="N2398" i="14" s="1"/>
  <c r="H2471" i="14"/>
  <c r="I2471" i="14" s="1"/>
  <c r="N2471" i="14" s="1"/>
  <c r="Y2484" i="14"/>
  <c r="P1412" i="14"/>
  <c r="P1519" i="14"/>
  <c r="P1316" i="14"/>
  <c r="P1405" i="14"/>
  <c r="P1461" i="14"/>
  <c r="P1399" i="14"/>
  <c r="P2040" i="14"/>
  <c r="P1939" i="14"/>
  <c r="P2114" i="14"/>
  <c r="P1818" i="14"/>
  <c r="P1440" i="14"/>
  <c r="P1929" i="14"/>
  <c r="P1613" i="14"/>
  <c r="P1780" i="14"/>
  <c r="P1851" i="14"/>
  <c r="P2098" i="14"/>
  <c r="P2043" i="14"/>
  <c r="P1627" i="14"/>
  <c r="P1925" i="14"/>
  <c r="P2022" i="14"/>
  <c r="P1433" i="14"/>
  <c r="P2117" i="14"/>
  <c r="P1775" i="14"/>
  <c r="P1332" i="14"/>
  <c r="P2075" i="14"/>
  <c r="P1641" i="14"/>
  <c r="P1969" i="14"/>
  <c r="P1494" i="14"/>
  <c r="P1697" i="14"/>
  <c r="P1720" i="14"/>
  <c r="P1934" i="14"/>
  <c r="P1657" i="14"/>
  <c r="P1606" i="14"/>
  <c r="P2006" i="14"/>
  <c r="P1985" i="14"/>
  <c r="P1871" i="14"/>
  <c r="P1916" i="14"/>
  <c r="P1651" i="14"/>
  <c r="P2019" i="14"/>
  <c r="P1329" i="14"/>
  <c r="P1662" i="14"/>
  <c r="P1741" i="14"/>
  <c r="P1685" i="14"/>
  <c r="P1600" i="14"/>
  <c r="P1709" i="14"/>
  <c r="P2057" i="14"/>
  <c r="P1646" i="14"/>
  <c r="P1323" i="14"/>
  <c r="P1318" i="14"/>
  <c r="P1890" i="14"/>
  <c r="P1700" i="14"/>
  <c r="P1935" i="14"/>
  <c r="P1623" i="14"/>
  <c r="P1473" i="14"/>
  <c r="P1355" i="14"/>
  <c r="P1488" i="14"/>
  <c r="P2089" i="14"/>
  <c r="P2048" i="14"/>
  <c r="P1658" i="14"/>
  <c r="P1445" i="14"/>
  <c r="P1908" i="14"/>
  <c r="P1917" i="14"/>
  <c r="P1598" i="14"/>
  <c r="P1912" i="14"/>
  <c r="P2096" i="14"/>
  <c r="P2092" i="14"/>
  <c r="P1777" i="14"/>
  <c r="P1856" i="14"/>
  <c r="P2055" i="14"/>
  <c r="P1421" i="14"/>
  <c r="P1387" i="14"/>
  <c r="P2111" i="14"/>
  <c r="P1733" i="14"/>
  <c r="P1648" i="14"/>
  <c r="P1660" i="14"/>
  <c r="P1859" i="14"/>
  <c r="P2037" i="14"/>
  <c r="P2023" i="14"/>
  <c r="P2072" i="14"/>
  <c r="P1602" i="14"/>
  <c r="P1393" i="14"/>
  <c r="P1357" i="14"/>
  <c r="P1999" i="14"/>
  <c r="P1914" i="14"/>
  <c r="P1402" i="14"/>
  <c r="P1389" i="14"/>
  <c r="P1706" i="14"/>
  <c r="P1656" i="14"/>
  <c r="P1831" i="14"/>
  <c r="P2121" i="14"/>
  <c r="P1886" i="14"/>
  <c r="P2062" i="14"/>
  <c r="P1615" i="14"/>
  <c r="P1865" i="14"/>
  <c r="P2065" i="14"/>
  <c r="P2069" i="14"/>
  <c r="P2052" i="14"/>
  <c r="P1410" i="14"/>
  <c r="P1699" i="14"/>
  <c r="P2009" i="14"/>
  <c r="P1663" i="14"/>
  <c r="P1391" i="14"/>
  <c r="P1683" i="14"/>
  <c r="P1883" i="14"/>
  <c r="P1849" i="14"/>
  <c r="P1922" i="14"/>
  <c r="P1869" i="14"/>
  <c r="P1327" i="14"/>
  <c r="P1894" i="14"/>
  <c r="P1334" i="14"/>
  <c r="P1862" i="14"/>
  <c r="P805" i="14"/>
  <c r="P1188" i="14"/>
  <c r="P1274" i="14"/>
  <c r="P1279" i="14"/>
  <c r="U370" i="14"/>
  <c r="W370" i="14" s="1"/>
  <c r="V10" i="14"/>
  <c r="U10" i="14"/>
  <c r="H2256" i="14"/>
  <c r="I2256" i="14" s="1"/>
  <c r="N2256" i="14" s="1"/>
  <c r="B2189" i="14"/>
  <c r="H2185" i="14"/>
  <c r="I2185" i="14" s="1"/>
  <c r="N2185" i="14" s="1"/>
  <c r="H2187" i="14"/>
  <c r="I2187" i="14" s="1"/>
  <c r="N2187" i="14" s="1"/>
  <c r="H2175" i="14"/>
  <c r="I2175" i="14" s="1"/>
  <c r="N2175" i="14" s="1"/>
  <c r="H2146" i="14"/>
  <c r="I2146" i="14" s="1"/>
  <c r="N2146" i="14" s="1"/>
  <c r="H2148" i="14"/>
  <c r="I2148" i="14" s="1"/>
  <c r="N2148" i="14" s="1"/>
  <c r="H2143" i="14"/>
  <c r="H2150" i="14"/>
  <c r="I2150" i="14" s="1"/>
  <c r="N2150" i="14" s="1"/>
  <c r="H2476" i="14"/>
  <c r="I2476" i="14" s="1"/>
  <c r="N2476" i="14" s="1"/>
  <c r="H2468" i="14"/>
  <c r="H2315" i="14"/>
  <c r="H2313" i="14"/>
  <c r="I2313" i="14" s="1"/>
  <c r="N2313" i="14" s="1"/>
  <c r="H2131" i="14"/>
  <c r="I2131" i="14" s="1"/>
  <c r="N2131" i="14" s="1"/>
  <c r="H2129" i="14"/>
  <c r="I2129" i="14" s="1"/>
  <c r="N2129" i="14" s="1"/>
  <c r="H2317" i="14"/>
  <c r="I2317" i="14" s="1"/>
  <c r="N2317" i="14" s="1"/>
  <c r="H2319" i="14"/>
  <c r="I2319" i="14" s="1"/>
  <c r="N2319" i="14" s="1"/>
  <c r="H2361" i="14"/>
  <c r="I2361" i="14" s="1"/>
  <c r="N2361" i="14" s="1"/>
  <c r="I2297" i="14"/>
  <c r="N2297" i="14" s="1"/>
  <c r="H2452" i="14"/>
  <c r="I2452" i="14" s="1"/>
  <c r="N2452" i="14" s="1"/>
  <c r="H2424" i="14"/>
  <c r="I2424" i="14" s="1"/>
  <c r="N2424" i="14" s="1"/>
  <c r="H2347" i="14"/>
  <c r="I2347" i="14" s="1"/>
  <c r="N2347" i="14" s="1"/>
  <c r="H2345" i="14"/>
  <c r="I2345" i="14" s="1"/>
  <c r="N2345" i="14" s="1"/>
  <c r="H2466" i="14"/>
  <c r="I2466" i="14" s="1"/>
  <c r="N2466" i="14" s="1"/>
  <c r="H2454" i="14"/>
  <c r="I2454" i="14" s="1"/>
  <c r="N2454" i="14" s="1"/>
  <c r="H2430" i="14"/>
  <c r="I2430" i="14" s="1"/>
  <c r="N2430" i="14" s="1"/>
  <c r="H2465" i="14"/>
  <c r="I2465" i="14" s="1"/>
  <c r="N2465" i="14" s="1"/>
  <c r="H2249" i="14"/>
  <c r="I2249" i="14" s="1"/>
  <c r="N2249" i="14" s="1"/>
  <c r="H2417" i="14"/>
  <c r="I2417" i="14" s="1"/>
  <c r="N2417" i="14" s="1"/>
  <c r="H2389" i="14"/>
  <c r="I2389" i="14" s="1"/>
  <c r="N2389" i="14" s="1"/>
  <c r="H2445" i="14"/>
  <c r="I2445" i="14" s="1"/>
  <c r="N2445" i="14" s="1"/>
  <c r="H2355" i="14"/>
  <c r="I2355" i="14" s="1"/>
  <c r="N2355" i="14" s="1"/>
  <c r="H2343" i="14"/>
  <c r="I2343" i="14" s="1"/>
  <c r="N2343" i="14" s="1"/>
  <c r="H2359" i="14"/>
  <c r="I2359" i="14" s="1"/>
  <c r="N2359" i="14" s="1"/>
  <c r="H2341" i="14"/>
  <c r="I2341" i="14" s="1"/>
  <c r="N2341" i="14" s="1"/>
  <c r="H2357" i="14"/>
  <c r="I2357" i="14" s="1"/>
  <c r="N2357" i="14" s="1"/>
  <c r="H2214" i="14"/>
  <c r="I2214" i="14" s="1"/>
  <c r="N2214" i="14" s="1"/>
  <c r="H2242" i="14"/>
  <c r="I2242" i="14" s="1"/>
  <c r="N2242" i="14" s="1"/>
  <c r="B2336" i="14"/>
  <c r="B2364" i="14"/>
  <c r="F66" i="21"/>
  <c r="J66" i="21" s="1"/>
  <c r="H2464" i="14" s="1"/>
  <c r="I2464" i="14" s="1"/>
  <c r="N2464" i="14" s="1"/>
  <c r="F58" i="21"/>
  <c r="J58" i="21" s="1"/>
  <c r="F56" i="21"/>
  <c r="J56" i="21" s="1"/>
  <c r="F54" i="21"/>
  <c r="J54" i="21" s="1"/>
  <c r="H2217" i="14" s="1"/>
  <c r="F53" i="21"/>
  <c r="J53" i="21" s="1"/>
  <c r="H2281" i="14" s="1"/>
  <c r="B2546" i="14"/>
  <c r="B2490" i="14"/>
  <c r="B2357" i="14"/>
  <c r="B2315" i="14"/>
  <c r="B2532" i="14"/>
  <c r="B2343" i="14"/>
  <c r="B2504" i="14"/>
  <c r="B2539" i="14"/>
  <c r="B2518" i="14"/>
  <c r="B2553" i="14"/>
  <c r="B2329" i="14"/>
  <c r="B2525" i="14"/>
  <c r="B2497" i="14"/>
  <c r="B2511" i="14"/>
  <c r="B2350" i="14"/>
  <c r="B2322" i="14"/>
  <c r="I2144" i="14"/>
  <c r="N2144" i="14" s="1"/>
  <c r="H2559" i="14"/>
  <c r="H2284" i="14"/>
  <c r="I2284" i="14" s="1"/>
  <c r="N2284" i="14" s="1"/>
  <c r="H2459" i="14"/>
  <c r="H2451" i="14"/>
  <c r="I2451" i="14" s="1"/>
  <c r="N2451" i="14" s="1"/>
  <c r="H2423" i="14"/>
  <c r="I2423" i="14" s="1"/>
  <c r="N2423" i="14" s="1"/>
  <c r="H2374" i="14"/>
  <c r="H2438" i="14"/>
  <c r="H2402" i="14"/>
  <c r="I2199" i="14"/>
  <c r="N2199" i="14" s="1"/>
  <c r="H2263" i="14"/>
  <c r="I2263" i="14" s="1"/>
  <c r="N2263" i="14" s="1"/>
  <c r="H2546" i="14"/>
  <c r="I2546" i="14" s="1"/>
  <c r="N2546" i="14" s="1"/>
  <c r="H2554" i="14"/>
  <c r="I2554" i="14" s="1"/>
  <c r="N2554" i="14" s="1"/>
  <c r="H2316" i="14"/>
  <c r="H2348" i="14"/>
  <c r="H2356" i="14"/>
  <c r="H2364" i="14"/>
  <c r="H2428" i="14"/>
  <c r="I2428" i="14" s="1"/>
  <c r="N2428" i="14" s="1"/>
  <c r="H2385" i="14"/>
  <c r="H2425" i="14"/>
  <c r="H2490" i="14"/>
  <c r="I2490" i="14" s="1"/>
  <c r="N2490" i="14" s="1"/>
  <c r="H2498" i="14"/>
  <c r="I2498" i="14" s="1"/>
  <c r="N2498" i="14" s="1"/>
  <c r="H2530" i="14"/>
  <c r="H2154" i="14"/>
  <c r="I2154" i="14" s="1"/>
  <c r="N2154" i="14" s="1"/>
  <c r="H2540" i="14"/>
  <c r="I2540" i="14" s="1"/>
  <c r="N2540" i="14" s="1"/>
  <c r="H2334" i="14"/>
  <c r="H2342" i="14"/>
  <c r="H2350" i="14"/>
  <c r="H2358" i="14"/>
  <c r="H2390" i="14"/>
  <c r="H2538" i="14"/>
  <c r="H2152" i="14"/>
  <c r="I2152" i="14" s="1"/>
  <c r="N2152" i="14" s="1"/>
  <c r="H2379" i="14"/>
  <c r="H2516" i="14"/>
  <c r="H2524" i="14"/>
  <c r="H2532" i="14"/>
  <c r="I2532" i="14" s="1"/>
  <c r="N2532" i="14" s="1"/>
  <c r="H2140" i="14"/>
  <c r="I2140" i="14" s="1"/>
  <c r="N2140" i="14" s="1"/>
  <c r="H2320" i="14"/>
  <c r="H2328" i="14"/>
  <c r="H2336" i="14"/>
  <c r="H2344" i="14"/>
  <c r="H2373" i="14"/>
  <c r="H2421" i="14"/>
  <c r="I2421" i="14" s="1"/>
  <c r="N2421" i="14" s="1"/>
  <c r="H2448" i="14"/>
  <c r="I2448" i="14" s="1"/>
  <c r="N2448" i="14" s="1"/>
  <c r="H2502" i="14"/>
  <c r="H2510" i="14"/>
  <c r="H2518" i="14"/>
  <c r="I2518" i="14" s="1"/>
  <c r="N2518" i="14" s="1"/>
  <c r="H2526" i="14"/>
  <c r="I2526" i="14" s="1"/>
  <c r="N2526" i="14" s="1"/>
  <c r="H2138" i="14"/>
  <c r="I2138" i="14" s="1"/>
  <c r="N2138" i="14" s="1"/>
  <c r="H2544" i="14"/>
  <c r="H2552" i="14"/>
  <c r="H2314" i="14"/>
  <c r="H2322" i="14"/>
  <c r="H2330" i="14"/>
  <c r="H2362" i="14"/>
  <c r="H2453" i="14"/>
  <c r="H2488" i="14"/>
  <c r="H2415" i="14"/>
  <c r="H2496" i="14"/>
  <c r="H2504" i="14"/>
  <c r="I2504" i="14" s="1"/>
  <c r="N2504" i="14" s="1"/>
  <c r="H2512" i="14"/>
  <c r="I2512" i="14" s="1"/>
  <c r="N2512" i="14" s="1"/>
  <c r="K2293" i="14"/>
  <c r="Y2293" i="14" s="1"/>
  <c r="K2454" i="14"/>
  <c r="Y2454" i="14" s="1"/>
  <c r="H2388" i="14"/>
  <c r="H2444" i="14"/>
  <c r="I2444" i="14" s="1"/>
  <c r="N2444" i="14" s="1"/>
  <c r="H2416" i="14"/>
  <c r="H2188" i="14"/>
  <c r="I2188" i="14" s="1"/>
  <c r="N2188" i="14" s="1"/>
  <c r="H2380" i="14"/>
  <c r="H2420" i="14"/>
  <c r="I2420" i="14" s="1"/>
  <c r="N2420" i="14" s="1"/>
  <c r="H2311" i="14"/>
  <c r="H2433" i="14"/>
  <c r="I2433" i="14" s="1"/>
  <c r="N2433" i="14" s="1"/>
  <c r="H2460" i="14"/>
  <c r="H2463" i="14"/>
  <c r="I2463" i="14" s="1"/>
  <c r="N2463" i="14" s="1"/>
  <c r="H2441" i="14"/>
  <c r="I2441" i="14" s="1"/>
  <c r="N2441" i="14" s="1"/>
  <c r="H2457" i="14"/>
  <c r="I2457" i="14" s="1"/>
  <c r="N2457" i="14" s="1"/>
  <c r="H2387" i="14"/>
  <c r="H2411" i="14"/>
  <c r="H2446" i="14"/>
  <c r="H2376" i="14"/>
  <c r="H2408" i="14"/>
  <c r="H2435" i="14"/>
  <c r="I2435" i="14" s="1"/>
  <c r="N2435" i="14" s="1"/>
  <c r="H2443" i="14"/>
  <c r="I2443" i="14" s="1"/>
  <c r="N2443" i="14" s="1"/>
  <c r="H2397" i="14"/>
  <c r="H2405" i="14"/>
  <c r="H2409" i="14"/>
  <c r="H2381" i="14"/>
  <c r="H2324" i="14"/>
  <c r="H2332" i="14"/>
  <c r="H2340" i="14"/>
  <c r="H2396" i="14"/>
  <c r="H2142" i="14"/>
  <c r="I2142" i="14" s="1"/>
  <c r="N2142" i="14" s="1"/>
  <c r="H2393" i="14"/>
  <c r="H2436" i="14"/>
  <c r="I2436" i="14" s="1"/>
  <c r="N2436" i="14" s="1"/>
  <c r="H2506" i="14"/>
  <c r="I2506" i="14" s="1"/>
  <c r="N2506" i="14" s="1"/>
  <c r="H2514" i="14"/>
  <c r="I2514" i="14" s="1"/>
  <c r="N2514" i="14" s="1"/>
  <c r="H2522" i="14"/>
  <c r="I2522" i="14" s="1"/>
  <c r="N2522" i="14" s="1"/>
  <c r="H2548" i="14"/>
  <c r="I2548" i="14" s="1"/>
  <c r="N2548" i="14" s="1"/>
  <c r="H2556" i="14"/>
  <c r="I2556" i="14" s="1"/>
  <c r="N2556" i="14" s="1"/>
  <c r="H2318" i="14"/>
  <c r="H2326" i="14"/>
  <c r="H2366" i="14"/>
  <c r="H2422" i="14"/>
  <c r="H2158" i="14"/>
  <c r="I2158" i="14" s="1"/>
  <c r="N2158" i="14" s="1"/>
  <c r="H2371" i="14"/>
  <c r="H2492" i="14"/>
  <c r="I2492" i="14" s="1"/>
  <c r="N2492" i="14" s="1"/>
  <c r="H2500" i="14"/>
  <c r="I2500" i="14" s="1"/>
  <c r="N2500" i="14" s="1"/>
  <c r="H2508" i="14"/>
  <c r="I2508" i="14" s="1"/>
  <c r="N2508" i="14" s="1"/>
  <c r="H2542" i="14"/>
  <c r="I2542" i="14" s="1"/>
  <c r="N2542" i="14" s="1"/>
  <c r="H2550" i="14"/>
  <c r="I2550" i="14" s="1"/>
  <c r="N2550" i="14" s="1"/>
  <c r="H2352" i="14"/>
  <c r="H2360" i="14"/>
  <c r="H2368" i="14"/>
  <c r="H2400" i="14"/>
  <c r="H2432" i="14"/>
  <c r="H2156" i="14"/>
  <c r="I2156" i="14" s="1"/>
  <c r="N2156" i="14" s="1"/>
  <c r="H2221" i="14"/>
  <c r="I2221" i="14" s="1"/>
  <c r="N2221" i="14" s="1"/>
  <c r="H2467" i="14"/>
  <c r="H2494" i="14"/>
  <c r="I2494" i="14" s="1"/>
  <c r="N2494" i="14" s="1"/>
  <c r="H2534" i="14"/>
  <c r="I2534" i="14" s="1"/>
  <c r="N2534" i="14" s="1"/>
  <c r="H2338" i="14"/>
  <c r="H2346" i="14"/>
  <c r="H2354" i="14"/>
  <c r="H2394" i="14"/>
  <c r="H2418" i="14"/>
  <c r="H2520" i="14"/>
  <c r="I2520" i="14" s="1"/>
  <c r="N2520" i="14" s="1"/>
  <c r="H2528" i="14"/>
  <c r="I2528" i="14" s="1"/>
  <c r="N2528" i="14" s="1"/>
  <c r="H2536" i="14"/>
  <c r="I2536" i="14" s="1"/>
  <c r="N2536" i="14" s="1"/>
  <c r="K2302" i="14"/>
  <c r="Y2302" i="14" s="1"/>
  <c r="T46" i="14"/>
  <c r="H2132" i="14"/>
  <c r="I2132" i="14" s="1"/>
  <c r="N2132" i="14" s="1"/>
  <c r="H2165" i="14"/>
  <c r="I2165" i="14" s="1"/>
  <c r="N2165" i="14" s="1"/>
  <c r="H2168" i="14"/>
  <c r="I2168" i="14" s="1"/>
  <c r="N2168" i="14" s="1"/>
  <c r="I2276" i="14"/>
  <c r="N2276" i="14" s="1"/>
  <c r="I2115" i="14"/>
  <c r="N2115" i="14" s="1"/>
  <c r="B2154" i="14"/>
  <c r="B2161" i="14"/>
  <c r="B2140" i="14"/>
  <c r="B80" i="21"/>
  <c r="J80" i="21" s="1"/>
  <c r="B81" i="21"/>
  <c r="J81" i="21" s="1"/>
  <c r="B82" i="21"/>
  <c r="J82" i="21" s="1"/>
  <c r="B47" i="21"/>
  <c r="J47" i="21" s="1"/>
  <c r="F4" i="21"/>
  <c r="B46" i="21"/>
  <c r="J46" i="21" s="1"/>
  <c r="B2168" i="14"/>
  <c r="B2175" i="14"/>
  <c r="B2119" i="14"/>
  <c r="B2147" i="14"/>
  <c r="B2182" i="14"/>
  <c r="W369" i="14"/>
  <c r="I2293" i="14"/>
  <c r="N2293" i="14" s="1"/>
  <c r="I2291" i="14"/>
  <c r="N2291" i="14" s="1"/>
  <c r="I2095" i="14"/>
  <c r="H2228" i="14"/>
  <c r="I2228" i="14" s="1"/>
  <c r="N2228" i="14" s="1"/>
  <c r="I2278" i="14"/>
  <c r="N2278" i="14" s="1"/>
  <c r="H2240" i="14"/>
  <c r="I2240" i="14" s="1"/>
  <c r="N2240" i="14" s="1"/>
  <c r="H2237" i="14"/>
  <c r="I2237" i="14" s="1"/>
  <c r="N2237" i="14" s="1"/>
  <c r="I2273" i="14"/>
  <c r="N2273" i="14" s="1"/>
  <c r="H2270" i="14"/>
  <c r="I2270" i="14" s="1"/>
  <c r="N2270" i="14" s="1"/>
  <c r="I2206" i="14"/>
  <c r="N2206" i="14" s="1"/>
  <c r="I2234" i="14"/>
  <c r="N2234" i="14" s="1"/>
  <c r="B73" i="21"/>
  <c r="B72" i="21"/>
  <c r="C74" i="21"/>
  <c r="C75" i="21"/>
  <c r="B71" i="21"/>
  <c r="B215" i="30"/>
  <c r="B233" i="30"/>
  <c r="L343" i="30"/>
  <c r="I2191" i="14"/>
  <c r="N2191" i="14" s="1"/>
  <c r="I2189" i="14"/>
  <c r="N2189" i="14" s="1"/>
  <c r="B269" i="30"/>
  <c r="H2116" i="14"/>
  <c r="H2094" i="14"/>
  <c r="H2235" i="14"/>
  <c r="H2257" i="14"/>
  <c r="H2179" i="14"/>
  <c r="H2233" i="14"/>
  <c r="H2151" i="14"/>
  <c r="H2186" i="14"/>
  <c r="H2163" i="14"/>
  <c r="H2200" i="14"/>
  <c r="H2137" i="14"/>
  <c r="H2271" i="14"/>
  <c r="H2172" i="14"/>
  <c r="H2157" i="14"/>
  <c r="H2247" i="14"/>
  <c r="H2215" i="14"/>
  <c r="H2309" i="14"/>
  <c r="H2125" i="14"/>
  <c r="H2226" i="14"/>
  <c r="H2219" i="14"/>
  <c r="H2204" i="14"/>
  <c r="H2282" i="14"/>
  <c r="H2205" i="14"/>
  <c r="H2285" i="14"/>
  <c r="K2311" i="14"/>
  <c r="Y2311" i="14" s="1"/>
  <c r="K2132" i="14"/>
  <c r="F2" i="21"/>
  <c r="F64" i="21"/>
  <c r="J64" i="21" s="1"/>
  <c r="F52" i="21"/>
  <c r="J52" i="21" s="1"/>
  <c r="H2274" i="14" s="1"/>
  <c r="F55" i="21"/>
  <c r="J55" i="21" s="1"/>
  <c r="H2383" i="14" s="1"/>
  <c r="F68" i="21"/>
  <c r="J68" i="21" s="1"/>
  <c r="B15" i="21"/>
  <c r="J15" i="21" s="1"/>
  <c r="F75" i="21"/>
  <c r="J75" i="21" s="1"/>
  <c r="F59" i="21"/>
  <c r="J59" i="21" s="1"/>
  <c r="H2286" i="14" s="1"/>
  <c r="I2286" i="14" s="1"/>
  <c r="N2286" i="14" s="1"/>
  <c r="G49" i="21"/>
  <c r="K49" i="21" s="1"/>
  <c r="F71" i="21"/>
  <c r="F62" i="21"/>
  <c r="J62" i="21" s="1"/>
  <c r="G50" i="21"/>
  <c r="K50" i="21" s="1"/>
  <c r="F74" i="21"/>
  <c r="J74" i="21" s="1"/>
  <c r="F72" i="21"/>
  <c r="F84" i="21"/>
  <c r="J84" i="21" s="1"/>
  <c r="H2220" i="14" s="1"/>
  <c r="F57" i="21"/>
  <c r="J57" i="21" s="1"/>
  <c r="H2254" i="14" s="1"/>
  <c r="F67" i="21"/>
  <c r="J67" i="21" s="1"/>
  <c r="G51" i="21"/>
  <c r="K51" i="21" s="1"/>
  <c r="F70" i="21"/>
  <c r="J70" i="21" s="1"/>
  <c r="H2478" i="14" s="1"/>
  <c r="I2478" i="14" s="1"/>
  <c r="N2478" i="14" s="1"/>
  <c r="F60" i="21"/>
  <c r="J60" i="21" s="1"/>
  <c r="F73" i="21"/>
  <c r="G11" i="21"/>
  <c r="K11" i="21" s="1"/>
  <c r="F65" i="21"/>
  <c r="J65" i="21" s="1"/>
  <c r="F63" i="21"/>
  <c r="J63" i="21" s="1"/>
  <c r="L345" i="30"/>
  <c r="B287" i="30"/>
  <c r="H2213" i="14"/>
  <c r="H2277" i="14"/>
  <c r="F28" i="33"/>
  <c r="BB26" i="33"/>
  <c r="BB28" i="33" s="1"/>
  <c r="G44" i="21"/>
  <c r="F44" i="21" s="1"/>
  <c r="B44" i="21" s="1"/>
  <c r="C13" i="21"/>
  <c r="G41" i="21"/>
  <c r="F41" i="21" s="1"/>
  <c r="B41" i="21" s="1"/>
  <c r="C14" i="21"/>
  <c r="K14" i="21" s="1"/>
  <c r="C12" i="21"/>
  <c r="K12" i="21" s="1"/>
  <c r="K751" i="14" s="1"/>
  <c r="B749" i="14" s="1"/>
  <c r="D19" i="33" s="1"/>
  <c r="G42" i="21"/>
  <c r="F42" i="21" s="1"/>
  <c r="B42" i="21" s="1"/>
  <c r="G43" i="21"/>
  <c r="F43" i="21" s="1"/>
  <c r="B43" i="21" s="1"/>
  <c r="H2212" i="14"/>
  <c r="H2145" i="14"/>
  <c r="H2141" i="14"/>
  <c r="H2267" i="14"/>
  <c r="H2170" i="14"/>
  <c r="H2169" i="14"/>
  <c r="H2149" i="14"/>
  <c r="H2177" i="14"/>
  <c r="H2181" i="14"/>
  <c r="H2155" i="14"/>
  <c r="H2166" i="14"/>
  <c r="H2173" i="14"/>
  <c r="H2153" i="14"/>
  <c r="H2183" i="14"/>
  <c r="H2147" i="14"/>
  <c r="H2161" i="14"/>
  <c r="H2167" i="14"/>
  <c r="H2176" i="14"/>
  <c r="H2184" i="14"/>
  <c r="H2180" i="14"/>
  <c r="H2198" i="14"/>
  <c r="H2260" i="14"/>
  <c r="H2159" i="14"/>
  <c r="H2102" i="14"/>
  <c r="T380" i="14"/>
  <c r="I2438" i="14" l="1"/>
  <c r="N2438" i="14" s="1"/>
  <c r="I2315" i="14"/>
  <c r="N2315" i="14" s="1"/>
  <c r="I2529" i="14"/>
  <c r="N2529" i="14" s="1"/>
  <c r="I2468" i="14"/>
  <c r="N2468" i="14" s="1"/>
  <c r="I2499" i="14"/>
  <c r="N2499" i="14" s="1"/>
  <c r="H2399" i="14"/>
  <c r="I2399" i="14" s="1"/>
  <c r="N2399" i="14" s="1"/>
  <c r="H2442" i="14"/>
  <c r="I2442" i="14" s="1"/>
  <c r="N2442" i="14" s="1"/>
  <c r="H2455" i="14"/>
  <c r="I2455" i="14" s="1"/>
  <c r="N2455" i="14" s="1"/>
  <c r="H2406" i="14"/>
  <c r="I2406" i="14" s="1"/>
  <c r="N2406" i="14" s="1"/>
  <c r="B2483" i="14"/>
  <c r="I2238" i="14"/>
  <c r="N2238" i="14" s="1"/>
  <c r="H2434" i="14"/>
  <c r="I2434" i="14" s="1"/>
  <c r="N2434" i="14" s="1"/>
  <c r="H2414" i="14"/>
  <c r="I2414" i="14" s="1"/>
  <c r="N2414" i="14" s="1"/>
  <c r="H2469" i="14"/>
  <c r="I2469" i="14" s="1"/>
  <c r="N2469" i="14" s="1"/>
  <c r="H2427" i="14"/>
  <c r="I2427" i="14" s="1"/>
  <c r="N2427" i="14" s="1"/>
  <c r="V371" i="14"/>
  <c r="U371" i="14"/>
  <c r="V372" i="14" s="1"/>
  <c r="H2222" i="14"/>
  <c r="I2222" i="14" s="1"/>
  <c r="N2222" i="14" s="1"/>
  <c r="B2133" i="14"/>
  <c r="Y2132" i="14"/>
  <c r="U11" i="14"/>
  <c r="V11" i="14"/>
  <c r="I2210" i="14"/>
  <c r="N2210" i="14" s="1"/>
  <c r="H2253" i="14"/>
  <c r="I2253" i="14" s="1"/>
  <c r="N2253" i="14" s="1"/>
  <c r="I2280" i="14"/>
  <c r="N2280" i="14" s="1"/>
  <c r="H2392" i="14"/>
  <c r="I2392" i="14" s="1"/>
  <c r="N2392" i="14" s="1"/>
  <c r="I2422" i="14"/>
  <c r="N2422" i="14" s="1"/>
  <c r="H2195" i="14"/>
  <c r="I2195" i="14" s="1"/>
  <c r="N2195" i="14" s="1"/>
  <c r="H2470" i="14"/>
  <c r="I2470" i="14" s="1"/>
  <c r="N2470" i="14" s="1"/>
  <c r="H2229" i="14"/>
  <c r="I2229" i="14" s="1"/>
  <c r="N2229" i="14" s="1"/>
  <c r="H2474" i="14"/>
  <c r="I2459" i="14"/>
  <c r="N2459" i="14" s="1"/>
  <c r="B302" i="30"/>
  <c r="B303" i="30"/>
  <c r="H2426" i="14"/>
  <c r="I2426" i="14" s="1"/>
  <c r="N2426" i="14" s="1"/>
  <c r="H2449" i="14"/>
  <c r="H2447" i="14"/>
  <c r="I2447" i="14" s="1"/>
  <c r="N2447" i="14" s="1"/>
  <c r="H2369" i="14"/>
  <c r="I2369" i="14" s="1"/>
  <c r="N2369" i="14" s="1"/>
  <c r="H2450" i="14"/>
  <c r="I2450" i="14" s="1"/>
  <c r="N2450" i="14" s="1"/>
  <c r="H2461" i="14"/>
  <c r="I2461" i="14" s="1"/>
  <c r="N2461" i="14" s="1"/>
  <c r="H2244" i="14"/>
  <c r="I2244" i="14" s="1"/>
  <c r="N2244" i="14" s="1"/>
  <c r="I2269" i="14"/>
  <c r="N2269" i="14" s="1"/>
  <c r="H2289" i="14"/>
  <c r="I2289" i="14" s="1"/>
  <c r="N2289" i="14" s="1"/>
  <c r="H2275" i="14"/>
  <c r="I2275" i="14" s="1"/>
  <c r="N2275" i="14" s="1"/>
  <c r="H2194" i="14"/>
  <c r="K66" i="21"/>
  <c r="K65" i="21"/>
  <c r="K54" i="21"/>
  <c r="K58" i="21"/>
  <c r="K56" i="21"/>
  <c r="H2391" i="14"/>
  <c r="I2391" i="14" s="1"/>
  <c r="N2391" i="14" s="1"/>
  <c r="H2384" i="14"/>
  <c r="I2384" i="14" s="1"/>
  <c r="N2384" i="14" s="1"/>
  <c r="H2372" i="14"/>
  <c r="I2372" i="14" s="1"/>
  <c r="N2372" i="14" s="1"/>
  <c r="H2197" i="14"/>
  <c r="I2197" i="14" s="1"/>
  <c r="N2197" i="14" s="1"/>
  <c r="I2559" i="14"/>
  <c r="N2559" i="14" s="1"/>
  <c r="B2562" i="14" s="1"/>
  <c r="B2559" i="14"/>
  <c r="H2261" i="14"/>
  <c r="I2261" i="14" s="1"/>
  <c r="N2261" i="14" s="1"/>
  <c r="H2429" i="14"/>
  <c r="I2429" i="14" s="1"/>
  <c r="N2429" i="14" s="1"/>
  <c r="I2346" i="14"/>
  <c r="N2346" i="14" s="1"/>
  <c r="I2400" i="14"/>
  <c r="N2400" i="14" s="1"/>
  <c r="I2340" i="14"/>
  <c r="N2340" i="14" s="1"/>
  <c r="I2416" i="14"/>
  <c r="N2416" i="14" s="1"/>
  <c r="I2496" i="14"/>
  <c r="N2496" i="14" s="1"/>
  <c r="B2496" i="14"/>
  <c r="I2330" i="14"/>
  <c r="N2330" i="14" s="1"/>
  <c r="I2510" i="14"/>
  <c r="N2510" i="14" s="1"/>
  <c r="B2513" i="14" s="1"/>
  <c r="B2510" i="14"/>
  <c r="I2328" i="14"/>
  <c r="N2328" i="14" s="1"/>
  <c r="B2328" i="14"/>
  <c r="I2538" i="14"/>
  <c r="N2538" i="14" s="1"/>
  <c r="B2541" i="14" s="1"/>
  <c r="B2538" i="14"/>
  <c r="H2246" i="14"/>
  <c r="I2246" i="14" s="1"/>
  <c r="N2246" i="14" s="1"/>
  <c r="H2407" i="14"/>
  <c r="H2272" i="14"/>
  <c r="H2440" i="14"/>
  <c r="H2456" i="14"/>
  <c r="I2456" i="14" s="1"/>
  <c r="N2456" i="14" s="1"/>
  <c r="I2338" i="14"/>
  <c r="N2338" i="14" s="1"/>
  <c r="I2368" i="14"/>
  <c r="N2368" i="14" s="1"/>
  <c r="I2371" i="14"/>
  <c r="N2371" i="14" s="1"/>
  <c r="I2332" i="14"/>
  <c r="N2332" i="14" s="1"/>
  <c r="I2405" i="14"/>
  <c r="N2405" i="14" s="1"/>
  <c r="I2411" i="14"/>
  <c r="N2411" i="14" s="1"/>
  <c r="I2322" i="14"/>
  <c r="N2322" i="14" s="1"/>
  <c r="I2502" i="14"/>
  <c r="N2502" i="14" s="1"/>
  <c r="B2506" i="14" s="1"/>
  <c r="B2503" i="14"/>
  <c r="I2320" i="14"/>
  <c r="N2320" i="14" s="1"/>
  <c r="B2321" i="14"/>
  <c r="I2530" i="14"/>
  <c r="N2530" i="14" s="1"/>
  <c r="B2534" i="14" s="1"/>
  <c r="B2531" i="14"/>
  <c r="I2364" i="14"/>
  <c r="N2364" i="14" s="1"/>
  <c r="I2402" i="14"/>
  <c r="N2402" i="14" s="1"/>
  <c r="I2360" i="14"/>
  <c r="N2360" i="14" s="1"/>
  <c r="I2324" i="14"/>
  <c r="N2324" i="14" s="1"/>
  <c r="I2397" i="14"/>
  <c r="N2397" i="14" s="1"/>
  <c r="I2387" i="14"/>
  <c r="N2387" i="14" s="1"/>
  <c r="I2311" i="14"/>
  <c r="N2311" i="14" s="1"/>
  <c r="I2388" i="14"/>
  <c r="N2388" i="14" s="1"/>
  <c r="I2415" i="14"/>
  <c r="N2415" i="14" s="1"/>
  <c r="I2314" i="14"/>
  <c r="N2314" i="14" s="1"/>
  <c r="B2314" i="14"/>
  <c r="I2390" i="14"/>
  <c r="N2390" i="14" s="1"/>
  <c r="I2356" i="14"/>
  <c r="N2356" i="14" s="1"/>
  <c r="B2356" i="14"/>
  <c r="B2300" i="14"/>
  <c r="H2462" i="14"/>
  <c r="I2462" i="14" s="1"/>
  <c r="N2462" i="14" s="1"/>
  <c r="I2352" i="14"/>
  <c r="N2352" i="14" s="1"/>
  <c r="I2381" i="14"/>
  <c r="N2381" i="14" s="1"/>
  <c r="I2488" i="14"/>
  <c r="N2488" i="14" s="1"/>
  <c r="B2492" i="14" s="1"/>
  <c r="B2489" i="14"/>
  <c r="I2552" i="14"/>
  <c r="N2552" i="14" s="1"/>
  <c r="B2555" i="14" s="1"/>
  <c r="B2552" i="14"/>
  <c r="I2358" i="14"/>
  <c r="N2358" i="14" s="1"/>
  <c r="I2348" i="14"/>
  <c r="N2348" i="14" s="1"/>
  <c r="B2349" i="14"/>
  <c r="I2374" i="14"/>
  <c r="N2374" i="14" s="1"/>
  <c r="I2467" i="14"/>
  <c r="N2467" i="14" s="1"/>
  <c r="I2366" i="14"/>
  <c r="N2366" i="14" s="1"/>
  <c r="I2409" i="14"/>
  <c r="N2409" i="14" s="1"/>
  <c r="I2380" i="14"/>
  <c r="N2380" i="14" s="1"/>
  <c r="B2545" i="14"/>
  <c r="I2544" i="14"/>
  <c r="N2544" i="14" s="1"/>
  <c r="B2548" i="14" s="1"/>
  <c r="I2373" i="14"/>
  <c r="N2373" i="14" s="1"/>
  <c r="I2524" i="14"/>
  <c r="N2524" i="14" s="1"/>
  <c r="B2524" i="14"/>
  <c r="I2350" i="14"/>
  <c r="N2350" i="14" s="1"/>
  <c r="I2425" i="14"/>
  <c r="N2425" i="14" s="1"/>
  <c r="I2316" i="14"/>
  <c r="N2316" i="14" s="1"/>
  <c r="K2430" i="14"/>
  <c r="Y2430" i="14" s="1"/>
  <c r="K2255" i="14"/>
  <c r="Y2255" i="14" s="1"/>
  <c r="I2201" i="14"/>
  <c r="N2201" i="14" s="1"/>
  <c r="H2377" i="14"/>
  <c r="H2370" i="14"/>
  <c r="I2383" i="14"/>
  <c r="N2383" i="14" s="1"/>
  <c r="I2418" i="14"/>
  <c r="N2418" i="14" s="1"/>
  <c r="I2326" i="14"/>
  <c r="N2326" i="14" s="1"/>
  <c r="I2393" i="14"/>
  <c r="N2393" i="14" s="1"/>
  <c r="I2408" i="14"/>
  <c r="N2408" i="14" s="1"/>
  <c r="I2516" i="14"/>
  <c r="N2516" i="14" s="1"/>
  <c r="B2520" i="14" s="1"/>
  <c r="B2517" i="14"/>
  <c r="I2342" i="14"/>
  <c r="N2342" i="14" s="1"/>
  <c r="B2342" i="14"/>
  <c r="I2385" i="14"/>
  <c r="N2385" i="14" s="1"/>
  <c r="K2297" i="14"/>
  <c r="Y2297" i="14" s="1"/>
  <c r="K2465" i="14"/>
  <c r="Y2465" i="14" s="1"/>
  <c r="K2290" i="14"/>
  <c r="Y2290" i="14" s="1"/>
  <c r="H2202" i="14"/>
  <c r="H2243" i="14"/>
  <c r="I2243" i="14" s="1"/>
  <c r="N2243" i="14" s="1"/>
  <c r="H2404" i="14"/>
  <c r="I2394" i="14"/>
  <c r="N2394" i="14" s="1"/>
  <c r="I2318" i="14"/>
  <c r="N2318" i="14" s="1"/>
  <c r="I2376" i="14"/>
  <c r="N2376" i="14" s="1"/>
  <c r="I2453" i="14"/>
  <c r="N2453" i="14" s="1"/>
  <c r="I2344" i="14"/>
  <c r="N2344" i="14" s="1"/>
  <c r="I2379" i="14"/>
  <c r="N2379" i="14" s="1"/>
  <c r="I2334" i="14"/>
  <c r="N2334" i="14" s="1"/>
  <c r="B2335" i="14"/>
  <c r="H2083" i="14"/>
  <c r="C650" i="44" s="1"/>
  <c r="H2419" i="14"/>
  <c r="I2419" i="14" s="1"/>
  <c r="N2419" i="14" s="1"/>
  <c r="I2245" i="14"/>
  <c r="N2245" i="14" s="1"/>
  <c r="H2413" i="14"/>
  <c r="H2232" i="14"/>
  <c r="I2232" i="14" s="1"/>
  <c r="N2232" i="14" s="1"/>
  <c r="I2354" i="14"/>
  <c r="N2354" i="14" s="1"/>
  <c r="I2432" i="14"/>
  <c r="N2432" i="14" s="1"/>
  <c r="I2396" i="14"/>
  <c r="N2396" i="14" s="1"/>
  <c r="I2446" i="14"/>
  <c r="N2446" i="14" s="1"/>
  <c r="I2460" i="14"/>
  <c r="N2460" i="14" s="1"/>
  <c r="I2362" i="14"/>
  <c r="N2362" i="14" s="1"/>
  <c r="B2363" i="14"/>
  <c r="I2336" i="14"/>
  <c r="N2336" i="14" s="1"/>
  <c r="T47" i="14"/>
  <c r="H2251" i="14"/>
  <c r="I2251" i="14" s="1"/>
  <c r="N2251" i="14" s="1"/>
  <c r="H2209" i="14"/>
  <c r="I2209" i="14" s="1"/>
  <c r="N2209" i="14" s="1"/>
  <c r="J73" i="21"/>
  <c r="J72" i="21"/>
  <c r="I2294" i="14"/>
  <c r="N2294" i="14" s="1"/>
  <c r="K2269" i="14"/>
  <c r="Y2269" i="14" s="1"/>
  <c r="K2262" i="14"/>
  <c r="Y2262" i="14" s="1"/>
  <c r="I2236" i="14"/>
  <c r="N2236" i="14" s="1"/>
  <c r="H2230" i="14"/>
  <c r="H2223" i="14"/>
  <c r="I2223" i="14" s="1"/>
  <c r="N2223" i="14" s="1"/>
  <c r="H2239" i="14"/>
  <c r="I2239" i="14" s="1"/>
  <c r="N2239" i="14" s="1"/>
  <c r="J71" i="21"/>
  <c r="H2412" i="14" s="1"/>
  <c r="I2412" i="14" s="1"/>
  <c r="N2412" i="14" s="1"/>
  <c r="H2105" i="14"/>
  <c r="M346" i="30"/>
  <c r="H2090" i="14"/>
  <c r="I2091" i="14"/>
  <c r="N2091" i="14" s="1"/>
  <c r="I2124" i="14"/>
  <c r="N2124" i="14" s="1"/>
  <c r="I2262" i="14"/>
  <c r="N2262" i="14" s="1"/>
  <c r="J44" i="21"/>
  <c r="C44" i="21"/>
  <c r="K44" i="21" s="1"/>
  <c r="H2265" i="14"/>
  <c r="I2282" i="14"/>
  <c r="N2282" i="14" s="1"/>
  <c r="I2296" i="14"/>
  <c r="N2296" i="14" s="1"/>
  <c r="I2302" i="14"/>
  <c r="N2302" i="14" s="1"/>
  <c r="I2200" i="14"/>
  <c r="N2200" i="14" s="1"/>
  <c r="B2188" i="14"/>
  <c r="I2193" i="14"/>
  <c r="N2193" i="14" s="1"/>
  <c r="I2260" i="14"/>
  <c r="N2260" i="14" s="1"/>
  <c r="I2264" i="14"/>
  <c r="N2264" i="14" s="1"/>
  <c r="I2161" i="14"/>
  <c r="N2161" i="14" s="1"/>
  <c r="I2166" i="14"/>
  <c r="N2166" i="14" s="1"/>
  <c r="B2167" i="14"/>
  <c r="I2106" i="14"/>
  <c r="N2106" i="14" s="1"/>
  <c r="I2141" i="14"/>
  <c r="N2141" i="14" s="1"/>
  <c r="I2290" i="14"/>
  <c r="N2290" i="14" s="1"/>
  <c r="H2268" i="14"/>
  <c r="I2092" i="14"/>
  <c r="N2092" i="14" s="1"/>
  <c r="I2125" i="14"/>
  <c r="N2125" i="14" s="1"/>
  <c r="I2111" i="14"/>
  <c r="N2111" i="14" s="1"/>
  <c r="I2120" i="14"/>
  <c r="N2120" i="14" s="1"/>
  <c r="I2233" i="14"/>
  <c r="N2233" i="14" s="1"/>
  <c r="I2292" i="14"/>
  <c r="N2292" i="14" s="1"/>
  <c r="I2145" i="14"/>
  <c r="N2145" i="14" s="1"/>
  <c r="B2146" i="14"/>
  <c r="I2219" i="14"/>
  <c r="N2219" i="14" s="1"/>
  <c r="I2179" i="14"/>
  <c r="N2179" i="14" s="1"/>
  <c r="I2113" i="14"/>
  <c r="N2113" i="14" s="1"/>
  <c r="I2149" i="14"/>
  <c r="N2149" i="14" s="1"/>
  <c r="K67" i="21"/>
  <c r="K77" i="21"/>
  <c r="K2475" i="14" s="1"/>
  <c r="Y2475" i="14" s="1"/>
  <c r="K71" i="21"/>
  <c r="K2412" i="14" s="1"/>
  <c r="Y2412" i="14" s="1"/>
  <c r="K62" i="21"/>
  <c r="K72" i="21"/>
  <c r="K73" i="21"/>
  <c r="K64" i="21"/>
  <c r="K52" i="21"/>
  <c r="K2414" i="14" s="1"/>
  <c r="Y2414" i="14" s="1"/>
  <c r="K68" i="21"/>
  <c r="K78" i="21"/>
  <c r="K63" i="21"/>
  <c r="K53" i="21"/>
  <c r="K57" i="21"/>
  <c r="K2469" i="14" s="1"/>
  <c r="Y2469" i="14" s="1"/>
  <c r="K60" i="21"/>
  <c r="K2461" i="14" s="1"/>
  <c r="Y2461" i="14" s="1"/>
  <c r="K59" i="21"/>
  <c r="K70" i="21"/>
  <c r="K55" i="21"/>
  <c r="K2383" i="14" s="1"/>
  <c r="Y2383" i="14" s="1"/>
  <c r="K75" i="21"/>
  <c r="K74" i="21"/>
  <c r="I2121" i="14"/>
  <c r="N2121" i="14" s="1"/>
  <c r="I2274" i="14"/>
  <c r="N2274" i="14" s="1"/>
  <c r="I2114" i="14"/>
  <c r="N2114" i="14" s="1"/>
  <c r="I2309" i="14"/>
  <c r="N2309" i="14" s="1"/>
  <c r="B2307" i="14"/>
  <c r="I2247" i="14"/>
  <c r="N2247" i="14" s="1"/>
  <c r="I2172" i="14"/>
  <c r="N2172" i="14" s="1"/>
  <c r="I2257" i="14"/>
  <c r="N2257" i="14" s="1"/>
  <c r="I2303" i="14"/>
  <c r="N2303" i="14" s="1"/>
  <c r="I2117" i="14"/>
  <c r="N2117" i="14" s="1"/>
  <c r="B2118" i="14"/>
  <c r="I2180" i="14"/>
  <c r="N2180" i="14" s="1"/>
  <c r="B2181" i="14"/>
  <c r="I2104" i="14"/>
  <c r="N2104" i="14" s="1"/>
  <c r="I2183" i="14"/>
  <c r="N2183" i="14" s="1"/>
  <c r="BB19" i="33"/>
  <c r="BB21" i="33" s="1"/>
  <c r="D21" i="33"/>
  <c r="I2213" i="14"/>
  <c r="N2213" i="14" s="1"/>
  <c r="I2285" i="14"/>
  <c r="N2285" i="14" s="1"/>
  <c r="I2089" i="14"/>
  <c r="N2089" i="14" s="1"/>
  <c r="I2215" i="14"/>
  <c r="N2215" i="14" s="1"/>
  <c r="I2259" i="14"/>
  <c r="N2259" i="14" s="1"/>
  <c r="I2186" i="14"/>
  <c r="N2186" i="14" s="1"/>
  <c r="I2143" i="14"/>
  <c r="N2143" i="14" s="1"/>
  <c r="I2255" i="14"/>
  <c r="N2255" i="14" s="1"/>
  <c r="I2198" i="14"/>
  <c r="N2198" i="14" s="1"/>
  <c r="H2279" i="14"/>
  <c r="I2157" i="14"/>
  <c r="N2157" i="14" s="1"/>
  <c r="I2169" i="14"/>
  <c r="N2169" i="14" s="1"/>
  <c r="C42" i="21"/>
  <c r="K42" i="21" s="1"/>
  <c r="J42" i="21"/>
  <c r="I2220" i="14"/>
  <c r="N2220" i="14" s="1"/>
  <c r="I2287" i="14"/>
  <c r="N2287" i="14" s="1"/>
  <c r="I2241" i="14"/>
  <c r="N2241" i="14" s="1"/>
  <c r="H2216" i="14"/>
  <c r="I2205" i="14"/>
  <c r="N2205" i="14" s="1"/>
  <c r="I2266" i="14"/>
  <c r="N2266" i="14" s="1"/>
  <c r="I2271" i="14"/>
  <c r="N2271" i="14" s="1"/>
  <c r="I2151" i="14"/>
  <c r="N2151" i="14" s="1"/>
  <c r="I2235" i="14"/>
  <c r="N2235" i="14" s="1"/>
  <c r="I2227" i="14"/>
  <c r="N2227" i="14" s="1"/>
  <c r="I2159" i="14"/>
  <c r="N2159" i="14" s="1"/>
  <c r="B2160" i="14"/>
  <c r="I2177" i="14"/>
  <c r="N2177" i="14" s="1"/>
  <c r="I2147" i="14"/>
  <c r="N2147" i="14" s="1"/>
  <c r="C43" i="21"/>
  <c r="K43" i="21" s="1"/>
  <c r="J43" i="21"/>
  <c r="I2096" i="14"/>
  <c r="N2096" i="14" s="1"/>
  <c r="B2097" i="14"/>
  <c r="I2277" i="14"/>
  <c r="N2277" i="14" s="1"/>
  <c r="I2231" i="14"/>
  <c r="N2231" i="14" s="1"/>
  <c r="I2196" i="14"/>
  <c r="N2196" i="14" s="1"/>
  <c r="I2153" i="14"/>
  <c r="N2153" i="14" s="1"/>
  <c r="B2153" i="14"/>
  <c r="I2248" i="14"/>
  <c r="N2248" i="14" s="1"/>
  <c r="I2176" i="14"/>
  <c r="N2176" i="14" s="1"/>
  <c r="I2181" i="14"/>
  <c r="N2181" i="14" s="1"/>
  <c r="I2100" i="14"/>
  <c r="N2100" i="14" s="1"/>
  <c r="I2207" i="14"/>
  <c r="N2207" i="14" s="1"/>
  <c r="I2116" i="14"/>
  <c r="N2116" i="14" s="1"/>
  <c r="I2224" i="14"/>
  <c r="N2224" i="14" s="1"/>
  <c r="I2163" i="14"/>
  <c r="N2163" i="14" s="1"/>
  <c r="I2184" i="14"/>
  <c r="N2184" i="14" s="1"/>
  <c r="I2254" i="14"/>
  <c r="N2254" i="14" s="1"/>
  <c r="I2155" i="14"/>
  <c r="N2155" i="14" s="1"/>
  <c r="I2212" i="14"/>
  <c r="N2212" i="14" s="1"/>
  <c r="B2139" i="14"/>
  <c r="I2139" i="14"/>
  <c r="N2139" i="14" s="1"/>
  <c r="I2110" i="14"/>
  <c r="N2110" i="14" s="1"/>
  <c r="I2170" i="14"/>
  <c r="N2170" i="14" s="1"/>
  <c r="C41" i="21"/>
  <c r="K41" i="21" s="1"/>
  <c r="J41" i="21"/>
  <c r="K2304" i="14"/>
  <c r="Y2304" i="14" s="1"/>
  <c r="H2258" i="14"/>
  <c r="I2204" i="14"/>
  <c r="N2204" i="14" s="1"/>
  <c r="I2098" i="14"/>
  <c r="N2098" i="14" s="1"/>
  <c r="I2217" i="14"/>
  <c r="N2217" i="14" s="1"/>
  <c r="I2102" i="14"/>
  <c r="N2102" i="14" s="1"/>
  <c r="I2300" i="14"/>
  <c r="N2300" i="14" s="1"/>
  <c r="I2167" i="14"/>
  <c r="N2167" i="14" s="1"/>
  <c r="I2173" i="14"/>
  <c r="N2173" i="14" s="1"/>
  <c r="B2174" i="14"/>
  <c r="I2174" i="14"/>
  <c r="N2174" i="14" s="1"/>
  <c r="I2267" i="14"/>
  <c r="N2267" i="14" s="1"/>
  <c r="I2123" i="14"/>
  <c r="N2123" i="14" s="1"/>
  <c r="K13" i="21"/>
  <c r="J13" i="21"/>
  <c r="I2226" i="14"/>
  <c r="N2226" i="14" s="1"/>
  <c r="I2250" i="14"/>
  <c r="N2250" i="14" s="1"/>
  <c r="I2299" i="14"/>
  <c r="N2299" i="14" s="1"/>
  <c r="B2132" i="14"/>
  <c r="I2137" i="14"/>
  <c r="N2137" i="14" s="1"/>
  <c r="I2080" i="14"/>
  <c r="N2080" i="14" s="1"/>
  <c r="B2076" i="14"/>
  <c r="B647" i="44"/>
  <c r="B646" i="44"/>
  <c r="I2094" i="14"/>
  <c r="N2094" i="14" s="1"/>
  <c r="I2283" i="14"/>
  <c r="N2283" i="14" s="1"/>
  <c r="T381" i="14"/>
  <c r="B2398" i="14" l="1"/>
  <c r="E13" i="46"/>
  <c r="B2499" i="14"/>
  <c r="B2527" i="14"/>
  <c r="W371" i="14"/>
  <c r="U372" i="14"/>
  <c r="U373" i="14" s="1"/>
  <c r="B2436" i="14"/>
  <c r="B2433" i="14"/>
  <c r="K2470" i="14"/>
  <c r="Y2470" i="14" s="1"/>
  <c r="K2478" i="14"/>
  <c r="Y2478" i="14" s="1"/>
  <c r="K2406" i="14"/>
  <c r="Y2406" i="14" s="1"/>
  <c r="K2399" i="14"/>
  <c r="K2253" i="14"/>
  <c r="Y2253" i="14" s="1"/>
  <c r="K2434" i="14"/>
  <c r="K2427" i="14"/>
  <c r="Y2427" i="14" s="1"/>
  <c r="K2455" i="14"/>
  <c r="Y2455" i="14" s="1"/>
  <c r="K2442" i="14"/>
  <c r="Y2442" i="14" s="1"/>
  <c r="I13" i="46"/>
  <c r="B2279" i="14"/>
  <c r="U12" i="14"/>
  <c r="V12" i="14"/>
  <c r="Y2210" i="14"/>
  <c r="K2222" i="14"/>
  <c r="Y2222" i="14" s="1"/>
  <c r="K2372" i="14"/>
  <c r="Y2372" i="14" s="1"/>
  <c r="K2281" i="14"/>
  <c r="Y2281" i="14" s="1"/>
  <c r="K2224" i="14"/>
  <c r="Y2224" i="14" s="1"/>
  <c r="K2260" i="14"/>
  <c r="Y2260" i="14" s="1"/>
  <c r="K2231" i="14"/>
  <c r="Y2231" i="14" s="1"/>
  <c r="B4" i="38"/>
  <c r="B5" i="38"/>
  <c r="B6" i="38"/>
  <c r="B7" i="38"/>
  <c r="B8" i="38"/>
  <c r="B3" i="38"/>
  <c r="B9" i="38"/>
  <c r="B2" i="38"/>
  <c r="B10" i="38"/>
  <c r="C1431" i="37"/>
  <c r="C1428" i="37"/>
  <c r="C1425" i="37"/>
  <c r="C1426" i="37"/>
  <c r="B2191" i="14"/>
  <c r="C1430" i="37"/>
  <c r="C1427" i="37"/>
  <c r="C1429" i="37"/>
  <c r="K2426" i="14"/>
  <c r="Y2426" i="14" s="1"/>
  <c r="I2194" i="14"/>
  <c r="N2194" i="14" s="1"/>
  <c r="C1434" i="37" s="1"/>
  <c r="K2299" i="14"/>
  <c r="Y2299" i="14" s="1"/>
  <c r="K2474" i="14"/>
  <c r="J13" i="46"/>
  <c r="I2449" i="14"/>
  <c r="N2449" i="14" s="1"/>
  <c r="B2450" i="14" s="1"/>
  <c r="K13" i="46"/>
  <c r="I2474" i="14"/>
  <c r="N2474" i="14" s="1"/>
  <c r="B2478" i="14" s="1"/>
  <c r="B2475" i="14"/>
  <c r="F13" i="46"/>
  <c r="B13" i="46"/>
  <c r="L13" i="46"/>
  <c r="H13" i="46"/>
  <c r="G13" i="46"/>
  <c r="K2447" i="14"/>
  <c r="Y2447" i="14" s="1"/>
  <c r="K2280" i="14"/>
  <c r="Y2280" i="14" s="1"/>
  <c r="B2447" i="14"/>
  <c r="I2203" i="14"/>
  <c r="N2203" i="14" s="1"/>
  <c r="H2378" i="14"/>
  <c r="I2378" i="14" s="1"/>
  <c r="N2378" i="14" s="1"/>
  <c r="K2194" i="14"/>
  <c r="Y2194" i="14" s="1"/>
  <c r="K2369" i="14"/>
  <c r="Y2369" i="14" s="1"/>
  <c r="K2275" i="14"/>
  <c r="Y2275" i="14" s="1"/>
  <c r="K2450" i="14"/>
  <c r="Y2450" i="14" s="1"/>
  <c r="K2217" i="14"/>
  <c r="Y2217" i="14" s="1"/>
  <c r="K2392" i="14"/>
  <c r="Y2392" i="14" s="1"/>
  <c r="K2286" i="14"/>
  <c r="Y2286" i="14" s="1"/>
  <c r="K2289" i="14"/>
  <c r="Y2289" i="14" s="1"/>
  <c r="K2464" i="14"/>
  <c r="Y2464" i="14" s="1"/>
  <c r="Y2203" i="14"/>
  <c r="K2378" i="14"/>
  <c r="Y2378" i="14" s="1"/>
  <c r="B2391" i="14"/>
  <c r="I2202" i="14"/>
  <c r="N2202" i="14" s="1"/>
  <c r="K2391" i="14"/>
  <c r="Y2391" i="14" s="1"/>
  <c r="K2197" i="14"/>
  <c r="Y2197" i="14" s="1"/>
  <c r="B2272" i="14"/>
  <c r="B2310" i="14"/>
  <c r="K2449" i="14"/>
  <c r="Y2449" i="14" s="1"/>
  <c r="K2274" i="14"/>
  <c r="Y2274" i="14" s="1"/>
  <c r="B2195" i="14"/>
  <c r="B2429" i="14"/>
  <c r="I2272" i="14"/>
  <c r="N2272" i="14" s="1"/>
  <c r="B2275" i="14" s="1"/>
  <c r="I2301" i="14"/>
  <c r="N2301" i="14" s="1"/>
  <c r="B2303" i="14" s="1"/>
  <c r="B2426" i="14"/>
  <c r="C653" i="44"/>
  <c r="C649" i="44"/>
  <c r="B2461" i="14"/>
  <c r="C666" i="44"/>
  <c r="C655" i="44"/>
  <c r="C654" i="44"/>
  <c r="I2083" i="14"/>
  <c r="N2083" i="14" s="1"/>
  <c r="B2454" i="14"/>
  <c r="B2464" i="14"/>
  <c r="B2345" i="14"/>
  <c r="B2457" i="14"/>
  <c r="B2422" i="14"/>
  <c r="B2230" i="14"/>
  <c r="B2419" i="14"/>
  <c r="I2377" i="14"/>
  <c r="N2377" i="14" s="1"/>
  <c r="I2440" i="14"/>
  <c r="N2440" i="14" s="1"/>
  <c r="B2443" i="14" s="1"/>
  <c r="B2440" i="14"/>
  <c r="B2352" i="14"/>
  <c r="K2386" i="14"/>
  <c r="Y2386" i="14" s="1"/>
  <c r="Y2211" i="14"/>
  <c r="I2407" i="14"/>
  <c r="N2407" i="14" s="1"/>
  <c r="K2473" i="14"/>
  <c r="Y2473" i="14" s="1"/>
  <c r="K2298" i="14"/>
  <c r="Y2298" i="14" s="1"/>
  <c r="H2386" i="14"/>
  <c r="H2473" i="14"/>
  <c r="B1049" i="44" s="1"/>
  <c r="C651" i="44"/>
  <c r="K2404" i="14"/>
  <c r="Y2404" i="14" s="1"/>
  <c r="K2229" i="14"/>
  <c r="Y2229" i="14" s="1"/>
  <c r="K2471" i="14"/>
  <c r="Y2471" i="14" s="1"/>
  <c r="K2296" i="14"/>
  <c r="Y2296" i="14" s="1"/>
  <c r="K2272" i="14"/>
  <c r="Y2272" i="14" s="1"/>
  <c r="K2440" i="14"/>
  <c r="Y2440" i="14" s="1"/>
  <c r="K2456" i="14"/>
  <c r="I2404" i="14"/>
  <c r="N2404" i="14" s="1"/>
  <c r="B2405" i="14"/>
  <c r="B2370" i="14"/>
  <c r="K2251" i="14"/>
  <c r="Y2251" i="14" s="1"/>
  <c r="K2419" i="14"/>
  <c r="K2244" i="14"/>
  <c r="Y2244" i="14" s="1"/>
  <c r="B2244" i="14"/>
  <c r="B2366" i="14"/>
  <c r="B2394" i="14"/>
  <c r="B2317" i="14"/>
  <c r="B2324" i="14"/>
  <c r="K2195" i="14"/>
  <c r="Y2195" i="14" s="1"/>
  <c r="K2377" i="14"/>
  <c r="Y2377" i="14" s="1"/>
  <c r="K2370" i="14"/>
  <c r="Y2370" i="14" s="1"/>
  <c r="K2202" i="14"/>
  <c r="Y2202" i="14" s="1"/>
  <c r="K2462" i="14"/>
  <c r="Y2462" i="14" s="1"/>
  <c r="K2287" i="14"/>
  <c r="Y2287" i="14" s="1"/>
  <c r="K2261" i="14"/>
  <c r="Y2261" i="14" s="1"/>
  <c r="K2429" i="14"/>
  <c r="Y2429" i="14" s="1"/>
  <c r="K2254" i="14"/>
  <c r="Y2254" i="14" s="1"/>
  <c r="C652" i="44"/>
  <c r="B2338" i="14"/>
  <c r="B2359" i="14"/>
  <c r="K2245" i="14"/>
  <c r="Y2245" i="14" s="1"/>
  <c r="K2413" i="14"/>
  <c r="Y2413" i="14" s="1"/>
  <c r="K2238" i="14"/>
  <c r="Y2238" i="14" s="1"/>
  <c r="K2407" i="14"/>
  <c r="Y2407" i="14" s="1"/>
  <c r="K2232" i="14"/>
  <c r="Y2232" i="14" s="1"/>
  <c r="I2413" i="14"/>
  <c r="N2413" i="14" s="1"/>
  <c r="B2415" i="14" s="1"/>
  <c r="I2370" i="14"/>
  <c r="N2370" i="14" s="1"/>
  <c r="B2373" i="14" s="1"/>
  <c r="B2401" i="14"/>
  <c r="B2412" i="14"/>
  <c r="B2331" i="14"/>
  <c r="T48" i="14"/>
  <c r="C676" i="44"/>
  <c r="C670" i="44"/>
  <c r="C673" i="44"/>
  <c r="C682" i="44"/>
  <c r="C662" i="44"/>
  <c r="C674" i="44"/>
  <c r="C680" i="44"/>
  <c r="C675" i="44"/>
  <c r="C733" i="44"/>
  <c r="C668" i="44"/>
  <c r="C679" i="44"/>
  <c r="C664" i="44"/>
  <c r="C658" i="44"/>
  <c r="C678" i="44"/>
  <c r="C657" i="44"/>
  <c r="C656" i="44"/>
  <c r="C684" i="44"/>
  <c r="C683" i="44"/>
  <c r="C660" i="44"/>
  <c r="C754" i="44"/>
  <c r="C745" i="44"/>
  <c r="C692" i="44"/>
  <c r="C750" i="44"/>
  <c r="C720" i="44"/>
  <c r="C747" i="44"/>
  <c r="C702" i="44"/>
  <c r="C736" i="44"/>
  <c r="C694" i="44"/>
  <c r="C726" i="44"/>
  <c r="C760" i="44"/>
  <c r="C762" i="44"/>
  <c r="C748" i="44"/>
  <c r="C711" i="44"/>
  <c r="C732" i="44"/>
  <c r="C724" i="44"/>
  <c r="C738" i="44"/>
  <c r="C689" i="44"/>
  <c r="C723" i="44"/>
  <c r="C681" i="44"/>
  <c r="C688" i="44"/>
  <c r="C768" i="44"/>
  <c r="C734" i="44"/>
  <c r="C709" i="44"/>
  <c r="C742" i="44"/>
  <c r="C737" i="44"/>
  <c r="C706" i="44"/>
  <c r="C767" i="44"/>
  <c r="C766" i="44"/>
  <c r="C717" i="44"/>
  <c r="C693" i="44"/>
  <c r="C743" i="44"/>
  <c r="C710" i="44"/>
  <c r="C763" i="44"/>
  <c r="C686" i="44"/>
  <c r="C749" i="44"/>
  <c r="C690" i="44"/>
  <c r="C739" i="44"/>
  <c r="C691" i="44"/>
  <c r="C727" i="44"/>
  <c r="C761" i="44"/>
  <c r="C665" i="44"/>
  <c r="C722" i="44"/>
  <c r="C714" i="44"/>
  <c r="C744" i="44"/>
  <c r="C708" i="44"/>
  <c r="C719" i="44"/>
  <c r="I2090" i="14"/>
  <c r="N2090" i="14" s="1"/>
  <c r="B2093" i="14" s="1"/>
  <c r="C697" i="44"/>
  <c r="C713" i="44"/>
  <c r="C699" i="44"/>
  <c r="C753" i="44"/>
  <c r="C729" i="44"/>
  <c r="C718" i="44"/>
  <c r="C672" i="44"/>
  <c r="C700" i="44"/>
  <c r="C695" i="44"/>
  <c r="C712" i="44"/>
  <c r="C716" i="44"/>
  <c r="C725" i="44"/>
  <c r="C765" i="44"/>
  <c r="C715" i="44"/>
  <c r="C661" i="44"/>
  <c r="C663" i="44"/>
  <c r="C746" i="44"/>
  <c r="C677" i="44"/>
  <c r="C731" i="44"/>
  <c r="C669" i="44"/>
  <c r="C741" i="44"/>
  <c r="C671" i="44"/>
  <c r="C764" i="44"/>
  <c r="C687" i="44"/>
  <c r="C696" i="44"/>
  <c r="C759" i="44"/>
  <c r="C730" i="44"/>
  <c r="C755" i="44"/>
  <c r="C698" i="44"/>
  <c r="C756" i="44"/>
  <c r="C705" i="44"/>
  <c r="C701" i="44"/>
  <c r="I2105" i="14"/>
  <c r="N2105" i="14" s="1"/>
  <c r="C740" i="44"/>
  <c r="C728" i="44"/>
  <c r="C703" i="44"/>
  <c r="C721" i="44"/>
  <c r="C735" i="44"/>
  <c r="C704" i="44"/>
  <c r="C758" i="44"/>
  <c r="C667" i="44"/>
  <c r="C685" i="44"/>
  <c r="C757" i="44"/>
  <c r="C707" i="44"/>
  <c r="C659" i="44"/>
  <c r="C752" i="44"/>
  <c r="C751" i="44"/>
  <c r="B301" i="30"/>
  <c r="B2237" i="14"/>
  <c r="I2230" i="14"/>
  <c r="N2230" i="14" s="1"/>
  <c r="B2233" i="14" s="1"/>
  <c r="H2288" i="14"/>
  <c r="I2281" i="14"/>
  <c r="N2281" i="14" s="1"/>
  <c r="K2246" i="14"/>
  <c r="Y2246" i="14" s="1"/>
  <c r="K2239" i="14"/>
  <c r="Y2239" i="14" s="1"/>
  <c r="H2225" i="14"/>
  <c r="H2218" i="14"/>
  <c r="K2301" i="14"/>
  <c r="Y2301" i="14" s="1"/>
  <c r="K2294" i="14"/>
  <c r="Y2294" i="14" s="1"/>
  <c r="K2230" i="14"/>
  <c r="Y2230" i="14" s="1"/>
  <c r="K2223" i="14"/>
  <c r="Y2223" i="14" s="1"/>
  <c r="K2288" i="14"/>
  <c r="Y2288" i="14" s="1"/>
  <c r="K2243" i="14"/>
  <c r="Y2243" i="14" s="1"/>
  <c r="K2236" i="14"/>
  <c r="Y2236" i="14" s="1"/>
  <c r="K2225" i="14"/>
  <c r="Y2225" i="14" s="1"/>
  <c r="K2218" i="14"/>
  <c r="Y2218" i="14" s="1"/>
  <c r="Y2201" i="14"/>
  <c r="K2209" i="14"/>
  <c r="Y2209" i="14" s="1"/>
  <c r="K2307" i="14"/>
  <c r="K2300" i="14"/>
  <c r="Y2300" i="14" s="1"/>
  <c r="K2083" i="14"/>
  <c r="K2105" i="14"/>
  <c r="C1420" i="37"/>
  <c r="C1419" i="37"/>
  <c r="B2090" i="14"/>
  <c r="B2135" i="14"/>
  <c r="C1418" i="37"/>
  <c r="C1417" i="37"/>
  <c r="C1411" i="37"/>
  <c r="C1414" i="37"/>
  <c r="C1415" i="37"/>
  <c r="C1413" i="37"/>
  <c r="C1412" i="37"/>
  <c r="C1410" i="37"/>
  <c r="C1408" i="37"/>
  <c r="C1416" i="37"/>
  <c r="C1409" i="37"/>
  <c r="C1424" i="37"/>
  <c r="C1423" i="37"/>
  <c r="C1422" i="37"/>
  <c r="C1421" i="37"/>
  <c r="K2090" i="14"/>
  <c r="B752" i="44"/>
  <c r="B2251" i="14"/>
  <c r="B2247" i="14"/>
  <c r="B755" i="44"/>
  <c r="B764" i="44"/>
  <c r="B2163" i="14"/>
  <c r="B2184" i="14"/>
  <c r="B2142" i="14"/>
  <c r="B768" i="44"/>
  <c r="B745" i="44"/>
  <c r="B741" i="44"/>
  <c r="B2258" i="14"/>
  <c r="B648" i="44"/>
  <c r="B649" i="44"/>
  <c r="B668" i="44"/>
  <c r="B672" i="44"/>
  <c r="B722" i="44"/>
  <c r="B720" i="44"/>
  <c r="B674" i="44"/>
  <c r="B735" i="44"/>
  <c r="B717" i="44"/>
  <c r="B677" i="44"/>
  <c r="B730" i="44"/>
  <c r="B729" i="44"/>
  <c r="B692" i="44"/>
  <c r="B662" i="44"/>
  <c r="B661" i="44"/>
  <c r="B650" i="44"/>
  <c r="B300" i="30"/>
  <c r="B655" i="44"/>
  <c r="B670" i="44"/>
  <c r="B656" i="44"/>
  <c r="B653" i="44"/>
  <c r="B671" i="44"/>
  <c r="B659" i="44"/>
  <c r="B673" i="44"/>
  <c r="B663" i="44"/>
  <c r="B667" i="44"/>
  <c r="B651" i="44"/>
  <c r="B654" i="44"/>
  <c r="B666" i="44"/>
  <c r="B665" i="44"/>
  <c r="B694" i="44"/>
  <c r="B723" i="44"/>
  <c r="B675" i="44"/>
  <c r="B716" i="44"/>
  <c r="B763" i="44"/>
  <c r="B704" i="44"/>
  <c r="B757" i="44"/>
  <c r="B2149" i="14"/>
  <c r="I2268" i="14"/>
  <c r="N2268" i="14" s="1"/>
  <c r="I2265" i="14"/>
  <c r="N2265" i="14" s="1"/>
  <c r="B708" i="44"/>
  <c r="B712" i="44"/>
  <c r="B724" i="44"/>
  <c r="B765" i="44"/>
  <c r="B2240" i="14"/>
  <c r="B744" i="44"/>
  <c r="K2216" i="14"/>
  <c r="Y2216" i="14" s="1"/>
  <c r="Y2208" i="14"/>
  <c r="B689" i="44"/>
  <c r="B682" i="44"/>
  <c r="B688" i="44"/>
  <c r="B681" i="44"/>
  <c r="B725" i="44"/>
  <c r="B676" i="44"/>
  <c r="B652" i="44"/>
  <c r="B756" i="44"/>
  <c r="B762" i="44"/>
  <c r="K2279" i="14"/>
  <c r="Y2279" i="14" s="1"/>
  <c r="K2295" i="14"/>
  <c r="Y2295" i="14" s="1"/>
  <c r="I2126" i="14"/>
  <c r="N2126" i="14" s="1"/>
  <c r="I2084" i="14"/>
  <c r="N2084" i="14" s="1"/>
  <c r="B739" i="44"/>
  <c r="B731" i="44"/>
  <c r="B684" i="44"/>
  <c r="B699" i="44"/>
  <c r="B760" i="44"/>
  <c r="B754" i="44"/>
  <c r="I2216" i="14"/>
  <c r="N2216" i="14" s="1"/>
  <c r="B759" i="44"/>
  <c r="B733" i="44"/>
  <c r="I2208" i="14"/>
  <c r="N2208" i="14" s="1"/>
  <c r="K2268" i="14"/>
  <c r="Y2268" i="14" s="1"/>
  <c r="K2265" i="14"/>
  <c r="Y2265" i="14" s="1"/>
  <c r="B2265" i="14"/>
  <c r="B767" i="44"/>
  <c r="I2112" i="14"/>
  <c r="N2112" i="14" s="1"/>
  <c r="B685" i="44"/>
  <c r="B2079" i="14"/>
  <c r="C1319" i="37"/>
  <c r="C1318" i="37"/>
  <c r="B2100" i="14"/>
  <c r="B742" i="44"/>
  <c r="K2258" i="14"/>
  <c r="Y2258" i="14" s="1"/>
  <c r="B761" i="44"/>
  <c r="B680" i="44"/>
  <c r="B683" i="44"/>
  <c r="B732" i="44"/>
  <c r="B734" i="44"/>
  <c r="B749" i="44"/>
  <c r="B698" i="44"/>
  <c r="B696" i="44"/>
  <c r="B702" i="44"/>
  <c r="I2258" i="14"/>
  <c r="N2258" i="14" s="1"/>
  <c r="B2261" i="14" s="1"/>
  <c r="B726" i="44"/>
  <c r="B710" i="44"/>
  <c r="B715" i="44"/>
  <c r="B738" i="44"/>
  <c r="B737" i="44"/>
  <c r="B736" i="44"/>
  <c r="I2082" i="14"/>
  <c r="N2082" i="14" s="1"/>
  <c r="B2083" i="14"/>
  <c r="B750" i="44"/>
  <c r="I2279" i="14"/>
  <c r="N2279" i="14" s="1"/>
  <c r="B743" i="44"/>
  <c r="B2125" i="14"/>
  <c r="K2252" i="14"/>
  <c r="Y2252" i="14" s="1"/>
  <c r="B766" i="44"/>
  <c r="B721" i="44"/>
  <c r="B746" i="44"/>
  <c r="B718" i="44"/>
  <c r="B691" i="44"/>
  <c r="B748" i="44"/>
  <c r="B713" i="44"/>
  <c r="B714" i="44"/>
  <c r="B701" i="44"/>
  <c r="B687" i="44"/>
  <c r="B700" i="44"/>
  <c r="B705" i="44"/>
  <c r="B678" i="44"/>
  <c r="B690" i="44"/>
  <c r="B695" i="44"/>
  <c r="B2121" i="14"/>
  <c r="B2177" i="14"/>
  <c r="B703" i="44"/>
  <c r="B679" i="44"/>
  <c r="B697" i="44"/>
  <c r="B727" i="44"/>
  <c r="B709" i="44"/>
  <c r="B711" i="44"/>
  <c r="B657" i="44"/>
  <c r="B669" i="44"/>
  <c r="B693" i="44"/>
  <c r="B728" i="44"/>
  <c r="B660" i="44"/>
  <c r="B686" i="44"/>
  <c r="B719" i="44"/>
  <c r="B664" i="44"/>
  <c r="B658" i="44"/>
  <c r="B706" i="44"/>
  <c r="B707" i="44"/>
  <c r="B753" i="44"/>
  <c r="B2104" i="14"/>
  <c r="B758" i="44"/>
  <c r="I2103" i="14"/>
  <c r="N2103" i="14" s="1"/>
  <c r="B2111" i="14"/>
  <c r="B2156" i="14"/>
  <c r="B751" i="44"/>
  <c r="I2295" i="14"/>
  <c r="N2295" i="14" s="1"/>
  <c r="B740" i="44"/>
  <c r="B747" i="44"/>
  <c r="B2170" i="14"/>
  <c r="I2252" i="14"/>
  <c r="N2252" i="14" s="1"/>
  <c r="B2254" i="14" s="1"/>
  <c r="T382" i="14"/>
  <c r="W372" i="14" l="1"/>
  <c r="V373" i="14"/>
  <c r="Y2434" i="14"/>
  <c r="B2434" i="14"/>
  <c r="I14" i="46"/>
  <c r="Y2399" i="14"/>
  <c r="B2399" i="14"/>
  <c r="E14" i="46"/>
  <c r="B2198" i="14"/>
  <c r="B776" i="44"/>
  <c r="B771" i="44"/>
  <c r="B773" i="44"/>
  <c r="B2420" i="14"/>
  <c r="Y2419" i="14"/>
  <c r="B2308" i="14"/>
  <c r="Y2307" i="14"/>
  <c r="B2455" i="14"/>
  <c r="Y2456" i="14"/>
  <c r="B2476" i="14"/>
  <c r="Y2474" i="14"/>
  <c r="V13" i="14"/>
  <c r="U13" i="14"/>
  <c r="B2427" i="14"/>
  <c r="B315" i="38"/>
  <c r="E315" i="38" s="1"/>
  <c r="B251" i="38"/>
  <c r="B187" i="38"/>
  <c r="B123" i="38"/>
  <c r="B59" i="38"/>
  <c r="B354" i="38"/>
  <c r="D354" i="38" s="1"/>
  <c r="B290" i="38"/>
  <c r="D290" i="38" s="1"/>
  <c r="B226" i="38"/>
  <c r="B162" i="38"/>
  <c r="B98" i="38"/>
  <c r="B34" i="38"/>
  <c r="B337" i="38"/>
  <c r="D337" i="38" s="1"/>
  <c r="B273" i="38"/>
  <c r="D273" i="38" s="1"/>
  <c r="B209" i="38"/>
  <c r="B145" i="38"/>
  <c r="B81" i="38"/>
  <c r="B17" i="38"/>
  <c r="B320" i="38"/>
  <c r="E320" i="38" s="1"/>
  <c r="B256" i="38"/>
  <c r="B192" i="38"/>
  <c r="B128" i="38"/>
  <c r="B64" i="38"/>
  <c r="B367" i="38"/>
  <c r="D367" i="38" s="1"/>
  <c r="B303" i="38"/>
  <c r="E303" i="38" s="1"/>
  <c r="B239" i="38"/>
  <c r="B175" i="38"/>
  <c r="B111" i="38"/>
  <c r="B47" i="38"/>
  <c r="B350" i="38"/>
  <c r="D350" i="38" s="1"/>
  <c r="B286" i="38"/>
  <c r="D286" i="38" s="1"/>
  <c r="B222" i="38"/>
  <c r="B158" i="38"/>
  <c r="B94" i="38"/>
  <c r="B30" i="38"/>
  <c r="B333" i="38"/>
  <c r="D333" i="38" s="1"/>
  <c r="B269" i="38"/>
  <c r="E269" i="38" s="1"/>
  <c r="B205" i="38"/>
  <c r="B141" i="38"/>
  <c r="B77" i="38"/>
  <c r="B13" i="38"/>
  <c r="B316" i="38"/>
  <c r="E316" i="38" s="1"/>
  <c r="B252" i="38"/>
  <c r="B188" i="38"/>
  <c r="B124" i="38"/>
  <c r="B60" i="38"/>
  <c r="B307" i="38"/>
  <c r="D307" i="38" s="1"/>
  <c r="B243" i="38"/>
  <c r="B179" i="38"/>
  <c r="B115" i="38"/>
  <c r="B51" i="38"/>
  <c r="B346" i="38"/>
  <c r="D346" i="38" s="1"/>
  <c r="B282" i="38"/>
  <c r="D282" i="38" s="1"/>
  <c r="B218" i="38"/>
  <c r="B154" i="38"/>
  <c r="B90" i="38"/>
  <c r="B26" i="38"/>
  <c r="B329" i="38"/>
  <c r="D329" i="38" s="1"/>
  <c r="B265" i="38"/>
  <c r="E265" i="38" s="1"/>
  <c r="B201" i="38"/>
  <c r="B137" i="38"/>
  <c r="B73" i="38"/>
  <c r="D9" i="38"/>
  <c r="E9" i="38"/>
  <c r="B312" i="38"/>
  <c r="E312" i="38" s="1"/>
  <c r="B248" i="38"/>
  <c r="B184" i="38"/>
  <c r="B120" i="38"/>
  <c r="B56" i="38"/>
  <c r="B359" i="38"/>
  <c r="D359" i="38" s="1"/>
  <c r="B295" i="38"/>
  <c r="E295" i="38" s="1"/>
  <c r="B231" i="38"/>
  <c r="B167" i="38"/>
  <c r="B103" i="38"/>
  <c r="B39" i="38"/>
  <c r="B342" i="38"/>
  <c r="E342" i="38" s="1"/>
  <c r="B278" i="38"/>
  <c r="E278" i="38" s="1"/>
  <c r="B214" i="38"/>
  <c r="B150" i="38"/>
  <c r="B86" i="38"/>
  <c r="B22" i="38"/>
  <c r="B325" i="38"/>
  <c r="D325" i="38" s="1"/>
  <c r="B261" i="38"/>
  <c r="E261" i="38" s="1"/>
  <c r="B197" i="38"/>
  <c r="B133" i="38"/>
  <c r="B69" i="38"/>
  <c r="E5" i="38"/>
  <c r="D5" i="38"/>
  <c r="B308" i="38"/>
  <c r="E308" i="38" s="1"/>
  <c r="B244" i="38"/>
  <c r="B180" i="38"/>
  <c r="B116" i="38"/>
  <c r="B52" i="38"/>
  <c r="B363" i="38"/>
  <c r="E363" i="38" s="1"/>
  <c r="B299" i="38"/>
  <c r="D299" i="38" s="1"/>
  <c r="B235" i="38"/>
  <c r="B171" i="38"/>
  <c r="B107" i="38"/>
  <c r="B43" i="38"/>
  <c r="B338" i="38"/>
  <c r="D338" i="38" s="1"/>
  <c r="B274" i="38"/>
  <c r="E274" i="38" s="1"/>
  <c r="B210" i="38"/>
  <c r="B146" i="38"/>
  <c r="B82" i="38"/>
  <c r="B18" i="38"/>
  <c r="B321" i="38"/>
  <c r="D321" i="38" s="1"/>
  <c r="B257" i="38"/>
  <c r="E257" i="38" s="1"/>
  <c r="B193" i="38"/>
  <c r="B129" i="38"/>
  <c r="B65" i="38"/>
  <c r="E3" i="38"/>
  <c r="D3" i="38"/>
  <c r="B304" i="38"/>
  <c r="D304" i="38" s="1"/>
  <c r="B240" i="38"/>
  <c r="B176" i="38"/>
  <c r="B112" i="38"/>
  <c r="B48" i="38"/>
  <c r="B351" i="38"/>
  <c r="E351" i="38" s="1"/>
  <c r="B287" i="38"/>
  <c r="D287" i="38" s="1"/>
  <c r="B223" i="38"/>
  <c r="B159" i="38"/>
  <c r="B95" i="38"/>
  <c r="B31" i="38"/>
  <c r="B334" i="38"/>
  <c r="E334" i="38" s="1"/>
  <c r="B270" i="38"/>
  <c r="D270" i="38" s="1"/>
  <c r="B206" i="38"/>
  <c r="B142" i="38"/>
  <c r="B78" i="38"/>
  <c r="B14" i="38"/>
  <c r="B317" i="38"/>
  <c r="E317" i="38" s="1"/>
  <c r="B253" i="38"/>
  <c r="B189" i="38"/>
  <c r="B125" i="38"/>
  <c r="B61" i="38"/>
  <c r="B364" i="38"/>
  <c r="E364" i="38" s="1"/>
  <c r="B300" i="38"/>
  <c r="D300" i="38" s="1"/>
  <c r="B236" i="38"/>
  <c r="B172" i="38"/>
  <c r="B108" i="38"/>
  <c r="B44" i="38"/>
  <c r="B355" i="38"/>
  <c r="E355" i="38" s="1"/>
  <c r="B291" i="38"/>
  <c r="D291" i="38" s="1"/>
  <c r="B227" i="38"/>
  <c r="B163" i="38"/>
  <c r="B99" i="38"/>
  <c r="B35" i="38"/>
  <c r="B330" i="38"/>
  <c r="D330" i="38" s="1"/>
  <c r="B266" i="38"/>
  <c r="E266" i="38" s="1"/>
  <c r="B202" i="38"/>
  <c r="B138" i="38"/>
  <c r="B74" i="38"/>
  <c r="E10" i="38"/>
  <c r="D10" i="38"/>
  <c r="B313" i="38"/>
  <c r="E313" i="38" s="1"/>
  <c r="B249" i="38"/>
  <c r="B185" i="38"/>
  <c r="B121" i="38"/>
  <c r="B57" i="38"/>
  <c r="B360" i="38"/>
  <c r="D360" i="38" s="1"/>
  <c r="B296" i="38"/>
  <c r="D296" i="38" s="1"/>
  <c r="B232" i="38"/>
  <c r="B168" i="38"/>
  <c r="B104" i="38"/>
  <c r="B40" i="38"/>
  <c r="B343" i="38"/>
  <c r="E343" i="38" s="1"/>
  <c r="B279" i="38"/>
  <c r="D279" i="38" s="1"/>
  <c r="B215" i="38"/>
  <c r="B151" i="38"/>
  <c r="B87" i="38"/>
  <c r="B23" i="38"/>
  <c r="B326" i="38"/>
  <c r="E326" i="38" s="1"/>
  <c r="B262" i="38"/>
  <c r="E262" i="38" s="1"/>
  <c r="B198" i="38"/>
  <c r="B134" i="38"/>
  <c r="B70" i="38"/>
  <c r="E6" i="38"/>
  <c r="D6" i="38"/>
  <c r="B309" i="38"/>
  <c r="D309" i="38" s="1"/>
  <c r="B245" i="38"/>
  <c r="B181" i="38"/>
  <c r="B117" i="38"/>
  <c r="B53" i="38"/>
  <c r="B356" i="38"/>
  <c r="E356" i="38" s="1"/>
  <c r="B292" i="38"/>
  <c r="E292" i="38" s="1"/>
  <c r="B228" i="38"/>
  <c r="B164" i="38"/>
  <c r="B100" i="38"/>
  <c r="B36" i="38"/>
  <c r="B347" i="38"/>
  <c r="E347" i="38" s="1"/>
  <c r="B283" i="38"/>
  <c r="D283" i="38" s="1"/>
  <c r="B219" i="38"/>
  <c r="B155" i="38"/>
  <c r="B91" i="38"/>
  <c r="B27" i="38"/>
  <c r="B322" i="38"/>
  <c r="E322" i="38" s="1"/>
  <c r="B258" i="38"/>
  <c r="D258" i="38" s="1"/>
  <c r="B194" i="38"/>
  <c r="B130" i="38"/>
  <c r="B66" i="38"/>
  <c r="B305" i="38"/>
  <c r="D305" i="38" s="1"/>
  <c r="B241" i="38"/>
  <c r="B177" i="38"/>
  <c r="B113" i="38"/>
  <c r="B49" i="38"/>
  <c r="B352" i="38"/>
  <c r="E352" i="38" s="1"/>
  <c r="B288" i="38"/>
  <c r="D288" i="38" s="1"/>
  <c r="B224" i="38"/>
  <c r="B160" i="38"/>
  <c r="B96" i="38"/>
  <c r="B32" i="38"/>
  <c r="B335" i="38"/>
  <c r="E335" i="38" s="1"/>
  <c r="B271" i="38"/>
  <c r="D271" i="38" s="1"/>
  <c r="B207" i="38"/>
  <c r="B143" i="38"/>
  <c r="B79" i="38"/>
  <c r="B15" i="38"/>
  <c r="B318" i="38"/>
  <c r="D318" i="38" s="1"/>
  <c r="B254" i="38"/>
  <c r="B190" i="38"/>
  <c r="B126" i="38"/>
  <c r="B62" i="38"/>
  <c r="B365" i="38"/>
  <c r="D365" i="38" s="1"/>
  <c r="B301" i="38"/>
  <c r="E301" i="38" s="1"/>
  <c r="B237" i="38"/>
  <c r="B173" i="38"/>
  <c r="B109" i="38"/>
  <c r="B45" i="38"/>
  <c r="B348" i="38"/>
  <c r="E348" i="38" s="1"/>
  <c r="B284" i="38"/>
  <c r="E284" i="38" s="1"/>
  <c r="B220" i="38"/>
  <c r="B156" i="38"/>
  <c r="B92" i="38"/>
  <c r="B28" i="38"/>
  <c r="B774" i="44"/>
  <c r="B339" i="38"/>
  <c r="D339" i="38" s="1"/>
  <c r="B275" i="38"/>
  <c r="E275" i="38" s="1"/>
  <c r="B211" i="38"/>
  <c r="B147" i="38"/>
  <c r="B83" i="38"/>
  <c r="B19" i="38"/>
  <c r="B314" i="38"/>
  <c r="E314" i="38" s="1"/>
  <c r="B250" i="38"/>
  <c r="B186" i="38"/>
  <c r="B122" i="38"/>
  <c r="B58" i="38"/>
  <c r="B361" i="38"/>
  <c r="D361" i="38" s="1"/>
  <c r="B297" i="38"/>
  <c r="D297" i="38" s="1"/>
  <c r="B233" i="38"/>
  <c r="B169" i="38"/>
  <c r="B105" i="38"/>
  <c r="B41" i="38"/>
  <c r="B344" i="38"/>
  <c r="D344" i="38" s="1"/>
  <c r="B280" i="38"/>
  <c r="D280" i="38" s="1"/>
  <c r="B216" i="38"/>
  <c r="B152" i="38"/>
  <c r="B88" i="38"/>
  <c r="B24" i="38"/>
  <c r="B327" i="38"/>
  <c r="E327" i="38" s="1"/>
  <c r="B263" i="38"/>
  <c r="E263" i="38" s="1"/>
  <c r="B199" i="38"/>
  <c r="B135" i="38"/>
  <c r="B71" i="38"/>
  <c r="E7" i="38"/>
  <c r="D7" i="38"/>
  <c r="B310" i="38"/>
  <c r="D310" i="38" s="1"/>
  <c r="B246" i="38"/>
  <c r="B182" i="38"/>
  <c r="B118" i="38"/>
  <c r="B54" i="38"/>
  <c r="B357" i="38"/>
  <c r="E357" i="38" s="1"/>
  <c r="B293" i="38"/>
  <c r="E293" i="38" s="1"/>
  <c r="B229" i="38"/>
  <c r="B165" i="38"/>
  <c r="B101" i="38"/>
  <c r="B37" i="38"/>
  <c r="B340" i="38"/>
  <c r="D340" i="38" s="1"/>
  <c r="B276" i="38"/>
  <c r="D276" i="38" s="1"/>
  <c r="B212" i="38"/>
  <c r="B148" i="38"/>
  <c r="B84" i="38"/>
  <c r="B20" i="38"/>
  <c r="B331" i="38"/>
  <c r="E331" i="38" s="1"/>
  <c r="B267" i="38"/>
  <c r="D267" i="38" s="1"/>
  <c r="B203" i="38"/>
  <c r="B139" i="38"/>
  <c r="B75" i="38"/>
  <c r="B11" i="38"/>
  <c r="B306" i="38"/>
  <c r="E306" i="38" s="1"/>
  <c r="B242" i="38"/>
  <c r="B178" i="38"/>
  <c r="B114" i="38"/>
  <c r="B50" i="38"/>
  <c r="B353" i="38"/>
  <c r="D353" i="38" s="1"/>
  <c r="B289" i="38"/>
  <c r="D289" i="38" s="1"/>
  <c r="B225" i="38"/>
  <c r="B161" i="38"/>
  <c r="B97" i="38"/>
  <c r="B33" i="38"/>
  <c r="B336" i="38"/>
  <c r="E336" i="38" s="1"/>
  <c r="B272" i="38"/>
  <c r="E272" i="38" s="1"/>
  <c r="B208" i="38"/>
  <c r="B144" i="38"/>
  <c r="B80" i="38"/>
  <c r="B16" i="38"/>
  <c r="B319" i="38"/>
  <c r="E319" i="38" s="1"/>
  <c r="B255" i="38"/>
  <c r="D255" i="38" s="1"/>
  <c r="B191" i="38"/>
  <c r="B127" i="38"/>
  <c r="B63" i="38"/>
  <c r="B366" i="38"/>
  <c r="E366" i="38" s="1"/>
  <c r="B302" i="38"/>
  <c r="E302" i="38" s="1"/>
  <c r="B238" i="38"/>
  <c r="B174" i="38"/>
  <c r="B110" i="38"/>
  <c r="B46" i="38"/>
  <c r="B349" i="38"/>
  <c r="D349" i="38" s="1"/>
  <c r="B285" i="38"/>
  <c r="D285" i="38" s="1"/>
  <c r="B221" i="38"/>
  <c r="B157" i="38"/>
  <c r="B93" i="38"/>
  <c r="B29" i="38"/>
  <c r="B332" i="38"/>
  <c r="D332" i="38" s="1"/>
  <c r="B268" i="38"/>
  <c r="D268" i="38" s="1"/>
  <c r="B204" i="38"/>
  <c r="B140" i="38"/>
  <c r="B76" i="38"/>
  <c r="B12" i="38"/>
  <c r="B775" i="44"/>
  <c r="B323" i="38"/>
  <c r="D323" i="38" s="1"/>
  <c r="B259" i="38"/>
  <c r="D259" i="38" s="1"/>
  <c r="B195" i="38"/>
  <c r="B131" i="38"/>
  <c r="B67" i="38"/>
  <c r="B362" i="38"/>
  <c r="E362" i="38" s="1"/>
  <c r="B298" i="38"/>
  <c r="D298" i="38" s="1"/>
  <c r="B234" i="38"/>
  <c r="B170" i="38"/>
  <c r="B106" i="38"/>
  <c r="B42" i="38"/>
  <c r="B345" i="38"/>
  <c r="E345" i="38" s="1"/>
  <c r="B281" i="38"/>
  <c r="E281" i="38" s="1"/>
  <c r="B217" i="38"/>
  <c r="B153" i="38"/>
  <c r="B89" i="38"/>
  <c r="B25" i="38"/>
  <c r="B328" i="38"/>
  <c r="E328" i="38" s="1"/>
  <c r="B264" i="38"/>
  <c r="E264" i="38" s="1"/>
  <c r="B200" i="38"/>
  <c r="B136" i="38"/>
  <c r="B72" i="38"/>
  <c r="E8" i="38"/>
  <c r="D8" i="38"/>
  <c r="B311" i="38"/>
  <c r="E311" i="38" s="1"/>
  <c r="B247" i="38"/>
  <c r="B183" i="38"/>
  <c r="B119" i="38"/>
  <c r="B55" i="38"/>
  <c r="B358" i="38"/>
  <c r="D358" i="38" s="1"/>
  <c r="B294" i="38"/>
  <c r="E294" i="38" s="1"/>
  <c r="B230" i="38"/>
  <c r="B166" i="38"/>
  <c r="B102" i="38"/>
  <c r="B38" i="38"/>
  <c r="B341" i="38"/>
  <c r="E341" i="38" s="1"/>
  <c r="B277" i="38"/>
  <c r="D277" i="38" s="1"/>
  <c r="B213" i="38"/>
  <c r="B149" i="38"/>
  <c r="B85" i="38"/>
  <c r="B21" i="38"/>
  <c r="B324" i="38"/>
  <c r="D324" i="38" s="1"/>
  <c r="B260" i="38"/>
  <c r="E260" i="38" s="1"/>
  <c r="B196" i="38"/>
  <c r="B132" i="38"/>
  <c r="B68" i="38"/>
  <c r="D4" i="38"/>
  <c r="E4" i="38"/>
  <c r="C771" i="44"/>
  <c r="C769" i="44"/>
  <c r="C770" i="44"/>
  <c r="C1440" i="37"/>
  <c r="B772" i="44"/>
  <c r="C1432" i="37"/>
  <c r="C1438" i="37"/>
  <c r="C1443" i="37"/>
  <c r="C1448" i="37"/>
  <c r="C1444" i="37"/>
  <c r="C1439" i="37"/>
  <c r="C1436" i="37"/>
  <c r="C1435" i="37"/>
  <c r="C1447" i="37"/>
  <c r="C1441" i="37"/>
  <c r="C1437" i="37"/>
  <c r="C1442" i="37"/>
  <c r="C1445" i="37"/>
  <c r="C1446" i="37"/>
  <c r="C1433" i="37"/>
  <c r="C773" i="44"/>
  <c r="B769" i="44"/>
  <c r="B2380" i="14"/>
  <c r="B2202" i="14"/>
  <c r="C13" i="46"/>
  <c r="B310" i="30"/>
  <c r="L14" i="46"/>
  <c r="H14" i="46"/>
  <c r="B2413" i="14"/>
  <c r="G14" i="46"/>
  <c r="B2385" i="14"/>
  <c r="D14" i="46"/>
  <c r="B2441" i="14"/>
  <c r="J14" i="46"/>
  <c r="B14" i="46"/>
  <c r="C14" i="46"/>
  <c r="B1032" i="44"/>
  <c r="D13" i="46"/>
  <c r="K14" i="46"/>
  <c r="F14" i="46"/>
  <c r="B947" i="44"/>
  <c r="B2462" i="14"/>
  <c r="B2273" i="14"/>
  <c r="B2378" i="14"/>
  <c r="B950" i="44"/>
  <c r="B770" i="44"/>
  <c r="C774" i="44"/>
  <c r="C775" i="44"/>
  <c r="B2392" i="14"/>
  <c r="C772" i="44"/>
  <c r="B2377" i="14"/>
  <c r="C776" i="44"/>
  <c r="B2371" i="14"/>
  <c r="B2205" i="14"/>
  <c r="B2448" i="14"/>
  <c r="B2196" i="14"/>
  <c r="B2259" i="14"/>
  <c r="I2211" i="14"/>
  <c r="N2211" i="14" s="1"/>
  <c r="B783" i="44"/>
  <c r="B779" i="44"/>
  <c r="B2209" i="14"/>
  <c r="B1026" i="44"/>
  <c r="B1017" i="44"/>
  <c r="B1027" i="44"/>
  <c r="B1009" i="44"/>
  <c r="C778" i="44"/>
  <c r="B949" i="44"/>
  <c r="B1014" i="44"/>
  <c r="B996" i="44"/>
  <c r="B973" i="44"/>
  <c r="B980" i="44"/>
  <c r="B1050" i="44"/>
  <c r="B1070" i="44"/>
  <c r="B986" i="44"/>
  <c r="B994" i="44"/>
  <c r="B1006" i="44"/>
  <c r="B1025" i="44"/>
  <c r="B1015" i="44"/>
  <c r="B971" i="44"/>
  <c r="B1030" i="44"/>
  <c r="B985" i="44"/>
  <c r="B970" i="44"/>
  <c r="B1022" i="44"/>
  <c r="B1001" i="44"/>
  <c r="B992" i="44"/>
  <c r="B1020" i="44"/>
  <c r="B1002" i="44"/>
  <c r="B993" i="44"/>
  <c r="B972" i="44"/>
  <c r="B987" i="44"/>
  <c r="B2252" i="14"/>
  <c r="B946" i="44"/>
  <c r="B2293" i="14"/>
  <c r="B1058" i="44"/>
  <c r="B2203" i="14"/>
  <c r="B2287" i="14"/>
  <c r="B1064" i="44"/>
  <c r="B1047" i="44"/>
  <c r="B2469" i="14"/>
  <c r="B1019" i="44"/>
  <c r="B966" i="44"/>
  <c r="B1055" i="44"/>
  <c r="B1018" i="44"/>
  <c r="B984" i="44"/>
  <c r="B978" i="44"/>
  <c r="B948" i="44"/>
  <c r="B2231" i="14"/>
  <c r="B995" i="44"/>
  <c r="B1000" i="44"/>
  <c r="B981" i="44"/>
  <c r="B968" i="44"/>
  <c r="B975" i="44"/>
  <c r="B982" i="44"/>
  <c r="B1004" i="44"/>
  <c r="B1007" i="44"/>
  <c r="B974" i="44"/>
  <c r="B1024" i="44"/>
  <c r="B780" i="44"/>
  <c r="B1072" i="44"/>
  <c r="B1069" i="44"/>
  <c r="B1045" i="44"/>
  <c r="B1062" i="44"/>
  <c r="C779" i="44"/>
  <c r="B782" i="44"/>
  <c r="C780" i="44"/>
  <c r="C777" i="44"/>
  <c r="B1063" i="44"/>
  <c r="B938" i="44"/>
  <c r="C782" i="44"/>
  <c r="B1068" i="44"/>
  <c r="B1051" i="44"/>
  <c r="B1059" i="44"/>
  <c r="B965" i="44"/>
  <c r="B983" i="44"/>
  <c r="B777" i="44"/>
  <c r="C781" i="44"/>
  <c r="B979" i="44"/>
  <c r="B1012" i="44"/>
  <c r="B957" i="44"/>
  <c r="B969" i="44"/>
  <c r="B977" i="44"/>
  <c r="B1052" i="44"/>
  <c r="B778" i="44"/>
  <c r="B781" i="44"/>
  <c r="B945" i="44"/>
  <c r="B944" i="44"/>
  <c r="B1044" i="44"/>
  <c r="B1042" i="44"/>
  <c r="B2408" i="14"/>
  <c r="B1071" i="44"/>
  <c r="B989" i="44"/>
  <c r="B1011" i="44"/>
  <c r="B967" i="44"/>
  <c r="B1003" i="44"/>
  <c r="C790" i="44"/>
  <c r="C783" i="44"/>
  <c r="B988" i="44"/>
  <c r="B1067" i="44"/>
  <c r="B1029" i="44"/>
  <c r="B1023" i="44"/>
  <c r="B1008" i="44"/>
  <c r="B1013" i="44"/>
  <c r="B1021" i="44"/>
  <c r="B1054" i="44"/>
  <c r="B1066" i="44"/>
  <c r="B1061" i="44"/>
  <c r="B1073" i="44"/>
  <c r="B1056" i="44"/>
  <c r="I2298" i="14"/>
  <c r="N2298" i="14" s="1"/>
  <c r="B2296" i="14" s="1"/>
  <c r="B952" i="44"/>
  <c r="B953" i="44"/>
  <c r="B951" i="44"/>
  <c r="B1043" i="44"/>
  <c r="I2473" i="14"/>
  <c r="N2473" i="14" s="1"/>
  <c r="B2471" i="14" s="1"/>
  <c r="B2468" i="14"/>
  <c r="B1060" i="44"/>
  <c r="B1048" i="44"/>
  <c r="B1065" i="44"/>
  <c r="B2406" i="14"/>
  <c r="I2386" i="14"/>
  <c r="N2386" i="14" s="1"/>
  <c r="B2387" i="14" s="1"/>
  <c r="B1041" i="44"/>
  <c r="B1034" i="44"/>
  <c r="B1016" i="44"/>
  <c r="B958" i="44"/>
  <c r="B955" i="44"/>
  <c r="B964" i="44"/>
  <c r="B961" i="44"/>
  <c r="B959" i="44"/>
  <c r="B956" i="44"/>
  <c r="B962" i="44"/>
  <c r="B991" i="44"/>
  <c r="B963" i="44"/>
  <c r="B2384" i="14"/>
  <c r="B954" i="44"/>
  <c r="B960" i="44"/>
  <c r="B1038" i="44"/>
  <c r="B1039" i="44"/>
  <c r="B1033" i="44"/>
  <c r="B1035" i="44"/>
  <c r="B1037" i="44"/>
  <c r="B1040" i="44"/>
  <c r="B1036" i="44"/>
  <c r="B999" i="44"/>
  <c r="B990" i="44"/>
  <c r="B1010" i="44"/>
  <c r="B1005" i="44"/>
  <c r="B998" i="44"/>
  <c r="B997" i="44"/>
  <c r="B1031" i="44"/>
  <c r="B976" i="44"/>
  <c r="B1046" i="44"/>
  <c r="B1057" i="44"/>
  <c r="B1028" i="44"/>
  <c r="B1053" i="44"/>
  <c r="T49" i="14"/>
  <c r="B797" i="44"/>
  <c r="B908" i="44"/>
  <c r="B943" i="44"/>
  <c r="B790" i="44"/>
  <c r="B786" i="44"/>
  <c r="C785" i="44"/>
  <c r="B812" i="44"/>
  <c r="C787" i="44"/>
  <c r="B788" i="44"/>
  <c r="C784" i="44"/>
  <c r="C937" i="44"/>
  <c r="C1005" i="44"/>
  <c r="C797" i="44"/>
  <c r="C799" i="44"/>
  <c r="B798" i="44"/>
  <c r="B839" i="44"/>
  <c r="I2218" i="14"/>
  <c r="N2218" i="14" s="1"/>
  <c r="C1073" i="44"/>
  <c r="C1067" i="44"/>
  <c r="C1066" i="44"/>
  <c r="C969" i="44"/>
  <c r="C900" i="44"/>
  <c r="C928" i="44"/>
  <c r="C1049" i="44"/>
  <c r="C801" i="44"/>
  <c r="C868" i="44"/>
  <c r="C818" i="44"/>
  <c r="C814" i="44"/>
  <c r="C857" i="44"/>
  <c r="C1031" i="44"/>
  <c r="C1056" i="44"/>
  <c r="C863" i="44"/>
  <c r="C862" i="44"/>
  <c r="C915" i="44"/>
  <c r="C1017" i="44"/>
  <c r="C837" i="44"/>
  <c r="C1044" i="44"/>
  <c r="C952" i="44"/>
  <c r="C872" i="44"/>
  <c r="C842" i="44"/>
  <c r="C909" i="44"/>
  <c r="C795" i="44"/>
  <c r="C927" i="44"/>
  <c r="C869" i="44"/>
  <c r="C1038" i="44"/>
  <c r="C1007" i="44"/>
  <c r="C1063" i="44"/>
  <c r="C1042" i="44"/>
  <c r="C826" i="44"/>
  <c r="C958" i="44"/>
  <c r="C914" i="44"/>
  <c r="C844" i="44"/>
  <c r="C992" i="44"/>
  <c r="C892" i="44"/>
  <c r="C980" i="44"/>
  <c r="C917" i="44"/>
  <c r="C827" i="44"/>
  <c r="C850" i="44"/>
  <c r="C835" i="44"/>
  <c r="C916" i="44"/>
  <c r="C1018" i="44"/>
  <c r="C1026" i="44"/>
  <c r="C902" i="44"/>
  <c r="C1041" i="44"/>
  <c r="C1069" i="44"/>
  <c r="C941" i="44"/>
  <c r="C942" i="44"/>
  <c r="C998" i="44"/>
  <c r="C875" i="44"/>
  <c r="C1033" i="44"/>
  <c r="C1062" i="44"/>
  <c r="C830" i="44"/>
  <c r="C1029" i="44"/>
  <c r="C948" i="44"/>
  <c r="C887" i="44"/>
  <c r="C893" i="44"/>
  <c r="C834" i="44"/>
  <c r="C825" i="44"/>
  <c r="C1025" i="44"/>
  <c r="C1003" i="44"/>
  <c r="C946" i="44"/>
  <c r="C951" i="44"/>
  <c r="C1039" i="44"/>
  <c r="C791" i="44"/>
  <c r="C979" i="44"/>
  <c r="C894" i="44"/>
  <c r="C975" i="44"/>
  <c r="C987" i="44"/>
  <c r="C895" i="44"/>
  <c r="C848" i="44"/>
  <c r="C891" i="44"/>
  <c r="C974" i="44"/>
  <c r="C989" i="44"/>
  <c r="C878" i="44"/>
  <c r="C822" i="44"/>
  <c r="C978" i="44"/>
  <c r="C1045" i="44"/>
  <c r="C1015" i="44"/>
  <c r="C1002" i="44"/>
  <c r="C817" i="44"/>
  <c r="C888" i="44"/>
  <c r="C1027" i="44"/>
  <c r="C858" i="44"/>
  <c r="C933" i="44"/>
  <c r="C960" i="44"/>
  <c r="C847" i="44"/>
  <c r="C1052" i="44"/>
  <c r="C973" i="44"/>
  <c r="C949" i="44"/>
  <c r="C1057" i="44"/>
  <c r="C879" i="44"/>
  <c r="C866" i="44"/>
  <c r="C807" i="44"/>
  <c r="C939" i="44"/>
  <c r="C880" i="44"/>
  <c r="C995" i="44"/>
  <c r="C883" i="44"/>
  <c r="C853" i="44"/>
  <c r="C926" i="44"/>
  <c r="C988" i="44"/>
  <c r="C1043" i="44"/>
  <c r="C907" i="44"/>
  <c r="C984" i="44"/>
  <c r="C867" i="44"/>
  <c r="C923" i="44"/>
  <c r="C962" i="44"/>
  <c r="C1059" i="44"/>
  <c r="C1016" i="44"/>
  <c r="C950" i="44"/>
  <c r="C1068" i="44"/>
  <c r="C981" i="44"/>
  <c r="C841" i="44"/>
  <c r="C971" i="44"/>
  <c r="C901" i="44"/>
  <c r="C832" i="44"/>
  <c r="C811" i="44"/>
  <c r="C938" i="44"/>
  <c r="C806" i="44"/>
  <c r="C911" i="44"/>
  <c r="C932" i="44"/>
  <c r="C861" i="44"/>
  <c r="C1058" i="44"/>
  <c r="C985" i="44"/>
  <c r="C968" i="44"/>
  <c r="C886" i="44"/>
  <c r="C897" i="44"/>
  <c r="C935" i="44"/>
  <c r="C993" i="44"/>
  <c r="C870" i="44"/>
  <c r="C1055" i="44"/>
  <c r="C846" i="44"/>
  <c r="C831" i="44"/>
  <c r="C964" i="44"/>
  <c r="C828" i="44"/>
  <c r="C924" i="44"/>
  <c r="C1032" i="44"/>
  <c r="C796" i="44"/>
  <c r="C877" i="44"/>
  <c r="C871" i="44"/>
  <c r="C805" i="44"/>
  <c r="C970" i="44"/>
  <c r="C1061" i="44"/>
  <c r="C1070" i="44"/>
  <c r="C986" i="44"/>
  <c r="C823" i="44"/>
  <c r="C990" i="44"/>
  <c r="C1047" i="44"/>
  <c r="C1021" i="44"/>
  <c r="C906" i="44"/>
  <c r="C1011" i="44"/>
  <c r="C1028" i="44"/>
  <c r="C899" i="44"/>
  <c r="C792" i="44"/>
  <c r="C963" i="44"/>
  <c r="C890" i="44"/>
  <c r="C865" i="44"/>
  <c r="C845" i="44"/>
  <c r="C1013" i="44"/>
  <c r="C957" i="44"/>
  <c r="C876" i="44"/>
  <c r="C982" i="44"/>
  <c r="C804" i="44"/>
  <c r="C794" i="44"/>
  <c r="C829" i="44"/>
  <c r="C1060" i="44"/>
  <c r="C955" i="44"/>
  <c r="C934" i="44"/>
  <c r="C809" i="44"/>
  <c r="B304" i="30"/>
  <c r="B305" i="30" s="1"/>
  <c r="C852" i="44"/>
  <c r="C833" i="44"/>
  <c r="C1010" i="44"/>
  <c r="C966" i="44"/>
  <c r="C1012" i="44"/>
  <c r="C1036" i="44"/>
  <c r="C1006" i="44"/>
  <c r="C874" i="44"/>
  <c r="C1050" i="44"/>
  <c r="C821" i="44"/>
  <c r="C843" i="44"/>
  <c r="C789" i="44"/>
  <c r="C959" i="44"/>
  <c r="C905" i="44"/>
  <c r="C999" i="44"/>
  <c r="C1023" i="44"/>
  <c r="C919" i="44"/>
  <c r="C1009" i="44"/>
  <c r="C836" i="44"/>
  <c r="C803" i="44"/>
  <c r="C800" i="44"/>
  <c r="C1037" i="44"/>
  <c r="C1020" i="44"/>
  <c r="C910" i="44"/>
  <c r="C819" i="44"/>
  <c r="C922" i="44"/>
  <c r="C849" i="44"/>
  <c r="C954" i="44"/>
  <c r="C1072" i="44"/>
  <c r="C885" i="44"/>
  <c r="C898" i="44"/>
  <c r="C840" i="44"/>
  <c r="C1004" i="44"/>
  <c r="C812" i="44"/>
  <c r="C810" i="44"/>
  <c r="C851" i="44"/>
  <c r="C965" i="44"/>
  <c r="C1065" i="44"/>
  <c r="C1022" i="44"/>
  <c r="C873" i="44"/>
  <c r="C856" i="44"/>
  <c r="C920" i="44"/>
  <c r="C953" i="44"/>
  <c r="C929" i="44"/>
  <c r="C824" i="44"/>
  <c r="C1035" i="44"/>
  <c r="C860" i="44"/>
  <c r="C808" i="44"/>
  <c r="C881" i="44"/>
  <c r="C918" i="44"/>
  <c r="C947" i="44"/>
  <c r="C944" i="44"/>
  <c r="C1040" i="44"/>
  <c r="C1071" i="44"/>
  <c r="C882" i="44"/>
  <c r="C904" i="44"/>
  <c r="C855" i="44"/>
  <c r="C1053" i="44"/>
  <c r="C1019" i="44"/>
  <c r="C908" i="44"/>
  <c r="C838" i="44"/>
  <c r="C813" i="44"/>
  <c r="C996" i="44"/>
  <c r="C943" i="44"/>
  <c r="C786" i="44"/>
  <c r="C1064" i="44"/>
  <c r="C816" i="44"/>
  <c r="C967" i="44"/>
  <c r="C815" i="44"/>
  <c r="C956" i="44"/>
  <c r="C991" i="44"/>
  <c r="C788" i="44"/>
  <c r="C961" i="44"/>
  <c r="C977" i="44"/>
  <c r="C1024" i="44"/>
  <c r="C931" i="44"/>
  <c r="C793" i="44"/>
  <c r="C972" i="44"/>
  <c r="C925" i="44"/>
  <c r="C976" i="44"/>
  <c r="C854" i="44"/>
  <c r="C1034" i="44"/>
  <c r="C820" i="44"/>
  <c r="C1048" i="44"/>
  <c r="C936" i="44"/>
  <c r="C859" i="44"/>
  <c r="C903" i="44"/>
  <c r="C945" i="44"/>
  <c r="C884" i="44"/>
  <c r="C913" i="44"/>
  <c r="C1054" i="44"/>
  <c r="C1051" i="44"/>
  <c r="C1001" i="44"/>
  <c r="C983" i="44"/>
  <c r="C839" i="44"/>
  <c r="C1030" i="44"/>
  <c r="C1008" i="44"/>
  <c r="C802" i="44"/>
  <c r="C798" i="44"/>
  <c r="C921" i="44"/>
  <c r="C1046" i="44"/>
  <c r="C994" i="44"/>
  <c r="C930" i="44"/>
  <c r="C997" i="44"/>
  <c r="C1014" i="44"/>
  <c r="C896" i="44"/>
  <c r="C940" i="44"/>
  <c r="C889" i="44"/>
  <c r="C864" i="44"/>
  <c r="C912" i="44"/>
  <c r="C1000" i="44"/>
  <c r="B939" i="44"/>
  <c r="B2217" i="14"/>
  <c r="B922" i="44"/>
  <c r="B890" i="44"/>
  <c r="B886" i="44"/>
  <c r="B897" i="44"/>
  <c r="B888" i="44"/>
  <c r="B912" i="44"/>
  <c r="B900" i="44"/>
  <c r="B940" i="44"/>
  <c r="B915" i="44"/>
  <c r="B914" i="44"/>
  <c r="B937" i="44"/>
  <c r="B2294" i="14"/>
  <c r="B2245" i="14"/>
  <c r="B834" i="44"/>
  <c r="B2282" i="14"/>
  <c r="B911" i="44"/>
  <c r="B924" i="44"/>
  <c r="B895" i="44"/>
  <c r="B898" i="44"/>
  <c r="B2301" i="14"/>
  <c r="B907" i="44"/>
  <c r="B902" i="44"/>
  <c r="B896" i="44"/>
  <c r="B882" i="44"/>
  <c r="B833" i="44"/>
  <c r="B830" i="44"/>
  <c r="B846" i="44"/>
  <c r="B862" i="44"/>
  <c r="B864" i="44"/>
  <c r="B822" i="44"/>
  <c r="B815" i="44"/>
  <c r="B803" i="44"/>
  <c r="B844" i="44"/>
  <c r="B843" i="44"/>
  <c r="B879" i="44"/>
  <c r="B878" i="44"/>
  <c r="B855" i="44"/>
  <c r="B827" i="44"/>
  <c r="B842" i="44"/>
  <c r="B799" i="44"/>
  <c r="B875" i="44"/>
  <c r="B796" i="44"/>
  <c r="B836" i="44"/>
  <c r="B835" i="44"/>
  <c r="B795" i="44"/>
  <c r="B832" i="44"/>
  <c r="B794" i="44"/>
  <c r="B919" i="44"/>
  <c r="B801" i="44"/>
  <c r="B819" i="44"/>
  <c r="B828" i="44"/>
  <c r="B872" i="44"/>
  <c r="B821" i="44"/>
  <c r="B899" i="44"/>
  <c r="B820" i="44"/>
  <c r="B811" i="44"/>
  <c r="B880" i="44"/>
  <c r="B894" i="44"/>
  <c r="B863" i="44"/>
  <c r="B826" i="44"/>
  <c r="B871" i="44"/>
  <c r="B805" i="44"/>
  <c r="B847" i="44"/>
  <c r="B934" i="44"/>
  <c r="B804" i="44"/>
  <c r="B906" i="44"/>
  <c r="B807" i="44"/>
  <c r="B913" i="44"/>
  <c r="B873" i="44"/>
  <c r="B917" i="44"/>
  <c r="B2238" i="14"/>
  <c r="B885" i="44"/>
  <c r="B848" i="44"/>
  <c r="B918" i="44"/>
  <c r="B910" i="44"/>
  <c r="B2280" i="14"/>
  <c r="B892" i="44"/>
  <c r="B883" i="44"/>
  <c r="B933" i="44"/>
  <c r="B887" i="44"/>
  <c r="B809" i="44"/>
  <c r="B813" i="44"/>
  <c r="B905" i="44"/>
  <c r="B852" i="44"/>
  <c r="B867" i="44"/>
  <c r="B877" i="44"/>
  <c r="B930" i="44"/>
  <c r="B923" i="44"/>
  <c r="B802" i="44"/>
  <c r="B814" i="44"/>
  <c r="B903" i="44"/>
  <c r="B876" i="44"/>
  <c r="B816" i="44"/>
  <c r="B2210" i="14"/>
  <c r="B884" i="44"/>
  <c r="B889" i="44"/>
  <c r="B893" i="44"/>
  <c r="B2224" i="14"/>
  <c r="B865" i="44"/>
  <c r="B874" i="44"/>
  <c r="B904" i="44"/>
  <c r="B866" i="44"/>
  <c r="B931" i="44"/>
  <c r="B921" i="44"/>
  <c r="B936" i="44"/>
  <c r="B928" i="44"/>
  <c r="B942" i="44"/>
  <c r="B932" i="44"/>
  <c r="B929" i="44"/>
  <c r="B857" i="44"/>
  <c r="B901" i="44"/>
  <c r="B861" i="44"/>
  <c r="B909" i="44"/>
  <c r="B858" i="44"/>
  <c r="B920" i="44"/>
  <c r="B851" i="44"/>
  <c r="B840" i="44"/>
  <c r="B824" i="44"/>
  <c r="B818" i="44"/>
  <c r="B854" i="44"/>
  <c r="B941" i="44"/>
  <c r="B838" i="44"/>
  <c r="B793" i="44"/>
  <c r="B808" i="44"/>
  <c r="B870" i="44"/>
  <c r="B849" i="44"/>
  <c r="B784" i="44"/>
  <c r="B800" i="44"/>
  <c r="B881" i="44"/>
  <c r="B927" i="44"/>
  <c r="B925" i="44"/>
  <c r="B935" i="44"/>
  <c r="B2286" i="14"/>
  <c r="I2288" i="14"/>
  <c r="N2288" i="14" s="1"/>
  <c r="B2289" i="14" s="1"/>
  <c r="B792" i="44"/>
  <c r="B831" i="44"/>
  <c r="B2216" i="14"/>
  <c r="B891" i="44"/>
  <c r="B926" i="44"/>
  <c r="B787" i="44"/>
  <c r="B791" i="44"/>
  <c r="B916" i="44"/>
  <c r="B785" i="44"/>
  <c r="B845" i="44"/>
  <c r="B806" i="44"/>
  <c r="B789" i="44"/>
  <c r="I2225" i="14"/>
  <c r="N2225" i="14" s="1"/>
  <c r="B2226" i="14" s="1"/>
  <c r="B2223" i="14"/>
  <c r="B810" i="44"/>
  <c r="B860" i="44"/>
  <c r="B841" i="44"/>
  <c r="B850" i="44"/>
  <c r="B869" i="44"/>
  <c r="B823" i="44"/>
  <c r="B868" i="44"/>
  <c r="B856" i="44"/>
  <c r="B825" i="44"/>
  <c r="B837" i="44"/>
  <c r="B853" i="44"/>
  <c r="B817" i="44"/>
  <c r="B859" i="44"/>
  <c r="B829" i="44"/>
  <c r="C1391" i="37"/>
  <c r="B2128" i="14"/>
  <c r="C1407" i="37"/>
  <c r="C1386" i="37"/>
  <c r="C1403" i="37"/>
  <c r="C1385" i="37"/>
  <c r="C1404" i="37"/>
  <c r="C1363" i="37"/>
  <c r="C1388" i="37"/>
  <c r="C1405" i="37"/>
  <c r="C1389" i="37"/>
  <c r="C1387" i="37"/>
  <c r="C1394" i="37"/>
  <c r="C1398" i="37"/>
  <c r="C1390" i="37"/>
  <c r="C1400" i="37"/>
  <c r="C1395" i="37"/>
  <c r="C1399" i="37"/>
  <c r="C1396" i="37"/>
  <c r="C1406" i="37"/>
  <c r="C1401" i="37"/>
  <c r="B2114" i="14"/>
  <c r="C1393" i="37"/>
  <c r="C1397" i="37"/>
  <c r="C1392" i="37"/>
  <c r="C1402" i="37"/>
  <c r="C1360" i="37"/>
  <c r="C1383" i="37"/>
  <c r="C1369" i="37"/>
  <c r="C1381" i="37"/>
  <c r="C1375" i="37"/>
  <c r="C1361" i="37"/>
  <c r="C1373" i="37"/>
  <c r="C1367" i="37"/>
  <c r="C1382" i="37"/>
  <c r="C1365" i="37"/>
  <c r="C1380" i="37"/>
  <c r="C1374" i="37"/>
  <c r="C1372" i="37"/>
  <c r="C1366" i="37"/>
  <c r="C1384" i="37"/>
  <c r="C1378" i="37"/>
  <c r="C1364" i="37"/>
  <c r="C1379" i="37"/>
  <c r="C1376" i="37"/>
  <c r="C1370" i="37"/>
  <c r="C1371" i="37"/>
  <c r="C1368" i="37"/>
  <c r="C1362" i="37"/>
  <c r="C1377" i="37"/>
  <c r="B2091" i="14"/>
  <c r="D257" i="38"/>
  <c r="B2086" i="14"/>
  <c r="M4" i="46"/>
  <c r="B2268" i="14"/>
  <c r="C1347" i="37"/>
  <c r="C1323" i="37"/>
  <c r="C1335" i="37"/>
  <c r="C1337" i="37"/>
  <c r="C1327" i="37"/>
  <c r="C1334" i="37"/>
  <c r="C1330" i="37"/>
  <c r="C1324" i="37"/>
  <c r="C1340" i="37"/>
  <c r="C1329" i="37"/>
  <c r="C1328" i="37"/>
  <c r="C1325" i="37"/>
  <c r="C1333" i="37"/>
  <c r="C1336" i="37"/>
  <c r="C1326" i="37"/>
  <c r="C1321" i="37"/>
  <c r="C1320" i="37"/>
  <c r="C1332" i="37"/>
  <c r="C1350" i="37"/>
  <c r="C1348" i="37"/>
  <c r="C1343" i="37"/>
  <c r="B2105" i="14"/>
  <c r="C1351" i="37"/>
  <c r="C1339" i="37"/>
  <c r="C1359" i="37"/>
  <c r="C1346" i="37"/>
  <c r="C1322" i="37"/>
  <c r="C1354" i="37"/>
  <c r="C1342" i="37"/>
  <c r="C1356" i="37"/>
  <c r="B2107" i="14"/>
  <c r="B2112" i="14"/>
  <c r="B2084" i="14"/>
  <c r="C1344" i="37"/>
  <c r="C1357" i="37"/>
  <c r="C1341" i="37"/>
  <c r="C1338" i="37"/>
  <c r="C1331" i="37"/>
  <c r="B2266" i="14"/>
  <c r="C1349" i="37"/>
  <c r="C1355" i="37"/>
  <c r="C1352" i="37"/>
  <c r="C1358" i="37"/>
  <c r="C1345" i="37"/>
  <c r="B2126" i="14"/>
  <c r="C1353" i="37"/>
  <c r="V374" i="14"/>
  <c r="U374" i="14"/>
  <c r="W373" i="14"/>
  <c r="B373" i="14" s="1"/>
  <c r="T383" i="14"/>
  <c r="O17" i="18" l="1"/>
  <c r="D260" i="38"/>
  <c r="E267" i="38"/>
  <c r="D326" i="38"/>
  <c r="E339" i="38"/>
  <c r="B322" i="30"/>
  <c r="L347" i="30" s="1"/>
  <c r="D308" i="38"/>
  <c r="E323" i="38"/>
  <c r="V14" i="14"/>
  <c r="U14" i="14"/>
  <c r="E332" i="38"/>
  <c r="D336" i="38"/>
  <c r="D263" i="38"/>
  <c r="D316" i="38"/>
  <c r="E329" i="38"/>
  <c r="E259" i="38"/>
  <c r="E324" i="38"/>
  <c r="E255" i="38"/>
  <c r="D317" i="38"/>
  <c r="E325" i="38"/>
  <c r="E309" i="38"/>
  <c r="D313" i="38"/>
  <c r="D315" i="38"/>
  <c r="E321" i="38"/>
  <c r="D327" i="38"/>
  <c r="D331" i="38"/>
  <c r="D328" i="38"/>
  <c r="E310" i="38"/>
  <c r="D314" i="38"/>
  <c r="D303" i="38"/>
  <c r="D319" i="38"/>
  <c r="E304" i="38"/>
  <c r="D311" i="38"/>
  <c r="D312" i="38"/>
  <c r="E318" i="38"/>
  <c r="D261" i="38"/>
  <c r="D264" i="38"/>
  <c r="D265" i="38"/>
  <c r="E268" i="38"/>
  <c r="D335" i="38"/>
  <c r="D322" i="38"/>
  <c r="E330" i="38"/>
  <c r="D320" i="38"/>
  <c r="E270" i="38"/>
  <c r="D343" i="38"/>
  <c r="D355" i="38"/>
  <c r="E353" i="38"/>
  <c r="E287" i="38"/>
  <c r="D345" i="38"/>
  <c r="E346" i="38"/>
  <c r="D334" i="38"/>
  <c r="D266" i="38"/>
  <c r="E349" i="38"/>
  <c r="D356" i="38"/>
  <c r="E354" i="38"/>
  <c r="E344" i="38"/>
  <c r="E297" i="38"/>
  <c r="E360" i="38"/>
  <c r="E338" i="38"/>
  <c r="D295" i="38"/>
  <c r="D294" i="38"/>
  <c r="E340" i="38"/>
  <c r="D364" i="38"/>
  <c r="E298" i="38"/>
  <c r="D341" i="38"/>
  <c r="D275" i="38"/>
  <c r="E333" i="38"/>
  <c r="E337" i="38"/>
  <c r="D352" i="38"/>
  <c r="D362" i="38"/>
  <c r="E289" i="38"/>
  <c r="E277" i="38"/>
  <c r="E288" i="38"/>
  <c r="E276" i="38"/>
  <c r="D272" i="38"/>
  <c r="D363" i="38"/>
  <c r="D357" i="38"/>
  <c r="E285" i="38"/>
  <c r="D348" i="38"/>
  <c r="E258" i="38"/>
  <c r="D281" i="38"/>
  <c r="D342" i="38"/>
  <c r="D284" i="38"/>
  <c r="D262" i="38"/>
  <c r="D274" i="38"/>
  <c r="E271" i="38"/>
  <c r="E367" i="38"/>
  <c r="E305" i="38"/>
  <c r="E291" i="38"/>
  <c r="D292" i="38"/>
  <c r="D302" i="38"/>
  <c r="E299" i="38"/>
  <c r="E361" i="38"/>
  <c r="E358" i="38"/>
  <c r="E350" i="38"/>
  <c r="E300" i="38"/>
  <c r="D293" i="38"/>
  <c r="E273" i="38"/>
  <c r="D306" i="38"/>
  <c r="E282" i="38"/>
  <c r="E296" i="38"/>
  <c r="E307" i="38"/>
  <c r="E365" i="38"/>
  <c r="E290" i="38"/>
  <c r="E286" i="38"/>
  <c r="D278" i="38"/>
  <c r="D347" i="38"/>
  <c r="D269" i="38"/>
  <c r="D366" i="38"/>
  <c r="D301" i="38"/>
  <c r="D351" i="38"/>
  <c r="E280" i="38"/>
  <c r="E279" i="38"/>
  <c r="E359" i="38"/>
  <c r="E283" i="38"/>
  <c r="D21" i="38"/>
  <c r="E21" i="38"/>
  <c r="E166" i="38"/>
  <c r="D166" i="38"/>
  <c r="D25" i="38"/>
  <c r="E25" i="38"/>
  <c r="E170" i="38"/>
  <c r="D170" i="38"/>
  <c r="D29" i="38"/>
  <c r="E29" i="38"/>
  <c r="E174" i="38"/>
  <c r="D174" i="38"/>
  <c r="E97" i="38"/>
  <c r="D97" i="38"/>
  <c r="D242" i="38"/>
  <c r="E242" i="38"/>
  <c r="D20" i="38"/>
  <c r="E20" i="38"/>
  <c r="E165" i="38"/>
  <c r="D165" i="38"/>
  <c r="D24" i="38"/>
  <c r="E24" i="38"/>
  <c r="E169" i="38"/>
  <c r="D169" i="38"/>
  <c r="E28" i="38"/>
  <c r="D28" i="38"/>
  <c r="E173" i="38"/>
  <c r="D173" i="38"/>
  <c r="D96" i="38"/>
  <c r="E96" i="38"/>
  <c r="D241" i="38"/>
  <c r="E241" i="38"/>
  <c r="E91" i="38"/>
  <c r="D91" i="38"/>
  <c r="D228" i="38"/>
  <c r="E228" i="38"/>
  <c r="E87" i="38"/>
  <c r="D87" i="38"/>
  <c r="E232" i="38"/>
  <c r="D232" i="38"/>
  <c r="E99" i="38"/>
  <c r="D99" i="38"/>
  <c r="D236" i="38"/>
  <c r="E236" i="38"/>
  <c r="D14" i="38"/>
  <c r="E14" i="38"/>
  <c r="E159" i="38"/>
  <c r="D159" i="38"/>
  <c r="E18" i="38"/>
  <c r="D18" i="38"/>
  <c r="E171" i="38"/>
  <c r="D171" i="38"/>
  <c r="D22" i="38"/>
  <c r="E22" i="38"/>
  <c r="E167" i="38"/>
  <c r="D167" i="38"/>
  <c r="D26" i="38"/>
  <c r="E26" i="38"/>
  <c r="E179" i="38"/>
  <c r="D179" i="38"/>
  <c r="E13" i="38"/>
  <c r="D13" i="38"/>
  <c r="E158" i="38"/>
  <c r="D158" i="38"/>
  <c r="D81" i="38"/>
  <c r="E81" i="38"/>
  <c r="E226" i="38"/>
  <c r="D226" i="38"/>
  <c r="D85" i="38"/>
  <c r="E85" i="38"/>
  <c r="E230" i="38"/>
  <c r="D230" i="38"/>
  <c r="E89" i="38"/>
  <c r="D89" i="38"/>
  <c r="D234" i="38"/>
  <c r="E234" i="38"/>
  <c r="E93" i="38"/>
  <c r="D93" i="38"/>
  <c r="E238" i="38"/>
  <c r="D238" i="38"/>
  <c r="D16" i="38"/>
  <c r="E16" i="38"/>
  <c r="D161" i="38"/>
  <c r="E161" i="38"/>
  <c r="D84" i="38"/>
  <c r="E84" i="38"/>
  <c r="E229" i="38"/>
  <c r="D229" i="38"/>
  <c r="E88" i="38"/>
  <c r="D88" i="38"/>
  <c r="E233" i="38"/>
  <c r="D233" i="38"/>
  <c r="E19" i="38"/>
  <c r="D19" i="38"/>
  <c r="E92" i="38"/>
  <c r="D92" i="38"/>
  <c r="E237" i="38"/>
  <c r="D237" i="38"/>
  <c r="D15" i="38"/>
  <c r="E15" i="38"/>
  <c r="D160" i="38"/>
  <c r="E160" i="38"/>
  <c r="E155" i="38"/>
  <c r="D155" i="38"/>
  <c r="D151" i="38"/>
  <c r="E151" i="38"/>
  <c r="D163" i="38"/>
  <c r="E163" i="38"/>
  <c r="D78" i="38"/>
  <c r="E78" i="38"/>
  <c r="E223" i="38"/>
  <c r="D223" i="38"/>
  <c r="E82" i="38"/>
  <c r="D82" i="38"/>
  <c r="E235" i="38"/>
  <c r="D235" i="38"/>
  <c r="E86" i="38"/>
  <c r="D86" i="38"/>
  <c r="D231" i="38"/>
  <c r="E231" i="38"/>
  <c r="E90" i="38"/>
  <c r="D90" i="38"/>
  <c r="E243" i="38"/>
  <c r="D243" i="38"/>
  <c r="D77" i="38"/>
  <c r="E77" i="38"/>
  <c r="D222" i="38"/>
  <c r="E222" i="38"/>
  <c r="E145" i="38"/>
  <c r="D145" i="38"/>
  <c r="D149" i="38"/>
  <c r="E149" i="38"/>
  <c r="E153" i="38"/>
  <c r="D153" i="38"/>
  <c r="D12" i="38"/>
  <c r="E12" i="38"/>
  <c r="D157" i="38"/>
  <c r="E157" i="38"/>
  <c r="D80" i="38"/>
  <c r="E80" i="38"/>
  <c r="E225" i="38"/>
  <c r="D225" i="38"/>
  <c r="E11" i="38"/>
  <c r="D11" i="38"/>
  <c r="D148" i="38"/>
  <c r="E148" i="38"/>
  <c r="E152" i="38"/>
  <c r="D152" i="38"/>
  <c r="E83" i="38"/>
  <c r="D83" i="38"/>
  <c r="D156" i="38"/>
  <c r="E156" i="38"/>
  <c r="D79" i="38"/>
  <c r="E79" i="38"/>
  <c r="E224" i="38"/>
  <c r="D224" i="38"/>
  <c r="D66" i="38"/>
  <c r="E66" i="38"/>
  <c r="E219" i="38"/>
  <c r="D219" i="38"/>
  <c r="D70" i="38"/>
  <c r="E70" i="38"/>
  <c r="D215" i="38"/>
  <c r="E215" i="38"/>
  <c r="E74" i="38"/>
  <c r="D74" i="38"/>
  <c r="D227" i="38"/>
  <c r="E227" i="38"/>
  <c r="E142" i="38"/>
  <c r="D142" i="38"/>
  <c r="D146" i="38"/>
  <c r="E146" i="38"/>
  <c r="D150" i="38"/>
  <c r="E150" i="38"/>
  <c r="E154" i="38"/>
  <c r="D154" i="38"/>
  <c r="E141" i="38"/>
  <c r="D141" i="38"/>
  <c r="D64" i="38"/>
  <c r="E64" i="38"/>
  <c r="E209" i="38"/>
  <c r="D209" i="38"/>
  <c r="E68" i="38"/>
  <c r="D68" i="38"/>
  <c r="E213" i="38"/>
  <c r="D213" i="38"/>
  <c r="E72" i="38"/>
  <c r="D72" i="38"/>
  <c r="E217" i="38"/>
  <c r="D217" i="38"/>
  <c r="D76" i="38"/>
  <c r="E76" i="38"/>
  <c r="E221" i="38"/>
  <c r="D221" i="38"/>
  <c r="D144" i="38"/>
  <c r="E144" i="38"/>
  <c r="E75" i="38"/>
  <c r="D75" i="38"/>
  <c r="E212" i="38"/>
  <c r="D212" i="38"/>
  <c r="E71" i="38"/>
  <c r="D71" i="38"/>
  <c r="E216" i="38"/>
  <c r="D216" i="38"/>
  <c r="D147" i="38"/>
  <c r="E147" i="38"/>
  <c r="D220" i="38"/>
  <c r="E220" i="38"/>
  <c r="E143" i="38"/>
  <c r="D143" i="38"/>
  <c r="E130" i="38"/>
  <c r="D130" i="38"/>
  <c r="E53" i="38"/>
  <c r="D53" i="38"/>
  <c r="E134" i="38"/>
  <c r="D134" i="38"/>
  <c r="D57" i="38"/>
  <c r="E57" i="38"/>
  <c r="E138" i="38"/>
  <c r="D138" i="38"/>
  <c r="D61" i="38"/>
  <c r="E61" i="38"/>
  <c r="E206" i="38"/>
  <c r="D206" i="38"/>
  <c r="E65" i="38"/>
  <c r="D65" i="38"/>
  <c r="E210" i="38"/>
  <c r="D210" i="38"/>
  <c r="E69" i="38"/>
  <c r="D69" i="38"/>
  <c r="D214" i="38"/>
  <c r="E214" i="38"/>
  <c r="D73" i="38"/>
  <c r="E73" i="38"/>
  <c r="E218" i="38"/>
  <c r="D218" i="38"/>
  <c r="D60" i="38"/>
  <c r="E60" i="38"/>
  <c r="E205" i="38"/>
  <c r="D205" i="38"/>
  <c r="D128" i="38"/>
  <c r="E128" i="38"/>
  <c r="D59" i="38"/>
  <c r="E59" i="38"/>
  <c r="E132" i="38"/>
  <c r="D132" i="38"/>
  <c r="E55" i="38"/>
  <c r="D55" i="38"/>
  <c r="D136" i="38"/>
  <c r="E136" i="38"/>
  <c r="E67" i="38"/>
  <c r="D67" i="38"/>
  <c r="E140" i="38"/>
  <c r="D140" i="38"/>
  <c r="E63" i="38"/>
  <c r="D63" i="38"/>
  <c r="D208" i="38"/>
  <c r="E208" i="38"/>
  <c r="E139" i="38"/>
  <c r="D139" i="38"/>
  <c r="E54" i="38"/>
  <c r="D54" i="38"/>
  <c r="D135" i="38"/>
  <c r="E135" i="38"/>
  <c r="D58" i="38"/>
  <c r="E58" i="38"/>
  <c r="E211" i="38"/>
  <c r="D211" i="38"/>
  <c r="E62" i="38"/>
  <c r="D62" i="38"/>
  <c r="E207" i="38"/>
  <c r="D207" i="38"/>
  <c r="D194" i="38"/>
  <c r="E194" i="38"/>
  <c r="E117" i="38"/>
  <c r="D117" i="38"/>
  <c r="E198" i="38"/>
  <c r="D198" i="38"/>
  <c r="E121" i="38"/>
  <c r="D121" i="38"/>
  <c r="D202" i="38"/>
  <c r="E202" i="38"/>
  <c r="D125" i="38"/>
  <c r="E125" i="38"/>
  <c r="D48" i="38"/>
  <c r="E48" i="38"/>
  <c r="E129" i="38"/>
  <c r="D129" i="38"/>
  <c r="D52" i="38"/>
  <c r="E52" i="38"/>
  <c r="D133" i="38"/>
  <c r="E133" i="38"/>
  <c r="E56" i="38"/>
  <c r="D56" i="38"/>
  <c r="D137" i="38"/>
  <c r="E137" i="38"/>
  <c r="E124" i="38"/>
  <c r="D124" i="38"/>
  <c r="D47" i="38"/>
  <c r="E47" i="38"/>
  <c r="D192" i="38"/>
  <c r="E192" i="38"/>
  <c r="E123" i="38"/>
  <c r="D123" i="38"/>
  <c r="D196" i="38"/>
  <c r="E196" i="38"/>
  <c r="E119" i="38"/>
  <c r="D119" i="38"/>
  <c r="E200" i="38"/>
  <c r="D200" i="38"/>
  <c r="D131" i="38"/>
  <c r="E131" i="38"/>
  <c r="D204" i="38"/>
  <c r="E204" i="38"/>
  <c r="E127" i="38"/>
  <c r="D127" i="38"/>
  <c r="E50" i="38"/>
  <c r="D50" i="38"/>
  <c r="E203" i="38"/>
  <c r="D203" i="38"/>
  <c r="D118" i="38"/>
  <c r="E118" i="38"/>
  <c r="E199" i="38"/>
  <c r="D199" i="38"/>
  <c r="E122" i="38"/>
  <c r="D122" i="38"/>
  <c r="D126" i="38"/>
  <c r="E126" i="38"/>
  <c r="D49" i="38"/>
  <c r="E49" i="38"/>
  <c r="E36" i="38"/>
  <c r="D36" i="38"/>
  <c r="E181" i="38"/>
  <c r="D181" i="38"/>
  <c r="D40" i="38"/>
  <c r="E40" i="38"/>
  <c r="E185" i="38"/>
  <c r="D185" i="38"/>
  <c r="D44" i="38"/>
  <c r="E44" i="38"/>
  <c r="E189" i="38"/>
  <c r="D189" i="38"/>
  <c r="E112" i="38"/>
  <c r="D112" i="38"/>
  <c r="D193" i="38"/>
  <c r="E193" i="38"/>
  <c r="E116" i="38"/>
  <c r="D116" i="38"/>
  <c r="E197" i="38"/>
  <c r="D197" i="38"/>
  <c r="D120" i="38"/>
  <c r="E120" i="38"/>
  <c r="E201" i="38"/>
  <c r="D201" i="38"/>
  <c r="E188" i="38"/>
  <c r="D188" i="38"/>
  <c r="D111" i="38"/>
  <c r="E111" i="38"/>
  <c r="D256" i="38"/>
  <c r="E256" i="38"/>
  <c r="E34" i="38"/>
  <c r="D34" i="38"/>
  <c r="D187" i="38"/>
  <c r="E187" i="38"/>
  <c r="D38" i="38"/>
  <c r="E38" i="38"/>
  <c r="E183" i="38"/>
  <c r="D183" i="38"/>
  <c r="E42" i="38"/>
  <c r="D42" i="38"/>
  <c r="E195" i="38"/>
  <c r="D195" i="38"/>
  <c r="D46" i="38"/>
  <c r="E46" i="38"/>
  <c r="D191" i="38"/>
  <c r="E191" i="38"/>
  <c r="E114" i="38"/>
  <c r="D114" i="38"/>
  <c r="E37" i="38"/>
  <c r="D37" i="38"/>
  <c r="E182" i="38"/>
  <c r="D182" i="38"/>
  <c r="E41" i="38"/>
  <c r="D41" i="38"/>
  <c r="D186" i="38"/>
  <c r="E186" i="38"/>
  <c r="E45" i="38"/>
  <c r="D45" i="38"/>
  <c r="E190" i="38"/>
  <c r="D190" i="38"/>
  <c r="D113" i="38"/>
  <c r="E113" i="38"/>
  <c r="E100" i="38"/>
  <c r="D100" i="38"/>
  <c r="E245" i="38"/>
  <c r="D245" i="38"/>
  <c r="E104" i="38"/>
  <c r="D104" i="38"/>
  <c r="E249" i="38"/>
  <c r="D249" i="38"/>
  <c r="E108" i="38"/>
  <c r="D108" i="38"/>
  <c r="D253" i="38"/>
  <c r="E253" i="38"/>
  <c r="D31" i="38"/>
  <c r="E31" i="38"/>
  <c r="E176" i="38"/>
  <c r="D176" i="38"/>
  <c r="E43" i="38"/>
  <c r="D43" i="38"/>
  <c r="E180" i="38"/>
  <c r="D180" i="38"/>
  <c r="E39" i="38"/>
  <c r="D39" i="38"/>
  <c r="E184" i="38"/>
  <c r="D184" i="38"/>
  <c r="D51" i="38"/>
  <c r="E51" i="38"/>
  <c r="E252" i="38"/>
  <c r="D252" i="38"/>
  <c r="D30" i="38"/>
  <c r="E30" i="38"/>
  <c r="E175" i="38"/>
  <c r="D175" i="38"/>
  <c r="D98" i="38"/>
  <c r="E98" i="38"/>
  <c r="D251" i="38"/>
  <c r="E251" i="38"/>
  <c r="D102" i="38"/>
  <c r="E102" i="38"/>
  <c r="D247" i="38"/>
  <c r="E247" i="38"/>
  <c r="E106" i="38"/>
  <c r="D106" i="38"/>
  <c r="E110" i="38"/>
  <c r="D110" i="38"/>
  <c r="E33" i="38"/>
  <c r="D33" i="38"/>
  <c r="E178" i="38"/>
  <c r="D178" i="38"/>
  <c r="E101" i="38"/>
  <c r="D101" i="38"/>
  <c r="E246" i="38"/>
  <c r="D246" i="38"/>
  <c r="E105" i="38"/>
  <c r="D105" i="38"/>
  <c r="E250" i="38"/>
  <c r="D250" i="38"/>
  <c r="E109" i="38"/>
  <c r="D109" i="38"/>
  <c r="D254" i="38"/>
  <c r="E254" i="38"/>
  <c r="D32" i="38"/>
  <c r="E32" i="38"/>
  <c r="E177" i="38"/>
  <c r="D177" i="38"/>
  <c r="E27" i="38"/>
  <c r="D27" i="38"/>
  <c r="D164" i="38"/>
  <c r="E164" i="38"/>
  <c r="E23" i="38"/>
  <c r="D23" i="38"/>
  <c r="D168" i="38"/>
  <c r="E168" i="38"/>
  <c r="D35" i="38"/>
  <c r="E35" i="38"/>
  <c r="D172" i="38"/>
  <c r="E172" i="38"/>
  <c r="D95" i="38"/>
  <c r="E95" i="38"/>
  <c r="D240" i="38"/>
  <c r="E240" i="38"/>
  <c r="D107" i="38"/>
  <c r="E107" i="38"/>
  <c r="D244" i="38"/>
  <c r="E244" i="38"/>
  <c r="E103" i="38"/>
  <c r="D103" i="38"/>
  <c r="E248" i="38"/>
  <c r="D248" i="38"/>
  <c r="D115" i="38"/>
  <c r="E115" i="38"/>
  <c r="D94" i="38"/>
  <c r="E94" i="38"/>
  <c r="D239" i="38"/>
  <c r="E239" i="38"/>
  <c r="D17" i="38"/>
  <c r="E17" i="38"/>
  <c r="D162" i="38"/>
  <c r="E162" i="38"/>
  <c r="C1496" i="37"/>
  <c r="C1462" i="37"/>
  <c r="C1484" i="37"/>
  <c r="C1481" i="37"/>
  <c r="C1497" i="37"/>
  <c r="C1468" i="37"/>
  <c r="C1469" i="37"/>
  <c r="C1488" i="37"/>
  <c r="B2219" i="14"/>
  <c r="C1498" i="37"/>
  <c r="C1459" i="37"/>
  <c r="C1457" i="37"/>
  <c r="C1463" i="37"/>
  <c r="C1470" i="37"/>
  <c r="C1455" i="37"/>
  <c r="C1465" i="37"/>
  <c r="C1480" i="37"/>
  <c r="C1495" i="37"/>
  <c r="C1493" i="37"/>
  <c r="C1485" i="37"/>
  <c r="B2212" i="14"/>
  <c r="C1492" i="37"/>
  <c r="C1490" i="37"/>
  <c r="C1491" i="37"/>
  <c r="C1483" i="37"/>
  <c r="C1453" i="37"/>
  <c r="C1479" i="37"/>
  <c r="C1467" i="37"/>
  <c r="C1456" i="37"/>
  <c r="C1466" i="37"/>
  <c r="C1450" i="37"/>
  <c r="C1464" i="37"/>
  <c r="C1449" i="37"/>
  <c r="C1494" i="37"/>
  <c r="C1460" i="37"/>
  <c r="C1476" i="37"/>
  <c r="C1477" i="37"/>
  <c r="C1486" i="37"/>
  <c r="C1458" i="37"/>
  <c r="C1472" i="37"/>
  <c r="C1454" i="37"/>
  <c r="C1487" i="37"/>
  <c r="C1471" i="37"/>
  <c r="C1451" i="37"/>
  <c r="C1475" i="37"/>
  <c r="C1489" i="37"/>
  <c r="C1461" i="37"/>
  <c r="C1482" i="37"/>
  <c r="C1452" i="37"/>
  <c r="C1474" i="37"/>
  <c r="C1473" i="37"/>
  <c r="C1478" i="37"/>
  <c r="N13" i="46"/>
  <c r="M13" i="46"/>
  <c r="M14" i="46"/>
  <c r="T50" i="14"/>
  <c r="L346" i="30"/>
  <c r="L348" i="30" s="1"/>
  <c r="M5" i="46"/>
  <c r="T384" i="14"/>
  <c r="V375" i="14"/>
  <c r="U375" i="14"/>
  <c r="W374" i="14"/>
  <c r="M347" i="30" l="1"/>
  <c r="B323" i="30"/>
  <c r="U15" i="14"/>
  <c r="V15" i="14"/>
  <c r="M348" i="30"/>
  <c r="T51" i="14"/>
  <c r="V376" i="14"/>
  <c r="U376" i="14"/>
  <c r="W375" i="14"/>
  <c r="T385" i="14"/>
  <c r="V16" i="14" l="1"/>
  <c r="U16" i="14"/>
  <c r="T52" i="14"/>
  <c r="T386" i="14"/>
  <c r="U377" i="14"/>
  <c r="V377" i="14"/>
  <c r="W376" i="14"/>
  <c r="V17" i="14" l="1"/>
  <c r="U17" i="14"/>
  <c r="T53" i="14"/>
  <c r="U378" i="14"/>
  <c r="V378" i="14"/>
  <c r="W377" i="14"/>
  <c r="T387" i="14"/>
  <c r="U18" i="14" l="1"/>
  <c r="V18" i="14"/>
  <c r="T54" i="14"/>
  <c r="T388" i="14"/>
  <c r="U379" i="14"/>
  <c r="V379" i="14"/>
  <c r="W378" i="14"/>
  <c r="U19" i="14" l="1"/>
  <c r="V19" i="14"/>
  <c r="T55" i="14"/>
  <c r="U380" i="14"/>
  <c r="V380" i="14"/>
  <c r="W379" i="14"/>
  <c r="T389" i="14"/>
  <c r="U20" i="14" l="1"/>
  <c r="V20" i="14"/>
  <c r="T56" i="14"/>
  <c r="T390" i="14"/>
  <c r="V381" i="14"/>
  <c r="U381" i="14"/>
  <c r="W380" i="14"/>
  <c r="B380" i="14" s="1"/>
  <c r="U21" i="14" l="1"/>
  <c r="V21" i="14"/>
  <c r="T57" i="14"/>
  <c r="U382" i="14"/>
  <c r="V382" i="14"/>
  <c r="W381" i="14"/>
  <c r="T391" i="14"/>
  <c r="V22" i="14" l="1"/>
  <c r="U22" i="14"/>
  <c r="T58" i="14"/>
  <c r="T392" i="14"/>
  <c r="U383" i="14"/>
  <c r="V383" i="14"/>
  <c r="W382" i="14"/>
  <c r="V23" i="14" l="1"/>
  <c r="U23" i="14"/>
  <c r="T59" i="14"/>
  <c r="U384" i="14"/>
  <c r="V384" i="14"/>
  <c r="W383" i="14"/>
  <c r="T393" i="14"/>
  <c r="U24" i="14" l="1"/>
  <c r="V24" i="14"/>
  <c r="T60" i="14"/>
  <c r="T394" i="14"/>
  <c r="V385" i="14"/>
  <c r="U385" i="14"/>
  <c r="W384" i="14"/>
  <c r="U25" i="14" l="1"/>
  <c r="V25" i="14"/>
  <c r="T61" i="14"/>
  <c r="V386" i="14"/>
  <c r="U386" i="14"/>
  <c r="W385" i="14"/>
  <c r="T395" i="14"/>
  <c r="V26" i="14" l="1"/>
  <c r="U26" i="14"/>
  <c r="T62" i="14"/>
  <c r="T396" i="14"/>
  <c r="U387" i="14"/>
  <c r="V387" i="14"/>
  <c r="W386" i="14"/>
  <c r="V27" i="14" l="1"/>
  <c r="U27" i="14"/>
  <c r="T63" i="14"/>
  <c r="T397" i="14"/>
  <c r="V388" i="14"/>
  <c r="U388" i="14"/>
  <c r="W387" i="14"/>
  <c r="B387" i="14" s="1"/>
  <c r="V28" i="14" l="1"/>
  <c r="U28" i="14"/>
  <c r="T64" i="14"/>
  <c r="U389" i="14"/>
  <c r="V389" i="14"/>
  <c r="W388" i="14"/>
  <c r="T398" i="14"/>
  <c r="U29" i="14" l="1"/>
  <c r="V29" i="14"/>
  <c r="T65" i="14"/>
  <c r="T399" i="14"/>
  <c r="V390" i="14"/>
  <c r="U390" i="14"/>
  <c r="W389" i="14"/>
  <c r="U30" i="14" l="1"/>
  <c r="V30" i="14"/>
  <c r="T66" i="14"/>
  <c r="V391" i="14"/>
  <c r="U391" i="14"/>
  <c r="W390" i="14"/>
  <c r="T400" i="14"/>
  <c r="V31" i="14" l="1"/>
  <c r="U31" i="14"/>
  <c r="W30" i="14"/>
  <c r="B30" i="14" s="1"/>
  <c r="T67" i="14"/>
  <c r="T401" i="14"/>
  <c r="U392" i="14"/>
  <c r="V392" i="14"/>
  <c r="W391" i="14"/>
  <c r="U32" i="14" l="1"/>
  <c r="W31" i="14"/>
  <c r="V32" i="14"/>
  <c r="T68" i="14"/>
  <c r="V393" i="14"/>
  <c r="U393" i="14"/>
  <c r="W392" i="14"/>
  <c r="T402" i="14"/>
  <c r="U33" i="14" l="1"/>
  <c r="V33" i="14"/>
  <c r="W32" i="14"/>
  <c r="T69" i="14"/>
  <c r="T403" i="14"/>
  <c r="U394" i="14"/>
  <c r="V394" i="14"/>
  <c r="W393" i="14"/>
  <c r="V34" i="14" l="1"/>
  <c r="W33" i="14"/>
  <c r="U34" i="14"/>
  <c r="T70" i="14"/>
  <c r="V395" i="14"/>
  <c r="U395" i="14"/>
  <c r="W394" i="14"/>
  <c r="B394" i="14" s="1"/>
  <c r="T404" i="14"/>
  <c r="V35" i="14" l="1"/>
  <c r="W34" i="14"/>
  <c r="U35" i="14"/>
  <c r="T71" i="14"/>
  <c r="U396" i="14"/>
  <c r="V396" i="14"/>
  <c r="W395" i="14"/>
  <c r="T405" i="14"/>
  <c r="U36" i="14" l="1"/>
  <c r="W35" i="14"/>
  <c r="V36" i="14"/>
  <c r="T72" i="14"/>
  <c r="U397" i="14"/>
  <c r="V397" i="14"/>
  <c r="W396" i="14"/>
  <c r="T406" i="14"/>
  <c r="W36" i="14" l="1"/>
  <c r="U37" i="14"/>
  <c r="V37" i="14"/>
  <c r="T73" i="14"/>
  <c r="T407" i="14"/>
  <c r="U398" i="14"/>
  <c r="V398" i="14"/>
  <c r="W397" i="14"/>
  <c r="V38" i="14" l="1"/>
  <c r="U38" i="14"/>
  <c r="W37" i="14"/>
  <c r="B37" i="14" s="1"/>
  <c r="T74" i="14"/>
  <c r="V399" i="14"/>
  <c r="U399" i="14"/>
  <c r="W398" i="14"/>
  <c r="T408" i="14"/>
  <c r="V39" i="14" l="1"/>
  <c r="W38" i="14"/>
  <c r="U39" i="14"/>
  <c r="T75" i="14"/>
  <c r="T409" i="14"/>
  <c r="V400" i="14"/>
  <c r="U400" i="14"/>
  <c r="W399" i="14"/>
  <c r="V40" i="14" l="1"/>
  <c r="U40" i="14"/>
  <c r="W39" i="14"/>
  <c r="T76" i="14"/>
  <c r="V401" i="14"/>
  <c r="U401" i="14"/>
  <c r="W400" i="14"/>
  <c r="T410" i="14"/>
  <c r="V41" i="14" l="1"/>
  <c r="W40" i="14"/>
  <c r="U41" i="14"/>
  <c r="T77" i="14"/>
  <c r="T411" i="14"/>
  <c r="V402" i="14"/>
  <c r="U402" i="14"/>
  <c r="W401" i="14"/>
  <c r="B401" i="14" s="1"/>
  <c r="U42" i="14" l="1"/>
  <c r="V42" i="14"/>
  <c r="W41" i="14"/>
  <c r="T78" i="14"/>
  <c r="V403" i="14"/>
  <c r="U403" i="14"/>
  <c r="W402" i="14"/>
  <c r="T412" i="14"/>
  <c r="V43" i="14" l="1"/>
  <c r="U43" i="14"/>
  <c r="W42" i="14"/>
  <c r="T79" i="14"/>
  <c r="T413" i="14"/>
  <c r="V404" i="14"/>
  <c r="U404" i="14"/>
  <c r="W403" i="14"/>
  <c r="V44" i="14" l="1"/>
  <c r="U44" i="14"/>
  <c r="W43" i="14"/>
  <c r="T80" i="14"/>
  <c r="U405" i="14"/>
  <c r="V405" i="14"/>
  <c r="W404" i="14"/>
  <c r="T414" i="14"/>
  <c r="U45" i="14" l="1"/>
  <c r="V45" i="14"/>
  <c r="W44" i="14"/>
  <c r="B44" i="14" s="1"/>
  <c r="T81" i="14"/>
  <c r="V406" i="14"/>
  <c r="U406" i="14"/>
  <c r="W405" i="14"/>
  <c r="T415" i="14"/>
  <c r="U46" i="14" l="1"/>
  <c r="V46" i="14"/>
  <c r="W45" i="14"/>
  <c r="T82" i="14"/>
  <c r="T416" i="14"/>
  <c r="V407" i="14"/>
  <c r="U407" i="14"/>
  <c r="W406" i="14"/>
  <c r="U47" i="14" l="1"/>
  <c r="V47" i="14"/>
  <c r="W46" i="14"/>
  <c r="T83" i="14"/>
  <c r="U408" i="14"/>
  <c r="V408" i="14"/>
  <c r="W407" i="14"/>
  <c r="T417" i="14"/>
  <c r="V48" i="14" l="1"/>
  <c r="W47" i="14"/>
  <c r="U48" i="14"/>
  <c r="T84" i="14"/>
  <c r="U409" i="14"/>
  <c r="V409" i="14"/>
  <c r="W408" i="14"/>
  <c r="B408" i="14" s="1"/>
  <c r="T418" i="14"/>
  <c r="U49" i="14" l="1"/>
  <c r="V49" i="14"/>
  <c r="W48" i="14"/>
  <c r="T85" i="14"/>
  <c r="U410" i="14"/>
  <c r="V410" i="14"/>
  <c r="W409" i="14"/>
  <c r="T419" i="14"/>
  <c r="U50" i="14" l="1"/>
  <c r="V50" i="14"/>
  <c r="W49" i="14"/>
  <c r="T86" i="14"/>
  <c r="T420" i="14"/>
  <c r="U411" i="14"/>
  <c r="V411" i="14"/>
  <c r="W410" i="14"/>
  <c r="V51" i="14" l="1"/>
  <c r="U51" i="14"/>
  <c r="W50" i="14"/>
  <c r="T87" i="14"/>
  <c r="U412" i="14"/>
  <c r="V412" i="14"/>
  <c r="W411" i="14"/>
  <c r="T421" i="14"/>
  <c r="V52" i="14" l="1"/>
  <c r="U52" i="14"/>
  <c r="W51" i="14"/>
  <c r="B51" i="14" s="1"/>
  <c r="T88" i="14"/>
  <c r="T422" i="14"/>
  <c r="U413" i="14"/>
  <c r="V413" i="14"/>
  <c r="W412" i="14"/>
  <c r="U53" i="14" l="1"/>
  <c r="V53" i="14"/>
  <c r="W52" i="14"/>
  <c r="T89" i="14"/>
  <c r="U414" i="14"/>
  <c r="V414" i="14"/>
  <c r="W413" i="14"/>
  <c r="T423" i="14"/>
  <c r="V54" i="14" l="1"/>
  <c r="W53" i="14"/>
  <c r="U54" i="14"/>
  <c r="T90" i="14"/>
  <c r="T424" i="14"/>
  <c r="U415" i="14"/>
  <c r="V415" i="14"/>
  <c r="W414" i="14"/>
  <c r="V55" i="14" l="1"/>
  <c r="W54" i="14"/>
  <c r="U55" i="14"/>
  <c r="T91" i="14"/>
  <c r="U416" i="14"/>
  <c r="V416" i="14"/>
  <c r="W415" i="14"/>
  <c r="B415" i="14" s="1"/>
  <c r="T425" i="14"/>
  <c r="V56" i="14" l="1"/>
  <c r="U56" i="14"/>
  <c r="W55" i="14"/>
  <c r="T92" i="14"/>
  <c r="T426" i="14"/>
  <c r="V417" i="14"/>
  <c r="U417" i="14"/>
  <c r="W416" i="14"/>
  <c r="V57" i="14" l="1"/>
  <c r="U57" i="14"/>
  <c r="W56" i="14"/>
  <c r="T93" i="14"/>
  <c r="U418" i="14"/>
  <c r="V418" i="14"/>
  <c r="W417" i="14"/>
  <c r="T427" i="14"/>
  <c r="U58" i="14" l="1"/>
  <c r="V58" i="14"/>
  <c r="W57" i="14"/>
  <c r="T94" i="14"/>
  <c r="T428" i="14"/>
  <c r="V419" i="14"/>
  <c r="U419" i="14"/>
  <c r="W418" i="14"/>
  <c r="U59" i="14" l="1"/>
  <c r="V59" i="14"/>
  <c r="W58" i="14"/>
  <c r="B58" i="14" s="1"/>
  <c r="T95" i="14"/>
  <c r="V420" i="14"/>
  <c r="U420" i="14"/>
  <c r="W419" i="14"/>
  <c r="T429" i="14"/>
  <c r="V60" i="14" l="1"/>
  <c r="U60" i="14"/>
  <c r="W59" i="14"/>
  <c r="T96" i="14"/>
  <c r="T430" i="14"/>
  <c r="U421" i="14"/>
  <c r="V421" i="14"/>
  <c r="W420" i="14"/>
  <c r="V61" i="14" l="1"/>
  <c r="U61" i="14"/>
  <c r="W60" i="14"/>
  <c r="T97" i="14"/>
  <c r="U422" i="14"/>
  <c r="V422" i="14"/>
  <c r="W421" i="14"/>
  <c r="T431" i="14"/>
  <c r="V62" i="14" l="1"/>
  <c r="U62" i="14"/>
  <c r="W61" i="14"/>
  <c r="T98" i="14"/>
  <c r="T432" i="14"/>
  <c r="V423" i="14"/>
  <c r="U423" i="14"/>
  <c r="W422" i="14"/>
  <c r="B422" i="14" s="1"/>
  <c r="V63" i="14" l="1"/>
  <c r="U63" i="14"/>
  <c r="W62" i="14"/>
  <c r="T99" i="14"/>
  <c r="V424" i="14"/>
  <c r="U424" i="14"/>
  <c r="W423" i="14"/>
  <c r="T433" i="14"/>
  <c r="W63" i="14" l="1"/>
  <c r="V64" i="14"/>
  <c r="U64" i="14"/>
  <c r="T100" i="14"/>
  <c r="T434" i="14"/>
  <c r="U425" i="14"/>
  <c r="V425" i="14"/>
  <c r="W424" i="14"/>
  <c r="V65" i="14" l="1"/>
  <c r="U65" i="14"/>
  <c r="W64" i="14"/>
  <c r="T101" i="14"/>
  <c r="T435" i="14"/>
  <c r="V426" i="14"/>
  <c r="U426" i="14"/>
  <c r="W425" i="14"/>
  <c r="U66" i="14" l="1"/>
  <c r="V66" i="14"/>
  <c r="W65" i="14"/>
  <c r="B65" i="14" s="1"/>
  <c r="T102" i="14"/>
  <c r="V427" i="14"/>
  <c r="U427" i="14"/>
  <c r="W426" i="14"/>
  <c r="T436" i="14"/>
  <c r="V67" i="14" l="1"/>
  <c r="U67" i="14"/>
  <c r="W66" i="14"/>
  <c r="T103" i="14"/>
  <c r="T437" i="14"/>
  <c r="V428" i="14"/>
  <c r="U428" i="14"/>
  <c r="W427" i="14"/>
  <c r="U68" i="14" l="1"/>
  <c r="V68" i="14"/>
  <c r="W67" i="14"/>
  <c r="T104" i="14"/>
  <c r="U429" i="14"/>
  <c r="V429" i="14"/>
  <c r="W428" i="14"/>
  <c r="T438" i="14"/>
  <c r="U69" i="14" l="1"/>
  <c r="V69" i="14"/>
  <c r="W68" i="14"/>
  <c r="T105" i="14"/>
  <c r="T439" i="14"/>
  <c r="V430" i="14"/>
  <c r="U430" i="14"/>
  <c r="W429" i="14"/>
  <c r="B429" i="14" s="1"/>
  <c r="U70" i="14" l="1"/>
  <c r="V70" i="14"/>
  <c r="W69" i="14"/>
  <c r="T106" i="14"/>
  <c r="V431" i="14"/>
  <c r="U431" i="14"/>
  <c r="W430" i="14"/>
  <c r="T440" i="14"/>
  <c r="U71" i="14" l="1"/>
  <c r="V71" i="14"/>
  <c r="W70" i="14"/>
  <c r="T107" i="14"/>
  <c r="T441" i="14"/>
  <c r="V432" i="14"/>
  <c r="U432" i="14"/>
  <c r="W431" i="14"/>
  <c r="U72" i="14" l="1"/>
  <c r="V72" i="14"/>
  <c r="W71" i="14"/>
  <c r="T108" i="14"/>
  <c r="T442" i="14"/>
  <c r="U433" i="14"/>
  <c r="V433" i="14"/>
  <c r="W432" i="14"/>
  <c r="V73" i="14" l="1"/>
  <c r="U73" i="14"/>
  <c r="W72" i="14"/>
  <c r="B72" i="14" s="1"/>
  <c r="T109" i="14"/>
  <c r="V434" i="14"/>
  <c r="U434" i="14"/>
  <c r="W433" i="14"/>
  <c r="T443" i="14"/>
  <c r="U74" i="14" l="1"/>
  <c r="W73" i="14"/>
  <c r="V74" i="14"/>
  <c r="T110" i="14"/>
  <c r="T444" i="14"/>
  <c r="U435" i="14"/>
  <c r="V435" i="14"/>
  <c r="W434" i="14"/>
  <c r="V75" i="14" l="1"/>
  <c r="U75" i="14"/>
  <c r="W74" i="14"/>
  <c r="T111" i="14"/>
  <c r="U436" i="14"/>
  <c r="V436" i="14"/>
  <c r="W435" i="14"/>
  <c r="T445" i="14"/>
  <c r="U76" i="14" l="1"/>
  <c r="V76" i="14"/>
  <c r="W75" i="14"/>
  <c r="T112" i="14"/>
  <c r="T446" i="14"/>
  <c r="V437" i="14"/>
  <c r="U437" i="14"/>
  <c r="W436" i="14"/>
  <c r="B436" i="14" s="1"/>
  <c r="U77" i="14" l="1"/>
  <c r="W76" i="14"/>
  <c r="V77" i="14"/>
  <c r="T113" i="14"/>
  <c r="V438" i="14"/>
  <c r="U438" i="14"/>
  <c r="W437" i="14"/>
  <c r="T447" i="14"/>
  <c r="U78" i="14" l="1"/>
  <c r="V78" i="14"/>
  <c r="W77" i="14"/>
  <c r="T114" i="14"/>
  <c r="T448" i="14"/>
  <c r="V439" i="14"/>
  <c r="U439" i="14"/>
  <c r="W438" i="14"/>
  <c r="U79" i="14" l="1"/>
  <c r="V79" i="14"/>
  <c r="W78" i="14"/>
  <c r="T115" i="14"/>
  <c r="U440" i="14"/>
  <c r="V440" i="14"/>
  <c r="W439" i="14"/>
  <c r="T449" i="14"/>
  <c r="U80" i="14" l="1"/>
  <c r="V80" i="14"/>
  <c r="W79" i="14"/>
  <c r="B79" i="14" s="1"/>
  <c r="T116" i="14"/>
  <c r="T450" i="14"/>
  <c r="U441" i="14"/>
  <c r="V441" i="14"/>
  <c r="W440" i="14"/>
  <c r="U81" i="14" l="1"/>
  <c r="V81" i="14"/>
  <c r="W80" i="14"/>
  <c r="T117" i="14"/>
  <c r="U442" i="14"/>
  <c r="V442" i="14"/>
  <c r="W441" i="14"/>
  <c r="T451" i="14"/>
  <c r="U82" i="14" l="1"/>
  <c r="V82" i="14"/>
  <c r="W81" i="14"/>
  <c r="T118" i="14"/>
  <c r="U443" i="14"/>
  <c r="V443" i="14"/>
  <c r="W442" i="14"/>
  <c r="T452" i="14"/>
  <c r="U83" i="14" l="1"/>
  <c r="V83" i="14"/>
  <c r="W82" i="14"/>
  <c r="T119" i="14"/>
  <c r="T453" i="14"/>
  <c r="U444" i="14"/>
  <c r="V444" i="14"/>
  <c r="W443" i="14"/>
  <c r="B443" i="14" s="1"/>
  <c r="V84" i="14" l="1"/>
  <c r="U84" i="14"/>
  <c r="W83" i="14"/>
  <c r="T120" i="14"/>
  <c r="V445" i="14"/>
  <c r="U445" i="14"/>
  <c r="W444" i="14"/>
  <c r="T454" i="14"/>
  <c r="U85" i="14" l="1"/>
  <c r="W84" i="14"/>
  <c r="V85" i="14"/>
  <c r="T121" i="14"/>
  <c r="T455" i="14"/>
  <c r="U446" i="14"/>
  <c r="V446" i="14"/>
  <c r="W445" i="14"/>
  <c r="U86" i="14" l="1"/>
  <c r="V86" i="14"/>
  <c r="W85" i="14"/>
  <c r="T122" i="14"/>
  <c r="U447" i="14"/>
  <c r="V447" i="14"/>
  <c r="W446" i="14"/>
  <c r="T456" i="14"/>
  <c r="U87" i="14" l="1"/>
  <c r="W86" i="14"/>
  <c r="B86" i="14" s="1"/>
  <c r="V87" i="14"/>
  <c r="T123" i="14"/>
  <c r="T457" i="14"/>
  <c r="U448" i="14"/>
  <c r="V448" i="14"/>
  <c r="W447" i="14"/>
  <c r="V88" i="14" l="1"/>
  <c r="U88" i="14"/>
  <c r="W87" i="14"/>
  <c r="T124" i="14"/>
  <c r="V449" i="14"/>
  <c r="U449" i="14"/>
  <c r="W448" i="14"/>
  <c r="T458" i="14"/>
  <c r="V89" i="14" l="1"/>
  <c r="W88" i="14"/>
  <c r="U89" i="14"/>
  <c r="T125" i="14"/>
  <c r="T459" i="14"/>
  <c r="U450" i="14"/>
  <c r="V450" i="14"/>
  <c r="W449" i="14"/>
  <c r="V90" i="14" l="1"/>
  <c r="W89" i="14"/>
  <c r="U90" i="14"/>
  <c r="T126" i="14"/>
  <c r="U451" i="14"/>
  <c r="V451" i="14"/>
  <c r="W450" i="14"/>
  <c r="B450" i="14" s="1"/>
  <c r="T460" i="14"/>
  <c r="W90" i="14" l="1"/>
  <c r="V91" i="14"/>
  <c r="U91" i="14"/>
  <c r="T127" i="14"/>
  <c r="T461" i="14"/>
  <c r="U452" i="14"/>
  <c r="V452" i="14"/>
  <c r="W451" i="14"/>
  <c r="U92" i="14" l="1"/>
  <c r="V92" i="14"/>
  <c r="W91" i="14"/>
  <c r="T128" i="14"/>
  <c r="U453" i="14"/>
  <c r="V453" i="14"/>
  <c r="W452" i="14"/>
  <c r="T462" i="14"/>
  <c r="U93" i="14" l="1"/>
  <c r="W92" i="14"/>
  <c r="V93" i="14"/>
  <c r="T129" i="14"/>
  <c r="T463" i="14"/>
  <c r="U454" i="14"/>
  <c r="V454" i="14"/>
  <c r="W453" i="14"/>
  <c r="V94" i="14" l="1"/>
  <c r="U94" i="14"/>
  <c r="W93" i="14"/>
  <c r="B93" i="14" s="1"/>
  <c r="T130" i="14"/>
  <c r="U455" i="14"/>
  <c r="V455" i="14"/>
  <c r="W454" i="14"/>
  <c r="T464" i="14"/>
  <c r="U95" i="14" l="1"/>
  <c r="W94" i="14"/>
  <c r="V95" i="14"/>
  <c r="T131" i="14"/>
  <c r="T465" i="14"/>
  <c r="V456" i="14"/>
  <c r="U456" i="14"/>
  <c r="W455" i="14"/>
  <c r="V96" i="14" l="1"/>
  <c r="W95" i="14"/>
  <c r="U96" i="14"/>
  <c r="T132" i="14"/>
  <c r="U457" i="14"/>
  <c r="V457" i="14"/>
  <c r="W456" i="14"/>
  <c r="T466" i="14"/>
  <c r="U97" i="14" l="1"/>
  <c r="V97" i="14"/>
  <c r="W96" i="14"/>
  <c r="T133" i="14"/>
  <c r="T467" i="14"/>
  <c r="U458" i="14"/>
  <c r="V458" i="14"/>
  <c r="W457" i="14"/>
  <c r="B457" i="14" s="1"/>
  <c r="U98" i="14" l="1"/>
  <c r="V98" i="14"/>
  <c r="W97" i="14"/>
  <c r="T134" i="14"/>
  <c r="T468" i="14"/>
  <c r="U459" i="14"/>
  <c r="V459" i="14"/>
  <c r="W458" i="14"/>
  <c r="U99" i="14" l="1"/>
  <c r="V99" i="14"/>
  <c r="W98" i="14"/>
  <c r="T135" i="14"/>
  <c r="U460" i="14"/>
  <c r="V460" i="14"/>
  <c r="W459" i="14"/>
  <c r="T469" i="14"/>
  <c r="U100" i="14" l="1"/>
  <c r="V100" i="14"/>
  <c r="W99" i="14"/>
  <c r="T136" i="14"/>
  <c r="T470" i="14"/>
  <c r="V461" i="14"/>
  <c r="U461" i="14"/>
  <c r="W460" i="14"/>
  <c r="U101" i="14" l="1"/>
  <c r="V101" i="14"/>
  <c r="W100" i="14"/>
  <c r="B100" i="14" s="1"/>
  <c r="T137" i="14"/>
  <c r="V462" i="14"/>
  <c r="U462" i="14"/>
  <c r="W461" i="14"/>
  <c r="T471" i="14"/>
  <c r="V102" i="14" l="1"/>
  <c r="U102" i="14"/>
  <c r="W101" i="14"/>
  <c r="T138" i="14"/>
  <c r="T472" i="14"/>
  <c r="V463" i="14"/>
  <c r="U463" i="14"/>
  <c r="W462" i="14"/>
  <c r="U103" i="14" l="1"/>
  <c r="V103" i="14"/>
  <c r="W102" i="14"/>
  <c r="T139" i="14"/>
  <c r="V464" i="14"/>
  <c r="U464" i="14"/>
  <c r="W463" i="14"/>
  <c r="T473" i="14"/>
  <c r="U104" i="14" l="1"/>
  <c r="V104" i="14"/>
  <c r="W103" i="14"/>
  <c r="T140" i="14"/>
  <c r="T474" i="14"/>
  <c r="U465" i="14"/>
  <c r="V465" i="14"/>
  <c r="W464" i="14"/>
  <c r="B464" i="14" s="1"/>
  <c r="V105" i="14" l="1"/>
  <c r="U105" i="14"/>
  <c r="W104" i="14"/>
  <c r="T141" i="14"/>
  <c r="V466" i="14"/>
  <c r="U466" i="14"/>
  <c r="W465" i="14"/>
  <c r="T475" i="14"/>
  <c r="V106" i="14" l="1"/>
  <c r="U106" i="14"/>
  <c r="W105" i="14"/>
  <c r="T142" i="14"/>
  <c r="T476" i="14"/>
  <c r="V467" i="14"/>
  <c r="U467" i="14"/>
  <c r="W466" i="14"/>
  <c r="V107" i="14" l="1"/>
  <c r="U107" i="14"/>
  <c r="W106" i="14"/>
  <c r="T143" i="14"/>
  <c r="V468" i="14"/>
  <c r="U468" i="14"/>
  <c r="W467" i="14"/>
  <c r="T477" i="14"/>
  <c r="V108" i="14" l="1"/>
  <c r="U108" i="14"/>
  <c r="W107" i="14"/>
  <c r="B107" i="14" s="1"/>
  <c r="T144" i="14"/>
  <c r="T478" i="14"/>
  <c r="U469" i="14"/>
  <c r="V469" i="14"/>
  <c r="W468" i="14"/>
  <c r="U109" i="14" l="1"/>
  <c r="V109" i="14"/>
  <c r="W108" i="14"/>
  <c r="T145" i="14"/>
  <c r="V470" i="14"/>
  <c r="U470" i="14"/>
  <c r="W469" i="14"/>
  <c r="T479" i="14"/>
  <c r="U110" i="14" l="1"/>
  <c r="V110" i="14"/>
  <c r="W109" i="14"/>
  <c r="T146" i="14"/>
  <c r="T480" i="14"/>
  <c r="U471" i="14"/>
  <c r="V471" i="14"/>
  <c r="W470" i="14"/>
  <c r="W110" i="14" l="1"/>
  <c r="U111" i="14"/>
  <c r="V111" i="14"/>
  <c r="T147" i="14"/>
  <c r="V472" i="14"/>
  <c r="U472" i="14"/>
  <c r="W471" i="14"/>
  <c r="B471" i="14" s="1"/>
  <c r="T481" i="14"/>
  <c r="V112" i="14" l="1"/>
  <c r="U112" i="14"/>
  <c r="W111" i="14"/>
  <c r="T148" i="14"/>
  <c r="T482" i="14"/>
  <c r="U473" i="14"/>
  <c r="V473" i="14"/>
  <c r="W472" i="14"/>
  <c r="V113" i="14" l="1"/>
  <c r="U113" i="14"/>
  <c r="W112" i="14"/>
  <c r="T149" i="14"/>
  <c r="U474" i="14"/>
  <c r="V474" i="14"/>
  <c r="W473" i="14"/>
  <c r="T483" i="14"/>
  <c r="V114" i="14" l="1"/>
  <c r="U114" i="14"/>
  <c r="W113" i="14"/>
  <c r="T150" i="14"/>
  <c r="T484" i="14"/>
  <c r="U475" i="14"/>
  <c r="V475" i="14"/>
  <c r="W474" i="14"/>
  <c r="V115" i="14" l="1"/>
  <c r="U115" i="14"/>
  <c r="W114" i="14"/>
  <c r="B114" i="14" s="1"/>
  <c r="T151" i="14"/>
  <c r="U476" i="14"/>
  <c r="V476" i="14"/>
  <c r="W475" i="14"/>
  <c r="T485" i="14"/>
  <c r="V116" i="14" l="1"/>
  <c r="U116" i="14"/>
  <c r="W115" i="14"/>
  <c r="T152" i="14"/>
  <c r="T486" i="14"/>
  <c r="U477" i="14"/>
  <c r="V477" i="14"/>
  <c r="W476" i="14"/>
  <c r="V117" i="14" l="1"/>
  <c r="W116" i="14"/>
  <c r="U117" i="14"/>
  <c r="T153" i="14"/>
  <c r="U478" i="14"/>
  <c r="V478" i="14"/>
  <c r="W477" i="14"/>
  <c r="T487" i="14"/>
  <c r="U118" i="14" l="1"/>
  <c r="V118" i="14"/>
  <c r="W117" i="14"/>
  <c r="T154" i="14"/>
  <c r="T488" i="14"/>
  <c r="U479" i="14"/>
  <c r="V479" i="14"/>
  <c r="W478" i="14"/>
  <c r="B478" i="14" s="1"/>
  <c r="U119" i="14" l="1"/>
  <c r="V119" i="14"/>
  <c r="W118" i="14"/>
  <c r="T155" i="14"/>
  <c r="V480" i="14"/>
  <c r="U480" i="14"/>
  <c r="W479" i="14"/>
  <c r="T489" i="14"/>
  <c r="V120" i="14" l="1"/>
  <c r="U120" i="14"/>
  <c r="W119" i="14"/>
  <c r="T156" i="14"/>
  <c r="T490" i="14"/>
  <c r="U481" i="14"/>
  <c r="V481" i="14"/>
  <c r="W480" i="14"/>
  <c r="U121" i="14" l="1"/>
  <c r="V121" i="14"/>
  <c r="W120" i="14"/>
  <c r="T157" i="14"/>
  <c r="U482" i="14"/>
  <c r="V482" i="14"/>
  <c r="W481" i="14"/>
  <c r="T491" i="14"/>
  <c r="U122" i="14" l="1"/>
  <c r="V122" i="14"/>
  <c r="W121" i="14"/>
  <c r="B121" i="14" s="1"/>
  <c r="T158" i="14"/>
  <c r="T492" i="14"/>
  <c r="V483" i="14"/>
  <c r="U483" i="14"/>
  <c r="W482" i="14"/>
  <c r="U123" i="14" l="1"/>
  <c r="V123" i="14"/>
  <c r="W122" i="14"/>
  <c r="T159" i="14"/>
  <c r="U484" i="14"/>
  <c r="V484" i="14"/>
  <c r="W483" i="14"/>
  <c r="T493" i="14"/>
  <c r="V124" i="14" l="1"/>
  <c r="U124" i="14"/>
  <c r="W123" i="14"/>
  <c r="T160" i="14"/>
  <c r="T494" i="14"/>
  <c r="U485" i="14"/>
  <c r="V485" i="14"/>
  <c r="W484" i="14"/>
  <c r="W124" i="14" l="1"/>
  <c r="V125" i="14"/>
  <c r="U125" i="14"/>
  <c r="T161" i="14"/>
  <c r="U486" i="14"/>
  <c r="V486" i="14"/>
  <c r="W485" i="14"/>
  <c r="B485" i="14" s="1"/>
  <c r="T495" i="14"/>
  <c r="U126" i="14" l="1"/>
  <c r="V126" i="14"/>
  <c r="W125" i="14"/>
  <c r="T162" i="14"/>
  <c r="T496" i="14"/>
  <c r="V487" i="14"/>
  <c r="U487" i="14"/>
  <c r="W486" i="14"/>
  <c r="U127" i="14" l="1"/>
  <c r="V127" i="14"/>
  <c r="W126" i="14"/>
  <c r="T163" i="14"/>
  <c r="V488" i="14"/>
  <c r="U488" i="14"/>
  <c r="W487" i="14"/>
  <c r="T497" i="14"/>
  <c r="V128" i="14" l="1"/>
  <c r="W127" i="14"/>
  <c r="U128" i="14"/>
  <c r="T164" i="14"/>
  <c r="T498" i="14"/>
  <c r="U489" i="14"/>
  <c r="V489" i="14"/>
  <c r="W488" i="14"/>
  <c r="V129" i="14" l="1"/>
  <c r="U129" i="14"/>
  <c r="W128" i="14"/>
  <c r="B128" i="14" s="1"/>
  <c r="T165" i="14"/>
  <c r="V490" i="14"/>
  <c r="U490" i="14"/>
  <c r="W489" i="14"/>
  <c r="T499" i="14"/>
  <c r="U130" i="14" l="1"/>
  <c r="V130" i="14"/>
  <c r="W129" i="14"/>
  <c r="T166" i="14"/>
  <c r="T500" i="14"/>
  <c r="U491" i="14"/>
  <c r="V491" i="14"/>
  <c r="W490" i="14"/>
  <c r="V131" i="14" l="1"/>
  <c r="U131" i="14"/>
  <c r="W130" i="14"/>
  <c r="T167" i="14"/>
  <c r="V492" i="14"/>
  <c r="U492" i="14"/>
  <c r="W491" i="14"/>
  <c r="T501" i="14"/>
  <c r="V132" i="14" l="1"/>
  <c r="U132" i="14"/>
  <c r="W131" i="14"/>
  <c r="T168" i="14"/>
  <c r="T502" i="14"/>
  <c r="U493" i="14"/>
  <c r="V493" i="14"/>
  <c r="W492" i="14"/>
  <c r="B492" i="14" s="1"/>
  <c r="U133" i="14" l="1"/>
  <c r="V133" i="14"/>
  <c r="W132" i="14"/>
  <c r="T169" i="14"/>
  <c r="U494" i="14"/>
  <c r="V494" i="14"/>
  <c r="W493" i="14"/>
  <c r="T503" i="14"/>
  <c r="U134" i="14" l="1"/>
  <c r="V134" i="14"/>
  <c r="W133" i="14"/>
  <c r="T170" i="14"/>
  <c r="T504" i="14"/>
  <c r="U495" i="14"/>
  <c r="V495" i="14"/>
  <c r="W494" i="14"/>
  <c r="V135" i="14" l="1"/>
  <c r="U135" i="14"/>
  <c r="W134" i="14"/>
  <c r="T171" i="14"/>
  <c r="U496" i="14"/>
  <c r="V496" i="14"/>
  <c r="W495" i="14"/>
  <c r="T505" i="14"/>
  <c r="V136" i="14" l="1"/>
  <c r="U136" i="14"/>
  <c r="W135" i="14"/>
  <c r="B135" i="14" s="1"/>
  <c r="T172" i="14"/>
  <c r="T506" i="14"/>
  <c r="U497" i="14"/>
  <c r="V497" i="14"/>
  <c r="W496" i="14"/>
  <c r="W136" i="14" l="1"/>
  <c r="U137" i="14"/>
  <c r="V137" i="14"/>
  <c r="T173" i="14"/>
  <c r="V498" i="14"/>
  <c r="U498" i="14"/>
  <c r="W497" i="14"/>
  <c r="T507" i="14"/>
  <c r="U138" i="14" l="1"/>
  <c r="V138" i="14"/>
  <c r="W137" i="14"/>
  <c r="T174" i="14"/>
  <c r="T508" i="14"/>
  <c r="U499" i="14"/>
  <c r="V499" i="14"/>
  <c r="W498" i="14"/>
  <c r="U139" i="14" l="1"/>
  <c r="V139" i="14"/>
  <c r="W138" i="14"/>
  <c r="T175" i="14"/>
  <c r="U500" i="14"/>
  <c r="V500" i="14"/>
  <c r="W499" i="14"/>
  <c r="B499" i="14" s="1"/>
  <c r="T509" i="14"/>
  <c r="U140" i="14" l="1"/>
  <c r="W139" i="14"/>
  <c r="V140" i="14"/>
  <c r="T176" i="14"/>
  <c r="T510" i="14"/>
  <c r="V501" i="14"/>
  <c r="U501" i="14"/>
  <c r="W500" i="14"/>
  <c r="V141" i="14" l="1"/>
  <c r="W140" i="14"/>
  <c r="U141" i="14"/>
  <c r="T177" i="14"/>
  <c r="U502" i="14"/>
  <c r="V502" i="14"/>
  <c r="W501" i="14"/>
  <c r="T511" i="14"/>
  <c r="V142" i="14" l="1"/>
  <c r="U142" i="14"/>
  <c r="W141" i="14"/>
  <c r="T178" i="14"/>
  <c r="T512" i="14"/>
  <c r="V503" i="14"/>
  <c r="U503" i="14"/>
  <c r="W502" i="14"/>
  <c r="U143" i="14" l="1"/>
  <c r="W142" i="14"/>
  <c r="B142" i="14" s="1"/>
  <c r="V143" i="14"/>
  <c r="T179" i="14"/>
  <c r="V504" i="14"/>
  <c r="U504" i="14"/>
  <c r="W503" i="14"/>
  <c r="T513" i="14"/>
  <c r="U144" i="14" l="1"/>
  <c r="W143" i="14"/>
  <c r="V144" i="14"/>
  <c r="T180" i="14"/>
  <c r="T514" i="14"/>
  <c r="V505" i="14"/>
  <c r="U505" i="14"/>
  <c r="W504" i="14"/>
  <c r="U145" i="14" l="1"/>
  <c r="V145" i="14"/>
  <c r="W144" i="14"/>
  <c r="T181" i="14"/>
  <c r="V506" i="14"/>
  <c r="U506" i="14"/>
  <c r="W505" i="14"/>
  <c r="T515" i="14"/>
  <c r="U146" i="14" l="1"/>
  <c r="V146" i="14"/>
  <c r="W145" i="14"/>
  <c r="T182" i="14"/>
  <c r="T516" i="14"/>
  <c r="V507" i="14"/>
  <c r="U507" i="14"/>
  <c r="W506" i="14"/>
  <c r="B506" i="14" s="1"/>
  <c r="V147" i="14" l="1"/>
  <c r="U147" i="14"/>
  <c r="W146" i="14"/>
  <c r="T183" i="14"/>
  <c r="V508" i="14"/>
  <c r="U508" i="14"/>
  <c r="W507" i="14"/>
  <c r="T517" i="14"/>
  <c r="U148" i="14" l="1"/>
  <c r="V148" i="14"/>
  <c r="W147" i="14"/>
  <c r="T184" i="14"/>
  <c r="T518" i="14"/>
  <c r="V509" i="14"/>
  <c r="U509" i="14"/>
  <c r="W508" i="14"/>
  <c r="U149" i="14" l="1"/>
  <c r="V149" i="14"/>
  <c r="W148" i="14"/>
  <c r="T185" i="14"/>
  <c r="V510" i="14"/>
  <c r="U510" i="14"/>
  <c r="W509" i="14"/>
  <c r="T519" i="14"/>
  <c r="U150" i="14" l="1"/>
  <c r="V150" i="14"/>
  <c r="W149" i="14"/>
  <c r="B149" i="14" s="1"/>
  <c r="T186" i="14"/>
  <c r="T520" i="14"/>
  <c r="V511" i="14"/>
  <c r="U511" i="14"/>
  <c r="W510" i="14"/>
  <c r="V151" i="14" l="1"/>
  <c r="W150" i="14"/>
  <c r="U151" i="14"/>
  <c r="T187" i="14"/>
  <c r="U512" i="14"/>
  <c r="V512" i="14"/>
  <c r="W511" i="14"/>
  <c r="T521" i="14"/>
  <c r="U152" i="14" l="1"/>
  <c r="V152" i="14"/>
  <c r="W151" i="14"/>
  <c r="T188" i="14"/>
  <c r="T522" i="14"/>
  <c r="U513" i="14"/>
  <c r="V513" i="14"/>
  <c r="W512" i="14"/>
  <c r="W152" i="14" l="1"/>
  <c r="V153" i="14"/>
  <c r="U153" i="14"/>
  <c r="T189" i="14"/>
  <c r="U514" i="14"/>
  <c r="V514" i="14"/>
  <c r="W513" i="14"/>
  <c r="B513" i="14" s="1"/>
  <c r="T523" i="14"/>
  <c r="V154" i="14" l="1"/>
  <c r="U154" i="14"/>
  <c r="W153" i="14"/>
  <c r="T190" i="14"/>
  <c r="T524" i="14"/>
  <c r="U515" i="14"/>
  <c r="V515" i="14"/>
  <c r="W514" i="14"/>
  <c r="U155" i="14" l="1"/>
  <c r="V155" i="14"/>
  <c r="W154" i="14"/>
  <c r="T191" i="14"/>
  <c r="V516" i="14"/>
  <c r="U516" i="14"/>
  <c r="W515" i="14"/>
  <c r="T525" i="14"/>
  <c r="U156" i="14" l="1"/>
  <c r="V156" i="14"/>
  <c r="W155" i="14"/>
  <c r="T192" i="14"/>
  <c r="T526" i="14"/>
  <c r="V517" i="14"/>
  <c r="U517" i="14"/>
  <c r="W516" i="14"/>
  <c r="V157" i="14" l="1"/>
  <c r="U157" i="14"/>
  <c r="W156" i="14"/>
  <c r="B156" i="14" s="1"/>
  <c r="T193" i="14"/>
  <c r="U518" i="14"/>
  <c r="V518" i="14"/>
  <c r="W517" i="14"/>
  <c r="T527" i="14"/>
  <c r="U158" i="14" l="1"/>
  <c r="V158" i="14"/>
  <c r="W157" i="14"/>
  <c r="T194" i="14"/>
  <c r="T528" i="14"/>
  <c r="V519" i="14"/>
  <c r="U519" i="14"/>
  <c r="W518" i="14"/>
  <c r="U159" i="14" l="1"/>
  <c r="V159" i="14"/>
  <c r="W158" i="14"/>
  <c r="T195" i="14"/>
  <c r="U520" i="14"/>
  <c r="V520" i="14"/>
  <c r="W519" i="14"/>
  <c r="T529" i="14"/>
  <c r="U160" i="14" l="1"/>
  <c r="V160" i="14"/>
  <c r="W159" i="14"/>
  <c r="T196" i="14"/>
  <c r="T530" i="14"/>
  <c r="U521" i="14"/>
  <c r="V521" i="14"/>
  <c r="W520" i="14"/>
  <c r="B520" i="14" s="1"/>
  <c r="U161" i="14" l="1"/>
  <c r="V161" i="14"/>
  <c r="W160" i="14"/>
  <c r="T197" i="14"/>
  <c r="V522" i="14"/>
  <c r="U522" i="14"/>
  <c r="W521" i="14"/>
  <c r="T531" i="14"/>
  <c r="U162" i="14" l="1"/>
  <c r="V162" i="14"/>
  <c r="W161" i="14"/>
  <c r="T198" i="14"/>
  <c r="T532" i="14"/>
  <c r="V523" i="14"/>
  <c r="U523" i="14"/>
  <c r="W522" i="14"/>
  <c r="V163" i="14" l="1"/>
  <c r="U163" i="14"/>
  <c r="W162" i="14"/>
  <c r="T199" i="14"/>
  <c r="U524" i="14"/>
  <c r="V524" i="14"/>
  <c r="W523" i="14"/>
  <c r="T533" i="14"/>
  <c r="U164" i="14" l="1"/>
  <c r="V164" i="14"/>
  <c r="W163" i="14"/>
  <c r="B163" i="14" s="1"/>
  <c r="T200" i="14"/>
  <c r="T534" i="14"/>
  <c r="U525" i="14"/>
  <c r="V525" i="14"/>
  <c r="W524" i="14"/>
  <c r="V165" i="14" l="1"/>
  <c r="U165" i="14"/>
  <c r="W164" i="14"/>
  <c r="T201" i="14"/>
  <c r="U526" i="14"/>
  <c r="V526" i="14"/>
  <c r="W525" i="14"/>
  <c r="T535" i="14"/>
  <c r="V166" i="14" l="1"/>
  <c r="U166" i="14"/>
  <c r="W165" i="14"/>
  <c r="T202" i="14"/>
  <c r="T536" i="14"/>
  <c r="U527" i="14"/>
  <c r="V527" i="14"/>
  <c r="W526" i="14"/>
  <c r="V167" i="14" l="1"/>
  <c r="U167" i="14"/>
  <c r="W166" i="14"/>
  <c r="T203" i="14"/>
  <c r="T537" i="14"/>
  <c r="V528" i="14"/>
  <c r="U528" i="14"/>
  <c r="W527" i="14"/>
  <c r="B527" i="14" s="1"/>
  <c r="V168" i="14" l="1"/>
  <c r="U168" i="14"/>
  <c r="W167" i="14"/>
  <c r="T204" i="14"/>
  <c r="U529" i="14"/>
  <c r="V529" i="14"/>
  <c r="W528" i="14"/>
  <c r="T538" i="14"/>
  <c r="U169" i="14" l="1"/>
  <c r="V169" i="14"/>
  <c r="W168" i="14"/>
  <c r="T205" i="14"/>
  <c r="T539" i="14"/>
  <c r="U530" i="14"/>
  <c r="V530" i="14"/>
  <c r="W529" i="14"/>
  <c r="V170" i="14" l="1"/>
  <c r="U170" i="14"/>
  <c r="W169" i="14"/>
  <c r="T206" i="14"/>
  <c r="U531" i="14"/>
  <c r="V531" i="14"/>
  <c r="W530" i="14"/>
  <c r="T540" i="14"/>
  <c r="U171" i="14" l="1"/>
  <c r="V171" i="14"/>
  <c r="W170" i="14"/>
  <c r="B170" i="14" s="1"/>
  <c r="T207" i="14"/>
  <c r="T541" i="14"/>
  <c r="U532" i="14"/>
  <c r="V532" i="14"/>
  <c r="W531" i="14"/>
  <c r="V172" i="14" l="1"/>
  <c r="U172" i="14"/>
  <c r="W171" i="14"/>
  <c r="T208" i="14"/>
  <c r="V533" i="14"/>
  <c r="U533" i="14"/>
  <c r="W532" i="14"/>
  <c r="T542" i="14"/>
  <c r="U173" i="14" l="1"/>
  <c r="V173" i="14"/>
  <c r="W172" i="14"/>
  <c r="T209" i="14"/>
  <c r="T543" i="14"/>
  <c r="V534" i="14"/>
  <c r="U534" i="14"/>
  <c r="W533" i="14"/>
  <c r="V174" i="14" l="1"/>
  <c r="U174" i="14"/>
  <c r="W173" i="14"/>
  <c r="T210" i="14"/>
  <c r="U535" i="14"/>
  <c r="V535" i="14"/>
  <c r="W534" i="14"/>
  <c r="B534" i="14" s="1"/>
  <c r="T544" i="14"/>
  <c r="W174" i="14" l="1"/>
  <c r="V175" i="14"/>
  <c r="U175" i="14"/>
  <c r="T211" i="14"/>
  <c r="T545" i="14"/>
  <c r="V536" i="14"/>
  <c r="U536" i="14"/>
  <c r="W535" i="14"/>
  <c r="U176" i="14" l="1"/>
  <c r="V176" i="14"/>
  <c r="W175" i="14"/>
  <c r="T212" i="14"/>
  <c r="U537" i="14"/>
  <c r="V537" i="14"/>
  <c r="W536" i="14"/>
  <c r="T546" i="14"/>
  <c r="U177" i="14" l="1"/>
  <c r="V177" i="14"/>
  <c r="W176" i="14"/>
  <c r="T213" i="14"/>
  <c r="T547" i="14"/>
  <c r="V538" i="14"/>
  <c r="U538" i="14"/>
  <c r="W537" i="14"/>
  <c r="V178" i="14" l="1"/>
  <c r="U178" i="14"/>
  <c r="W177" i="14"/>
  <c r="B177" i="14" s="1"/>
  <c r="T214" i="14"/>
  <c r="V539" i="14"/>
  <c r="U539" i="14"/>
  <c r="W538" i="14"/>
  <c r="T548" i="14"/>
  <c r="V179" i="14" l="1"/>
  <c r="U179" i="14"/>
  <c r="W178" i="14"/>
  <c r="T215" i="14"/>
  <c r="T549" i="14"/>
  <c r="V540" i="14"/>
  <c r="U540" i="14"/>
  <c r="W539" i="14"/>
  <c r="V180" i="14" l="1"/>
  <c r="W179" i="14"/>
  <c r="U180" i="14"/>
  <c r="T216" i="14"/>
  <c r="U541" i="14"/>
  <c r="V541" i="14"/>
  <c r="W540" i="14"/>
  <c r="T550" i="14"/>
  <c r="V181" i="14" l="1"/>
  <c r="U181" i="14"/>
  <c r="W180" i="14"/>
  <c r="T217" i="14"/>
  <c r="T551" i="14"/>
  <c r="U542" i="14"/>
  <c r="V542" i="14"/>
  <c r="W541" i="14"/>
  <c r="B541" i="14" s="1"/>
  <c r="V182" i="14" l="1"/>
  <c r="U182" i="14"/>
  <c r="W181" i="14"/>
  <c r="T218" i="14"/>
  <c r="U543" i="14"/>
  <c r="V543" i="14"/>
  <c r="W542" i="14"/>
  <c r="T552" i="14"/>
  <c r="V183" i="14" l="1"/>
  <c r="U183" i="14"/>
  <c r="W182" i="14"/>
  <c r="T219" i="14"/>
  <c r="T553" i="14"/>
  <c r="U544" i="14"/>
  <c r="V544" i="14"/>
  <c r="W543" i="14"/>
  <c r="V184" i="14" l="1"/>
  <c r="U184" i="14"/>
  <c r="W183" i="14"/>
  <c r="T220" i="14"/>
  <c r="V545" i="14"/>
  <c r="U545" i="14"/>
  <c r="W544" i="14"/>
  <c r="T554" i="14"/>
  <c r="V185" i="14" l="1"/>
  <c r="U185" i="14"/>
  <c r="W184" i="14"/>
  <c r="B184" i="14" s="1"/>
  <c r="T221" i="14"/>
  <c r="T555" i="14"/>
  <c r="V546" i="14"/>
  <c r="U546" i="14"/>
  <c r="W545" i="14"/>
  <c r="V186" i="14" l="1"/>
  <c r="U186" i="14"/>
  <c r="W185" i="14"/>
  <c r="T222" i="14"/>
  <c r="U547" i="14"/>
  <c r="V547" i="14"/>
  <c r="W546" i="14"/>
  <c r="T556" i="14"/>
  <c r="V187" i="14" l="1"/>
  <c r="U187" i="14"/>
  <c r="W186" i="14"/>
  <c r="T223" i="14"/>
  <c r="T557" i="14"/>
  <c r="U548" i="14"/>
  <c r="V548" i="14"/>
  <c r="W547" i="14"/>
  <c r="V188" i="14" l="1"/>
  <c r="U188" i="14"/>
  <c r="W187" i="14"/>
  <c r="T224" i="14"/>
  <c r="U549" i="14"/>
  <c r="V549" i="14"/>
  <c r="W548" i="14"/>
  <c r="B548" i="14" s="1"/>
  <c r="T558" i="14"/>
  <c r="U189" i="14" l="1"/>
  <c r="V189" i="14"/>
  <c r="W188" i="14"/>
  <c r="T225" i="14"/>
  <c r="T559" i="14"/>
  <c r="U550" i="14"/>
  <c r="V550" i="14"/>
  <c r="W549" i="14"/>
  <c r="U190" i="14" l="1"/>
  <c r="V190" i="14"/>
  <c r="W189" i="14"/>
  <c r="T226" i="14"/>
  <c r="U551" i="14"/>
  <c r="V551" i="14"/>
  <c r="W550" i="14"/>
  <c r="T560" i="14"/>
  <c r="U191" i="14" l="1"/>
  <c r="V191" i="14"/>
  <c r="W190" i="14"/>
  <c r="T227" i="14"/>
  <c r="T561" i="14"/>
  <c r="V552" i="14"/>
  <c r="U552" i="14"/>
  <c r="W551" i="14"/>
  <c r="V192" i="14" l="1"/>
  <c r="U192" i="14"/>
  <c r="W191" i="14"/>
  <c r="B191" i="14" s="1"/>
  <c r="T228" i="14"/>
  <c r="V553" i="14"/>
  <c r="U553" i="14"/>
  <c r="W552" i="14"/>
  <c r="T562" i="14"/>
  <c r="V193" i="14" l="1"/>
  <c r="U193" i="14"/>
  <c r="W192" i="14"/>
  <c r="T229" i="14"/>
  <c r="U554" i="14"/>
  <c r="V554" i="14"/>
  <c r="W553" i="14"/>
  <c r="T563" i="14"/>
  <c r="U194" i="14" l="1"/>
  <c r="V194" i="14"/>
  <c r="W193" i="14"/>
  <c r="T230" i="14"/>
  <c r="T564" i="14"/>
  <c r="U555" i="14"/>
  <c r="V555" i="14"/>
  <c r="W554" i="14"/>
  <c r="V195" i="14" l="1"/>
  <c r="W194" i="14"/>
  <c r="U195" i="14"/>
  <c r="T231" i="14"/>
  <c r="V556" i="14"/>
  <c r="U556" i="14"/>
  <c r="W555" i="14"/>
  <c r="B555" i="14" s="1"/>
  <c r="T565" i="14"/>
  <c r="U196" i="14" l="1"/>
  <c r="V196" i="14"/>
  <c r="W195" i="14"/>
  <c r="T232" i="14"/>
  <c r="T566" i="14"/>
  <c r="V557" i="14"/>
  <c r="U557" i="14"/>
  <c r="W556" i="14"/>
  <c r="V197" i="14" l="1"/>
  <c r="U197" i="14"/>
  <c r="W196" i="14"/>
  <c r="T233" i="14"/>
  <c r="U558" i="14"/>
  <c r="V558" i="14"/>
  <c r="W557" i="14"/>
  <c r="T567" i="14"/>
  <c r="U198" i="14" l="1"/>
  <c r="V198" i="14"/>
  <c r="W197" i="14"/>
  <c r="T234" i="14"/>
  <c r="T568" i="14"/>
  <c r="U559" i="14"/>
  <c r="V559" i="14"/>
  <c r="W558" i="14"/>
  <c r="V199" i="14" l="1"/>
  <c r="U199" i="14"/>
  <c r="W198" i="14"/>
  <c r="B198" i="14" s="1"/>
  <c r="T235" i="14"/>
  <c r="U560" i="14"/>
  <c r="V560" i="14"/>
  <c r="W559" i="14"/>
  <c r="T569" i="14"/>
  <c r="U200" i="14" l="1"/>
  <c r="V200" i="14"/>
  <c r="W199" i="14"/>
  <c r="T236" i="14"/>
  <c r="T570" i="14"/>
  <c r="U561" i="14"/>
  <c r="V561" i="14"/>
  <c r="W560" i="14"/>
  <c r="U201" i="14" l="1"/>
  <c r="V201" i="14"/>
  <c r="W200" i="14"/>
  <c r="T237" i="14"/>
  <c r="V562" i="14"/>
  <c r="U562" i="14"/>
  <c r="W561" i="14"/>
  <c r="T571" i="14"/>
  <c r="V202" i="14" l="1"/>
  <c r="U202" i="14"/>
  <c r="W201" i="14"/>
  <c r="T238" i="14"/>
  <c r="T572" i="14"/>
  <c r="V563" i="14"/>
  <c r="U563" i="14"/>
  <c r="W562" i="14"/>
  <c r="B562" i="14" s="1"/>
  <c r="U203" i="14" l="1"/>
  <c r="V203" i="14"/>
  <c r="W202" i="14"/>
  <c r="T239" i="14"/>
  <c r="U564" i="14"/>
  <c r="V564" i="14"/>
  <c r="W563" i="14"/>
  <c r="T573" i="14"/>
  <c r="U204" i="14" l="1"/>
  <c r="V204" i="14"/>
  <c r="W203" i="14"/>
  <c r="T240" i="14"/>
  <c r="T574" i="14"/>
  <c r="V565" i="14"/>
  <c r="U565" i="14"/>
  <c r="W564" i="14"/>
  <c r="V205" i="14" l="1"/>
  <c r="U205" i="14"/>
  <c r="W204" i="14"/>
  <c r="T241" i="14"/>
  <c r="V566" i="14"/>
  <c r="U566" i="14"/>
  <c r="W565" i="14"/>
  <c r="T575" i="14"/>
  <c r="U206" i="14" l="1"/>
  <c r="V206" i="14"/>
  <c r="W205" i="14"/>
  <c r="B205" i="14" s="1"/>
  <c r="T242" i="14"/>
  <c r="T576" i="14"/>
  <c r="V567" i="14"/>
  <c r="U567" i="14"/>
  <c r="W566" i="14"/>
  <c r="U207" i="14" l="1"/>
  <c r="V207" i="14"/>
  <c r="W206" i="14"/>
  <c r="T243" i="14"/>
  <c r="V568" i="14"/>
  <c r="U568" i="14"/>
  <c r="W567" i="14"/>
  <c r="T577" i="14"/>
  <c r="V208" i="14" l="1"/>
  <c r="U208" i="14"/>
  <c r="W207" i="14"/>
  <c r="T244" i="14"/>
  <c r="T578" i="14"/>
  <c r="V569" i="14"/>
  <c r="U569" i="14"/>
  <c r="W568" i="14"/>
  <c r="U209" i="14" l="1"/>
  <c r="V209" i="14"/>
  <c r="W208" i="14"/>
  <c r="T245" i="14"/>
  <c r="U570" i="14"/>
  <c r="V570" i="14"/>
  <c r="W569" i="14"/>
  <c r="B569" i="14" s="1"/>
  <c r="T579" i="14"/>
  <c r="W209" i="14" l="1"/>
  <c r="V210" i="14"/>
  <c r="U210" i="14"/>
  <c r="T246" i="14"/>
  <c r="T580" i="14"/>
  <c r="U571" i="14"/>
  <c r="V571" i="14"/>
  <c r="W570" i="14"/>
  <c r="V211" i="14" l="1"/>
  <c r="U211" i="14"/>
  <c r="W210" i="14"/>
  <c r="T247" i="14"/>
  <c r="V572" i="14"/>
  <c r="U572" i="14"/>
  <c r="W571" i="14"/>
  <c r="T581" i="14"/>
  <c r="V212" i="14" l="1"/>
  <c r="W211" i="14"/>
  <c r="U212" i="14"/>
  <c r="T248" i="14"/>
  <c r="T582" i="14"/>
  <c r="V573" i="14"/>
  <c r="U573" i="14"/>
  <c r="W572" i="14"/>
  <c r="V213" i="14" l="1"/>
  <c r="U213" i="14"/>
  <c r="W212" i="14"/>
  <c r="B212" i="14" s="1"/>
  <c r="T249" i="14"/>
  <c r="V574" i="14"/>
  <c r="U574" i="14"/>
  <c r="W573" i="14"/>
  <c r="T583" i="14"/>
  <c r="V214" i="14" l="1"/>
  <c r="U214" i="14"/>
  <c r="W213" i="14"/>
  <c r="T250" i="14"/>
  <c r="T584" i="14"/>
  <c r="V575" i="14"/>
  <c r="U575" i="14"/>
  <c r="W574" i="14"/>
  <c r="U215" i="14" l="1"/>
  <c r="V215" i="14"/>
  <c r="W214" i="14"/>
  <c r="T251" i="14"/>
  <c r="U576" i="14"/>
  <c r="V576" i="14"/>
  <c r="W575" i="14"/>
  <c r="T585" i="14"/>
  <c r="V216" i="14" l="1"/>
  <c r="U216" i="14"/>
  <c r="W215" i="14"/>
  <c r="T252" i="14"/>
  <c r="T586" i="14"/>
  <c r="V577" i="14"/>
  <c r="U577" i="14"/>
  <c r="W576" i="14"/>
  <c r="B576" i="14" s="1"/>
  <c r="U217" i="14" l="1"/>
  <c r="V217" i="14"/>
  <c r="W216" i="14"/>
  <c r="T253" i="14"/>
  <c r="U578" i="14"/>
  <c r="V578" i="14"/>
  <c r="W577" i="14"/>
  <c r="T587" i="14"/>
  <c r="U218" i="14" l="1"/>
  <c r="V218" i="14"/>
  <c r="W217" i="14"/>
  <c r="T254" i="14"/>
  <c r="T588" i="14"/>
  <c r="U579" i="14"/>
  <c r="V579" i="14"/>
  <c r="W578" i="14"/>
  <c r="V219" i="14" l="1"/>
  <c r="W218" i="14"/>
  <c r="U219" i="14"/>
  <c r="T255" i="14"/>
  <c r="V580" i="14"/>
  <c r="U580" i="14"/>
  <c r="W579" i="14"/>
  <c r="T589" i="14"/>
  <c r="U220" i="14" l="1"/>
  <c r="V220" i="14"/>
  <c r="W219" i="14"/>
  <c r="B219" i="14" s="1"/>
  <c r="T256" i="14"/>
  <c r="T590" i="14"/>
  <c r="V581" i="14"/>
  <c r="U581" i="14"/>
  <c r="W580" i="14"/>
  <c r="U221" i="14" l="1"/>
  <c r="W220" i="14"/>
  <c r="V221" i="14"/>
  <c r="T257" i="14"/>
  <c r="U582" i="14"/>
  <c r="V582" i="14"/>
  <c r="W581" i="14"/>
  <c r="T591" i="14"/>
  <c r="U222" i="14" l="1"/>
  <c r="V222" i="14"/>
  <c r="W221" i="14"/>
  <c r="T258" i="14"/>
  <c r="T592" i="14"/>
  <c r="V583" i="14"/>
  <c r="U583" i="14"/>
  <c r="W582" i="14"/>
  <c r="V223" i="14" l="1"/>
  <c r="W222" i="14"/>
  <c r="U223" i="14"/>
  <c r="T259" i="14"/>
  <c r="U584" i="14"/>
  <c r="V584" i="14"/>
  <c r="W583" i="14"/>
  <c r="B583" i="14" s="1"/>
  <c r="T593" i="14"/>
  <c r="V224" i="14" l="1"/>
  <c r="U224" i="14"/>
  <c r="W223" i="14"/>
  <c r="T260" i="14"/>
  <c r="T594" i="14"/>
  <c r="U585" i="14"/>
  <c r="V585" i="14"/>
  <c r="W584" i="14"/>
  <c r="V225" i="14" l="1"/>
  <c r="W224" i="14"/>
  <c r="U225" i="14"/>
  <c r="T261" i="14"/>
  <c r="U586" i="14"/>
  <c r="V586" i="14"/>
  <c r="W585" i="14"/>
  <c r="T595" i="14"/>
  <c r="U226" i="14" l="1"/>
  <c r="V226" i="14"/>
  <c r="W225" i="14"/>
  <c r="T262" i="14"/>
  <c r="T596" i="14"/>
  <c r="U587" i="14"/>
  <c r="V587" i="14"/>
  <c r="W586" i="14"/>
  <c r="V227" i="14" l="1"/>
  <c r="U227" i="14"/>
  <c r="W226" i="14"/>
  <c r="B226" i="14" s="1"/>
  <c r="T263" i="14"/>
  <c r="T597" i="14"/>
  <c r="U588" i="14"/>
  <c r="V588" i="14"/>
  <c r="W587" i="14"/>
  <c r="U228" i="14" l="1"/>
  <c r="V228" i="14"/>
  <c r="W227" i="14"/>
  <c r="T264" i="14"/>
  <c r="U589" i="14"/>
  <c r="V589" i="14"/>
  <c r="W588" i="14"/>
  <c r="T598" i="14"/>
  <c r="U229" i="14" l="1"/>
  <c r="V229" i="14"/>
  <c r="W228" i="14"/>
  <c r="T265" i="14"/>
  <c r="T599" i="14"/>
  <c r="U590" i="14"/>
  <c r="V590" i="14"/>
  <c r="W589" i="14"/>
  <c r="U230" i="14" l="1"/>
  <c r="V230" i="14"/>
  <c r="W229" i="14"/>
  <c r="T266" i="14"/>
  <c r="U591" i="14"/>
  <c r="V591" i="14"/>
  <c r="W590" i="14"/>
  <c r="B590" i="14" s="1"/>
  <c r="T600" i="14"/>
  <c r="V231" i="14" l="1"/>
  <c r="U231" i="14"/>
  <c r="W230" i="14"/>
  <c r="T267" i="14"/>
  <c r="T601" i="14"/>
  <c r="V592" i="14"/>
  <c r="U592" i="14"/>
  <c r="W591" i="14"/>
  <c r="U232" i="14" l="1"/>
  <c r="V232" i="14"/>
  <c r="W231" i="14"/>
  <c r="T268" i="14"/>
  <c r="U593" i="14"/>
  <c r="V593" i="14"/>
  <c r="W592" i="14"/>
  <c r="T602" i="14"/>
  <c r="V233" i="14" l="1"/>
  <c r="U233" i="14"/>
  <c r="W232" i="14"/>
  <c r="T269" i="14"/>
  <c r="T603" i="14"/>
  <c r="V594" i="14"/>
  <c r="U594" i="14"/>
  <c r="W593" i="14"/>
  <c r="U234" i="14" l="1"/>
  <c r="V234" i="14"/>
  <c r="W233" i="14"/>
  <c r="B233" i="14" s="1"/>
  <c r="T270" i="14"/>
  <c r="V595" i="14"/>
  <c r="U595" i="14"/>
  <c r="W594" i="14"/>
  <c r="T604" i="14"/>
  <c r="V235" i="14" l="1"/>
  <c r="U235" i="14"/>
  <c r="W234" i="14"/>
  <c r="T271" i="14"/>
  <c r="T605" i="14"/>
  <c r="V596" i="14"/>
  <c r="U596" i="14"/>
  <c r="W595" i="14"/>
  <c r="V236" i="14" l="1"/>
  <c r="U236" i="14"/>
  <c r="W235" i="14"/>
  <c r="T272" i="14"/>
  <c r="U597" i="14"/>
  <c r="V597" i="14"/>
  <c r="W596" i="14"/>
  <c r="T606" i="14"/>
  <c r="U237" i="14" l="1"/>
  <c r="V237" i="14"/>
  <c r="W236" i="14"/>
  <c r="T273" i="14"/>
  <c r="T607" i="14"/>
  <c r="V598" i="14"/>
  <c r="U598" i="14"/>
  <c r="W597" i="14"/>
  <c r="B597" i="14" s="1"/>
  <c r="U238" i="14" l="1"/>
  <c r="V238" i="14"/>
  <c r="W237" i="14"/>
  <c r="T274" i="14"/>
  <c r="T608" i="14"/>
  <c r="U599" i="14"/>
  <c r="V599" i="14"/>
  <c r="W598" i="14"/>
  <c r="W238" i="14" l="1"/>
  <c r="V239" i="14"/>
  <c r="U239" i="14"/>
  <c r="T275" i="14"/>
  <c r="V600" i="14"/>
  <c r="U600" i="14"/>
  <c r="W599" i="14"/>
  <c r="T609" i="14"/>
  <c r="U240" i="14" l="1"/>
  <c r="V240" i="14"/>
  <c r="W239" i="14"/>
  <c r="T276" i="14"/>
  <c r="T610" i="14"/>
  <c r="V601" i="14"/>
  <c r="U601" i="14"/>
  <c r="W600" i="14"/>
  <c r="V241" i="14" l="1"/>
  <c r="U241" i="14"/>
  <c r="W240" i="14"/>
  <c r="B240" i="14" s="1"/>
  <c r="T277" i="14"/>
  <c r="U602" i="14"/>
  <c r="V602" i="14"/>
  <c r="W601" i="14"/>
  <c r="T611" i="14"/>
  <c r="V242" i="14" l="1"/>
  <c r="U242" i="14"/>
  <c r="W241" i="14"/>
  <c r="T278" i="14"/>
  <c r="T612" i="14"/>
  <c r="V603" i="14"/>
  <c r="U603" i="14"/>
  <c r="W602" i="14"/>
  <c r="V243" i="14" l="1"/>
  <c r="U243" i="14"/>
  <c r="W242" i="14"/>
  <c r="T279" i="14"/>
  <c r="V604" i="14"/>
  <c r="U604" i="14"/>
  <c r="W603" i="14"/>
  <c r="T613" i="14"/>
  <c r="U244" i="14" l="1"/>
  <c r="V244" i="14"/>
  <c r="W243" i="14"/>
  <c r="T280" i="14"/>
  <c r="T614" i="14"/>
  <c r="V605" i="14"/>
  <c r="U605" i="14"/>
  <c r="W604" i="14"/>
  <c r="B604" i="14" s="1"/>
  <c r="V245" i="14" l="1"/>
  <c r="U245" i="14"/>
  <c r="W244" i="14"/>
  <c r="T281" i="14"/>
  <c r="T615" i="14"/>
  <c r="U606" i="14"/>
  <c r="V606" i="14"/>
  <c r="W605" i="14"/>
  <c r="V246" i="14" l="1"/>
  <c r="U246" i="14"/>
  <c r="W245" i="14"/>
  <c r="T282" i="14"/>
  <c r="V607" i="14"/>
  <c r="U607" i="14"/>
  <c r="W606" i="14"/>
  <c r="T616" i="14"/>
  <c r="V247" i="14" l="1"/>
  <c r="U247" i="14"/>
  <c r="W246" i="14"/>
  <c r="T283" i="14"/>
  <c r="T617" i="14"/>
  <c r="U608" i="14"/>
  <c r="V608" i="14"/>
  <c r="W607" i="14"/>
  <c r="V248" i="14" l="1"/>
  <c r="U248" i="14"/>
  <c r="W247" i="14"/>
  <c r="B247" i="14" s="1"/>
  <c r="T284" i="14"/>
  <c r="V609" i="14"/>
  <c r="U609" i="14"/>
  <c r="W608" i="14"/>
  <c r="T618" i="14"/>
  <c r="V249" i="14" l="1"/>
  <c r="U249" i="14"/>
  <c r="W248" i="14"/>
  <c r="T285" i="14"/>
  <c r="T619" i="14"/>
  <c r="V610" i="14"/>
  <c r="U610" i="14"/>
  <c r="W609" i="14"/>
  <c r="U250" i="14" l="1"/>
  <c r="V250" i="14"/>
  <c r="W249" i="14"/>
  <c r="T286" i="14"/>
  <c r="U611" i="14"/>
  <c r="V611" i="14"/>
  <c r="W610" i="14"/>
  <c r="T620" i="14"/>
  <c r="U251" i="14" l="1"/>
  <c r="V251" i="14"/>
  <c r="W250" i="14"/>
  <c r="T287" i="14"/>
  <c r="T621" i="14"/>
  <c r="U612" i="14"/>
  <c r="V612" i="14"/>
  <c r="W611" i="14"/>
  <c r="B611" i="14" s="1"/>
  <c r="W251" i="14" l="1"/>
  <c r="V252" i="14"/>
  <c r="U252" i="14"/>
  <c r="T288" i="14"/>
  <c r="U613" i="14"/>
  <c r="V613" i="14"/>
  <c r="W612" i="14"/>
  <c r="T622" i="14"/>
  <c r="U253" i="14" l="1"/>
  <c r="V253" i="14"/>
  <c r="W252" i="14"/>
  <c r="T289" i="14"/>
  <c r="T623" i="14"/>
  <c r="U614" i="14"/>
  <c r="V614" i="14"/>
  <c r="W613" i="14"/>
  <c r="U254" i="14" l="1"/>
  <c r="W253" i="14"/>
  <c r="V254" i="14"/>
  <c r="T290" i="14"/>
  <c r="U615" i="14"/>
  <c r="V615" i="14"/>
  <c r="W614" i="14"/>
  <c r="T624" i="14"/>
  <c r="U255" i="14" l="1"/>
  <c r="V255" i="14"/>
  <c r="W254" i="14"/>
  <c r="B254" i="14" s="1"/>
  <c r="T291" i="14"/>
  <c r="T625" i="14"/>
  <c r="U616" i="14"/>
  <c r="V616" i="14"/>
  <c r="W615" i="14"/>
  <c r="W255" i="14" l="1"/>
  <c r="V256" i="14"/>
  <c r="U256" i="14"/>
  <c r="T292" i="14"/>
  <c r="U617" i="14"/>
  <c r="V617" i="14"/>
  <c r="W616" i="14"/>
  <c r="T626" i="14"/>
  <c r="U257" i="14" l="1"/>
  <c r="V257" i="14"/>
  <c r="W256" i="14"/>
  <c r="T293" i="14"/>
  <c r="T627" i="14"/>
  <c r="U618" i="14"/>
  <c r="V618" i="14"/>
  <c r="W617" i="14"/>
  <c r="U258" i="14" l="1"/>
  <c r="V258" i="14"/>
  <c r="W257" i="14"/>
  <c r="T294" i="14"/>
  <c r="U619" i="14"/>
  <c r="V619" i="14"/>
  <c r="W618" i="14"/>
  <c r="B618" i="14" s="1"/>
  <c r="T628" i="14"/>
  <c r="V259" i="14" l="1"/>
  <c r="U259" i="14"/>
  <c r="W258" i="14"/>
  <c r="T295" i="14"/>
  <c r="T629" i="14"/>
  <c r="U620" i="14"/>
  <c r="V620" i="14"/>
  <c r="W619" i="14"/>
  <c r="V260" i="14" l="1"/>
  <c r="U260" i="14"/>
  <c r="W259" i="14"/>
  <c r="T296" i="14"/>
  <c r="U621" i="14"/>
  <c r="V621" i="14"/>
  <c r="W620" i="14"/>
  <c r="T630" i="14"/>
  <c r="U261" i="14" l="1"/>
  <c r="V261" i="14"/>
  <c r="W260" i="14"/>
  <c r="T297" i="14"/>
  <c r="T631" i="14"/>
  <c r="V622" i="14"/>
  <c r="U622" i="14"/>
  <c r="W621" i="14"/>
  <c r="V262" i="14" l="1"/>
  <c r="U262" i="14"/>
  <c r="W261" i="14"/>
  <c r="B261" i="14" s="1"/>
  <c r="T298" i="14"/>
  <c r="U623" i="14"/>
  <c r="V623" i="14"/>
  <c r="W622" i="14"/>
  <c r="T632" i="14"/>
  <c r="U263" i="14" l="1"/>
  <c r="V263" i="14"/>
  <c r="W262" i="14"/>
  <c r="T299" i="14"/>
  <c r="T633" i="14"/>
  <c r="V624" i="14"/>
  <c r="U624" i="14"/>
  <c r="W623" i="14"/>
  <c r="U264" i="14" l="1"/>
  <c r="V264" i="14"/>
  <c r="W263" i="14"/>
  <c r="T300" i="14"/>
  <c r="V625" i="14"/>
  <c r="U625" i="14"/>
  <c r="W624" i="14"/>
  <c r="T634" i="14"/>
  <c r="V265" i="14" l="1"/>
  <c r="U265" i="14"/>
  <c r="W264" i="14"/>
  <c r="T301" i="14"/>
  <c r="T635" i="14"/>
  <c r="U626" i="14"/>
  <c r="V626" i="14"/>
  <c r="W625" i="14"/>
  <c r="B625" i="14" s="1"/>
  <c r="U266" i="14" l="1"/>
  <c r="V266" i="14"/>
  <c r="W265" i="14"/>
  <c r="T302" i="14"/>
  <c r="U627" i="14"/>
  <c r="V627" i="14"/>
  <c r="W626" i="14"/>
  <c r="T636" i="14"/>
  <c r="V267" i="14" l="1"/>
  <c r="U267" i="14"/>
  <c r="W266" i="14"/>
  <c r="T303" i="14"/>
  <c r="T637" i="14"/>
  <c r="U628" i="14"/>
  <c r="V628" i="14"/>
  <c r="W627" i="14"/>
  <c r="W267" i="14" l="1"/>
  <c r="U268" i="14"/>
  <c r="V268" i="14"/>
  <c r="T304" i="14"/>
  <c r="U629" i="14"/>
  <c r="V629" i="14"/>
  <c r="W628" i="14"/>
  <c r="T638" i="14"/>
  <c r="V269" i="14" l="1"/>
  <c r="U269" i="14"/>
  <c r="W268" i="14"/>
  <c r="B268" i="14" s="1"/>
  <c r="T305" i="14"/>
  <c r="T639" i="14"/>
  <c r="V630" i="14"/>
  <c r="U630" i="14"/>
  <c r="W629" i="14"/>
  <c r="V270" i="14" l="1"/>
  <c r="U270" i="14"/>
  <c r="W269" i="14"/>
  <c r="T306" i="14"/>
  <c r="V631" i="14"/>
  <c r="U631" i="14"/>
  <c r="W630" i="14"/>
  <c r="T640" i="14"/>
  <c r="V271" i="14" l="1"/>
  <c r="U271" i="14"/>
  <c r="W270" i="14"/>
  <c r="T307" i="14"/>
  <c r="T641" i="14"/>
  <c r="U632" i="14"/>
  <c r="V632" i="14"/>
  <c r="W631" i="14"/>
  <c r="V272" i="14" l="1"/>
  <c r="U272" i="14"/>
  <c r="W271" i="14"/>
  <c r="T308" i="14"/>
  <c r="V633" i="14"/>
  <c r="U633" i="14"/>
  <c r="W632" i="14"/>
  <c r="B632" i="14" s="1"/>
  <c r="T642" i="14"/>
  <c r="V273" i="14" l="1"/>
  <c r="U273" i="14"/>
  <c r="W272" i="14"/>
  <c r="T309" i="14"/>
  <c r="T643" i="14"/>
  <c r="V634" i="14"/>
  <c r="U634" i="14"/>
  <c r="W633" i="14"/>
  <c r="W273" i="14" l="1"/>
  <c r="U274" i="14"/>
  <c r="V274" i="14"/>
  <c r="T310" i="14"/>
  <c r="U635" i="14"/>
  <c r="V635" i="14"/>
  <c r="W634" i="14"/>
  <c r="T644" i="14"/>
  <c r="V275" i="14" l="1"/>
  <c r="U275" i="14"/>
  <c r="W274" i="14"/>
  <c r="T311" i="14"/>
  <c r="T645" i="14"/>
  <c r="V636" i="14"/>
  <c r="U636" i="14"/>
  <c r="W635" i="14"/>
  <c r="V276" i="14" l="1"/>
  <c r="U276" i="14"/>
  <c r="W275" i="14"/>
  <c r="B275" i="14" s="1"/>
  <c r="T312" i="14"/>
  <c r="U637" i="14"/>
  <c r="V637" i="14"/>
  <c r="W636" i="14"/>
  <c r="T646" i="14"/>
  <c r="U277" i="14" l="1"/>
  <c r="V277" i="14"/>
  <c r="W276" i="14"/>
  <c r="T313" i="14"/>
  <c r="T647" i="14"/>
  <c r="U638" i="14"/>
  <c r="V638" i="14"/>
  <c r="W637" i="14"/>
  <c r="U278" i="14" l="1"/>
  <c r="V278" i="14"/>
  <c r="W277" i="14"/>
  <c r="T314" i="14"/>
  <c r="V639" i="14"/>
  <c r="U639" i="14"/>
  <c r="W638" i="14"/>
  <c r="T648" i="14"/>
  <c r="V279" i="14" l="1"/>
  <c r="U279" i="14"/>
  <c r="W278" i="14"/>
  <c r="T315" i="14"/>
  <c r="T649" i="14"/>
  <c r="U640" i="14"/>
  <c r="V640" i="14"/>
  <c r="W639" i="14"/>
  <c r="B639" i="14" s="1"/>
  <c r="W279" i="14" l="1"/>
  <c r="U280" i="14"/>
  <c r="V280" i="14"/>
  <c r="T316" i="14"/>
  <c r="U641" i="14"/>
  <c r="V641" i="14"/>
  <c r="W640" i="14"/>
  <c r="T650" i="14"/>
  <c r="U281" i="14" l="1"/>
  <c r="V281" i="14"/>
  <c r="W280" i="14"/>
  <c r="T317" i="14"/>
  <c r="T651" i="14"/>
  <c r="V642" i="14"/>
  <c r="U642" i="14"/>
  <c r="W641" i="14"/>
  <c r="V282" i="14" l="1"/>
  <c r="U282" i="14"/>
  <c r="W281" i="14"/>
  <c r="T318" i="14"/>
  <c r="U643" i="14"/>
  <c r="V643" i="14"/>
  <c r="W642" i="14"/>
  <c r="T652" i="14"/>
  <c r="U283" i="14" l="1"/>
  <c r="V283" i="14"/>
  <c r="W282" i="14"/>
  <c r="B282" i="14" s="1"/>
  <c r="T319" i="14"/>
  <c r="T653" i="14"/>
  <c r="U644" i="14"/>
  <c r="V644" i="14"/>
  <c r="W643" i="14"/>
  <c r="U284" i="14" l="1"/>
  <c r="V284" i="14"/>
  <c r="W283" i="14"/>
  <c r="T320" i="14"/>
  <c r="U645" i="14"/>
  <c r="V645" i="14"/>
  <c r="W644" i="14"/>
  <c r="T654" i="14"/>
  <c r="U285" i="14" l="1"/>
  <c r="V285" i="14"/>
  <c r="W284" i="14"/>
  <c r="T321" i="14"/>
  <c r="T655" i="14"/>
  <c r="U646" i="14"/>
  <c r="V646" i="14"/>
  <c r="W645" i="14"/>
  <c r="W285" i="14" l="1"/>
  <c r="V286" i="14"/>
  <c r="U286" i="14"/>
  <c r="T322" i="14"/>
  <c r="U647" i="14"/>
  <c r="V647" i="14"/>
  <c r="W646" i="14"/>
  <c r="B646" i="14" s="1"/>
  <c r="T656" i="14"/>
  <c r="V287" i="14" l="1"/>
  <c r="U287" i="14"/>
  <c r="W286" i="14"/>
  <c r="T323" i="14"/>
  <c r="T657" i="14"/>
  <c r="V648" i="14"/>
  <c r="U648" i="14"/>
  <c r="W647" i="14"/>
  <c r="V288" i="14" l="1"/>
  <c r="U288" i="14"/>
  <c r="W287" i="14"/>
  <c r="T324" i="14"/>
  <c r="U649" i="14"/>
  <c r="V649" i="14"/>
  <c r="W648" i="14"/>
  <c r="T658" i="14"/>
  <c r="V289" i="14" l="1"/>
  <c r="U289" i="14"/>
  <c r="W288" i="14"/>
  <c r="T325" i="14"/>
  <c r="T659" i="14"/>
  <c r="U650" i="14"/>
  <c r="V650" i="14"/>
  <c r="W649" i="14"/>
  <c r="U290" i="14" l="1"/>
  <c r="V290" i="14"/>
  <c r="W289" i="14"/>
  <c r="B289" i="14" s="1"/>
  <c r="T326" i="14"/>
  <c r="V651" i="14"/>
  <c r="U651" i="14"/>
  <c r="W650" i="14"/>
  <c r="T660" i="14"/>
  <c r="U291" i="14" l="1"/>
  <c r="V291" i="14"/>
  <c r="W290" i="14"/>
  <c r="T327" i="14"/>
  <c r="T661" i="14"/>
  <c r="U652" i="14"/>
  <c r="V652" i="14"/>
  <c r="W651" i="14"/>
  <c r="V292" i="14" l="1"/>
  <c r="U292" i="14"/>
  <c r="W291" i="14"/>
  <c r="T328" i="14"/>
  <c r="V653" i="14"/>
  <c r="U653" i="14"/>
  <c r="W652" i="14"/>
  <c r="T662" i="14"/>
  <c r="V293" i="14" l="1"/>
  <c r="U293" i="14"/>
  <c r="W292" i="14"/>
  <c r="T329" i="14"/>
  <c r="T663" i="14"/>
  <c r="U654" i="14"/>
  <c r="V654" i="14"/>
  <c r="W653" i="14"/>
  <c r="B653" i="14" s="1"/>
  <c r="V294" i="14" l="1"/>
  <c r="U294" i="14"/>
  <c r="W293" i="14"/>
  <c r="T330" i="14"/>
  <c r="V655" i="14"/>
  <c r="U655" i="14"/>
  <c r="W654" i="14"/>
  <c r="T664" i="14"/>
  <c r="V295" i="14" l="1"/>
  <c r="U295" i="14"/>
  <c r="W294" i="14"/>
  <c r="T331" i="14"/>
  <c r="T665" i="14"/>
  <c r="V656" i="14"/>
  <c r="U656" i="14"/>
  <c r="W655" i="14"/>
  <c r="V296" i="14" l="1"/>
  <c r="U296" i="14"/>
  <c r="W295" i="14"/>
  <c r="T332" i="14"/>
  <c r="V657" i="14"/>
  <c r="U657" i="14"/>
  <c r="W656" i="14"/>
  <c r="T666" i="14"/>
  <c r="U297" i="14" l="1"/>
  <c r="V297" i="14"/>
  <c r="W296" i="14"/>
  <c r="B296" i="14" s="1"/>
  <c r="T333" i="14"/>
  <c r="T667" i="14"/>
  <c r="V658" i="14"/>
  <c r="U658" i="14"/>
  <c r="W657" i="14"/>
  <c r="W297" i="14" l="1"/>
  <c r="U298" i="14"/>
  <c r="V298" i="14"/>
  <c r="T334" i="14"/>
  <c r="U659" i="14"/>
  <c r="V659" i="14"/>
  <c r="W658" i="14"/>
  <c r="T668" i="14"/>
  <c r="U299" i="14" l="1"/>
  <c r="V299" i="14"/>
  <c r="W298" i="14"/>
  <c r="T335" i="14"/>
  <c r="T669" i="14"/>
  <c r="V660" i="14"/>
  <c r="U660" i="14"/>
  <c r="W659" i="14"/>
  <c r="V300" i="14" l="1"/>
  <c r="U300" i="14"/>
  <c r="W299" i="14"/>
  <c r="T336" i="14"/>
  <c r="U661" i="14"/>
  <c r="V661" i="14"/>
  <c r="W660" i="14"/>
  <c r="B660" i="14" s="1"/>
  <c r="T670" i="14"/>
  <c r="V301" i="14" l="1"/>
  <c r="U301" i="14"/>
  <c r="W300" i="14"/>
  <c r="T337" i="14"/>
  <c r="T671" i="14"/>
  <c r="V662" i="14"/>
  <c r="U662" i="14"/>
  <c r="W661" i="14"/>
  <c r="U302" i="14" l="1"/>
  <c r="V302" i="14"/>
  <c r="W301" i="14"/>
  <c r="T338" i="14"/>
  <c r="U663" i="14"/>
  <c r="V663" i="14"/>
  <c r="W662" i="14"/>
  <c r="T672" i="14"/>
  <c r="U303" i="14" l="1"/>
  <c r="V303" i="14"/>
  <c r="W302" i="14"/>
  <c r="T339" i="14"/>
  <c r="T673" i="14"/>
  <c r="U664" i="14"/>
  <c r="V664" i="14"/>
  <c r="W663" i="14"/>
  <c r="W303" i="14" l="1"/>
  <c r="B303" i="14" s="1"/>
  <c r="V304" i="14"/>
  <c r="U304" i="14"/>
  <c r="T340" i="14"/>
  <c r="U665" i="14"/>
  <c r="V665" i="14"/>
  <c r="W664" i="14"/>
  <c r="T674" i="14"/>
  <c r="V305" i="14" l="1"/>
  <c r="U305" i="14"/>
  <c r="W304" i="14"/>
  <c r="T341" i="14"/>
  <c r="T675" i="14"/>
  <c r="U666" i="14"/>
  <c r="V666" i="14"/>
  <c r="W665" i="14"/>
  <c r="U306" i="14" l="1"/>
  <c r="V306" i="14"/>
  <c r="W305" i="14"/>
  <c r="T342" i="14"/>
  <c r="U667" i="14"/>
  <c r="V667" i="14"/>
  <c r="W666" i="14"/>
  <c r="T676" i="14"/>
  <c r="V307" i="14" l="1"/>
  <c r="U307" i="14"/>
  <c r="W306" i="14"/>
  <c r="T343" i="14"/>
  <c r="T677" i="14"/>
  <c r="V668" i="14"/>
  <c r="U668" i="14"/>
  <c r="W667" i="14"/>
  <c r="B667" i="14" s="1"/>
  <c r="U308" i="14" l="1"/>
  <c r="V308" i="14"/>
  <c r="W307" i="14"/>
  <c r="T344" i="14"/>
  <c r="U669" i="14"/>
  <c r="V669" i="14"/>
  <c r="W668" i="14"/>
  <c r="T678" i="14"/>
  <c r="U309" i="14" l="1"/>
  <c r="V309" i="14"/>
  <c r="W308" i="14"/>
  <c r="T345" i="14"/>
  <c r="T679" i="14"/>
  <c r="U670" i="14"/>
  <c r="V670" i="14"/>
  <c r="W669" i="14"/>
  <c r="V310" i="14" l="1"/>
  <c r="U310" i="14"/>
  <c r="W309" i="14"/>
  <c r="T346" i="14"/>
  <c r="U671" i="14"/>
  <c r="V671" i="14"/>
  <c r="W670" i="14"/>
  <c r="T680" i="14"/>
  <c r="V311" i="14" l="1"/>
  <c r="U311" i="14"/>
  <c r="W310" i="14"/>
  <c r="B310" i="14" s="1"/>
  <c r="T347" i="14"/>
  <c r="T681" i="14"/>
  <c r="V672" i="14"/>
  <c r="U672" i="14"/>
  <c r="W671" i="14"/>
  <c r="W311" i="14" l="1"/>
  <c r="U312" i="14"/>
  <c r="V312" i="14"/>
  <c r="T348" i="14"/>
  <c r="U673" i="14"/>
  <c r="V673" i="14"/>
  <c r="W672" i="14"/>
  <c r="T682" i="14"/>
  <c r="U313" i="14" l="1"/>
  <c r="V313" i="14"/>
  <c r="W312" i="14"/>
  <c r="T349" i="14"/>
  <c r="T683" i="14"/>
  <c r="V674" i="14"/>
  <c r="U674" i="14"/>
  <c r="W673" i="14"/>
  <c r="V314" i="14" l="1"/>
  <c r="U314" i="14"/>
  <c r="W313" i="14"/>
  <c r="T350" i="14"/>
  <c r="V675" i="14"/>
  <c r="U675" i="14"/>
  <c r="W674" i="14"/>
  <c r="B674" i="14" s="1"/>
  <c r="T684" i="14"/>
  <c r="U315" i="14" l="1"/>
  <c r="V315" i="14"/>
  <c r="W314" i="14"/>
  <c r="T351" i="14"/>
  <c r="T685" i="14"/>
  <c r="U676" i="14"/>
  <c r="V676" i="14"/>
  <c r="W675" i="14"/>
  <c r="U316" i="14" l="1"/>
  <c r="V316" i="14"/>
  <c r="W315" i="14"/>
  <c r="T352" i="14"/>
  <c r="U677" i="14"/>
  <c r="V677" i="14"/>
  <c r="W676" i="14"/>
  <c r="T686" i="14"/>
  <c r="V317" i="14" l="1"/>
  <c r="U317" i="14"/>
  <c r="W316" i="14"/>
  <c r="T353" i="14"/>
  <c r="T687" i="14"/>
  <c r="U678" i="14"/>
  <c r="V678" i="14"/>
  <c r="W677" i="14"/>
  <c r="U318" i="14" l="1"/>
  <c r="V318" i="14"/>
  <c r="W317" i="14"/>
  <c r="B317" i="14" s="1"/>
  <c r="T354" i="14"/>
  <c r="U679" i="14"/>
  <c r="V679" i="14"/>
  <c r="W678" i="14"/>
  <c r="T688" i="14"/>
  <c r="U319" i="14" l="1"/>
  <c r="V319" i="14"/>
  <c r="W318" i="14"/>
  <c r="T355" i="14"/>
  <c r="T689" i="14"/>
  <c r="U680" i="14"/>
  <c r="V680" i="14"/>
  <c r="W679" i="14"/>
  <c r="U320" i="14" l="1"/>
  <c r="V320" i="14"/>
  <c r="W319" i="14"/>
  <c r="T356" i="14"/>
  <c r="U681" i="14"/>
  <c r="V681" i="14"/>
  <c r="W680" i="14"/>
  <c r="T690" i="14"/>
  <c r="U321" i="14" l="1"/>
  <c r="V321" i="14"/>
  <c r="W320" i="14"/>
  <c r="T357" i="14"/>
  <c r="T691" i="14"/>
  <c r="U682" i="14"/>
  <c r="V682" i="14"/>
  <c r="W681" i="14"/>
  <c r="B681" i="14" s="1"/>
  <c r="U322" i="14" l="1"/>
  <c r="V322" i="14"/>
  <c r="W321" i="14"/>
  <c r="T358" i="14"/>
  <c r="U683" i="14"/>
  <c r="V683" i="14"/>
  <c r="W682" i="14"/>
  <c r="T692" i="14"/>
  <c r="V323" i="14" l="1"/>
  <c r="U323" i="14"/>
  <c r="W322" i="14"/>
  <c r="T359" i="14"/>
  <c r="T693" i="14"/>
  <c r="V684" i="14"/>
  <c r="U684" i="14"/>
  <c r="W683" i="14"/>
  <c r="U324" i="14" l="1"/>
  <c r="V324" i="14"/>
  <c r="W323" i="14"/>
  <c r="T360" i="14"/>
  <c r="V685" i="14"/>
  <c r="U685" i="14"/>
  <c r="W684" i="14"/>
  <c r="T694" i="14"/>
  <c r="V325" i="14" l="1"/>
  <c r="U325" i="14"/>
  <c r="W324" i="14"/>
  <c r="B324" i="14" s="1"/>
  <c r="T361" i="14"/>
  <c r="T695" i="14"/>
  <c r="V686" i="14"/>
  <c r="U686" i="14"/>
  <c r="W685" i="14"/>
  <c r="V326" i="14" l="1"/>
  <c r="U326" i="14"/>
  <c r="W325" i="14"/>
  <c r="T362" i="14"/>
  <c r="V687" i="14"/>
  <c r="U687" i="14"/>
  <c r="W686" i="14"/>
  <c r="T696" i="14"/>
  <c r="W326" i="14" l="1"/>
  <c r="V327" i="14"/>
  <c r="U327" i="14"/>
  <c r="T363" i="14"/>
  <c r="T697" i="14"/>
  <c r="U688" i="14"/>
  <c r="V688" i="14"/>
  <c r="W687" i="14"/>
  <c r="V328" i="14" l="1"/>
  <c r="U328" i="14"/>
  <c r="W327" i="14"/>
  <c r="T364" i="14"/>
  <c r="V689" i="14"/>
  <c r="U689" i="14"/>
  <c r="W688" i="14"/>
  <c r="B688" i="14" s="1"/>
  <c r="T698" i="14"/>
  <c r="V329" i="14" l="1"/>
  <c r="U329" i="14"/>
  <c r="W328" i="14"/>
  <c r="T365" i="14"/>
  <c r="T699" i="14"/>
  <c r="V690" i="14"/>
  <c r="U690" i="14"/>
  <c r="W689" i="14"/>
  <c r="W329" i="14" l="1"/>
  <c r="V330" i="14"/>
  <c r="U330" i="14"/>
  <c r="T366" i="14"/>
  <c r="V691" i="14"/>
  <c r="U691" i="14"/>
  <c r="W690" i="14"/>
  <c r="T700" i="14"/>
  <c r="V331" i="14" l="1"/>
  <c r="U331" i="14"/>
  <c r="W330" i="14"/>
  <c r="T701" i="14"/>
  <c r="U692" i="14"/>
  <c r="V692" i="14"/>
  <c r="W691" i="14"/>
  <c r="U332" i="14" l="1"/>
  <c r="V332" i="14"/>
  <c r="W331" i="14"/>
  <c r="B331" i="14" s="1"/>
  <c r="T702" i="14"/>
  <c r="V693" i="14"/>
  <c r="U693" i="14"/>
  <c r="W692" i="14"/>
  <c r="U333" i="14" l="1"/>
  <c r="V333" i="14"/>
  <c r="W332" i="14"/>
  <c r="U694" i="14"/>
  <c r="V694" i="14"/>
  <c r="W693" i="14"/>
  <c r="T703" i="14"/>
  <c r="U334" i="14" l="1"/>
  <c r="V334" i="14"/>
  <c r="W333" i="14"/>
  <c r="T704" i="14"/>
  <c r="V695" i="14"/>
  <c r="U695" i="14"/>
  <c r="W694" i="14"/>
  <c r="V335" i="14" l="1"/>
  <c r="U335" i="14"/>
  <c r="W334" i="14"/>
  <c r="V696" i="14"/>
  <c r="U696" i="14"/>
  <c r="W695" i="14"/>
  <c r="B695" i="14" s="1"/>
  <c r="T705" i="14"/>
  <c r="V336" i="14" l="1"/>
  <c r="U336" i="14"/>
  <c r="W335" i="14"/>
  <c r="T706" i="14"/>
  <c r="V697" i="14"/>
  <c r="U697" i="14"/>
  <c r="W696" i="14"/>
  <c r="U337" i="14" l="1"/>
  <c r="V337" i="14"/>
  <c r="W336" i="14"/>
  <c r="V698" i="14"/>
  <c r="U698" i="14"/>
  <c r="W697" i="14"/>
  <c r="T707" i="14"/>
  <c r="U338" i="14" l="1"/>
  <c r="V338" i="14"/>
  <c r="W337" i="14"/>
  <c r="T708" i="14"/>
  <c r="V699" i="14"/>
  <c r="U699" i="14"/>
  <c r="W698" i="14"/>
  <c r="U339" i="14" l="1"/>
  <c r="V339" i="14"/>
  <c r="W338" i="14"/>
  <c r="B338" i="14" s="1"/>
  <c r="U700" i="14"/>
  <c r="V700" i="14"/>
  <c r="W699" i="14"/>
  <c r="T709" i="14"/>
  <c r="U340" i="14" l="1"/>
  <c r="V340" i="14"/>
  <c r="W339" i="14"/>
  <c r="T710" i="14"/>
  <c r="U701" i="14"/>
  <c r="V701" i="14"/>
  <c r="W700" i="14"/>
  <c r="V341" i="14" l="1"/>
  <c r="U341" i="14"/>
  <c r="W340" i="14"/>
  <c r="U702" i="14"/>
  <c r="V702" i="14"/>
  <c r="W701" i="14"/>
  <c r="T711" i="14"/>
  <c r="V342" i="14" l="1"/>
  <c r="U342" i="14"/>
  <c r="W341" i="14"/>
  <c r="T712" i="14"/>
  <c r="U703" i="14"/>
  <c r="V703" i="14"/>
  <c r="W702" i="14"/>
  <c r="B702" i="14" s="1"/>
  <c r="U343" i="14" l="1"/>
  <c r="V343" i="14"/>
  <c r="W342" i="14"/>
  <c r="U704" i="14"/>
  <c r="V704" i="14"/>
  <c r="W703" i="14"/>
  <c r="T713" i="14"/>
  <c r="V344" i="14" l="1"/>
  <c r="U344" i="14"/>
  <c r="W343" i="14"/>
  <c r="T714" i="14"/>
  <c r="U705" i="14"/>
  <c r="V705" i="14"/>
  <c r="W704" i="14"/>
  <c r="V345" i="14" l="1"/>
  <c r="U345" i="14"/>
  <c r="W344" i="14"/>
  <c r="V706" i="14"/>
  <c r="U706" i="14"/>
  <c r="W705" i="14"/>
  <c r="T715" i="14"/>
  <c r="V346" i="14" l="1"/>
  <c r="U346" i="14"/>
  <c r="W345" i="14"/>
  <c r="B345" i="14" s="1"/>
  <c r="T716" i="14"/>
  <c r="U707" i="14"/>
  <c r="V707" i="14"/>
  <c r="W706" i="14"/>
  <c r="V347" i="14" l="1"/>
  <c r="U347" i="14"/>
  <c r="W346" i="14"/>
  <c r="V708" i="14"/>
  <c r="U708" i="14"/>
  <c r="W707" i="14"/>
  <c r="T717" i="14"/>
  <c r="V348" i="14" l="1"/>
  <c r="U348" i="14"/>
  <c r="W347" i="14"/>
  <c r="U709" i="14"/>
  <c r="V709" i="14"/>
  <c r="W708" i="14"/>
  <c r="T718" i="14"/>
  <c r="V349" i="14" l="1"/>
  <c r="U349" i="14"/>
  <c r="W348" i="14"/>
  <c r="T719" i="14"/>
  <c r="V710" i="14"/>
  <c r="U710" i="14"/>
  <c r="W709" i="14"/>
  <c r="B709" i="14" s="1"/>
  <c r="U350" i="14" l="1"/>
  <c r="V350" i="14"/>
  <c r="W349" i="14"/>
  <c r="U711" i="14"/>
  <c r="V711" i="14"/>
  <c r="W710" i="14"/>
  <c r="T720" i="14"/>
  <c r="U351" i="14" l="1"/>
  <c r="V351" i="14"/>
  <c r="W350" i="14"/>
  <c r="T721" i="14"/>
  <c r="V712" i="14"/>
  <c r="U712" i="14"/>
  <c r="W711" i="14"/>
  <c r="U352" i="14" l="1"/>
  <c r="V352" i="14"/>
  <c r="W351" i="14"/>
  <c r="V713" i="14"/>
  <c r="U713" i="14"/>
  <c r="W712" i="14"/>
  <c r="T722" i="14"/>
  <c r="U353" i="14" l="1"/>
  <c r="V353" i="14"/>
  <c r="W352" i="14"/>
  <c r="B352" i="14" s="1"/>
  <c r="T723" i="14"/>
  <c r="V714" i="14"/>
  <c r="U714" i="14"/>
  <c r="W713" i="14"/>
  <c r="V354" i="14" l="1"/>
  <c r="U354" i="14"/>
  <c r="W353" i="14"/>
  <c r="V715" i="14"/>
  <c r="U715" i="14"/>
  <c r="W714" i="14"/>
  <c r="T724" i="14"/>
  <c r="V355" i="14" l="1"/>
  <c r="U355" i="14"/>
  <c r="W354" i="14"/>
  <c r="T725" i="14"/>
  <c r="U716" i="14"/>
  <c r="V716" i="14"/>
  <c r="W715" i="14"/>
  <c r="V356" i="14" l="1"/>
  <c r="U356" i="14"/>
  <c r="W355" i="14"/>
  <c r="U717" i="14"/>
  <c r="V717" i="14"/>
  <c r="W716" i="14"/>
  <c r="B716" i="14" s="1"/>
  <c r="T726" i="14"/>
  <c r="V357" i="14" l="1"/>
  <c r="U357" i="14"/>
  <c r="W356" i="14"/>
  <c r="T727" i="14"/>
  <c r="U718" i="14"/>
  <c r="V718" i="14"/>
  <c r="W717" i="14"/>
  <c r="V358" i="14" l="1"/>
  <c r="U358" i="14"/>
  <c r="W357" i="14"/>
  <c r="U719" i="14"/>
  <c r="V719" i="14"/>
  <c r="W718" i="14"/>
  <c r="T728" i="14"/>
  <c r="U359" i="14" l="1"/>
  <c r="W358" i="14"/>
  <c r="V359" i="14"/>
  <c r="T729" i="14"/>
  <c r="U720" i="14"/>
  <c r="V720" i="14"/>
  <c r="W719" i="14"/>
  <c r="V360" i="14" l="1"/>
  <c r="U360" i="14"/>
  <c r="W359" i="14"/>
  <c r="B359" i="14" s="1"/>
  <c r="U721" i="14"/>
  <c r="V721" i="14"/>
  <c r="W720" i="14"/>
  <c r="T730" i="14"/>
  <c r="V361" i="14" l="1"/>
  <c r="U361" i="14"/>
  <c r="W360" i="14"/>
  <c r="T731" i="14"/>
  <c r="U722" i="14"/>
  <c r="V722" i="14"/>
  <c r="W721" i="14"/>
  <c r="V362" i="14" l="1"/>
  <c r="U362" i="14"/>
  <c r="W361" i="14"/>
  <c r="U723" i="14"/>
  <c r="V723" i="14"/>
  <c r="W722" i="14"/>
  <c r="T732" i="14"/>
  <c r="V363" i="14" l="1"/>
  <c r="U363" i="14"/>
  <c r="W362" i="14"/>
  <c r="T733" i="14"/>
  <c r="V724" i="14"/>
  <c r="U724" i="14"/>
  <c r="W723" i="14"/>
  <c r="B723" i="14" s="1"/>
  <c r="V364" i="14" l="1"/>
  <c r="U364" i="14"/>
  <c r="W363" i="14"/>
  <c r="V725" i="14"/>
  <c r="U725" i="14"/>
  <c r="W724" i="14"/>
  <c r="T734" i="14"/>
  <c r="V365" i="14" l="1"/>
  <c r="U365" i="14"/>
  <c r="W364" i="14"/>
  <c r="T735" i="14"/>
  <c r="U726" i="14"/>
  <c r="V726" i="14"/>
  <c r="W725" i="14"/>
  <c r="U366" i="14" l="1"/>
  <c r="W366" i="14" s="1"/>
  <c r="V366" i="14"/>
  <c r="W365" i="14"/>
  <c r="B366" i="14" s="1"/>
  <c r="V727" i="14"/>
  <c r="U727" i="14"/>
  <c r="W726" i="14"/>
  <c r="T736" i="14"/>
  <c r="T737" i="14" l="1"/>
  <c r="V728" i="14"/>
  <c r="U728" i="14"/>
  <c r="W727" i="14"/>
  <c r="T738" i="14" l="1"/>
  <c r="V729" i="14"/>
  <c r="U729" i="14"/>
  <c r="W728" i="14"/>
  <c r="V730" i="14" l="1"/>
  <c r="U730" i="14"/>
  <c r="W729" i="14"/>
  <c r="T739" i="14"/>
  <c r="T740" i="14" l="1"/>
  <c r="V731" i="14"/>
  <c r="U731" i="14"/>
  <c r="W730" i="14"/>
  <c r="B730" i="14" s="1"/>
  <c r="V732" i="14" l="1"/>
  <c r="U732" i="14"/>
  <c r="W731" i="14"/>
  <c r="T741" i="14"/>
  <c r="T742" i="14" l="1"/>
  <c r="U733" i="14"/>
  <c r="V733" i="14"/>
  <c r="W732" i="14"/>
  <c r="V734" i="14" l="1"/>
  <c r="U734" i="14"/>
  <c r="W733" i="14"/>
  <c r="T743" i="14"/>
  <c r="T744" i="14" l="1"/>
  <c r="V735" i="14"/>
  <c r="U735" i="14"/>
  <c r="W734" i="14"/>
  <c r="T745" i="14" l="1"/>
  <c r="V736" i="14"/>
  <c r="U736" i="14"/>
  <c r="W735" i="14"/>
  <c r="U737" i="14" l="1"/>
  <c r="V737" i="14"/>
  <c r="W736" i="14"/>
  <c r="T746" i="14"/>
  <c r="T747" i="14" l="1"/>
  <c r="V738" i="14"/>
  <c r="U738" i="14"/>
  <c r="W737" i="14"/>
  <c r="B737" i="14" s="1"/>
  <c r="U739" i="14" l="1"/>
  <c r="V739" i="14"/>
  <c r="W738" i="14"/>
  <c r="T748" i="14"/>
  <c r="T749" i="14" l="1"/>
  <c r="U740" i="14"/>
  <c r="V740" i="14"/>
  <c r="W739" i="14"/>
  <c r="U741" i="14" l="1"/>
  <c r="V741" i="14"/>
  <c r="W740" i="14"/>
  <c r="T750" i="14"/>
  <c r="T751" i="14" l="1"/>
  <c r="U742" i="14"/>
  <c r="V742" i="14"/>
  <c r="W741" i="14"/>
  <c r="U743" i="14" l="1"/>
  <c r="V743" i="14"/>
  <c r="W742" i="14"/>
  <c r="T752" i="14"/>
  <c r="T753" i="14" l="1"/>
  <c r="U744" i="14"/>
  <c r="V744" i="14"/>
  <c r="W743" i="14"/>
  <c r="U745" i="14" l="1"/>
  <c r="V745" i="14"/>
  <c r="W744" i="14"/>
  <c r="B744" i="14" s="1"/>
  <c r="T754" i="14"/>
  <c r="T755" i="14" l="1"/>
  <c r="V746" i="14"/>
  <c r="U746" i="14"/>
  <c r="W745" i="14"/>
  <c r="V747" i="14" l="1"/>
  <c r="U747" i="14"/>
  <c r="W746" i="14"/>
  <c r="T756" i="14"/>
  <c r="T757" i="14" l="1"/>
  <c r="V748" i="14"/>
  <c r="U748" i="14"/>
  <c r="W747" i="14"/>
  <c r="U749" i="14" l="1"/>
  <c r="V749" i="14"/>
  <c r="W748" i="14"/>
  <c r="T758" i="14"/>
  <c r="T759" i="14" l="1"/>
  <c r="U750" i="14"/>
  <c r="V750" i="14"/>
  <c r="W749" i="14"/>
  <c r="U751" i="14" l="1"/>
  <c r="V751" i="14"/>
  <c r="W750" i="14"/>
  <c r="T760" i="14"/>
  <c r="T761" i="14" l="1"/>
  <c r="V752" i="14"/>
  <c r="U752" i="14"/>
  <c r="W751" i="14"/>
  <c r="B751" i="14" s="1"/>
  <c r="V753" i="14" l="1"/>
  <c r="U753" i="14"/>
  <c r="W752" i="14"/>
  <c r="T762" i="14"/>
  <c r="T763" i="14" l="1"/>
  <c r="V754" i="14"/>
  <c r="U754" i="14"/>
  <c r="W753" i="14"/>
  <c r="U755" i="14" l="1"/>
  <c r="V755" i="14"/>
  <c r="W754" i="14"/>
  <c r="T764" i="14"/>
  <c r="T765" i="14" l="1"/>
  <c r="V756" i="14"/>
  <c r="U756" i="14"/>
  <c r="W755" i="14"/>
  <c r="V757" i="14" l="1"/>
  <c r="U757" i="14"/>
  <c r="W756" i="14"/>
  <c r="T766" i="14"/>
  <c r="T767" i="14" l="1"/>
  <c r="V758" i="14"/>
  <c r="U758" i="14"/>
  <c r="W757" i="14"/>
  <c r="V759" i="14" l="1"/>
  <c r="U759" i="14"/>
  <c r="W758" i="14"/>
  <c r="B758" i="14" s="1"/>
  <c r="T768" i="14"/>
  <c r="T769" i="14" l="1"/>
  <c r="V760" i="14"/>
  <c r="U760" i="14"/>
  <c r="W759" i="14"/>
  <c r="U761" i="14" l="1"/>
  <c r="V761" i="14"/>
  <c r="W760" i="14"/>
  <c r="T770" i="14"/>
  <c r="T771" i="14" l="1"/>
  <c r="U762" i="14"/>
  <c r="V762" i="14"/>
  <c r="W761" i="14"/>
  <c r="V763" i="14" l="1"/>
  <c r="U763" i="14"/>
  <c r="W762" i="14"/>
  <c r="T772" i="14"/>
  <c r="T773" i="14" l="1"/>
  <c r="V764" i="14"/>
  <c r="U764" i="14"/>
  <c r="W763" i="14"/>
  <c r="U765" i="14" l="1"/>
  <c r="D2" i="37"/>
  <c r="V765" i="14"/>
  <c r="W764" i="14"/>
  <c r="T774" i="14"/>
  <c r="T775" i="14" l="1"/>
  <c r="D3" i="37"/>
  <c r="V766" i="14"/>
  <c r="U766" i="14"/>
  <c r="W765" i="14"/>
  <c r="B765" i="14" s="1"/>
  <c r="U767" i="14" l="1"/>
  <c r="D4" i="37"/>
  <c r="V767" i="14"/>
  <c r="W766" i="14"/>
  <c r="T776" i="14"/>
  <c r="T777" i="14" l="1"/>
  <c r="V768" i="14"/>
  <c r="U768" i="14"/>
  <c r="D5" i="37"/>
  <c r="W767" i="14"/>
  <c r="V769" i="14" l="1"/>
  <c r="U769" i="14"/>
  <c r="D6" i="37"/>
  <c r="W768" i="14"/>
  <c r="T778" i="14"/>
  <c r="T779" i="14" l="1"/>
  <c r="U770" i="14"/>
  <c r="V770" i="14"/>
  <c r="D7" i="37"/>
  <c r="W769" i="14"/>
  <c r="V771" i="14" l="1"/>
  <c r="U771" i="14"/>
  <c r="D8" i="37"/>
  <c r="W770" i="14"/>
  <c r="T780" i="14"/>
  <c r="T781" i="14" l="1"/>
  <c r="D9" i="37"/>
  <c r="U772" i="14"/>
  <c r="V772" i="14"/>
  <c r="W771" i="14"/>
  <c r="T782" i="14" l="1"/>
  <c r="U773" i="14"/>
  <c r="V773" i="14"/>
  <c r="D10" i="37"/>
  <c r="W772" i="14"/>
  <c r="B772" i="14" s="1"/>
  <c r="D11" i="37" l="1"/>
  <c r="U774" i="14"/>
  <c r="V774" i="14"/>
  <c r="W773" i="14"/>
  <c r="T783" i="14"/>
  <c r="T784" i="14" l="1"/>
  <c r="D12" i="37"/>
  <c r="V775" i="14"/>
  <c r="U775" i="14"/>
  <c r="W774" i="14"/>
  <c r="V776" i="14" l="1"/>
  <c r="U776" i="14"/>
  <c r="D13" i="37"/>
  <c r="W775" i="14"/>
  <c r="T785" i="14"/>
  <c r="T786" i="14" l="1"/>
  <c r="U777" i="14"/>
  <c r="D14" i="37"/>
  <c r="V777" i="14"/>
  <c r="W776" i="14"/>
  <c r="D15" i="37" l="1"/>
  <c r="V778" i="14"/>
  <c r="U778" i="14"/>
  <c r="W777" i="14"/>
  <c r="T787" i="14"/>
  <c r="T788" i="14" l="1"/>
  <c r="V779" i="14"/>
  <c r="D16" i="37"/>
  <c r="U779" i="14"/>
  <c r="W778" i="14"/>
  <c r="V780" i="14" l="1"/>
  <c r="D17" i="37"/>
  <c r="U780" i="14"/>
  <c r="W779" i="14"/>
  <c r="B779" i="14" s="1"/>
  <c r="T789" i="14"/>
  <c r="T790" i="14" l="1"/>
  <c r="U781" i="14"/>
  <c r="D18" i="37"/>
  <c r="V781" i="14"/>
  <c r="W780" i="14"/>
  <c r="D19" i="37" l="1"/>
  <c r="V782" i="14"/>
  <c r="U782" i="14"/>
  <c r="W781" i="14"/>
  <c r="T791" i="14"/>
  <c r="T792" i="14" l="1"/>
  <c r="D20" i="37"/>
  <c r="U783" i="14"/>
  <c r="V783" i="14"/>
  <c r="W782" i="14"/>
  <c r="U784" i="14" l="1"/>
  <c r="V784" i="14"/>
  <c r="D21" i="37"/>
  <c r="W783" i="14"/>
  <c r="T793" i="14"/>
  <c r="D22" i="37" l="1"/>
  <c r="V785" i="14"/>
  <c r="U785" i="14"/>
  <c r="W784" i="14"/>
  <c r="T794" i="14"/>
  <c r="T795" i="14" l="1"/>
  <c r="U786" i="14"/>
  <c r="V786" i="14"/>
  <c r="D23" i="37"/>
  <c r="W785" i="14"/>
  <c r="V787" i="14" l="1"/>
  <c r="D24" i="37"/>
  <c r="U787" i="14"/>
  <c r="W786" i="14"/>
  <c r="B786" i="14" s="1"/>
  <c r="T796" i="14"/>
  <c r="T797" i="14" l="1"/>
  <c r="V788" i="14"/>
  <c r="U788" i="14"/>
  <c r="D25" i="37"/>
  <c r="W787" i="14"/>
  <c r="V789" i="14" l="1"/>
  <c r="U789" i="14"/>
  <c r="D26" i="37"/>
  <c r="W788" i="14"/>
  <c r="T798" i="14"/>
  <c r="V790" i="14" l="1"/>
  <c r="U790" i="14"/>
  <c r="D27" i="37"/>
  <c r="W789" i="14"/>
  <c r="T799" i="14"/>
  <c r="T800" i="14" l="1"/>
  <c r="D28" i="37"/>
  <c r="U791" i="14"/>
  <c r="V791" i="14"/>
  <c r="W790" i="14"/>
  <c r="U792" i="14" l="1"/>
  <c r="D29" i="37"/>
  <c r="V792" i="14"/>
  <c r="W791" i="14"/>
  <c r="T801" i="14"/>
  <c r="T802" i="14" l="1"/>
  <c r="V793" i="14"/>
  <c r="D30" i="37"/>
  <c r="U793" i="14"/>
  <c r="W792" i="14"/>
  <c r="D31" i="37" l="1"/>
  <c r="U794" i="14"/>
  <c r="V794" i="14"/>
  <c r="W793" i="14"/>
  <c r="B793" i="14" s="1"/>
  <c r="T803" i="14"/>
  <c r="T804" i="14" l="1"/>
  <c r="D32" i="37"/>
  <c r="U795" i="14"/>
  <c r="V795" i="14"/>
  <c r="W794" i="14"/>
  <c r="D33" i="37" l="1"/>
  <c r="U796" i="14"/>
  <c r="V796" i="14"/>
  <c r="W795" i="14"/>
  <c r="T805" i="14"/>
  <c r="T806" i="14" l="1"/>
  <c r="U797" i="14"/>
  <c r="D34" i="37"/>
  <c r="V797" i="14"/>
  <c r="W796" i="14"/>
  <c r="U798" i="14" l="1"/>
  <c r="V798" i="14"/>
  <c r="D35" i="37"/>
  <c r="W797" i="14"/>
  <c r="T807" i="14"/>
  <c r="T808" i="14" l="1"/>
  <c r="D36" i="37"/>
  <c r="V799" i="14"/>
  <c r="U799" i="14"/>
  <c r="W798" i="14"/>
  <c r="D37" i="37" l="1"/>
  <c r="V800" i="14"/>
  <c r="U800" i="14"/>
  <c r="W799" i="14"/>
  <c r="T809" i="14"/>
  <c r="T810" i="14" l="1"/>
  <c r="V801" i="14"/>
  <c r="D38" i="37"/>
  <c r="U801" i="14"/>
  <c r="W800" i="14"/>
  <c r="B800" i="14" s="1"/>
  <c r="U802" i="14" l="1"/>
  <c r="V802" i="14"/>
  <c r="D39" i="37"/>
  <c r="W801" i="14"/>
  <c r="T811" i="14"/>
  <c r="T812" i="14" l="1"/>
  <c r="V803" i="14"/>
  <c r="U803" i="14"/>
  <c r="D40" i="37"/>
  <c r="W802" i="14"/>
  <c r="V804" i="14" l="1"/>
  <c r="D41" i="37"/>
  <c r="U804" i="14"/>
  <c r="W803" i="14"/>
  <c r="T813" i="14"/>
  <c r="T814" i="14" l="1"/>
  <c r="D42" i="37"/>
  <c r="V805" i="14"/>
  <c r="U805" i="14"/>
  <c r="W804" i="14"/>
  <c r="D43" i="37" l="1"/>
  <c r="U806" i="14"/>
  <c r="V806" i="14"/>
  <c r="W805" i="14"/>
  <c r="T815" i="14"/>
  <c r="T816" i="14" l="1"/>
  <c r="V807" i="14"/>
  <c r="U807" i="14"/>
  <c r="D44" i="37"/>
  <c r="W806" i="14"/>
  <c r="D45" i="37" l="1"/>
  <c r="U808" i="14"/>
  <c r="V808" i="14"/>
  <c r="W807" i="14"/>
  <c r="B807" i="14" s="1"/>
  <c r="T817" i="14"/>
  <c r="T818" i="14" l="1"/>
  <c r="U809" i="14"/>
  <c r="D46" i="37"/>
  <c r="V809" i="14"/>
  <c r="W808" i="14"/>
  <c r="D47" i="37" l="1"/>
  <c r="U810" i="14"/>
  <c r="V810" i="14"/>
  <c r="W809" i="14"/>
  <c r="T819" i="14"/>
  <c r="T820" i="14" l="1"/>
  <c r="D48" i="37"/>
  <c r="U811" i="14"/>
  <c r="V811" i="14"/>
  <c r="W810" i="14"/>
  <c r="U812" i="14" l="1"/>
  <c r="V812" i="14"/>
  <c r="D49" i="37"/>
  <c r="W811" i="14"/>
  <c r="T821" i="14"/>
  <c r="T822" i="14" l="1"/>
  <c r="D50" i="37"/>
  <c r="U813" i="14"/>
  <c r="V813" i="14"/>
  <c r="W812" i="14"/>
  <c r="V814" i="14" l="1"/>
  <c r="D51" i="37"/>
  <c r="U814" i="14"/>
  <c r="W813" i="14"/>
  <c r="T823" i="14"/>
  <c r="T824" i="14" l="1"/>
  <c r="V815" i="14"/>
  <c r="U815" i="14"/>
  <c r="D52" i="37"/>
  <c r="W814" i="14"/>
  <c r="B814" i="14" s="1"/>
  <c r="D53" i="37" l="1"/>
  <c r="V816" i="14"/>
  <c r="U816" i="14"/>
  <c r="W815" i="14"/>
  <c r="T825" i="14"/>
  <c r="T826" i="14" l="1"/>
  <c r="D54" i="37"/>
  <c r="V817" i="14"/>
  <c r="U817" i="14"/>
  <c r="W816" i="14"/>
  <c r="D55" i="37" l="1"/>
  <c r="U818" i="14"/>
  <c r="V818" i="14"/>
  <c r="W817" i="14"/>
  <c r="T827" i="14"/>
  <c r="T828" i="14" l="1"/>
  <c r="U819" i="14"/>
  <c r="V819" i="14"/>
  <c r="D56" i="37"/>
  <c r="W818" i="14"/>
  <c r="U820" i="14" l="1"/>
  <c r="D57" i="37"/>
  <c r="V820" i="14"/>
  <c r="W819" i="14"/>
  <c r="T829" i="14"/>
  <c r="T830" i="14" l="1"/>
  <c r="V821" i="14"/>
  <c r="D58" i="37"/>
  <c r="U821" i="14"/>
  <c r="W820" i="14"/>
  <c r="U822" i="14" l="1"/>
  <c r="V822" i="14"/>
  <c r="D59" i="37"/>
  <c r="W821" i="14"/>
  <c r="B821" i="14" s="1"/>
  <c r="T831" i="14"/>
  <c r="T832" i="14" l="1"/>
  <c r="U823" i="14"/>
  <c r="D60" i="37"/>
  <c r="V823" i="14"/>
  <c r="W822" i="14"/>
  <c r="D61" i="37" l="1"/>
  <c r="U824" i="14"/>
  <c r="V824" i="14"/>
  <c r="W823" i="14"/>
  <c r="T833" i="14"/>
  <c r="T834" i="14" l="1"/>
  <c r="D62" i="37"/>
  <c r="U825" i="14"/>
  <c r="V825" i="14"/>
  <c r="W824" i="14"/>
  <c r="U826" i="14" l="1"/>
  <c r="V826" i="14"/>
  <c r="D63" i="37"/>
  <c r="W825" i="14"/>
  <c r="T835" i="14"/>
  <c r="T836" i="14" l="1"/>
  <c r="U827" i="14"/>
  <c r="V827" i="14"/>
  <c r="D64" i="37"/>
  <c r="W826" i="14"/>
  <c r="V828" i="14" l="1"/>
  <c r="U828" i="14"/>
  <c r="D65" i="37"/>
  <c r="W827" i="14"/>
  <c r="T837" i="14"/>
  <c r="T838" i="14" l="1"/>
  <c r="D66" i="37"/>
  <c r="U829" i="14"/>
  <c r="V829" i="14"/>
  <c r="W828" i="14"/>
  <c r="B828" i="14" s="1"/>
  <c r="D67" i="37" l="1"/>
  <c r="V830" i="14"/>
  <c r="U830" i="14"/>
  <c r="W829" i="14"/>
  <c r="T839" i="14"/>
  <c r="T840" i="14" l="1"/>
  <c r="D68" i="37"/>
  <c r="V831" i="14"/>
  <c r="U831" i="14"/>
  <c r="W830" i="14"/>
  <c r="U832" i="14" l="1"/>
  <c r="V832" i="14"/>
  <c r="D69" i="37"/>
  <c r="W831" i="14"/>
  <c r="T841" i="14"/>
  <c r="T842" i="14" l="1"/>
  <c r="D70" i="37"/>
  <c r="U833" i="14"/>
  <c r="V833" i="14"/>
  <c r="W832" i="14"/>
  <c r="U834" i="14" l="1"/>
  <c r="V834" i="14"/>
  <c r="D71" i="37"/>
  <c r="W833" i="14"/>
  <c r="T843" i="14"/>
  <c r="V835" i="14" l="1"/>
  <c r="U835" i="14"/>
  <c r="D72" i="37"/>
  <c r="W834" i="14"/>
  <c r="T844" i="14"/>
  <c r="T845" i="14" l="1"/>
  <c r="V836" i="14"/>
  <c r="U836" i="14"/>
  <c r="D73" i="37"/>
  <c r="W835" i="14"/>
  <c r="B835" i="14" s="1"/>
  <c r="V837" i="14" l="1"/>
  <c r="U837" i="14"/>
  <c r="D74" i="37"/>
  <c r="W836" i="14"/>
  <c r="T846" i="14"/>
  <c r="T847" i="14" l="1"/>
  <c r="D75" i="37"/>
  <c r="U838" i="14"/>
  <c r="V838" i="14"/>
  <c r="W837" i="14"/>
  <c r="U839" i="14" l="1"/>
  <c r="D76" i="37"/>
  <c r="V839" i="14"/>
  <c r="W838" i="14"/>
  <c r="T848" i="14"/>
  <c r="T849" i="14" l="1"/>
  <c r="U840" i="14"/>
  <c r="V840" i="14"/>
  <c r="D77" i="37"/>
  <c r="W839" i="14"/>
  <c r="V841" i="14" l="1"/>
  <c r="D78" i="37"/>
  <c r="U841" i="14"/>
  <c r="W840" i="14"/>
  <c r="T850" i="14"/>
  <c r="T851" i="14" l="1"/>
  <c r="V842" i="14"/>
  <c r="U842" i="14"/>
  <c r="D79" i="37"/>
  <c r="W841" i="14"/>
  <c r="U843" i="14" l="1"/>
  <c r="D80" i="37"/>
  <c r="V843" i="14"/>
  <c r="W842" i="14"/>
  <c r="B842" i="14" s="1"/>
  <c r="T852" i="14"/>
  <c r="T853" i="14" l="1"/>
  <c r="V844" i="14"/>
  <c r="U844" i="14"/>
  <c r="D81" i="37"/>
  <c r="W843" i="14"/>
  <c r="U845" i="14" l="1"/>
  <c r="D82" i="37"/>
  <c r="V845" i="14"/>
  <c r="W844" i="14"/>
  <c r="T854" i="14"/>
  <c r="T855" i="14" l="1"/>
  <c r="D83" i="37"/>
  <c r="V846" i="14"/>
  <c r="U846" i="14"/>
  <c r="W845" i="14"/>
  <c r="U847" i="14" l="1"/>
  <c r="D84" i="37"/>
  <c r="V847" i="14"/>
  <c r="W846" i="14"/>
  <c r="T856" i="14"/>
  <c r="T857" i="14" l="1"/>
  <c r="D85" i="37"/>
  <c r="V848" i="14"/>
  <c r="U848" i="14"/>
  <c r="W847" i="14"/>
  <c r="V849" i="14" l="1"/>
  <c r="U849" i="14"/>
  <c r="D86" i="37"/>
  <c r="W848" i="14"/>
  <c r="T858" i="14"/>
  <c r="T859" i="14" l="1"/>
  <c r="U850" i="14"/>
  <c r="V850" i="14"/>
  <c r="D87" i="37"/>
  <c r="W849" i="14"/>
  <c r="B849" i="14" s="1"/>
  <c r="T860" i="14" l="1"/>
  <c r="V851" i="14"/>
  <c r="U851" i="14"/>
  <c r="D88" i="37"/>
  <c r="W850" i="14"/>
  <c r="V852" i="14" l="1"/>
  <c r="D89" i="37"/>
  <c r="U852" i="14"/>
  <c r="W851" i="14"/>
  <c r="T861" i="14"/>
  <c r="T862" i="14" l="1"/>
  <c r="D90" i="37"/>
  <c r="V853" i="14"/>
  <c r="U853" i="14"/>
  <c r="W852" i="14"/>
  <c r="D91" i="37" l="1"/>
  <c r="V854" i="14"/>
  <c r="U854" i="14"/>
  <c r="W853" i="14"/>
  <c r="T863" i="14"/>
  <c r="V855" i="14" l="1"/>
  <c r="D92" i="37"/>
  <c r="U855" i="14"/>
  <c r="W854" i="14"/>
  <c r="T864" i="14"/>
  <c r="T865" i="14" l="1"/>
  <c r="D93" i="37"/>
  <c r="U856" i="14"/>
  <c r="V856" i="14"/>
  <c r="W855" i="14"/>
  <c r="D94" i="37" l="1"/>
  <c r="U857" i="14"/>
  <c r="V857" i="14"/>
  <c r="W856" i="14"/>
  <c r="B856" i="14" s="1"/>
  <c r="T866" i="14"/>
  <c r="T867" i="14" l="1"/>
  <c r="D95" i="37"/>
  <c r="U858" i="14"/>
  <c r="V858" i="14"/>
  <c r="W857" i="14"/>
  <c r="U859" i="14" l="1"/>
  <c r="D96" i="37"/>
  <c r="V859" i="14"/>
  <c r="W858" i="14"/>
  <c r="T868" i="14"/>
  <c r="T869" i="14" l="1"/>
  <c r="D97" i="37"/>
  <c r="U860" i="14"/>
  <c r="V860" i="14"/>
  <c r="W859" i="14"/>
  <c r="U861" i="14" l="1"/>
  <c r="D98" i="37"/>
  <c r="V861" i="14"/>
  <c r="W860" i="14"/>
  <c r="T870" i="14"/>
  <c r="T871" i="14" l="1"/>
  <c r="D99" i="37"/>
  <c r="U862" i="14"/>
  <c r="V862" i="14"/>
  <c r="W861" i="14"/>
  <c r="V863" i="14" l="1"/>
  <c r="U863" i="14"/>
  <c r="D100" i="37"/>
  <c r="W862" i="14"/>
  <c r="T872" i="14"/>
  <c r="T873" i="14" l="1"/>
  <c r="U864" i="14"/>
  <c r="D101" i="37"/>
  <c r="V864" i="14"/>
  <c r="W863" i="14"/>
  <c r="B863" i="14" s="1"/>
  <c r="V865" i="14" l="1"/>
  <c r="U865" i="14"/>
  <c r="D102" i="37"/>
  <c r="W864" i="14"/>
  <c r="T874" i="14"/>
  <c r="T875" i="14" l="1"/>
  <c r="V866" i="14"/>
  <c r="U866" i="14"/>
  <c r="D103" i="37"/>
  <c r="W865" i="14"/>
  <c r="D104" i="37" l="1"/>
  <c r="U867" i="14"/>
  <c r="V867" i="14"/>
  <c r="W866" i="14"/>
  <c r="T876" i="14"/>
  <c r="T877" i="14" l="1"/>
  <c r="U868" i="14"/>
  <c r="V868" i="14"/>
  <c r="D105" i="37"/>
  <c r="W867" i="14"/>
  <c r="U869" i="14" l="1"/>
  <c r="V869" i="14"/>
  <c r="D106" i="37"/>
  <c r="W868" i="14"/>
  <c r="T878" i="14"/>
  <c r="D107" i="37" l="1"/>
  <c r="U870" i="14"/>
  <c r="V870" i="14"/>
  <c r="W869" i="14"/>
  <c r="T879" i="14"/>
  <c r="T880" i="14" l="1"/>
  <c r="D108" i="37"/>
  <c r="V871" i="14"/>
  <c r="U871" i="14"/>
  <c r="W870" i="14"/>
  <c r="B870" i="14" s="1"/>
  <c r="D109" i="37" l="1"/>
  <c r="U872" i="14"/>
  <c r="V872" i="14"/>
  <c r="W871" i="14"/>
  <c r="T881" i="14"/>
  <c r="T882" i="14" l="1"/>
  <c r="U873" i="14"/>
  <c r="D110" i="37"/>
  <c r="V873" i="14"/>
  <c r="W872" i="14"/>
  <c r="U874" i="14" l="1"/>
  <c r="D111" i="37"/>
  <c r="V874" i="14"/>
  <c r="W873" i="14"/>
  <c r="T883" i="14"/>
  <c r="T884" i="14" l="1"/>
  <c r="U875" i="14"/>
  <c r="D112" i="37"/>
  <c r="V875" i="14"/>
  <c r="W874" i="14"/>
  <c r="U876" i="14" l="1"/>
  <c r="D113" i="37"/>
  <c r="V876" i="14"/>
  <c r="W875" i="14"/>
  <c r="T885" i="14"/>
  <c r="T886" i="14" l="1"/>
  <c r="V877" i="14"/>
  <c r="U877" i="14"/>
  <c r="D114" i="37"/>
  <c r="W876" i="14"/>
  <c r="U878" i="14" l="1"/>
  <c r="V878" i="14"/>
  <c r="D115" i="37"/>
  <c r="W877" i="14"/>
  <c r="B877" i="14" s="1"/>
  <c r="T887" i="14"/>
  <c r="T888" i="14" l="1"/>
  <c r="D116" i="37"/>
  <c r="V879" i="14"/>
  <c r="U879" i="14"/>
  <c r="W878" i="14"/>
  <c r="U880" i="14" l="1"/>
  <c r="V880" i="14"/>
  <c r="D117" i="37"/>
  <c r="W879" i="14"/>
  <c r="T889" i="14"/>
  <c r="T890" i="14" l="1"/>
  <c r="D118" i="37"/>
  <c r="U881" i="14"/>
  <c r="V881" i="14"/>
  <c r="W880" i="14"/>
  <c r="D119" i="37" l="1"/>
  <c r="V882" i="14"/>
  <c r="U882" i="14"/>
  <c r="W881" i="14"/>
  <c r="T891" i="14"/>
  <c r="T892" i="14" l="1"/>
  <c r="V883" i="14"/>
  <c r="D120" i="37"/>
  <c r="U883" i="14"/>
  <c r="W882" i="14"/>
  <c r="D121" i="37" l="1"/>
  <c r="U884" i="14"/>
  <c r="V884" i="14"/>
  <c r="W883" i="14"/>
  <c r="T893" i="14"/>
  <c r="T894" i="14" l="1"/>
  <c r="V885" i="14"/>
  <c r="D122" i="37"/>
  <c r="U885" i="14"/>
  <c r="W884" i="14"/>
  <c r="B884" i="14" s="1"/>
  <c r="U886" i="14" l="1"/>
  <c r="D123" i="37"/>
  <c r="V886" i="14"/>
  <c r="W885" i="14"/>
  <c r="T895" i="14"/>
  <c r="T896" i="14" l="1"/>
  <c r="U887" i="14"/>
  <c r="D124" i="37"/>
  <c r="V887" i="14"/>
  <c r="W886" i="14"/>
  <c r="D125" i="37" l="1"/>
  <c r="V888" i="14"/>
  <c r="U888" i="14"/>
  <c r="W887" i="14"/>
  <c r="T897" i="14"/>
  <c r="U889" i="14" l="1"/>
  <c r="D126" i="37"/>
  <c r="V889" i="14"/>
  <c r="W888" i="14"/>
  <c r="T898" i="14"/>
  <c r="T899" i="14" l="1"/>
  <c r="U890" i="14"/>
  <c r="D127" i="37"/>
  <c r="V890" i="14"/>
  <c r="W889" i="14"/>
  <c r="U891" i="14" l="1"/>
  <c r="D128" i="37"/>
  <c r="V891" i="14"/>
  <c r="W890" i="14"/>
  <c r="T900" i="14"/>
  <c r="T901" i="14" l="1"/>
  <c r="D129" i="37"/>
  <c r="V892" i="14"/>
  <c r="U892" i="14"/>
  <c r="W891" i="14"/>
  <c r="B891" i="14" s="1"/>
  <c r="U893" i="14" l="1"/>
  <c r="V893" i="14"/>
  <c r="D130" i="37"/>
  <c r="W892" i="14"/>
  <c r="T902" i="14"/>
  <c r="T903" i="14" l="1"/>
  <c r="V894" i="14"/>
  <c r="U894" i="14"/>
  <c r="D131" i="37"/>
  <c r="W893" i="14"/>
  <c r="D132" i="37" l="1"/>
  <c r="U895" i="14"/>
  <c r="V895" i="14"/>
  <c r="W894" i="14"/>
  <c r="T904" i="14"/>
  <c r="T905" i="14" l="1"/>
  <c r="D133" i="37"/>
  <c r="U896" i="14"/>
  <c r="V896" i="14"/>
  <c r="W895" i="14"/>
  <c r="V897" i="14" l="1"/>
  <c r="D134" i="37"/>
  <c r="U897" i="14"/>
  <c r="W896" i="14"/>
  <c r="T906" i="14"/>
  <c r="T907" i="14" l="1"/>
  <c r="D135" i="37"/>
  <c r="V898" i="14"/>
  <c r="U898" i="14"/>
  <c r="W897" i="14"/>
  <c r="V899" i="14" l="1"/>
  <c r="U899" i="14"/>
  <c r="D136" i="37"/>
  <c r="W898" i="14"/>
  <c r="B898" i="14" s="1"/>
  <c r="T908" i="14"/>
  <c r="T909" i="14" l="1"/>
  <c r="D137" i="37"/>
  <c r="U900" i="14"/>
  <c r="V900" i="14"/>
  <c r="W899" i="14"/>
  <c r="D138" i="37" l="1"/>
  <c r="V901" i="14"/>
  <c r="U901" i="14"/>
  <c r="W900" i="14"/>
  <c r="T910" i="14"/>
  <c r="U902" i="14" l="1"/>
  <c r="D139" i="37"/>
  <c r="V902" i="14"/>
  <c r="W901" i="14"/>
  <c r="T911" i="14"/>
  <c r="T912" i="14" l="1"/>
  <c r="D140" i="37"/>
  <c r="U903" i="14"/>
  <c r="V903" i="14"/>
  <c r="W902" i="14"/>
  <c r="U904" i="14" l="1"/>
  <c r="V904" i="14"/>
  <c r="D141" i="37"/>
  <c r="W903" i="14"/>
  <c r="T913" i="14"/>
  <c r="T914" i="14" l="1"/>
  <c r="V905" i="14"/>
  <c r="D142" i="37"/>
  <c r="U905" i="14"/>
  <c r="W904" i="14"/>
  <c r="D143" i="37" l="1"/>
  <c r="V906" i="14"/>
  <c r="U906" i="14"/>
  <c r="W905" i="14"/>
  <c r="B905" i="14" s="1"/>
  <c r="T915" i="14"/>
  <c r="T916" i="14" l="1"/>
  <c r="D144" i="37"/>
  <c r="V907" i="14"/>
  <c r="U907" i="14"/>
  <c r="W906" i="14"/>
  <c r="V908" i="14" l="1"/>
  <c r="U908" i="14"/>
  <c r="D145" i="37"/>
  <c r="W907" i="14"/>
  <c r="T917" i="14"/>
  <c r="V909" i="14" l="1"/>
  <c r="U909" i="14"/>
  <c r="D146" i="37"/>
  <c r="W908" i="14"/>
  <c r="T918" i="14"/>
  <c r="T919" i="14" l="1"/>
  <c r="V910" i="14"/>
  <c r="D147" i="37"/>
  <c r="U910" i="14"/>
  <c r="W909" i="14"/>
  <c r="U911" i="14" l="1"/>
  <c r="V911" i="14"/>
  <c r="D148" i="37"/>
  <c r="W910" i="14"/>
  <c r="T920" i="14"/>
  <c r="T921" i="14" l="1"/>
  <c r="U912" i="14"/>
  <c r="V912" i="14"/>
  <c r="D149" i="37"/>
  <c r="W911" i="14"/>
  <c r="D150" i="37" l="1"/>
  <c r="V913" i="14"/>
  <c r="U913" i="14"/>
  <c r="W912" i="14"/>
  <c r="B912" i="14" s="1"/>
  <c r="T922" i="14"/>
  <c r="T923" i="14" l="1"/>
  <c r="U914" i="14"/>
  <c r="D151" i="37"/>
  <c r="V914" i="14"/>
  <c r="W913" i="14"/>
  <c r="V915" i="14" l="1"/>
  <c r="D152" i="37"/>
  <c r="U915" i="14"/>
  <c r="W914" i="14"/>
  <c r="T924" i="14"/>
  <c r="T925" i="14" l="1"/>
  <c r="V916" i="14"/>
  <c r="D153" i="37"/>
  <c r="U916" i="14"/>
  <c r="W915" i="14"/>
  <c r="D154" i="37" l="1"/>
  <c r="V917" i="14"/>
  <c r="U917" i="14"/>
  <c r="W916" i="14"/>
  <c r="T926" i="14"/>
  <c r="T927" i="14" l="1"/>
  <c r="U918" i="14"/>
  <c r="V918" i="14"/>
  <c r="D155" i="37"/>
  <c r="W917" i="14"/>
  <c r="V919" i="14" l="1"/>
  <c r="U919" i="14"/>
  <c r="D156" i="37"/>
  <c r="W918" i="14"/>
  <c r="T928" i="14"/>
  <c r="T929" i="14" l="1"/>
  <c r="V920" i="14"/>
  <c r="U920" i="14"/>
  <c r="D157" i="37"/>
  <c r="W919" i="14"/>
  <c r="B919" i="14" s="1"/>
  <c r="U921" i="14" l="1"/>
  <c r="V921" i="14"/>
  <c r="D158" i="37"/>
  <c r="W920" i="14"/>
  <c r="T930" i="14"/>
  <c r="T931" i="14" l="1"/>
  <c r="D159" i="37"/>
  <c r="U922" i="14"/>
  <c r="V922" i="14"/>
  <c r="W921" i="14"/>
  <c r="U923" i="14" l="1"/>
  <c r="D160" i="37"/>
  <c r="V923" i="14"/>
  <c r="W922" i="14"/>
  <c r="T932" i="14"/>
  <c r="T933" i="14" l="1"/>
  <c r="U924" i="14"/>
  <c r="V924" i="14"/>
  <c r="D161" i="37"/>
  <c r="W923" i="14"/>
  <c r="U925" i="14" l="1"/>
  <c r="D162" i="37"/>
  <c r="V925" i="14"/>
  <c r="W924" i="14"/>
  <c r="T934" i="14"/>
  <c r="T935" i="14" l="1"/>
  <c r="U926" i="14"/>
  <c r="V926" i="14"/>
  <c r="D163" i="37"/>
  <c r="W925" i="14"/>
  <c r="U927" i="14" l="1"/>
  <c r="V927" i="14"/>
  <c r="D164" i="37"/>
  <c r="W926" i="14"/>
  <c r="B926" i="14" s="1"/>
  <c r="T936" i="14"/>
  <c r="T937" i="14" l="1"/>
  <c r="U928" i="14"/>
  <c r="D165" i="37"/>
  <c r="V928" i="14"/>
  <c r="W927" i="14"/>
  <c r="V929" i="14" l="1"/>
  <c r="D166" i="37"/>
  <c r="U929" i="14"/>
  <c r="W928" i="14"/>
  <c r="T938" i="14"/>
  <c r="T939" i="14" l="1"/>
  <c r="V930" i="14"/>
  <c r="D167" i="37"/>
  <c r="U930" i="14"/>
  <c r="W929" i="14"/>
  <c r="U931" i="14" l="1"/>
  <c r="V931" i="14"/>
  <c r="D168" i="37"/>
  <c r="W930" i="14"/>
  <c r="T940" i="14"/>
  <c r="T941" i="14" l="1"/>
  <c r="U932" i="14"/>
  <c r="D169" i="37"/>
  <c r="V932" i="14"/>
  <c r="W931" i="14"/>
  <c r="V933" i="14" l="1"/>
  <c r="D170" i="37"/>
  <c r="U933" i="14"/>
  <c r="W932" i="14"/>
  <c r="T942" i="14"/>
  <c r="T943" i="14" l="1"/>
  <c r="U934" i="14"/>
  <c r="D171" i="37"/>
  <c r="V934" i="14"/>
  <c r="W933" i="14"/>
  <c r="B933" i="14" s="1"/>
  <c r="V935" i="14" l="1"/>
  <c r="U935" i="14"/>
  <c r="D172" i="37"/>
  <c r="W934" i="14"/>
  <c r="T944" i="14"/>
  <c r="V936" i="14" l="1"/>
  <c r="D173" i="37"/>
  <c r="U936" i="14"/>
  <c r="W935" i="14"/>
  <c r="T945" i="14"/>
  <c r="T946" i="14" l="1"/>
  <c r="U937" i="14"/>
  <c r="V937" i="14"/>
  <c r="D174" i="37"/>
  <c r="W936" i="14"/>
  <c r="U938" i="14" l="1"/>
  <c r="D175" i="37"/>
  <c r="V938" i="14"/>
  <c r="W937" i="14"/>
  <c r="T947" i="14"/>
  <c r="T948" i="14" l="1"/>
  <c r="U939" i="14"/>
  <c r="D176" i="37"/>
  <c r="V939" i="14"/>
  <c r="W938" i="14"/>
  <c r="V940" i="14" l="1"/>
  <c r="D177" i="37"/>
  <c r="U940" i="14"/>
  <c r="W939" i="14"/>
  <c r="T949" i="14"/>
  <c r="T950" i="14" l="1"/>
  <c r="V941" i="14"/>
  <c r="U941" i="14"/>
  <c r="D178" i="37"/>
  <c r="W940" i="14"/>
  <c r="B940" i="14" s="1"/>
  <c r="D179" i="37" l="1"/>
  <c r="U942" i="14"/>
  <c r="V942" i="14"/>
  <c r="W941" i="14"/>
  <c r="T951" i="14"/>
  <c r="T952" i="14" l="1"/>
  <c r="D180" i="37"/>
  <c r="U943" i="14"/>
  <c r="V943" i="14"/>
  <c r="W942" i="14"/>
  <c r="D181" i="37" l="1"/>
  <c r="V944" i="14"/>
  <c r="U944" i="14"/>
  <c r="W943" i="14"/>
  <c r="T953" i="14"/>
  <c r="T954" i="14" l="1"/>
  <c r="U945" i="14"/>
  <c r="V945" i="14"/>
  <c r="D182" i="37"/>
  <c r="W944" i="14"/>
  <c r="T955" i="14" l="1"/>
  <c r="D183" i="37"/>
  <c r="U946" i="14"/>
  <c r="V946" i="14"/>
  <c r="W945" i="14"/>
  <c r="U947" i="14" l="1"/>
  <c r="D184" i="37"/>
  <c r="V947" i="14"/>
  <c r="W946" i="14"/>
  <c r="T956" i="14"/>
  <c r="T957" i="14" l="1"/>
  <c r="U948" i="14"/>
  <c r="D185" i="37"/>
  <c r="V948" i="14"/>
  <c r="W947" i="14"/>
  <c r="B947" i="14" s="1"/>
  <c r="U949" i="14" l="1"/>
  <c r="V949" i="14"/>
  <c r="D186" i="37"/>
  <c r="W948" i="14"/>
  <c r="T958" i="14"/>
  <c r="T959" i="14" l="1"/>
  <c r="V950" i="14"/>
  <c r="D187" i="37"/>
  <c r="U950" i="14"/>
  <c r="W949" i="14"/>
  <c r="U951" i="14" l="1"/>
  <c r="V951" i="14"/>
  <c r="D188" i="37"/>
  <c r="W950" i="14"/>
  <c r="T960" i="14"/>
  <c r="T961" i="14" l="1"/>
  <c r="U952" i="14"/>
  <c r="D189" i="37"/>
  <c r="V952" i="14"/>
  <c r="W951" i="14"/>
  <c r="U953" i="14" l="1"/>
  <c r="V953" i="14"/>
  <c r="D190" i="37"/>
  <c r="W952" i="14"/>
  <c r="T962" i="14"/>
  <c r="T963" i="14" l="1"/>
  <c r="D191" i="37"/>
  <c r="V954" i="14"/>
  <c r="U954" i="14"/>
  <c r="W953" i="14"/>
  <c r="V955" i="14" l="1"/>
  <c r="D192" i="37"/>
  <c r="U955" i="14"/>
  <c r="W954" i="14"/>
  <c r="B954" i="14" s="1"/>
  <c r="T964" i="14"/>
  <c r="T965" i="14" l="1"/>
  <c r="D193" i="37"/>
  <c r="V956" i="14"/>
  <c r="U956" i="14"/>
  <c r="W955" i="14"/>
  <c r="U957" i="14" l="1"/>
  <c r="V957" i="14"/>
  <c r="D194" i="37"/>
  <c r="W956" i="14"/>
  <c r="T966" i="14"/>
  <c r="T967" i="14" l="1"/>
  <c r="V958" i="14"/>
  <c r="U958" i="14"/>
  <c r="D195" i="37"/>
  <c r="W957" i="14"/>
  <c r="V959" i="14" l="1"/>
  <c r="D196" i="37"/>
  <c r="U959" i="14"/>
  <c r="W958" i="14"/>
  <c r="T968" i="14"/>
  <c r="T969" i="14" l="1"/>
  <c r="D197" i="37"/>
  <c r="U960" i="14"/>
  <c r="V960" i="14"/>
  <c r="W959" i="14"/>
  <c r="V961" i="14" l="1"/>
  <c r="D198" i="37"/>
  <c r="U961" i="14"/>
  <c r="W960" i="14"/>
  <c r="T970" i="14"/>
  <c r="T971" i="14" l="1"/>
  <c r="U962" i="14"/>
  <c r="V962" i="14"/>
  <c r="D199" i="37"/>
  <c r="W961" i="14"/>
  <c r="B961" i="14" s="1"/>
  <c r="D200" i="37" l="1"/>
  <c r="V963" i="14"/>
  <c r="U963" i="14"/>
  <c r="W962" i="14"/>
  <c r="T972" i="14"/>
  <c r="T973" i="14" l="1"/>
  <c r="V964" i="14"/>
  <c r="U964" i="14"/>
  <c r="D201" i="37"/>
  <c r="W963" i="14"/>
  <c r="D202" i="37" l="1"/>
  <c r="V965" i="14"/>
  <c r="U965" i="14"/>
  <c r="W964" i="14"/>
  <c r="T974" i="14"/>
  <c r="T975" i="14" l="1"/>
  <c r="U966" i="14"/>
  <c r="V966" i="14"/>
  <c r="D203" i="37"/>
  <c r="W965" i="14"/>
  <c r="U967" i="14" l="1"/>
  <c r="V967" i="14"/>
  <c r="D204" i="37"/>
  <c r="W966" i="14"/>
  <c r="T976" i="14"/>
  <c r="T977" i="14" l="1"/>
  <c r="D205" i="37"/>
  <c r="U968" i="14"/>
  <c r="V968" i="14"/>
  <c r="W967" i="14"/>
  <c r="V969" i="14" l="1"/>
  <c r="U969" i="14"/>
  <c r="D206" i="37"/>
  <c r="W968" i="14"/>
  <c r="B968" i="14" s="1"/>
  <c r="T978" i="14"/>
  <c r="U970" i="14" l="1"/>
  <c r="V970" i="14"/>
  <c r="D207" i="37"/>
  <c r="W969" i="14"/>
  <c r="T979" i="14"/>
  <c r="T980" i="14" l="1"/>
  <c r="D208" i="37"/>
  <c r="V971" i="14"/>
  <c r="U971" i="14"/>
  <c r="W970" i="14"/>
  <c r="V972" i="14" l="1"/>
  <c r="U972" i="14"/>
  <c r="D209" i="37"/>
  <c r="W971" i="14"/>
  <c r="T981" i="14"/>
  <c r="T982" i="14" l="1"/>
  <c r="V973" i="14"/>
  <c r="U973" i="14"/>
  <c r="D210" i="37"/>
  <c r="W972" i="14"/>
  <c r="V974" i="14" l="1"/>
  <c r="U974" i="14"/>
  <c r="D211" i="37"/>
  <c r="W973" i="14"/>
  <c r="T983" i="14"/>
  <c r="T984" i="14" l="1"/>
  <c r="V975" i="14"/>
  <c r="U975" i="14"/>
  <c r="D212" i="37"/>
  <c r="W974" i="14"/>
  <c r="U976" i="14" l="1"/>
  <c r="V976" i="14"/>
  <c r="D213" i="37"/>
  <c r="W975" i="14"/>
  <c r="B975" i="14" s="1"/>
  <c r="T985" i="14"/>
  <c r="T986" i="14" l="1"/>
  <c r="U977" i="14"/>
  <c r="D214" i="37"/>
  <c r="V977" i="14"/>
  <c r="W976" i="14"/>
  <c r="V978" i="14" l="1"/>
  <c r="U978" i="14"/>
  <c r="D215" i="37"/>
  <c r="W977" i="14"/>
  <c r="T987" i="14"/>
  <c r="D216" i="37" l="1"/>
  <c r="V979" i="14"/>
  <c r="U979" i="14"/>
  <c r="W978" i="14"/>
  <c r="T988" i="14"/>
  <c r="T989" i="14" l="1"/>
  <c r="U980" i="14"/>
  <c r="V980" i="14"/>
  <c r="D217" i="37"/>
  <c r="W979" i="14"/>
  <c r="T990" i="14" l="1"/>
  <c r="V981" i="14"/>
  <c r="D218" i="37"/>
  <c r="U981" i="14"/>
  <c r="W980" i="14"/>
  <c r="V982" i="14" l="1"/>
  <c r="U982" i="14"/>
  <c r="D219" i="37"/>
  <c r="W981" i="14"/>
  <c r="T991" i="14"/>
  <c r="T992" i="14" l="1"/>
  <c r="D220" i="37"/>
  <c r="U983" i="14"/>
  <c r="V983" i="14"/>
  <c r="W982" i="14"/>
  <c r="B982" i="14" s="1"/>
  <c r="V984" i="14" l="1"/>
  <c r="D221" i="37"/>
  <c r="U984" i="14"/>
  <c r="W983" i="14"/>
  <c r="T993" i="14"/>
  <c r="V985" i="14" l="1"/>
  <c r="D222" i="37"/>
  <c r="U985" i="14"/>
  <c r="W984" i="14"/>
  <c r="T994" i="14"/>
  <c r="T995" i="14" l="1"/>
  <c r="D223" i="37"/>
  <c r="U986" i="14"/>
  <c r="V986" i="14"/>
  <c r="W985" i="14"/>
  <c r="D224" i="37" l="1"/>
  <c r="U987" i="14"/>
  <c r="V987" i="14"/>
  <c r="W986" i="14"/>
  <c r="T996" i="14"/>
  <c r="T997" i="14" l="1"/>
  <c r="D225" i="37"/>
  <c r="U988" i="14"/>
  <c r="V988" i="14"/>
  <c r="W987" i="14"/>
  <c r="V989" i="14" l="1"/>
  <c r="D226" i="37"/>
  <c r="U989" i="14"/>
  <c r="W988" i="14"/>
  <c r="T998" i="14"/>
  <c r="T999" i="14" l="1"/>
  <c r="U990" i="14"/>
  <c r="V990" i="14"/>
  <c r="D227" i="37"/>
  <c r="W989" i="14"/>
  <c r="B989" i="14" s="1"/>
  <c r="D228" i="37" l="1"/>
  <c r="U991" i="14"/>
  <c r="V991" i="14"/>
  <c r="W990" i="14"/>
  <c r="T1000" i="14"/>
  <c r="T1001" i="14" l="1"/>
  <c r="V992" i="14"/>
  <c r="D229" i="37"/>
  <c r="U992" i="14"/>
  <c r="W991" i="14"/>
  <c r="D230" i="37" l="1"/>
  <c r="U993" i="14"/>
  <c r="V993" i="14"/>
  <c r="W992" i="14"/>
  <c r="T1002" i="14"/>
  <c r="T1003" i="14" l="1"/>
  <c r="D231" i="37"/>
  <c r="U994" i="14"/>
  <c r="V994" i="14"/>
  <c r="W993" i="14"/>
  <c r="U995" i="14" l="1"/>
  <c r="V995" i="14"/>
  <c r="D232" i="37"/>
  <c r="W994" i="14"/>
  <c r="T1004" i="14"/>
  <c r="T1005" i="14" l="1"/>
  <c r="D233" i="37"/>
  <c r="U996" i="14"/>
  <c r="V996" i="14"/>
  <c r="W995" i="14"/>
  <c r="V997" i="14" l="1"/>
  <c r="U997" i="14"/>
  <c r="D234" i="37"/>
  <c r="W996" i="14"/>
  <c r="B996" i="14" s="1"/>
  <c r="T1006" i="14"/>
  <c r="T1007" i="14" l="1"/>
  <c r="U998" i="14"/>
  <c r="D235" i="37"/>
  <c r="V998" i="14"/>
  <c r="W997" i="14"/>
  <c r="D236" i="37" l="1"/>
  <c r="V999" i="14"/>
  <c r="U999" i="14"/>
  <c r="W998" i="14"/>
  <c r="T1008" i="14"/>
  <c r="T1009" i="14" l="1"/>
  <c r="V1000" i="14"/>
  <c r="D237" i="37"/>
  <c r="U1000" i="14"/>
  <c r="W999" i="14"/>
  <c r="U1001" i="14" l="1"/>
  <c r="V1001" i="14"/>
  <c r="D238" i="37"/>
  <c r="W1000" i="14"/>
  <c r="T1010" i="14"/>
  <c r="T1011" i="14" l="1"/>
  <c r="D239" i="37"/>
  <c r="U1002" i="14"/>
  <c r="V1002" i="14"/>
  <c r="W1001" i="14"/>
  <c r="D240" i="37" l="1"/>
  <c r="U1003" i="14"/>
  <c r="V1003" i="14"/>
  <c r="W1002" i="14"/>
  <c r="T1012" i="14"/>
  <c r="T1013" i="14" l="1"/>
  <c r="U1004" i="14"/>
  <c r="V1004" i="14"/>
  <c r="D241" i="37"/>
  <c r="W1003" i="14"/>
  <c r="B1003" i="14" s="1"/>
  <c r="U1005" i="14" l="1"/>
  <c r="D242" i="37"/>
  <c r="V1005" i="14"/>
  <c r="W1004" i="14"/>
  <c r="T1014" i="14"/>
  <c r="T1015" i="14" l="1"/>
  <c r="V1006" i="14"/>
  <c r="D243" i="37"/>
  <c r="U1006" i="14"/>
  <c r="W1005" i="14"/>
  <c r="U1007" i="14" l="1"/>
  <c r="V1007" i="14"/>
  <c r="D244" i="37"/>
  <c r="W1006" i="14"/>
  <c r="T1016" i="14"/>
  <c r="T1017" i="14" l="1"/>
  <c r="D245" i="37"/>
  <c r="V1008" i="14"/>
  <c r="U1008" i="14"/>
  <c r="W1007" i="14"/>
  <c r="D246" i="37" l="1"/>
  <c r="U1009" i="14"/>
  <c r="V1009" i="14"/>
  <c r="W1008" i="14"/>
  <c r="T1018" i="14"/>
  <c r="T1019" i="14" l="1"/>
  <c r="D247" i="37"/>
  <c r="U1010" i="14"/>
  <c r="V1010" i="14"/>
  <c r="W1009" i="14"/>
  <c r="V1011" i="14" l="1"/>
  <c r="D248" i="37"/>
  <c r="U1011" i="14"/>
  <c r="W1010" i="14"/>
  <c r="B1010" i="14" s="1"/>
  <c r="T1020" i="14"/>
  <c r="T1021" i="14" l="1"/>
  <c r="U1012" i="14"/>
  <c r="D249" i="37"/>
  <c r="V1012" i="14"/>
  <c r="W1011" i="14"/>
  <c r="D250" i="37" l="1"/>
  <c r="V1013" i="14"/>
  <c r="U1013" i="14"/>
  <c r="W1012" i="14"/>
  <c r="T1022" i="14"/>
  <c r="T1023" i="14" l="1"/>
  <c r="U1014" i="14"/>
  <c r="D251" i="37"/>
  <c r="V1014" i="14"/>
  <c r="W1013" i="14"/>
  <c r="D252" i="37" l="1"/>
  <c r="V1015" i="14"/>
  <c r="U1015" i="14"/>
  <c r="W1014" i="14"/>
  <c r="T1024" i="14"/>
  <c r="U1016" i="14" l="1"/>
  <c r="D253" i="37"/>
  <c r="V1016" i="14"/>
  <c r="W1015" i="14"/>
  <c r="T1025" i="14"/>
  <c r="T1026" i="14" l="1"/>
  <c r="D254" i="37"/>
  <c r="V1017" i="14"/>
  <c r="U1017" i="14"/>
  <c r="W1016" i="14"/>
  <c r="D255" i="37" l="1"/>
  <c r="V1018" i="14"/>
  <c r="U1018" i="14"/>
  <c r="W1017" i="14"/>
  <c r="B1017" i="14" s="1"/>
  <c r="T1027" i="14"/>
  <c r="T1028" i="14" l="1"/>
  <c r="U1019" i="14"/>
  <c r="V1019" i="14"/>
  <c r="D256" i="37"/>
  <c r="W1018" i="14"/>
  <c r="V1020" i="14" l="1"/>
  <c r="U1020" i="14"/>
  <c r="D257" i="37"/>
  <c r="W1019" i="14"/>
  <c r="T1029" i="14"/>
  <c r="T1030" i="14" l="1"/>
  <c r="D258" i="37"/>
  <c r="U1021" i="14"/>
  <c r="V1021" i="14"/>
  <c r="W1020" i="14"/>
  <c r="V1022" i="14" l="1"/>
  <c r="D259" i="37"/>
  <c r="U1022" i="14"/>
  <c r="W1021" i="14"/>
  <c r="T1031" i="14"/>
  <c r="T1032" i="14" l="1"/>
  <c r="V1023" i="14"/>
  <c r="D260" i="37"/>
  <c r="U1023" i="14"/>
  <c r="W1022" i="14"/>
  <c r="U1024" i="14" l="1"/>
  <c r="D261" i="37"/>
  <c r="V1024" i="14"/>
  <c r="W1023" i="14"/>
  <c r="T1033" i="14"/>
  <c r="T1034" i="14" l="1"/>
  <c r="V1025" i="14"/>
  <c r="U1025" i="14"/>
  <c r="D262" i="37"/>
  <c r="W1024" i="14"/>
  <c r="B1024" i="14" s="1"/>
  <c r="D263" i="37" l="1"/>
  <c r="V1026" i="14"/>
  <c r="U1026" i="14"/>
  <c r="W1025" i="14"/>
  <c r="T1035" i="14"/>
  <c r="T1036" i="14" l="1"/>
  <c r="V1027" i="14"/>
  <c r="U1027" i="14"/>
  <c r="D264" i="37"/>
  <c r="W1026" i="14"/>
  <c r="D265" i="37" l="1"/>
  <c r="U1028" i="14"/>
  <c r="V1028" i="14"/>
  <c r="W1027" i="14"/>
  <c r="T1037" i="14"/>
  <c r="T1038" i="14" l="1"/>
  <c r="U1029" i="14"/>
  <c r="V1029" i="14"/>
  <c r="D266" i="37"/>
  <c r="W1028" i="14"/>
  <c r="U1030" i="14" l="1"/>
  <c r="V1030" i="14"/>
  <c r="D267" i="37"/>
  <c r="W1029" i="14"/>
  <c r="T1039" i="14"/>
  <c r="T1040" i="14" l="1"/>
  <c r="U1031" i="14"/>
  <c r="V1031" i="14"/>
  <c r="D268" i="37"/>
  <c r="W1030" i="14"/>
  <c r="U1032" i="14" l="1"/>
  <c r="D269" i="37"/>
  <c r="V1032" i="14"/>
  <c r="W1031" i="14"/>
  <c r="B1031" i="14" s="1"/>
  <c r="T1041" i="14"/>
  <c r="T1042" i="14" l="1"/>
  <c r="D270" i="37"/>
  <c r="U1033" i="14"/>
  <c r="V1033" i="14"/>
  <c r="W1032" i="14"/>
  <c r="V1034" i="14" l="1"/>
  <c r="D271" i="37"/>
  <c r="U1034" i="14"/>
  <c r="W1033" i="14"/>
  <c r="T1043" i="14"/>
  <c r="V1035" i="14" l="1"/>
  <c r="U1035" i="14"/>
  <c r="D272" i="37"/>
  <c r="W1034" i="14"/>
  <c r="T1044" i="14"/>
  <c r="T1045" i="14" l="1"/>
  <c r="V1036" i="14"/>
  <c r="U1036" i="14"/>
  <c r="D273" i="37"/>
  <c r="W1035" i="14"/>
  <c r="V1037" i="14" l="1"/>
  <c r="D274" i="37"/>
  <c r="U1037" i="14"/>
  <c r="W1036" i="14"/>
  <c r="T1046" i="14"/>
  <c r="T1047" i="14" l="1"/>
  <c r="V1038" i="14"/>
  <c r="U1038" i="14"/>
  <c r="D275" i="37"/>
  <c r="W1037" i="14"/>
  <c r="V1039" i="14" l="1"/>
  <c r="U1039" i="14"/>
  <c r="D276" i="37"/>
  <c r="W1038" i="14"/>
  <c r="B1038" i="14" s="1"/>
  <c r="T1048" i="14"/>
  <c r="T1049" i="14" l="1"/>
  <c r="U1040" i="14"/>
  <c r="D277" i="37"/>
  <c r="V1040" i="14"/>
  <c r="W1039" i="14"/>
  <c r="U1041" i="14" l="1"/>
  <c r="V1041" i="14"/>
  <c r="D278" i="37"/>
  <c r="W1040" i="14"/>
  <c r="T1050" i="14"/>
  <c r="T1051" i="14" l="1"/>
  <c r="U1042" i="14"/>
  <c r="V1042" i="14"/>
  <c r="D279" i="37"/>
  <c r="W1041" i="14"/>
  <c r="U1043" i="14" l="1"/>
  <c r="D280" i="37"/>
  <c r="V1043" i="14"/>
  <c r="W1042" i="14"/>
  <c r="T1052" i="14"/>
  <c r="U1044" i="14" l="1"/>
  <c r="D281" i="37"/>
  <c r="V1044" i="14"/>
  <c r="W1043" i="14"/>
  <c r="T1053" i="14"/>
  <c r="T1054" i="14" l="1"/>
  <c r="V1045" i="14"/>
  <c r="U1045" i="14"/>
  <c r="D282" i="37"/>
  <c r="W1044" i="14"/>
  <c r="D283" i="37" l="1"/>
  <c r="U1046" i="14"/>
  <c r="V1046" i="14"/>
  <c r="W1045" i="14"/>
  <c r="B1045" i="14" s="1"/>
  <c r="T1055" i="14"/>
  <c r="T1056" i="14" l="1"/>
  <c r="D284" i="37"/>
  <c r="V1047" i="14"/>
  <c r="U1047" i="14"/>
  <c r="W1046" i="14"/>
  <c r="V1048" i="14" l="1"/>
  <c r="D285" i="37"/>
  <c r="U1048" i="14"/>
  <c r="W1047" i="14"/>
  <c r="T1057" i="14"/>
  <c r="T1058" i="14" l="1"/>
  <c r="U1049" i="14"/>
  <c r="V1049" i="14"/>
  <c r="D286" i="37"/>
  <c r="W1048" i="14"/>
  <c r="U1050" i="14" l="1"/>
  <c r="V1050" i="14"/>
  <c r="D287" i="37"/>
  <c r="W1049" i="14"/>
  <c r="T1059" i="14"/>
  <c r="T1060" i="14" l="1"/>
  <c r="U1051" i="14"/>
  <c r="D288" i="37"/>
  <c r="V1051" i="14"/>
  <c r="W1050" i="14"/>
  <c r="U1052" i="14" l="1"/>
  <c r="D289" i="37"/>
  <c r="V1052" i="14"/>
  <c r="W1051" i="14"/>
  <c r="T1061" i="14"/>
  <c r="T1062" i="14" l="1"/>
  <c r="D290" i="37"/>
  <c r="U1053" i="14"/>
  <c r="V1053" i="14"/>
  <c r="W1052" i="14"/>
  <c r="B1052" i="14" s="1"/>
  <c r="U1054" i="14" l="1"/>
  <c r="V1054" i="14"/>
  <c r="D291" i="37"/>
  <c r="W1053" i="14"/>
  <c r="T1063" i="14"/>
  <c r="T1064" i="14" l="1"/>
  <c r="D292" i="37"/>
  <c r="V1055" i="14"/>
  <c r="U1055" i="14"/>
  <c r="W1054" i="14"/>
  <c r="U1056" i="14" l="1"/>
  <c r="V1056" i="14"/>
  <c r="D293" i="37"/>
  <c r="W1055" i="14"/>
  <c r="T1065" i="14"/>
  <c r="T1066" i="14" l="1"/>
  <c r="D294" i="37"/>
  <c r="V1057" i="14"/>
  <c r="U1057" i="14"/>
  <c r="W1056" i="14"/>
  <c r="D295" i="37" l="1"/>
  <c r="V1058" i="14"/>
  <c r="U1058" i="14"/>
  <c r="W1057" i="14"/>
  <c r="T1067" i="14"/>
  <c r="T1068" i="14" l="1"/>
  <c r="V1059" i="14"/>
  <c r="D296" i="37"/>
  <c r="U1059" i="14"/>
  <c r="W1058" i="14"/>
  <c r="U1060" i="14" l="1"/>
  <c r="D297" i="37"/>
  <c r="V1060" i="14"/>
  <c r="W1059" i="14"/>
  <c r="B1059" i="14" s="1"/>
  <c r="T1069" i="14"/>
  <c r="T1070" i="14" l="1"/>
  <c r="D298" i="37"/>
  <c r="U1061" i="14"/>
  <c r="V1061" i="14"/>
  <c r="W1060" i="14"/>
  <c r="V1062" i="14" l="1"/>
  <c r="D299" i="37"/>
  <c r="U1062" i="14"/>
  <c r="W1061" i="14"/>
  <c r="T1071" i="14"/>
  <c r="D300" i="37" l="1"/>
  <c r="V1063" i="14"/>
  <c r="U1063" i="14"/>
  <c r="W1062" i="14"/>
  <c r="T1072" i="14"/>
  <c r="T1073" i="14" l="1"/>
  <c r="U1064" i="14"/>
  <c r="V1064" i="14"/>
  <c r="D301" i="37"/>
  <c r="W1063" i="14"/>
  <c r="D302" i="37" l="1"/>
  <c r="U1065" i="14"/>
  <c r="V1065" i="14"/>
  <c r="W1064" i="14"/>
  <c r="T1074" i="14"/>
  <c r="T1075" i="14" l="1"/>
  <c r="V1066" i="14"/>
  <c r="U1066" i="14"/>
  <c r="D303" i="37"/>
  <c r="W1065" i="14"/>
  <c r="U1067" i="14" l="1"/>
  <c r="D304" i="37"/>
  <c r="V1067" i="14"/>
  <c r="W1066" i="14"/>
  <c r="B1066" i="14" s="1"/>
  <c r="T1076" i="14"/>
  <c r="T1077" i="14" l="1"/>
  <c r="D305" i="37"/>
  <c r="V1068" i="14"/>
  <c r="U1068" i="14"/>
  <c r="W1067" i="14"/>
  <c r="U1069" i="14" l="1"/>
  <c r="D306" i="37"/>
  <c r="V1069" i="14"/>
  <c r="W1068" i="14"/>
  <c r="T1078" i="14"/>
  <c r="U1070" i="14" l="1"/>
  <c r="V1070" i="14"/>
  <c r="D307" i="37"/>
  <c r="W1069" i="14"/>
  <c r="T1079" i="14"/>
  <c r="T1080" i="14" l="1"/>
  <c r="D308" i="37"/>
  <c r="U1071" i="14"/>
  <c r="V1071" i="14"/>
  <c r="W1070" i="14"/>
  <c r="U1072" i="14" l="1"/>
  <c r="V1072" i="14"/>
  <c r="D309" i="37"/>
  <c r="W1071" i="14"/>
  <c r="T1081" i="14"/>
  <c r="T1082" i="14" l="1"/>
  <c r="V1073" i="14"/>
  <c r="D310" i="37"/>
  <c r="U1073" i="14"/>
  <c r="W1072" i="14"/>
  <c r="D311" i="37" l="1"/>
  <c r="V1074" i="14"/>
  <c r="U1074" i="14"/>
  <c r="W1073" i="14"/>
  <c r="B1073" i="14" s="1"/>
  <c r="T1083" i="14"/>
  <c r="T1084" i="14" l="1"/>
  <c r="V1075" i="14"/>
  <c r="D312" i="37"/>
  <c r="U1075" i="14"/>
  <c r="W1074" i="14"/>
  <c r="V1076" i="14" l="1"/>
  <c r="D313" i="37"/>
  <c r="U1076" i="14"/>
  <c r="W1075" i="14"/>
  <c r="T1085" i="14"/>
  <c r="T1086" i="14" l="1"/>
  <c r="U1077" i="14"/>
  <c r="V1077" i="14"/>
  <c r="D314" i="37"/>
  <c r="W1076" i="14"/>
  <c r="V1078" i="14" l="1"/>
  <c r="D315" i="37"/>
  <c r="U1078" i="14"/>
  <c r="W1077" i="14"/>
  <c r="T1087" i="14"/>
  <c r="T1088" i="14" l="1"/>
  <c r="D316" i="37"/>
  <c r="V1079" i="14"/>
  <c r="U1079" i="14"/>
  <c r="W1078" i="14"/>
  <c r="V1080" i="14" l="1"/>
  <c r="U1080" i="14"/>
  <c r="D317" i="37"/>
  <c r="W1079" i="14"/>
  <c r="T1089" i="14"/>
  <c r="T1090" i="14" l="1"/>
  <c r="V1081" i="14"/>
  <c r="U1081" i="14"/>
  <c r="D318" i="37"/>
  <c r="W1080" i="14"/>
  <c r="B1080" i="14" s="1"/>
  <c r="U1082" i="14" l="1"/>
  <c r="V1082" i="14"/>
  <c r="D319" i="37"/>
  <c r="W1081" i="14"/>
  <c r="T1091" i="14"/>
  <c r="T1092" i="14" l="1"/>
  <c r="V1083" i="14"/>
  <c r="D320" i="37"/>
  <c r="U1083" i="14"/>
  <c r="W1082" i="14"/>
  <c r="T1093" i="14" l="1"/>
  <c r="V1084" i="14"/>
  <c r="D321" i="37"/>
  <c r="U1084" i="14"/>
  <c r="W1083" i="14"/>
  <c r="U1085" i="14" l="1"/>
  <c r="D322" i="37"/>
  <c r="V1085" i="14"/>
  <c r="W1084" i="14"/>
  <c r="T1094" i="14"/>
  <c r="T1095" i="14" l="1"/>
  <c r="V1086" i="14"/>
  <c r="D323" i="37"/>
  <c r="U1086" i="14"/>
  <c r="W1085" i="14"/>
  <c r="V1087" i="14" l="1"/>
  <c r="D324" i="37"/>
  <c r="U1087" i="14"/>
  <c r="W1086" i="14"/>
  <c r="T1096" i="14"/>
  <c r="T1097" i="14" l="1"/>
  <c r="D325" i="37"/>
  <c r="U1088" i="14"/>
  <c r="V1088" i="14"/>
  <c r="W1087" i="14"/>
  <c r="B1087" i="14" s="1"/>
  <c r="U1089" i="14" l="1"/>
  <c r="V1089" i="14"/>
  <c r="D326" i="37"/>
  <c r="W1088" i="14"/>
  <c r="T1098" i="14"/>
  <c r="T1099" i="14" l="1"/>
  <c r="V1090" i="14"/>
  <c r="U1090" i="14"/>
  <c r="D327" i="37"/>
  <c r="W1089" i="14"/>
  <c r="U1091" i="14" l="1"/>
  <c r="D328" i="37"/>
  <c r="V1091" i="14"/>
  <c r="W1090" i="14"/>
  <c r="T1100" i="14"/>
  <c r="T1101" i="14" l="1"/>
  <c r="U1092" i="14"/>
  <c r="V1092" i="14"/>
  <c r="D329" i="37"/>
  <c r="W1091" i="14"/>
  <c r="D330" i="37" l="1"/>
  <c r="V1093" i="14"/>
  <c r="U1093" i="14"/>
  <c r="W1092" i="14"/>
  <c r="T1102" i="14"/>
  <c r="T1103" i="14" l="1"/>
  <c r="V1094" i="14"/>
  <c r="D331" i="37"/>
  <c r="U1094" i="14"/>
  <c r="W1093" i="14"/>
  <c r="V1095" i="14" l="1"/>
  <c r="D332" i="37"/>
  <c r="U1095" i="14"/>
  <c r="W1094" i="14"/>
  <c r="B1094" i="14" s="1"/>
  <c r="T1104" i="14"/>
  <c r="T1105" i="14" l="1"/>
  <c r="U1096" i="14"/>
  <c r="V1096" i="14"/>
  <c r="D333" i="37"/>
  <c r="W1095" i="14"/>
  <c r="V1097" i="14" l="1"/>
  <c r="U1097" i="14"/>
  <c r="D334" i="37"/>
  <c r="W1096" i="14"/>
  <c r="T1106" i="14"/>
  <c r="T1107" i="14" l="1"/>
  <c r="V1098" i="14"/>
  <c r="D335" i="37"/>
  <c r="U1098" i="14"/>
  <c r="W1097" i="14"/>
  <c r="V1099" i="14" l="1"/>
  <c r="U1099" i="14"/>
  <c r="D336" i="37"/>
  <c r="W1098" i="14"/>
  <c r="T1108" i="14"/>
  <c r="T1109" i="14" l="1"/>
  <c r="V1100" i="14"/>
  <c r="U1100" i="14"/>
  <c r="D337" i="37"/>
  <c r="W1099" i="14"/>
  <c r="V1101" i="14" l="1"/>
  <c r="U1101" i="14"/>
  <c r="D338" i="37"/>
  <c r="W1100" i="14"/>
  <c r="T1110" i="14"/>
  <c r="T1111" i="14" l="1"/>
  <c r="U1102" i="14"/>
  <c r="V1102" i="14"/>
  <c r="D339" i="37"/>
  <c r="W1101" i="14"/>
  <c r="B1101" i="14" s="1"/>
  <c r="T1112" i="14" l="1"/>
  <c r="D340" i="37"/>
  <c r="V1103" i="14"/>
  <c r="U1103" i="14"/>
  <c r="W1102" i="14"/>
  <c r="V1104" i="14" l="1"/>
  <c r="U1104" i="14"/>
  <c r="D341" i="37"/>
  <c r="W1103" i="14"/>
  <c r="T1113" i="14"/>
  <c r="T1114" i="14" l="1"/>
  <c r="U1105" i="14"/>
  <c r="D342" i="37"/>
  <c r="V1105" i="14"/>
  <c r="W1104" i="14"/>
  <c r="V1106" i="14" l="1"/>
  <c r="D343" i="37"/>
  <c r="U1106" i="14"/>
  <c r="W1105" i="14"/>
  <c r="T1115" i="14"/>
  <c r="T1116" i="14" l="1"/>
  <c r="V1107" i="14"/>
  <c r="U1107" i="14"/>
  <c r="D344" i="37"/>
  <c r="W1106" i="14"/>
  <c r="V1108" i="14" l="1"/>
  <c r="U1108" i="14"/>
  <c r="D345" i="37"/>
  <c r="W1107" i="14"/>
  <c r="T1117" i="14"/>
  <c r="T1118" i="14" l="1"/>
  <c r="V1109" i="14"/>
  <c r="D346" i="37"/>
  <c r="U1109" i="14"/>
  <c r="W1108" i="14"/>
  <c r="B1108" i="14" s="1"/>
  <c r="D347" i="37" l="1"/>
  <c r="U1110" i="14"/>
  <c r="V1110" i="14"/>
  <c r="W1109" i="14"/>
  <c r="T1119" i="14"/>
  <c r="T1120" i="14" l="1"/>
  <c r="U1111" i="14"/>
  <c r="V1111" i="14"/>
  <c r="D348" i="37"/>
  <c r="W1110" i="14"/>
  <c r="D349" i="37" l="1"/>
  <c r="U1112" i="14"/>
  <c r="V1112" i="14"/>
  <c r="W1111" i="14"/>
  <c r="T1121" i="14"/>
  <c r="T1122" i="14" l="1"/>
  <c r="D350" i="37"/>
  <c r="U1113" i="14"/>
  <c r="V1113" i="14"/>
  <c r="W1112" i="14"/>
  <c r="V1114" i="14" l="1"/>
  <c r="D351" i="37"/>
  <c r="U1114" i="14"/>
  <c r="W1113" i="14"/>
  <c r="T1123" i="14"/>
  <c r="T1124" i="14" l="1"/>
  <c r="V1115" i="14"/>
  <c r="U1115" i="14"/>
  <c r="D352" i="37"/>
  <c r="W1114" i="14"/>
  <c r="V1116" i="14" l="1"/>
  <c r="D353" i="37"/>
  <c r="U1116" i="14"/>
  <c r="W1115" i="14"/>
  <c r="B1115" i="14" s="1"/>
  <c r="T1125" i="14"/>
  <c r="T1126" i="14" l="1"/>
  <c r="U1117" i="14"/>
  <c r="D354" i="37"/>
  <c r="V1117" i="14"/>
  <c r="W1116" i="14"/>
  <c r="D355" i="37" l="1"/>
  <c r="V1118" i="14"/>
  <c r="U1118" i="14"/>
  <c r="W1117" i="14"/>
  <c r="T1127" i="14"/>
  <c r="T1128" i="14" l="1"/>
  <c r="U1119" i="14"/>
  <c r="D356" i="37"/>
  <c r="V1119" i="14"/>
  <c r="W1118" i="14"/>
  <c r="D357" i="37" l="1"/>
  <c r="V1120" i="14"/>
  <c r="U1120" i="14"/>
  <c r="W1119" i="14"/>
  <c r="T1129" i="14"/>
  <c r="T1130" i="14" l="1"/>
  <c r="D358" i="37"/>
  <c r="V1121" i="14"/>
  <c r="U1121" i="14"/>
  <c r="W1120" i="14"/>
  <c r="V1122" i="14" l="1"/>
  <c r="U1122" i="14"/>
  <c r="D359" i="37"/>
  <c r="W1121" i="14"/>
  <c r="T1131" i="14"/>
  <c r="T1132" i="14" l="1"/>
  <c r="V1123" i="14"/>
  <c r="D360" i="37"/>
  <c r="U1123" i="14"/>
  <c r="W1122" i="14"/>
  <c r="B1122" i="14" s="1"/>
  <c r="D361" i="37" l="1"/>
  <c r="U1124" i="14"/>
  <c r="V1124" i="14"/>
  <c r="W1123" i="14"/>
  <c r="T1133" i="14"/>
  <c r="T1134" i="14" l="1"/>
  <c r="U1125" i="14"/>
  <c r="V1125" i="14"/>
  <c r="D362" i="37"/>
  <c r="W1124" i="14"/>
  <c r="U1126" i="14" l="1"/>
  <c r="D363" i="37"/>
  <c r="V1126" i="14"/>
  <c r="W1125" i="14"/>
  <c r="T1135" i="14"/>
  <c r="T1136" i="14" l="1"/>
  <c r="D364" i="37"/>
  <c r="V1127" i="14"/>
  <c r="U1127" i="14"/>
  <c r="W1126" i="14"/>
  <c r="V1128" i="14" l="1"/>
  <c r="D365" i="37"/>
  <c r="U1128" i="14"/>
  <c r="W1127" i="14"/>
  <c r="T1137" i="14"/>
  <c r="T1138" i="14" l="1"/>
  <c r="V1129" i="14"/>
  <c r="D366" i="37"/>
  <c r="U1129" i="14"/>
  <c r="W1128" i="14"/>
  <c r="V1130" i="14" l="1"/>
  <c r="U1130" i="14"/>
  <c r="D367" i="37"/>
  <c r="W1129" i="14"/>
  <c r="B1129" i="14" s="1"/>
  <c r="T1139" i="14"/>
  <c r="T1140" i="14" l="1"/>
  <c r="U1131" i="14"/>
  <c r="D368" i="37"/>
  <c r="V1131" i="14"/>
  <c r="W1130" i="14"/>
  <c r="D369" i="37" l="1"/>
  <c r="U1132" i="14"/>
  <c r="V1132" i="14"/>
  <c r="W1131" i="14"/>
  <c r="T1141" i="14"/>
  <c r="T1142" i="14" l="1"/>
  <c r="D370" i="37"/>
  <c r="V1133" i="14"/>
  <c r="U1133" i="14"/>
  <c r="W1132" i="14"/>
  <c r="D371" i="37" l="1"/>
  <c r="V1134" i="14"/>
  <c r="U1134" i="14"/>
  <c r="W1133" i="14"/>
  <c r="T1143" i="14"/>
  <c r="U1135" i="14" l="1"/>
  <c r="V1135" i="14"/>
  <c r="D372" i="37"/>
  <c r="W1134" i="14"/>
  <c r="T1144" i="14"/>
  <c r="T1145" i="14" l="1"/>
  <c r="D373" i="37"/>
  <c r="V1136" i="14"/>
  <c r="U1136" i="14"/>
  <c r="W1135" i="14"/>
  <c r="U1137" i="14" l="1"/>
  <c r="D374" i="37"/>
  <c r="V1137" i="14"/>
  <c r="W1136" i="14"/>
  <c r="B1136" i="14" s="1"/>
  <c r="T1146" i="14"/>
  <c r="T1147" i="14" l="1"/>
  <c r="V1138" i="14"/>
  <c r="D375" i="37"/>
  <c r="U1138" i="14"/>
  <c r="W1137" i="14"/>
  <c r="V1139" i="14" l="1"/>
  <c r="U1139" i="14"/>
  <c r="D376" i="37"/>
  <c r="W1138" i="14"/>
  <c r="T1148" i="14"/>
  <c r="T1149" i="14" l="1"/>
  <c r="D377" i="37"/>
  <c r="U1140" i="14"/>
  <c r="V1140" i="14"/>
  <c r="W1139" i="14"/>
  <c r="U1141" i="14" l="1"/>
  <c r="V1141" i="14"/>
  <c r="D378" i="37"/>
  <c r="W1140" i="14"/>
  <c r="T1150" i="14"/>
  <c r="T1151" i="14" l="1"/>
  <c r="D379" i="37"/>
  <c r="U1142" i="14"/>
  <c r="V1142" i="14"/>
  <c r="W1141" i="14"/>
  <c r="V1143" i="14" l="1"/>
  <c r="D380" i="37"/>
  <c r="U1143" i="14"/>
  <c r="W1142" i="14"/>
  <c r="T1152" i="14"/>
  <c r="T1153" i="14" l="1"/>
  <c r="V1144" i="14"/>
  <c r="U1144" i="14"/>
  <c r="D381" i="37"/>
  <c r="W1143" i="14"/>
  <c r="B1143" i="14" s="1"/>
  <c r="V1145" i="14" l="1"/>
  <c r="D382" i="37"/>
  <c r="U1145" i="14"/>
  <c r="W1144" i="14"/>
  <c r="T1154" i="14"/>
  <c r="T1155" i="14" l="1"/>
  <c r="V1146" i="14"/>
  <c r="D383" i="37"/>
  <c r="U1146" i="14"/>
  <c r="W1145" i="14"/>
  <c r="U1147" i="14" l="1"/>
  <c r="D384" i="37"/>
  <c r="V1147" i="14"/>
  <c r="W1146" i="14"/>
  <c r="T1156" i="14"/>
  <c r="T1157" i="14" l="1"/>
  <c r="U1148" i="14"/>
  <c r="V1148" i="14"/>
  <c r="D385" i="37"/>
  <c r="W1147" i="14"/>
  <c r="U1149" i="14" l="1"/>
  <c r="D386" i="37"/>
  <c r="V1149" i="14"/>
  <c r="W1148" i="14"/>
  <c r="T1158" i="14"/>
  <c r="T1159" i="14" l="1"/>
  <c r="V1150" i="14"/>
  <c r="D387" i="37"/>
  <c r="U1150" i="14"/>
  <c r="W1149" i="14"/>
  <c r="V1151" i="14" l="1"/>
  <c r="D388" i="37"/>
  <c r="U1151" i="14"/>
  <c r="W1150" i="14"/>
  <c r="B1150" i="14" s="1"/>
  <c r="T1160" i="14"/>
  <c r="T1161" i="14" l="1"/>
  <c r="U1152" i="14"/>
  <c r="D389" i="37"/>
  <c r="V1152" i="14"/>
  <c r="W1151" i="14"/>
  <c r="D390" i="37" l="1"/>
  <c r="U1153" i="14"/>
  <c r="V1153" i="14"/>
  <c r="W1152" i="14"/>
  <c r="T1162" i="14"/>
  <c r="T1163" i="14" l="1"/>
  <c r="D391" i="37"/>
  <c r="U1154" i="14"/>
  <c r="V1154" i="14"/>
  <c r="W1153" i="14"/>
  <c r="D392" i="37" l="1"/>
  <c r="U1155" i="14"/>
  <c r="V1155" i="14"/>
  <c r="W1154" i="14"/>
  <c r="T1164" i="14"/>
  <c r="U1156" i="14" l="1"/>
  <c r="V1156" i="14"/>
  <c r="D393" i="37"/>
  <c r="W1155" i="14"/>
  <c r="T1165" i="14"/>
  <c r="T1166" i="14" l="1"/>
  <c r="V1157" i="14"/>
  <c r="D394" i="37"/>
  <c r="U1157" i="14"/>
  <c r="W1156" i="14"/>
  <c r="U1158" i="14" l="1"/>
  <c r="D395" i="37"/>
  <c r="V1158" i="14"/>
  <c r="W1157" i="14"/>
  <c r="B1157" i="14" s="1"/>
  <c r="T1167" i="14"/>
  <c r="T1168" i="14" l="1"/>
  <c r="V1159" i="14"/>
  <c r="U1159" i="14"/>
  <c r="D396" i="37"/>
  <c r="W1158" i="14"/>
  <c r="V1160" i="14" l="1"/>
  <c r="D397" i="37"/>
  <c r="U1160" i="14"/>
  <c r="W1159" i="14"/>
  <c r="T1169" i="14"/>
  <c r="T1170" i="14" l="1"/>
  <c r="U1161" i="14"/>
  <c r="V1161" i="14"/>
  <c r="D398" i="37"/>
  <c r="W1160" i="14"/>
  <c r="U1162" i="14" l="1"/>
  <c r="V1162" i="14"/>
  <c r="D399" i="37"/>
  <c r="W1161" i="14"/>
  <c r="T1171" i="14"/>
  <c r="T1172" i="14" l="1"/>
  <c r="U1163" i="14"/>
  <c r="V1163" i="14"/>
  <c r="D400" i="37"/>
  <c r="W1162" i="14"/>
  <c r="D401" i="37" l="1"/>
  <c r="U1164" i="14"/>
  <c r="V1164" i="14"/>
  <c r="W1163" i="14"/>
  <c r="T1173" i="14"/>
  <c r="T1174" i="14" l="1"/>
  <c r="D402" i="37"/>
  <c r="V1165" i="14"/>
  <c r="U1165" i="14"/>
  <c r="W1164" i="14"/>
  <c r="B1164" i="14" s="1"/>
  <c r="T1175" i="14" l="1"/>
  <c r="D403" i="37"/>
  <c r="V1166" i="14"/>
  <c r="U1166" i="14"/>
  <c r="W1165" i="14"/>
  <c r="V1167" i="14" l="1"/>
  <c r="U1167" i="14"/>
  <c r="D404" i="37"/>
  <c r="W1166" i="14"/>
  <c r="T1176" i="14"/>
  <c r="T1177" i="14" l="1"/>
  <c r="V1168" i="14"/>
  <c r="U1168" i="14"/>
  <c r="D405" i="37"/>
  <c r="W1167" i="14"/>
  <c r="D406" i="37" l="1"/>
  <c r="V1169" i="14"/>
  <c r="U1169" i="14"/>
  <c r="W1168" i="14"/>
  <c r="T1178" i="14"/>
  <c r="T1179" i="14" l="1"/>
  <c r="U1170" i="14"/>
  <c r="V1170" i="14"/>
  <c r="D407" i="37"/>
  <c r="W1169" i="14"/>
  <c r="V1171" i="14" l="1"/>
  <c r="U1171" i="14"/>
  <c r="D408" i="37"/>
  <c r="W1170" i="14"/>
  <c r="T1180" i="14"/>
  <c r="T1181" i="14" l="1"/>
  <c r="U1172" i="14"/>
  <c r="V1172" i="14"/>
  <c r="D409" i="37"/>
  <c r="W1171" i="14"/>
  <c r="B1171" i="14" s="1"/>
  <c r="D410" i="37" l="1"/>
  <c r="U1173" i="14"/>
  <c r="V1173" i="14"/>
  <c r="W1172" i="14"/>
  <c r="T1182" i="14"/>
  <c r="T1183" i="14" l="1"/>
  <c r="V1174" i="14"/>
  <c r="U1174" i="14"/>
  <c r="D411" i="37"/>
  <c r="W1173" i="14"/>
  <c r="D412" i="37" l="1"/>
  <c r="U1175" i="14"/>
  <c r="V1175" i="14"/>
  <c r="W1174" i="14"/>
  <c r="T1184" i="14"/>
  <c r="T1185" i="14" l="1"/>
  <c r="U1176" i="14"/>
  <c r="V1176" i="14"/>
  <c r="D413" i="37"/>
  <c r="W1175" i="14"/>
  <c r="T1186" i="14" l="1"/>
  <c r="V1177" i="14"/>
  <c r="D414" i="37"/>
  <c r="U1177" i="14"/>
  <c r="W1176" i="14"/>
  <c r="V1178" i="14" l="1"/>
  <c r="U1178" i="14"/>
  <c r="D415" i="37"/>
  <c r="W1177" i="14"/>
  <c r="T1187" i="14"/>
  <c r="T1188" i="14" l="1"/>
  <c r="U1179" i="14"/>
  <c r="D416" i="37"/>
  <c r="V1179" i="14"/>
  <c r="W1178" i="14"/>
  <c r="B1178" i="14" s="1"/>
  <c r="U1180" i="14" l="1"/>
  <c r="D417" i="37"/>
  <c r="V1180" i="14"/>
  <c r="W1179" i="14"/>
  <c r="T1189" i="14"/>
  <c r="T1190" i="14" l="1"/>
  <c r="U1181" i="14"/>
  <c r="D418" i="37"/>
  <c r="V1181" i="14"/>
  <c r="W1180" i="14"/>
  <c r="D419" i="37" l="1"/>
  <c r="V1182" i="14"/>
  <c r="U1182" i="14"/>
  <c r="W1181" i="14"/>
  <c r="T1191" i="14"/>
  <c r="T1192" i="14" l="1"/>
  <c r="U1183" i="14"/>
  <c r="V1183" i="14"/>
  <c r="D420" i="37"/>
  <c r="W1182" i="14"/>
  <c r="D421" i="37" l="1"/>
  <c r="V1184" i="14"/>
  <c r="U1184" i="14"/>
  <c r="W1183" i="14"/>
  <c r="T1193" i="14"/>
  <c r="V1185" i="14" l="1"/>
  <c r="U1185" i="14"/>
  <c r="D422" i="37"/>
  <c r="W1184" i="14"/>
  <c r="T1194" i="14"/>
  <c r="T1195" i="14" l="1"/>
  <c r="D423" i="37"/>
  <c r="V1186" i="14"/>
  <c r="U1186" i="14"/>
  <c r="W1185" i="14"/>
  <c r="B1185" i="14" s="1"/>
  <c r="V1187" i="14" l="1"/>
  <c r="U1187" i="14"/>
  <c r="D424" i="37"/>
  <c r="W1186" i="14"/>
  <c r="T1196" i="14"/>
  <c r="T1197" i="14" l="1"/>
  <c r="V1188" i="14"/>
  <c r="U1188" i="14"/>
  <c r="D425" i="37"/>
  <c r="W1187" i="14"/>
  <c r="D426" i="37" l="1"/>
  <c r="U1189" i="14"/>
  <c r="V1189" i="14"/>
  <c r="W1188" i="14"/>
  <c r="T1198" i="14"/>
  <c r="D427" i="37" l="1"/>
  <c r="V1190" i="14"/>
  <c r="U1190" i="14"/>
  <c r="W1189" i="14"/>
  <c r="T1199" i="14"/>
  <c r="T1200" i="14" l="1"/>
  <c r="D428" i="37"/>
  <c r="U1191" i="14"/>
  <c r="V1191" i="14"/>
  <c r="W1190" i="14"/>
  <c r="V1192" i="14" l="1"/>
  <c r="U1192" i="14"/>
  <c r="D429" i="37"/>
  <c r="W1191" i="14"/>
  <c r="T1201" i="14"/>
  <c r="T1202" i="14" l="1"/>
  <c r="U1193" i="14"/>
  <c r="V1193" i="14"/>
  <c r="D430" i="37"/>
  <c r="W1192" i="14"/>
  <c r="B1192" i="14" s="1"/>
  <c r="U1194" i="14" l="1"/>
  <c r="V1194" i="14"/>
  <c r="D431" i="37"/>
  <c r="W1193" i="14"/>
  <c r="T1203" i="14"/>
  <c r="T1204" i="14" l="1"/>
  <c r="U1195" i="14"/>
  <c r="D432" i="37"/>
  <c r="V1195" i="14"/>
  <c r="W1194" i="14"/>
  <c r="D433" i="37" l="1"/>
  <c r="V1196" i="14"/>
  <c r="U1196" i="14"/>
  <c r="W1195" i="14"/>
  <c r="T1205" i="14"/>
  <c r="T1206" i="14" l="1"/>
  <c r="U1197" i="14"/>
  <c r="V1197" i="14"/>
  <c r="D434" i="37"/>
  <c r="W1196" i="14"/>
  <c r="D435" i="37" l="1"/>
  <c r="U1198" i="14"/>
  <c r="V1198" i="14"/>
  <c r="W1197" i="14"/>
  <c r="T1207" i="14"/>
  <c r="T1208" i="14" l="1"/>
  <c r="V1199" i="14"/>
  <c r="U1199" i="14"/>
  <c r="D436" i="37"/>
  <c r="W1198" i="14"/>
  <c r="D437" i="37" l="1"/>
  <c r="V1200" i="14"/>
  <c r="U1200" i="14"/>
  <c r="W1199" i="14"/>
  <c r="B1199" i="14" s="1"/>
  <c r="T1209" i="14"/>
  <c r="T1210" i="14" l="1"/>
  <c r="D438" i="37"/>
  <c r="U1201" i="14"/>
  <c r="V1201" i="14"/>
  <c r="W1200" i="14"/>
  <c r="V1202" i="14" l="1"/>
  <c r="D439" i="37"/>
  <c r="U1202" i="14"/>
  <c r="W1201" i="14"/>
  <c r="T1211" i="14"/>
  <c r="T1212" i="14" l="1"/>
  <c r="U1203" i="14"/>
  <c r="V1203" i="14"/>
  <c r="D440" i="37"/>
  <c r="W1202" i="14"/>
  <c r="U1204" i="14" l="1"/>
  <c r="V1204" i="14"/>
  <c r="D441" i="37"/>
  <c r="W1203" i="14"/>
  <c r="T1213" i="14"/>
  <c r="T1214" i="14" l="1"/>
  <c r="D442" i="37"/>
  <c r="V1205" i="14"/>
  <c r="U1205" i="14"/>
  <c r="W1204" i="14"/>
  <c r="U1206" i="14" l="1"/>
  <c r="D443" i="37"/>
  <c r="V1206" i="14"/>
  <c r="W1205" i="14"/>
  <c r="T1215" i="14"/>
  <c r="T1216" i="14" l="1"/>
  <c r="U1207" i="14"/>
  <c r="D444" i="37"/>
  <c r="V1207" i="14"/>
  <c r="W1206" i="14"/>
  <c r="B1206" i="14" s="1"/>
  <c r="D445" i="37" l="1"/>
  <c r="V1208" i="14"/>
  <c r="U1208" i="14"/>
  <c r="W1207" i="14"/>
  <c r="T1217" i="14"/>
  <c r="T1218" i="14" l="1"/>
  <c r="U1209" i="14"/>
  <c r="D446" i="37"/>
  <c r="V1209" i="14"/>
  <c r="W1208" i="14"/>
  <c r="V1210" i="14" l="1"/>
  <c r="D447" i="37"/>
  <c r="U1210" i="14"/>
  <c r="W1209" i="14"/>
  <c r="T1219" i="14"/>
  <c r="T1220" i="14" l="1"/>
  <c r="D448" i="37"/>
  <c r="U1211" i="14"/>
  <c r="V1211" i="14"/>
  <c r="W1210" i="14"/>
  <c r="D449" i="37" l="1"/>
  <c r="V1212" i="14"/>
  <c r="U1212" i="14"/>
  <c r="W1211" i="14"/>
  <c r="T1221" i="14"/>
  <c r="T1222" i="14" l="1"/>
  <c r="U1213" i="14"/>
  <c r="D450" i="37"/>
  <c r="V1213" i="14"/>
  <c r="W1212" i="14"/>
  <c r="U1214" i="14" l="1"/>
  <c r="V1214" i="14"/>
  <c r="D451" i="37"/>
  <c r="W1213" i="14"/>
  <c r="B1213" i="14" s="1"/>
  <c r="T1223" i="14"/>
  <c r="T1224" i="14" l="1"/>
  <c r="D452" i="37"/>
  <c r="U1215" i="14"/>
  <c r="V1215" i="14"/>
  <c r="W1214" i="14"/>
  <c r="V1216" i="14" l="1"/>
  <c r="U1216" i="14"/>
  <c r="D453" i="37"/>
  <c r="W1215" i="14"/>
  <c r="T1225" i="14"/>
  <c r="T1226" i="14" l="1"/>
  <c r="V1217" i="14"/>
  <c r="U1217" i="14"/>
  <c r="D454" i="37"/>
  <c r="W1216" i="14"/>
  <c r="D455" i="37" l="1"/>
  <c r="V1218" i="14"/>
  <c r="U1218" i="14"/>
  <c r="W1217" i="14"/>
  <c r="T1227" i="14"/>
  <c r="T1228" i="14" l="1"/>
  <c r="U1219" i="14"/>
  <c r="V1219" i="14"/>
  <c r="D456" i="37"/>
  <c r="W1218" i="14"/>
  <c r="D457" i="37" l="1"/>
  <c r="V1220" i="14"/>
  <c r="U1220" i="14"/>
  <c r="W1219" i="14"/>
  <c r="T1229" i="14"/>
  <c r="T1230" i="14" l="1"/>
  <c r="V1221" i="14"/>
  <c r="U1221" i="14"/>
  <c r="D458" i="37"/>
  <c r="W1220" i="14"/>
  <c r="B1220" i="14" s="1"/>
  <c r="D459" i="37" l="1"/>
  <c r="V1222" i="14"/>
  <c r="U1222" i="14"/>
  <c r="W1221" i="14"/>
  <c r="T1231" i="14"/>
  <c r="T1232" i="14" l="1"/>
  <c r="D460" i="37"/>
  <c r="V1223" i="14"/>
  <c r="U1223" i="14"/>
  <c r="W1222" i="14"/>
  <c r="V1224" i="14" l="1"/>
  <c r="U1224" i="14"/>
  <c r="D461" i="37"/>
  <c r="W1223" i="14"/>
  <c r="T1233" i="14"/>
  <c r="T1234" i="14" l="1"/>
  <c r="V1225" i="14"/>
  <c r="U1225" i="14"/>
  <c r="D462" i="37"/>
  <c r="W1224" i="14"/>
  <c r="V1226" i="14" l="1"/>
  <c r="U1226" i="14"/>
  <c r="D463" i="37"/>
  <c r="W1225" i="14"/>
  <c r="T1235" i="14"/>
  <c r="T1236" i="14" l="1"/>
  <c r="D464" i="37"/>
  <c r="U1227" i="14"/>
  <c r="V1227" i="14"/>
  <c r="W1226" i="14"/>
  <c r="D465" i="37" l="1"/>
  <c r="V1228" i="14"/>
  <c r="U1228" i="14"/>
  <c r="W1227" i="14"/>
  <c r="B1227" i="14" s="1"/>
  <c r="T1237" i="14"/>
  <c r="T1238" i="14" l="1"/>
  <c r="D466" i="37"/>
  <c r="U1229" i="14"/>
  <c r="V1229" i="14"/>
  <c r="W1228" i="14"/>
  <c r="V1230" i="14" l="1"/>
  <c r="D467" i="37"/>
  <c r="U1230" i="14"/>
  <c r="W1229" i="14"/>
  <c r="T1239" i="14"/>
  <c r="T1240" i="14" l="1"/>
  <c r="V1231" i="14"/>
  <c r="U1231" i="14"/>
  <c r="D468" i="37"/>
  <c r="W1230" i="14"/>
  <c r="U1232" i="14" l="1"/>
  <c r="D469" i="37"/>
  <c r="V1232" i="14"/>
  <c r="W1231" i="14"/>
  <c r="T1241" i="14"/>
  <c r="V1233" i="14" l="1"/>
  <c r="U1233" i="14"/>
  <c r="D470" i="37"/>
  <c r="W1232" i="14"/>
  <c r="T1242" i="14"/>
  <c r="U1234" i="14" l="1"/>
  <c r="D471" i="37"/>
  <c r="V1234" i="14"/>
  <c r="W1233" i="14"/>
  <c r="T1243" i="14"/>
  <c r="T1244" i="14" l="1"/>
  <c r="V1235" i="14"/>
  <c r="U1235" i="14"/>
  <c r="D472" i="37"/>
  <c r="W1234" i="14"/>
  <c r="B1234" i="14" s="1"/>
  <c r="U1236" i="14" l="1"/>
  <c r="D473" i="37"/>
  <c r="V1236" i="14"/>
  <c r="W1235" i="14"/>
  <c r="T1245" i="14"/>
  <c r="T1246" i="14" l="1"/>
  <c r="D474" i="37"/>
  <c r="U1237" i="14"/>
  <c r="V1237" i="14"/>
  <c r="W1236" i="14"/>
  <c r="D475" i="37" l="1"/>
  <c r="U1238" i="14"/>
  <c r="V1238" i="14"/>
  <c r="W1237" i="14"/>
  <c r="T1247" i="14"/>
  <c r="T1248" i="14" l="1"/>
  <c r="D476" i="37"/>
  <c r="V1239" i="14"/>
  <c r="U1239" i="14"/>
  <c r="W1238" i="14"/>
  <c r="U1240" i="14" l="1"/>
  <c r="V1240" i="14"/>
  <c r="D477" i="37"/>
  <c r="W1239" i="14"/>
  <c r="T1249" i="14"/>
  <c r="T1250" i="14" l="1"/>
  <c r="V1241" i="14"/>
  <c r="D478" i="37"/>
  <c r="U1241" i="14"/>
  <c r="W1240" i="14"/>
  <c r="D479" i="37" l="1"/>
  <c r="V1242" i="14"/>
  <c r="U1242" i="14"/>
  <c r="W1241" i="14"/>
  <c r="B1241" i="14" s="1"/>
  <c r="T1251" i="14"/>
  <c r="T1252" i="14" l="1"/>
  <c r="D480" i="37"/>
  <c r="U1243" i="14"/>
  <c r="V1243" i="14"/>
  <c r="W1242" i="14"/>
  <c r="D481" i="37" l="1"/>
  <c r="U1244" i="14"/>
  <c r="V1244" i="14"/>
  <c r="W1243" i="14"/>
  <c r="T1253" i="14"/>
  <c r="T1254" i="14" l="1"/>
  <c r="D482" i="37"/>
  <c r="U1245" i="14"/>
  <c r="V1245" i="14"/>
  <c r="W1244" i="14"/>
  <c r="U1246" i="14" l="1"/>
  <c r="V1246" i="14"/>
  <c r="D483" i="37"/>
  <c r="W1245" i="14"/>
  <c r="T1255" i="14"/>
  <c r="T1256" i="14" l="1"/>
  <c r="D484" i="37"/>
  <c r="U1247" i="14"/>
  <c r="V1247" i="14"/>
  <c r="W1246" i="14"/>
  <c r="U1248" i="14" l="1"/>
  <c r="V1248" i="14"/>
  <c r="D485" i="37"/>
  <c r="W1247" i="14"/>
  <c r="T1257" i="14"/>
  <c r="T1258" i="14" l="1"/>
  <c r="U1249" i="14"/>
  <c r="D486" i="37"/>
  <c r="V1249" i="14"/>
  <c r="W1248" i="14"/>
  <c r="B1248" i="14" s="1"/>
  <c r="D487" i="37" l="1"/>
  <c r="U1250" i="14"/>
  <c r="V1250" i="14"/>
  <c r="W1249" i="14"/>
  <c r="T1259" i="14"/>
  <c r="T1260" i="14" l="1"/>
  <c r="V1251" i="14"/>
  <c r="D488" i="37"/>
  <c r="U1251" i="14"/>
  <c r="W1250" i="14"/>
  <c r="V1252" i="14" l="1"/>
  <c r="U1252" i="14"/>
  <c r="D489" i="37"/>
  <c r="W1251" i="14"/>
  <c r="T1261" i="14"/>
  <c r="T1262" i="14" l="1"/>
  <c r="U1253" i="14"/>
  <c r="D490" i="37"/>
  <c r="V1253" i="14"/>
  <c r="W1252" i="14"/>
  <c r="D491" i="37" l="1"/>
  <c r="U1254" i="14"/>
  <c r="V1254" i="14"/>
  <c r="W1253" i="14"/>
  <c r="T1263" i="14"/>
  <c r="T1264" i="14" l="1"/>
  <c r="V1255" i="14"/>
  <c r="U1255" i="14"/>
  <c r="D492" i="37"/>
  <c r="W1254" i="14"/>
  <c r="U1256" i="14" l="1"/>
  <c r="D493" i="37"/>
  <c r="V1256" i="14"/>
  <c r="W1255" i="14"/>
  <c r="B1255" i="14" s="1"/>
  <c r="T1265" i="14"/>
  <c r="T1266" i="14" l="1"/>
  <c r="U1257" i="14"/>
  <c r="V1257" i="14"/>
  <c r="D494" i="37"/>
  <c r="W1256" i="14"/>
  <c r="D495" i="37" l="1"/>
  <c r="U1258" i="14"/>
  <c r="V1258" i="14"/>
  <c r="W1257" i="14"/>
  <c r="T1267" i="14"/>
  <c r="T1268" i="14" l="1"/>
  <c r="D496" i="37"/>
  <c r="U1259" i="14"/>
  <c r="V1259" i="14"/>
  <c r="W1258" i="14"/>
  <c r="U1260" i="14" l="1"/>
  <c r="V1260" i="14"/>
  <c r="D497" i="37"/>
  <c r="W1259" i="14"/>
  <c r="T1269" i="14"/>
  <c r="U1261" i="14" l="1"/>
  <c r="V1261" i="14"/>
  <c r="D498" i="37"/>
  <c r="W1260" i="14"/>
  <c r="T1270" i="14"/>
  <c r="T1271" i="14" l="1"/>
  <c r="U1262" i="14"/>
  <c r="D499" i="37"/>
  <c r="V1262" i="14"/>
  <c r="W1261" i="14"/>
  <c r="V1263" i="14" l="1"/>
  <c r="D500" i="37"/>
  <c r="U1263" i="14"/>
  <c r="W1262" i="14"/>
  <c r="B1262" i="14" s="1"/>
  <c r="T1272" i="14"/>
  <c r="T1273" i="14" l="1"/>
  <c r="U1264" i="14"/>
  <c r="V1264" i="14"/>
  <c r="D501" i="37"/>
  <c r="W1263" i="14"/>
  <c r="V1265" i="14" l="1"/>
  <c r="U1265" i="14"/>
  <c r="D502" i="37"/>
  <c r="W1264" i="14"/>
  <c r="T1274" i="14"/>
  <c r="T1275" i="14" l="1"/>
  <c r="U1266" i="14"/>
  <c r="V1266" i="14"/>
  <c r="D503" i="37"/>
  <c r="W1265" i="14"/>
  <c r="V1267" i="14" l="1"/>
  <c r="D504" i="37"/>
  <c r="U1267" i="14"/>
  <c r="W1266" i="14"/>
  <c r="T1276" i="14"/>
  <c r="T1277" i="14" l="1"/>
  <c r="D505" i="37"/>
  <c r="U1268" i="14"/>
  <c r="V1268" i="14"/>
  <c r="W1267" i="14"/>
  <c r="D506" i="37" l="1"/>
  <c r="V1269" i="14"/>
  <c r="U1269" i="14"/>
  <c r="W1268" i="14"/>
  <c r="T1278" i="14"/>
  <c r="T1279" i="14" l="1"/>
  <c r="D507" i="37"/>
  <c r="V1270" i="14"/>
  <c r="U1270" i="14"/>
  <c r="W1269" i="14"/>
  <c r="B1269" i="14" s="1"/>
  <c r="U1271" i="14" l="1"/>
  <c r="D508" i="37"/>
  <c r="V1271" i="14"/>
  <c r="W1270" i="14"/>
  <c r="T1280" i="14"/>
  <c r="T1281" i="14" l="1"/>
  <c r="V1272" i="14"/>
  <c r="U1272" i="14"/>
  <c r="D509" i="37"/>
  <c r="W1271" i="14"/>
  <c r="D510" i="37" l="1"/>
  <c r="U1273" i="14"/>
  <c r="V1273" i="14"/>
  <c r="W1272" i="14"/>
  <c r="T1282" i="14"/>
  <c r="D511" i="37" l="1"/>
  <c r="U1274" i="14"/>
  <c r="V1274" i="14"/>
  <c r="W1273" i="14"/>
  <c r="T1283" i="14"/>
  <c r="T1284" i="14" l="1"/>
  <c r="D512" i="37"/>
  <c r="U1275" i="14"/>
  <c r="V1275" i="14"/>
  <c r="W1274" i="14"/>
  <c r="V1276" i="14" l="1"/>
  <c r="U1276" i="14"/>
  <c r="D513" i="37"/>
  <c r="W1275" i="14"/>
  <c r="T1285" i="14"/>
  <c r="T1286" i="14" l="1"/>
  <c r="V1277" i="14"/>
  <c r="U1277" i="14"/>
  <c r="D514" i="37"/>
  <c r="W1276" i="14"/>
  <c r="B1276" i="14" s="1"/>
  <c r="T1287" i="14" l="1"/>
  <c r="D515" i="37"/>
  <c r="V1278" i="14"/>
  <c r="U1278" i="14"/>
  <c r="W1277" i="14"/>
  <c r="U1279" i="14" l="1"/>
  <c r="D516" i="37"/>
  <c r="V1279" i="14"/>
  <c r="W1278" i="14"/>
  <c r="T1288" i="14"/>
  <c r="V1280" i="14" l="1"/>
  <c r="U1280" i="14"/>
  <c r="D517" i="37"/>
  <c r="W1279" i="14"/>
  <c r="T1289" i="14"/>
  <c r="T1290" i="14" l="1"/>
  <c r="D518" i="37"/>
  <c r="U1281" i="14"/>
  <c r="V1281" i="14"/>
  <c r="W1280" i="14"/>
  <c r="D519" i="37" l="1"/>
  <c r="U1282" i="14"/>
  <c r="V1282" i="14"/>
  <c r="W1281" i="14"/>
  <c r="T1291" i="14"/>
  <c r="T1292" i="14" l="1"/>
  <c r="U1283" i="14"/>
  <c r="D520" i="37"/>
  <c r="V1283" i="14"/>
  <c r="W1282" i="14"/>
  <c r="U1284" i="14" l="1"/>
  <c r="D521" i="37"/>
  <c r="V1284" i="14"/>
  <c r="W1283" i="14"/>
  <c r="B1283" i="14" s="1"/>
  <c r="T1293" i="14"/>
  <c r="T1294" i="14" l="1"/>
  <c r="D522" i="37"/>
  <c r="U1285" i="14"/>
  <c r="V1285" i="14"/>
  <c r="W1284" i="14"/>
  <c r="V1286" i="14" l="1"/>
  <c r="U1286" i="14"/>
  <c r="D523" i="37"/>
  <c r="W1285" i="14"/>
  <c r="T1295" i="14"/>
  <c r="T1296" i="14" l="1"/>
  <c r="D524" i="37"/>
  <c r="V1287" i="14"/>
  <c r="U1287" i="14"/>
  <c r="W1286" i="14"/>
  <c r="V1288" i="14" l="1"/>
  <c r="U1288" i="14"/>
  <c r="D525" i="37"/>
  <c r="W1287" i="14"/>
  <c r="T1297" i="14"/>
  <c r="T1298" i="14" l="1"/>
  <c r="U1289" i="14"/>
  <c r="V1289" i="14"/>
  <c r="D526" i="37"/>
  <c r="W1288" i="14"/>
  <c r="V1290" i="14" l="1"/>
  <c r="U1290" i="14"/>
  <c r="D527" i="37"/>
  <c r="W1289" i="14"/>
  <c r="T1299" i="14"/>
  <c r="T1300" i="14" l="1"/>
  <c r="D528" i="37"/>
  <c r="V1291" i="14"/>
  <c r="U1291" i="14"/>
  <c r="W1290" i="14"/>
  <c r="B1290" i="14" s="1"/>
  <c r="U1292" i="14" l="1"/>
  <c r="D529" i="37"/>
  <c r="V1292" i="14"/>
  <c r="W1291" i="14"/>
  <c r="T1301" i="14"/>
  <c r="T1302" i="14" l="1"/>
  <c r="D530" i="37"/>
  <c r="V1293" i="14"/>
  <c r="U1293" i="14"/>
  <c r="W1292" i="14"/>
  <c r="U1294" i="14" l="1"/>
  <c r="V1294" i="14"/>
  <c r="D531" i="37"/>
  <c r="W1293" i="14"/>
  <c r="T1303" i="14"/>
  <c r="D532" i="37" l="1"/>
  <c r="V1295" i="14"/>
  <c r="U1295" i="14"/>
  <c r="W1294" i="14"/>
  <c r="T1304" i="14"/>
  <c r="T1305" i="14" l="1"/>
  <c r="D533" i="37"/>
  <c r="V1296" i="14"/>
  <c r="U1296" i="14"/>
  <c r="W1295" i="14"/>
  <c r="V1297" i="14" l="1"/>
  <c r="D534" i="37"/>
  <c r="U1297" i="14"/>
  <c r="W1296" i="14"/>
  <c r="T1306" i="14"/>
  <c r="T1307" i="14" l="1"/>
  <c r="V1298" i="14"/>
  <c r="D535" i="37"/>
  <c r="U1298" i="14"/>
  <c r="W1297" i="14"/>
  <c r="B1297" i="14" s="1"/>
  <c r="V1299" i="14" l="1"/>
  <c r="U1299" i="14"/>
  <c r="D536" i="37"/>
  <c r="W1298" i="14"/>
  <c r="T1308" i="14"/>
  <c r="T1309" i="14" l="1"/>
  <c r="U1300" i="14"/>
  <c r="D537" i="37"/>
  <c r="V1300" i="14"/>
  <c r="W1299" i="14"/>
  <c r="U1301" i="14" l="1"/>
  <c r="D538" i="37"/>
  <c r="V1301" i="14"/>
  <c r="W1300" i="14"/>
  <c r="T1310" i="14"/>
  <c r="T1311" i="14" l="1"/>
  <c r="U1302" i="14"/>
  <c r="V1302" i="14"/>
  <c r="D539" i="37"/>
  <c r="W1301" i="14"/>
  <c r="U1303" i="14" l="1"/>
  <c r="D540" i="37"/>
  <c r="V1303" i="14"/>
  <c r="W1302" i="14"/>
  <c r="T1312" i="14"/>
  <c r="T1313" i="14" l="1"/>
  <c r="V1304" i="14"/>
  <c r="U1304" i="14"/>
  <c r="D541" i="37"/>
  <c r="W1303" i="14"/>
  <c r="U1305" i="14" l="1"/>
  <c r="V1305" i="14"/>
  <c r="D542" i="37"/>
  <c r="W1304" i="14"/>
  <c r="B1304" i="14" s="1"/>
  <c r="T1314" i="14"/>
  <c r="T1315" i="14" l="1"/>
  <c r="V1306" i="14"/>
  <c r="D543" i="37"/>
  <c r="U1306" i="14"/>
  <c r="W1305" i="14"/>
  <c r="D544" i="37" l="1"/>
  <c r="U1307" i="14"/>
  <c r="V1307" i="14"/>
  <c r="W1306" i="14"/>
  <c r="T1316" i="14"/>
  <c r="T1317" i="14" l="1"/>
  <c r="D545" i="37"/>
  <c r="V1308" i="14"/>
  <c r="U1308" i="14"/>
  <c r="W1307" i="14"/>
  <c r="V1309" i="14" l="1"/>
  <c r="U1309" i="14"/>
  <c r="D546" i="37"/>
  <c r="W1308" i="14"/>
  <c r="T1318" i="14"/>
  <c r="T1319" i="14" l="1"/>
  <c r="U1310" i="14"/>
  <c r="D547" i="37"/>
  <c r="V1310" i="14"/>
  <c r="W1309" i="14"/>
  <c r="U1311" i="14" l="1"/>
  <c r="V1311" i="14"/>
  <c r="D548" i="37"/>
  <c r="W1310" i="14"/>
  <c r="T1320" i="14"/>
  <c r="T1321" i="14" l="1"/>
  <c r="D549" i="37"/>
  <c r="U1312" i="14"/>
  <c r="V1312" i="14"/>
  <c r="W1311" i="14"/>
  <c r="B1311" i="14" s="1"/>
  <c r="D550" i="37" l="1"/>
  <c r="U1313" i="14"/>
  <c r="V1313" i="14"/>
  <c r="W1312" i="14"/>
  <c r="T1322" i="14"/>
  <c r="T1323" i="14" l="1"/>
  <c r="V1314" i="14"/>
  <c r="D551" i="37"/>
  <c r="U1314" i="14"/>
  <c r="W1313" i="14"/>
  <c r="U1315" i="14" l="1"/>
  <c r="D552" i="37"/>
  <c r="V1315" i="14"/>
  <c r="W1314" i="14"/>
  <c r="T1324" i="14"/>
  <c r="U1316" i="14" l="1"/>
  <c r="D553" i="37"/>
  <c r="V1316" i="14"/>
  <c r="W1315" i="14"/>
  <c r="T1325" i="14"/>
  <c r="T1326" i="14" l="1"/>
  <c r="U1317" i="14"/>
  <c r="V1317" i="14"/>
  <c r="D554" i="37"/>
  <c r="W1316" i="14"/>
  <c r="U1318" i="14" l="1"/>
  <c r="V1318" i="14"/>
  <c r="D555" i="37"/>
  <c r="W1317" i="14"/>
  <c r="T1327" i="14"/>
  <c r="T1328" i="14" l="1"/>
  <c r="U1319" i="14"/>
  <c r="V1319" i="14"/>
  <c r="D556" i="37"/>
  <c r="W1318" i="14"/>
  <c r="B1318" i="14" s="1"/>
  <c r="U1320" i="14" l="1"/>
  <c r="V1320" i="14"/>
  <c r="D557" i="37"/>
  <c r="W1319" i="14"/>
  <c r="T1329" i="14"/>
  <c r="T1330" i="14" l="1"/>
  <c r="U1321" i="14"/>
  <c r="D558" i="37"/>
  <c r="V1321" i="14"/>
  <c r="W1320" i="14"/>
  <c r="V1322" i="14" l="1"/>
  <c r="U1322" i="14"/>
  <c r="D559" i="37"/>
  <c r="W1321" i="14"/>
  <c r="T1331" i="14"/>
  <c r="T1332" i="14" l="1"/>
  <c r="D560" i="37"/>
  <c r="U1323" i="14"/>
  <c r="V1323" i="14"/>
  <c r="W1322" i="14"/>
  <c r="D561" i="37" l="1"/>
  <c r="V1324" i="14"/>
  <c r="U1324" i="14"/>
  <c r="W1323" i="14"/>
  <c r="T1333" i="14"/>
  <c r="T1334" i="14" l="1"/>
  <c r="V1325" i="14"/>
  <c r="D562" i="37"/>
  <c r="U1325" i="14"/>
  <c r="W1324" i="14"/>
  <c r="U1326" i="14" l="1"/>
  <c r="V1326" i="14"/>
  <c r="D563" i="37"/>
  <c r="W1325" i="14"/>
  <c r="B1325" i="14" s="1"/>
  <c r="T1335" i="14"/>
  <c r="T1336" i="14" l="1"/>
  <c r="V1327" i="14"/>
  <c r="D564" i="37"/>
  <c r="U1327" i="14"/>
  <c r="W1326" i="14"/>
  <c r="V1328" i="14" l="1"/>
  <c r="U1328" i="14"/>
  <c r="D565" i="37"/>
  <c r="W1327" i="14"/>
  <c r="T1337" i="14"/>
  <c r="T1338" i="14" l="1"/>
  <c r="D566" i="37"/>
  <c r="V1329" i="14"/>
  <c r="U1329" i="14"/>
  <c r="W1328" i="14"/>
  <c r="T1339" i="14" l="1"/>
  <c r="U1330" i="14"/>
  <c r="V1330" i="14"/>
  <c r="D567" i="37"/>
  <c r="W1329" i="14"/>
  <c r="V1331" i="14" l="1"/>
  <c r="U1331" i="14"/>
  <c r="D568" i="37"/>
  <c r="W1330" i="14"/>
  <c r="T1340" i="14"/>
  <c r="T1341" i="14" l="1"/>
  <c r="D569" i="37"/>
  <c r="U1332" i="14"/>
  <c r="V1332" i="14"/>
  <c r="W1331" i="14"/>
  <c r="D570" i="37" l="1"/>
  <c r="U1333" i="14"/>
  <c r="V1333" i="14"/>
  <c r="W1332" i="14"/>
  <c r="B1332" i="14" s="1"/>
  <c r="T1342" i="14"/>
  <c r="T1343" i="14" l="1"/>
  <c r="D571" i="37"/>
  <c r="V1334" i="14"/>
  <c r="U1334" i="14"/>
  <c r="W1333" i="14"/>
  <c r="D572" i="37" l="1"/>
  <c r="V1335" i="14"/>
  <c r="U1335" i="14"/>
  <c r="W1334" i="14"/>
  <c r="T1344" i="14"/>
  <c r="T1345" i="14" l="1"/>
  <c r="V1336" i="14"/>
  <c r="U1336" i="14"/>
  <c r="D573" i="37"/>
  <c r="W1335" i="14"/>
  <c r="D574" i="37" l="1"/>
  <c r="U1337" i="14"/>
  <c r="V1337" i="14"/>
  <c r="W1336" i="14"/>
  <c r="T1346" i="14"/>
  <c r="U1338" i="14" l="1"/>
  <c r="D575" i="37"/>
  <c r="V1338" i="14"/>
  <c r="W1337" i="14"/>
  <c r="T1347" i="14"/>
  <c r="T1348" i="14" l="1"/>
  <c r="V1339" i="14"/>
  <c r="U1339" i="14"/>
  <c r="D576" i="37"/>
  <c r="W1338" i="14"/>
  <c r="U1340" i="14" l="1"/>
  <c r="V1340" i="14"/>
  <c r="D577" i="37"/>
  <c r="W1339" i="14"/>
  <c r="B1339" i="14" s="1"/>
  <c r="T1349" i="14"/>
  <c r="T1350" i="14" l="1"/>
  <c r="U1341" i="14"/>
  <c r="D578" i="37"/>
  <c r="V1341" i="14"/>
  <c r="W1340" i="14"/>
  <c r="U1342" i="14" l="1"/>
  <c r="V1342" i="14"/>
  <c r="D579" i="37"/>
  <c r="W1341" i="14"/>
  <c r="T1351" i="14"/>
  <c r="U1343" i="14" l="1"/>
  <c r="V1343" i="14"/>
  <c r="D580" i="37"/>
  <c r="W1342" i="14"/>
  <c r="T1352" i="14"/>
  <c r="T1353" i="14" l="1"/>
  <c r="D581" i="37"/>
  <c r="U1344" i="14"/>
  <c r="V1344" i="14"/>
  <c r="W1343" i="14"/>
  <c r="V1345" i="14" l="1"/>
  <c r="U1345" i="14"/>
  <c r="D582" i="37"/>
  <c r="W1344" i="14"/>
  <c r="T1354" i="14"/>
  <c r="T1355" i="14" l="1"/>
  <c r="U1346" i="14"/>
  <c r="V1346" i="14"/>
  <c r="D583" i="37"/>
  <c r="W1345" i="14"/>
  <c r="D584" i="37" l="1"/>
  <c r="U1347" i="14"/>
  <c r="V1347" i="14"/>
  <c r="W1346" i="14"/>
  <c r="B1346" i="14" s="1"/>
  <c r="T1356" i="14"/>
  <c r="T1357" i="14" l="1"/>
  <c r="D585" i="37"/>
  <c r="U1348" i="14"/>
  <c r="V1348" i="14"/>
  <c r="W1347" i="14"/>
  <c r="V1349" i="14" l="1"/>
  <c r="D586" i="37"/>
  <c r="U1349" i="14"/>
  <c r="W1348" i="14"/>
  <c r="T1358" i="14"/>
  <c r="T1359" i="14" l="1"/>
  <c r="U1350" i="14"/>
  <c r="V1350" i="14"/>
  <c r="D587" i="37"/>
  <c r="W1349" i="14"/>
  <c r="V1351" i="14" l="1"/>
  <c r="D588" i="37"/>
  <c r="U1351" i="14"/>
  <c r="W1350" i="14"/>
  <c r="T1360" i="14"/>
  <c r="D589" i="37" l="1"/>
  <c r="U1352" i="14"/>
  <c r="V1352" i="14"/>
  <c r="W1351" i="14"/>
  <c r="T1361" i="14"/>
  <c r="T1362" i="14" l="1"/>
  <c r="V1353" i="14"/>
  <c r="D590" i="37"/>
  <c r="U1353" i="14"/>
  <c r="W1352" i="14"/>
  <c r="U1354" i="14" l="1"/>
  <c r="V1354" i="14"/>
  <c r="D591" i="37"/>
  <c r="W1353" i="14"/>
  <c r="B1353" i="14" s="1"/>
  <c r="T1363" i="14"/>
  <c r="T1364" i="14" l="1"/>
  <c r="U1355" i="14"/>
  <c r="V1355" i="14"/>
  <c r="D592" i="37"/>
  <c r="W1354" i="14"/>
  <c r="V1356" i="14" l="1"/>
  <c r="U1356" i="14"/>
  <c r="D593" i="37"/>
  <c r="W1355" i="14"/>
  <c r="T1365" i="14"/>
  <c r="T1366" i="14" l="1"/>
  <c r="D594" i="37"/>
  <c r="U1357" i="14"/>
  <c r="V1357" i="14"/>
  <c r="W1356" i="14"/>
  <c r="U1358" i="14" l="1"/>
  <c r="V1358" i="14"/>
  <c r="D595" i="37"/>
  <c r="W1357" i="14"/>
  <c r="T1367" i="14"/>
  <c r="T1368" i="14" l="1"/>
  <c r="V1359" i="14"/>
  <c r="D596" i="37"/>
  <c r="U1359" i="14"/>
  <c r="W1358" i="14"/>
  <c r="U1360" i="14" l="1"/>
  <c r="D597" i="37"/>
  <c r="V1360" i="14"/>
  <c r="W1359" i="14"/>
  <c r="T1369" i="14"/>
  <c r="T1370" i="14" l="1"/>
  <c r="D598" i="37"/>
  <c r="U1361" i="14"/>
  <c r="V1361" i="14"/>
  <c r="W1360" i="14"/>
  <c r="B1360" i="14" s="1"/>
  <c r="T1371" i="14" l="1"/>
  <c r="U1362" i="14"/>
  <c r="D599" i="37"/>
  <c r="V1362" i="14"/>
  <c r="W1361" i="14"/>
  <c r="U1363" i="14" l="1"/>
  <c r="D600" i="37"/>
  <c r="V1363" i="14"/>
  <c r="W1362" i="14"/>
  <c r="T1372" i="14"/>
  <c r="T1373" i="14" l="1"/>
  <c r="D601" i="37"/>
  <c r="V1364" i="14"/>
  <c r="U1364" i="14"/>
  <c r="W1363" i="14"/>
  <c r="V1365" i="14" l="1"/>
  <c r="D602" i="37"/>
  <c r="U1365" i="14"/>
  <c r="W1364" i="14"/>
  <c r="T1374" i="14"/>
  <c r="T1375" i="14" l="1"/>
  <c r="V1366" i="14"/>
  <c r="U1366" i="14"/>
  <c r="D603" i="37"/>
  <c r="W1365" i="14"/>
  <c r="V1367" i="14" l="1"/>
  <c r="D604" i="37"/>
  <c r="U1367" i="14"/>
  <c r="W1366" i="14"/>
  <c r="T1376" i="14"/>
  <c r="T1377" i="14" l="1"/>
  <c r="V1368" i="14"/>
  <c r="D605" i="37"/>
  <c r="U1368" i="14"/>
  <c r="W1367" i="14"/>
  <c r="B1367" i="14" s="1"/>
  <c r="V1369" i="14" l="1"/>
  <c r="U1369" i="14"/>
  <c r="D606" i="37"/>
  <c r="W1368" i="14"/>
  <c r="T1378" i="14"/>
  <c r="T1379" i="14" l="1"/>
  <c r="V1370" i="14"/>
  <c r="D607" i="37"/>
  <c r="U1370" i="14"/>
  <c r="W1369" i="14"/>
  <c r="D608" i="37" l="1"/>
  <c r="U1371" i="14"/>
  <c r="V1371" i="14"/>
  <c r="W1370" i="14"/>
  <c r="T1380" i="14"/>
  <c r="T1381" i="14" l="1"/>
  <c r="U1372" i="14"/>
  <c r="D609" i="37"/>
  <c r="V1372" i="14"/>
  <c r="W1371" i="14"/>
  <c r="V1373" i="14" l="1"/>
  <c r="D610" i="37"/>
  <c r="U1373" i="14"/>
  <c r="W1372" i="14"/>
  <c r="T1382" i="14"/>
  <c r="T1383" i="14" l="1"/>
  <c r="U1374" i="14"/>
  <c r="D611" i="37"/>
  <c r="V1374" i="14"/>
  <c r="W1373" i="14"/>
  <c r="U1375" i="14" l="1"/>
  <c r="D612" i="37"/>
  <c r="V1375" i="14"/>
  <c r="W1374" i="14"/>
  <c r="B1374" i="14" s="1"/>
  <c r="T1384" i="14"/>
  <c r="T1385" i="14" l="1"/>
  <c r="D613" i="37"/>
  <c r="V1376" i="14"/>
  <c r="U1376" i="14"/>
  <c r="W1375" i="14"/>
  <c r="D614" i="37" l="1"/>
  <c r="U1377" i="14"/>
  <c r="V1377" i="14"/>
  <c r="W1376" i="14"/>
  <c r="T1386" i="14"/>
  <c r="T1387" i="14" l="1"/>
  <c r="U1378" i="14"/>
  <c r="V1378" i="14"/>
  <c r="D615" i="37"/>
  <c r="W1377" i="14"/>
  <c r="V1379" i="14" l="1"/>
  <c r="U1379" i="14"/>
  <c r="D616" i="37"/>
  <c r="W1378" i="14"/>
  <c r="T1388" i="14"/>
  <c r="T1389" i="14" l="1"/>
  <c r="D617" i="37"/>
  <c r="V1380" i="14"/>
  <c r="U1380" i="14"/>
  <c r="W1379" i="14"/>
  <c r="V1381" i="14" l="1"/>
  <c r="D618" i="37"/>
  <c r="U1381" i="14"/>
  <c r="W1380" i="14"/>
  <c r="T1390" i="14"/>
  <c r="T1391" i="14" l="1"/>
  <c r="U1382" i="14"/>
  <c r="D619" i="37"/>
  <c r="V1382" i="14"/>
  <c r="W1381" i="14"/>
  <c r="B1381" i="14" s="1"/>
  <c r="V1383" i="14" l="1"/>
  <c r="U1383" i="14"/>
  <c r="D620" i="37"/>
  <c r="W1382" i="14"/>
  <c r="T1392" i="14"/>
  <c r="T1393" i="14" l="1"/>
  <c r="D621" i="37"/>
  <c r="U1384" i="14"/>
  <c r="V1384" i="14"/>
  <c r="W1383" i="14"/>
  <c r="U1385" i="14" l="1"/>
  <c r="V1385" i="14"/>
  <c r="D622" i="37"/>
  <c r="W1384" i="14"/>
  <c r="T1394" i="14"/>
  <c r="T1395" i="14" l="1"/>
  <c r="V1386" i="14"/>
  <c r="U1386" i="14"/>
  <c r="D623" i="37"/>
  <c r="W1385" i="14"/>
  <c r="D624" i="37" l="1"/>
  <c r="V1387" i="14"/>
  <c r="U1387" i="14"/>
  <c r="W1386" i="14"/>
  <c r="T1396" i="14"/>
  <c r="T1397" i="14" l="1"/>
  <c r="U1388" i="14"/>
  <c r="V1388" i="14"/>
  <c r="D625" i="37"/>
  <c r="W1387" i="14"/>
  <c r="T1398" i="14" l="1"/>
  <c r="D626" i="37"/>
  <c r="V1389" i="14"/>
  <c r="U1389" i="14"/>
  <c r="W1388" i="14"/>
  <c r="B1388" i="14" s="1"/>
  <c r="V1390" i="14" l="1"/>
  <c r="D627" i="37"/>
  <c r="U1390" i="14"/>
  <c r="W1389" i="14"/>
  <c r="T1399" i="14"/>
  <c r="D628" i="37" l="1"/>
  <c r="U1391" i="14"/>
  <c r="V1391" i="14"/>
  <c r="W1390" i="14"/>
  <c r="T1400" i="14"/>
  <c r="T1401" i="14" l="1"/>
  <c r="V1392" i="14"/>
  <c r="D629" i="37"/>
  <c r="U1392" i="14"/>
  <c r="W1391" i="14"/>
  <c r="U1393" i="14" l="1"/>
  <c r="D630" i="37"/>
  <c r="V1393" i="14"/>
  <c r="W1392" i="14"/>
  <c r="T1402" i="14"/>
  <c r="D631" i="37" l="1"/>
  <c r="V1394" i="14"/>
  <c r="U1394" i="14"/>
  <c r="W1393" i="14"/>
  <c r="T1403" i="14"/>
  <c r="T1404" i="14" l="1"/>
  <c r="U1395" i="14"/>
  <c r="D632" i="37"/>
  <c r="V1395" i="14"/>
  <c r="W1394" i="14"/>
  <c r="D633" i="37" l="1"/>
  <c r="U1396" i="14"/>
  <c r="V1396" i="14"/>
  <c r="W1395" i="14"/>
  <c r="B1395" i="14" s="1"/>
  <c r="T1405" i="14"/>
  <c r="T1406" i="14" l="1"/>
  <c r="D634" i="37"/>
  <c r="V1397" i="14"/>
  <c r="U1397" i="14"/>
  <c r="W1396" i="14"/>
  <c r="U1398" i="14" l="1"/>
  <c r="V1398" i="14"/>
  <c r="D635" i="37"/>
  <c r="W1397" i="14"/>
  <c r="T1407" i="14"/>
  <c r="T1408" i="14" l="1"/>
  <c r="U1399" i="14"/>
  <c r="D636" i="37"/>
  <c r="V1399" i="14"/>
  <c r="W1398" i="14"/>
  <c r="D637" i="37" l="1"/>
  <c r="V1400" i="14"/>
  <c r="U1400" i="14"/>
  <c r="W1399" i="14"/>
  <c r="T1409" i="14"/>
  <c r="T1410" i="14" l="1"/>
  <c r="D638" i="37"/>
  <c r="V1401" i="14"/>
  <c r="U1401" i="14"/>
  <c r="W1400" i="14"/>
  <c r="U1402" i="14" l="1"/>
  <c r="D639" i="37"/>
  <c r="V1402" i="14"/>
  <c r="W1401" i="14"/>
  <c r="T1411" i="14"/>
  <c r="T1412" i="14" l="1"/>
  <c r="D640" i="37"/>
  <c r="U1403" i="14"/>
  <c r="V1403" i="14"/>
  <c r="W1402" i="14"/>
  <c r="B1402" i="14" s="1"/>
  <c r="V1404" i="14" l="1"/>
  <c r="D641" i="37"/>
  <c r="U1404" i="14"/>
  <c r="W1403" i="14"/>
  <c r="T1413" i="14"/>
  <c r="T1414" i="14" l="1"/>
  <c r="U1405" i="14"/>
  <c r="D642" i="37"/>
  <c r="V1405" i="14"/>
  <c r="W1404" i="14"/>
  <c r="V1406" i="14" l="1"/>
  <c r="D643" i="37"/>
  <c r="U1406" i="14"/>
  <c r="W1405" i="14"/>
  <c r="T1415" i="14"/>
  <c r="T1416" i="14" l="1"/>
  <c r="D644" i="37"/>
  <c r="V1407" i="14"/>
  <c r="U1407" i="14"/>
  <c r="W1406" i="14"/>
  <c r="V1408" i="14" l="1"/>
  <c r="D645" i="37"/>
  <c r="U1408" i="14"/>
  <c r="W1407" i="14"/>
  <c r="T1417" i="14"/>
  <c r="T1418" i="14" l="1"/>
  <c r="D646" i="37"/>
  <c r="V1409" i="14"/>
  <c r="U1409" i="14"/>
  <c r="W1408" i="14"/>
  <c r="D647" i="37" l="1"/>
  <c r="U1410" i="14"/>
  <c r="V1410" i="14"/>
  <c r="W1409" i="14"/>
  <c r="B1409" i="14" s="1"/>
  <c r="T1419" i="14"/>
  <c r="T1420" i="14" l="1"/>
  <c r="U1411" i="14"/>
  <c r="V1411" i="14"/>
  <c r="D648" i="37"/>
  <c r="W1410" i="14"/>
  <c r="V1412" i="14" l="1"/>
  <c r="D649" i="37"/>
  <c r="U1412" i="14"/>
  <c r="W1411" i="14"/>
  <c r="T1421" i="14"/>
  <c r="T1422" i="14" l="1"/>
  <c r="U1413" i="14"/>
  <c r="D650" i="37"/>
  <c r="V1413" i="14"/>
  <c r="W1412" i="14"/>
  <c r="U1414" i="14" l="1"/>
  <c r="V1414" i="14"/>
  <c r="D651" i="37"/>
  <c r="W1413" i="14"/>
  <c r="T1423" i="14"/>
  <c r="T1424" i="14" l="1"/>
  <c r="D652" i="37"/>
  <c r="V1415" i="14"/>
  <c r="U1415" i="14"/>
  <c r="W1414" i="14"/>
  <c r="D653" i="37" l="1"/>
  <c r="V1416" i="14"/>
  <c r="U1416" i="14"/>
  <c r="W1415" i="14"/>
  <c r="T1425" i="14"/>
  <c r="T1426" i="14" l="1"/>
  <c r="U1417" i="14"/>
  <c r="D654" i="37"/>
  <c r="V1417" i="14"/>
  <c r="W1416" i="14"/>
  <c r="B1416" i="14" s="1"/>
  <c r="V1418" i="14" l="1"/>
  <c r="D655" i="37"/>
  <c r="U1418" i="14"/>
  <c r="W1417" i="14"/>
  <c r="T1427" i="14"/>
  <c r="T1428" i="14" l="1"/>
  <c r="V1419" i="14"/>
  <c r="U1419" i="14"/>
  <c r="D656" i="37"/>
  <c r="W1418" i="14"/>
  <c r="V1420" i="14" l="1"/>
  <c r="D657" i="37"/>
  <c r="U1420" i="14"/>
  <c r="W1419" i="14"/>
  <c r="T1429" i="14"/>
  <c r="T1430" i="14" l="1"/>
  <c r="V1421" i="14"/>
  <c r="D658" i="37"/>
  <c r="U1421" i="14"/>
  <c r="W1420" i="14"/>
  <c r="V1422" i="14" l="1"/>
  <c r="U1422" i="14"/>
  <c r="D659" i="37"/>
  <c r="W1421" i="14"/>
  <c r="T1431" i="14"/>
  <c r="T1432" i="14" l="1"/>
  <c r="D660" i="37"/>
  <c r="U1423" i="14"/>
  <c r="V1423" i="14"/>
  <c r="W1422" i="14"/>
  <c r="U1424" i="14" l="1"/>
  <c r="V1424" i="14"/>
  <c r="D661" i="37"/>
  <c r="W1423" i="14"/>
  <c r="B1423" i="14" s="1"/>
  <c r="T1433" i="14"/>
  <c r="T1434" i="14" l="1"/>
  <c r="D662" i="37"/>
  <c r="U1425" i="14"/>
  <c r="V1425" i="14"/>
  <c r="W1424" i="14"/>
  <c r="D663" i="37" l="1"/>
  <c r="V1426" i="14"/>
  <c r="U1426" i="14"/>
  <c r="W1425" i="14"/>
  <c r="T1435" i="14"/>
  <c r="T1436" i="14" l="1"/>
  <c r="D664" i="37"/>
  <c r="U1427" i="14"/>
  <c r="V1427" i="14"/>
  <c r="W1426" i="14"/>
  <c r="D665" i="37" l="1"/>
  <c r="U1428" i="14"/>
  <c r="V1428" i="14"/>
  <c r="W1427" i="14"/>
  <c r="T1437" i="14"/>
  <c r="T1438" i="14" l="1"/>
  <c r="V1429" i="14"/>
  <c r="D666" i="37"/>
  <c r="U1429" i="14"/>
  <c r="W1428" i="14"/>
  <c r="D667" i="37" l="1"/>
  <c r="U1430" i="14"/>
  <c r="V1430" i="14"/>
  <c r="W1429" i="14"/>
  <c r="T1439" i="14"/>
  <c r="T1440" i="14" l="1"/>
  <c r="D668" i="37"/>
  <c r="U1431" i="14"/>
  <c r="V1431" i="14"/>
  <c r="W1430" i="14"/>
  <c r="B1430" i="14" s="1"/>
  <c r="D669" i="37" l="1"/>
  <c r="U1432" i="14"/>
  <c r="V1432" i="14"/>
  <c r="W1431" i="14"/>
  <c r="T1441" i="14"/>
  <c r="D670" i="37" l="1"/>
  <c r="U1433" i="14"/>
  <c r="V1433" i="14"/>
  <c r="W1432" i="14"/>
  <c r="T1442" i="14"/>
  <c r="T1443" i="14" l="1"/>
  <c r="D671" i="37"/>
  <c r="V1434" i="14"/>
  <c r="U1434" i="14"/>
  <c r="W1433" i="14"/>
  <c r="D672" i="37" l="1"/>
  <c r="U1435" i="14"/>
  <c r="V1435" i="14"/>
  <c r="W1434" i="14"/>
  <c r="T1444" i="14"/>
  <c r="T1445" i="14" l="1"/>
  <c r="U1436" i="14"/>
  <c r="D673" i="37"/>
  <c r="V1436" i="14"/>
  <c r="W1435" i="14"/>
  <c r="D674" i="37" l="1"/>
  <c r="U1437" i="14"/>
  <c r="V1437" i="14"/>
  <c r="W1436" i="14"/>
  <c r="T1446" i="14"/>
  <c r="T1447" i="14" l="1"/>
  <c r="D675" i="37"/>
  <c r="U1438" i="14"/>
  <c r="V1438" i="14"/>
  <c r="W1437" i="14"/>
  <c r="B1437" i="14" s="1"/>
  <c r="D676" i="37" l="1"/>
  <c r="U1439" i="14"/>
  <c r="V1439" i="14"/>
  <c r="W1438" i="14"/>
  <c r="T1448" i="14"/>
  <c r="T1449" i="14" l="1"/>
  <c r="D677" i="37"/>
  <c r="V1440" i="14"/>
  <c r="U1440" i="14"/>
  <c r="W1439" i="14"/>
  <c r="D678" i="37" l="1"/>
  <c r="U1441" i="14"/>
  <c r="V1441" i="14"/>
  <c r="W1440" i="14"/>
  <c r="T1450" i="14"/>
  <c r="T1451" i="14" l="1"/>
  <c r="D679" i="37"/>
  <c r="U1442" i="14"/>
  <c r="V1442" i="14"/>
  <c r="W1441" i="14"/>
  <c r="D680" i="37" l="1"/>
  <c r="U1443" i="14"/>
  <c r="V1443" i="14"/>
  <c r="W1442" i="14"/>
  <c r="T1452" i="14"/>
  <c r="T1453" i="14" l="1"/>
  <c r="U1444" i="14"/>
  <c r="V1444" i="14"/>
  <c r="D681" i="37"/>
  <c r="W1443" i="14"/>
  <c r="U1445" i="14" l="1"/>
  <c r="D682" i="37"/>
  <c r="V1445" i="14"/>
  <c r="W1444" i="14"/>
  <c r="B1444" i="14" s="1"/>
  <c r="T1454" i="14"/>
  <c r="T1455" i="14" l="1"/>
  <c r="V1446" i="14"/>
  <c r="U1446" i="14"/>
  <c r="D683" i="37"/>
  <c r="W1445" i="14"/>
  <c r="V1447" i="14" l="1"/>
  <c r="D684" i="37"/>
  <c r="U1447" i="14"/>
  <c r="W1446" i="14"/>
  <c r="T1456" i="14"/>
  <c r="T1457" i="14" l="1"/>
  <c r="U1448" i="14"/>
  <c r="D685" i="37"/>
  <c r="V1448" i="14"/>
  <c r="W1447" i="14"/>
  <c r="V1449" i="14" l="1"/>
  <c r="U1449" i="14"/>
  <c r="D686" i="37"/>
  <c r="W1448" i="14"/>
  <c r="T1458" i="14"/>
  <c r="T1459" i="14" l="1"/>
  <c r="D687" i="37"/>
  <c r="U1450" i="14"/>
  <c r="V1450" i="14"/>
  <c r="W1449" i="14"/>
  <c r="U1451" i="14" l="1"/>
  <c r="D688" i="37"/>
  <c r="V1451" i="14"/>
  <c r="W1450" i="14"/>
  <c r="T1460" i="14"/>
  <c r="T1461" i="14" l="1"/>
  <c r="D689" i="37"/>
  <c r="U1452" i="14"/>
  <c r="V1452" i="14"/>
  <c r="W1451" i="14"/>
  <c r="B1451" i="14" s="1"/>
  <c r="U1453" i="14" l="1"/>
  <c r="D690" i="37"/>
  <c r="V1453" i="14"/>
  <c r="W1452" i="14"/>
  <c r="T1462" i="14"/>
  <c r="T1463" i="14" l="1"/>
  <c r="U1454" i="14"/>
  <c r="D691" i="37"/>
  <c r="V1454" i="14"/>
  <c r="W1453" i="14"/>
  <c r="D692" i="37" l="1"/>
  <c r="V1455" i="14"/>
  <c r="U1455" i="14"/>
  <c r="W1454" i="14"/>
  <c r="T1464" i="14"/>
  <c r="T1465" i="14" l="1"/>
  <c r="V1456" i="14"/>
  <c r="D693" i="37"/>
  <c r="U1456" i="14"/>
  <c r="W1455" i="14"/>
  <c r="U1457" i="14" l="1"/>
  <c r="V1457" i="14"/>
  <c r="D694" i="37"/>
  <c r="W1456" i="14"/>
  <c r="T1466" i="14"/>
  <c r="T1467" i="14" l="1"/>
  <c r="U1458" i="14"/>
  <c r="V1458" i="14"/>
  <c r="D695" i="37"/>
  <c r="W1457" i="14"/>
  <c r="U1459" i="14" l="1"/>
  <c r="V1459" i="14"/>
  <c r="D696" i="37"/>
  <c r="W1458" i="14"/>
  <c r="B1458" i="14" s="1"/>
  <c r="T1468" i="14"/>
  <c r="T1469" i="14" l="1"/>
  <c r="V1460" i="14"/>
  <c r="U1460" i="14"/>
  <c r="D697" i="37"/>
  <c r="W1459" i="14"/>
  <c r="V1461" i="14" l="1"/>
  <c r="U1461" i="14"/>
  <c r="D698" i="37"/>
  <c r="W1460" i="14"/>
  <c r="T1470" i="14"/>
  <c r="T1471" i="14" l="1"/>
  <c r="V1462" i="14"/>
  <c r="U1462" i="14"/>
  <c r="D699" i="37"/>
  <c r="W1461" i="14"/>
  <c r="U1463" i="14" l="1"/>
  <c r="V1463" i="14"/>
  <c r="D700" i="37"/>
  <c r="W1462" i="14"/>
  <c r="T1472" i="14"/>
  <c r="T1473" i="14" l="1"/>
  <c r="U1464" i="14"/>
  <c r="V1464" i="14"/>
  <c r="D701" i="37"/>
  <c r="W1463" i="14"/>
  <c r="U1465" i="14" l="1"/>
  <c r="D702" i="37"/>
  <c r="V1465" i="14"/>
  <c r="W1464" i="14"/>
  <c r="T1474" i="14"/>
  <c r="T1475" i="14" l="1"/>
  <c r="U1466" i="14"/>
  <c r="D703" i="37"/>
  <c r="V1466" i="14"/>
  <c r="W1465" i="14"/>
  <c r="B1465" i="14" s="1"/>
  <c r="D704" i="37" l="1"/>
  <c r="U1467" i="14"/>
  <c r="V1467" i="14"/>
  <c r="W1466" i="14"/>
  <c r="T1476" i="14"/>
  <c r="T1477" i="14" l="1"/>
  <c r="U1468" i="14"/>
  <c r="D705" i="37"/>
  <c r="V1468" i="14"/>
  <c r="W1467" i="14"/>
  <c r="D706" i="37" l="1"/>
  <c r="V1469" i="14"/>
  <c r="U1469" i="14"/>
  <c r="W1468" i="14"/>
  <c r="T1478" i="14"/>
  <c r="T1479" i="14" l="1"/>
  <c r="D707" i="37"/>
  <c r="U1470" i="14"/>
  <c r="V1470" i="14"/>
  <c r="W1469" i="14"/>
  <c r="D708" i="37" l="1"/>
  <c r="V1471" i="14"/>
  <c r="U1471" i="14"/>
  <c r="W1470" i="14"/>
  <c r="T1480" i="14"/>
  <c r="D709" i="37" l="1"/>
  <c r="U1472" i="14"/>
  <c r="V1472" i="14"/>
  <c r="W1471" i="14"/>
  <c r="T1481" i="14"/>
  <c r="T1482" i="14" l="1"/>
  <c r="D710" i="37"/>
  <c r="U1473" i="14"/>
  <c r="V1473" i="14"/>
  <c r="W1472" i="14"/>
  <c r="B1472" i="14" s="1"/>
  <c r="V1474" i="14" l="1"/>
  <c r="U1474" i="14"/>
  <c r="D711" i="37"/>
  <c r="W1473" i="14"/>
  <c r="T1483" i="14"/>
  <c r="T1484" i="14" l="1"/>
  <c r="V1475" i="14"/>
  <c r="U1475" i="14"/>
  <c r="D712" i="37"/>
  <c r="W1474" i="14"/>
  <c r="V1476" i="14" l="1"/>
  <c r="D713" i="37"/>
  <c r="U1476" i="14"/>
  <c r="W1475" i="14"/>
  <c r="T1485" i="14"/>
  <c r="T1486" i="14" l="1"/>
  <c r="U1477" i="14"/>
  <c r="D714" i="37"/>
  <c r="V1477" i="14"/>
  <c r="W1476" i="14"/>
  <c r="V1478" i="14" l="1"/>
  <c r="D715" i="37"/>
  <c r="U1478" i="14"/>
  <c r="W1477" i="14"/>
  <c r="T1487" i="14"/>
  <c r="T1488" i="14" l="1"/>
  <c r="U1479" i="14"/>
  <c r="D716" i="37"/>
  <c r="V1479" i="14"/>
  <c r="W1478" i="14"/>
  <c r="D717" i="37" l="1"/>
  <c r="V1480" i="14"/>
  <c r="U1480" i="14"/>
  <c r="W1479" i="14"/>
  <c r="B1479" i="14" s="1"/>
  <c r="T1489" i="14"/>
  <c r="T1490" i="14" l="1"/>
  <c r="D718" i="37"/>
  <c r="V1481" i="14"/>
  <c r="U1481" i="14"/>
  <c r="W1480" i="14"/>
  <c r="D719" i="37" l="1"/>
  <c r="U1482" i="14"/>
  <c r="V1482" i="14"/>
  <c r="W1481" i="14"/>
  <c r="T1491" i="14"/>
  <c r="T1492" i="14" l="1"/>
  <c r="U1483" i="14"/>
  <c r="V1483" i="14"/>
  <c r="D720" i="37"/>
  <c r="W1482" i="14"/>
  <c r="D721" i="37" l="1"/>
  <c r="U1484" i="14"/>
  <c r="V1484" i="14"/>
  <c r="W1483" i="14"/>
  <c r="T1493" i="14"/>
  <c r="T1494" i="14" l="1"/>
  <c r="D722" i="37"/>
  <c r="V1485" i="14"/>
  <c r="U1485" i="14"/>
  <c r="W1484" i="14"/>
  <c r="D723" i="37" l="1"/>
  <c r="U1486" i="14"/>
  <c r="V1486" i="14"/>
  <c r="W1485" i="14"/>
  <c r="T1495" i="14"/>
  <c r="T1496" i="14" l="1"/>
  <c r="U1487" i="14"/>
  <c r="D724" i="37"/>
  <c r="V1487" i="14"/>
  <c r="W1486" i="14"/>
  <c r="B1486" i="14" s="1"/>
  <c r="V1488" i="14" l="1"/>
  <c r="D725" i="37"/>
  <c r="U1488" i="14"/>
  <c r="W1487" i="14"/>
  <c r="T1497" i="14"/>
  <c r="T1498" i="14" l="1"/>
  <c r="D726" i="37"/>
  <c r="V1489" i="14"/>
  <c r="U1489" i="14"/>
  <c r="W1488" i="14"/>
  <c r="V1490" i="14" l="1"/>
  <c r="D727" i="37"/>
  <c r="U1490" i="14"/>
  <c r="W1489" i="14"/>
  <c r="T1499" i="14"/>
  <c r="T1500" i="14" l="1"/>
  <c r="U1491" i="14"/>
  <c r="D728" i="37"/>
  <c r="V1491" i="14"/>
  <c r="W1490" i="14"/>
  <c r="V1492" i="14" l="1"/>
  <c r="U1492" i="14"/>
  <c r="D729" i="37"/>
  <c r="W1491" i="14"/>
  <c r="T1501" i="14"/>
  <c r="T1502" i="14" l="1"/>
  <c r="D730" i="37"/>
  <c r="V1493" i="14"/>
  <c r="U1493" i="14"/>
  <c r="W1492" i="14"/>
  <c r="D731" i="37" l="1"/>
  <c r="U1494" i="14"/>
  <c r="V1494" i="14"/>
  <c r="W1493" i="14"/>
  <c r="B1493" i="14" s="1"/>
  <c r="T1503" i="14"/>
  <c r="T1504" i="14" l="1"/>
  <c r="D732" i="37"/>
  <c r="V1495" i="14"/>
  <c r="U1495" i="14"/>
  <c r="W1494" i="14"/>
  <c r="V1496" i="14" l="1"/>
  <c r="D733" i="37"/>
  <c r="U1496" i="14"/>
  <c r="W1495" i="14"/>
  <c r="T1505" i="14"/>
  <c r="T1506" i="14" l="1"/>
  <c r="U1497" i="14"/>
  <c r="V1497" i="14"/>
  <c r="D734" i="37"/>
  <c r="W1496" i="14"/>
  <c r="U1498" i="14" l="1"/>
  <c r="D735" i="37"/>
  <c r="V1498" i="14"/>
  <c r="W1497" i="14"/>
  <c r="T1507" i="14"/>
  <c r="T1508" i="14" l="1"/>
  <c r="U1499" i="14"/>
  <c r="D736" i="37"/>
  <c r="V1499" i="14"/>
  <c r="W1498" i="14"/>
  <c r="D737" i="37" l="1"/>
  <c r="U1500" i="14"/>
  <c r="V1500" i="14"/>
  <c r="W1499" i="14"/>
  <c r="T1509" i="14"/>
  <c r="T1510" i="14" l="1"/>
  <c r="U1501" i="14"/>
  <c r="D738" i="37"/>
  <c r="V1501" i="14"/>
  <c r="W1500" i="14"/>
  <c r="B1500" i="14" s="1"/>
  <c r="V1502" i="14" l="1"/>
  <c r="U1502" i="14"/>
  <c r="D739" i="37"/>
  <c r="W1501" i="14"/>
  <c r="T1511" i="14"/>
  <c r="T1512" i="14" l="1"/>
  <c r="U1503" i="14"/>
  <c r="V1503" i="14"/>
  <c r="D740" i="37"/>
  <c r="W1502" i="14"/>
  <c r="D741" i="37" l="1"/>
  <c r="V1504" i="14"/>
  <c r="U1504" i="14"/>
  <c r="W1503" i="14"/>
  <c r="T1513" i="14"/>
  <c r="T1514" i="14" l="1"/>
  <c r="D742" i="37"/>
  <c r="V1505" i="14"/>
  <c r="U1505" i="14"/>
  <c r="W1504" i="14"/>
  <c r="V1506" i="14" l="1"/>
  <c r="U1506" i="14"/>
  <c r="D743" i="37"/>
  <c r="W1505" i="14"/>
  <c r="T1515" i="14"/>
  <c r="T1516" i="14" l="1"/>
  <c r="V1507" i="14"/>
  <c r="U1507" i="14"/>
  <c r="D744" i="37"/>
  <c r="W1506" i="14"/>
  <c r="U1508" i="14" l="1"/>
  <c r="V1508" i="14"/>
  <c r="D745" i="37"/>
  <c r="W1507" i="14"/>
  <c r="B1507" i="14" s="1"/>
  <c r="T1517" i="14"/>
  <c r="T1518" i="14" l="1"/>
  <c r="U1509" i="14"/>
  <c r="V1509" i="14"/>
  <c r="D746" i="37"/>
  <c r="W1508" i="14"/>
  <c r="V1510" i="14" l="1"/>
  <c r="U1510" i="14"/>
  <c r="D747" i="37"/>
  <c r="W1509" i="14"/>
  <c r="T1519" i="14"/>
  <c r="T1520" i="14" l="1"/>
  <c r="D748" i="37"/>
  <c r="U1511" i="14"/>
  <c r="V1511" i="14"/>
  <c r="W1510" i="14"/>
  <c r="U1512" i="14" l="1"/>
  <c r="V1512" i="14"/>
  <c r="D749" i="37"/>
  <c r="W1511" i="14"/>
  <c r="T1521" i="14"/>
  <c r="T1522" i="14" l="1"/>
  <c r="D750" i="37"/>
  <c r="U1513" i="14"/>
  <c r="V1513" i="14"/>
  <c r="W1512" i="14"/>
  <c r="U1514" i="14" l="1"/>
  <c r="D751" i="37"/>
  <c r="V1514" i="14"/>
  <c r="W1513" i="14"/>
  <c r="T1523" i="14"/>
  <c r="T1524" i="14" l="1"/>
  <c r="U1515" i="14"/>
  <c r="V1515" i="14"/>
  <c r="D752" i="37"/>
  <c r="W1514" i="14"/>
  <c r="B1514" i="14" s="1"/>
  <c r="V1516" i="14" l="1"/>
  <c r="D753" i="37"/>
  <c r="U1516" i="14"/>
  <c r="W1515" i="14"/>
  <c r="T1525" i="14"/>
  <c r="T1526" i="14" l="1"/>
  <c r="D754" i="37"/>
  <c r="V1517" i="14"/>
  <c r="U1517" i="14"/>
  <c r="W1516" i="14"/>
  <c r="D755" i="37" l="1"/>
  <c r="U1518" i="14"/>
  <c r="V1518" i="14"/>
  <c r="W1517" i="14"/>
  <c r="T1527" i="14"/>
  <c r="D756" i="37" l="1"/>
  <c r="V1519" i="14"/>
  <c r="U1519" i="14"/>
  <c r="W1518" i="14"/>
  <c r="T1528" i="14"/>
  <c r="T1529" i="14" l="1"/>
  <c r="D757" i="37"/>
  <c r="U1520" i="14"/>
  <c r="V1520" i="14"/>
  <c r="W1519" i="14"/>
  <c r="D758" i="37" l="1"/>
  <c r="V1521" i="14"/>
  <c r="U1521" i="14"/>
  <c r="W1520" i="14"/>
  <c r="T1530" i="14"/>
  <c r="T1531" i="14" l="1"/>
  <c r="U1522" i="14"/>
  <c r="V1522" i="14"/>
  <c r="D759" i="37"/>
  <c r="W1521" i="14"/>
  <c r="B1521" i="14" s="1"/>
  <c r="D760" i="37" l="1"/>
  <c r="V1523" i="14"/>
  <c r="U1523" i="14"/>
  <c r="W1522" i="14"/>
  <c r="T1532" i="14"/>
  <c r="T1533" i="14" l="1"/>
  <c r="V1524" i="14"/>
  <c r="D761" i="37"/>
  <c r="U1524" i="14"/>
  <c r="W1523" i="14"/>
  <c r="U1525" i="14" l="1"/>
  <c r="D762" i="37"/>
  <c r="V1525" i="14"/>
  <c r="W1524" i="14"/>
  <c r="T1534" i="14"/>
  <c r="T1535" i="14" l="1"/>
  <c r="D763" i="37"/>
  <c r="V1526" i="14"/>
  <c r="U1526" i="14"/>
  <c r="W1525" i="14"/>
  <c r="V1527" i="14" l="1"/>
  <c r="U1527" i="14"/>
  <c r="D764" i="37"/>
  <c r="W1526" i="14"/>
  <c r="T1536" i="14"/>
  <c r="D765" i="37" l="1"/>
  <c r="V1528" i="14"/>
  <c r="U1528" i="14"/>
  <c r="W1527" i="14"/>
  <c r="T1537" i="14"/>
  <c r="T1538" i="14" l="1"/>
  <c r="U1529" i="14"/>
  <c r="V1529" i="14"/>
  <c r="D766" i="37"/>
  <c r="W1528" i="14"/>
  <c r="B1528" i="14" s="1"/>
  <c r="V1530" i="14" l="1"/>
  <c r="D767" i="37"/>
  <c r="U1530" i="14"/>
  <c r="W1529" i="14"/>
  <c r="T1539" i="14"/>
  <c r="T1540" i="14" l="1"/>
  <c r="D768" i="37"/>
  <c r="U1531" i="14"/>
  <c r="V1531" i="14"/>
  <c r="W1530" i="14"/>
  <c r="T1541" i="14" l="1"/>
  <c r="U1532" i="14"/>
  <c r="D769" i="37"/>
  <c r="V1532" i="14"/>
  <c r="W1531" i="14"/>
  <c r="U1533" i="14" l="1"/>
  <c r="V1533" i="14"/>
  <c r="D770" i="37"/>
  <c r="W1532" i="14"/>
  <c r="T1542" i="14"/>
  <c r="T1543" i="14" l="1"/>
  <c r="D771" i="37"/>
  <c r="U1534" i="14"/>
  <c r="V1534" i="14"/>
  <c r="W1533" i="14"/>
  <c r="D772" i="37" l="1"/>
  <c r="V1535" i="14"/>
  <c r="U1535" i="14"/>
  <c r="W1534" i="14"/>
  <c r="T1544" i="14"/>
  <c r="T1545" i="14" l="1"/>
  <c r="D773" i="37"/>
  <c r="V1536" i="14"/>
  <c r="U1536" i="14"/>
  <c r="W1535" i="14"/>
  <c r="B1535" i="14" s="1"/>
  <c r="U1537" i="14" l="1"/>
  <c r="D774" i="37"/>
  <c r="V1537" i="14"/>
  <c r="W1536" i="14"/>
  <c r="T1546" i="14"/>
  <c r="T1547" i="14" l="1"/>
  <c r="V1538" i="14"/>
  <c r="D775" i="37"/>
  <c r="U1538" i="14"/>
  <c r="W1537" i="14"/>
  <c r="U1539" i="14" l="1"/>
  <c r="D776" i="37"/>
  <c r="V1539" i="14"/>
  <c r="W1538" i="14"/>
  <c r="T1548" i="14"/>
  <c r="T1549" i="14" l="1"/>
  <c r="V1540" i="14"/>
  <c r="D777" i="37"/>
  <c r="U1540" i="14"/>
  <c r="W1539" i="14"/>
  <c r="V1541" i="14" l="1"/>
  <c r="D778" i="37"/>
  <c r="U1541" i="14"/>
  <c r="W1540" i="14"/>
  <c r="T1550" i="14"/>
  <c r="T1551" i="14" l="1"/>
  <c r="D779" i="37"/>
  <c r="V1542" i="14"/>
  <c r="U1542" i="14"/>
  <c r="W1541" i="14"/>
  <c r="U1543" i="14" l="1"/>
  <c r="V1543" i="14"/>
  <c r="D780" i="37"/>
  <c r="W1542" i="14"/>
  <c r="B1542" i="14" s="1"/>
  <c r="T1552" i="14"/>
  <c r="T1553" i="14" l="1"/>
  <c r="V1544" i="14"/>
  <c r="D781" i="37"/>
  <c r="U1544" i="14"/>
  <c r="W1543" i="14"/>
  <c r="U1545" i="14" l="1"/>
  <c r="D782" i="37"/>
  <c r="V1545" i="14"/>
  <c r="W1544" i="14"/>
  <c r="T1554" i="14"/>
  <c r="T1555" i="14" l="1"/>
  <c r="U1546" i="14"/>
  <c r="D783" i="37"/>
  <c r="V1546" i="14"/>
  <c r="W1545" i="14"/>
  <c r="D784" i="37" l="1"/>
  <c r="U1547" i="14"/>
  <c r="V1547" i="14"/>
  <c r="W1546" i="14"/>
  <c r="T1556" i="14"/>
  <c r="T1557" i="14" l="1"/>
  <c r="D785" i="37"/>
  <c r="U1548" i="14"/>
  <c r="V1548" i="14"/>
  <c r="W1547" i="14"/>
  <c r="U1549" i="14" l="1"/>
  <c r="D786" i="37"/>
  <c r="V1549" i="14"/>
  <c r="W1548" i="14"/>
  <c r="T1558" i="14"/>
  <c r="T1559" i="14" l="1"/>
  <c r="U1550" i="14"/>
  <c r="D787" i="37"/>
  <c r="V1550" i="14"/>
  <c r="W1549" i="14"/>
  <c r="B1549" i="14" s="1"/>
  <c r="U1551" i="14" l="1"/>
  <c r="D788" i="37"/>
  <c r="V1551" i="14"/>
  <c r="W1550" i="14"/>
  <c r="T1560" i="14"/>
  <c r="T1561" i="14" l="1"/>
  <c r="V1552" i="14"/>
  <c r="U1552" i="14"/>
  <c r="D789" i="37"/>
  <c r="W1551" i="14"/>
  <c r="U1553" i="14" l="1"/>
  <c r="D790" i="37"/>
  <c r="V1553" i="14"/>
  <c r="W1552" i="14"/>
  <c r="T1562" i="14"/>
  <c r="T1563" i="14" l="1"/>
  <c r="U1554" i="14"/>
  <c r="V1554" i="14"/>
  <c r="D791" i="37"/>
  <c r="W1553" i="14"/>
  <c r="V1555" i="14" l="1"/>
  <c r="D792" i="37"/>
  <c r="U1555" i="14"/>
  <c r="W1554" i="14"/>
  <c r="T1564" i="14"/>
  <c r="T1565" i="14" l="1"/>
  <c r="U1556" i="14"/>
  <c r="D793" i="37"/>
  <c r="V1556" i="14"/>
  <c r="W1555" i="14"/>
  <c r="D794" i="37" l="1"/>
  <c r="U1557" i="14"/>
  <c r="V1557" i="14"/>
  <c r="W1556" i="14"/>
  <c r="B1556" i="14" s="1"/>
  <c r="T1566" i="14"/>
  <c r="T1567" i="14" l="1"/>
  <c r="D795" i="37"/>
  <c r="U1558" i="14"/>
  <c r="V1558" i="14"/>
  <c r="W1557" i="14"/>
  <c r="D796" i="37" l="1"/>
  <c r="V1559" i="14"/>
  <c r="U1559" i="14"/>
  <c r="W1558" i="14"/>
  <c r="T1568" i="14"/>
  <c r="T1569" i="14" l="1"/>
  <c r="D797" i="37"/>
  <c r="V1560" i="14"/>
  <c r="U1560" i="14"/>
  <c r="W1559" i="14"/>
  <c r="D798" i="37" l="1"/>
  <c r="V1561" i="14"/>
  <c r="U1561" i="14"/>
  <c r="W1560" i="14"/>
  <c r="T1570" i="14"/>
  <c r="T1571" i="14" l="1"/>
  <c r="D799" i="37"/>
  <c r="U1562" i="14"/>
  <c r="V1562" i="14"/>
  <c r="W1561" i="14"/>
  <c r="U1563" i="14" l="1"/>
  <c r="V1563" i="14"/>
  <c r="D800" i="37"/>
  <c r="W1562" i="14"/>
  <c r="T1572" i="14"/>
  <c r="T1573" i="14" l="1"/>
  <c r="U1564" i="14"/>
  <c r="D801" i="37"/>
  <c r="V1564" i="14"/>
  <c r="W1563" i="14"/>
  <c r="B1563" i="14" s="1"/>
  <c r="D802" i="37" l="1"/>
  <c r="U1565" i="14"/>
  <c r="V1565" i="14"/>
  <c r="W1564" i="14"/>
  <c r="T1574" i="14"/>
  <c r="T1575" i="14" l="1"/>
  <c r="U1566" i="14"/>
  <c r="D803" i="37"/>
  <c r="V1566" i="14"/>
  <c r="W1565" i="14"/>
  <c r="D804" i="37" l="1"/>
  <c r="U1567" i="14"/>
  <c r="V1567" i="14"/>
  <c r="W1566" i="14"/>
  <c r="T1576" i="14"/>
  <c r="T1577" i="14" l="1"/>
  <c r="U1568" i="14"/>
  <c r="D805" i="37"/>
  <c r="V1568" i="14"/>
  <c r="W1567" i="14"/>
  <c r="V1569" i="14" l="1"/>
  <c r="D806" i="37"/>
  <c r="U1569" i="14"/>
  <c r="W1568" i="14"/>
  <c r="T1578" i="14"/>
  <c r="U1570" i="14" l="1"/>
  <c r="D807" i="37"/>
  <c r="V1570" i="14"/>
  <c r="W1569" i="14"/>
  <c r="T1579" i="14"/>
  <c r="T1580" i="14" l="1"/>
  <c r="D808" i="37"/>
  <c r="U1571" i="14"/>
  <c r="V1571" i="14"/>
  <c r="W1570" i="14"/>
  <c r="B1570" i="14" s="1"/>
  <c r="U1572" i="14" l="1"/>
  <c r="V1572" i="14"/>
  <c r="D809" i="37"/>
  <c r="W1571" i="14"/>
  <c r="T1581" i="14"/>
  <c r="T1582" i="14" l="1"/>
  <c r="U1573" i="14"/>
  <c r="D810" i="37"/>
  <c r="V1573" i="14"/>
  <c r="W1572" i="14"/>
  <c r="D811" i="37" l="1"/>
  <c r="V1574" i="14"/>
  <c r="U1574" i="14"/>
  <c r="W1573" i="14"/>
  <c r="T1583" i="14"/>
  <c r="T1584" i="14" l="1"/>
  <c r="U1575" i="14"/>
  <c r="V1575" i="14"/>
  <c r="D812" i="37"/>
  <c r="W1574" i="14"/>
  <c r="D813" i="37" l="1"/>
  <c r="V1576" i="14"/>
  <c r="U1576" i="14"/>
  <c r="W1575" i="14"/>
  <c r="T1585" i="14"/>
  <c r="U1577" i="14" l="1"/>
  <c r="D814" i="37"/>
  <c r="V1577" i="14"/>
  <c r="W1576" i="14"/>
  <c r="T1586" i="14"/>
  <c r="T1587" i="14" l="1"/>
  <c r="D815" i="37"/>
  <c r="V1578" i="14"/>
  <c r="U1578" i="14"/>
  <c r="W1577" i="14"/>
  <c r="B1577" i="14" s="1"/>
  <c r="V1579" i="14" l="1"/>
  <c r="U1579" i="14"/>
  <c r="D816" i="37"/>
  <c r="W1578" i="14"/>
  <c r="T1588" i="14"/>
  <c r="T1589" i="14" l="1"/>
  <c r="V1580" i="14"/>
  <c r="U1580" i="14"/>
  <c r="D817" i="37"/>
  <c r="W1579" i="14"/>
  <c r="D818" i="37" l="1"/>
  <c r="V1581" i="14"/>
  <c r="U1581" i="14"/>
  <c r="W1580" i="14"/>
  <c r="T1590" i="14"/>
  <c r="T1591" i="14" l="1"/>
  <c r="U1582" i="14"/>
  <c r="D819" i="37"/>
  <c r="V1582" i="14"/>
  <c r="W1581" i="14"/>
  <c r="V1583" i="14" l="1"/>
  <c r="D820" i="37"/>
  <c r="U1583" i="14"/>
  <c r="W1582" i="14"/>
  <c r="T1592" i="14"/>
  <c r="T1593" i="14" l="1"/>
  <c r="U1584" i="14"/>
  <c r="D821" i="37"/>
  <c r="V1584" i="14"/>
  <c r="W1583" i="14"/>
  <c r="U1585" i="14" l="1"/>
  <c r="D822" i="37"/>
  <c r="V1585" i="14"/>
  <c r="W1584" i="14"/>
  <c r="B1584" i="14" s="1"/>
  <c r="T1594" i="14"/>
  <c r="T1595" i="14" l="1"/>
  <c r="V1586" i="14"/>
  <c r="U1586" i="14"/>
  <c r="D823" i="37"/>
  <c r="W1585" i="14"/>
  <c r="D824" i="37" l="1"/>
  <c r="U1587" i="14"/>
  <c r="V1587" i="14"/>
  <c r="W1586" i="14"/>
  <c r="T1596" i="14"/>
  <c r="U1588" i="14" l="1"/>
  <c r="V1588" i="14"/>
  <c r="D825" i="37"/>
  <c r="W1587" i="14"/>
  <c r="T1597" i="14"/>
  <c r="T1598" i="14" l="1"/>
  <c r="D826" i="37"/>
  <c r="U1589" i="14"/>
  <c r="V1589" i="14"/>
  <c r="W1588" i="14"/>
  <c r="D827" i="37" l="1"/>
  <c r="V1590" i="14"/>
  <c r="U1590" i="14"/>
  <c r="W1589" i="14"/>
  <c r="T1599" i="14"/>
  <c r="T1600" i="14" l="1"/>
  <c r="D828" i="37"/>
  <c r="U1591" i="14"/>
  <c r="V1591" i="14"/>
  <c r="W1590" i="14"/>
  <c r="U1592" i="14" l="1"/>
  <c r="D829" i="37"/>
  <c r="V1592" i="14"/>
  <c r="W1591" i="14"/>
  <c r="B1591" i="14" s="1"/>
  <c r="T1601" i="14"/>
  <c r="T1602" i="14" l="1"/>
  <c r="V1593" i="14"/>
  <c r="U1593" i="14"/>
  <c r="D830" i="37"/>
  <c r="W1592" i="14"/>
  <c r="V1594" i="14" l="1"/>
  <c r="D831" i="37"/>
  <c r="U1594" i="14"/>
  <c r="W1593" i="14"/>
  <c r="T1603" i="14"/>
  <c r="T1604" i="14" l="1"/>
  <c r="D832" i="37"/>
  <c r="U1595" i="14"/>
  <c r="V1595" i="14"/>
  <c r="W1594" i="14"/>
  <c r="U1596" i="14" l="1"/>
  <c r="D833" i="37"/>
  <c r="V1596" i="14"/>
  <c r="W1595" i="14"/>
  <c r="T1605" i="14"/>
  <c r="T1606" i="14" l="1"/>
  <c r="U1597" i="14"/>
  <c r="V1597" i="14"/>
  <c r="D834" i="37"/>
  <c r="W1596" i="14"/>
  <c r="U1598" i="14" l="1"/>
  <c r="D835" i="37"/>
  <c r="V1598" i="14"/>
  <c r="W1597" i="14"/>
  <c r="T1607" i="14"/>
  <c r="T1608" i="14" l="1"/>
  <c r="U1599" i="14"/>
  <c r="D836" i="37"/>
  <c r="V1599" i="14"/>
  <c r="W1598" i="14"/>
  <c r="B1598" i="14" s="1"/>
  <c r="V1600" i="14" l="1"/>
  <c r="D837" i="37"/>
  <c r="U1600" i="14"/>
  <c r="W1599" i="14"/>
  <c r="T1609" i="14"/>
  <c r="T1610" i="14" l="1"/>
  <c r="U1601" i="14"/>
  <c r="D838" i="37"/>
  <c r="V1601" i="14"/>
  <c r="W1600" i="14"/>
  <c r="V1602" i="14" l="1"/>
  <c r="U1602" i="14"/>
  <c r="D839" i="37"/>
  <c r="W1601" i="14"/>
  <c r="T1611" i="14"/>
  <c r="T1612" i="14" l="1"/>
  <c r="U1603" i="14"/>
  <c r="V1603" i="14"/>
  <c r="D840" i="37"/>
  <c r="W1602" i="14"/>
  <c r="V1604" i="14" l="1"/>
  <c r="D841" i="37"/>
  <c r="U1604" i="14"/>
  <c r="W1603" i="14"/>
  <c r="T1613" i="14"/>
  <c r="T1614" i="14" l="1"/>
  <c r="D842" i="37"/>
  <c r="V1605" i="14"/>
  <c r="U1605" i="14"/>
  <c r="W1604" i="14"/>
  <c r="D843" i="37" l="1"/>
  <c r="V1606" i="14"/>
  <c r="U1606" i="14"/>
  <c r="W1605" i="14"/>
  <c r="B1605" i="14" s="1"/>
  <c r="T1615" i="14"/>
  <c r="T1616" i="14" l="1"/>
  <c r="D844" i="37"/>
  <c r="V1607" i="14"/>
  <c r="U1607" i="14"/>
  <c r="W1606" i="14"/>
  <c r="V1608" i="14" l="1"/>
  <c r="D845" i="37"/>
  <c r="U1608" i="14"/>
  <c r="W1607" i="14"/>
  <c r="T1617" i="14"/>
  <c r="T1618" i="14" l="1"/>
  <c r="V1609" i="14"/>
  <c r="U1609" i="14"/>
  <c r="D846" i="37"/>
  <c r="W1608" i="14"/>
  <c r="D847" i="37" l="1"/>
  <c r="U1610" i="14"/>
  <c r="V1610" i="14"/>
  <c r="W1609" i="14"/>
  <c r="T1619" i="14"/>
  <c r="T1620" i="14" l="1"/>
  <c r="U1611" i="14"/>
  <c r="V1611" i="14"/>
  <c r="D848" i="37"/>
  <c r="W1610" i="14"/>
  <c r="D849" i="37" l="1"/>
  <c r="U1612" i="14"/>
  <c r="V1612" i="14"/>
  <c r="W1611" i="14"/>
  <c r="T1621" i="14"/>
  <c r="T1622" i="14" l="1"/>
  <c r="D850" i="37"/>
  <c r="U1613" i="14"/>
  <c r="V1613" i="14"/>
  <c r="W1612" i="14"/>
  <c r="B1612" i="14" s="1"/>
  <c r="V1614" i="14" l="1"/>
  <c r="D851" i="37"/>
  <c r="U1614" i="14"/>
  <c r="W1613" i="14"/>
  <c r="T1623" i="14"/>
  <c r="T1624" i="14" l="1"/>
  <c r="U1615" i="14"/>
  <c r="V1615" i="14"/>
  <c r="D852" i="37"/>
  <c r="W1614" i="14"/>
  <c r="D853" i="37" l="1"/>
  <c r="U1616" i="14"/>
  <c r="V1616" i="14"/>
  <c r="W1615" i="14"/>
  <c r="T1625" i="14"/>
  <c r="T1626" i="14" l="1"/>
  <c r="V1617" i="14"/>
  <c r="D854" i="37"/>
  <c r="U1617" i="14"/>
  <c r="W1616" i="14"/>
  <c r="V1618" i="14" l="1"/>
  <c r="D855" i="37"/>
  <c r="U1618" i="14"/>
  <c r="W1617" i="14"/>
  <c r="T1627" i="14"/>
  <c r="T1628" i="14" l="1"/>
  <c r="V1619" i="14"/>
  <c r="U1619" i="14"/>
  <c r="D856" i="37"/>
  <c r="W1618" i="14"/>
  <c r="D857" i="37" l="1"/>
  <c r="V1620" i="14"/>
  <c r="U1620" i="14"/>
  <c r="W1619" i="14"/>
  <c r="B1619" i="14" s="1"/>
  <c r="T1629" i="14"/>
  <c r="T1630" i="14" l="1"/>
  <c r="U1621" i="14"/>
  <c r="V1621" i="14"/>
  <c r="D858" i="37"/>
  <c r="W1620" i="14"/>
  <c r="V1622" i="14" l="1"/>
  <c r="D859" i="37"/>
  <c r="U1622" i="14"/>
  <c r="W1621" i="14"/>
  <c r="T1631" i="14"/>
  <c r="T1632" i="14" l="1"/>
  <c r="V1623" i="14"/>
  <c r="U1623" i="14"/>
  <c r="D860" i="37"/>
  <c r="W1622" i="14"/>
  <c r="U1624" i="14" l="1"/>
  <c r="D861" i="37"/>
  <c r="V1624" i="14"/>
  <c r="W1623" i="14"/>
  <c r="T1633" i="14"/>
  <c r="T1634" i="14" l="1"/>
  <c r="U1625" i="14"/>
  <c r="D862" i="37"/>
  <c r="V1625" i="14"/>
  <c r="W1624" i="14"/>
  <c r="D863" i="37" l="1"/>
  <c r="U1626" i="14"/>
  <c r="V1626" i="14"/>
  <c r="W1625" i="14"/>
  <c r="T1635" i="14"/>
  <c r="T1636" i="14" l="1"/>
  <c r="U1627" i="14"/>
  <c r="V1627" i="14"/>
  <c r="D864" i="37"/>
  <c r="W1626" i="14"/>
  <c r="B1626" i="14" s="1"/>
  <c r="V1628" i="14" l="1"/>
  <c r="U1628" i="14"/>
  <c r="D865" i="37"/>
  <c r="W1627" i="14"/>
  <c r="T1637" i="14"/>
  <c r="T1638" i="14" l="1"/>
  <c r="U1629" i="14"/>
  <c r="D866" i="37"/>
  <c r="V1629" i="14"/>
  <c r="W1628" i="14"/>
  <c r="D867" i="37" l="1"/>
  <c r="V1630" i="14"/>
  <c r="U1630" i="14"/>
  <c r="W1629" i="14"/>
  <c r="T1639" i="14"/>
  <c r="T1640" i="14" l="1"/>
  <c r="V1631" i="14"/>
  <c r="D868" i="37"/>
  <c r="U1631" i="14"/>
  <c r="W1630" i="14"/>
  <c r="D869" i="37" l="1"/>
  <c r="U1632" i="14"/>
  <c r="V1632" i="14"/>
  <c r="W1631" i="14"/>
  <c r="T1641" i="14"/>
  <c r="T1642" i="14" l="1"/>
  <c r="D870" i="37"/>
  <c r="U1633" i="14"/>
  <c r="V1633" i="14"/>
  <c r="W1632" i="14"/>
  <c r="D871" i="37" l="1"/>
  <c r="U1634" i="14"/>
  <c r="V1634" i="14"/>
  <c r="W1633" i="14"/>
  <c r="B1633" i="14" s="1"/>
  <c r="T1643" i="14"/>
  <c r="T1644" i="14" l="1"/>
  <c r="U1635" i="14"/>
  <c r="D872" i="37"/>
  <c r="V1635" i="14"/>
  <c r="W1634" i="14"/>
  <c r="U1636" i="14" l="1"/>
  <c r="V1636" i="14"/>
  <c r="D873" i="37"/>
  <c r="W1635" i="14"/>
  <c r="T1645" i="14"/>
  <c r="T1646" i="14" l="1"/>
  <c r="U1637" i="14"/>
  <c r="V1637" i="14"/>
  <c r="D874" i="37"/>
  <c r="W1636" i="14"/>
  <c r="U1638" i="14" l="1"/>
  <c r="V1638" i="14"/>
  <c r="D875" i="37"/>
  <c r="W1637" i="14"/>
  <c r="T1647" i="14"/>
  <c r="T1648" i="14" l="1"/>
  <c r="V1639" i="14"/>
  <c r="D876" i="37"/>
  <c r="U1639" i="14"/>
  <c r="W1638" i="14"/>
  <c r="D877" i="37" l="1"/>
  <c r="V1640" i="14"/>
  <c r="U1640" i="14"/>
  <c r="W1639" i="14"/>
  <c r="T1649" i="14"/>
  <c r="T1650" i="14" l="1"/>
  <c r="V1641" i="14"/>
  <c r="D878" i="37"/>
  <c r="U1641" i="14"/>
  <c r="W1640" i="14"/>
  <c r="B1640" i="14" s="1"/>
  <c r="V1642" i="14" l="1"/>
  <c r="U1642" i="14"/>
  <c r="D879" i="37"/>
  <c r="W1641" i="14"/>
  <c r="T1651" i="14"/>
  <c r="T1652" i="14" l="1"/>
  <c r="V1643" i="14"/>
  <c r="U1643" i="14"/>
  <c r="D880" i="37"/>
  <c r="W1642" i="14"/>
  <c r="D881" i="37" l="1"/>
  <c r="V1644" i="14"/>
  <c r="U1644" i="14"/>
  <c r="W1643" i="14"/>
  <c r="T1653" i="14"/>
  <c r="T1654" i="14" l="1"/>
  <c r="U1645" i="14"/>
  <c r="D882" i="37"/>
  <c r="V1645" i="14"/>
  <c r="W1644" i="14"/>
  <c r="U1646" i="14" l="1"/>
  <c r="D883" i="37"/>
  <c r="V1646" i="14"/>
  <c r="W1645" i="14"/>
  <c r="T1655" i="14"/>
  <c r="T1656" i="14" l="1"/>
  <c r="U1647" i="14"/>
  <c r="V1647" i="14"/>
  <c r="D884" i="37"/>
  <c r="W1646" i="14"/>
  <c r="D885" i="37" l="1"/>
  <c r="U1648" i="14"/>
  <c r="V1648" i="14"/>
  <c r="W1647" i="14"/>
  <c r="B1647" i="14" s="1"/>
  <c r="T1657" i="14"/>
  <c r="T1658" i="14" l="1"/>
  <c r="U1649" i="14"/>
  <c r="D886" i="37"/>
  <c r="V1649" i="14"/>
  <c r="W1648" i="14"/>
  <c r="D887" i="37" l="1"/>
  <c r="V1650" i="14"/>
  <c r="U1650" i="14"/>
  <c r="W1649" i="14"/>
  <c r="T1659" i="14"/>
  <c r="T1660" i="14" l="1"/>
  <c r="U1651" i="14"/>
  <c r="D888" i="37"/>
  <c r="V1651" i="14"/>
  <c r="W1650" i="14"/>
  <c r="D889" i="37" l="1"/>
  <c r="U1652" i="14"/>
  <c r="V1652" i="14"/>
  <c r="W1651" i="14"/>
  <c r="T1661" i="14"/>
  <c r="T1662" i="14" l="1"/>
  <c r="V1653" i="14"/>
  <c r="U1653" i="14"/>
  <c r="D890" i="37"/>
  <c r="W1652" i="14"/>
  <c r="U1654" i="14" l="1"/>
  <c r="V1654" i="14"/>
  <c r="D891" i="37"/>
  <c r="W1653" i="14"/>
  <c r="T1663" i="14"/>
  <c r="T1664" i="14" l="1"/>
  <c r="U1655" i="14"/>
  <c r="V1655" i="14"/>
  <c r="D892" i="37"/>
  <c r="W1654" i="14"/>
  <c r="B1654" i="14" s="1"/>
  <c r="D893" i="37" l="1"/>
  <c r="U1656" i="14"/>
  <c r="V1656" i="14"/>
  <c r="W1655" i="14"/>
  <c r="T1665" i="14"/>
  <c r="T1666" i="14" l="1"/>
  <c r="V1657" i="14"/>
  <c r="D894" i="37"/>
  <c r="U1657" i="14"/>
  <c r="W1656" i="14"/>
  <c r="D895" i="37" l="1"/>
  <c r="V1658" i="14"/>
  <c r="U1658" i="14"/>
  <c r="W1657" i="14"/>
  <c r="T1667" i="14"/>
  <c r="T1668" i="14" l="1"/>
  <c r="V1659" i="14"/>
  <c r="D896" i="37"/>
  <c r="U1659" i="14"/>
  <c r="W1658" i="14"/>
  <c r="U1660" i="14" l="1"/>
  <c r="V1660" i="14"/>
  <c r="D897" i="37"/>
  <c r="W1659" i="14"/>
  <c r="T1669" i="14"/>
  <c r="T1670" i="14" l="1"/>
  <c r="V1661" i="14"/>
  <c r="D898" i="37"/>
  <c r="U1661" i="14"/>
  <c r="W1660" i="14"/>
  <c r="U1662" i="14" l="1"/>
  <c r="D899" i="37"/>
  <c r="V1662" i="14"/>
  <c r="W1661" i="14"/>
  <c r="B1661" i="14" s="1"/>
  <c r="T1671" i="14"/>
  <c r="T1672" i="14" l="1"/>
  <c r="D900" i="37"/>
  <c r="V1663" i="14"/>
  <c r="U1663" i="14"/>
  <c r="W1662" i="14"/>
  <c r="V1664" i="14" l="1"/>
  <c r="U1664" i="14"/>
  <c r="D901" i="37"/>
  <c r="W1663" i="14"/>
  <c r="T1673" i="14"/>
  <c r="T1674" i="14" l="1"/>
  <c r="U1665" i="14"/>
  <c r="D902" i="37"/>
  <c r="V1665" i="14"/>
  <c r="W1664" i="14"/>
  <c r="D903" i="37" l="1"/>
  <c r="V1666" i="14"/>
  <c r="U1666" i="14"/>
  <c r="W1665" i="14"/>
  <c r="T1675" i="14"/>
  <c r="D904" i="37" l="1"/>
  <c r="U1667" i="14"/>
  <c r="V1667" i="14"/>
  <c r="W1666" i="14"/>
  <c r="T1676" i="14"/>
  <c r="T1677" i="14" l="1"/>
  <c r="D905" i="37"/>
  <c r="V1668" i="14"/>
  <c r="U1668" i="14"/>
  <c r="W1667" i="14"/>
  <c r="D906" i="37" l="1"/>
  <c r="V1669" i="14"/>
  <c r="U1669" i="14"/>
  <c r="W1668" i="14"/>
  <c r="B1668" i="14" s="1"/>
  <c r="T1678" i="14"/>
  <c r="T1679" i="14" l="1"/>
  <c r="V1670" i="14"/>
  <c r="D907" i="37"/>
  <c r="U1670" i="14"/>
  <c r="W1669" i="14"/>
  <c r="V1671" i="14" l="1"/>
  <c r="U1671" i="14"/>
  <c r="D908" i="37"/>
  <c r="W1670" i="14"/>
  <c r="T1680" i="14"/>
  <c r="T1681" i="14" l="1"/>
  <c r="U1672" i="14"/>
  <c r="D909" i="37"/>
  <c r="V1672" i="14"/>
  <c r="W1671" i="14"/>
  <c r="V1673" i="14" l="1"/>
  <c r="U1673" i="14"/>
  <c r="D910" i="37"/>
  <c r="W1672" i="14"/>
  <c r="T1682" i="14"/>
  <c r="T1683" i="14" l="1"/>
  <c r="D911" i="37"/>
  <c r="U1674" i="14"/>
  <c r="V1674" i="14"/>
  <c r="W1673" i="14"/>
  <c r="D912" i="37" l="1"/>
  <c r="V1675" i="14"/>
  <c r="U1675" i="14"/>
  <c r="W1674" i="14"/>
  <c r="T1684" i="14"/>
  <c r="T1685" i="14" l="1"/>
  <c r="D913" i="37"/>
  <c r="U1676" i="14"/>
  <c r="V1676" i="14"/>
  <c r="W1675" i="14"/>
  <c r="B1675" i="14" s="1"/>
  <c r="U1677" i="14" l="1"/>
  <c r="D914" i="37"/>
  <c r="V1677" i="14"/>
  <c r="W1676" i="14"/>
  <c r="T1686" i="14"/>
  <c r="T1687" i="14" l="1"/>
  <c r="D915" i="37"/>
  <c r="U1678" i="14"/>
  <c r="V1678" i="14"/>
  <c r="W1677" i="14"/>
  <c r="U1679" i="14" l="1"/>
  <c r="V1679" i="14"/>
  <c r="D916" i="37"/>
  <c r="W1678" i="14"/>
  <c r="T1688" i="14"/>
  <c r="T1689" i="14" l="1"/>
  <c r="D917" i="37"/>
  <c r="V1680" i="14"/>
  <c r="U1680" i="14"/>
  <c r="W1679" i="14"/>
  <c r="T1690" i="14" l="1"/>
  <c r="V1681" i="14"/>
  <c r="U1681" i="14"/>
  <c r="D918" i="37"/>
  <c r="W1680" i="14"/>
  <c r="D919" i="37" l="1"/>
  <c r="U1682" i="14"/>
  <c r="V1682" i="14"/>
  <c r="W1681" i="14"/>
  <c r="T1691" i="14"/>
  <c r="U1683" i="14" l="1"/>
  <c r="D920" i="37"/>
  <c r="V1683" i="14"/>
  <c r="W1682" i="14"/>
  <c r="B1682" i="14" s="1"/>
  <c r="T1692" i="14"/>
  <c r="T1693" i="14" l="1"/>
  <c r="D921" i="37"/>
  <c r="V1684" i="14"/>
  <c r="U1684" i="14"/>
  <c r="W1683" i="14"/>
  <c r="U1685" i="14" l="1"/>
  <c r="D922" i="37"/>
  <c r="V1685" i="14"/>
  <c r="W1684" i="14"/>
  <c r="T1694" i="14"/>
  <c r="T1695" i="14" l="1"/>
  <c r="D923" i="37"/>
  <c r="V1686" i="14"/>
  <c r="U1686" i="14"/>
  <c r="W1685" i="14"/>
  <c r="U1687" i="14" l="1"/>
  <c r="V1687" i="14"/>
  <c r="D924" i="37"/>
  <c r="W1686" i="14"/>
  <c r="T1696" i="14"/>
  <c r="T1697" i="14" l="1"/>
  <c r="D925" i="37"/>
  <c r="V1688" i="14"/>
  <c r="U1688" i="14"/>
  <c r="W1687" i="14"/>
  <c r="V1689" i="14" l="1"/>
  <c r="U1689" i="14"/>
  <c r="D926" i="37"/>
  <c r="W1688" i="14"/>
  <c r="T1698" i="14"/>
  <c r="T1699" i="14" l="1"/>
  <c r="V1690" i="14"/>
  <c r="D927" i="37"/>
  <c r="U1690" i="14"/>
  <c r="W1689" i="14"/>
  <c r="B1689" i="14" s="1"/>
  <c r="V1691" i="14" l="1"/>
  <c r="U1691" i="14"/>
  <c r="D928" i="37"/>
  <c r="W1690" i="14"/>
  <c r="T1700" i="14"/>
  <c r="T1701" i="14" l="1"/>
  <c r="V1692" i="14"/>
  <c r="U1692" i="14"/>
  <c r="D929" i="37"/>
  <c r="W1691" i="14"/>
  <c r="U1693" i="14" l="1"/>
  <c r="V1693" i="14"/>
  <c r="D930" i="37"/>
  <c r="W1692" i="14"/>
  <c r="T1702" i="14"/>
  <c r="T1703" i="14" l="1"/>
  <c r="U1694" i="14"/>
  <c r="D931" i="37"/>
  <c r="V1694" i="14"/>
  <c r="W1693" i="14"/>
  <c r="V1695" i="14" l="1"/>
  <c r="U1695" i="14"/>
  <c r="D932" i="37"/>
  <c r="W1694" i="14"/>
  <c r="T1704" i="14"/>
  <c r="T1705" i="14" l="1"/>
  <c r="D933" i="37"/>
  <c r="U1696" i="14"/>
  <c r="V1696" i="14"/>
  <c r="W1695" i="14"/>
  <c r="U1697" i="14" l="1"/>
  <c r="D934" i="37"/>
  <c r="V1697" i="14"/>
  <c r="W1696" i="14"/>
  <c r="B1696" i="14" s="1"/>
  <c r="T1706" i="14"/>
  <c r="T1707" i="14" l="1"/>
  <c r="V1698" i="14"/>
  <c r="U1698" i="14"/>
  <c r="D935" i="37"/>
  <c r="W1697" i="14"/>
  <c r="D936" i="37" l="1"/>
  <c r="U1699" i="14"/>
  <c r="V1699" i="14"/>
  <c r="W1698" i="14"/>
  <c r="T1708" i="14"/>
  <c r="T1709" i="14" l="1"/>
  <c r="V1700" i="14"/>
  <c r="U1700" i="14"/>
  <c r="D937" i="37"/>
  <c r="W1699" i="14"/>
  <c r="D938" i="37" l="1"/>
  <c r="U1701" i="14"/>
  <c r="V1701" i="14"/>
  <c r="W1700" i="14"/>
  <c r="T1710" i="14"/>
  <c r="T1711" i="14" l="1"/>
  <c r="V1702" i="14"/>
  <c r="D939" i="37"/>
  <c r="U1702" i="14"/>
  <c r="W1701" i="14"/>
  <c r="U1703" i="14" l="1"/>
  <c r="D940" i="37"/>
  <c r="V1703" i="14"/>
  <c r="W1702" i="14"/>
  <c r="T1712" i="14"/>
  <c r="T1713" i="14" l="1"/>
  <c r="U1704" i="14"/>
  <c r="V1704" i="14"/>
  <c r="D941" i="37"/>
  <c r="W1703" i="14"/>
  <c r="B1703" i="14" s="1"/>
  <c r="V1705" i="14" l="1"/>
  <c r="D942" i="37"/>
  <c r="U1705" i="14"/>
  <c r="W1704" i="14"/>
  <c r="T1714" i="14"/>
  <c r="T1715" i="14" l="1"/>
  <c r="V1706" i="14"/>
  <c r="D943" i="37"/>
  <c r="U1706" i="14"/>
  <c r="W1705" i="14"/>
  <c r="U1707" i="14" l="1"/>
  <c r="V1707" i="14"/>
  <c r="D944" i="37"/>
  <c r="W1706" i="14"/>
  <c r="T1716" i="14"/>
  <c r="D945" i="37" l="1"/>
  <c r="U1708" i="14"/>
  <c r="V1708" i="14"/>
  <c r="W1707" i="14"/>
  <c r="T1717" i="14"/>
  <c r="T1718" i="14" l="1"/>
  <c r="V1709" i="14"/>
  <c r="D946" i="37"/>
  <c r="U1709" i="14"/>
  <c r="W1708" i="14"/>
  <c r="U1710" i="14" l="1"/>
  <c r="D947" i="37"/>
  <c r="V1710" i="14"/>
  <c r="W1709" i="14"/>
  <c r="T1719" i="14"/>
  <c r="T1720" i="14" l="1"/>
  <c r="D948" i="37"/>
  <c r="U1711" i="14"/>
  <c r="V1711" i="14"/>
  <c r="W1710" i="14"/>
  <c r="B1710" i="14" s="1"/>
  <c r="D949" i="37" l="1"/>
  <c r="V1712" i="14"/>
  <c r="U1712" i="14"/>
  <c r="W1711" i="14"/>
  <c r="T1721" i="14"/>
  <c r="T1722" i="14" l="1"/>
  <c r="D950" i="37"/>
  <c r="U1713" i="14"/>
  <c r="V1713" i="14"/>
  <c r="W1712" i="14"/>
  <c r="D951" i="37" l="1"/>
  <c r="V1714" i="14"/>
  <c r="U1714" i="14"/>
  <c r="W1713" i="14"/>
  <c r="T1723" i="14"/>
  <c r="T1724" i="14" l="1"/>
  <c r="U1715" i="14"/>
  <c r="D952" i="37"/>
  <c r="V1715" i="14"/>
  <c r="W1714" i="14"/>
  <c r="D953" i="37" l="1"/>
  <c r="V1716" i="14"/>
  <c r="U1716" i="14"/>
  <c r="W1715" i="14"/>
  <c r="T1725" i="14"/>
  <c r="T1726" i="14" l="1"/>
  <c r="U1717" i="14"/>
  <c r="V1717" i="14"/>
  <c r="D954" i="37"/>
  <c r="W1716" i="14"/>
  <c r="D955" i="37" l="1"/>
  <c r="U1718" i="14"/>
  <c r="V1718" i="14"/>
  <c r="W1717" i="14"/>
  <c r="B1717" i="14" s="1"/>
  <c r="T1727" i="14"/>
  <c r="T1728" i="14" l="1"/>
  <c r="U1719" i="14"/>
  <c r="D956" i="37"/>
  <c r="V1719" i="14"/>
  <c r="W1718" i="14"/>
  <c r="D957" i="37" l="1"/>
  <c r="U1720" i="14"/>
  <c r="V1720" i="14"/>
  <c r="W1719" i="14"/>
  <c r="T1729" i="14"/>
  <c r="T1730" i="14" l="1"/>
  <c r="D958" i="37"/>
  <c r="V1721" i="14"/>
  <c r="U1721" i="14"/>
  <c r="W1720" i="14"/>
  <c r="U1722" i="14" l="1"/>
  <c r="D959" i="37"/>
  <c r="V1722" i="14"/>
  <c r="W1721" i="14"/>
  <c r="T1731" i="14"/>
  <c r="T1732" i="14" l="1"/>
  <c r="V1723" i="14"/>
  <c r="U1723" i="14"/>
  <c r="D960" i="37"/>
  <c r="W1722" i="14"/>
  <c r="D961" i="37" l="1"/>
  <c r="U1724" i="14"/>
  <c r="V1724" i="14"/>
  <c r="W1723" i="14"/>
  <c r="T1733" i="14"/>
  <c r="T1734" i="14" l="1"/>
  <c r="U1725" i="14"/>
  <c r="D962" i="37"/>
  <c r="V1725" i="14"/>
  <c r="W1724" i="14"/>
  <c r="B1724" i="14" s="1"/>
  <c r="V1726" i="14" l="1"/>
  <c r="U1726" i="14"/>
  <c r="D963" i="37"/>
  <c r="W1725" i="14"/>
  <c r="T1735" i="14"/>
  <c r="T1736" i="14" l="1"/>
  <c r="U1727" i="14"/>
  <c r="V1727" i="14"/>
  <c r="D964" i="37"/>
  <c r="W1726" i="14"/>
  <c r="D965" i="37" l="1"/>
  <c r="V1728" i="14"/>
  <c r="U1728" i="14"/>
  <c r="W1727" i="14"/>
  <c r="T1737" i="14"/>
  <c r="T1738" i="14" l="1"/>
  <c r="D966" i="37"/>
  <c r="V1729" i="14"/>
  <c r="U1729" i="14"/>
  <c r="W1728" i="14"/>
  <c r="V1730" i="14" l="1"/>
  <c r="U1730" i="14"/>
  <c r="D967" i="37"/>
  <c r="W1729" i="14"/>
  <c r="T1739" i="14"/>
  <c r="T1740" i="14" l="1"/>
  <c r="D968" i="37"/>
  <c r="U1731" i="14"/>
  <c r="V1731" i="14"/>
  <c r="W1730" i="14"/>
  <c r="D969" i="37" l="1"/>
  <c r="V1732" i="14"/>
  <c r="U1732" i="14"/>
  <c r="W1731" i="14"/>
  <c r="B1731" i="14" s="1"/>
  <c r="T1741" i="14"/>
  <c r="T1742" i="14" l="1"/>
  <c r="U1733" i="14"/>
  <c r="D970" i="37"/>
  <c r="V1733" i="14"/>
  <c r="W1732" i="14"/>
  <c r="U1734" i="14" l="1"/>
  <c r="V1734" i="14"/>
  <c r="D971" i="37"/>
  <c r="W1733" i="14"/>
  <c r="T1743" i="14"/>
  <c r="U1735" i="14" l="1"/>
  <c r="D972" i="37"/>
  <c r="V1735" i="14"/>
  <c r="W1734" i="14"/>
  <c r="T1744" i="14"/>
  <c r="T1745" i="14" l="1"/>
  <c r="D973" i="37"/>
  <c r="V1736" i="14"/>
  <c r="U1736" i="14"/>
  <c r="W1735" i="14"/>
  <c r="V1737" i="14" l="1"/>
  <c r="D974" i="37"/>
  <c r="U1737" i="14"/>
  <c r="W1736" i="14"/>
  <c r="T1746" i="14"/>
  <c r="T1747" i="14" l="1"/>
  <c r="U1738" i="14"/>
  <c r="V1738" i="14"/>
  <c r="D975" i="37"/>
  <c r="W1737" i="14"/>
  <c r="V1739" i="14" l="1"/>
  <c r="U1739" i="14"/>
  <c r="D976" i="37"/>
  <c r="W1738" i="14"/>
  <c r="B1738" i="14" s="1"/>
  <c r="T1748" i="14"/>
  <c r="T1749" i="14" l="1"/>
  <c r="V1740" i="14"/>
  <c r="U1740" i="14"/>
  <c r="D977" i="37"/>
  <c r="W1739" i="14"/>
  <c r="D978" i="37" l="1"/>
  <c r="V1741" i="14"/>
  <c r="U1741" i="14"/>
  <c r="W1740" i="14"/>
  <c r="T1750" i="14"/>
  <c r="T1751" i="14" l="1"/>
  <c r="U1742" i="14"/>
  <c r="V1742" i="14"/>
  <c r="D979" i="37"/>
  <c r="W1741" i="14"/>
  <c r="D980" i="37" l="1"/>
  <c r="U1743" i="14"/>
  <c r="V1743" i="14"/>
  <c r="W1742" i="14"/>
  <c r="T1752" i="14"/>
  <c r="T1753" i="14" l="1"/>
  <c r="V1744" i="14"/>
  <c r="U1744" i="14"/>
  <c r="D981" i="37"/>
  <c r="W1743" i="14"/>
  <c r="U1745" i="14" l="1"/>
  <c r="V1745" i="14"/>
  <c r="D982" i="37"/>
  <c r="W1744" i="14"/>
  <c r="T1754" i="14"/>
  <c r="T1755" i="14" l="1"/>
  <c r="V1746" i="14"/>
  <c r="U1746" i="14"/>
  <c r="D983" i="37"/>
  <c r="W1745" i="14"/>
  <c r="B1745" i="14" s="1"/>
  <c r="U1747" i="14" l="1"/>
  <c r="D984" i="37"/>
  <c r="V1747" i="14"/>
  <c r="W1746" i="14"/>
  <c r="T1756" i="14"/>
  <c r="T1757" i="14" l="1"/>
  <c r="U1748" i="14"/>
  <c r="V1748" i="14"/>
  <c r="D985" i="37"/>
  <c r="W1747" i="14"/>
  <c r="D986" i="37" l="1"/>
  <c r="U1749" i="14"/>
  <c r="V1749" i="14"/>
  <c r="W1748" i="14"/>
  <c r="T1758" i="14"/>
  <c r="T1759" i="14" l="1"/>
  <c r="U1750" i="14"/>
  <c r="V1750" i="14"/>
  <c r="D987" i="37"/>
  <c r="W1749" i="14"/>
  <c r="U1751" i="14" l="1"/>
  <c r="V1751" i="14"/>
  <c r="D988" i="37"/>
  <c r="W1750" i="14"/>
  <c r="T1760" i="14"/>
  <c r="T1761" i="14" l="1"/>
  <c r="D989" i="37"/>
  <c r="U1752" i="14"/>
  <c r="V1752" i="14"/>
  <c r="W1751" i="14"/>
  <c r="V1753" i="14" l="1"/>
  <c r="D990" i="37"/>
  <c r="U1753" i="14"/>
  <c r="W1752" i="14"/>
  <c r="B1752" i="14" s="1"/>
  <c r="T1762" i="14"/>
  <c r="T1763" i="14" l="1"/>
  <c r="V1754" i="14"/>
  <c r="D991" i="37"/>
  <c r="U1754" i="14"/>
  <c r="W1753" i="14"/>
  <c r="V1755" i="14" l="1"/>
  <c r="U1755" i="14"/>
  <c r="D992" i="37"/>
  <c r="W1754" i="14"/>
  <c r="T1764" i="14"/>
  <c r="T1765" i="14" l="1"/>
  <c r="U1756" i="14"/>
  <c r="D993" i="37"/>
  <c r="V1756" i="14"/>
  <c r="W1755" i="14"/>
  <c r="U1757" i="14" l="1"/>
  <c r="D994" i="37"/>
  <c r="V1757" i="14"/>
  <c r="W1756" i="14"/>
  <c r="T1766" i="14"/>
  <c r="T1767" i="14" l="1"/>
  <c r="D995" i="37"/>
  <c r="U1758" i="14"/>
  <c r="V1758" i="14"/>
  <c r="W1757" i="14"/>
  <c r="V1759" i="14" l="1"/>
  <c r="D996" i="37"/>
  <c r="U1759" i="14"/>
  <c r="W1758" i="14"/>
  <c r="T1768" i="14"/>
  <c r="T1769" i="14" l="1"/>
  <c r="D997" i="37"/>
  <c r="V1760" i="14"/>
  <c r="U1760" i="14"/>
  <c r="W1759" i="14"/>
  <c r="B1759" i="14" s="1"/>
  <c r="V1761" i="14" l="1"/>
  <c r="D998" i="37"/>
  <c r="U1761" i="14"/>
  <c r="W1760" i="14"/>
  <c r="T1770" i="14"/>
  <c r="T1771" i="14" l="1"/>
  <c r="V1762" i="14"/>
  <c r="D999" i="37"/>
  <c r="U1762" i="14"/>
  <c r="W1761" i="14"/>
  <c r="U1763" i="14" l="1"/>
  <c r="V1763" i="14"/>
  <c r="D1000" i="37"/>
  <c r="W1762" i="14"/>
  <c r="T1772" i="14"/>
  <c r="T1773" i="14" l="1"/>
  <c r="U1764" i="14"/>
  <c r="D1001" i="37"/>
  <c r="V1764" i="14"/>
  <c r="W1763" i="14"/>
  <c r="D1002" i="37" l="1"/>
  <c r="U1765" i="14"/>
  <c r="V1765" i="14"/>
  <c r="W1764" i="14"/>
  <c r="T1774" i="14"/>
  <c r="T1775" i="14" l="1"/>
  <c r="U1766" i="14"/>
  <c r="D1003" i="37"/>
  <c r="V1766" i="14"/>
  <c r="W1765" i="14"/>
  <c r="V1767" i="14" l="1"/>
  <c r="U1767" i="14"/>
  <c r="D1004" i="37"/>
  <c r="W1766" i="14"/>
  <c r="B1766" i="14" s="1"/>
  <c r="T1776" i="14"/>
  <c r="T1777" i="14" l="1"/>
  <c r="U1768" i="14"/>
  <c r="D1005" i="37"/>
  <c r="V1768" i="14"/>
  <c r="W1767" i="14"/>
  <c r="U1769" i="14" l="1"/>
  <c r="D1006" i="37"/>
  <c r="V1769" i="14"/>
  <c r="W1768" i="14"/>
  <c r="T1778" i="14"/>
  <c r="T1779" i="14" l="1"/>
  <c r="V1770" i="14"/>
  <c r="D1007" i="37"/>
  <c r="U1770" i="14"/>
  <c r="W1769" i="14"/>
  <c r="U1771" i="14" l="1"/>
  <c r="V1771" i="14"/>
  <c r="D1008" i="37"/>
  <c r="W1770" i="14"/>
  <c r="T1780" i="14"/>
  <c r="T1781" i="14" l="1"/>
  <c r="V1772" i="14"/>
  <c r="U1772" i="14"/>
  <c r="D1009" i="37"/>
  <c r="W1771" i="14"/>
  <c r="V1773" i="14" l="1"/>
  <c r="U1773" i="14"/>
  <c r="D1010" i="37"/>
  <c r="W1772" i="14"/>
  <c r="T1782" i="14"/>
  <c r="T1783" i="14" l="1"/>
  <c r="U1774" i="14"/>
  <c r="V1774" i="14"/>
  <c r="D1011" i="37"/>
  <c r="W1773" i="14"/>
  <c r="B1773" i="14" s="1"/>
  <c r="D1012" i="37" l="1"/>
  <c r="V1775" i="14"/>
  <c r="U1775" i="14"/>
  <c r="W1774" i="14"/>
  <c r="T1784" i="14"/>
  <c r="T1785" i="14" l="1"/>
  <c r="V1776" i="14"/>
  <c r="U1776" i="14"/>
  <c r="D1013" i="37"/>
  <c r="W1775" i="14"/>
  <c r="U1777" i="14" l="1"/>
  <c r="D1014" i="37"/>
  <c r="V1777" i="14"/>
  <c r="W1776" i="14"/>
  <c r="T1786" i="14"/>
  <c r="T1787" i="14" l="1"/>
  <c r="D1015" i="37"/>
  <c r="V1778" i="14"/>
  <c r="U1778" i="14"/>
  <c r="W1777" i="14"/>
  <c r="D1016" i="37" l="1"/>
  <c r="V1779" i="14"/>
  <c r="U1779" i="14"/>
  <c r="W1778" i="14"/>
  <c r="T1788" i="14"/>
  <c r="T1789" i="14" l="1"/>
  <c r="D1017" i="37"/>
  <c r="U1780" i="14"/>
  <c r="V1780" i="14"/>
  <c r="W1779" i="14"/>
  <c r="U1781" i="14" l="1"/>
  <c r="D1018" i="37"/>
  <c r="V1781" i="14"/>
  <c r="W1780" i="14"/>
  <c r="B1780" i="14" s="1"/>
  <c r="T1790" i="14"/>
  <c r="T1791" i="14" l="1"/>
  <c r="U1782" i="14"/>
  <c r="D1019" i="37"/>
  <c r="V1782" i="14"/>
  <c r="W1781" i="14"/>
  <c r="U1783" i="14" l="1"/>
  <c r="V1783" i="14"/>
  <c r="D1020" i="37"/>
  <c r="W1782" i="14"/>
  <c r="T1792" i="14"/>
  <c r="T1793" i="14" l="1"/>
  <c r="V1784" i="14"/>
  <c r="U1784" i="14"/>
  <c r="D1021" i="37"/>
  <c r="W1783" i="14"/>
  <c r="D1022" i="37" l="1"/>
  <c r="U1785" i="14"/>
  <c r="V1785" i="14"/>
  <c r="W1784" i="14"/>
  <c r="T1794" i="14"/>
  <c r="T1795" i="14" l="1"/>
  <c r="V1786" i="14"/>
  <c r="D1023" i="37"/>
  <c r="U1786" i="14"/>
  <c r="W1785" i="14"/>
  <c r="V1787" i="14" l="1"/>
  <c r="D1024" i="37"/>
  <c r="U1787" i="14"/>
  <c r="W1786" i="14"/>
  <c r="T1796" i="14"/>
  <c r="T1797" i="14" l="1"/>
  <c r="U1788" i="14"/>
  <c r="V1788" i="14"/>
  <c r="D1025" i="37"/>
  <c r="W1787" i="14"/>
  <c r="B1787" i="14" s="1"/>
  <c r="U1789" i="14" l="1"/>
  <c r="V1789" i="14"/>
  <c r="D1026" i="37"/>
  <c r="W1788" i="14"/>
  <c r="T1798" i="14"/>
  <c r="T1799" i="14" l="1"/>
  <c r="U1790" i="14"/>
  <c r="V1790" i="14"/>
  <c r="D1027" i="37"/>
  <c r="W1789" i="14"/>
  <c r="V1791" i="14" l="1"/>
  <c r="U1791" i="14"/>
  <c r="D1028" i="37"/>
  <c r="W1790" i="14"/>
  <c r="T1800" i="14"/>
  <c r="D1029" i="37" l="1"/>
  <c r="V1792" i="14"/>
  <c r="U1792" i="14"/>
  <c r="W1791" i="14"/>
  <c r="T1801" i="14"/>
  <c r="T1802" i="14" l="1"/>
  <c r="U1793" i="14"/>
  <c r="D1030" i="37"/>
  <c r="V1793" i="14"/>
  <c r="W1792" i="14"/>
  <c r="U1794" i="14" l="1"/>
  <c r="D1031" i="37"/>
  <c r="V1794" i="14"/>
  <c r="W1793" i="14"/>
  <c r="T1803" i="14"/>
  <c r="T1804" i="14" l="1"/>
  <c r="D1032" i="37"/>
  <c r="U1795" i="14"/>
  <c r="V1795" i="14"/>
  <c r="W1794" i="14"/>
  <c r="B1794" i="14" s="1"/>
  <c r="U1796" i="14" l="1"/>
  <c r="V1796" i="14"/>
  <c r="D1033" i="37"/>
  <c r="W1795" i="14"/>
  <c r="T1805" i="14"/>
  <c r="T1806" i="14" l="1"/>
  <c r="U1797" i="14"/>
  <c r="D1034" i="37"/>
  <c r="V1797" i="14"/>
  <c r="W1796" i="14"/>
  <c r="D1035" i="37" l="1"/>
  <c r="U1798" i="14"/>
  <c r="V1798" i="14"/>
  <c r="W1797" i="14"/>
  <c r="T1807" i="14"/>
  <c r="T1808" i="14" l="1"/>
  <c r="D1036" i="37"/>
  <c r="U1799" i="14"/>
  <c r="V1799" i="14"/>
  <c r="W1798" i="14"/>
  <c r="D1037" i="37" l="1"/>
  <c r="U1800" i="14"/>
  <c r="V1800" i="14"/>
  <c r="W1799" i="14"/>
  <c r="T1809" i="14"/>
  <c r="T1810" i="14" l="1"/>
  <c r="V1801" i="14"/>
  <c r="D1038" i="37"/>
  <c r="U1801" i="14"/>
  <c r="W1800" i="14"/>
  <c r="U1802" i="14" l="1"/>
  <c r="D1039" i="37"/>
  <c r="V1802" i="14"/>
  <c r="W1801" i="14"/>
  <c r="B1801" i="14" s="1"/>
  <c r="T1811" i="14"/>
  <c r="T1812" i="14" l="1"/>
  <c r="U1803" i="14"/>
  <c r="V1803" i="14"/>
  <c r="D1040" i="37"/>
  <c r="W1802" i="14"/>
  <c r="D1041" i="37" l="1"/>
  <c r="V1804" i="14"/>
  <c r="U1804" i="14"/>
  <c r="W1803" i="14"/>
  <c r="T1813" i="14"/>
  <c r="T1814" i="14" l="1"/>
  <c r="D1042" i="37"/>
  <c r="U1805" i="14"/>
  <c r="V1805" i="14"/>
  <c r="W1804" i="14"/>
  <c r="U1806" i="14" l="1"/>
  <c r="V1806" i="14"/>
  <c r="D1043" i="37"/>
  <c r="W1805" i="14"/>
  <c r="T1815" i="14"/>
  <c r="T1816" i="14" l="1"/>
  <c r="U1807" i="14"/>
  <c r="V1807" i="14"/>
  <c r="D1044" i="37"/>
  <c r="W1806" i="14"/>
  <c r="D1045" i="37" l="1"/>
  <c r="V1808" i="14"/>
  <c r="U1808" i="14"/>
  <c r="W1807" i="14"/>
  <c r="T1817" i="14"/>
  <c r="T1818" i="14" l="1"/>
  <c r="V1809" i="14"/>
  <c r="U1809" i="14"/>
  <c r="D1046" i="37"/>
  <c r="W1808" i="14"/>
  <c r="B1808" i="14" s="1"/>
  <c r="D1047" i="37" l="1"/>
  <c r="U1810" i="14"/>
  <c r="V1810" i="14"/>
  <c r="W1809" i="14"/>
  <c r="T1819" i="14"/>
  <c r="T1820" i="14" l="1"/>
  <c r="V1811" i="14"/>
  <c r="D1048" i="37"/>
  <c r="U1811" i="14"/>
  <c r="W1810" i="14"/>
  <c r="V1812" i="14" l="1"/>
  <c r="U1812" i="14"/>
  <c r="D1049" i="37"/>
  <c r="W1811" i="14"/>
  <c r="T1821" i="14"/>
  <c r="T1822" i="14" l="1"/>
  <c r="U1813" i="14"/>
  <c r="D1050" i="37"/>
  <c r="V1813" i="14"/>
  <c r="W1812" i="14"/>
  <c r="U1814" i="14" l="1"/>
  <c r="D1051" i="37"/>
  <c r="V1814" i="14"/>
  <c r="W1813" i="14"/>
  <c r="T1823" i="14"/>
  <c r="T1824" i="14" l="1"/>
  <c r="V1815" i="14"/>
  <c r="D1052" i="37"/>
  <c r="U1815" i="14"/>
  <c r="W1814" i="14"/>
  <c r="T1825" i="14" l="1"/>
  <c r="U1816" i="14"/>
  <c r="V1816" i="14"/>
  <c r="D1053" i="37"/>
  <c r="W1815" i="14"/>
  <c r="B1815" i="14" s="1"/>
  <c r="V1817" i="14" l="1"/>
  <c r="U1817" i="14"/>
  <c r="D1054" i="37"/>
  <c r="W1816" i="14"/>
  <c r="T1826" i="14"/>
  <c r="T1827" i="14" l="1"/>
  <c r="U1818" i="14"/>
  <c r="V1818" i="14"/>
  <c r="D1055" i="37"/>
  <c r="W1817" i="14"/>
  <c r="U1819" i="14" l="1"/>
  <c r="V1819" i="14"/>
  <c r="D1056" i="37"/>
  <c r="W1818" i="14"/>
  <c r="T1828" i="14"/>
  <c r="T1829" i="14" l="1"/>
  <c r="D1057" i="37"/>
  <c r="V1820" i="14"/>
  <c r="U1820" i="14"/>
  <c r="W1819" i="14"/>
  <c r="D1058" i="37" l="1"/>
  <c r="V1821" i="14"/>
  <c r="U1821" i="14"/>
  <c r="W1820" i="14"/>
  <c r="T1830" i="14"/>
  <c r="T1831" i="14" l="1"/>
  <c r="D1059" i="37"/>
  <c r="V1822" i="14"/>
  <c r="U1822" i="14"/>
  <c r="W1821" i="14"/>
  <c r="V1823" i="14" l="1"/>
  <c r="U1823" i="14"/>
  <c r="D1060" i="37"/>
  <c r="W1822" i="14"/>
  <c r="B1822" i="14" s="1"/>
  <c r="T1832" i="14"/>
  <c r="T1833" i="14" l="1"/>
  <c r="U1824" i="14"/>
  <c r="D1061" i="37"/>
  <c r="V1824" i="14"/>
  <c r="W1823" i="14"/>
  <c r="D1062" i="37" l="1"/>
  <c r="U1825" i="14"/>
  <c r="V1825" i="14"/>
  <c r="W1824" i="14"/>
  <c r="T1834" i="14"/>
  <c r="T1835" i="14" l="1"/>
  <c r="V1826" i="14"/>
  <c r="D1063" i="37"/>
  <c r="U1826" i="14"/>
  <c r="W1825" i="14"/>
  <c r="U1827" i="14" l="1"/>
  <c r="D1064" i="37"/>
  <c r="V1827" i="14"/>
  <c r="W1826" i="14"/>
  <c r="T1836" i="14"/>
  <c r="T1837" i="14" l="1"/>
  <c r="D1065" i="37"/>
  <c r="U1828" i="14"/>
  <c r="V1828" i="14"/>
  <c r="W1827" i="14"/>
  <c r="D1066" i="37" l="1"/>
  <c r="V1829" i="14"/>
  <c r="U1829" i="14"/>
  <c r="W1828" i="14"/>
  <c r="T1838" i="14"/>
  <c r="T1839" i="14" l="1"/>
  <c r="D1067" i="37"/>
  <c r="U1830" i="14"/>
  <c r="V1830" i="14"/>
  <c r="W1829" i="14"/>
  <c r="B1829" i="14" s="1"/>
  <c r="U1831" i="14" l="1"/>
  <c r="V1831" i="14"/>
  <c r="D1068" i="37"/>
  <c r="W1830" i="14"/>
  <c r="T1840" i="14"/>
  <c r="T1841" i="14" l="1"/>
  <c r="V1832" i="14"/>
  <c r="U1832" i="14"/>
  <c r="D1069" i="37"/>
  <c r="W1831" i="14"/>
  <c r="V1833" i="14" l="1"/>
  <c r="U1833" i="14"/>
  <c r="D1070" i="37"/>
  <c r="W1832" i="14"/>
  <c r="T1842" i="14"/>
  <c r="T1843" i="14" l="1"/>
  <c r="D1071" i="37"/>
  <c r="V1834" i="14"/>
  <c r="U1834" i="14"/>
  <c r="W1833" i="14"/>
  <c r="U1835" i="14" l="1"/>
  <c r="D1072" i="37"/>
  <c r="V1835" i="14"/>
  <c r="W1834" i="14"/>
  <c r="T1844" i="14"/>
  <c r="T1845" i="14" l="1"/>
  <c r="U1836" i="14"/>
  <c r="V1836" i="14"/>
  <c r="D1073" i="37"/>
  <c r="W1835" i="14"/>
  <c r="V1837" i="14" l="1"/>
  <c r="D1074" i="37"/>
  <c r="U1837" i="14"/>
  <c r="W1836" i="14"/>
  <c r="B1833" i="14" s="1"/>
  <c r="T1846" i="14"/>
  <c r="D1075" i="37" l="1"/>
  <c r="U1838" i="14"/>
  <c r="V1838" i="14"/>
  <c r="W1837" i="14"/>
  <c r="T1847" i="14"/>
  <c r="T1848" i="14" l="1"/>
  <c r="D1076" i="37"/>
  <c r="V1839" i="14"/>
  <c r="U1839" i="14"/>
  <c r="W1838" i="14"/>
  <c r="V1840" i="14" l="1"/>
  <c r="U1840" i="14"/>
  <c r="D1077" i="37"/>
  <c r="W1839" i="14"/>
  <c r="T1849" i="14"/>
  <c r="T1850" i="14" l="1"/>
  <c r="V1841" i="14"/>
  <c r="D1078" i="37"/>
  <c r="U1841" i="14"/>
  <c r="W1840" i="14"/>
  <c r="V1842" i="14" l="1"/>
  <c r="D1079" i="37"/>
  <c r="U1842" i="14"/>
  <c r="W1841" i="14"/>
  <c r="T1851" i="14"/>
  <c r="T1852" i="14" l="1"/>
  <c r="D1080" i="37"/>
  <c r="U1843" i="14"/>
  <c r="V1843" i="14"/>
  <c r="W1842" i="14"/>
  <c r="D1081" i="37" l="1"/>
  <c r="V1844" i="14"/>
  <c r="U1844" i="14"/>
  <c r="W1843" i="14"/>
  <c r="B1840" i="14" s="1"/>
  <c r="T1853" i="14"/>
  <c r="T1854" i="14" l="1"/>
  <c r="D1082" i="37"/>
  <c r="V1845" i="14"/>
  <c r="U1845" i="14"/>
  <c r="W1844" i="14"/>
  <c r="V1846" i="14" l="1"/>
  <c r="U1846" i="14"/>
  <c r="D1083" i="37"/>
  <c r="W1845" i="14"/>
  <c r="T1855" i="14"/>
  <c r="T1856" i="14" l="1"/>
  <c r="V1847" i="14"/>
  <c r="D1084" i="37"/>
  <c r="U1847" i="14"/>
  <c r="W1846" i="14"/>
  <c r="V1848" i="14" l="1"/>
  <c r="U1848" i="14"/>
  <c r="D1085" i="37"/>
  <c r="W1847" i="14"/>
  <c r="T1857" i="14"/>
  <c r="V1849" i="14" l="1"/>
  <c r="D1086" i="37"/>
  <c r="U1849" i="14"/>
  <c r="W1848" i="14"/>
  <c r="T1858" i="14"/>
  <c r="T1859" i="14" l="1"/>
  <c r="V1850" i="14"/>
  <c r="U1850" i="14"/>
  <c r="D1087" i="37"/>
  <c r="W1849" i="14"/>
  <c r="V1851" i="14" l="1"/>
  <c r="D1088" i="37"/>
  <c r="U1851" i="14"/>
  <c r="W1850" i="14"/>
  <c r="B1847" i="14" s="1"/>
  <c r="T1860" i="14"/>
  <c r="T1861" i="14" l="1"/>
  <c r="U1852" i="14"/>
  <c r="D1089" i="37"/>
  <c r="V1852" i="14"/>
  <c r="W1851" i="14"/>
  <c r="T1862" i="14" l="1"/>
  <c r="D1090" i="37"/>
  <c r="V1853" i="14"/>
  <c r="U1853" i="14"/>
  <c r="W1852" i="14"/>
  <c r="V1854" i="14" l="1"/>
  <c r="D1091" i="37"/>
  <c r="U1854" i="14"/>
  <c r="W1853" i="14"/>
  <c r="T1863" i="14"/>
  <c r="T1864" i="14" l="1"/>
  <c r="V1855" i="14"/>
  <c r="D1092" i="37"/>
  <c r="U1855" i="14"/>
  <c r="W1854" i="14"/>
  <c r="U1856" i="14" l="1"/>
  <c r="D1093" i="37"/>
  <c r="V1856" i="14"/>
  <c r="W1855" i="14"/>
  <c r="T1865" i="14"/>
  <c r="T1866" i="14" l="1"/>
  <c r="V1857" i="14"/>
  <c r="D1094" i="37"/>
  <c r="U1857" i="14"/>
  <c r="W1856" i="14"/>
  <c r="U1858" i="14" l="1"/>
  <c r="V1858" i="14"/>
  <c r="D1095" i="37"/>
  <c r="W1857" i="14"/>
  <c r="B1854" i="14" s="1"/>
  <c r="T1867" i="14"/>
  <c r="T1868" i="14" l="1"/>
  <c r="D1096" i="37"/>
  <c r="V1859" i="14"/>
  <c r="U1859" i="14"/>
  <c r="W1858" i="14"/>
  <c r="V1860" i="14" l="1"/>
  <c r="D1097" i="37"/>
  <c r="U1860" i="14"/>
  <c r="W1859" i="14"/>
  <c r="T1869" i="14"/>
  <c r="T1870" i="14" l="1"/>
  <c r="V1861" i="14"/>
  <c r="U1861" i="14"/>
  <c r="D1098" i="37"/>
  <c r="W1860" i="14"/>
  <c r="U1862" i="14" l="1"/>
  <c r="V1862" i="14"/>
  <c r="D1099" i="37"/>
  <c r="W1861" i="14"/>
  <c r="T1871" i="14"/>
  <c r="T1872" i="14" l="1"/>
  <c r="V1863" i="14"/>
  <c r="U1863" i="14"/>
  <c r="D1100" i="37"/>
  <c r="W1862" i="14"/>
  <c r="D1101" i="37" l="1"/>
  <c r="U1864" i="14"/>
  <c r="V1864" i="14"/>
  <c r="W1863" i="14"/>
  <c r="T1873" i="14"/>
  <c r="T1874" i="14" l="1"/>
  <c r="V1865" i="14"/>
  <c r="D1102" i="37"/>
  <c r="U1865" i="14"/>
  <c r="W1864" i="14"/>
  <c r="B1861" i="14" s="1"/>
  <c r="D1103" i="37" l="1"/>
  <c r="U1866" i="14"/>
  <c r="V1866" i="14"/>
  <c r="W1865" i="14"/>
  <c r="T1875" i="14"/>
  <c r="T1876" i="14" l="1"/>
  <c r="U1867" i="14"/>
  <c r="D1104" i="37"/>
  <c r="V1867" i="14"/>
  <c r="W1866" i="14"/>
  <c r="U1868" i="14" l="1"/>
  <c r="D1105" i="37"/>
  <c r="V1868" i="14"/>
  <c r="W1867" i="14"/>
  <c r="T1877" i="14"/>
  <c r="T1878" i="14" l="1"/>
  <c r="D1106" i="37"/>
  <c r="U1869" i="14"/>
  <c r="V1869" i="14"/>
  <c r="W1868" i="14"/>
  <c r="U1870" i="14" l="1"/>
  <c r="D1107" i="37"/>
  <c r="V1870" i="14"/>
  <c r="W1869" i="14"/>
  <c r="T1879" i="14"/>
  <c r="T1880" i="14" l="1"/>
  <c r="V1871" i="14"/>
  <c r="D1108" i="37"/>
  <c r="U1871" i="14"/>
  <c r="W1870" i="14"/>
  <c r="D1109" i="37" l="1"/>
  <c r="V1872" i="14"/>
  <c r="U1872" i="14"/>
  <c r="W1871" i="14"/>
  <c r="B1868" i="14" s="1"/>
  <c r="T1881" i="14"/>
  <c r="T1882" i="14" l="1"/>
  <c r="V1873" i="14"/>
  <c r="D1110" i="37"/>
  <c r="U1873" i="14"/>
  <c r="W1872" i="14"/>
  <c r="T1883" i="14" l="1"/>
  <c r="V1874" i="14"/>
  <c r="U1874" i="14"/>
  <c r="D1111" i="37"/>
  <c r="W1873" i="14"/>
  <c r="D1112" i="37" l="1"/>
  <c r="V1875" i="14"/>
  <c r="U1875" i="14"/>
  <c r="W1874" i="14"/>
  <c r="T1884" i="14"/>
  <c r="T1885" i="14" l="1"/>
  <c r="U1876" i="14"/>
  <c r="V1876" i="14"/>
  <c r="D1113" i="37"/>
  <c r="W1875" i="14"/>
  <c r="U1877" i="14" l="1"/>
  <c r="V1877" i="14"/>
  <c r="D1114" i="37"/>
  <c r="W1876" i="14"/>
  <c r="T1886" i="14"/>
  <c r="T1887" i="14" l="1"/>
  <c r="D1115" i="37"/>
  <c r="V1878" i="14"/>
  <c r="U1878" i="14"/>
  <c r="W1877" i="14"/>
  <c r="V1879" i="14" l="1"/>
  <c r="U1879" i="14"/>
  <c r="D1116" i="37"/>
  <c r="W1878" i="14"/>
  <c r="B1875" i="14" s="1"/>
  <c r="T1888" i="14"/>
  <c r="T1889" i="14" l="1"/>
  <c r="U1880" i="14"/>
  <c r="V1880" i="14"/>
  <c r="D1117" i="37"/>
  <c r="W1879" i="14"/>
  <c r="V1881" i="14" l="1"/>
  <c r="U1881" i="14"/>
  <c r="D1118" i="37"/>
  <c r="W1880" i="14"/>
  <c r="T1890" i="14"/>
  <c r="T1891" i="14" l="1"/>
  <c r="V1882" i="14"/>
  <c r="D1119" i="37"/>
  <c r="U1882" i="14"/>
  <c r="W1881" i="14"/>
  <c r="D1120" i="37" l="1"/>
  <c r="U1883" i="14"/>
  <c r="V1883" i="14"/>
  <c r="W1882" i="14"/>
  <c r="T1892" i="14"/>
  <c r="U1884" i="14" l="1"/>
  <c r="D1121" i="37"/>
  <c r="V1884" i="14"/>
  <c r="W1883" i="14"/>
  <c r="T1893" i="14"/>
  <c r="T1894" i="14" l="1"/>
  <c r="V1885" i="14"/>
  <c r="D1122" i="37"/>
  <c r="U1885" i="14"/>
  <c r="W1884" i="14"/>
  <c r="D1123" i="37" l="1"/>
  <c r="V1886" i="14"/>
  <c r="U1886" i="14"/>
  <c r="W1885" i="14"/>
  <c r="B1882" i="14" s="1"/>
  <c r="T1895" i="14"/>
  <c r="T1896" i="14" l="1"/>
  <c r="V1887" i="14"/>
  <c r="U1887" i="14"/>
  <c r="D1124" i="37"/>
  <c r="W1886" i="14"/>
  <c r="V1888" i="14" l="1"/>
  <c r="U1888" i="14"/>
  <c r="D1125" i="37"/>
  <c r="W1887" i="14"/>
  <c r="T1897" i="14"/>
  <c r="T1898" i="14" l="1"/>
  <c r="D1126" i="37"/>
  <c r="U1889" i="14"/>
  <c r="V1889" i="14"/>
  <c r="W1888" i="14"/>
  <c r="D1127" i="37" l="1"/>
  <c r="V1890" i="14"/>
  <c r="U1890" i="14"/>
  <c r="W1889" i="14"/>
  <c r="T1899" i="14"/>
  <c r="T1900" i="14" l="1"/>
  <c r="V1891" i="14"/>
  <c r="D1128" i="37"/>
  <c r="U1891" i="14"/>
  <c r="W1890" i="14"/>
  <c r="D1129" i="37" l="1"/>
  <c r="V1892" i="14"/>
  <c r="U1892" i="14"/>
  <c r="W1891" i="14"/>
  <c r="T1901" i="14"/>
  <c r="T1902" i="14" l="1"/>
  <c r="V1893" i="14"/>
  <c r="U1893" i="14"/>
  <c r="D1130" i="37"/>
  <c r="W1892" i="14"/>
  <c r="B1889" i="14" s="1"/>
  <c r="U1894" i="14" l="1"/>
  <c r="D1131" i="37"/>
  <c r="V1894" i="14"/>
  <c r="W1893" i="14"/>
  <c r="T1903" i="14"/>
  <c r="T1904" i="14" l="1"/>
  <c r="D1132" i="37"/>
  <c r="V1895" i="14"/>
  <c r="U1895" i="14"/>
  <c r="W1894" i="14"/>
  <c r="V1896" i="14" l="1"/>
  <c r="U1896" i="14"/>
  <c r="D1133" i="37"/>
  <c r="W1895" i="14"/>
  <c r="T1905" i="14"/>
  <c r="T1906" i="14" l="1"/>
  <c r="D1134" i="37"/>
  <c r="V1897" i="14"/>
  <c r="U1897" i="14"/>
  <c r="W1896" i="14"/>
  <c r="V1898" i="14" l="1"/>
  <c r="D1135" i="37"/>
  <c r="U1898" i="14"/>
  <c r="W1897" i="14"/>
  <c r="T1907" i="14"/>
  <c r="T1908" i="14" l="1"/>
  <c r="V1899" i="14"/>
  <c r="D1136" i="37"/>
  <c r="U1899" i="14"/>
  <c r="W1898" i="14"/>
  <c r="U1900" i="14" l="1"/>
  <c r="V1900" i="14"/>
  <c r="D1137" i="37"/>
  <c r="W1899" i="14"/>
  <c r="B1896" i="14" s="1"/>
  <c r="T1909" i="14"/>
  <c r="T1910" i="14" l="1"/>
  <c r="D1138" i="37"/>
  <c r="V1901" i="14"/>
  <c r="U1901" i="14"/>
  <c r="W1900" i="14"/>
  <c r="V1902" i="14" l="1"/>
  <c r="U1902" i="14"/>
  <c r="D1139" i="37"/>
  <c r="W1901" i="14"/>
  <c r="T1911" i="14"/>
  <c r="T1912" i="14" l="1"/>
  <c r="V1903" i="14"/>
  <c r="D1140" i="37"/>
  <c r="U1903" i="14"/>
  <c r="W1902" i="14"/>
  <c r="V1904" i="14" l="1"/>
  <c r="D1141" i="37"/>
  <c r="U1904" i="14"/>
  <c r="W1903" i="14"/>
  <c r="T1913" i="14"/>
  <c r="T1914" i="14" l="1"/>
  <c r="V1905" i="14"/>
  <c r="U1905" i="14"/>
  <c r="D1142" i="37"/>
  <c r="W1904" i="14"/>
  <c r="D1143" i="37" l="1"/>
  <c r="U1906" i="14"/>
  <c r="V1906" i="14"/>
  <c r="W1905" i="14"/>
  <c r="T1915" i="14"/>
  <c r="T1916" i="14" l="1"/>
  <c r="V1907" i="14"/>
  <c r="D1144" i="37"/>
  <c r="U1907" i="14"/>
  <c r="W1906" i="14"/>
  <c r="B1903" i="14" s="1"/>
  <c r="U1908" i="14" l="1"/>
  <c r="V1908" i="14"/>
  <c r="D1145" i="37"/>
  <c r="W1907" i="14"/>
  <c r="T1917" i="14"/>
  <c r="T1918" i="14" l="1"/>
  <c r="D1146" i="37"/>
  <c r="U1909" i="14"/>
  <c r="V1909" i="14"/>
  <c r="W1908" i="14"/>
  <c r="D1147" i="37" l="1"/>
  <c r="U1910" i="14"/>
  <c r="V1910" i="14"/>
  <c r="W1909" i="14"/>
  <c r="T1919" i="14"/>
  <c r="D1148" i="37" l="1"/>
  <c r="U1911" i="14"/>
  <c r="V1911" i="14"/>
  <c r="W1910" i="14"/>
  <c r="T1920" i="14"/>
  <c r="T1921" i="14" l="1"/>
  <c r="U1912" i="14"/>
  <c r="D1149" i="37"/>
  <c r="V1912" i="14"/>
  <c r="W1911" i="14"/>
  <c r="V1913" i="14" l="1"/>
  <c r="U1913" i="14"/>
  <c r="D1150" i="37"/>
  <c r="W1912" i="14"/>
  <c r="T1922" i="14"/>
  <c r="T1923" i="14" l="1"/>
  <c r="U1914" i="14"/>
  <c r="V1914" i="14"/>
  <c r="D1151" i="37"/>
  <c r="W1913" i="14"/>
  <c r="B1910" i="14" s="1"/>
  <c r="U1915" i="14" l="1"/>
  <c r="V1915" i="14"/>
  <c r="D1152" i="37"/>
  <c r="W1914" i="14"/>
  <c r="T1924" i="14"/>
  <c r="T1925" i="14" l="1"/>
  <c r="V1916" i="14"/>
  <c r="U1916" i="14"/>
  <c r="D1153" i="37"/>
  <c r="W1915" i="14"/>
  <c r="V1917" i="14" l="1"/>
  <c r="U1917" i="14"/>
  <c r="D1154" i="37"/>
  <c r="W1916" i="14"/>
  <c r="T1926" i="14"/>
  <c r="T1927" i="14" l="1"/>
  <c r="U1918" i="14"/>
  <c r="D1155" i="37"/>
  <c r="V1918" i="14"/>
  <c r="W1917" i="14"/>
  <c r="V1919" i="14" l="1"/>
  <c r="D1156" i="37"/>
  <c r="U1919" i="14"/>
  <c r="W1918" i="14"/>
  <c r="T1928" i="14"/>
  <c r="T1929" i="14" l="1"/>
  <c r="U1920" i="14"/>
  <c r="V1920" i="14"/>
  <c r="D1157" i="37"/>
  <c r="W1919" i="14"/>
  <c r="V1921" i="14" l="1"/>
  <c r="D1158" i="37"/>
  <c r="U1921" i="14"/>
  <c r="W1920" i="14"/>
  <c r="B1917" i="14" s="1"/>
  <c r="T1930" i="14"/>
  <c r="T1931" i="14" l="1"/>
  <c r="U1922" i="14"/>
  <c r="D1159" i="37"/>
  <c r="V1922" i="14"/>
  <c r="W1921" i="14"/>
  <c r="D1160" i="37" l="1"/>
  <c r="U1923" i="14"/>
  <c r="V1923" i="14"/>
  <c r="W1922" i="14"/>
  <c r="T1932" i="14"/>
  <c r="T1933" i="14" l="1"/>
  <c r="V1924" i="14"/>
  <c r="D1161" i="37"/>
  <c r="U1924" i="14"/>
  <c r="W1923" i="14"/>
  <c r="D1162" i="37" l="1"/>
  <c r="U1925" i="14"/>
  <c r="V1925" i="14"/>
  <c r="W1924" i="14"/>
  <c r="T1934" i="14"/>
  <c r="T1935" i="14" l="1"/>
  <c r="U1926" i="14"/>
  <c r="D1163" i="37"/>
  <c r="V1926" i="14"/>
  <c r="W1925" i="14"/>
  <c r="V1927" i="14" l="1"/>
  <c r="U1927" i="14"/>
  <c r="D1164" i="37"/>
  <c r="W1926" i="14"/>
  <c r="T1936" i="14"/>
  <c r="T1937" i="14" l="1"/>
  <c r="U1928" i="14"/>
  <c r="D1165" i="37"/>
  <c r="V1928" i="14"/>
  <c r="W1927" i="14"/>
  <c r="B1924" i="14" s="1"/>
  <c r="V1929" i="14" l="1"/>
  <c r="D1166" i="37"/>
  <c r="U1929" i="14"/>
  <c r="W1928" i="14"/>
  <c r="T1938" i="14"/>
  <c r="T1939" i="14" l="1"/>
  <c r="D1167" i="37"/>
  <c r="U1930" i="14"/>
  <c r="V1930" i="14"/>
  <c r="W1929" i="14"/>
  <c r="D1168" i="37" l="1"/>
  <c r="V1931" i="14"/>
  <c r="U1931" i="14"/>
  <c r="W1930" i="14"/>
  <c r="T1940" i="14"/>
  <c r="T1941" i="14" l="1"/>
  <c r="U1932" i="14"/>
  <c r="V1932" i="14"/>
  <c r="D1169" i="37"/>
  <c r="W1931" i="14"/>
  <c r="V1933" i="14" l="1"/>
  <c r="D1170" i="37"/>
  <c r="U1933" i="14"/>
  <c r="W1932" i="14"/>
  <c r="T1942" i="14"/>
  <c r="T1943" i="14" l="1"/>
  <c r="U1934" i="14"/>
  <c r="D1171" i="37"/>
  <c r="V1934" i="14"/>
  <c r="W1933" i="14"/>
  <c r="U1935" i="14" l="1"/>
  <c r="D1172" i="37"/>
  <c r="V1935" i="14"/>
  <c r="W1934" i="14"/>
  <c r="B1931" i="14" s="1"/>
  <c r="T1944" i="14"/>
  <c r="T1945" i="14" l="1"/>
  <c r="V1936" i="14"/>
  <c r="U1936" i="14"/>
  <c r="D1173" i="37"/>
  <c r="W1935" i="14"/>
  <c r="D1174" i="37" l="1"/>
  <c r="U1937" i="14"/>
  <c r="V1937" i="14"/>
  <c r="W1936" i="14"/>
  <c r="T1946" i="14"/>
  <c r="D1175" i="37" l="1"/>
  <c r="U1938" i="14"/>
  <c r="V1938" i="14"/>
  <c r="W1937" i="14"/>
  <c r="T1947" i="14"/>
  <c r="T1948" i="14" l="1"/>
  <c r="D1176" i="37"/>
  <c r="U1939" i="14"/>
  <c r="V1939" i="14"/>
  <c r="W1938" i="14"/>
  <c r="U1940" i="14" l="1"/>
  <c r="D1177" i="37"/>
  <c r="V1940" i="14"/>
  <c r="W1939" i="14"/>
  <c r="T1949" i="14"/>
  <c r="T1950" i="14" l="1"/>
  <c r="V1941" i="14"/>
  <c r="D1178" i="37"/>
  <c r="U1941" i="14"/>
  <c r="W1940" i="14"/>
  <c r="U1942" i="14" l="1"/>
  <c r="D1179" i="37"/>
  <c r="V1942" i="14"/>
  <c r="W1941" i="14"/>
  <c r="B1938" i="14" s="1"/>
  <c r="T1951" i="14"/>
  <c r="T1952" i="14" l="1"/>
  <c r="D1180" i="37"/>
  <c r="U1943" i="14"/>
  <c r="V1943" i="14"/>
  <c r="W1942" i="14"/>
  <c r="U1944" i="14" l="1"/>
  <c r="V1944" i="14"/>
  <c r="D1181" i="37"/>
  <c r="W1943" i="14"/>
  <c r="T1953" i="14"/>
  <c r="T1954" i="14" l="1"/>
  <c r="U1945" i="14"/>
  <c r="V1945" i="14"/>
  <c r="D1182" i="37"/>
  <c r="W1944" i="14"/>
  <c r="U1946" i="14" l="1"/>
  <c r="V1946" i="14"/>
  <c r="D1183" i="37"/>
  <c r="W1945" i="14"/>
  <c r="T1955" i="14"/>
  <c r="T1956" i="14" l="1"/>
  <c r="V1947" i="14"/>
  <c r="D1184" i="37"/>
  <c r="U1947" i="14"/>
  <c r="W1946" i="14"/>
  <c r="V1948" i="14" l="1"/>
  <c r="U1948" i="14"/>
  <c r="D1185" i="37"/>
  <c r="W1947" i="14"/>
  <c r="T1957" i="14"/>
  <c r="T1958" i="14" l="1"/>
  <c r="V1949" i="14"/>
  <c r="U1949" i="14"/>
  <c r="D1186" i="37"/>
  <c r="W1948" i="14"/>
  <c r="B1945" i="14" s="1"/>
  <c r="V1950" i="14" l="1"/>
  <c r="D1187" i="37"/>
  <c r="U1950" i="14"/>
  <c r="W1949" i="14"/>
  <c r="T1959" i="14"/>
  <c r="T1960" i="14" l="1"/>
  <c r="V1951" i="14"/>
  <c r="U1951" i="14"/>
  <c r="D1188" i="37"/>
  <c r="W1950" i="14"/>
  <c r="U1952" i="14" l="1"/>
  <c r="D1189" i="37"/>
  <c r="V1952" i="14"/>
  <c r="W1951" i="14"/>
  <c r="T1961" i="14"/>
  <c r="D1190" i="37" l="1"/>
  <c r="U1953" i="14"/>
  <c r="V1953" i="14"/>
  <c r="W1952" i="14"/>
  <c r="T1962" i="14"/>
  <c r="T1963" i="14" l="1"/>
  <c r="U1954" i="14"/>
  <c r="D1191" i="37"/>
  <c r="V1954" i="14"/>
  <c r="W1953" i="14"/>
  <c r="V1955" i="14" l="1"/>
  <c r="U1955" i="14"/>
  <c r="D1192" i="37"/>
  <c r="W1954" i="14"/>
  <c r="T1964" i="14"/>
  <c r="T1965" i="14" l="1"/>
  <c r="D1193" i="37"/>
  <c r="V1956" i="14"/>
  <c r="U1956" i="14"/>
  <c r="W1955" i="14"/>
  <c r="B1952" i="14" s="1"/>
  <c r="U1957" i="14" l="1"/>
  <c r="D1194" i="37"/>
  <c r="V1957" i="14"/>
  <c r="W1956" i="14"/>
  <c r="T1966" i="14"/>
  <c r="T1967" i="14" l="1"/>
  <c r="U1958" i="14"/>
  <c r="V1958" i="14"/>
  <c r="D1195" i="37"/>
  <c r="W1957" i="14"/>
  <c r="D1196" i="37" l="1"/>
  <c r="V1959" i="14"/>
  <c r="U1959" i="14"/>
  <c r="W1958" i="14"/>
  <c r="T1968" i="14"/>
  <c r="T1969" i="14" l="1"/>
  <c r="D1197" i="37"/>
  <c r="V1960" i="14"/>
  <c r="U1960" i="14"/>
  <c r="W1959" i="14"/>
  <c r="V1961" i="14" l="1"/>
  <c r="D1198" i="37"/>
  <c r="U1961" i="14"/>
  <c r="W1960" i="14"/>
  <c r="T1970" i="14"/>
  <c r="T1971" i="14" l="1"/>
  <c r="U1962" i="14"/>
  <c r="V1962" i="14"/>
  <c r="D1199" i="37"/>
  <c r="W1961" i="14"/>
  <c r="V1963" i="14" l="1"/>
  <c r="D1200" i="37"/>
  <c r="U1963" i="14"/>
  <c r="W1962" i="14"/>
  <c r="B1959" i="14" s="1"/>
  <c r="T1972" i="14"/>
  <c r="T1973" i="14" l="1"/>
  <c r="D1201" i="37"/>
  <c r="U1964" i="14"/>
  <c r="V1964" i="14"/>
  <c r="W1963" i="14"/>
  <c r="V1965" i="14" l="1"/>
  <c r="D1202" i="37"/>
  <c r="U1965" i="14"/>
  <c r="W1964" i="14"/>
  <c r="T1974" i="14"/>
  <c r="T1975" i="14" l="1"/>
  <c r="U1966" i="14"/>
  <c r="D1203" i="37"/>
  <c r="V1966" i="14"/>
  <c r="W1965" i="14"/>
  <c r="U1967" i="14" l="1"/>
  <c r="V1967" i="14"/>
  <c r="D1204" i="37"/>
  <c r="W1966" i="14"/>
  <c r="T1976" i="14"/>
  <c r="T1977" i="14" l="1"/>
  <c r="D1205" i="37"/>
  <c r="V1968" i="14"/>
  <c r="U1968" i="14"/>
  <c r="W1967" i="14"/>
  <c r="V1969" i="14" l="1"/>
  <c r="D1206" i="37"/>
  <c r="U1969" i="14"/>
  <c r="W1968" i="14"/>
  <c r="T1978" i="14"/>
  <c r="T1979" i="14" l="1"/>
  <c r="V1970" i="14"/>
  <c r="D1207" i="37"/>
  <c r="U1970" i="14"/>
  <c r="W1969" i="14"/>
  <c r="B1966" i="14" s="1"/>
  <c r="D1208" i="37" l="1"/>
  <c r="U1971" i="14"/>
  <c r="V1971" i="14"/>
  <c r="W1970" i="14"/>
  <c r="T1980" i="14"/>
  <c r="D1209" i="37" l="1"/>
  <c r="V1972" i="14"/>
  <c r="U1972" i="14"/>
  <c r="W1971" i="14"/>
  <c r="T1981" i="14"/>
  <c r="T1982" i="14" l="1"/>
  <c r="U1973" i="14"/>
  <c r="D1210" i="37"/>
  <c r="V1973" i="14"/>
  <c r="W1972" i="14"/>
  <c r="D1211" i="37" l="1"/>
  <c r="V1974" i="14"/>
  <c r="U1974" i="14"/>
  <c r="W1973" i="14"/>
  <c r="T1983" i="14"/>
  <c r="D1212" i="37" l="1"/>
  <c r="V1975" i="14"/>
  <c r="U1975" i="14"/>
  <c r="W1974" i="14"/>
  <c r="T1984" i="14"/>
  <c r="T1985" i="14" l="1"/>
  <c r="D1213" i="37"/>
  <c r="V1976" i="14"/>
  <c r="U1976" i="14"/>
  <c r="W1975" i="14"/>
  <c r="V1977" i="14" l="1"/>
  <c r="U1977" i="14"/>
  <c r="D1214" i="37"/>
  <c r="W1976" i="14"/>
  <c r="B1973" i="14" s="1"/>
  <c r="T1986" i="14"/>
  <c r="T1987" i="14" l="1"/>
  <c r="D1215" i="37"/>
  <c r="U1978" i="14"/>
  <c r="V1978" i="14"/>
  <c r="W1977" i="14"/>
  <c r="V1979" i="14" l="1"/>
  <c r="D1216" i="37"/>
  <c r="U1979" i="14"/>
  <c r="W1978" i="14"/>
  <c r="T1988" i="14"/>
  <c r="T1989" i="14" l="1"/>
  <c r="D1217" i="37"/>
  <c r="U1980" i="14"/>
  <c r="V1980" i="14"/>
  <c r="W1979" i="14"/>
  <c r="T1990" i="14" l="1"/>
  <c r="D1218" i="37"/>
  <c r="V1981" i="14"/>
  <c r="U1981" i="14"/>
  <c r="W1980" i="14"/>
  <c r="D1219" i="37" l="1"/>
  <c r="V1982" i="14"/>
  <c r="U1982" i="14"/>
  <c r="W1981" i="14"/>
  <c r="T1991" i="14"/>
  <c r="T1992" i="14" l="1"/>
  <c r="V1983" i="14"/>
  <c r="D1220" i="37"/>
  <c r="U1983" i="14"/>
  <c r="W1982" i="14"/>
  <c r="V1984" i="14" l="1"/>
  <c r="D1221" i="37"/>
  <c r="U1984" i="14"/>
  <c r="W1983" i="14"/>
  <c r="B1980" i="14" s="1"/>
  <c r="T1993" i="14"/>
  <c r="T1994" i="14" l="1"/>
  <c r="D1222" i="37"/>
  <c r="V1985" i="14"/>
  <c r="U1985" i="14"/>
  <c r="W1984" i="14"/>
  <c r="D1223" i="37" l="1"/>
  <c r="U1986" i="14"/>
  <c r="V1986" i="14"/>
  <c r="W1985" i="14"/>
  <c r="T1995" i="14"/>
  <c r="T1996" i="14" l="1"/>
  <c r="D1224" i="37"/>
  <c r="U1987" i="14"/>
  <c r="V1987" i="14"/>
  <c r="W1986" i="14"/>
  <c r="D1225" i="37" l="1"/>
  <c r="U1988" i="14"/>
  <c r="V1988" i="14"/>
  <c r="W1987" i="14"/>
  <c r="T1997" i="14"/>
  <c r="T1998" i="14" l="1"/>
  <c r="U1989" i="14"/>
  <c r="D1226" i="37"/>
  <c r="V1989" i="14"/>
  <c r="W1988" i="14"/>
  <c r="V1990" i="14" l="1"/>
  <c r="U1990" i="14"/>
  <c r="D1227" i="37"/>
  <c r="W1989" i="14"/>
  <c r="T1999" i="14"/>
  <c r="T2000" i="14" l="1"/>
  <c r="V1991" i="14"/>
  <c r="D1228" i="37"/>
  <c r="U1991" i="14"/>
  <c r="W1990" i="14"/>
  <c r="B1987" i="14" s="1"/>
  <c r="D1229" i="37" l="1"/>
  <c r="U1992" i="14"/>
  <c r="V1992" i="14"/>
  <c r="W1991" i="14"/>
  <c r="T2001" i="14"/>
  <c r="T2002" i="14" l="1"/>
  <c r="V1993" i="14"/>
  <c r="D1230" i="37"/>
  <c r="U1993" i="14"/>
  <c r="W1992" i="14"/>
  <c r="U1994" i="14" l="1"/>
  <c r="D1231" i="37"/>
  <c r="V1994" i="14"/>
  <c r="W1993" i="14"/>
  <c r="T2003" i="14"/>
  <c r="T2004" i="14" l="1"/>
  <c r="U1995" i="14"/>
  <c r="V1995" i="14"/>
  <c r="D1232" i="37"/>
  <c r="W1994" i="14"/>
  <c r="T2005" i="14" l="1"/>
  <c r="U1996" i="14"/>
  <c r="D1233" i="37"/>
  <c r="V1996" i="14"/>
  <c r="W1995" i="14"/>
  <c r="V1997" i="14" l="1"/>
  <c r="U1997" i="14"/>
  <c r="D1234" i="37"/>
  <c r="W1996" i="14"/>
  <c r="T2006" i="14"/>
  <c r="D1235" i="37" l="1"/>
  <c r="U1998" i="14"/>
  <c r="V1998" i="14"/>
  <c r="W1997" i="14"/>
  <c r="B1994" i="14" s="1"/>
  <c r="T2007" i="14"/>
  <c r="T2008" i="14" l="1"/>
  <c r="V1999" i="14"/>
  <c r="U1999" i="14"/>
  <c r="D1236" i="37"/>
  <c r="W1998" i="14"/>
  <c r="U2000" i="14" l="1"/>
  <c r="D1237" i="37"/>
  <c r="V2000" i="14"/>
  <c r="W1999" i="14"/>
  <c r="T2009" i="14"/>
  <c r="T2010" i="14" l="1"/>
  <c r="D1238" i="37"/>
  <c r="U2001" i="14"/>
  <c r="V2001" i="14"/>
  <c r="W2000" i="14"/>
  <c r="U2002" i="14" l="1"/>
  <c r="V2002" i="14"/>
  <c r="D1239" i="37"/>
  <c r="W2001" i="14"/>
  <c r="T2011" i="14"/>
  <c r="T2012" i="14" l="1"/>
  <c r="D1240" i="37"/>
  <c r="U2003" i="14"/>
  <c r="V2003" i="14"/>
  <c r="W2002" i="14"/>
  <c r="V2004" i="14" l="1"/>
  <c r="D1241" i="37"/>
  <c r="U2004" i="14"/>
  <c r="W2003" i="14"/>
  <c r="T2013" i="14"/>
  <c r="T2014" i="14" l="1"/>
  <c r="V2005" i="14"/>
  <c r="U2005" i="14"/>
  <c r="D1242" i="37"/>
  <c r="W2004" i="14"/>
  <c r="B2001" i="14" s="1"/>
  <c r="U2006" i="14" l="1"/>
  <c r="D1243" i="37"/>
  <c r="V2006" i="14"/>
  <c r="W2005" i="14"/>
  <c r="T2015" i="14"/>
  <c r="T2016" i="14" l="1"/>
  <c r="V2007" i="14"/>
  <c r="U2007" i="14"/>
  <c r="D1244" i="37"/>
  <c r="W2006" i="14"/>
  <c r="U2008" i="14" l="1"/>
  <c r="V2008" i="14"/>
  <c r="D1245" i="37"/>
  <c r="W2007" i="14"/>
  <c r="T2017" i="14"/>
  <c r="D1246" i="37" l="1"/>
  <c r="U2009" i="14"/>
  <c r="V2009" i="14"/>
  <c r="W2008" i="14"/>
  <c r="T2018" i="14"/>
  <c r="T2019" i="14" l="1"/>
  <c r="U2010" i="14"/>
  <c r="D1247" i="37"/>
  <c r="V2010" i="14"/>
  <c r="W2009" i="14"/>
  <c r="D1248" i="37" l="1"/>
  <c r="U2011" i="14"/>
  <c r="V2011" i="14"/>
  <c r="W2010" i="14"/>
  <c r="T2020" i="14"/>
  <c r="T2021" i="14" l="1"/>
  <c r="D1249" i="37"/>
  <c r="U2012" i="14"/>
  <c r="V2012" i="14"/>
  <c r="W2011" i="14"/>
  <c r="B2008" i="14" s="1"/>
  <c r="D1250" i="37" l="1"/>
  <c r="U2013" i="14"/>
  <c r="V2013" i="14"/>
  <c r="W2012" i="14"/>
  <c r="T2022" i="14"/>
  <c r="T2023" i="14" l="1"/>
  <c r="V2014" i="14"/>
  <c r="U2014" i="14"/>
  <c r="D1251" i="37"/>
  <c r="W2013" i="14"/>
  <c r="D1252" i="37" l="1"/>
  <c r="V2015" i="14"/>
  <c r="U2015" i="14"/>
  <c r="W2014" i="14"/>
  <c r="T2024" i="14"/>
  <c r="T2025" i="14" l="1"/>
  <c r="V2016" i="14"/>
  <c r="U2016" i="14"/>
  <c r="D1253" i="37"/>
  <c r="W2015" i="14"/>
  <c r="U2017" i="14" l="1"/>
  <c r="V2017" i="14"/>
  <c r="D1254" i="37"/>
  <c r="W2016" i="14"/>
  <c r="T2026" i="14"/>
  <c r="V2018" i="14" l="1"/>
  <c r="U2018" i="14"/>
  <c r="D1255" i="37"/>
  <c r="W2017" i="14"/>
  <c r="T2027" i="14"/>
  <c r="T2028" i="14" l="1"/>
  <c r="V2019" i="14"/>
  <c r="D1256" i="37"/>
  <c r="U2019" i="14"/>
  <c r="W2018" i="14"/>
  <c r="B2015" i="14" s="1"/>
  <c r="U2020" i="14" l="1"/>
  <c r="V2020" i="14"/>
  <c r="D1257" i="37"/>
  <c r="W2019" i="14"/>
  <c r="T2029" i="14"/>
  <c r="T2030" i="14" l="1"/>
  <c r="U2021" i="14"/>
  <c r="D1258" i="37"/>
  <c r="V2021" i="14"/>
  <c r="W2020" i="14"/>
  <c r="V2022" i="14" l="1"/>
  <c r="U2022" i="14"/>
  <c r="D1259" i="37"/>
  <c r="W2021" i="14"/>
  <c r="T2031" i="14"/>
  <c r="T2032" i="14" l="1"/>
  <c r="D1260" i="37"/>
  <c r="U2023" i="14"/>
  <c r="V2023" i="14"/>
  <c r="W2022" i="14"/>
  <c r="D1261" i="37" l="1"/>
  <c r="V2024" i="14"/>
  <c r="U2024" i="14"/>
  <c r="W2023" i="14"/>
  <c r="T2033" i="14"/>
  <c r="T2034" i="14" l="1"/>
  <c r="D1262" i="37"/>
  <c r="V2025" i="14"/>
  <c r="U2025" i="14"/>
  <c r="W2024" i="14"/>
  <c r="D1263" i="37" l="1"/>
  <c r="U2026" i="14"/>
  <c r="V2026" i="14"/>
  <c r="W2025" i="14"/>
  <c r="B2022" i="14" s="1"/>
  <c r="T2035" i="14"/>
  <c r="T2036" i="14" l="1"/>
  <c r="D1264" i="37"/>
  <c r="V2027" i="14"/>
  <c r="U2027" i="14"/>
  <c r="W2026" i="14"/>
  <c r="V2028" i="14" l="1"/>
  <c r="U2028" i="14"/>
  <c r="D1265" i="37"/>
  <c r="W2027" i="14"/>
  <c r="T2037" i="14"/>
  <c r="T2038" i="14" l="1"/>
  <c r="D1266" i="37"/>
  <c r="U2029" i="14"/>
  <c r="V2029" i="14"/>
  <c r="W2028" i="14"/>
  <c r="V2030" i="14" l="1"/>
  <c r="U2030" i="14"/>
  <c r="D1267" i="37"/>
  <c r="W2029" i="14"/>
  <c r="T2039" i="14"/>
  <c r="T2040" i="14" l="1"/>
  <c r="V2031" i="14"/>
  <c r="D1268" i="37"/>
  <c r="U2031" i="14"/>
  <c r="W2030" i="14"/>
  <c r="D1269" i="37" l="1"/>
  <c r="U2032" i="14"/>
  <c r="V2032" i="14"/>
  <c r="W2031" i="14"/>
  <c r="T2041" i="14"/>
  <c r="T2042" i="14" l="1"/>
  <c r="U2033" i="14"/>
  <c r="D1270" i="37"/>
  <c r="V2033" i="14"/>
  <c r="W2032" i="14"/>
  <c r="B2029" i="14" s="1"/>
  <c r="U2034" i="14" l="1"/>
  <c r="D1271" i="37"/>
  <c r="V2034" i="14"/>
  <c r="W2033" i="14"/>
  <c r="T2043" i="14"/>
  <c r="T2044" i="14" l="1"/>
  <c r="D1272" i="37"/>
  <c r="U2035" i="14"/>
  <c r="V2035" i="14"/>
  <c r="W2034" i="14"/>
  <c r="D1273" i="37" l="1"/>
  <c r="V2036" i="14"/>
  <c r="U2036" i="14"/>
  <c r="W2035" i="14"/>
  <c r="T2045" i="14"/>
  <c r="T2046" i="14" l="1"/>
  <c r="D1274" i="37"/>
  <c r="U2037" i="14"/>
  <c r="V2037" i="14"/>
  <c r="W2036" i="14"/>
  <c r="D1275" i="37" l="1"/>
  <c r="V2038" i="14"/>
  <c r="U2038" i="14"/>
  <c r="W2037" i="14"/>
  <c r="T2047" i="14"/>
  <c r="T2048" i="14" l="1"/>
  <c r="V2039" i="14"/>
  <c r="D1276" i="37"/>
  <c r="U2039" i="14"/>
  <c r="W2038" i="14"/>
  <c r="U2040" i="14" l="1"/>
  <c r="D1277" i="37"/>
  <c r="V2040" i="14"/>
  <c r="W2039" i="14"/>
  <c r="B2036" i="14" s="1"/>
  <c r="T2049" i="14"/>
  <c r="T2050" i="14" l="1"/>
  <c r="V2041" i="14"/>
  <c r="D1278" i="37"/>
  <c r="U2041" i="14"/>
  <c r="W2040" i="14"/>
  <c r="V2042" i="14" l="1"/>
  <c r="U2042" i="14"/>
  <c r="D1279" i="37"/>
  <c r="W2041" i="14"/>
  <c r="T2051" i="14"/>
  <c r="T2052" i="14" l="1"/>
  <c r="U2043" i="14"/>
  <c r="V2043" i="14"/>
  <c r="D1280" i="37"/>
  <c r="W2042" i="14"/>
  <c r="U2044" i="14" l="1"/>
  <c r="V2044" i="14"/>
  <c r="D1281" i="37"/>
  <c r="W2043" i="14"/>
  <c r="T2053" i="14"/>
  <c r="T2054" i="14" l="1"/>
  <c r="V2045" i="14"/>
  <c r="U2045" i="14"/>
  <c r="D1282" i="37"/>
  <c r="W2044" i="14"/>
  <c r="D1283" i="37" l="1"/>
  <c r="U2046" i="14"/>
  <c r="V2046" i="14"/>
  <c r="W2045" i="14"/>
  <c r="T2055" i="14"/>
  <c r="T2056" i="14" l="1"/>
  <c r="V2047" i="14"/>
  <c r="U2047" i="14"/>
  <c r="D1284" i="37"/>
  <c r="W2046" i="14"/>
  <c r="B2043" i="14" s="1"/>
  <c r="U2048" i="14" l="1"/>
  <c r="V2048" i="14"/>
  <c r="D1285" i="37"/>
  <c r="W2047" i="14"/>
  <c r="T2057" i="14"/>
  <c r="T2058" i="14" l="1"/>
  <c r="U2049" i="14"/>
  <c r="V2049" i="14"/>
  <c r="D1286" i="37"/>
  <c r="W2048" i="14"/>
  <c r="V2050" i="14" l="1"/>
  <c r="D1287" i="37"/>
  <c r="U2050" i="14"/>
  <c r="W2049" i="14"/>
  <c r="T2059" i="14"/>
  <c r="T2060" i="14" l="1"/>
  <c r="D1288" i="37"/>
  <c r="V2051" i="14"/>
  <c r="U2051" i="14"/>
  <c r="W2050" i="14"/>
  <c r="V2052" i="14" l="1"/>
  <c r="D1289" i="37"/>
  <c r="U2052" i="14"/>
  <c r="W2051" i="14"/>
  <c r="T2061" i="14"/>
  <c r="T2062" i="14" l="1"/>
  <c r="V2053" i="14"/>
  <c r="D1290" i="37"/>
  <c r="U2053" i="14"/>
  <c r="W2052" i="14"/>
  <c r="D1291" i="37" l="1"/>
  <c r="V2054" i="14"/>
  <c r="U2054" i="14"/>
  <c r="W2053" i="14"/>
  <c r="B2050" i="14" s="1"/>
  <c r="T2063" i="14"/>
  <c r="T2064" i="14" l="1"/>
  <c r="D1292" i="37"/>
  <c r="U2055" i="14"/>
  <c r="V2055" i="14"/>
  <c r="W2054" i="14"/>
  <c r="V2056" i="14" l="1"/>
  <c r="D1293" i="37"/>
  <c r="U2056" i="14"/>
  <c r="W2055" i="14"/>
  <c r="T2065" i="14"/>
  <c r="T2066" i="14" l="1"/>
  <c r="U2057" i="14"/>
  <c r="D1294" i="37"/>
  <c r="V2057" i="14"/>
  <c r="W2056" i="14"/>
  <c r="D1295" i="37" l="1"/>
  <c r="U2058" i="14"/>
  <c r="V2058" i="14"/>
  <c r="W2057" i="14"/>
  <c r="T2067" i="14"/>
  <c r="T2068" i="14" l="1"/>
  <c r="D1296" i="37"/>
  <c r="V2059" i="14"/>
  <c r="U2059" i="14"/>
  <c r="W2058" i="14"/>
  <c r="D1297" i="37" l="1"/>
  <c r="U2060" i="14"/>
  <c r="V2060" i="14"/>
  <c r="W2059" i="14"/>
  <c r="T2069" i="14"/>
  <c r="T2070" i="14" l="1"/>
  <c r="V2061" i="14"/>
  <c r="D1298" i="37"/>
  <c r="U2061" i="14"/>
  <c r="W2060" i="14"/>
  <c r="B2057" i="14" s="1"/>
  <c r="D1299" i="37" l="1"/>
  <c r="U2062" i="14"/>
  <c r="V2062" i="14"/>
  <c r="W2061" i="14"/>
  <c r="T2071" i="14"/>
  <c r="T2072" i="14" l="1"/>
  <c r="U2063" i="14"/>
  <c r="V2063" i="14"/>
  <c r="D1300" i="37"/>
  <c r="W2062" i="14"/>
  <c r="T2073" i="14" l="1"/>
  <c r="U2064" i="14"/>
  <c r="D1301" i="37"/>
  <c r="V2064" i="14"/>
  <c r="W2063" i="14"/>
  <c r="D1302" i="37" l="1"/>
  <c r="V2065" i="14"/>
  <c r="U2065" i="14"/>
  <c r="W2064" i="14"/>
  <c r="T2074" i="14"/>
  <c r="T2075" i="14" l="1"/>
  <c r="V2066" i="14"/>
  <c r="D1303" i="37"/>
  <c r="U2066" i="14"/>
  <c r="W2065" i="14"/>
  <c r="V2067" i="14" l="1"/>
  <c r="D1304" i="37"/>
  <c r="U2067" i="14"/>
  <c r="W2066" i="14"/>
  <c r="T2076" i="14"/>
  <c r="T2077" i="14" l="1"/>
  <c r="U2068" i="14"/>
  <c r="V2068" i="14"/>
  <c r="D1305" i="37"/>
  <c r="W2067" i="14"/>
  <c r="B2064" i="14" s="1"/>
  <c r="U2069" i="14" l="1"/>
  <c r="D1306" i="37"/>
  <c r="V2069" i="14"/>
  <c r="W2068" i="14"/>
  <c r="T2078" i="14"/>
  <c r="T2079" i="14" l="1"/>
  <c r="V2070" i="14"/>
  <c r="D1307" i="37"/>
  <c r="U2070" i="14"/>
  <c r="W2069" i="14"/>
  <c r="U2071" i="14" l="1"/>
  <c r="D1308" i="37"/>
  <c r="V2071" i="14"/>
  <c r="W2070" i="14"/>
  <c r="T2080" i="14"/>
  <c r="D1309" i="37" l="1"/>
  <c r="U2072" i="14"/>
  <c r="V2072" i="14"/>
  <c r="W2071" i="14"/>
  <c r="T2081" i="14"/>
  <c r="T2082" i="14" l="1"/>
  <c r="V2073" i="14"/>
  <c r="U2073" i="14"/>
  <c r="D1310" i="37"/>
  <c r="W2072" i="14"/>
  <c r="D1311" i="37" l="1"/>
  <c r="U2074" i="14"/>
  <c r="V2074" i="14"/>
  <c r="W2073" i="14"/>
  <c r="T2083" i="14"/>
  <c r="T2084" i="14" l="1"/>
  <c r="V2075" i="14"/>
  <c r="U2075" i="14"/>
  <c r="D1312" i="37"/>
  <c r="W2074" i="14"/>
  <c r="B2071" i="14" s="1"/>
  <c r="U2076" i="14" l="1"/>
  <c r="D1313" i="37"/>
  <c r="V2076" i="14"/>
  <c r="W2075" i="14"/>
  <c r="T2085" i="14"/>
  <c r="T2086" i="14" l="1"/>
  <c r="D1314" i="37"/>
  <c r="V2077" i="14"/>
  <c r="U2077" i="14"/>
  <c r="W2076" i="14"/>
  <c r="D1315" i="37" l="1"/>
  <c r="U2078" i="14"/>
  <c r="V2078" i="14"/>
  <c r="W2077" i="14"/>
  <c r="T2087" i="14"/>
  <c r="T2088" i="14" l="1"/>
  <c r="D1316" i="37"/>
  <c r="U2079" i="14"/>
  <c r="V2079" i="14"/>
  <c r="W2078" i="14"/>
  <c r="D1317" i="37" l="1"/>
  <c r="V2080" i="14"/>
  <c r="U2080" i="14"/>
  <c r="W2079" i="14"/>
  <c r="T2089" i="14"/>
  <c r="T2090" i="14" l="1"/>
  <c r="U2081" i="14"/>
  <c r="D1318" i="37"/>
  <c r="V2081" i="14"/>
  <c r="W2080" i="14"/>
  <c r="V2082" i="14" l="1"/>
  <c r="D1319" i="37"/>
  <c r="U2082" i="14"/>
  <c r="W2081" i="14"/>
  <c r="T2091" i="14"/>
  <c r="T2092" i="14" l="1"/>
  <c r="B2078" i="14"/>
  <c r="D1320" i="37"/>
  <c r="V2083" i="14"/>
  <c r="U2083" i="14"/>
  <c r="W2082" i="14"/>
  <c r="T2093" i="14" l="1"/>
  <c r="U2084" i="14"/>
  <c r="D1321" i="37"/>
  <c r="V2084" i="14"/>
  <c r="W2083" i="14"/>
  <c r="V2085" i="14" l="1"/>
  <c r="U2085" i="14"/>
  <c r="D1322" i="37"/>
  <c r="W2084" i="14"/>
  <c r="T2094" i="14"/>
  <c r="T2095" i="14" l="1"/>
  <c r="D1323" i="37"/>
  <c r="U2086" i="14"/>
  <c r="V2086" i="14"/>
  <c r="W2085" i="14"/>
  <c r="V2087" i="14" l="1"/>
  <c r="U2087" i="14"/>
  <c r="D1324" i="37"/>
  <c r="W2086" i="14"/>
  <c r="T2096" i="14"/>
  <c r="V2088" i="14" l="1"/>
  <c r="D1325" i="37"/>
  <c r="U2088" i="14"/>
  <c r="W2087" i="14"/>
  <c r="T2097" i="14"/>
  <c r="T2098" i="14" l="1"/>
  <c r="U2089" i="14"/>
  <c r="D1326" i="37"/>
  <c r="V2089" i="14"/>
  <c r="W2088" i="14"/>
  <c r="B2085" i="14" l="1"/>
  <c r="V2090" i="14"/>
  <c r="D1327" i="37"/>
  <c r="U2090" i="14"/>
  <c r="W2089" i="14"/>
  <c r="T2099" i="14"/>
  <c r="T2100" i="14" l="1"/>
  <c r="U2091" i="14"/>
  <c r="D1328" i="37"/>
  <c r="V2091" i="14"/>
  <c r="W2090" i="14"/>
  <c r="U2092" i="14" l="1"/>
  <c r="V2092" i="14"/>
  <c r="D1329" i="37"/>
  <c r="W2091" i="14"/>
  <c r="T2101" i="14"/>
  <c r="T2102" i="14" l="1"/>
  <c r="D1330" i="37"/>
  <c r="V2093" i="14"/>
  <c r="U2093" i="14"/>
  <c r="W2092" i="14"/>
  <c r="D1331" i="37" l="1"/>
  <c r="V2094" i="14"/>
  <c r="U2094" i="14"/>
  <c r="W2093" i="14"/>
  <c r="T2103" i="14"/>
  <c r="T2104" i="14" l="1"/>
  <c r="V2095" i="14"/>
  <c r="D1332" i="37"/>
  <c r="U2095" i="14"/>
  <c r="W2094" i="14"/>
  <c r="U2096" i="14" l="1"/>
  <c r="V2096" i="14"/>
  <c r="D1333" i="37"/>
  <c r="W2095" i="14"/>
  <c r="B2092" i="14" s="1"/>
  <c r="T2105" i="14"/>
  <c r="T2106" i="14" l="1"/>
  <c r="V2097" i="14"/>
  <c r="D1334" i="37"/>
  <c r="U2097" i="14"/>
  <c r="W2096" i="14"/>
  <c r="T2107" i="14" l="1"/>
  <c r="D1335" i="37"/>
  <c r="U2098" i="14"/>
  <c r="V2098" i="14"/>
  <c r="W2097" i="14"/>
  <c r="D1336" i="37" l="1"/>
  <c r="V2099" i="14"/>
  <c r="U2099" i="14"/>
  <c r="W2098" i="14"/>
  <c r="T2108" i="14"/>
  <c r="T2109" i="14" l="1"/>
  <c r="D1337" i="37"/>
  <c r="U2100" i="14"/>
  <c r="V2100" i="14"/>
  <c r="W2099" i="14"/>
  <c r="U2101" i="14" l="1"/>
  <c r="D1338" i="37"/>
  <c r="V2101" i="14"/>
  <c r="W2100" i="14"/>
  <c r="T2110" i="14"/>
  <c r="T2111" i="14" l="1"/>
  <c r="V2102" i="14"/>
  <c r="U2102" i="14"/>
  <c r="D1339" i="37"/>
  <c r="W2101" i="14"/>
  <c r="U2103" i="14" l="1"/>
  <c r="V2103" i="14"/>
  <c r="D1340" i="37"/>
  <c r="W2102" i="14"/>
  <c r="B2099" i="14" s="1"/>
  <c r="T2112" i="14"/>
  <c r="T2113" i="14" l="1"/>
  <c r="D1341" i="37"/>
  <c r="U2104" i="14"/>
  <c r="V2104" i="14"/>
  <c r="W2103" i="14"/>
  <c r="D1342" i="37" l="1"/>
  <c r="U2105" i="14"/>
  <c r="V2105" i="14"/>
  <c r="W2104" i="14"/>
  <c r="T2114" i="14"/>
  <c r="T2115" i="14" l="1"/>
  <c r="D1343" i="37"/>
  <c r="V2106" i="14"/>
  <c r="U2106" i="14"/>
  <c r="W2105" i="14"/>
  <c r="U2107" i="14" l="1"/>
  <c r="D1344" i="37"/>
  <c r="V2107" i="14"/>
  <c r="W2106" i="14"/>
  <c r="T2116" i="14"/>
  <c r="T2117" i="14" l="1"/>
  <c r="D1345" i="37"/>
  <c r="V2108" i="14"/>
  <c r="U2108" i="14"/>
  <c r="W2107" i="14"/>
  <c r="U2109" i="14" l="1"/>
  <c r="D1346" i="37"/>
  <c r="V2109" i="14"/>
  <c r="W2108" i="14"/>
  <c r="T2118" i="14"/>
  <c r="T2119" i="14" l="1"/>
  <c r="V2110" i="14"/>
  <c r="D1347" i="37"/>
  <c r="U2110" i="14"/>
  <c r="W2109" i="14"/>
  <c r="B2106" i="14" s="1"/>
  <c r="D1348" i="37" l="1"/>
  <c r="U2111" i="14"/>
  <c r="V2111" i="14"/>
  <c r="W2110" i="14"/>
  <c r="T2120" i="14"/>
  <c r="T2121" i="14" l="1"/>
  <c r="D1349" i="37"/>
  <c r="V2112" i="14"/>
  <c r="U2112" i="14"/>
  <c r="W2111" i="14"/>
  <c r="D1350" i="37" l="1"/>
  <c r="V2113" i="14"/>
  <c r="U2113" i="14"/>
  <c r="W2112" i="14"/>
  <c r="T2122" i="14"/>
  <c r="T2123" i="14" l="1"/>
  <c r="V2114" i="14"/>
  <c r="U2114" i="14"/>
  <c r="D1351" i="37"/>
  <c r="W2113" i="14"/>
  <c r="V2115" i="14" l="1"/>
  <c r="D1352" i="37"/>
  <c r="U2115" i="14"/>
  <c r="W2114" i="14"/>
  <c r="T2124" i="14"/>
  <c r="T2125" i="14" l="1"/>
  <c r="V2116" i="14"/>
  <c r="D1353" i="37"/>
  <c r="U2116" i="14"/>
  <c r="W2115" i="14"/>
  <c r="D1354" i="37" l="1"/>
  <c r="U2117" i="14"/>
  <c r="V2117" i="14"/>
  <c r="W2116" i="14"/>
  <c r="B2113" i="14" s="1"/>
  <c r="T2126" i="14"/>
  <c r="T2127" i="14" l="1"/>
  <c r="U2118" i="14"/>
  <c r="V2118" i="14"/>
  <c r="D1355" i="37"/>
  <c r="W2117" i="14"/>
  <c r="V2119" i="14" l="1"/>
  <c r="U2119" i="14"/>
  <c r="D1356" i="37"/>
  <c r="W2118" i="14"/>
  <c r="T2128" i="14"/>
  <c r="T2129" i="14" l="1"/>
  <c r="D1357" i="37"/>
  <c r="U2120" i="14"/>
  <c r="V2120" i="14"/>
  <c r="W2119" i="14"/>
  <c r="U2121" i="14" l="1"/>
  <c r="V2121" i="14"/>
  <c r="D1358" i="37"/>
  <c r="W2120" i="14"/>
  <c r="T2130" i="14"/>
  <c r="T2131" i="14" l="1"/>
  <c r="U2122" i="14"/>
  <c r="D1360" i="37" s="1"/>
  <c r="D1359" i="37"/>
  <c r="V2122" i="14"/>
  <c r="W2121" i="14"/>
  <c r="V2123" i="14" l="1"/>
  <c r="U2123" i="14"/>
  <c r="D1361" i="37" s="1"/>
  <c r="W2122" i="14"/>
  <c r="T2132" i="14"/>
  <c r="T2133" i="14" l="1"/>
  <c r="U2124" i="14"/>
  <c r="D1362" i="37" s="1"/>
  <c r="V2124" i="14"/>
  <c r="W2123" i="14"/>
  <c r="B2120" i="14" s="1"/>
  <c r="T2134" i="14" l="1"/>
  <c r="V2125" i="14"/>
  <c r="U2125" i="14"/>
  <c r="D1363" i="37" s="1"/>
  <c r="W2124" i="14"/>
  <c r="U2126" i="14" l="1"/>
  <c r="V2126" i="14"/>
  <c r="W2125" i="14"/>
  <c r="T2135" i="14"/>
  <c r="D1364" i="37" l="1"/>
  <c r="U2127" i="14"/>
  <c r="D1365" i="37" s="1"/>
  <c r="V2127" i="14"/>
  <c r="W2126" i="14"/>
  <c r="T2136" i="14"/>
  <c r="T2137" i="14" l="1"/>
  <c r="V2128" i="14"/>
  <c r="U2128" i="14"/>
  <c r="D1366" i="37" s="1"/>
  <c r="W2127" i="14"/>
  <c r="U2129" i="14" l="1"/>
  <c r="D1367" i="37" s="1"/>
  <c r="V2129" i="14"/>
  <c r="W2128" i="14"/>
  <c r="T2138" i="14"/>
  <c r="Z2138" i="14" l="1"/>
  <c r="Z2139" i="14" s="1"/>
  <c r="T2139" i="14"/>
  <c r="U2130" i="14"/>
  <c r="V2130" i="14"/>
  <c r="W2129" i="14"/>
  <c r="Z2140" i="14" l="1"/>
  <c r="D1368" i="37"/>
  <c r="U2131" i="14"/>
  <c r="D1369" i="37" s="1"/>
  <c r="V2131" i="14"/>
  <c r="W2130" i="14"/>
  <c r="T2140" i="14"/>
  <c r="Z2141" i="14" l="1"/>
  <c r="B2127" i="14"/>
  <c r="T2141" i="14"/>
  <c r="U2132" i="14"/>
  <c r="D1370" i="37" s="1"/>
  <c r="V2132" i="14"/>
  <c r="W2131" i="14"/>
  <c r="Z2142" i="14" l="1"/>
  <c r="V2133" i="14"/>
  <c r="U2133" i="14"/>
  <c r="W2132" i="14"/>
  <c r="T2142" i="14"/>
  <c r="Z2143" i="14" l="1"/>
  <c r="D1371" i="37"/>
  <c r="T2143" i="14"/>
  <c r="U2134" i="14"/>
  <c r="D1372" i="37" s="1"/>
  <c r="V2134" i="14"/>
  <c r="W2133" i="14"/>
  <c r="Z2144" i="14" l="1"/>
  <c r="V2135" i="14"/>
  <c r="U2135" i="14"/>
  <c r="W2134" i="14"/>
  <c r="T2144" i="14"/>
  <c r="Z2145" i="14" l="1"/>
  <c r="D1373" i="37"/>
  <c r="T2145" i="14"/>
  <c r="V2136" i="14"/>
  <c r="U2136" i="14"/>
  <c r="D1374" i="37" s="1"/>
  <c r="W2135" i="14"/>
  <c r="Z2146" i="14" l="1"/>
  <c r="U2137" i="14"/>
  <c r="V2137" i="14"/>
  <c r="W2136" i="14"/>
  <c r="T2146" i="14"/>
  <c r="Z2147" i="14" l="1"/>
  <c r="D1375" i="37"/>
  <c r="T2147" i="14"/>
  <c r="V2138" i="14"/>
  <c r="U2138" i="14"/>
  <c r="W2137" i="14"/>
  <c r="B2134" i="14" s="1"/>
  <c r="D1376" i="37" l="1"/>
  <c r="AA2138" i="14"/>
  <c r="AA2139" i="14" s="1"/>
  <c r="Z2148" i="14"/>
  <c r="U2139" i="14"/>
  <c r="D1377" i="37" s="1"/>
  <c r="V2139" i="14"/>
  <c r="W2138" i="14"/>
  <c r="T2148" i="14"/>
  <c r="Z2149" i="14" l="1"/>
  <c r="AA2140" i="14"/>
  <c r="AB2139" i="14"/>
  <c r="T2149" i="14"/>
  <c r="U2140" i="14"/>
  <c r="D1378" i="37" s="1"/>
  <c r="V2140" i="14"/>
  <c r="W2139" i="14"/>
  <c r="AA2141" i="14" l="1"/>
  <c r="AB2140" i="14"/>
  <c r="Z2150" i="14"/>
  <c r="U2141" i="14"/>
  <c r="D1379" i="37" s="1"/>
  <c r="V2141" i="14"/>
  <c r="W2140" i="14"/>
  <c r="T2150" i="14"/>
  <c r="Z2151" i="14" l="1"/>
  <c r="AA2142" i="14"/>
  <c r="AB2141" i="14"/>
  <c r="T2151" i="14"/>
  <c r="U2142" i="14"/>
  <c r="V2142" i="14"/>
  <c r="W2141" i="14"/>
  <c r="AA2143" i="14" l="1"/>
  <c r="AB2142" i="14"/>
  <c r="Z2152" i="14"/>
  <c r="D1380" i="37"/>
  <c r="U2143" i="14"/>
  <c r="D1381" i="37" s="1"/>
  <c r="V2143" i="14"/>
  <c r="W2142" i="14"/>
  <c r="T2152" i="14"/>
  <c r="Z2153" i="14" l="1"/>
  <c r="AA2144" i="14"/>
  <c r="AB2143" i="14"/>
  <c r="T2153" i="14"/>
  <c r="U2144" i="14"/>
  <c r="V2144" i="14"/>
  <c r="W2143" i="14"/>
  <c r="AA2145" i="14" l="1"/>
  <c r="AB2144" i="14"/>
  <c r="Z2154" i="14"/>
  <c r="D1382" i="37"/>
  <c r="V2145" i="14"/>
  <c r="U2145" i="14"/>
  <c r="D1383" i="37" s="1"/>
  <c r="W2144" i="14"/>
  <c r="T2154" i="14"/>
  <c r="Z2155" i="14" l="1"/>
  <c r="AA2146" i="14"/>
  <c r="AB2145" i="14"/>
  <c r="B2141" i="14"/>
  <c r="T2155" i="14"/>
  <c r="U2146" i="14"/>
  <c r="D1384" i="37" s="1"/>
  <c r="V2146" i="14"/>
  <c r="W2145" i="14"/>
  <c r="AA2147" i="14" l="1"/>
  <c r="AB2146" i="14"/>
  <c r="Z2156" i="14"/>
  <c r="V2147" i="14"/>
  <c r="U2147" i="14"/>
  <c r="W2146" i="14"/>
  <c r="T2156" i="14"/>
  <c r="Z2157" i="14" l="1"/>
  <c r="AA2148" i="14"/>
  <c r="AB2147" i="14"/>
  <c r="D1385" i="37"/>
  <c r="T2157" i="14"/>
  <c r="V2148" i="14"/>
  <c r="U2148" i="14"/>
  <c r="D1386" i="37" s="1"/>
  <c r="W2147" i="14"/>
  <c r="AA2149" i="14" l="1"/>
  <c r="AB2148" i="14"/>
  <c r="Z2158" i="14"/>
  <c r="U2149" i="14"/>
  <c r="D1387" i="37" s="1"/>
  <c r="V2149" i="14"/>
  <c r="W2148" i="14"/>
  <c r="T2158" i="14"/>
  <c r="Z2159" i="14" l="1"/>
  <c r="AA2150" i="14"/>
  <c r="AB2149" i="14"/>
  <c r="T2159" i="14"/>
  <c r="V2150" i="14"/>
  <c r="U2150" i="14"/>
  <c r="D1388" i="37" s="1"/>
  <c r="W2149" i="14"/>
  <c r="AA2151" i="14" l="1"/>
  <c r="AB2150" i="14"/>
  <c r="Z2160" i="14"/>
  <c r="U2151" i="14"/>
  <c r="D1389" i="37" s="1"/>
  <c r="V2151" i="14"/>
  <c r="W2150" i="14"/>
  <c r="T2160" i="14"/>
  <c r="Z2161" i="14" l="1"/>
  <c r="AA2152" i="14"/>
  <c r="AB2151" i="14"/>
  <c r="T2161" i="14"/>
  <c r="U2152" i="14"/>
  <c r="D1390" i="37" s="1"/>
  <c r="V2152" i="14"/>
  <c r="W2151" i="14"/>
  <c r="B2148" i="14" s="1"/>
  <c r="AA2153" i="14" l="1"/>
  <c r="AB2152" i="14"/>
  <c r="Z2162" i="14"/>
  <c r="V2153" i="14"/>
  <c r="U2153" i="14"/>
  <c r="D1391" i="37" s="1"/>
  <c r="W2152" i="14"/>
  <c r="T2162" i="14"/>
  <c r="Z2163" i="14" l="1"/>
  <c r="AA2154" i="14"/>
  <c r="AB2153" i="14"/>
  <c r="T2163" i="14"/>
  <c r="U2154" i="14"/>
  <c r="D1392" i="37" s="1"/>
  <c r="V2154" i="14"/>
  <c r="W2153" i="14"/>
  <c r="AA2155" i="14" l="1"/>
  <c r="AB2154" i="14"/>
  <c r="Z2164" i="14"/>
  <c r="U2155" i="14"/>
  <c r="D1393" i="37" s="1"/>
  <c r="V2155" i="14"/>
  <c r="W2154" i="14"/>
  <c r="T2164" i="14"/>
  <c r="Z2165" i="14" l="1"/>
  <c r="AA2156" i="14"/>
  <c r="AB2155" i="14"/>
  <c r="T2165" i="14"/>
  <c r="V2156" i="14"/>
  <c r="U2156" i="14"/>
  <c r="W2155" i="14"/>
  <c r="AA2157" i="14" l="1"/>
  <c r="AB2156" i="14"/>
  <c r="Z2166" i="14"/>
  <c r="D1394" i="37"/>
  <c r="V2157" i="14"/>
  <c r="U2157" i="14"/>
  <c r="D1395" i="37" s="1"/>
  <c r="W2156" i="14"/>
  <c r="T2166" i="14"/>
  <c r="Z2167" i="14" l="1"/>
  <c r="AA2158" i="14"/>
  <c r="AB2157" i="14"/>
  <c r="V2158" i="14"/>
  <c r="U2158" i="14"/>
  <c r="D1396" i="37" s="1"/>
  <c r="W2157" i="14"/>
  <c r="T2167" i="14"/>
  <c r="AA2159" i="14" l="1"/>
  <c r="AB2158" i="14"/>
  <c r="Z2168" i="14"/>
  <c r="T2168" i="14"/>
  <c r="V2159" i="14"/>
  <c r="U2159" i="14"/>
  <c r="D1397" i="37" s="1"/>
  <c r="W2158" i="14"/>
  <c r="B2155" i="14" s="1"/>
  <c r="Z2169" i="14" l="1"/>
  <c r="AA2160" i="14"/>
  <c r="AB2159" i="14"/>
  <c r="V2160" i="14"/>
  <c r="U2160" i="14"/>
  <c r="W2159" i="14"/>
  <c r="T2169" i="14"/>
  <c r="AA2161" i="14" l="1"/>
  <c r="AB2160" i="14"/>
  <c r="Z2170" i="14"/>
  <c r="D1398" i="37"/>
  <c r="T2170" i="14"/>
  <c r="V2161" i="14"/>
  <c r="U2161" i="14"/>
  <c r="D1399" i="37" s="1"/>
  <c r="W2160" i="14"/>
  <c r="Z2171" i="14" l="1"/>
  <c r="AA2162" i="14"/>
  <c r="AB2161" i="14"/>
  <c r="U2162" i="14"/>
  <c r="D1400" i="37" s="1"/>
  <c r="V2162" i="14"/>
  <c r="W2161" i="14"/>
  <c r="T2171" i="14"/>
  <c r="AA2163" i="14" l="1"/>
  <c r="AB2162" i="14"/>
  <c r="Z2172" i="14"/>
  <c r="T2172" i="14"/>
  <c r="U2163" i="14"/>
  <c r="V2163" i="14"/>
  <c r="W2162" i="14"/>
  <c r="Z2173" i="14" l="1"/>
  <c r="AA2164" i="14"/>
  <c r="AB2163" i="14"/>
  <c r="D1401" i="37"/>
  <c r="U2164" i="14"/>
  <c r="D1402" i="37" s="1"/>
  <c r="V2164" i="14"/>
  <c r="W2163" i="14"/>
  <c r="T2173" i="14"/>
  <c r="AA2165" i="14" l="1"/>
  <c r="AB2164" i="14"/>
  <c r="Z2174" i="14"/>
  <c r="T2174" i="14"/>
  <c r="V2165" i="14"/>
  <c r="U2165" i="14"/>
  <c r="D1403" i="37" s="1"/>
  <c r="W2164" i="14"/>
  <c r="Z2175" i="14" l="1"/>
  <c r="AA2166" i="14"/>
  <c r="AB2165" i="14"/>
  <c r="U2166" i="14"/>
  <c r="D1404" i="37" s="1"/>
  <c r="V2166" i="14"/>
  <c r="W2165" i="14"/>
  <c r="B2162" i="14" s="1"/>
  <c r="T2175" i="14"/>
  <c r="AA2167" i="14" l="1"/>
  <c r="AB2166" i="14"/>
  <c r="Z2176" i="14"/>
  <c r="T2176" i="14"/>
  <c r="V2167" i="14"/>
  <c r="U2167" i="14"/>
  <c r="D1405" i="37" s="1"/>
  <c r="W2166" i="14"/>
  <c r="Z2177" i="14" l="1"/>
  <c r="AA2168" i="14"/>
  <c r="AB2167" i="14"/>
  <c r="U2168" i="14"/>
  <c r="D1406" i="37" s="1"/>
  <c r="V2168" i="14"/>
  <c r="W2167" i="14"/>
  <c r="T2177" i="14"/>
  <c r="AA2169" i="14" l="1"/>
  <c r="AB2168" i="14"/>
  <c r="Z2178" i="14"/>
  <c r="U2169" i="14"/>
  <c r="D1407" i="37" s="1"/>
  <c r="V2169" i="14"/>
  <c r="W2168" i="14"/>
  <c r="T2178" i="14"/>
  <c r="Z2179" i="14" l="1"/>
  <c r="AA2170" i="14"/>
  <c r="AB2169" i="14"/>
  <c r="T2179" i="14"/>
  <c r="U2170" i="14"/>
  <c r="D1408" i="37" s="1"/>
  <c r="V2170" i="14"/>
  <c r="W2169" i="14"/>
  <c r="AA2171" i="14" l="1"/>
  <c r="AB2170" i="14"/>
  <c r="Z2180" i="14"/>
  <c r="T2180" i="14"/>
  <c r="V2171" i="14"/>
  <c r="U2171" i="14"/>
  <c r="W2170" i="14"/>
  <c r="Z2181" i="14" l="1"/>
  <c r="AA2172" i="14"/>
  <c r="AB2171" i="14"/>
  <c r="D1409" i="37"/>
  <c r="V2172" i="14"/>
  <c r="U2172" i="14"/>
  <c r="D1410" i="37" s="1"/>
  <c r="W2171" i="14"/>
  <c r="T2181" i="14"/>
  <c r="AA2173" i="14" l="1"/>
  <c r="AB2172" i="14"/>
  <c r="Z2182" i="14"/>
  <c r="T2182" i="14"/>
  <c r="U2173" i="14"/>
  <c r="V2173" i="14"/>
  <c r="W2172" i="14"/>
  <c r="Z2183" i="14" l="1"/>
  <c r="AA2174" i="14"/>
  <c r="AB2173" i="14"/>
  <c r="D1411" i="37"/>
  <c r="B2169" i="14"/>
  <c r="V2174" i="14"/>
  <c r="U2174" i="14"/>
  <c r="D1412" i="37" s="1"/>
  <c r="W2173" i="14"/>
  <c r="T2183" i="14"/>
  <c r="AA2175" i="14" l="1"/>
  <c r="AB2174" i="14"/>
  <c r="Z2184" i="14"/>
  <c r="T2184" i="14"/>
  <c r="V2175" i="14"/>
  <c r="U2175" i="14"/>
  <c r="D1413" i="37" s="1"/>
  <c r="W2174" i="14"/>
  <c r="Z2185" i="14" l="1"/>
  <c r="AA2176" i="14"/>
  <c r="AB2175" i="14"/>
  <c r="U2176" i="14"/>
  <c r="D1414" i="37" s="1"/>
  <c r="V2176" i="14"/>
  <c r="W2175" i="14"/>
  <c r="T2185" i="14"/>
  <c r="AA2177" i="14" l="1"/>
  <c r="AB2176" i="14"/>
  <c r="Z2186" i="14"/>
  <c r="T2186" i="14"/>
  <c r="V2177" i="14"/>
  <c r="U2177" i="14"/>
  <c r="D1415" i="37" s="1"/>
  <c r="W2176" i="14"/>
  <c r="Z2187" i="14" l="1"/>
  <c r="AA2178" i="14"/>
  <c r="AB2177" i="14"/>
  <c r="U2178" i="14"/>
  <c r="D1416" i="37" s="1"/>
  <c r="V2178" i="14"/>
  <c r="W2177" i="14"/>
  <c r="T2187" i="14"/>
  <c r="AA2179" i="14" l="1"/>
  <c r="AB2178" i="14"/>
  <c r="Z2188" i="14"/>
  <c r="T2188" i="14"/>
  <c r="T2189" i="14" s="1"/>
  <c r="V2179" i="14"/>
  <c r="U2179" i="14"/>
  <c r="D1417" i="37" s="1"/>
  <c r="W2178" i="14"/>
  <c r="Z2189" i="14" l="1"/>
  <c r="AA2180" i="14"/>
  <c r="AB2179" i="14"/>
  <c r="V2180" i="14"/>
  <c r="U2180" i="14"/>
  <c r="D1418" i="37" s="1"/>
  <c r="W2179" i="14"/>
  <c r="B2176" i="14" s="1"/>
  <c r="AA2181" i="14" l="1"/>
  <c r="AB2180" i="14"/>
  <c r="Z2190" i="14"/>
  <c r="T2190" i="14"/>
  <c r="V2181" i="14"/>
  <c r="U2181" i="14"/>
  <c r="D1419" i="37" s="1"/>
  <c r="W2180" i="14"/>
  <c r="Z2191" i="14" l="1"/>
  <c r="AA2182" i="14"/>
  <c r="AB2181" i="14"/>
  <c r="V2182" i="14"/>
  <c r="U2182" i="14"/>
  <c r="W2181" i="14"/>
  <c r="T2191" i="14"/>
  <c r="AA2183" i="14" l="1"/>
  <c r="AB2182" i="14"/>
  <c r="Z2192" i="14"/>
  <c r="D1420" i="37"/>
  <c r="T2192" i="14"/>
  <c r="V2183" i="14"/>
  <c r="U2183" i="14"/>
  <c r="D1421" i="37" s="1"/>
  <c r="W2182" i="14"/>
  <c r="Z2193" i="14" l="1"/>
  <c r="AA2184" i="14"/>
  <c r="AB2183" i="14"/>
  <c r="U2184" i="14"/>
  <c r="D1422" i="37" s="1"/>
  <c r="V2184" i="14"/>
  <c r="W2183" i="14"/>
  <c r="T2193" i="14"/>
  <c r="AA2185" i="14" l="1"/>
  <c r="AB2184" i="14"/>
  <c r="Z2194" i="14"/>
  <c r="T2194" i="14"/>
  <c r="U2185" i="14"/>
  <c r="D1423" i="37" s="1"/>
  <c r="V2185" i="14"/>
  <c r="W2184" i="14"/>
  <c r="Z2195" i="14" l="1"/>
  <c r="AA2186" i="14"/>
  <c r="AB2185" i="14"/>
  <c r="U2186" i="14"/>
  <c r="D1424" i="37" s="1"/>
  <c r="V2186" i="14"/>
  <c r="W2185" i="14"/>
  <c r="T2195" i="14"/>
  <c r="AA2187" i="14" l="1"/>
  <c r="AB2186" i="14"/>
  <c r="Z2196" i="14"/>
  <c r="T2196" i="14"/>
  <c r="U2187" i="14"/>
  <c r="D1425" i="37" s="1"/>
  <c r="V2187" i="14"/>
  <c r="W2186" i="14"/>
  <c r="B2183" i="14" s="1"/>
  <c r="Z2197" i="14" l="1"/>
  <c r="AA2188" i="14"/>
  <c r="AB2187" i="14"/>
  <c r="V2188" i="14"/>
  <c r="U2188" i="14"/>
  <c r="U2189" i="14" s="1"/>
  <c r="W2187" i="14"/>
  <c r="T2197" i="14"/>
  <c r="W2189" i="14" l="1"/>
  <c r="D6" i="47" s="1"/>
  <c r="B6" i="47"/>
  <c r="AA2189" i="14"/>
  <c r="C6" i="47" s="1"/>
  <c r="AB2188" i="14"/>
  <c r="Z2198" i="14"/>
  <c r="D1426" i="37"/>
  <c r="T2198" i="14"/>
  <c r="D1427" i="37"/>
  <c r="V2189" i="14"/>
  <c r="W2188" i="14"/>
  <c r="Z2199" i="14" l="1"/>
  <c r="AA2190" i="14"/>
  <c r="C7" i="47" s="1"/>
  <c r="AB2189" i="14"/>
  <c r="E6" i="47" s="1"/>
  <c r="U2190" i="14"/>
  <c r="B7" i="47" s="1"/>
  <c r="V2190" i="14"/>
  <c r="T2199" i="14"/>
  <c r="AA2191" i="14" l="1"/>
  <c r="C8" i="47" s="1"/>
  <c r="AB2190" i="14"/>
  <c r="E7" i="47" s="1"/>
  <c r="Z2200" i="14"/>
  <c r="D1428" i="37"/>
  <c r="T2200" i="14"/>
  <c r="U2191" i="14"/>
  <c r="V2191" i="14"/>
  <c r="W2190" i="14"/>
  <c r="D7" i="47" s="1"/>
  <c r="D1429" i="37" l="1"/>
  <c r="B8" i="47"/>
  <c r="Z2201" i="14"/>
  <c r="AA2192" i="14"/>
  <c r="C9" i="47" s="1"/>
  <c r="AB2191" i="14"/>
  <c r="E8" i="47" s="1"/>
  <c r="U2192" i="14"/>
  <c r="V2192" i="14"/>
  <c r="W2191" i="14"/>
  <c r="D8" i="47" s="1"/>
  <c r="T2201" i="14"/>
  <c r="D1430" i="37" l="1"/>
  <c r="B9" i="47"/>
  <c r="AA2193" i="14"/>
  <c r="C10" i="47" s="1"/>
  <c r="AB2192" i="14"/>
  <c r="E9" i="47" s="1"/>
  <c r="Z2202" i="14"/>
  <c r="Z2203" i="14" s="1"/>
  <c r="T2202" i="14"/>
  <c r="U2193" i="14"/>
  <c r="V2193" i="14"/>
  <c r="W2192" i="14"/>
  <c r="D9" i="47" s="1"/>
  <c r="D1431" i="37" l="1"/>
  <c r="B10" i="47"/>
  <c r="AA2194" i="14"/>
  <c r="C11" i="47" s="1"/>
  <c r="AB2193" i="14"/>
  <c r="E10" i="47" s="1"/>
  <c r="U2194" i="14"/>
  <c r="V2194" i="14"/>
  <c r="W2193" i="14"/>
  <c r="T2203" i="14"/>
  <c r="D1432" i="37" l="1"/>
  <c r="B11" i="47"/>
  <c r="B2190" i="14"/>
  <c r="D10" i="47"/>
  <c r="AA2195" i="14"/>
  <c r="C12" i="47" s="1"/>
  <c r="AB2194" i="14"/>
  <c r="E11" i="47" s="1"/>
  <c r="Z2204" i="14"/>
  <c r="T2204" i="14"/>
  <c r="U2195" i="14"/>
  <c r="V2195" i="14"/>
  <c r="W2194" i="14"/>
  <c r="D11" i="47" s="1"/>
  <c r="D1433" i="37" l="1"/>
  <c r="B12" i="47"/>
  <c r="Z2205" i="14"/>
  <c r="AA2196" i="14"/>
  <c r="C13" i="47" s="1"/>
  <c r="AB2195" i="14"/>
  <c r="E12" i="47" s="1"/>
  <c r="V2196" i="14"/>
  <c r="U2196" i="14"/>
  <c r="W2195" i="14"/>
  <c r="D12" i="47" s="1"/>
  <c r="T2205" i="14"/>
  <c r="W2196" i="14" l="1"/>
  <c r="D13" i="47" s="1"/>
  <c r="B13" i="47"/>
  <c r="AA2197" i="14"/>
  <c r="C14" i="47" s="1"/>
  <c r="AB2196" i="14"/>
  <c r="E13" i="47" s="1"/>
  <c r="Z2206" i="14"/>
  <c r="D1434" i="37"/>
  <c r="T2206" i="14"/>
  <c r="V2197" i="14"/>
  <c r="U2197" i="14"/>
  <c r="D1435" i="37" l="1"/>
  <c r="B14" i="47"/>
  <c r="Z2207" i="14"/>
  <c r="AA2198" i="14"/>
  <c r="C15" i="47" s="1"/>
  <c r="AB2197" i="14"/>
  <c r="E14" i="47" s="1"/>
  <c r="V2198" i="14"/>
  <c r="U2198" i="14"/>
  <c r="W2197" i="14"/>
  <c r="D14" i="47" s="1"/>
  <c r="T2207" i="14"/>
  <c r="D1436" i="37" l="1"/>
  <c r="B15" i="47"/>
  <c r="AA2199" i="14"/>
  <c r="C16" i="47" s="1"/>
  <c r="AB2198" i="14"/>
  <c r="E15" i="47" s="1"/>
  <c r="Z2208" i="14"/>
  <c r="U2199" i="14"/>
  <c r="V2199" i="14"/>
  <c r="W2198" i="14"/>
  <c r="D15" i="47" s="1"/>
  <c r="T2208" i="14"/>
  <c r="D1437" i="37" l="1"/>
  <c r="B16" i="47"/>
  <c r="Z2209" i="14"/>
  <c r="AA2200" i="14"/>
  <c r="C17" i="47" s="1"/>
  <c r="AB2199" i="14"/>
  <c r="E16" i="47" s="1"/>
  <c r="T2209" i="14"/>
  <c r="V2200" i="14"/>
  <c r="U2200" i="14"/>
  <c r="W2199" i="14"/>
  <c r="D16" i="47" s="1"/>
  <c r="D1438" i="37" l="1"/>
  <c r="B17" i="47"/>
  <c r="AA2201" i="14"/>
  <c r="C18" i="47" s="1"/>
  <c r="AB2200" i="14"/>
  <c r="E17" i="47" s="1"/>
  <c r="Z2210" i="14"/>
  <c r="T2210" i="14"/>
  <c r="U2201" i="14"/>
  <c r="B18" i="47" s="1"/>
  <c r="V2201" i="14"/>
  <c r="W2200" i="14"/>
  <c r="B2197" i="14" l="1"/>
  <c r="D17" i="47"/>
  <c r="D1439" i="37"/>
  <c r="Z2211" i="14"/>
  <c r="AA2202" i="14"/>
  <c r="AB2201" i="14"/>
  <c r="E18" i="47" s="1"/>
  <c r="U2202" i="14"/>
  <c r="V2202" i="14"/>
  <c r="W2201" i="14"/>
  <c r="D18" i="47" s="1"/>
  <c r="T2211" i="14"/>
  <c r="O13" i="18" l="1"/>
  <c r="D1440" i="37"/>
  <c r="B19" i="47"/>
  <c r="AA2203" i="14"/>
  <c r="C19" i="47"/>
  <c r="AB2202" i="14"/>
  <c r="E19" i="47" s="1"/>
  <c r="Z2212" i="14"/>
  <c r="T2212" i="14"/>
  <c r="V2203" i="14"/>
  <c r="U2203" i="14"/>
  <c r="W2202" i="14"/>
  <c r="D19" i="47" s="1"/>
  <c r="AB2203" i="14" l="1"/>
  <c r="E20" i="47" s="1"/>
  <c r="C20" i="47"/>
  <c r="D1441" i="37"/>
  <c r="B20" i="47"/>
  <c r="Z2213" i="14"/>
  <c r="AA2204" i="14"/>
  <c r="C21" i="47" s="1"/>
  <c r="V2204" i="14"/>
  <c r="U2204" i="14"/>
  <c r="W2203" i="14"/>
  <c r="D20" i="47" s="1"/>
  <c r="T2213" i="14"/>
  <c r="D1442" i="37" l="1"/>
  <c r="B21" i="47"/>
  <c r="AA2205" i="14"/>
  <c r="C22" i="47" s="1"/>
  <c r="AB2204" i="14"/>
  <c r="E21" i="47" s="1"/>
  <c r="Z2214" i="14"/>
  <c r="T2214" i="14"/>
  <c r="U2205" i="14"/>
  <c r="V2205" i="14"/>
  <c r="W2204" i="14"/>
  <c r="D1443" i="37" l="1"/>
  <c r="B22" i="47"/>
  <c r="D21" i="47"/>
  <c r="Z2215" i="14"/>
  <c r="AA2206" i="14"/>
  <c r="C23" i="47" s="1"/>
  <c r="AB2205" i="14"/>
  <c r="E22" i="47" s="1"/>
  <c r="V2206" i="14"/>
  <c r="U2206" i="14"/>
  <c r="W2205" i="14"/>
  <c r="T2215" i="14"/>
  <c r="D22" i="47" l="1"/>
  <c r="D1444" i="37"/>
  <c r="B23" i="47"/>
  <c r="AA2207" i="14"/>
  <c r="C24" i="47" s="1"/>
  <c r="AB2206" i="14"/>
  <c r="E23" i="47" s="1"/>
  <c r="Z2216" i="14"/>
  <c r="T2216" i="14"/>
  <c r="V2207" i="14"/>
  <c r="U2207" i="14"/>
  <c r="W2206" i="14"/>
  <c r="D23" i="47" l="1"/>
  <c r="D1445" i="37"/>
  <c r="B24" i="47"/>
  <c r="Z2217" i="14"/>
  <c r="AA2208" i="14"/>
  <c r="C25" i="47" s="1"/>
  <c r="AB2207" i="14"/>
  <c r="E24" i="47" s="1"/>
  <c r="U2208" i="14"/>
  <c r="V2208" i="14"/>
  <c r="W2207" i="14"/>
  <c r="T2217" i="14"/>
  <c r="B2204" i="14" l="1"/>
  <c r="D24" i="47"/>
  <c r="D1446" i="37"/>
  <c r="B25" i="47"/>
  <c r="AA2209" i="14"/>
  <c r="C26" i="47" s="1"/>
  <c r="AB2208" i="14"/>
  <c r="E25" i="47" s="1"/>
  <c r="Z2218" i="14"/>
  <c r="T2218" i="14"/>
  <c r="V2209" i="14"/>
  <c r="U2209" i="14"/>
  <c r="W2208" i="14"/>
  <c r="D25" i="47" l="1"/>
  <c r="D1447" i="37"/>
  <c r="B26" i="47"/>
  <c r="Z2219" i="14"/>
  <c r="AA2210" i="14"/>
  <c r="C27" i="47" s="1"/>
  <c r="AB2209" i="14"/>
  <c r="E26" i="47" s="1"/>
  <c r="V2210" i="14"/>
  <c r="U2210" i="14"/>
  <c r="W2209" i="14"/>
  <c r="D26" i="47" s="1"/>
  <c r="T2219" i="14"/>
  <c r="D1448" i="37" l="1"/>
  <c r="B27" i="47"/>
  <c r="AA2211" i="14"/>
  <c r="C28" i="47" s="1"/>
  <c r="AB2210" i="14"/>
  <c r="E27" i="47" s="1"/>
  <c r="Z2220" i="14"/>
  <c r="T2220" i="14"/>
  <c r="V2211" i="14"/>
  <c r="U2211" i="14"/>
  <c r="W2210" i="14"/>
  <c r="D27" i="47" s="1"/>
  <c r="D1449" i="37" l="1"/>
  <c r="B28" i="47"/>
  <c r="Z2221" i="14"/>
  <c r="AA2212" i="14"/>
  <c r="C29" i="47" s="1"/>
  <c r="AB2211" i="14"/>
  <c r="E28" i="47" s="1"/>
  <c r="V2212" i="14"/>
  <c r="U2212" i="14"/>
  <c r="O12" i="18" s="1"/>
  <c r="W2211" i="14"/>
  <c r="D28" i="47" s="1"/>
  <c r="T2221" i="14"/>
  <c r="D1450" i="37" l="1"/>
  <c r="B29" i="47"/>
  <c r="AA2213" i="14"/>
  <c r="C30" i="47" s="1"/>
  <c r="AB2212" i="14"/>
  <c r="E29" i="47" s="1"/>
  <c r="Z2222" i="14"/>
  <c r="T2222" i="14"/>
  <c r="V2213" i="14"/>
  <c r="U2213" i="14"/>
  <c r="W2212" i="14"/>
  <c r="D29" i="47" s="1"/>
  <c r="O10" i="18" l="1"/>
  <c r="D1451" i="37"/>
  <c r="B30" i="47"/>
  <c r="Z2223" i="14"/>
  <c r="AA2214" i="14"/>
  <c r="C31" i="47" s="1"/>
  <c r="AB2213" i="14"/>
  <c r="E30" i="47" s="1"/>
  <c r="V2214" i="14"/>
  <c r="U2214" i="14"/>
  <c r="W2213" i="14"/>
  <c r="D30" i="47" s="1"/>
  <c r="T2223" i="14"/>
  <c r="O11" i="18" l="1"/>
  <c r="D1452" i="37"/>
  <c r="B31" i="47"/>
  <c r="AA2215" i="14"/>
  <c r="C32" i="47" s="1"/>
  <c r="AB2214" i="14"/>
  <c r="E31" i="47" s="1"/>
  <c r="Z2224" i="14"/>
  <c r="T2224" i="14"/>
  <c r="V2215" i="14"/>
  <c r="U2215" i="14"/>
  <c r="W2214" i="14"/>
  <c r="D1453" i="37" l="1"/>
  <c r="B32" i="47"/>
  <c r="B2211" i="14"/>
  <c r="D31" i="47"/>
  <c r="Z2225" i="14"/>
  <c r="AA2216" i="14"/>
  <c r="C33" i="47" s="1"/>
  <c r="AB2215" i="14"/>
  <c r="E32" i="47" s="1"/>
  <c r="U2216" i="14"/>
  <c r="V2216" i="14"/>
  <c r="W2215" i="14"/>
  <c r="D32" i="47" s="1"/>
  <c r="T2225" i="14"/>
  <c r="D1454" i="37" l="1"/>
  <c r="B33" i="47"/>
  <c r="AA2217" i="14"/>
  <c r="C34" i="47" s="1"/>
  <c r="AB2216" i="14"/>
  <c r="E33" i="47" s="1"/>
  <c r="Z2226" i="14"/>
  <c r="T2226" i="14"/>
  <c r="V2217" i="14"/>
  <c r="U2217" i="14"/>
  <c r="W2216" i="14"/>
  <c r="D33" i="47" s="1"/>
  <c r="D1455" i="37" l="1"/>
  <c r="B34" i="47"/>
  <c r="Z2227" i="14"/>
  <c r="AA2218" i="14"/>
  <c r="C35" i="47" s="1"/>
  <c r="AB2217" i="14"/>
  <c r="E34" i="47" s="1"/>
  <c r="U2218" i="14"/>
  <c r="V2218" i="14"/>
  <c r="W2217" i="14"/>
  <c r="D34" i="47" s="1"/>
  <c r="T2227" i="14"/>
  <c r="D1456" i="37" l="1"/>
  <c r="B35" i="47"/>
  <c r="AA2219" i="14"/>
  <c r="C36" i="47" s="1"/>
  <c r="AB2218" i="14"/>
  <c r="E35" i="47" s="1"/>
  <c r="Z2228" i="14"/>
  <c r="T2228" i="14"/>
  <c r="V2219" i="14"/>
  <c r="U2219" i="14"/>
  <c r="W2218" i="14"/>
  <c r="D35" i="47" s="1"/>
  <c r="D1457" i="37" l="1"/>
  <c r="B36" i="47"/>
  <c r="Z2229" i="14"/>
  <c r="AA2220" i="14"/>
  <c r="C37" i="47" s="1"/>
  <c r="AB2219" i="14"/>
  <c r="E36" i="47" s="1"/>
  <c r="V2220" i="14"/>
  <c r="U2220" i="14"/>
  <c r="W2219" i="14"/>
  <c r="D36" i="47" s="1"/>
  <c r="T2229" i="14"/>
  <c r="D1458" i="37" l="1"/>
  <c r="B37" i="47"/>
  <c r="AA2221" i="14"/>
  <c r="C38" i="47" s="1"/>
  <c r="AB2220" i="14"/>
  <c r="E37" i="47" s="1"/>
  <c r="Z2230" i="14"/>
  <c r="T2230" i="14"/>
  <c r="V2221" i="14"/>
  <c r="U2221" i="14"/>
  <c r="W2220" i="14"/>
  <c r="D37" i="47" s="1"/>
  <c r="D1459" i="37" l="1"/>
  <c r="B38" i="47"/>
  <c r="Z2231" i="14"/>
  <c r="AA2222" i="14"/>
  <c r="AB2221" i="14"/>
  <c r="E38" i="47" s="1"/>
  <c r="V2222" i="14"/>
  <c r="U2222" i="14"/>
  <c r="D1460" i="37" s="1"/>
  <c r="W2221" i="14"/>
  <c r="T2231" i="14"/>
  <c r="B2218" i="14" l="1"/>
  <c r="D38" i="47"/>
  <c r="AA2223" i="14"/>
  <c r="AB2222" i="14"/>
  <c r="Z2232" i="14"/>
  <c r="T2232" i="14"/>
  <c r="V2223" i="14"/>
  <c r="U2223" i="14"/>
  <c r="D1461" i="37" s="1"/>
  <c r="W2222" i="14"/>
  <c r="Z2233" i="14" l="1"/>
  <c r="AA2224" i="14"/>
  <c r="AB2223" i="14"/>
  <c r="T2233" i="14"/>
  <c r="V2224" i="14"/>
  <c r="U2224" i="14"/>
  <c r="D1462" i="37" s="1"/>
  <c r="W2223" i="14"/>
  <c r="AA2225" i="14" l="1"/>
  <c r="AB2224" i="14"/>
  <c r="Z2234" i="14"/>
  <c r="V2225" i="14"/>
  <c r="U2225" i="14"/>
  <c r="D1463" i="37" s="1"/>
  <c r="W2224" i="14"/>
  <c r="T2234" i="14"/>
  <c r="Z2235" i="14" l="1"/>
  <c r="AA2226" i="14"/>
  <c r="AB2225" i="14"/>
  <c r="T2235" i="14"/>
  <c r="U2226" i="14"/>
  <c r="D1464" i="37" s="1"/>
  <c r="V2226" i="14"/>
  <c r="W2225" i="14"/>
  <c r="AA2227" i="14" l="1"/>
  <c r="AB2226" i="14"/>
  <c r="Z2236" i="14"/>
  <c r="V2227" i="14"/>
  <c r="U2227" i="14"/>
  <c r="D1465" i="37" s="1"/>
  <c r="W2226" i="14"/>
  <c r="T2236" i="14"/>
  <c r="Z2237" i="14" l="1"/>
  <c r="AA2228" i="14"/>
  <c r="AB2227" i="14"/>
  <c r="U2228" i="14"/>
  <c r="D1466" i="37" s="1"/>
  <c r="V2228" i="14"/>
  <c r="W2227" i="14"/>
  <c r="T2237" i="14"/>
  <c r="AA2229" i="14" l="1"/>
  <c r="AB2228" i="14"/>
  <c r="Z2238" i="14"/>
  <c r="T2238" i="14"/>
  <c r="U2229" i="14"/>
  <c r="D1467" i="37" s="1"/>
  <c r="V2229" i="14"/>
  <c r="W2228" i="14"/>
  <c r="B2225" i="14" s="1"/>
  <c r="Z2239" i="14" l="1"/>
  <c r="AA2230" i="14"/>
  <c r="AB2229" i="14"/>
  <c r="V2230" i="14"/>
  <c r="U2230" i="14"/>
  <c r="D1468" i="37" s="1"/>
  <c r="W2229" i="14"/>
  <c r="T2239" i="14"/>
  <c r="AA2231" i="14" l="1"/>
  <c r="AB2230" i="14"/>
  <c r="Z2240" i="14"/>
  <c r="T2240" i="14"/>
  <c r="U2231" i="14"/>
  <c r="D1469" i="37" s="1"/>
  <c r="V2231" i="14"/>
  <c r="W2230" i="14"/>
  <c r="Z2241" i="14" l="1"/>
  <c r="AA2232" i="14"/>
  <c r="AB2231" i="14"/>
  <c r="T2241" i="14"/>
  <c r="V2232" i="14"/>
  <c r="U2232" i="14"/>
  <c r="D1470" i="37" s="1"/>
  <c r="W2231" i="14"/>
  <c r="AA2233" i="14" l="1"/>
  <c r="AB2232" i="14"/>
  <c r="Z2242" i="14"/>
  <c r="U2233" i="14"/>
  <c r="D1471" i="37" s="1"/>
  <c r="V2233" i="14"/>
  <c r="W2232" i="14"/>
  <c r="T2242" i="14"/>
  <c r="Z2243" i="14" l="1"/>
  <c r="AA2234" i="14"/>
  <c r="AB2233" i="14"/>
  <c r="T2243" i="14"/>
  <c r="U2234" i="14"/>
  <c r="D1472" i="37" s="1"/>
  <c r="V2234" i="14"/>
  <c r="W2233" i="14"/>
  <c r="AA2235" i="14" l="1"/>
  <c r="AB2234" i="14"/>
  <c r="Z2244" i="14"/>
  <c r="V2235" i="14"/>
  <c r="U2235" i="14"/>
  <c r="D1473" i="37" s="1"/>
  <c r="W2234" i="14"/>
  <c r="T2244" i="14"/>
  <c r="Z2245" i="14" l="1"/>
  <c r="AA2236" i="14"/>
  <c r="AB2235" i="14"/>
  <c r="T2245" i="14"/>
  <c r="U2236" i="14"/>
  <c r="D1474" i="37" s="1"/>
  <c r="V2236" i="14"/>
  <c r="W2235" i="14"/>
  <c r="B2232" i="14" s="1"/>
  <c r="AA2237" i="14" l="1"/>
  <c r="AB2236" i="14"/>
  <c r="Z2246" i="14"/>
  <c r="U2237" i="14"/>
  <c r="D1475" i="37" s="1"/>
  <c r="V2237" i="14"/>
  <c r="W2236" i="14"/>
  <c r="T2246" i="14"/>
  <c r="Z2247" i="14" l="1"/>
  <c r="AA2238" i="14"/>
  <c r="AB2237" i="14"/>
  <c r="T2247" i="14"/>
  <c r="U2238" i="14"/>
  <c r="D1476" i="37" s="1"/>
  <c r="V2238" i="14"/>
  <c r="W2237" i="14"/>
  <c r="AA2239" i="14" l="1"/>
  <c r="AB2238" i="14"/>
  <c r="Z2248" i="14"/>
  <c r="U2239" i="14"/>
  <c r="D1477" i="37" s="1"/>
  <c r="V2239" i="14"/>
  <c r="W2238" i="14"/>
  <c r="T2248" i="14"/>
  <c r="Z2249" i="14" l="1"/>
  <c r="AA2240" i="14"/>
  <c r="AB2239" i="14"/>
  <c r="T2249" i="14"/>
  <c r="V2240" i="14"/>
  <c r="U2240" i="14"/>
  <c r="D1478" i="37" s="1"/>
  <c r="W2239" i="14"/>
  <c r="AA2241" i="14" l="1"/>
  <c r="AB2240" i="14"/>
  <c r="Z2250" i="14"/>
  <c r="U2241" i="14"/>
  <c r="D1479" i="37" s="1"/>
  <c r="V2241" i="14"/>
  <c r="W2240" i="14"/>
  <c r="T2250" i="14"/>
  <c r="Z2251" i="14" l="1"/>
  <c r="AA2242" i="14"/>
  <c r="AB2241" i="14"/>
  <c r="T2251" i="14"/>
  <c r="V2242" i="14"/>
  <c r="U2242" i="14"/>
  <c r="D1480" i="37" s="1"/>
  <c r="W2241" i="14"/>
  <c r="AA2243" i="14" l="1"/>
  <c r="AB2242" i="14"/>
  <c r="Z2252" i="14"/>
  <c r="U2243" i="14"/>
  <c r="D1481" i="37" s="1"/>
  <c r="V2243" i="14"/>
  <c r="W2242" i="14"/>
  <c r="B2239" i="14" s="1"/>
  <c r="T2252" i="14"/>
  <c r="Z2253" i="14" l="1"/>
  <c r="AA2244" i="14"/>
  <c r="AB2243" i="14"/>
  <c r="T2253" i="14"/>
  <c r="V2244" i="14"/>
  <c r="U2244" i="14"/>
  <c r="D1482" i="37" s="1"/>
  <c r="W2243" i="14"/>
  <c r="AA2245" i="14" l="1"/>
  <c r="AB2244" i="14"/>
  <c r="Z2254" i="14"/>
  <c r="U2245" i="14"/>
  <c r="D1483" i="37" s="1"/>
  <c r="V2245" i="14"/>
  <c r="W2244" i="14"/>
  <c r="T2254" i="14"/>
  <c r="Z2255" i="14" l="1"/>
  <c r="AA2246" i="14"/>
  <c r="AB2245" i="14"/>
  <c r="T2255" i="14"/>
  <c r="V2246" i="14"/>
  <c r="U2246" i="14"/>
  <c r="D1484" i="37" s="1"/>
  <c r="W2245" i="14"/>
  <c r="AA2247" i="14" l="1"/>
  <c r="AB2246" i="14"/>
  <c r="Z2256" i="14"/>
  <c r="U2247" i="14"/>
  <c r="D1485" i="37" s="1"/>
  <c r="V2247" i="14"/>
  <c r="W2246" i="14"/>
  <c r="T2256" i="14"/>
  <c r="Z2257" i="14" l="1"/>
  <c r="AA2248" i="14"/>
  <c r="AB2247" i="14"/>
  <c r="T2257" i="14"/>
  <c r="V2248" i="14"/>
  <c r="U2248" i="14"/>
  <c r="D1486" i="37" s="1"/>
  <c r="W2247" i="14"/>
  <c r="AA2249" i="14" l="1"/>
  <c r="AB2248" i="14"/>
  <c r="Z2258" i="14"/>
  <c r="U2249" i="14"/>
  <c r="D1487" i="37" s="1"/>
  <c r="V2249" i="14"/>
  <c r="W2248" i="14"/>
  <c r="T2258" i="14"/>
  <c r="Z2259" i="14" l="1"/>
  <c r="AA2250" i="14"/>
  <c r="AB2249" i="14"/>
  <c r="T2259" i="14"/>
  <c r="V2250" i="14"/>
  <c r="U2250" i="14"/>
  <c r="D1488" i="37" s="1"/>
  <c r="W2249" i="14"/>
  <c r="B2246" i="14" s="1"/>
  <c r="AA2251" i="14" l="1"/>
  <c r="AB2250" i="14"/>
  <c r="Z2260" i="14"/>
  <c r="U2251" i="14"/>
  <c r="D1489" i="37" s="1"/>
  <c r="V2251" i="14"/>
  <c r="W2250" i="14"/>
  <c r="T2260" i="14"/>
  <c r="Z2261" i="14" l="1"/>
  <c r="AA2252" i="14"/>
  <c r="AB2251" i="14"/>
  <c r="T2261" i="14"/>
  <c r="V2252" i="14"/>
  <c r="U2252" i="14"/>
  <c r="D1490" i="37" s="1"/>
  <c r="W2251" i="14"/>
  <c r="AA2253" i="14" l="1"/>
  <c r="AB2252" i="14"/>
  <c r="Z2262" i="14"/>
  <c r="V2253" i="14"/>
  <c r="U2253" i="14"/>
  <c r="D1491" i="37" s="1"/>
  <c r="W2252" i="14"/>
  <c r="T2262" i="14"/>
  <c r="Z2263" i="14" l="1"/>
  <c r="AA2254" i="14"/>
  <c r="AB2253" i="14"/>
  <c r="T2263" i="14"/>
  <c r="V2254" i="14"/>
  <c r="U2254" i="14"/>
  <c r="D1492" i="37" s="1"/>
  <c r="W2253" i="14"/>
  <c r="AA2255" i="14" l="1"/>
  <c r="AB2254" i="14"/>
  <c r="Z2264" i="14"/>
  <c r="V2255" i="14"/>
  <c r="U2255" i="14"/>
  <c r="D1493" i="37" s="1"/>
  <c r="W2254" i="14"/>
  <c r="T2264" i="14"/>
  <c r="Z2265" i="14" l="1"/>
  <c r="AA2256" i="14"/>
  <c r="AB2255" i="14"/>
  <c r="T2265" i="14"/>
  <c r="V2256" i="14"/>
  <c r="U2256" i="14"/>
  <c r="D1494" i="37" s="1"/>
  <c r="W2255" i="14"/>
  <c r="AA2257" i="14" l="1"/>
  <c r="AB2256" i="14"/>
  <c r="Z2266" i="14"/>
  <c r="U2257" i="14"/>
  <c r="D1495" i="37" s="1"/>
  <c r="V2257" i="14"/>
  <c r="W2256" i="14"/>
  <c r="B2253" i="14" s="1"/>
  <c r="T2266" i="14"/>
  <c r="Z2267" i="14" l="1"/>
  <c r="AA2258" i="14"/>
  <c r="AB2257" i="14"/>
  <c r="T2267" i="14"/>
  <c r="U2258" i="14"/>
  <c r="D1496" i="37" s="1"/>
  <c r="V2258" i="14"/>
  <c r="W2257" i="14"/>
  <c r="AA2259" i="14" l="1"/>
  <c r="AB2258" i="14"/>
  <c r="Z2268" i="14"/>
  <c r="U2259" i="14"/>
  <c r="D1497" i="37" s="1"/>
  <c r="V2259" i="14"/>
  <c r="W2258" i="14"/>
  <c r="T2268" i="14"/>
  <c r="Z2269" i="14" l="1"/>
  <c r="AA2260" i="14"/>
  <c r="AB2259" i="14"/>
  <c r="V2260" i="14"/>
  <c r="U2260" i="14"/>
  <c r="D1498" i="37" s="1"/>
  <c r="W2259" i="14"/>
  <c r="T2269" i="14"/>
  <c r="AA2261" i="14" l="1"/>
  <c r="AB2260" i="14"/>
  <c r="Z2270" i="14"/>
  <c r="T2270" i="14"/>
  <c r="V2261" i="14"/>
  <c r="U2261" i="14"/>
  <c r="W2260" i="14"/>
  <c r="Z2271" i="14" l="1"/>
  <c r="AA2262" i="14"/>
  <c r="AB2261" i="14"/>
  <c r="U2262" i="14"/>
  <c r="V2262" i="14"/>
  <c r="W2261" i="14"/>
  <c r="T2271" i="14"/>
  <c r="AA2263" i="14" l="1"/>
  <c r="AB2262" i="14"/>
  <c r="Z2272" i="14"/>
  <c r="T2272" i="14"/>
  <c r="V2263" i="14"/>
  <c r="U2263" i="14"/>
  <c r="W2262" i="14"/>
  <c r="Z2273" i="14" l="1"/>
  <c r="AA2264" i="14"/>
  <c r="AB2263" i="14"/>
  <c r="V2264" i="14"/>
  <c r="U2264" i="14"/>
  <c r="W2263" i="14"/>
  <c r="B2260" i="14" s="1"/>
  <c r="T2273" i="14"/>
  <c r="AA2265" i="14" l="1"/>
  <c r="AB2264" i="14"/>
  <c r="Z2274" i="14"/>
  <c r="T2274" i="14"/>
  <c r="V2265" i="14"/>
  <c r="U2265" i="14"/>
  <c r="W2264" i="14"/>
  <c r="Z2275" i="14" l="1"/>
  <c r="AA2266" i="14"/>
  <c r="AB2265" i="14"/>
  <c r="U2266" i="14"/>
  <c r="V2266" i="14"/>
  <c r="W2265" i="14"/>
  <c r="T2275" i="14"/>
  <c r="AA2267" i="14" l="1"/>
  <c r="AB2266" i="14"/>
  <c r="Z2276" i="14"/>
  <c r="U2267" i="14"/>
  <c r="V2267" i="14"/>
  <c r="W2266" i="14"/>
  <c r="T2276" i="14"/>
  <c r="Z2277" i="14" l="1"/>
  <c r="AA2268" i="14"/>
  <c r="AB2267" i="14"/>
  <c r="T2277" i="14"/>
  <c r="U2268" i="14"/>
  <c r="V2268" i="14"/>
  <c r="W2267" i="14"/>
  <c r="AA2269" i="14" l="1"/>
  <c r="AB2268" i="14"/>
  <c r="Z2278" i="14"/>
  <c r="U2269" i="14"/>
  <c r="V2269" i="14"/>
  <c r="W2268" i="14"/>
  <c r="T2278" i="14"/>
  <c r="Z2279" i="14" l="1"/>
  <c r="AA2270" i="14"/>
  <c r="AB2269" i="14"/>
  <c r="T2279" i="14"/>
  <c r="U2270" i="14"/>
  <c r="V2270" i="14"/>
  <c r="W2269" i="14"/>
  <c r="AA2271" i="14" l="1"/>
  <c r="AB2270" i="14"/>
  <c r="Z2280" i="14"/>
  <c r="V2271" i="14"/>
  <c r="U2271" i="14"/>
  <c r="W2270" i="14"/>
  <c r="B2267" i="14" s="1"/>
  <c r="T2280" i="14"/>
  <c r="Z2281" i="14" l="1"/>
  <c r="AA2272" i="14"/>
  <c r="AB2271" i="14"/>
  <c r="T2281" i="14"/>
  <c r="U2272" i="14"/>
  <c r="V2272" i="14"/>
  <c r="W2271" i="14"/>
  <c r="AA2273" i="14" l="1"/>
  <c r="AB2272" i="14"/>
  <c r="Z2282" i="14"/>
  <c r="U2273" i="14"/>
  <c r="V2273" i="14"/>
  <c r="W2272" i="14"/>
  <c r="T2282" i="14"/>
  <c r="Z2283" i="14" l="1"/>
  <c r="AA2274" i="14"/>
  <c r="AB2273" i="14"/>
  <c r="T2283" i="14"/>
  <c r="U2274" i="14"/>
  <c r="V2274" i="14"/>
  <c r="W2273" i="14"/>
  <c r="AA2275" i="14" l="1"/>
  <c r="AB2274" i="14"/>
  <c r="Z2284" i="14"/>
  <c r="U2275" i="14"/>
  <c r="V2275" i="14"/>
  <c r="W2274" i="14"/>
  <c r="T2284" i="14"/>
  <c r="Z2285" i="14" l="1"/>
  <c r="AA2276" i="14"/>
  <c r="AB2275" i="14"/>
  <c r="T2285" i="14"/>
  <c r="U2276" i="14"/>
  <c r="V2276" i="14"/>
  <c r="W2275" i="14"/>
  <c r="AA2277" i="14" l="1"/>
  <c r="AB2276" i="14"/>
  <c r="Z2286" i="14"/>
  <c r="U2277" i="14"/>
  <c r="V2277" i="14"/>
  <c r="W2276" i="14"/>
  <c r="T2286" i="14"/>
  <c r="Z2287" i="14" l="1"/>
  <c r="AA2278" i="14"/>
  <c r="AB2277" i="14"/>
  <c r="T2287" i="14"/>
  <c r="U2278" i="14"/>
  <c r="V2278" i="14"/>
  <c r="W2277" i="14"/>
  <c r="B2274" i="14" s="1"/>
  <c r="AA2279" i="14" l="1"/>
  <c r="AB2278" i="14"/>
  <c r="Z2288" i="14"/>
  <c r="U2279" i="14"/>
  <c r="V2279" i="14"/>
  <c r="W2278" i="14"/>
  <c r="T2288" i="14"/>
  <c r="Z2289" i="14" l="1"/>
  <c r="AA2280" i="14"/>
  <c r="AB2279" i="14"/>
  <c r="T2289" i="14"/>
  <c r="U2280" i="14"/>
  <c r="V2280" i="14"/>
  <c r="W2279" i="14"/>
  <c r="AA2281" i="14" l="1"/>
  <c r="AB2280" i="14"/>
  <c r="Z2290" i="14"/>
  <c r="U2281" i="14"/>
  <c r="V2281" i="14"/>
  <c r="W2280" i="14"/>
  <c r="T2290" i="14"/>
  <c r="Z2291" i="14" l="1"/>
  <c r="AA2282" i="14"/>
  <c r="AB2281" i="14"/>
  <c r="T2291" i="14"/>
  <c r="U2282" i="14"/>
  <c r="V2282" i="14"/>
  <c r="W2281" i="14"/>
  <c r="AA2283" i="14" l="1"/>
  <c r="AB2282" i="14"/>
  <c r="Z2292" i="14"/>
  <c r="V2283" i="14"/>
  <c r="U2283" i="14"/>
  <c r="W2282" i="14"/>
  <c r="T2292" i="14"/>
  <c r="Z2293" i="14" l="1"/>
  <c r="AA2284" i="14"/>
  <c r="AB2283" i="14"/>
  <c r="T2293" i="14"/>
  <c r="V2284" i="14"/>
  <c r="U2284" i="14"/>
  <c r="W2283" i="14"/>
  <c r="AA2285" i="14" l="1"/>
  <c r="AB2284" i="14"/>
  <c r="Z2294" i="14"/>
  <c r="V2285" i="14"/>
  <c r="U2285" i="14"/>
  <c r="W2284" i="14"/>
  <c r="B2281" i="14" s="1"/>
  <c r="T2294" i="14"/>
  <c r="Z2295" i="14" l="1"/>
  <c r="AA2286" i="14"/>
  <c r="AB2285" i="14"/>
  <c r="T2295" i="14"/>
  <c r="V2286" i="14"/>
  <c r="U2286" i="14"/>
  <c r="W2285" i="14"/>
  <c r="AA2287" i="14" l="1"/>
  <c r="AB2286" i="14"/>
  <c r="Z2296" i="14"/>
  <c r="U2287" i="14"/>
  <c r="V2287" i="14"/>
  <c r="W2286" i="14"/>
  <c r="T2296" i="14"/>
  <c r="Z2297" i="14" l="1"/>
  <c r="AA2288" i="14"/>
  <c r="AB2287" i="14"/>
  <c r="U2288" i="14"/>
  <c r="V2288" i="14"/>
  <c r="W2287" i="14"/>
  <c r="T2297" i="14"/>
  <c r="AA2289" i="14" l="1"/>
  <c r="AB2288" i="14"/>
  <c r="Z2298" i="14"/>
  <c r="T2298" i="14"/>
  <c r="V2289" i="14"/>
  <c r="U2289" i="14"/>
  <c r="W2288" i="14"/>
  <c r="Z2299" i="14" l="1"/>
  <c r="AA2290" i="14"/>
  <c r="AB2289" i="14"/>
  <c r="U2290" i="14"/>
  <c r="V2290" i="14"/>
  <c r="W2289" i="14"/>
  <c r="T2299" i="14"/>
  <c r="AA2291" i="14" l="1"/>
  <c r="AB2290" i="14"/>
  <c r="Z2300" i="14"/>
  <c r="T2300" i="14"/>
  <c r="V2291" i="14"/>
  <c r="U2291" i="14"/>
  <c r="W2290" i="14"/>
  <c r="Z2301" i="14" l="1"/>
  <c r="AA2292" i="14"/>
  <c r="AB2291" i="14"/>
  <c r="U2292" i="14"/>
  <c r="V2292" i="14"/>
  <c r="W2291" i="14"/>
  <c r="B2288" i="14" s="1"/>
  <c r="T2301" i="14"/>
  <c r="AA2293" i="14" l="1"/>
  <c r="AB2292" i="14"/>
  <c r="Z2302" i="14"/>
  <c r="T2302" i="14"/>
  <c r="U2293" i="14"/>
  <c r="V2293" i="14"/>
  <c r="W2292" i="14"/>
  <c r="Z2303" i="14" l="1"/>
  <c r="AA2294" i="14"/>
  <c r="AB2293" i="14"/>
  <c r="U2294" i="14"/>
  <c r="V2294" i="14"/>
  <c r="W2293" i="14"/>
  <c r="T2303" i="14"/>
  <c r="AA2295" i="14" l="1"/>
  <c r="AB2294" i="14"/>
  <c r="Z2304" i="14"/>
  <c r="T2304" i="14"/>
  <c r="U2295" i="14"/>
  <c r="V2295" i="14"/>
  <c r="W2294" i="14"/>
  <c r="Z2305" i="14" l="1"/>
  <c r="AA2296" i="14"/>
  <c r="AB2295" i="14"/>
  <c r="U2296" i="14"/>
  <c r="V2296" i="14"/>
  <c r="W2295" i="14"/>
  <c r="T2305" i="14"/>
  <c r="AA2297" i="14" l="1"/>
  <c r="AB2296" i="14"/>
  <c r="Z2306" i="14"/>
  <c r="T2306" i="14"/>
  <c r="V2297" i="14"/>
  <c r="U2297" i="14"/>
  <c r="W2296" i="14"/>
  <c r="Z2307" i="14" l="1"/>
  <c r="AA2298" i="14"/>
  <c r="AB2297" i="14"/>
  <c r="V2298" i="14"/>
  <c r="U2298" i="14"/>
  <c r="W2297" i="14"/>
  <c r="T2307" i="14"/>
  <c r="AA2299" i="14" l="1"/>
  <c r="AB2298" i="14"/>
  <c r="Z2308" i="14"/>
  <c r="T2308" i="14"/>
  <c r="V2299" i="14"/>
  <c r="U2299" i="14"/>
  <c r="W2298" i="14"/>
  <c r="B2295" i="14" s="1"/>
  <c r="Z2309" i="14" l="1"/>
  <c r="AA2300" i="14"/>
  <c r="AB2299" i="14"/>
  <c r="U2300" i="14"/>
  <c r="V2300" i="14"/>
  <c r="W2299" i="14"/>
  <c r="T2309" i="14"/>
  <c r="AA2301" i="14" l="1"/>
  <c r="AB2300" i="14"/>
  <c r="Z2310" i="14"/>
  <c r="T2310" i="14"/>
  <c r="U2301" i="14"/>
  <c r="V2301" i="14"/>
  <c r="W2300" i="14"/>
  <c r="Z2311" i="14" l="1"/>
  <c r="AA2302" i="14"/>
  <c r="AB2301" i="14"/>
  <c r="U2302" i="14"/>
  <c r="V2302" i="14"/>
  <c r="W2301" i="14"/>
  <c r="T2311" i="14"/>
  <c r="AA2303" i="14" l="1"/>
  <c r="AB2302" i="14"/>
  <c r="Z2312" i="14"/>
  <c r="T2312" i="14"/>
  <c r="U2303" i="14"/>
  <c r="V2303" i="14"/>
  <c r="W2302" i="14"/>
  <c r="Z2313" i="14" l="1"/>
  <c r="AA2304" i="14"/>
  <c r="AB2303" i="14"/>
  <c r="U2304" i="14"/>
  <c r="V2304" i="14"/>
  <c r="W2303" i="14"/>
  <c r="T2313" i="14"/>
  <c r="AA2305" i="14" l="1"/>
  <c r="AB2304" i="14"/>
  <c r="Z2314" i="14"/>
  <c r="T2314" i="14"/>
  <c r="U2305" i="14"/>
  <c r="V2305" i="14"/>
  <c r="W2304" i="14"/>
  <c r="Z2315" i="14" l="1"/>
  <c r="AA2306" i="14"/>
  <c r="AB2305" i="14"/>
  <c r="U2306" i="14"/>
  <c r="W2306" i="14" s="1"/>
  <c r="V2306" i="14"/>
  <c r="W2305" i="14"/>
  <c r="B2302" i="14" s="1"/>
  <c r="T2315" i="14"/>
  <c r="AA2307" i="14" l="1"/>
  <c r="AB2306" i="14"/>
  <c r="Z2316" i="14"/>
  <c r="T2316" i="14"/>
  <c r="U2307" i="14"/>
  <c r="V2307" i="14"/>
  <c r="Z2317" i="14" l="1"/>
  <c r="AA2308" i="14"/>
  <c r="AB2307" i="14"/>
  <c r="V2308" i="14"/>
  <c r="U2308" i="14"/>
  <c r="W2307" i="14"/>
  <c r="T2317" i="14"/>
  <c r="AA2309" i="14" l="1"/>
  <c r="AB2308" i="14"/>
  <c r="Z2318" i="14"/>
  <c r="T2318" i="14"/>
  <c r="U2309" i="14"/>
  <c r="V2309" i="14"/>
  <c r="W2308" i="14"/>
  <c r="Z2319" i="14" l="1"/>
  <c r="AA2310" i="14"/>
  <c r="AB2309" i="14"/>
  <c r="V2310" i="14"/>
  <c r="U2310" i="14"/>
  <c r="W2309" i="14"/>
  <c r="T2319" i="14"/>
  <c r="AA2311" i="14" l="1"/>
  <c r="AB2310" i="14"/>
  <c r="Z2320" i="14"/>
  <c r="T2320" i="14"/>
  <c r="V2311" i="14"/>
  <c r="U2311" i="14"/>
  <c r="W2310" i="14"/>
  <c r="Z2321" i="14" l="1"/>
  <c r="AA2312" i="14"/>
  <c r="AB2311" i="14"/>
  <c r="V2312" i="14"/>
  <c r="U2312" i="14"/>
  <c r="W2311" i="14"/>
  <c r="T2321" i="14"/>
  <c r="AA2313" i="14" l="1"/>
  <c r="AB2312" i="14"/>
  <c r="Z2322" i="14"/>
  <c r="U2313" i="14"/>
  <c r="V2313" i="14"/>
  <c r="W2312" i="14"/>
  <c r="B2309" i="14" s="1"/>
  <c r="T2322" i="14"/>
  <c r="Z2323" i="14" l="1"/>
  <c r="AA2314" i="14"/>
  <c r="AB2313" i="14"/>
  <c r="T2323" i="14"/>
  <c r="V2314" i="14"/>
  <c r="U2314" i="14"/>
  <c r="W2313" i="14"/>
  <c r="AA2315" i="14" l="1"/>
  <c r="AB2314" i="14"/>
  <c r="Z2324" i="14"/>
  <c r="U2315" i="14"/>
  <c r="V2315" i="14"/>
  <c r="W2314" i="14"/>
  <c r="T2324" i="14"/>
  <c r="Z2325" i="14" l="1"/>
  <c r="AA2316" i="14"/>
  <c r="AB2315" i="14"/>
  <c r="T2325" i="14"/>
  <c r="U2316" i="14"/>
  <c r="V2316" i="14"/>
  <c r="W2315" i="14"/>
  <c r="AA2317" i="14" l="1"/>
  <c r="AB2316" i="14"/>
  <c r="Z2326" i="14"/>
  <c r="T2326" i="14"/>
  <c r="U2317" i="14"/>
  <c r="V2317" i="14"/>
  <c r="W2316" i="14"/>
  <c r="Z2327" i="14" l="1"/>
  <c r="AA2318" i="14"/>
  <c r="AB2317" i="14"/>
  <c r="U2318" i="14"/>
  <c r="V2318" i="14"/>
  <c r="W2317" i="14"/>
  <c r="T2327" i="14"/>
  <c r="AA2319" i="14" l="1"/>
  <c r="AB2318" i="14"/>
  <c r="Z2328" i="14"/>
  <c r="T2328" i="14"/>
  <c r="U2319" i="14"/>
  <c r="V2319" i="14"/>
  <c r="W2318" i="14"/>
  <c r="Z2329" i="14" l="1"/>
  <c r="AA2320" i="14"/>
  <c r="AB2319" i="14"/>
  <c r="V2320" i="14"/>
  <c r="U2320" i="14"/>
  <c r="W2319" i="14"/>
  <c r="B2316" i="14" s="1"/>
  <c r="T2329" i="14"/>
  <c r="AA2321" i="14" l="1"/>
  <c r="AB2320" i="14"/>
  <c r="Z2330" i="14"/>
  <c r="T2330" i="14"/>
  <c r="U2321" i="14"/>
  <c r="V2321" i="14"/>
  <c r="W2320" i="14"/>
  <c r="Z2331" i="14" l="1"/>
  <c r="AA2322" i="14"/>
  <c r="AB2321" i="14"/>
  <c r="U2322" i="14"/>
  <c r="V2322" i="14"/>
  <c r="W2321" i="14"/>
  <c r="T2331" i="14"/>
  <c r="AA2323" i="14" l="1"/>
  <c r="AB2322" i="14"/>
  <c r="Z2332" i="14"/>
  <c r="T2332" i="14"/>
  <c r="U2323" i="14"/>
  <c r="V2323" i="14"/>
  <c r="W2322" i="14"/>
  <c r="Z2333" i="14" l="1"/>
  <c r="AA2324" i="14"/>
  <c r="AB2323" i="14"/>
  <c r="U2324" i="14"/>
  <c r="V2324" i="14"/>
  <c r="W2323" i="14"/>
  <c r="T2333" i="14"/>
  <c r="AA2325" i="14" l="1"/>
  <c r="AB2324" i="14"/>
  <c r="Z2334" i="14"/>
  <c r="T2334" i="14"/>
  <c r="V2325" i="14"/>
  <c r="U2325" i="14"/>
  <c r="W2324" i="14"/>
  <c r="Z2335" i="14" l="1"/>
  <c r="AA2326" i="14"/>
  <c r="AB2325" i="14"/>
  <c r="U2326" i="14"/>
  <c r="V2326" i="14"/>
  <c r="W2325" i="14"/>
  <c r="T2335" i="14"/>
  <c r="AA2327" i="14" l="1"/>
  <c r="AB2326" i="14"/>
  <c r="Z2336" i="14"/>
  <c r="T2336" i="14"/>
  <c r="V2327" i="14"/>
  <c r="U2327" i="14"/>
  <c r="W2326" i="14"/>
  <c r="B2323" i="14" s="1"/>
  <c r="Z2337" i="14" l="1"/>
  <c r="AA2328" i="14"/>
  <c r="AB2327" i="14"/>
  <c r="V2328" i="14"/>
  <c r="U2328" i="14"/>
  <c r="W2327" i="14"/>
  <c r="T2337" i="14"/>
  <c r="AA2329" i="14" l="1"/>
  <c r="AB2328" i="14"/>
  <c r="Z2338" i="14"/>
  <c r="T2338" i="14"/>
  <c r="V2329" i="14"/>
  <c r="U2329" i="14"/>
  <c r="W2328" i="14"/>
  <c r="Z2339" i="14" l="1"/>
  <c r="AA2330" i="14"/>
  <c r="AB2329" i="14"/>
  <c r="V2330" i="14"/>
  <c r="U2330" i="14"/>
  <c r="W2329" i="14"/>
  <c r="T2339" i="14"/>
  <c r="AA2331" i="14" l="1"/>
  <c r="AB2330" i="14"/>
  <c r="Z2340" i="14"/>
  <c r="T2340" i="14"/>
  <c r="V2331" i="14"/>
  <c r="U2331" i="14"/>
  <c r="W2330" i="14"/>
  <c r="Z2341" i="14" l="1"/>
  <c r="AA2332" i="14"/>
  <c r="AB2331" i="14"/>
  <c r="U2332" i="14"/>
  <c r="V2332" i="14"/>
  <c r="W2331" i="14"/>
  <c r="T2341" i="14"/>
  <c r="AA2333" i="14" l="1"/>
  <c r="AB2332" i="14"/>
  <c r="Z2342" i="14"/>
  <c r="T2342" i="14"/>
  <c r="V2333" i="14"/>
  <c r="U2333" i="14"/>
  <c r="W2332" i="14"/>
  <c r="Z2343" i="14" l="1"/>
  <c r="AA2334" i="14"/>
  <c r="AB2333" i="14"/>
  <c r="U2334" i="14"/>
  <c r="V2334" i="14"/>
  <c r="W2333" i="14"/>
  <c r="B2330" i="14" s="1"/>
  <c r="T2343" i="14"/>
  <c r="AA2335" i="14" l="1"/>
  <c r="AB2334" i="14"/>
  <c r="Z2344" i="14"/>
  <c r="T2344" i="14"/>
  <c r="V2335" i="14"/>
  <c r="U2335" i="14"/>
  <c r="W2334" i="14"/>
  <c r="Z2345" i="14" l="1"/>
  <c r="AA2336" i="14"/>
  <c r="AB2335" i="14"/>
  <c r="U2336" i="14"/>
  <c r="V2336" i="14"/>
  <c r="W2335" i="14"/>
  <c r="T2345" i="14"/>
  <c r="AA2337" i="14" l="1"/>
  <c r="AB2336" i="14"/>
  <c r="Z2346" i="14"/>
  <c r="T2346" i="14"/>
  <c r="V2337" i="14"/>
  <c r="U2337" i="14"/>
  <c r="W2336" i="14"/>
  <c r="Z2347" i="14" l="1"/>
  <c r="AA2338" i="14"/>
  <c r="AB2337" i="14"/>
  <c r="V2338" i="14"/>
  <c r="U2338" i="14"/>
  <c r="W2337" i="14"/>
  <c r="T2347" i="14"/>
  <c r="AA2339" i="14" l="1"/>
  <c r="AB2338" i="14"/>
  <c r="Z2348" i="14"/>
  <c r="T2348" i="14"/>
  <c r="V2339" i="14"/>
  <c r="U2339" i="14"/>
  <c r="W2338" i="14"/>
  <c r="Z2349" i="14" l="1"/>
  <c r="AA2340" i="14"/>
  <c r="AB2339" i="14"/>
  <c r="V2340" i="14"/>
  <c r="U2340" i="14"/>
  <c r="W2339" i="14"/>
  <c r="T2349" i="14"/>
  <c r="AA2341" i="14" l="1"/>
  <c r="AB2340" i="14"/>
  <c r="Z2350" i="14"/>
  <c r="T2350" i="14"/>
  <c r="V2341" i="14"/>
  <c r="U2341" i="14"/>
  <c r="W2340" i="14"/>
  <c r="B2337" i="14" s="1"/>
  <c r="Z2351" i="14" l="1"/>
  <c r="AA2342" i="14"/>
  <c r="AB2341" i="14"/>
  <c r="U2342" i="14"/>
  <c r="V2342" i="14"/>
  <c r="W2341" i="14"/>
  <c r="T2351" i="14"/>
  <c r="AA2343" i="14" l="1"/>
  <c r="AB2342" i="14"/>
  <c r="Z2352" i="14"/>
  <c r="T2352" i="14"/>
  <c r="U2343" i="14"/>
  <c r="V2343" i="14"/>
  <c r="W2342" i="14"/>
  <c r="Z2353" i="14" l="1"/>
  <c r="AA2344" i="14"/>
  <c r="AB2343" i="14"/>
  <c r="U2344" i="14"/>
  <c r="V2344" i="14"/>
  <c r="W2343" i="14"/>
  <c r="T2353" i="14"/>
  <c r="AA2345" i="14" l="1"/>
  <c r="AB2344" i="14"/>
  <c r="Z2354" i="14"/>
  <c r="T2354" i="14"/>
  <c r="V2345" i="14"/>
  <c r="U2345" i="14"/>
  <c r="W2344" i="14"/>
  <c r="Z2355" i="14" l="1"/>
  <c r="AA2346" i="14"/>
  <c r="AB2345" i="14"/>
  <c r="V2346" i="14"/>
  <c r="U2346" i="14"/>
  <c r="W2345" i="14"/>
  <c r="T2355" i="14"/>
  <c r="AA2347" i="14" l="1"/>
  <c r="AB2346" i="14"/>
  <c r="Z2356" i="14"/>
  <c r="T2356" i="14"/>
  <c r="U2347" i="14"/>
  <c r="V2347" i="14"/>
  <c r="W2346" i="14"/>
  <c r="Z2357" i="14" l="1"/>
  <c r="AA2348" i="14"/>
  <c r="AB2347" i="14"/>
  <c r="V2348" i="14"/>
  <c r="U2348" i="14"/>
  <c r="W2347" i="14"/>
  <c r="B2344" i="14" s="1"/>
  <c r="T2357" i="14"/>
  <c r="AA2349" i="14" l="1"/>
  <c r="AB2348" i="14"/>
  <c r="Z2358" i="14"/>
  <c r="T2358" i="14"/>
  <c r="U2349" i="14"/>
  <c r="V2349" i="14"/>
  <c r="W2348" i="14"/>
  <c r="Z2359" i="14" l="1"/>
  <c r="AA2350" i="14"/>
  <c r="AB2349" i="14"/>
  <c r="V2350" i="14"/>
  <c r="U2350" i="14"/>
  <c r="W2349" i="14"/>
  <c r="T2359" i="14"/>
  <c r="AA2351" i="14" l="1"/>
  <c r="AB2350" i="14"/>
  <c r="Z2360" i="14"/>
  <c r="T2360" i="14"/>
  <c r="U2351" i="14"/>
  <c r="V2351" i="14"/>
  <c r="W2350" i="14"/>
  <c r="Z2361" i="14" l="1"/>
  <c r="AA2352" i="14"/>
  <c r="AB2351" i="14"/>
  <c r="U2352" i="14"/>
  <c r="V2352" i="14"/>
  <c r="W2351" i="14"/>
  <c r="T2361" i="14"/>
  <c r="AA2353" i="14" l="1"/>
  <c r="AB2352" i="14"/>
  <c r="Z2362" i="14"/>
  <c r="T2362" i="14"/>
  <c r="U2353" i="14"/>
  <c r="V2353" i="14"/>
  <c r="W2352" i="14"/>
  <c r="Z2363" i="14" l="1"/>
  <c r="AA2354" i="14"/>
  <c r="AB2353" i="14"/>
  <c r="U2354" i="14"/>
  <c r="V2354" i="14"/>
  <c r="W2353" i="14"/>
  <c r="T2363" i="14"/>
  <c r="AA2355" i="14" l="1"/>
  <c r="AB2354" i="14"/>
  <c r="Z2364" i="14"/>
  <c r="T2364" i="14"/>
  <c r="U2355" i="14"/>
  <c r="V2355" i="14"/>
  <c r="W2354" i="14"/>
  <c r="B2351" i="14" s="1"/>
  <c r="Z2365" i="14" l="1"/>
  <c r="AA2356" i="14"/>
  <c r="AB2355" i="14"/>
  <c r="V2356" i="14"/>
  <c r="U2356" i="14"/>
  <c r="W2355" i="14"/>
  <c r="T2365" i="14"/>
  <c r="AA2357" i="14" l="1"/>
  <c r="AB2356" i="14"/>
  <c r="Z2366" i="14"/>
  <c r="T2366" i="14"/>
  <c r="U2357" i="14"/>
  <c r="V2357" i="14"/>
  <c r="W2356" i="14"/>
  <c r="Z2367" i="14" l="1"/>
  <c r="AA2358" i="14"/>
  <c r="AB2357" i="14"/>
  <c r="U2358" i="14"/>
  <c r="V2358" i="14"/>
  <c r="W2357" i="14"/>
  <c r="T2367" i="14"/>
  <c r="AA2359" i="14" l="1"/>
  <c r="AB2358" i="14"/>
  <c r="Z2368" i="14"/>
  <c r="T2368" i="14"/>
  <c r="U2359" i="14"/>
  <c r="V2359" i="14"/>
  <c r="W2358" i="14"/>
  <c r="Z2369" i="14" l="1"/>
  <c r="AA2360" i="14"/>
  <c r="AB2359" i="14"/>
  <c r="U2360" i="14"/>
  <c r="V2360" i="14"/>
  <c r="W2359" i="14"/>
  <c r="T2369" i="14"/>
  <c r="AA2361" i="14" l="1"/>
  <c r="AB2360" i="14"/>
  <c r="Z2370" i="14"/>
  <c r="T2370" i="14"/>
  <c r="U2361" i="14"/>
  <c r="V2361" i="14"/>
  <c r="W2360" i="14"/>
  <c r="Z2371" i="14" l="1"/>
  <c r="AA2362" i="14"/>
  <c r="AB2361" i="14"/>
  <c r="U2362" i="14"/>
  <c r="V2362" i="14"/>
  <c r="W2361" i="14"/>
  <c r="B2358" i="14" s="1"/>
  <c r="T2371" i="14"/>
  <c r="AA2363" i="14" l="1"/>
  <c r="AB2362" i="14"/>
  <c r="Z2372" i="14"/>
  <c r="T2372" i="14"/>
  <c r="U2363" i="14"/>
  <c r="V2363" i="14"/>
  <c r="W2362" i="14"/>
  <c r="Z2373" i="14" l="1"/>
  <c r="AA2364" i="14"/>
  <c r="AB2363" i="14"/>
  <c r="V2364" i="14"/>
  <c r="U2364" i="14"/>
  <c r="W2363" i="14"/>
  <c r="T2373" i="14"/>
  <c r="AA2365" i="14" l="1"/>
  <c r="AB2364" i="14"/>
  <c r="Z2374" i="14"/>
  <c r="T2374" i="14"/>
  <c r="V2365" i="14"/>
  <c r="U2365" i="14"/>
  <c r="W2364" i="14"/>
  <c r="Z2375" i="14" l="1"/>
  <c r="AA2366" i="14"/>
  <c r="AB2365" i="14"/>
  <c r="V2366" i="14"/>
  <c r="U2366" i="14"/>
  <c r="W2365" i="14"/>
  <c r="T2375" i="14"/>
  <c r="AA2367" i="14" l="1"/>
  <c r="AB2366" i="14"/>
  <c r="Z2376" i="14"/>
  <c r="T2376" i="14"/>
  <c r="V2367" i="14"/>
  <c r="U2367" i="14"/>
  <c r="W2366" i="14"/>
  <c r="Z2377" i="14" l="1"/>
  <c r="AA2368" i="14"/>
  <c r="AB2367" i="14"/>
  <c r="V2368" i="14"/>
  <c r="U2368" i="14"/>
  <c r="W2367" i="14"/>
  <c r="T2377" i="14"/>
  <c r="AA2369" i="14" l="1"/>
  <c r="AB2368" i="14"/>
  <c r="Z2378" i="14"/>
  <c r="U2369" i="14"/>
  <c r="V2369" i="14"/>
  <c r="W2368" i="14"/>
  <c r="B2365" i="14" s="1"/>
  <c r="T2378" i="14"/>
  <c r="Z2379" i="14" l="1"/>
  <c r="AA2370" i="14"/>
  <c r="AB2369" i="14"/>
  <c r="T2379" i="14"/>
  <c r="U2370" i="14"/>
  <c r="V2370" i="14"/>
  <c r="W2369" i="14"/>
  <c r="AA2371" i="14" l="1"/>
  <c r="AB2370" i="14"/>
  <c r="Z2380" i="14"/>
  <c r="U2371" i="14"/>
  <c r="V2371" i="14"/>
  <c r="W2370" i="14"/>
  <c r="T2380" i="14"/>
  <c r="Z2381" i="14" l="1"/>
  <c r="AA2372" i="14"/>
  <c r="AB2371" i="14"/>
  <c r="T2381" i="14"/>
  <c r="U2372" i="14"/>
  <c r="V2372" i="14"/>
  <c r="W2371" i="14"/>
  <c r="AA2373" i="14" l="1"/>
  <c r="AB2372" i="14"/>
  <c r="Z2382" i="14"/>
  <c r="T2382" i="14"/>
  <c r="U2373" i="14"/>
  <c r="V2373" i="14"/>
  <c r="W2372" i="14"/>
  <c r="Z2383" i="14" l="1"/>
  <c r="AA2374" i="14"/>
  <c r="AB2373" i="14"/>
  <c r="V2374" i="14"/>
  <c r="U2374" i="14"/>
  <c r="W2373" i="14"/>
  <c r="T2383" i="14"/>
  <c r="AA2375" i="14" l="1"/>
  <c r="AB2374" i="14"/>
  <c r="Z2384" i="14"/>
  <c r="T2384" i="14"/>
  <c r="U2375" i="14"/>
  <c r="V2375" i="14"/>
  <c r="W2374" i="14"/>
  <c r="Z2385" i="14" l="1"/>
  <c r="AA2376" i="14"/>
  <c r="AB2375" i="14"/>
  <c r="U2376" i="14"/>
  <c r="V2376" i="14"/>
  <c r="W2375" i="14"/>
  <c r="B2372" i="14" s="1"/>
  <c r="T2385" i="14"/>
  <c r="AA2377" i="14" l="1"/>
  <c r="AB2376" i="14"/>
  <c r="Z2386" i="14"/>
  <c r="T2386" i="14"/>
  <c r="U2377" i="14"/>
  <c r="V2377" i="14"/>
  <c r="W2376" i="14"/>
  <c r="Z2387" i="14" l="1"/>
  <c r="AA2378" i="14"/>
  <c r="AB2377" i="14"/>
  <c r="U2378" i="14"/>
  <c r="V2378" i="14"/>
  <c r="W2377" i="14"/>
  <c r="T2387" i="14"/>
  <c r="AA2379" i="14" l="1"/>
  <c r="AB2378" i="14"/>
  <c r="Z2388" i="14"/>
  <c r="T2388" i="14"/>
  <c r="V2379" i="14"/>
  <c r="U2379" i="14"/>
  <c r="W2378" i="14"/>
  <c r="Z2389" i="14" l="1"/>
  <c r="AA2380" i="14"/>
  <c r="AB2379" i="14"/>
  <c r="U2380" i="14"/>
  <c r="V2380" i="14"/>
  <c r="W2379" i="14"/>
  <c r="T2389" i="14"/>
  <c r="AA2381" i="14" l="1"/>
  <c r="AB2380" i="14"/>
  <c r="Z2390" i="14"/>
  <c r="T2390" i="14"/>
  <c r="V2381" i="14"/>
  <c r="U2381" i="14"/>
  <c r="W2380" i="14"/>
  <c r="Z2391" i="14" l="1"/>
  <c r="AA2382" i="14"/>
  <c r="AB2381" i="14"/>
  <c r="U2382" i="14"/>
  <c r="V2382" i="14"/>
  <c r="W2381" i="14"/>
  <c r="T2391" i="14"/>
  <c r="AA2383" i="14" l="1"/>
  <c r="AB2382" i="14"/>
  <c r="Z2392" i="14"/>
  <c r="T2392" i="14"/>
  <c r="U2383" i="14"/>
  <c r="V2383" i="14"/>
  <c r="W2382" i="14"/>
  <c r="B2379" i="14" s="1"/>
  <c r="Z2393" i="14" l="1"/>
  <c r="AA2384" i="14"/>
  <c r="AB2383" i="14"/>
  <c r="U2384" i="14"/>
  <c r="V2384" i="14"/>
  <c r="W2383" i="14"/>
  <c r="T2393" i="14"/>
  <c r="AA2385" i="14" l="1"/>
  <c r="AB2384" i="14"/>
  <c r="Z2394" i="14"/>
  <c r="T2394" i="14"/>
  <c r="U2385" i="14"/>
  <c r="V2385" i="14"/>
  <c r="W2384" i="14"/>
  <c r="Z2395" i="14" l="1"/>
  <c r="AA2386" i="14"/>
  <c r="AB2385" i="14"/>
  <c r="T2395" i="14"/>
  <c r="U2386" i="14"/>
  <c r="V2386" i="14"/>
  <c r="W2385" i="14"/>
  <c r="AA2387" i="14" l="1"/>
  <c r="AB2386" i="14"/>
  <c r="Z2396" i="14"/>
  <c r="U2387" i="14"/>
  <c r="V2387" i="14"/>
  <c r="W2386" i="14"/>
  <c r="T2396" i="14"/>
  <c r="Z2397" i="14" l="1"/>
  <c r="AA2388" i="14"/>
  <c r="AB2387" i="14"/>
  <c r="T2397" i="14"/>
  <c r="U2388" i="14"/>
  <c r="V2388" i="14"/>
  <c r="W2387" i="14"/>
  <c r="AA2389" i="14" l="1"/>
  <c r="AB2388" i="14"/>
  <c r="Z2398" i="14"/>
  <c r="U2389" i="14"/>
  <c r="V2389" i="14"/>
  <c r="W2388" i="14"/>
  <c r="T2398" i="14"/>
  <c r="Z2399" i="14" l="1"/>
  <c r="AA2390" i="14"/>
  <c r="AB2389" i="14"/>
  <c r="T2399" i="14"/>
  <c r="U2390" i="14"/>
  <c r="V2390" i="14"/>
  <c r="W2389" i="14"/>
  <c r="B2386" i="14" s="1"/>
  <c r="AA2391" i="14" l="1"/>
  <c r="AB2390" i="14"/>
  <c r="Z2400" i="14"/>
  <c r="U2391" i="14"/>
  <c r="V2391" i="14"/>
  <c r="W2390" i="14"/>
  <c r="T2400" i="14"/>
  <c r="Z2401" i="14" l="1"/>
  <c r="AA2392" i="14"/>
  <c r="AB2391" i="14"/>
  <c r="T2401" i="14"/>
  <c r="U2392" i="14"/>
  <c r="V2392" i="14"/>
  <c r="W2391" i="14"/>
  <c r="AA2393" i="14" l="1"/>
  <c r="AB2392" i="14"/>
  <c r="Z2402" i="14"/>
  <c r="V2393" i="14"/>
  <c r="U2393" i="14"/>
  <c r="W2392" i="14"/>
  <c r="T2402" i="14"/>
  <c r="Z2403" i="14" l="1"/>
  <c r="AA2394" i="14"/>
  <c r="AB2393" i="14"/>
  <c r="T2403" i="14"/>
  <c r="U2394" i="14"/>
  <c r="V2394" i="14"/>
  <c r="W2393" i="14"/>
  <c r="AA2395" i="14" l="1"/>
  <c r="AB2394" i="14"/>
  <c r="Z2404" i="14"/>
  <c r="V2395" i="14"/>
  <c r="U2395" i="14"/>
  <c r="W2394" i="14"/>
  <c r="T2404" i="14"/>
  <c r="Z2405" i="14" l="1"/>
  <c r="AA2396" i="14"/>
  <c r="AB2395" i="14"/>
  <c r="T2405" i="14"/>
  <c r="V2396" i="14"/>
  <c r="U2396" i="14"/>
  <c r="W2395" i="14"/>
  <c r="AA2397" i="14" l="1"/>
  <c r="AB2396" i="14"/>
  <c r="Z2406" i="14"/>
  <c r="U2397" i="14"/>
  <c r="V2397" i="14"/>
  <c r="W2396" i="14"/>
  <c r="B2393" i="14" s="1"/>
  <c r="T2406" i="14"/>
  <c r="Z2407" i="14" l="1"/>
  <c r="AA2398" i="14"/>
  <c r="AB2397" i="14"/>
  <c r="T2407" i="14"/>
  <c r="U2398" i="14"/>
  <c r="V2398" i="14"/>
  <c r="W2397" i="14"/>
  <c r="AA2399" i="14" l="1"/>
  <c r="AB2398" i="14"/>
  <c r="Z2408" i="14"/>
  <c r="V2399" i="14"/>
  <c r="U2399" i="14"/>
  <c r="W2398" i="14"/>
  <c r="T2408" i="14"/>
  <c r="Z2409" i="14" l="1"/>
  <c r="AA2400" i="14"/>
  <c r="AB2399" i="14"/>
  <c r="T2409" i="14"/>
  <c r="U2400" i="14"/>
  <c r="V2400" i="14"/>
  <c r="W2399" i="14"/>
  <c r="AA2401" i="14" l="1"/>
  <c r="AB2400" i="14"/>
  <c r="Z2410" i="14"/>
  <c r="V2401" i="14"/>
  <c r="U2401" i="14"/>
  <c r="W2400" i="14"/>
  <c r="T2410" i="14"/>
  <c r="Z2411" i="14" l="1"/>
  <c r="AA2402" i="14"/>
  <c r="AB2401" i="14"/>
  <c r="T2411" i="14"/>
  <c r="U2402" i="14"/>
  <c r="V2402" i="14"/>
  <c r="W2401" i="14"/>
  <c r="AA2403" i="14" l="1"/>
  <c r="AB2402" i="14"/>
  <c r="Z2412" i="14"/>
  <c r="V2403" i="14"/>
  <c r="U2403" i="14"/>
  <c r="W2402" i="14"/>
  <c r="T2412" i="14"/>
  <c r="Z2413" i="14" l="1"/>
  <c r="AA2404" i="14"/>
  <c r="AB2403" i="14"/>
  <c r="T2413" i="14"/>
  <c r="V2404" i="14"/>
  <c r="U2404" i="14"/>
  <c r="W2403" i="14"/>
  <c r="B2400" i="14" s="1"/>
  <c r="AA2405" i="14" l="1"/>
  <c r="AB2404" i="14"/>
  <c r="Z2414" i="14"/>
  <c r="V2405" i="14"/>
  <c r="U2405" i="14"/>
  <c r="W2404" i="14"/>
  <c r="T2414" i="14"/>
  <c r="Z2415" i="14" l="1"/>
  <c r="AA2406" i="14"/>
  <c r="AB2405" i="14"/>
  <c r="T2415" i="14"/>
  <c r="V2406" i="14"/>
  <c r="U2406" i="14"/>
  <c r="W2405" i="14"/>
  <c r="AA2407" i="14" l="1"/>
  <c r="AB2406" i="14"/>
  <c r="Z2416" i="14"/>
  <c r="V2407" i="14"/>
  <c r="U2407" i="14"/>
  <c r="W2406" i="14"/>
  <c r="T2416" i="14"/>
  <c r="Z2417" i="14" l="1"/>
  <c r="AA2408" i="14"/>
  <c r="AB2407" i="14"/>
  <c r="T2417" i="14"/>
  <c r="V2408" i="14"/>
  <c r="U2408" i="14"/>
  <c r="W2407" i="14"/>
  <c r="AA2409" i="14" l="1"/>
  <c r="AB2408" i="14"/>
  <c r="Z2418" i="14"/>
  <c r="U2409" i="14"/>
  <c r="V2409" i="14"/>
  <c r="W2408" i="14"/>
  <c r="T2418" i="14"/>
  <c r="Z2419" i="14" l="1"/>
  <c r="AA2410" i="14"/>
  <c r="AB2409" i="14"/>
  <c r="T2419" i="14"/>
  <c r="U2410" i="14"/>
  <c r="V2410" i="14"/>
  <c r="W2409" i="14"/>
  <c r="AA2411" i="14" l="1"/>
  <c r="AB2410" i="14"/>
  <c r="Z2420" i="14"/>
  <c r="U2411" i="14"/>
  <c r="V2411" i="14"/>
  <c r="W2410" i="14"/>
  <c r="B2407" i="14" s="1"/>
  <c r="T2420" i="14"/>
  <c r="Z2421" i="14" l="1"/>
  <c r="AA2412" i="14"/>
  <c r="AB2411" i="14"/>
  <c r="T2421" i="14"/>
  <c r="V2412" i="14"/>
  <c r="U2412" i="14"/>
  <c r="W2411" i="14"/>
  <c r="AA2413" i="14" l="1"/>
  <c r="AB2412" i="14"/>
  <c r="Z2422" i="14"/>
  <c r="V2413" i="14"/>
  <c r="U2413" i="14"/>
  <c r="W2412" i="14"/>
  <c r="T2422" i="14"/>
  <c r="Z2423" i="14" l="1"/>
  <c r="AA2414" i="14"/>
  <c r="AB2413" i="14"/>
  <c r="T2423" i="14"/>
  <c r="V2414" i="14"/>
  <c r="U2414" i="14"/>
  <c r="W2413" i="14"/>
  <c r="AA2415" i="14" l="1"/>
  <c r="AB2414" i="14"/>
  <c r="Z2424" i="14"/>
  <c r="V2415" i="14"/>
  <c r="U2415" i="14"/>
  <c r="W2414" i="14"/>
  <c r="T2424" i="14"/>
  <c r="Z2425" i="14" l="1"/>
  <c r="AA2416" i="14"/>
  <c r="AB2415" i="14"/>
  <c r="T2425" i="14"/>
  <c r="V2416" i="14"/>
  <c r="U2416" i="14"/>
  <c r="W2415" i="14"/>
  <c r="AA2417" i="14" l="1"/>
  <c r="AB2416" i="14"/>
  <c r="Z2426" i="14"/>
  <c r="U2417" i="14"/>
  <c r="V2417" i="14"/>
  <c r="W2416" i="14"/>
  <c r="T2426" i="14"/>
  <c r="Z2427" i="14" l="1"/>
  <c r="AA2418" i="14"/>
  <c r="AB2417" i="14"/>
  <c r="T2427" i="14"/>
  <c r="V2418" i="14"/>
  <c r="U2418" i="14"/>
  <c r="W2417" i="14"/>
  <c r="B2414" i="14" s="1"/>
  <c r="AA2419" i="14" l="1"/>
  <c r="AB2418" i="14"/>
  <c r="Z2428" i="14"/>
  <c r="U2419" i="14"/>
  <c r="V2419" i="14"/>
  <c r="W2418" i="14"/>
  <c r="T2428" i="14"/>
  <c r="Z2429" i="14" l="1"/>
  <c r="AA2420" i="14"/>
  <c r="AB2419" i="14"/>
  <c r="T2429" i="14"/>
  <c r="V2420" i="14"/>
  <c r="U2420" i="14"/>
  <c r="W2419" i="14"/>
  <c r="AA2421" i="14" l="1"/>
  <c r="AB2420" i="14"/>
  <c r="Z2430" i="14"/>
  <c r="U2421" i="14"/>
  <c r="V2421" i="14"/>
  <c r="W2420" i="14"/>
  <c r="T2430" i="14"/>
  <c r="Z2431" i="14" l="1"/>
  <c r="AA2422" i="14"/>
  <c r="AB2421" i="14"/>
  <c r="T2431" i="14"/>
  <c r="V2422" i="14"/>
  <c r="U2422" i="14"/>
  <c r="W2421" i="14"/>
  <c r="AA2423" i="14" l="1"/>
  <c r="AB2422" i="14"/>
  <c r="Z2432" i="14"/>
  <c r="V2423" i="14"/>
  <c r="U2423" i="14"/>
  <c r="W2422" i="14"/>
  <c r="T2432" i="14"/>
  <c r="Z2433" i="14" l="1"/>
  <c r="AA2424" i="14"/>
  <c r="AB2423" i="14"/>
  <c r="T2433" i="14"/>
  <c r="V2424" i="14"/>
  <c r="U2424" i="14"/>
  <c r="W2423" i="14"/>
  <c r="AA2425" i="14" l="1"/>
  <c r="AB2424" i="14"/>
  <c r="Z2434" i="14"/>
  <c r="V2425" i="14"/>
  <c r="U2425" i="14"/>
  <c r="W2424" i="14"/>
  <c r="B2421" i="14" s="1"/>
  <c r="T2434" i="14"/>
  <c r="Z2435" i="14" l="1"/>
  <c r="AA2426" i="14"/>
  <c r="AB2425" i="14"/>
  <c r="T2435" i="14"/>
  <c r="V2426" i="14"/>
  <c r="U2426" i="14"/>
  <c r="W2425" i="14"/>
  <c r="AA2427" i="14" l="1"/>
  <c r="AB2426" i="14"/>
  <c r="Z2436" i="14"/>
  <c r="U2427" i="14"/>
  <c r="V2427" i="14"/>
  <c r="W2426" i="14"/>
  <c r="T2436" i="14"/>
  <c r="Z2437" i="14" l="1"/>
  <c r="AA2428" i="14"/>
  <c r="AB2427" i="14"/>
  <c r="T2437" i="14"/>
  <c r="V2428" i="14"/>
  <c r="U2428" i="14"/>
  <c r="W2427" i="14"/>
  <c r="AA2429" i="14" l="1"/>
  <c r="AB2428" i="14"/>
  <c r="Z2438" i="14"/>
  <c r="U2429" i="14"/>
  <c r="V2429" i="14"/>
  <c r="W2428" i="14"/>
  <c r="T2438" i="14"/>
  <c r="Z2439" i="14" l="1"/>
  <c r="AA2430" i="14"/>
  <c r="AB2429" i="14"/>
  <c r="T2439" i="14"/>
  <c r="V2430" i="14"/>
  <c r="U2430" i="14"/>
  <c r="W2429" i="14"/>
  <c r="AA2431" i="14" l="1"/>
  <c r="AB2430" i="14"/>
  <c r="Z2440" i="14"/>
  <c r="V2431" i="14"/>
  <c r="U2431" i="14"/>
  <c r="W2430" i="14"/>
  <c r="T2440" i="14"/>
  <c r="Z2441" i="14" l="1"/>
  <c r="AA2432" i="14"/>
  <c r="AB2431" i="14"/>
  <c r="U2432" i="14"/>
  <c r="V2432" i="14"/>
  <c r="W2431" i="14"/>
  <c r="B2428" i="14" s="1"/>
  <c r="T2441" i="14"/>
  <c r="AA2433" i="14" l="1"/>
  <c r="AB2432" i="14"/>
  <c r="Z2442" i="14"/>
  <c r="T2442" i="14"/>
  <c r="V2433" i="14"/>
  <c r="U2433" i="14"/>
  <c r="W2432" i="14"/>
  <c r="Z2443" i="14" l="1"/>
  <c r="AA2434" i="14"/>
  <c r="AB2433" i="14"/>
  <c r="V2434" i="14"/>
  <c r="U2434" i="14"/>
  <c r="W2433" i="14"/>
  <c r="T2443" i="14"/>
  <c r="AA2435" i="14" l="1"/>
  <c r="AB2434" i="14"/>
  <c r="Z2444" i="14"/>
  <c r="T2444" i="14"/>
  <c r="V2435" i="14"/>
  <c r="U2435" i="14"/>
  <c r="W2434" i="14"/>
  <c r="Z2445" i="14" l="1"/>
  <c r="AA2436" i="14"/>
  <c r="AB2435" i="14"/>
  <c r="U2436" i="14"/>
  <c r="V2436" i="14"/>
  <c r="W2435" i="14"/>
  <c r="T2445" i="14"/>
  <c r="AA2437" i="14" l="1"/>
  <c r="AB2436" i="14"/>
  <c r="Z2446" i="14"/>
  <c r="T2446" i="14"/>
  <c r="U2437" i="14"/>
  <c r="V2437" i="14"/>
  <c r="W2436" i="14"/>
  <c r="Z2447" i="14" l="1"/>
  <c r="AA2438" i="14"/>
  <c r="AB2437" i="14"/>
  <c r="U2438" i="14"/>
  <c r="V2438" i="14"/>
  <c r="W2437" i="14"/>
  <c r="T2447" i="14"/>
  <c r="AA2439" i="14" l="1"/>
  <c r="AB2438" i="14"/>
  <c r="Z2448" i="14"/>
  <c r="T2448" i="14"/>
  <c r="U2439" i="14"/>
  <c r="V2439" i="14"/>
  <c r="W2438" i="14"/>
  <c r="B2435" i="14" s="1"/>
  <c r="Z2449" i="14" l="1"/>
  <c r="AA2440" i="14"/>
  <c r="AB2439" i="14"/>
  <c r="T2449" i="14"/>
  <c r="U2440" i="14"/>
  <c r="V2440" i="14"/>
  <c r="W2439" i="14"/>
  <c r="AA2441" i="14" l="1"/>
  <c r="AB2440" i="14"/>
  <c r="Z2450" i="14"/>
  <c r="U2441" i="14"/>
  <c r="V2441" i="14"/>
  <c r="W2440" i="14"/>
  <c r="T2450" i="14"/>
  <c r="Z2451" i="14" l="1"/>
  <c r="AA2442" i="14"/>
  <c r="AB2441" i="14"/>
  <c r="T2451" i="14"/>
  <c r="U2442" i="14"/>
  <c r="V2442" i="14"/>
  <c r="W2441" i="14"/>
  <c r="AA2443" i="14" l="1"/>
  <c r="AB2442" i="14"/>
  <c r="Z2452" i="14"/>
  <c r="U2443" i="14"/>
  <c r="V2443" i="14"/>
  <c r="W2442" i="14"/>
  <c r="T2452" i="14"/>
  <c r="Z2453" i="14" l="1"/>
  <c r="AA2444" i="14"/>
  <c r="AB2443" i="14"/>
  <c r="T2453" i="14"/>
  <c r="U2444" i="14"/>
  <c r="V2444" i="14"/>
  <c r="W2443" i="14"/>
  <c r="AA2445" i="14" l="1"/>
  <c r="AB2444" i="14"/>
  <c r="Z2454" i="14"/>
  <c r="U2445" i="14"/>
  <c r="V2445" i="14"/>
  <c r="W2444" i="14"/>
  <c r="T2454" i="14"/>
  <c r="Z2455" i="14" l="1"/>
  <c r="AA2446" i="14"/>
  <c r="AB2445" i="14"/>
  <c r="T2455" i="14"/>
  <c r="U2446" i="14"/>
  <c r="V2446" i="14"/>
  <c r="W2445" i="14"/>
  <c r="B2442" i="14" s="1"/>
  <c r="AA2447" i="14" l="1"/>
  <c r="AB2446" i="14"/>
  <c r="Z2456" i="14"/>
  <c r="U2447" i="14"/>
  <c r="V2447" i="14"/>
  <c r="W2446" i="14"/>
  <c r="T2456" i="14"/>
  <c r="Z2457" i="14" l="1"/>
  <c r="AA2448" i="14"/>
  <c r="AB2447" i="14"/>
  <c r="T2457" i="14"/>
  <c r="U2448" i="14"/>
  <c r="V2448" i="14"/>
  <c r="W2447" i="14"/>
  <c r="AA2449" i="14" l="1"/>
  <c r="AB2448" i="14"/>
  <c r="Z2458" i="14"/>
  <c r="V2449" i="14"/>
  <c r="U2449" i="14"/>
  <c r="W2448" i="14"/>
  <c r="T2458" i="14"/>
  <c r="Z2459" i="14" l="1"/>
  <c r="AA2450" i="14"/>
  <c r="AB2449" i="14"/>
  <c r="T2459" i="14"/>
  <c r="V2450" i="14"/>
  <c r="U2450" i="14"/>
  <c r="W2449" i="14"/>
  <c r="AA2451" i="14" l="1"/>
  <c r="AB2450" i="14"/>
  <c r="Z2460" i="14"/>
  <c r="V2451" i="14"/>
  <c r="U2451" i="14"/>
  <c r="W2450" i="14"/>
  <c r="T2460" i="14"/>
  <c r="Z2461" i="14" l="1"/>
  <c r="AA2452" i="14"/>
  <c r="AB2451" i="14"/>
  <c r="T2461" i="14"/>
  <c r="V2452" i="14"/>
  <c r="U2452" i="14"/>
  <c r="W2451" i="14"/>
  <c r="AA2453" i="14" l="1"/>
  <c r="AB2452" i="14"/>
  <c r="Z2462" i="14"/>
  <c r="U2453" i="14"/>
  <c r="V2453" i="14"/>
  <c r="W2452" i="14"/>
  <c r="B2449" i="14" s="1"/>
  <c r="T2462" i="14"/>
  <c r="Z2463" i="14" l="1"/>
  <c r="AA2454" i="14"/>
  <c r="AB2453" i="14"/>
  <c r="T2463" i="14"/>
  <c r="U2454" i="14"/>
  <c r="V2454" i="14"/>
  <c r="W2453" i="14"/>
  <c r="AA2455" i="14" l="1"/>
  <c r="AB2454" i="14"/>
  <c r="Z2464" i="14"/>
  <c r="V2455" i="14"/>
  <c r="U2455" i="14"/>
  <c r="W2454" i="14"/>
  <c r="T2464" i="14"/>
  <c r="Z2465" i="14" l="1"/>
  <c r="AA2456" i="14"/>
  <c r="AB2455" i="14"/>
  <c r="T2465" i="14"/>
  <c r="U2456" i="14"/>
  <c r="V2456" i="14"/>
  <c r="W2455" i="14"/>
  <c r="AA2457" i="14" l="1"/>
  <c r="AB2456" i="14"/>
  <c r="Z2466" i="14"/>
  <c r="V2457" i="14"/>
  <c r="U2457" i="14"/>
  <c r="W2456" i="14"/>
  <c r="T2466" i="14"/>
  <c r="Z2467" i="14" l="1"/>
  <c r="AA2458" i="14"/>
  <c r="AB2457" i="14"/>
  <c r="T2467" i="14"/>
  <c r="V2458" i="14"/>
  <c r="U2458" i="14"/>
  <c r="W2457" i="14"/>
  <c r="AA2459" i="14" l="1"/>
  <c r="AB2458" i="14"/>
  <c r="Z2468" i="14"/>
  <c r="V2459" i="14"/>
  <c r="U2459" i="14"/>
  <c r="W2458" i="14"/>
  <c r="T2468" i="14"/>
  <c r="Z2469" i="14" l="1"/>
  <c r="AA2460" i="14"/>
  <c r="AB2459" i="14"/>
  <c r="T2469" i="14"/>
  <c r="V2460" i="14"/>
  <c r="U2460" i="14"/>
  <c r="W2459" i="14"/>
  <c r="B2456" i="14" s="1"/>
  <c r="AA2461" i="14" l="1"/>
  <c r="AB2460" i="14"/>
  <c r="Z2470" i="14"/>
  <c r="V2461" i="14"/>
  <c r="U2461" i="14"/>
  <c r="W2460" i="14"/>
  <c r="T2470" i="14"/>
  <c r="Z2471" i="14" l="1"/>
  <c r="AA2462" i="14"/>
  <c r="AB2461" i="14"/>
  <c r="T2471" i="14"/>
  <c r="V2462" i="14"/>
  <c r="U2462" i="14"/>
  <c r="W2461" i="14"/>
  <c r="AA2463" i="14" l="1"/>
  <c r="AB2462" i="14"/>
  <c r="Z2472" i="14"/>
  <c r="U2463" i="14"/>
  <c r="V2463" i="14"/>
  <c r="W2462" i="14"/>
  <c r="T2472" i="14"/>
  <c r="Z2473" i="14" l="1"/>
  <c r="AA2464" i="14"/>
  <c r="AB2463" i="14"/>
  <c r="T2473" i="14"/>
  <c r="U2464" i="14"/>
  <c r="V2464" i="14"/>
  <c r="W2463" i="14"/>
  <c r="AA2465" i="14" l="1"/>
  <c r="AB2464" i="14"/>
  <c r="Z2474" i="14"/>
  <c r="U2465" i="14"/>
  <c r="V2465" i="14"/>
  <c r="W2464" i="14"/>
  <c r="T2474" i="14"/>
  <c r="Z2475" i="14" l="1"/>
  <c r="AA2466" i="14"/>
  <c r="AB2465" i="14"/>
  <c r="T2475" i="14"/>
  <c r="U2466" i="14"/>
  <c r="V2466" i="14"/>
  <c r="W2465" i="14"/>
  <c r="AA2467" i="14" l="1"/>
  <c r="AB2466" i="14"/>
  <c r="Z2476" i="14"/>
  <c r="U2467" i="14"/>
  <c r="V2467" i="14"/>
  <c r="W2466" i="14"/>
  <c r="B2463" i="14" s="1"/>
  <c r="T2476" i="14"/>
  <c r="Z2477" i="14" l="1"/>
  <c r="AA2468" i="14"/>
  <c r="AB2467" i="14"/>
  <c r="T2477" i="14"/>
  <c r="V2468" i="14"/>
  <c r="U2468" i="14"/>
  <c r="W2467" i="14"/>
  <c r="AA2469" i="14" l="1"/>
  <c r="AB2468" i="14"/>
  <c r="Z2478" i="14"/>
  <c r="V2469" i="14"/>
  <c r="U2469" i="14"/>
  <c r="W2468" i="14"/>
  <c r="T2478" i="14"/>
  <c r="Z2479" i="14" l="1"/>
  <c r="AA2470" i="14"/>
  <c r="AB2469" i="14"/>
  <c r="V2470" i="14"/>
  <c r="U2470" i="14"/>
  <c r="W2469" i="14"/>
  <c r="T2479" i="14"/>
  <c r="AA2471" i="14" l="1"/>
  <c r="AB2470" i="14"/>
  <c r="Z2480" i="14"/>
  <c r="T2480" i="14"/>
  <c r="V2471" i="14"/>
  <c r="U2471" i="14"/>
  <c r="W2470" i="14"/>
  <c r="Z2481" i="14" l="1"/>
  <c r="AA2472" i="14"/>
  <c r="AB2471" i="14"/>
  <c r="V2472" i="14"/>
  <c r="U2472" i="14"/>
  <c r="W2471" i="14"/>
  <c r="T2481" i="14"/>
  <c r="AA2473" i="14" l="1"/>
  <c r="AB2472" i="14"/>
  <c r="Z2482" i="14"/>
  <c r="T2482" i="14"/>
  <c r="U2473" i="14"/>
  <c r="V2473" i="14"/>
  <c r="W2472" i="14"/>
  <c r="Z2483" i="14" l="1"/>
  <c r="AA2474" i="14"/>
  <c r="AB2473" i="14"/>
  <c r="V2474" i="14"/>
  <c r="U2474" i="14"/>
  <c r="W2473" i="14"/>
  <c r="B2470" i="14" s="1"/>
  <c r="T2483" i="14"/>
  <c r="AA2475" i="14" l="1"/>
  <c r="AB2474" i="14"/>
  <c r="Z2484" i="14"/>
  <c r="T2484" i="14"/>
  <c r="U2475" i="14"/>
  <c r="V2475" i="14"/>
  <c r="W2474" i="14"/>
  <c r="Z2485" i="14" l="1"/>
  <c r="AA2476" i="14"/>
  <c r="AB2475" i="14"/>
  <c r="V2476" i="14"/>
  <c r="U2476" i="14"/>
  <c r="W2475" i="14"/>
  <c r="T2485" i="14"/>
  <c r="AA2477" i="14" l="1"/>
  <c r="AB2476" i="14"/>
  <c r="Z2486" i="14"/>
  <c r="T2486" i="14"/>
  <c r="V2477" i="14"/>
  <c r="U2477" i="14"/>
  <c r="W2476" i="14"/>
  <c r="Z2487" i="14" l="1"/>
  <c r="AA2478" i="14"/>
  <c r="AB2477" i="14"/>
  <c r="V2478" i="14"/>
  <c r="U2478" i="14"/>
  <c r="W2477" i="14"/>
  <c r="T2487" i="14"/>
  <c r="AA2479" i="14" l="1"/>
  <c r="AB2478" i="14"/>
  <c r="Z2488" i="14"/>
  <c r="T2488" i="14"/>
  <c r="V2479" i="14"/>
  <c r="U2479" i="14"/>
  <c r="W2478" i="14"/>
  <c r="Z2489" i="14" l="1"/>
  <c r="AA2480" i="14"/>
  <c r="AB2479" i="14"/>
  <c r="V2480" i="14"/>
  <c r="U2480" i="14"/>
  <c r="W2479" i="14"/>
  <c r="T2489" i="14"/>
  <c r="AA2481" i="14" l="1"/>
  <c r="AB2480" i="14"/>
  <c r="Z2490" i="14"/>
  <c r="T2490" i="14"/>
  <c r="U2481" i="14"/>
  <c r="V2481" i="14"/>
  <c r="W2480" i="14"/>
  <c r="B2477" i="14" s="1"/>
  <c r="Z2491" i="14" l="1"/>
  <c r="AA2482" i="14"/>
  <c r="AB2481" i="14"/>
  <c r="U2482" i="14"/>
  <c r="V2482" i="14"/>
  <c r="W2481" i="14"/>
  <c r="T2491" i="14"/>
  <c r="AA2483" i="14" l="1"/>
  <c r="AB2482" i="14"/>
  <c r="Z2492" i="14"/>
  <c r="T2492" i="14"/>
  <c r="U2483" i="14"/>
  <c r="V2483" i="14"/>
  <c r="W2482" i="14"/>
  <c r="Z2493" i="14" l="1"/>
  <c r="AA2484" i="14"/>
  <c r="AB2483" i="14"/>
  <c r="V2484" i="14"/>
  <c r="U2484" i="14"/>
  <c r="W2483" i="14"/>
  <c r="T2493" i="14"/>
  <c r="AA2485" i="14" l="1"/>
  <c r="AB2484" i="14"/>
  <c r="Z2494" i="14"/>
  <c r="T2494" i="14"/>
  <c r="U2485" i="14"/>
  <c r="V2485" i="14"/>
  <c r="W2484" i="14"/>
  <c r="Z2495" i="14" l="1"/>
  <c r="AA2486" i="14"/>
  <c r="AB2485" i="14"/>
  <c r="U2486" i="14"/>
  <c r="V2486" i="14"/>
  <c r="W2485" i="14"/>
  <c r="T2495" i="14"/>
  <c r="AA2487" i="14" l="1"/>
  <c r="AB2486" i="14"/>
  <c r="Z2496" i="14"/>
  <c r="T2496" i="14"/>
  <c r="V2487" i="14"/>
  <c r="U2487" i="14"/>
  <c r="W2486" i="14"/>
  <c r="Z2497" i="14" l="1"/>
  <c r="AA2488" i="14"/>
  <c r="AB2487" i="14"/>
  <c r="U2488" i="14"/>
  <c r="V2488" i="14"/>
  <c r="W2487" i="14"/>
  <c r="B2484" i="14" s="1"/>
  <c r="T2497" i="14"/>
  <c r="AA2489" i="14" l="1"/>
  <c r="AB2488" i="14"/>
  <c r="Z2498" i="14"/>
  <c r="T2498" i="14"/>
  <c r="V2489" i="14"/>
  <c r="U2489" i="14"/>
  <c r="W2488" i="14"/>
  <c r="Z2499" i="14" l="1"/>
  <c r="AA2490" i="14"/>
  <c r="AB2489" i="14"/>
  <c r="V2490" i="14"/>
  <c r="U2490" i="14"/>
  <c r="W2489" i="14"/>
  <c r="T2499" i="14"/>
  <c r="AA2491" i="14" l="1"/>
  <c r="AB2490" i="14"/>
  <c r="Z2500" i="14"/>
  <c r="T2500" i="14"/>
  <c r="U2491" i="14"/>
  <c r="V2491" i="14"/>
  <c r="W2490" i="14"/>
  <c r="Z2501" i="14" l="1"/>
  <c r="AA2492" i="14"/>
  <c r="AB2491" i="14"/>
  <c r="U2492" i="14"/>
  <c r="V2492" i="14"/>
  <c r="W2491" i="14"/>
  <c r="T2501" i="14"/>
  <c r="AA2493" i="14" l="1"/>
  <c r="AB2492" i="14"/>
  <c r="Z2502" i="14"/>
  <c r="T2502" i="14"/>
  <c r="U2493" i="14"/>
  <c r="V2493" i="14"/>
  <c r="W2492" i="14"/>
  <c r="Z2503" i="14" l="1"/>
  <c r="AA2494" i="14"/>
  <c r="AB2493" i="14"/>
  <c r="U2494" i="14"/>
  <c r="V2494" i="14"/>
  <c r="W2493" i="14"/>
  <c r="T2503" i="14"/>
  <c r="AA2495" i="14" l="1"/>
  <c r="AB2494" i="14"/>
  <c r="Z2504" i="14"/>
  <c r="T2504" i="14"/>
  <c r="V2495" i="14"/>
  <c r="U2495" i="14"/>
  <c r="W2494" i="14"/>
  <c r="B2491" i="14" s="1"/>
  <c r="Z2505" i="14" l="1"/>
  <c r="AA2496" i="14"/>
  <c r="AB2495" i="14"/>
  <c r="U2496" i="14"/>
  <c r="V2496" i="14"/>
  <c r="W2495" i="14"/>
  <c r="T2505" i="14"/>
  <c r="AA2497" i="14" l="1"/>
  <c r="AB2496" i="14"/>
  <c r="Z2506" i="14"/>
  <c r="T2506" i="14"/>
  <c r="U2497" i="14"/>
  <c r="V2497" i="14"/>
  <c r="W2496" i="14"/>
  <c r="Z2507" i="14" l="1"/>
  <c r="AA2498" i="14"/>
  <c r="AB2497" i="14"/>
  <c r="U2498" i="14"/>
  <c r="V2498" i="14"/>
  <c r="W2497" i="14"/>
  <c r="T2507" i="14"/>
  <c r="AA2499" i="14" l="1"/>
  <c r="AB2498" i="14"/>
  <c r="Z2508" i="14"/>
  <c r="T2508" i="14"/>
  <c r="U2499" i="14"/>
  <c r="V2499" i="14"/>
  <c r="W2498" i="14"/>
  <c r="Z2509" i="14" l="1"/>
  <c r="AA2500" i="14"/>
  <c r="AB2499" i="14"/>
  <c r="U2500" i="14"/>
  <c r="V2500" i="14"/>
  <c r="W2499" i="14"/>
  <c r="T2509" i="14"/>
  <c r="AA2501" i="14" l="1"/>
  <c r="AB2500" i="14"/>
  <c r="Z2510" i="14"/>
  <c r="T2510" i="14"/>
  <c r="U2501" i="14"/>
  <c r="V2501" i="14"/>
  <c r="W2500" i="14"/>
  <c r="Z2511" i="14" l="1"/>
  <c r="AA2502" i="14"/>
  <c r="AB2501" i="14"/>
  <c r="U2502" i="14"/>
  <c r="V2502" i="14"/>
  <c r="W2501" i="14"/>
  <c r="B2498" i="14" s="1"/>
  <c r="T2511" i="14"/>
  <c r="AA2503" i="14" l="1"/>
  <c r="AB2502" i="14"/>
  <c r="Z2512" i="14"/>
  <c r="T2512" i="14"/>
  <c r="U2503" i="14"/>
  <c r="V2503" i="14"/>
  <c r="W2502" i="14"/>
  <c r="Z2513" i="14" l="1"/>
  <c r="AA2504" i="14"/>
  <c r="AB2503" i="14"/>
  <c r="U2504" i="14"/>
  <c r="V2504" i="14"/>
  <c r="W2503" i="14"/>
  <c r="T2513" i="14"/>
  <c r="AA2505" i="14" l="1"/>
  <c r="AB2504" i="14"/>
  <c r="Z2514" i="14"/>
  <c r="T2514" i="14"/>
  <c r="V2505" i="14"/>
  <c r="U2505" i="14"/>
  <c r="W2504" i="14"/>
  <c r="Z2515" i="14" l="1"/>
  <c r="AA2506" i="14"/>
  <c r="AB2505" i="14"/>
  <c r="V2506" i="14"/>
  <c r="U2506" i="14"/>
  <c r="W2505" i="14"/>
  <c r="T2515" i="14"/>
  <c r="AA2507" i="14" l="1"/>
  <c r="AB2506" i="14"/>
  <c r="Z2516" i="14"/>
  <c r="T2516" i="14"/>
  <c r="V2507" i="14"/>
  <c r="U2507" i="14"/>
  <c r="W2506" i="14"/>
  <c r="Z2517" i="14" l="1"/>
  <c r="AA2508" i="14"/>
  <c r="AB2507" i="14"/>
  <c r="U2508" i="14"/>
  <c r="V2508" i="14"/>
  <c r="W2507" i="14"/>
  <c r="T2517" i="14"/>
  <c r="AA2509" i="14" l="1"/>
  <c r="AB2508" i="14"/>
  <c r="Z2518" i="14"/>
  <c r="T2518" i="14"/>
  <c r="V2509" i="14"/>
  <c r="U2509" i="14"/>
  <c r="W2508" i="14"/>
  <c r="B2505" i="14" s="1"/>
  <c r="Z2519" i="14" l="1"/>
  <c r="AA2510" i="14"/>
  <c r="AB2509" i="14"/>
  <c r="U2510" i="14"/>
  <c r="V2510" i="14"/>
  <c r="W2509" i="14"/>
  <c r="T2519" i="14"/>
  <c r="AA2511" i="14" l="1"/>
  <c r="AB2510" i="14"/>
  <c r="Z2520" i="14"/>
  <c r="T2520" i="14"/>
  <c r="V2511" i="14"/>
  <c r="U2511" i="14"/>
  <c r="W2510" i="14"/>
  <c r="Z2521" i="14" l="1"/>
  <c r="AA2512" i="14"/>
  <c r="AB2511" i="14"/>
  <c r="V2512" i="14"/>
  <c r="U2512" i="14"/>
  <c r="W2511" i="14"/>
  <c r="T2521" i="14"/>
  <c r="AA2513" i="14" l="1"/>
  <c r="AB2512" i="14"/>
  <c r="Z2522" i="14"/>
  <c r="T2522" i="14"/>
  <c r="V2513" i="14"/>
  <c r="U2513" i="14"/>
  <c r="W2512" i="14"/>
  <c r="Z2523" i="14" l="1"/>
  <c r="AA2514" i="14"/>
  <c r="AB2513" i="14"/>
  <c r="U2514" i="14"/>
  <c r="V2514" i="14"/>
  <c r="W2513" i="14"/>
  <c r="T2523" i="14"/>
  <c r="AA2515" i="14" l="1"/>
  <c r="AB2514" i="14"/>
  <c r="Z2524" i="14"/>
  <c r="T2524" i="14"/>
  <c r="V2515" i="14"/>
  <c r="U2515" i="14"/>
  <c r="W2514" i="14"/>
  <c r="Z2525" i="14" l="1"/>
  <c r="AA2516" i="14"/>
  <c r="AB2515" i="14"/>
  <c r="V2516" i="14"/>
  <c r="U2516" i="14"/>
  <c r="W2515" i="14"/>
  <c r="B2512" i="14" s="1"/>
  <c r="T2525" i="14"/>
  <c r="AA2517" i="14" l="1"/>
  <c r="AB2516" i="14"/>
  <c r="Z2526" i="14"/>
  <c r="T2526" i="14"/>
  <c r="U2517" i="14"/>
  <c r="V2517" i="14"/>
  <c r="W2516" i="14"/>
  <c r="Z2527" i="14" l="1"/>
  <c r="AA2518" i="14"/>
  <c r="AB2517" i="14"/>
  <c r="U2518" i="14"/>
  <c r="V2518" i="14"/>
  <c r="W2517" i="14"/>
  <c r="T2527" i="14"/>
  <c r="AA2519" i="14" l="1"/>
  <c r="AB2518" i="14"/>
  <c r="Z2528" i="14"/>
  <c r="T2528" i="14"/>
  <c r="U2519" i="14"/>
  <c r="V2519" i="14"/>
  <c r="W2518" i="14"/>
  <c r="Z2529" i="14" l="1"/>
  <c r="AA2520" i="14"/>
  <c r="AB2519" i="14"/>
  <c r="U2520" i="14"/>
  <c r="V2520" i="14"/>
  <c r="W2519" i="14"/>
  <c r="T2529" i="14"/>
  <c r="AA2521" i="14" l="1"/>
  <c r="AB2520" i="14"/>
  <c r="Z2530" i="14"/>
  <c r="V2521" i="14"/>
  <c r="U2521" i="14"/>
  <c r="W2520" i="14"/>
  <c r="T2530" i="14"/>
  <c r="Z2531" i="14" l="1"/>
  <c r="AA2522" i="14"/>
  <c r="AB2521" i="14"/>
  <c r="T2531" i="14"/>
  <c r="V2522" i="14"/>
  <c r="U2522" i="14"/>
  <c r="W2521" i="14"/>
  <c r="AA2523" i="14" l="1"/>
  <c r="AB2522" i="14"/>
  <c r="Z2532" i="14"/>
  <c r="V2523" i="14"/>
  <c r="U2523" i="14"/>
  <c r="W2522" i="14"/>
  <c r="B2519" i="14" s="1"/>
  <c r="T2532" i="14"/>
  <c r="Z2533" i="14" l="1"/>
  <c r="AA2524" i="14"/>
  <c r="AB2523" i="14"/>
  <c r="T2533" i="14"/>
  <c r="V2524" i="14"/>
  <c r="U2524" i="14"/>
  <c r="W2523" i="14"/>
  <c r="AA2525" i="14" l="1"/>
  <c r="AB2524" i="14"/>
  <c r="Z2534" i="14"/>
  <c r="V2525" i="14"/>
  <c r="U2525" i="14"/>
  <c r="W2524" i="14"/>
  <c r="T2534" i="14"/>
  <c r="Z2535" i="14" l="1"/>
  <c r="AA2526" i="14"/>
  <c r="AB2525" i="14"/>
  <c r="T2535" i="14"/>
  <c r="U2526" i="14"/>
  <c r="V2526" i="14"/>
  <c r="W2525" i="14"/>
  <c r="AA2527" i="14" l="1"/>
  <c r="AB2526" i="14"/>
  <c r="Z2536" i="14"/>
  <c r="U2527" i="14"/>
  <c r="V2527" i="14"/>
  <c r="W2526" i="14"/>
  <c r="T2536" i="14"/>
  <c r="Z2537" i="14" l="1"/>
  <c r="AA2528" i="14"/>
  <c r="AB2527" i="14"/>
  <c r="T2537" i="14"/>
  <c r="U2528" i="14"/>
  <c r="V2528" i="14"/>
  <c r="W2527" i="14"/>
  <c r="AA2529" i="14" l="1"/>
  <c r="AB2528" i="14"/>
  <c r="Z2538" i="14"/>
  <c r="U2529" i="14"/>
  <c r="V2529" i="14"/>
  <c r="W2528" i="14"/>
  <c r="T2538" i="14"/>
  <c r="Z2539" i="14" l="1"/>
  <c r="AA2530" i="14"/>
  <c r="AB2529" i="14"/>
  <c r="T2539" i="14"/>
  <c r="V2530" i="14"/>
  <c r="U2530" i="14"/>
  <c r="W2529" i="14"/>
  <c r="B2526" i="14" s="1"/>
  <c r="AA2531" i="14" l="1"/>
  <c r="AB2530" i="14"/>
  <c r="Z2540" i="14"/>
  <c r="V2531" i="14"/>
  <c r="U2531" i="14"/>
  <c r="W2530" i="14"/>
  <c r="T2540" i="14"/>
  <c r="Z2541" i="14" l="1"/>
  <c r="AA2532" i="14"/>
  <c r="AB2531" i="14"/>
  <c r="T2541" i="14"/>
  <c r="V2532" i="14"/>
  <c r="U2532" i="14"/>
  <c r="W2531" i="14"/>
  <c r="AA2533" i="14" l="1"/>
  <c r="AB2532" i="14"/>
  <c r="Z2542" i="14"/>
  <c r="V2533" i="14"/>
  <c r="U2533" i="14"/>
  <c r="W2532" i="14"/>
  <c r="T2542" i="14"/>
  <c r="Z2543" i="14" l="1"/>
  <c r="AA2534" i="14"/>
  <c r="AB2533" i="14"/>
  <c r="V2534" i="14"/>
  <c r="U2534" i="14"/>
  <c r="W2533" i="14"/>
  <c r="T2543" i="14"/>
  <c r="AA2535" i="14" l="1"/>
  <c r="AB2534" i="14"/>
  <c r="Z2544" i="14"/>
  <c r="T2544" i="14"/>
  <c r="U2535" i="14"/>
  <c r="V2535" i="14"/>
  <c r="W2534" i="14"/>
  <c r="Z2545" i="14" l="1"/>
  <c r="AA2536" i="14"/>
  <c r="AB2535" i="14"/>
  <c r="T2545" i="14"/>
  <c r="V2536" i="14"/>
  <c r="U2536" i="14"/>
  <c r="W2535" i="14"/>
  <c r="AA2537" i="14" l="1"/>
  <c r="AB2536" i="14"/>
  <c r="Z2546" i="14"/>
  <c r="U2537" i="14"/>
  <c r="V2537" i="14"/>
  <c r="W2536" i="14"/>
  <c r="B2533" i="14" s="1"/>
  <c r="T2546" i="14"/>
  <c r="Z2547" i="14" l="1"/>
  <c r="AA2538" i="14"/>
  <c r="AB2537" i="14"/>
  <c r="T2547" i="14"/>
  <c r="U2538" i="14"/>
  <c r="V2538" i="14"/>
  <c r="W2537" i="14"/>
  <c r="AA2539" i="14" l="1"/>
  <c r="AB2538" i="14"/>
  <c r="Z2548" i="14"/>
  <c r="U2539" i="14"/>
  <c r="V2539" i="14"/>
  <c r="W2538" i="14"/>
  <c r="T2548" i="14"/>
  <c r="Z2549" i="14" l="1"/>
  <c r="AA2540" i="14"/>
  <c r="AB2539" i="14"/>
  <c r="T2549" i="14"/>
  <c r="U2540" i="14"/>
  <c r="V2540" i="14"/>
  <c r="W2539" i="14"/>
  <c r="AA2541" i="14" l="1"/>
  <c r="AB2540" i="14"/>
  <c r="Z2550" i="14"/>
  <c r="V2541" i="14"/>
  <c r="U2541" i="14"/>
  <c r="W2540" i="14"/>
  <c r="T2550" i="14"/>
  <c r="Z2551" i="14" l="1"/>
  <c r="AA2542" i="14"/>
  <c r="AB2541" i="14"/>
  <c r="T2551" i="14"/>
  <c r="V2542" i="14"/>
  <c r="U2542" i="14"/>
  <c r="W2541" i="14"/>
  <c r="AA2543" i="14" l="1"/>
  <c r="AB2542" i="14"/>
  <c r="Z2552" i="14"/>
  <c r="V2543" i="14"/>
  <c r="U2543" i="14"/>
  <c r="W2542" i="14"/>
  <c r="T2552" i="14"/>
  <c r="Z2553" i="14" l="1"/>
  <c r="AA2544" i="14"/>
  <c r="AB2543" i="14"/>
  <c r="T2553" i="14"/>
  <c r="V2544" i="14"/>
  <c r="U2544" i="14"/>
  <c r="W2543" i="14"/>
  <c r="B2540" i="14" s="1"/>
  <c r="AA2545" i="14" l="1"/>
  <c r="AB2544" i="14"/>
  <c r="Z2554" i="14"/>
  <c r="U2545" i="14"/>
  <c r="V2545" i="14"/>
  <c r="W2544" i="14"/>
  <c r="T2554" i="14"/>
  <c r="Z2555" i="14" l="1"/>
  <c r="AA2546" i="14"/>
  <c r="AB2545" i="14"/>
  <c r="T2555" i="14"/>
  <c r="U2546" i="14"/>
  <c r="V2546" i="14"/>
  <c r="W2545" i="14"/>
  <c r="AA2547" i="14" l="1"/>
  <c r="AB2546" i="14"/>
  <c r="Z2556" i="14"/>
  <c r="U2547" i="14"/>
  <c r="V2547" i="14"/>
  <c r="W2546" i="14"/>
  <c r="T2556" i="14"/>
  <c r="Z2557" i="14" l="1"/>
  <c r="AA2548" i="14"/>
  <c r="AB2547" i="14"/>
  <c r="T2557" i="14"/>
  <c r="U2548" i="14"/>
  <c r="V2548" i="14"/>
  <c r="W2547" i="14"/>
  <c r="AA2549" i="14" l="1"/>
  <c r="AB2548" i="14"/>
  <c r="Z2558" i="14"/>
  <c r="V2549" i="14"/>
  <c r="U2549" i="14"/>
  <c r="W2548" i="14"/>
  <c r="T2558" i="14"/>
  <c r="Z2559" i="14" l="1"/>
  <c r="AA2550" i="14"/>
  <c r="AB2549" i="14"/>
  <c r="T2559" i="14"/>
  <c r="U2550" i="14"/>
  <c r="V2550" i="14"/>
  <c r="W2549" i="14"/>
  <c r="AA2551" i="14" l="1"/>
  <c r="AB2550" i="14"/>
  <c r="Z2560" i="14"/>
  <c r="V2551" i="14"/>
  <c r="U2551" i="14"/>
  <c r="W2550" i="14"/>
  <c r="B2547" i="14" s="1"/>
  <c r="T2560" i="14"/>
  <c r="Z2561" i="14" l="1"/>
  <c r="AA2552" i="14"/>
  <c r="AB2551" i="14"/>
  <c r="T2561" i="14"/>
  <c r="U2552" i="14"/>
  <c r="V2552" i="14"/>
  <c r="W2551" i="14"/>
  <c r="AA2553" i="14" l="1"/>
  <c r="AB2552" i="14"/>
  <c r="Z2562" i="14"/>
  <c r="U2553" i="14"/>
  <c r="V2553" i="14"/>
  <c r="W2552" i="14"/>
  <c r="T2562" i="14"/>
  <c r="Z2563" i="14" l="1"/>
  <c r="AA2554" i="14"/>
  <c r="AB2553" i="14"/>
  <c r="T2563" i="14"/>
  <c r="U2554" i="14"/>
  <c r="V2554" i="14"/>
  <c r="W2553" i="14"/>
  <c r="AA2555" i="14" l="1"/>
  <c r="AB2554" i="14"/>
  <c r="Z2564" i="14"/>
  <c r="U2555" i="14"/>
  <c r="V2555" i="14"/>
  <c r="W2554" i="14"/>
  <c r="T2564" i="14"/>
  <c r="AA2556" i="14" l="1"/>
  <c r="AB2555" i="14"/>
  <c r="U2556" i="14"/>
  <c r="V2556" i="14"/>
  <c r="W2555" i="14"/>
  <c r="AA2557" i="14" l="1"/>
  <c r="AB2556" i="14"/>
  <c r="U2557" i="14"/>
  <c r="V2557" i="14"/>
  <c r="W2556" i="14"/>
  <c r="AA2558" i="14" l="1"/>
  <c r="AB2557" i="14"/>
  <c r="U2558" i="14"/>
  <c r="V2558" i="14"/>
  <c r="W2557" i="14"/>
  <c r="B2554" i="14" s="1"/>
  <c r="AA2559" i="14" l="1"/>
  <c r="AB2558" i="14"/>
  <c r="U2559" i="14"/>
  <c r="V2559" i="14"/>
  <c r="W2558" i="14"/>
  <c r="AA2560" i="14" l="1"/>
  <c r="AB2559" i="14"/>
  <c r="U2560" i="14"/>
  <c r="V2560" i="14"/>
  <c r="W2559" i="14"/>
  <c r="AA2561" i="14" l="1"/>
  <c r="AB2560" i="14"/>
  <c r="V2561" i="14"/>
  <c r="U2561" i="14"/>
  <c r="W2560" i="14"/>
  <c r="AA2562" i="14" l="1"/>
  <c r="AB2561" i="14"/>
  <c r="U2562" i="14"/>
  <c r="V2562" i="14"/>
  <c r="W2561" i="14"/>
  <c r="AA2563" i="14" l="1"/>
  <c r="AB2562" i="14"/>
  <c r="V2563" i="14"/>
  <c r="U2563" i="14"/>
  <c r="W2562" i="14"/>
  <c r="AA2564" i="14" l="1"/>
  <c r="AB2564" i="14" s="1"/>
  <c r="AB2563" i="14"/>
  <c r="U2564" i="14"/>
  <c r="W2564" i="14" s="1"/>
  <c r="V2564" i="14"/>
  <c r="W2563" i="14"/>
  <c r="B2561" i="14" l="1"/>
  <c r="BB40" i="3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<sst xmlns="http://schemas.openxmlformats.org/spreadsheetml/2006/main" count="15782" uniqueCount="1529">
  <si>
    <t>Trainingsplan Marathon (16.09.2007)</t>
  </si>
  <si>
    <t>Woche</t>
  </si>
  <si>
    <t>Tag</t>
  </si>
  <si>
    <t>Datum</t>
  </si>
  <si>
    <t>Art</t>
  </si>
  <si>
    <t>Zeit</t>
  </si>
  <si>
    <t>% Max. Herzfr.</t>
  </si>
  <si>
    <t>Kilometer</t>
  </si>
  <si>
    <t>gelaufen</t>
  </si>
  <si>
    <t>Montag</t>
  </si>
  <si>
    <t>26.03.</t>
  </si>
  <si>
    <t>Km/Woche</t>
  </si>
  <si>
    <t>Dienstag</t>
  </si>
  <si>
    <t>27.03.</t>
  </si>
  <si>
    <t>DL</t>
  </si>
  <si>
    <t>45 min</t>
  </si>
  <si>
    <t>75 - 80</t>
  </si>
  <si>
    <t>Mittwoch</t>
  </si>
  <si>
    <t>28.03.</t>
  </si>
  <si>
    <t>Donnerstag</t>
  </si>
  <si>
    <t>29.03.</t>
  </si>
  <si>
    <t>Freitag</t>
  </si>
  <si>
    <t>30.03.</t>
  </si>
  <si>
    <t>Samstag</t>
  </si>
  <si>
    <t>31.03.</t>
  </si>
  <si>
    <t>Sonntag</t>
  </si>
  <si>
    <t>01.04.</t>
  </si>
  <si>
    <t>90 min</t>
  </si>
  <si>
    <t>02.04.</t>
  </si>
  <si>
    <t>03.04.</t>
  </si>
  <si>
    <t>04.04.</t>
  </si>
  <si>
    <t>05.04.</t>
  </si>
  <si>
    <t>Schwimmen</t>
  </si>
  <si>
    <t>06.04.</t>
  </si>
  <si>
    <t>60 min</t>
  </si>
  <si>
    <t>07.04.</t>
  </si>
  <si>
    <t>08.04.</t>
  </si>
  <si>
    <t>09.04.</t>
  </si>
  <si>
    <t>10.04.</t>
  </si>
  <si>
    <t>11.04.</t>
  </si>
  <si>
    <t>Reg</t>
  </si>
  <si>
    <t>65 min</t>
  </si>
  <si>
    <t>62 - 68</t>
  </si>
  <si>
    <t>12.04.</t>
  </si>
  <si>
    <t>13.04.</t>
  </si>
  <si>
    <t>14.04.</t>
  </si>
  <si>
    <t>15.04.</t>
  </si>
  <si>
    <t>16.04.</t>
  </si>
  <si>
    <t>17.04.</t>
  </si>
  <si>
    <t>SL</t>
  </si>
  <si>
    <t>ca. 20 min</t>
  </si>
  <si>
    <t>82 - 90</t>
  </si>
  <si>
    <t>18.04.</t>
  </si>
  <si>
    <t>19.04.</t>
  </si>
  <si>
    <t>20.04.</t>
  </si>
  <si>
    <t>21.04.</t>
  </si>
  <si>
    <t>22.04.</t>
  </si>
  <si>
    <t>23.04.</t>
  </si>
  <si>
    <t>24.04.</t>
  </si>
  <si>
    <t>25.04.</t>
  </si>
  <si>
    <t>26.04.</t>
  </si>
  <si>
    <t>55 min</t>
  </si>
  <si>
    <t>27.04.</t>
  </si>
  <si>
    <t>28.04.</t>
  </si>
  <si>
    <t>29.04.</t>
  </si>
  <si>
    <t>30.04.</t>
  </si>
  <si>
    <t>01.05.</t>
  </si>
  <si>
    <t>02.05.</t>
  </si>
  <si>
    <t>03.05.</t>
  </si>
  <si>
    <t>04.05.</t>
  </si>
  <si>
    <t>05.05.</t>
  </si>
  <si>
    <t>06.05.</t>
  </si>
  <si>
    <t>80 min</t>
  </si>
  <si>
    <t>80 - 85</t>
  </si>
  <si>
    <t>07.05.</t>
  </si>
  <si>
    <t>08.05.</t>
  </si>
  <si>
    <t>09.05.</t>
  </si>
  <si>
    <t>10.05.</t>
  </si>
  <si>
    <t>11.05.</t>
  </si>
  <si>
    <t>12.05.</t>
  </si>
  <si>
    <t>13.05.</t>
  </si>
  <si>
    <t xml:space="preserve">Regenerationswoche! Nicht laufen, </t>
  </si>
  <si>
    <t>nur schwimmen oder radfahren.</t>
  </si>
  <si>
    <t>21.05.</t>
  </si>
  <si>
    <t>22.05.</t>
  </si>
  <si>
    <t>50 min</t>
  </si>
  <si>
    <t>23.05.</t>
  </si>
  <si>
    <t>24.05.</t>
  </si>
  <si>
    <t>25.05.</t>
  </si>
  <si>
    <t>26.05.</t>
  </si>
  <si>
    <t>27.05.</t>
  </si>
  <si>
    <t>28.05.</t>
  </si>
  <si>
    <t>29.05.</t>
  </si>
  <si>
    <t>30.05.</t>
  </si>
  <si>
    <t>31.05.</t>
  </si>
  <si>
    <t>55min</t>
  </si>
  <si>
    <t>01.06.</t>
  </si>
  <si>
    <t>02.06.</t>
  </si>
  <si>
    <t>03.06.</t>
  </si>
  <si>
    <t>04.06.</t>
  </si>
  <si>
    <t>05.06.</t>
  </si>
  <si>
    <t>06.06.</t>
  </si>
  <si>
    <t>07.06.</t>
  </si>
  <si>
    <t>08.06.</t>
  </si>
  <si>
    <t>09.06.</t>
  </si>
  <si>
    <t>10.06.</t>
  </si>
  <si>
    <t>11.06.</t>
  </si>
  <si>
    <t>12.06.</t>
  </si>
  <si>
    <t>13.06.</t>
  </si>
  <si>
    <t>14.06.</t>
  </si>
  <si>
    <t>15.06.</t>
  </si>
  <si>
    <t>16.06.</t>
  </si>
  <si>
    <t>17.06.</t>
  </si>
  <si>
    <t>110 min</t>
  </si>
  <si>
    <t>18.06.</t>
  </si>
  <si>
    <t>19.06.</t>
  </si>
  <si>
    <t>20.06.</t>
  </si>
  <si>
    <t>21.06.</t>
  </si>
  <si>
    <t>22.06.</t>
  </si>
  <si>
    <t>23.06.</t>
  </si>
  <si>
    <t>24.06.</t>
  </si>
  <si>
    <t>85 min</t>
  </si>
  <si>
    <t>25.06.</t>
  </si>
  <si>
    <t>26.06.</t>
  </si>
  <si>
    <t>27.06.</t>
  </si>
  <si>
    <t>28.06.</t>
  </si>
  <si>
    <t>40 min</t>
  </si>
  <si>
    <t>29.06.</t>
  </si>
  <si>
    <t>30.06.</t>
  </si>
  <si>
    <t>01.07.</t>
  </si>
  <si>
    <t>120 - 130 min</t>
  </si>
  <si>
    <t>02.07.</t>
  </si>
  <si>
    <t>03.07.</t>
  </si>
  <si>
    <t>04.07.</t>
  </si>
  <si>
    <t>05.07.</t>
  </si>
  <si>
    <t>Schwimmen?</t>
  </si>
  <si>
    <t>06.07.</t>
  </si>
  <si>
    <t>07.07.</t>
  </si>
  <si>
    <t>08.07.</t>
  </si>
  <si>
    <t>09.07.</t>
  </si>
  <si>
    <t>10.07.</t>
  </si>
  <si>
    <t>11.07.</t>
  </si>
  <si>
    <t>12.07.</t>
  </si>
  <si>
    <t>75 min</t>
  </si>
  <si>
    <t>13.07.</t>
  </si>
  <si>
    <t>14.07.</t>
  </si>
  <si>
    <t>15.07.</t>
  </si>
  <si>
    <t>lDL</t>
  </si>
  <si>
    <t>160 min</t>
  </si>
  <si>
    <t>62 - 75</t>
  </si>
  <si>
    <t>16.07.</t>
  </si>
  <si>
    <t>17.07.</t>
  </si>
  <si>
    <t>18.07.</t>
  </si>
  <si>
    <t>19.07.</t>
  </si>
  <si>
    <t>20.07.</t>
  </si>
  <si>
    <t>21.07.</t>
  </si>
  <si>
    <t>kurzer DL</t>
  </si>
  <si>
    <t>22.07.</t>
  </si>
  <si>
    <t>WK</t>
  </si>
  <si>
    <t>&lt; 50min</t>
  </si>
  <si>
    <t>23.07.</t>
  </si>
  <si>
    <t>24.07.</t>
  </si>
  <si>
    <t>25.07.</t>
  </si>
  <si>
    <t>26.07.</t>
  </si>
  <si>
    <t>27.07.</t>
  </si>
  <si>
    <t>28.07.</t>
  </si>
  <si>
    <t>29.07.</t>
  </si>
  <si>
    <t>30.07.</t>
  </si>
  <si>
    <t>31.07.</t>
  </si>
  <si>
    <t>01.08.</t>
  </si>
  <si>
    <t>02.08.</t>
  </si>
  <si>
    <t>03.08.</t>
  </si>
  <si>
    <t>Radtour</t>
  </si>
  <si>
    <t>04.08.</t>
  </si>
  <si>
    <t>05.08.</t>
  </si>
  <si>
    <t>180 min</t>
  </si>
  <si>
    <t>06.08.</t>
  </si>
  <si>
    <t>07.08.</t>
  </si>
  <si>
    <t>08.08.</t>
  </si>
  <si>
    <t>09.08.</t>
  </si>
  <si>
    <t>10.08.</t>
  </si>
  <si>
    <t>11.08.</t>
  </si>
  <si>
    <t>12.08.</t>
  </si>
  <si>
    <t>HM</t>
  </si>
  <si>
    <t>112 min</t>
  </si>
  <si>
    <t>13.08.</t>
  </si>
  <si>
    <t>14.08.</t>
  </si>
  <si>
    <t>15.08.</t>
  </si>
  <si>
    <t>16.08.</t>
  </si>
  <si>
    <t>FL/Berg</t>
  </si>
  <si>
    <t>100 min</t>
  </si>
  <si>
    <t>?</t>
  </si>
  <si>
    <t>17.08.</t>
  </si>
  <si>
    <t>18.08.</t>
  </si>
  <si>
    <t>19.08.</t>
  </si>
  <si>
    <t>SDL</t>
  </si>
  <si>
    <t>140 min</t>
  </si>
  <si>
    <t>75 - 85</t>
  </si>
  <si>
    <t>20.08.</t>
  </si>
  <si>
    <t>21.08.</t>
  </si>
  <si>
    <t>22.08.</t>
  </si>
  <si>
    <t>23.08.</t>
  </si>
  <si>
    <t>24.08.</t>
  </si>
  <si>
    <t>25.08.</t>
  </si>
  <si>
    <t>26.08.</t>
  </si>
  <si>
    <t>182 min</t>
  </si>
  <si>
    <t>27.08.</t>
  </si>
  <si>
    <t>28.08.</t>
  </si>
  <si>
    <t>70 min</t>
  </si>
  <si>
    <t>29.08.</t>
  </si>
  <si>
    <t>30.08.</t>
  </si>
  <si>
    <t>31.08.</t>
  </si>
  <si>
    <t>01.09.</t>
  </si>
  <si>
    <t>02.09.</t>
  </si>
  <si>
    <t>03.09.</t>
  </si>
  <si>
    <t>04.09.</t>
  </si>
  <si>
    <t>05.09.</t>
  </si>
  <si>
    <t>06.09.</t>
  </si>
  <si>
    <t>FL</t>
  </si>
  <si>
    <t>07.09.</t>
  </si>
  <si>
    <t>08.09.</t>
  </si>
  <si>
    <t>09.09.</t>
  </si>
  <si>
    <t>125 min</t>
  </si>
  <si>
    <t>10.09.</t>
  </si>
  <si>
    <t>11.09.</t>
  </si>
  <si>
    <t>12.09.</t>
  </si>
  <si>
    <t>13.09.</t>
  </si>
  <si>
    <t>30 min</t>
  </si>
  <si>
    <t>14.09.</t>
  </si>
  <si>
    <t>Total</t>
  </si>
  <si>
    <t>15.09.</t>
  </si>
  <si>
    <t>16.09.</t>
  </si>
  <si>
    <t>MARATHON 9.00 Uhr</t>
  </si>
  <si>
    <t>Zeitpunkt</t>
  </si>
  <si>
    <t>Uhrzeit</t>
  </si>
  <si>
    <t>Dauer</t>
  </si>
  <si>
    <t>Distanz</t>
  </si>
  <si>
    <t>KM-Schnitt</t>
  </si>
  <si>
    <t>km/h</t>
  </si>
  <si>
    <t>31.12.2008</t>
  </si>
  <si>
    <t>13:00</t>
  </si>
  <si>
    <t>01:01:00</t>
  </si>
  <si>
    <t>00:05:05</t>
  </si>
  <si>
    <t>26.12.2008</t>
  </si>
  <si>
    <t>16:00</t>
  </si>
  <si>
    <t>00:48:08</t>
  </si>
  <si>
    <t>00:04:57</t>
  </si>
  <si>
    <t>30.11.2008</t>
  </si>
  <si>
    <t>15:00</t>
  </si>
  <si>
    <t>00:58:43</t>
  </si>
  <si>
    <t>00:05:34</t>
  </si>
  <si>
    <t>18.11.2008</t>
  </si>
  <si>
    <t>00:52:12</t>
  </si>
  <si>
    <t>00:05:18</t>
  </si>
  <si>
    <t>15.11.2008</t>
  </si>
  <si>
    <t>14:50</t>
  </si>
  <si>
    <t>00:52:51</t>
  </si>
  <si>
    <t>00:05:20</t>
  </si>
  <si>
    <t>09.11.2008</t>
  </si>
  <si>
    <t>00:50:41</t>
  </si>
  <si>
    <t>00:05:07</t>
  </si>
  <si>
    <t>06.11.2008</t>
  </si>
  <si>
    <t>01:28:00</t>
  </si>
  <si>
    <t>00:07:09</t>
  </si>
  <si>
    <t>03.11.2008</t>
  </si>
  <si>
    <t>01:12:12</t>
  </si>
  <si>
    <t>31.10.2008</t>
  </si>
  <si>
    <t>18:45</t>
  </si>
  <si>
    <t>00:53:22</t>
  </si>
  <si>
    <t>00:06:04</t>
  </si>
  <si>
    <t>27.10.2008</t>
  </si>
  <si>
    <t>00:52:30</t>
  </si>
  <si>
    <t>00:05:15</t>
  </si>
  <si>
    <t>25.10.2008</t>
  </si>
  <si>
    <t>15:15</t>
  </si>
  <si>
    <t>00:47:00</t>
  </si>
  <si>
    <t>00:05:17</t>
  </si>
  <si>
    <t>23.10.2008</t>
  </si>
  <si>
    <t>01:13:00</t>
  </si>
  <si>
    <t>00:07:27</t>
  </si>
  <si>
    <t>20.10.2008</t>
  </si>
  <si>
    <t>17:00</t>
  </si>
  <si>
    <t>01:10:00</t>
  </si>
  <si>
    <t>00:05:50</t>
  </si>
  <si>
    <t>13.10.2008</t>
  </si>
  <si>
    <t>00:48:00</t>
  </si>
  <si>
    <t>00:04:48</t>
  </si>
  <si>
    <t>09.10.2008</t>
  </si>
  <si>
    <t>16:17</t>
  </si>
  <si>
    <t>00:51:22</t>
  </si>
  <si>
    <t>00:05:08</t>
  </si>
  <si>
    <t>02.10.2008</t>
  </si>
  <si>
    <t>17:27</t>
  </si>
  <si>
    <t>00:46:47</t>
  </si>
  <si>
    <t>00:04:41</t>
  </si>
  <si>
    <t>21.09.2008</t>
  </si>
  <si>
    <t>9:01</t>
  </si>
  <si>
    <t>01:42:03</t>
  </si>
  <si>
    <t>00:04:50</t>
  </si>
  <si>
    <t>19.09.2008</t>
  </si>
  <si>
    <t>17:28</t>
  </si>
  <si>
    <t>00:38:49</t>
  </si>
  <si>
    <t>00:05:48</t>
  </si>
  <si>
    <t>17.09.2008</t>
  </si>
  <si>
    <t>17:55</t>
  </si>
  <si>
    <t>00:54:48</t>
  </si>
  <si>
    <t>00:05:29</t>
  </si>
  <si>
    <t>15.09.2008</t>
  </si>
  <si>
    <t>18:23</t>
  </si>
  <si>
    <t>01:05:00</t>
  </si>
  <si>
    <t>00:05:25</t>
  </si>
  <si>
    <t>09.09.2008</t>
  </si>
  <si>
    <t>18:50</t>
  </si>
  <si>
    <t>01:17:52</t>
  </si>
  <si>
    <t>00:05:30</t>
  </si>
  <si>
    <t>07.09.2008</t>
  </si>
  <si>
    <t>17:20</t>
  </si>
  <si>
    <t>00:51:26</t>
  </si>
  <si>
    <t>00:05:09</t>
  </si>
  <si>
    <t>05.09.2008</t>
  </si>
  <si>
    <t>17:57</t>
  </si>
  <si>
    <t>01:05:23</t>
  </si>
  <si>
    <t>00:05:27</t>
  </si>
  <si>
    <t>03.09.2008</t>
  </si>
  <si>
    <t>18:29</t>
  </si>
  <si>
    <t>00:51:45</t>
  </si>
  <si>
    <t>00:05:10</t>
  </si>
  <si>
    <t>26.08.2008</t>
  </si>
  <si>
    <t>17:58</t>
  </si>
  <si>
    <t>00:55:14</t>
  </si>
  <si>
    <t>00:05:31</t>
  </si>
  <si>
    <t>24.08.2008</t>
  </si>
  <si>
    <t>17:29</t>
  </si>
  <si>
    <t>00:53:53</t>
  </si>
  <si>
    <t>00:05:23</t>
  </si>
  <si>
    <t>21.08.2008</t>
  </si>
  <si>
    <t>19:14</t>
  </si>
  <si>
    <t>00:53:14</t>
  </si>
  <si>
    <t>00:05:19</t>
  </si>
  <si>
    <t>19.08.2008</t>
  </si>
  <si>
    <t>18:51</t>
  </si>
  <si>
    <t>00:53:16</t>
  </si>
  <si>
    <t>09.08.2008</t>
  </si>
  <si>
    <t>15:24</t>
  </si>
  <si>
    <t>00:54:28</t>
  </si>
  <si>
    <t>28.07.2008</t>
  </si>
  <si>
    <t>01:01:49</t>
  </si>
  <si>
    <t>00:06:11</t>
  </si>
  <si>
    <t>25.07.2008</t>
  </si>
  <si>
    <t>18:06</t>
  </si>
  <si>
    <t>01:00:47</t>
  </si>
  <si>
    <t>00:06:05</t>
  </si>
  <si>
    <t>22.07.2008</t>
  </si>
  <si>
    <t>15:58</t>
  </si>
  <si>
    <t>00:42:26</t>
  </si>
  <si>
    <t>14.07.2008</t>
  </si>
  <si>
    <t>20:01</t>
  </si>
  <si>
    <t>00:56:40</t>
  </si>
  <si>
    <t>00:05:40</t>
  </si>
  <si>
    <t>12.07.2008</t>
  </si>
  <si>
    <t>17:41</t>
  </si>
  <si>
    <t>00:56:48</t>
  </si>
  <si>
    <t>00:05:41</t>
  </si>
  <si>
    <t>09.07.2008</t>
  </si>
  <si>
    <t>20:08</t>
  </si>
  <si>
    <t>01.07.2008</t>
  </si>
  <si>
    <t>19:59</t>
  </si>
  <si>
    <t>01:08:34</t>
  </si>
  <si>
    <t>00:05:43</t>
  </si>
  <si>
    <t>27.06.2008</t>
  </si>
  <si>
    <t>18:11</t>
  </si>
  <si>
    <t>00:52:40</t>
  </si>
  <si>
    <t>00:05:16</t>
  </si>
  <si>
    <t>15.06.2008</t>
  </si>
  <si>
    <t>9:15</t>
  </si>
  <si>
    <t>00:54:53</t>
  </si>
  <si>
    <t>28.05.2008</t>
  </si>
  <si>
    <t>20:23</t>
  </si>
  <si>
    <t>01:06:43</t>
  </si>
  <si>
    <t>23.05.2008</t>
  </si>
  <si>
    <t>18:01</t>
  </si>
  <si>
    <t>00:54:32</t>
  </si>
  <si>
    <t>20.05.2008</t>
  </si>
  <si>
    <t>00:47:21</t>
  </si>
  <si>
    <t>00:05:38</t>
  </si>
  <si>
    <t>12.05.2008</t>
  </si>
  <si>
    <t>19:00</t>
  </si>
  <si>
    <t>00:54:40</t>
  </si>
  <si>
    <t>00:05:28</t>
  </si>
  <si>
    <t>23.04.2008</t>
  </si>
  <si>
    <t>19:33</t>
  </si>
  <si>
    <t>01:08:01</t>
  </si>
  <si>
    <t>16.04.2008</t>
  </si>
  <si>
    <t>19:27</t>
  </si>
  <si>
    <t>01:04:01</t>
  </si>
  <si>
    <t>13.04.2008</t>
  </si>
  <si>
    <t>18:31</t>
  </si>
  <si>
    <t>00:51:43</t>
  </si>
  <si>
    <t>11.04.2008</t>
  </si>
  <si>
    <t>18:24</t>
  </si>
  <si>
    <t>00:46:41</t>
  </si>
  <si>
    <t>00:05:33</t>
  </si>
  <si>
    <t>01.04.2008</t>
  </si>
  <si>
    <t>17:18</t>
  </si>
  <si>
    <t>00:49:15</t>
  </si>
  <si>
    <t>00:04:56</t>
  </si>
  <si>
    <t>29.03.2008</t>
  </si>
  <si>
    <t>00:52:00</t>
  </si>
  <si>
    <t>00:05:12</t>
  </si>
  <si>
    <t>Road to Munich (11.10.2009)</t>
  </si>
  <si>
    <t>HF</t>
  </si>
  <si>
    <t>x</t>
  </si>
  <si>
    <t>% max HF</t>
  </si>
  <si>
    <t>62 – 68</t>
  </si>
  <si>
    <t>122 – 134</t>
  </si>
  <si>
    <t>68 – 75</t>
  </si>
  <si>
    <t>134 – 148</t>
  </si>
  <si>
    <t>75 – 85</t>
  </si>
  <si>
    <t>148 – 168</t>
  </si>
  <si>
    <t>82 – 90</t>
  </si>
  <si>
    <t>162 – 177</t>
  </si>
  <si>
    <t>Zielzeit</t>
  </si>
  <si>
    <t>min/km</t>
  </si>
  <si>
    <t>dezimal</t>
  </si>
  <si>
    <t>M</t>
  </si>
  <si>
    <t>HMR</t>
  </si>
  <si>
    <t>LA</t>
  </si>
  <si>
    <t>MM</t>
  </si>
  <si>
    <t>Trainingsplan 2010</t>
  </si>
  <si>
    <t>KM</t>
  </si>
  <si>
    <t>Ø min/km</t>
  </si>
  <si>
    <t>Schuh</t>
  </si>
  <si>
    <t>check</t>
  </si>
  <si>
    <t>übertrag</t>
  </si>
  <si>
    <t>ASICS GT 21-40</t>
  </si>
  <si>
    <t>So</t>
  </si>
  <si>
    <t>ASICS GEL 11-50</t>
  </si>
  <si>
    <t>-</t>
  </si>
  <si>
    <t>Gesamt</t>
  </si>
  <si>
    <t>Trainingsplan 2011</t>
  </si>
  <si>
    <t>Ø HF</t>
  </si>
  <si>
    <t>%</t>
  </si>
  <si>
    <t>Schläge</t>
  </si>
  <si>
    <t>Zeit (min/km)</t>
  </si>
  <si>
    <r>
      <t>laDL (</t>
    </r>
    <r>
      <rPr>
        <b/>
        <sz val="10"/>
        <rFont val="Arial"/>
        <family val="2"/>
      </rPr>
      <t>GA1</t>
    </r>
    <r>
      <rPr>
        <sz val="10"/>
        <rFont val="Arial"/>
        <family val="2"/>
      </rPr>
      <t>)</t>
    </r>
  </si>
  <si>
    <r>
      <t>loDL (</t>
    </r>
    <r>
      <rPr>
        <b/>
        <sz val="10"/>
        <rFont val="Arial"/>
        <family val="2"/>
      </rPr>
      <t>GA2</t>
    </r>
    <r>
      <rPr>
        <sz val="10"/>
        <rFont val="Arial"/>
        <family val="2"/>
      </rPr>
      <t>)</t>
    </r>
  </si>
  <si>
    <t>sDL</t>
  </si>
  <si>
    <t>MRT</t>
  </si>
  <si>
    <t>HMRT</t>
  </si>
  <si>
    <t>MAX</t>
  </si>
  <si>
    <t>loDL</t>
  </si>
  <si>
    <t>durchfall/fieber</t>
  </si>
  <si>
    <t>laDL</t>
  </si>
  <si>
    <t>ASICS GT 21-60</t>
  </si>
  <si>
    <t>krank</t>
  </si>
  <si>
    <t>NIKE Run Free 2.0</t>
  </si>
  <si>
    <t>LB</t>
  </si>
  <si>
    <t>Trainingsplan 2012</t>
  </si>
  <si>
    <t>Training</t>
  </si>
  <si>
    <t>5:30 – 5:00; 150-160; bis 20km</t>
  </si>
  <si>
    <t>Fahrtenspiel</t>
  </si>
  <si>
    <t>5:30 – 5:00; + alle 5 min kl. Sprint für 30-45-60s; bis 16km</t>
  </si>
  <si>
    <t>Tempo-DL</t>
  </si>
  <si>
    <t>4:30 – 4:15; 165-175; 6-13km</t>
  </si>
  <si>
    <t>FS</t>
  </si>
  <si>
    <t>WKT</t>
  </si>
  <si>
    <t>ASICS GEL 11-70</t>
  </si>
  <si>
    <t>Trainingsplan 2013</t>
  </si>
  <si>
    <t>GA1</t>
  </si>
  <si>
    <t>GA2</t>
  </si>
  <si>
    <t>Trainingsplan 2014</t>
  </si>
  <si>
    <t>ASICS GEL-Kayano 20</t>
  </si>
  <si>
    <t>ASICS GT 2000</t>
  </si>
  <si>
    <t xml:space="preserve"> </t>
  </si>
  <si>
    <t>LL</t>
  </si>
  <si>
    <t>BROOKS Transcend</t>
  </si>
  <si>
    <t>Trainingsplan 2015</t>
  </si>
  <si>
    <t>sL</t>
  </si>
  <si>
    <t>HMWK</t>
  </si>
  <si>
    <t>LM</t>
  </si>
  <si>
    <t>RHM</t>
  </si>
  <si>
    <t>BM</t>
  </si>
  <si>
    <t>Trainingsplan 2016</t>
  </si>
  <si>
    <t>New Balance</t>
  </si>
  <si>
    <t>Trainingsplan 2017</t>
  </si>
  <si>
    <t>Ø pace</t>
  </si>
  <si>
    <t>Ø HFQ</t>
  </si>
  <si>
    <t>ASICS DynaFlite</t>
  </si>
  <si>
    <t>121-140;5:00</t>
  </si>
  <si>
    <t>140-149;4:36</t>
  </si>
  <si>
    <t>167-177;4:00</t>
  </si>
  <si>
    <t>ED</t>
  </si>
  <si>
    <t>rTSS/Wo</t>
  </si>
  <si>
    <t>Watt</t>
  </si>
  <si>
    <t>FTP</t>
  </si>
  <si>
    <t>W/kg</t>
  </si>
  <si>
    <t>Gewicht</t>
  </si>
  <si>
    <t>kg</t>
  </si>
  <si>
    <t>INT</t>
  </si>
  <si>
    <t>HFQ</t>
  </si>
  <si>
    <t>rFTP</t>
  </si>
  <si>
    <t>ml/kg*min</t>
  </si>
  <si>
    <t>001</t>
  </si>
  <si>
    <t>002</t>
  </si>
  <si>
    <t>003</t>
  </si>
  <si>
    <t>004</t>
  </si>
  <si>
    <t>W</t>
  </si>
  <si>
    <t>005</t>
  </si>
  <si>
    <t>VO2max</t>
  </si>
  <si>
    <t>006</t>
  </si>
  <si>
    <t>007</t>
  </si>
  <si>
    <t>008</t>
  </si>
  <si>
    <t>009</t>
  </si>
  <si>
    <t>010</t>
  </si>
  <si>
    <t>011</t>
  </si>
  <si>
    <t>012</t>
  </si>
  <si>
    <t>013</t>
  </si>
  <si>
    <t>kJ/kg*km</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</si>
  <si>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</si>
  <si>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</si>
  <si>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</si>
  <si>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</si>
  <si>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</si>
  <si>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</si>
  <si>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</si>
  <si>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</si>
  <si>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</si>
  <si>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</si>
  <si>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</si>
  <si>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</si>
  <si>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</si>
  <si>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</si>
  <si>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</si>
  <si>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</si>
  <si>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</si>
  <si>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</si>
  <si>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</si>
  <si>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</si>
  <si>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</si>
  <si>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</si>
  <si>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</si>
  <si>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</si>
  <si>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</si>
  <si>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</si>
  <si>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</si>
  <si>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</si>
  <si>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</si>
  <si>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</si>
  <si>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</si>
  <si>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</si>
  <si>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</si>
  <si>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</si>
  <si>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</si>
  <si>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</si>
  <si>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</si>
  <si>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</si>
  <si>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</si>
  <si>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</si>
  <si>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</si>
  <si>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</si>
  <si>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</si>
  <si>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</si>
  <si>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</si>
  <si>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</si>
  <si>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</si>
  <si>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</si>
  <si>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</si>
  <si>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</si>
  <si>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</si>
  <si>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</si>
  <si>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</si>
  <si>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</si>
  <si>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</si>
  <si>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</si>
  <si>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</si>
  <si>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</si>
  <si>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</si>
  <si>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</si>
  <si>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</si>
  <si>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</si>
  <si>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</si>
  <si>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</si>
  <si>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</si>
  <si>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</si>
  <si>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</si>
  <si>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</si>
  <si>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</si>
  <si>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</si>
  <si>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</si>
  <si>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</si>
  <si>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</si>
  <si>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</si>
  <si>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</si>
  <si>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</si>
  <si>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</si>
  <si>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</si>
  <si>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</si>
  <si>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</si>
  <si>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</si>
  <si>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</si>
  <si>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</si>
  <si>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</si>
  <si>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</si>
  <si>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</si>
  <si>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</si>
  <si>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</si>
  <si>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</si>
  <si>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</si>
  <si>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</si>
  <si>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</si>
  <si>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</si>
  <si>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</si>
  <si>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</si>
  <si>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</si>
  <si>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</si>
  <si>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</si>
  <si>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</si>
  <si>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</si>
  <si>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</si>
  <si>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</si>
  <si>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</si>
  <si>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</si>
  <si>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</si>
  <si>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</si>
  <si>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</si>
  <si>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</si>
  <si>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Km</t>
  </si>
  <si>
    <t>CP</t>
  </si>
  <si>
    <t>TSS</t>
  </si>
  <si>
    <t xml:space="preserve">FTP </t>
  </si>
  <si>
    <t>Kern</t>
  </si>
  <si>
    <t>AL/EL/ZL</t>
  </si>
  <si>
    <t>km</t>
  </si>
  <si>
    <t>IF</t>
  </si>
  <si>
    <t>wh</t>
  </si>
  <si>
    <t>AL/EL</t>
  </si>
  <si>
    <t>GA1.4</t>
  </si>
  <si>
    <t>GA1.6</t>
  </si>
  <si>
    <t>GA1.8</t>
  </si>
  <si>
    <t>GA1.10</t>
  </si>
  <si>
    <t>GA1.12</t>
  </si>
  <si>
    <t>GA1.14</t>
  </si>
  <si>
    <t>GA1.16</t>
  </si>
  <si>
    <t>GA1.18</t>
  </si>
  <si>
    <t>GA1.20</t>
  </si>
  <si>
    <t>GA1.22</t>
  </si>
  <si>
    <t>GA2.10</t>
  </si>
  <si>
    <t>GA2.12</t>
  </si>
  <si>
    <t>GA2.14</t>
  </si>
  <si>
    <t>SL10</t>
  </si>
  <si>
    <t>SL12</t>
  </si>
  <si>
    <t>SL14</t>
  </si>
  <si>
    <t>INT6</t>
  </si>
  <si>
    <t>INT8</t>
  </si>
  <si>
    <t>INT10</t>
  </si>
  <si>
    <t>INT4</t>
  </si>
  <si>
    <t>HMRT4</t>
  </si>
  <si>
    <t>HMRT6</t>
  </si>
  <si>
    <t>Pace</t>
  </si>
  <si>
    <t>PYR3</t>
  </si>
  <si>
    <t>PYR4</t>
  </si>
  <si>
    <t>PYR600</t>
  </si>
  <si>
    <t>PYR800</t>
  </si>
  <si>
    <t>092</t>
  </si>
  <si>
    <t>#</t>
  </si>
  <si>
    <t>rec</t>
  </si>
  <si>
    <t>4INT2k</t>
  </si>
  <si>
    <t>Adizero Boston</t>
  </si>
  <si>
    <t>Saucony München 3</t>
  </si>
  <si>
    <t>123</t>
  </si>
  <si>
    <t>124</t>
  </si>
  <si>
    <t>125</t>
  </si>
  <si>
    <t>126</t>
  </si>
  <si>
    <t>127</t>
  </si>
  <si>
    <t>128</t>
  </si>
  <si>
    <t>129</t>
  </si>
  <si>
    <t>130</t>
  </si>
  <si>
    <t>131</t>
  </si>
  <si>
    <t>132</t>
  </si>
  <si>
    <t>133</t>
  </si>
  <si>
    <t>134</t>
  </si>
  <si>
    <t>135</t>
  </si>
  <si>
    <t>136</t>
  </si>
  <si>
    <t>137</t>
  </si>
  <si>
    <t>138</t>
  </si>
  <si>
    <t>139</t>
  </si>
  <si>
    <t>140</t>
  </si>
  <si>
    <t>141</t>
  </si>
  <si>
    <t>142</t>
  </si>
  <si>
    <t>143</t>
  </si>
  <si>
    <t>wk</t>
  </si>
  <si>
    <t>144</t>
  </si>
  <si>
    <t>145</t>
  </si>
  <si>
    <t>146</t>
  </si>
  <si>
    <t>147</t>
  </si>
  <si>
    <t>148</t>
  </si>
  <si>
    <t>149</t>
  </si>
  <si>
    <t>150</t>
  </si>
  <si>
    <t>151</t>
  </si>
  <si>
    <t>152</t>
  </si>
  <si>
    <t>153</t>
  </si>
  <si>
    <t>154</t>
  </si>
  <si>
    <t>155</t>
  </si>
  <si>
    <t>156</t>
  </si>
  <si>
    <t>157</t>
  </si>
  <si>
    <t>158</t>
  </si>
  <si>
    <t>Critical Power Tests</t>
  </si>
  <si>
    <t>Date</t>
  </si>
  <si>
    <t>P3</t>
  </si>
  <si>
    <t>P9</t>
  </si>
  <si>
    <t>159</t>
  </si>
  <si>
    <t>160</t>
  </si>
  <si>
    <t>161</t>
  </si>
  <si>
    <t>06.11.</t>
  </si>
  <si>
    <t>19.02.</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</si>
  <si>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</si>
  <si>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</si>
  <si>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</si>
  <si>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</si>
  <si>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</si>
  <si>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</si>
  <si>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</si>
  <si>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</si>
  <si>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</si>
  <si>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</si>
  <si>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</si>
  <si>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</si>
  <si>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</si>
  <si>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</si>
  <si>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</si>
  <si>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</si>
  <si>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</si>
  <si>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</si>
  <si>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</si>
  <si>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</si>
  <si>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</si>
  <si>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</si>
  <si>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</si>
  <si>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</si>
  <si>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</si>
  <si>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</si>
  <si>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</si>
  <si>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</si>
  <si>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</si>
  <si>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</si>
  <si>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</si>
  <si>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TSB</t>
  </si>
  <si>
    <t>GA1.16s</t>
  </si>
  <si>
    <t>GA1.20s</t>
  </si>
  <si>
    <t>Saucony Guide ISO 2</t>
  </si>
  <si>
    <t>New Balance 860 v9</t>
  </si>
  <si>
    <t>New Balance 1080 v9</t>
  </si>
  <si>
    <t>Summe von KM</t>
  </si>
  <si>
    <t>ECOR</t>
  </si>
  <si>
    <t>Z1</t>
  </si>
  <si>
    <t>Z2</t>
  </si>
  <si>
    <t>Z3</t>
  </si>
  <si>
    <t>Z4</t>
  </si>
  <si>
    <t>Z5</t>
  </si>
  <si>
    <t>THR</t>
  </si>
  <si>
    <t>rec60</t>
  </si>
  <si>
    <t>load</t>
  </si>
  <si>
    <t>Summe:</t>
  </si>
  <si>
    <t>Schnitt:</t>
  </si>
  <si>
    <t>Dezember</t>
  </si>
  <si>
    <t>November</t>
  </si>
  <si>
    <t>Oktober</t>
  </si>
  <si>
    <t>September</t>
  </si>
  <si>
    <t>August</t>
  </si>
  <si>
    <t>Juli</t>
  </si>
  <si>
    <t>Juni</t>
  </si>
  <si>
    <t>Mai</t>
  </si>
  <si>
    <t>April</t>
  </si>
  <si>
    <t>März</t>
  </si>
  <si>
    <t>Jahr</t>
  </si>
  <si>
    <t>Februar</t>
  </si>
  <si>
    <t>Januar</t>
  </si>
  <si>
    <t>Jahre</t>
  </si>
  <si>
    <t>Monat</t>
  </si>
  <si>
    <t>CTL</t>
  </si>
  <si>
    <t>INT5</t>
  </si>
  <si>
    <t>Schuhe aktuell</t>
  </si>
  <si>
    <t>27.10.</t>
  </si>
  <si>
    <t>Brooks Defyance 10</t>
  </si>
  <si>
    <t>Mittelwert von ECOR</t>
  </si>
  <si>
    <t>06.01.</t>
  </si>
  <si>
    <t>B</t>
  </si>
  <si>
    <t>V</t>
  </si>
  <si>
    <t>R</t>
  </si>
  <si>
    <t>T</t>
  </si>
  <si>
    <t>HR</t>
  </si>
  <si>
    <t>REP10</t>
  </si>
  <si>
    <t>REP</t>
  </si>
  <si>
    <t>REP6</t>
  </si>
  <si>
    <t>REP8</t>
  </si>
  <si>
    <t>REP4</t>
  </si>
  <si>
    <t>REP12</t>
  </si>
  <si>
    <t>Z6</t>
  </si>
  <si>
    <t>Max</t>
  </si>
  <si>
    <t>Z2.4</t>
  </si>
  <si>
    <t>Z2.6</t>
  </si>
  <si>
    <t>Z2.8</t>
  </si>
  <si>
    <t>Z2.10</t>
  </si>
  <si>
    <t>Z2.12</t>
  </si>
  <si>
    <t>Z2.14</t>
  </si>
  <si>
    <t>Z2.16</t>
  </si>
  <si>
    <t>Z2.18</t>
  </si>
  <si>
    <t>Z2.20</t>
  </si>
  <si>
    <t>Z2.22</t>
  </si>
  <si>
    <t>Z2.90'</t>
  </si>
  <si>
    <t>Z2.100'</t>
  </si>
  <si>
    <t>Z2.110'</t>
  </si>
  <si>
    <t>Z2.2h</t>
  </si>
  <si>
    <t>Z2.16s</t>
  </si>
  <si>
    <t>Z2.18s</t>
  </si>
  <si>
    <t>Z2.20s</t>
  </si>
  <si>
    <t>Z2.22s</t>
  </si>
  <si>
    <t>Z1.HR</t>
  </si>
  <si>
    <t>Z2.HR</t>
  </si>
  <si>
    <t>Z2.60'</t>
  </si>
  <si>
    <t>PWR</t>
  </si>
  <si>
    <t>Adizero Boston 8</t>
  </si>
  <si>
    <t>Z5/Z6</t>
  </si>
  <si>
    <t>Z1.12</t>
  </si>
  <si>
    <t>Z1.mHR</t>
  </si>
  <si>
    <t>Z1.sHR</t>
  </si>
  <si>
    <t>Z2.sHR</t>
  </si>
  <si>
    <t>Z2.mHR</t>
  </si>
  <si>
    <t>AB</t>
  </si>
  <si>
    <t>Z4.30</t>
  </si>
  <si>
    <t>Z4.40</t>
  </si>
  <si>
    <t>Z4.50</t>
  </si>
  <si>
    <t>Z4.60</t>
  </si>
  <si>
    <t>FS.10</t>
  </si>
  <si>
    <t>pwr/hr</t>
  </si>
  <si>
    <t>j</t>
  </si>
  <si>
    <t>n</t>
  </si>
  <si>
    <t>k</t>
  </si>
  <si>
    <t>Today's stats</t>
  </si>
  <si>
    <t>Today's workout</t>
  </si>
  <si>
    <t>Today's load</t>
  </si>
  <si>
    <t>Todays CTL</t>
  </si>
  <si>
    <t>Todays ATL</t>
  </si>
  <si>
    <t>Apr</t>
  </si>
  <si>
    <t>2020</t>
  </si>
  <si>
    <t>Sum of KM</t>
  </si>
  <si>
    <t>Schuhe (km)</t>
  </si>
  <si>
    <t>Jan</t>
  </si>
  <si>
    <t>Feb</t>
  </si>
  <si>
    <t>Jun</t>
  </si>
  <si>
    <t>Jul</t>
  </si>
  <si>
    <t>Aug</t>
  </si>
  <si>
    <t>Nov</t>
  </si>
  <si>
    <t>Tomorrow's workout</t>
  </si>
  <si>
    <t>kurze Intervalle (60-90 sec)</t>
  </si>
  <si>
    <t>PWR/HR</t>
  </si>
  <si>
    <t>STRYD</t>
  </si>
  <si>
    <t>WKO5</t>
  </si>
  <si>
    <t>New Balance 1080 v10</t>
  </si>
  <si>
    <t>Z2.25</t>
  </si>
  <si>
    <t>TRIMP</t>
  </si>
  <si>
    <t>Tomorrow's load</t>
  </si>
  <si>
    <t>trail</t>
  </si>
  <si>
    <t>nct-lauf</t>
  </si>
  <si>
    <t>goal</t>
  </si>
  <si>
    <t>actual</t>
  </si>
  <si>
    <t>pos</t>
  </si>
  <si>
    <t>neg</t>
  </si>
  <si>
    <t>Innov-8 Terraultra</t>
  </si>
  <si>
    <t>MON</t>
  </si>
  <si>
    <t>BU</t>
  </si>
  <si>
    <t>R(b)</t>
  </si>
  <si>
    <t>T/TSS</t>
  </si>
  <si>
    <t>10kish</t>
  </si>
  <si>
    <t>Ergebnis</t>
  </si>
  <si>
    <t>Prognose</t>
  </si>
  <si>
    <t>Titel</t>
  </si>
  <si>
    <t xml:space="preserve">Time </t>
  </si>
  <si>
    <t>Power</t>
  </si>
  <si>
    <t>%mFTP</t>
  </si>
  <si>
    <t>mFTP</t>
  </si>
  <si>
    <t>Time</t>
  </si>
  <si>
    <t>21.01.2018</t>
  </si>
  <si>
    <t>OWC10</t>
  </si>
  <si>
    <t>25.02.2018</t>
  </si>
  <si>
    <t>OWC15</t>
  </si>
  <si>
    <t>31.12.2018</t>
  </si>
  <si>
    <t>Silvester10</t>
  </si>
  <si>
    <t>20.01.2019</t>
  </si>
  <si>
    <t>24.02.2019</t>
  </si>
  <si>
    <t>aktuelle Prognose</t>
  </si>
  <si>
    <t>Halbmarathon</t>
  </si>
  <si>
    <t>25.03.2018</t>
  </si>
  <si>
    <t>OWC21</t>
  </si>
  <si>
    <t>15.09.2018</t>
  </si>
  <si>
    <t>Stockholm HM</t>
  </si>
  <si>
    <t>Z4.10k</t>
  </si>
  <si>
    <t>10 k</t>
  </si>
  <si>
    <t>(km/Wo)</t>
  </si>
  <si>
    <t>Z4.4x6'</t>
  </si>
  <si>
    <t>Z4.4x8'</t>
  </si>
  <si>
    <t>Z4.4x10'</t>
  </si>
  <si>
    <t>hills</t>
  </si>
  <si>
    <t>bb</t>
  </si>
  <si>
    <t>trails</t>
  </si>
  <si>
    <t>2021</t>
  </si>
  <si>
    <t>Z2.70'</t>
  </si>
  <si>
    <t>Z2.80'</t>
  </si>
  <si>
    <t>Z4.20</t>
  </si>
  <si>
    <t>Strecke mit Kinderwagen (total)</t>
  </si>
  <si>
    <t>Average of ECOR</t>
  </si>
  <si>
    <t>Brooks Defyance 11</t>
  </si>
  <si>
    <t>Watt (%)</t>
  </si>
  <si>
    <t>/km</t>
  </si>
  <si>
    <t>Z5.5x3'</t>
  </si>
  <si>
    <t>Z5.6x3'</t>
  </si>
  <si>
    <t>Z5.8x3'</t>
  </si>
  <si>
    <t>Z5.10x3'</t>
  </si>
  <si>
    <t>Z6.6x90''</t>
  </si>
  <si>
    <t>Z6.8x90''</t>
  </si>
  <si>
    <t>Z6.10x90''</t>
  </si>
  <si>
    <t>/0.4km</t>
  </si>
  <si>
    <t>Eisweiher10k</t>
  </si>
  <si>
    <t>Z4.4x5'</t>
  </si>
  <si>
    <t>Z4.3x12'</t>
  </si>
  <si>
    <t>5k-wk</t>
  </si>
  <si>
    <t>Z3.20</t>
  </si>
  <si>
    <t>Z3.60'</t>
  </si>
  <si>
    <t>Z4.4x12'</t>
  </si>
  <si>
    <t>Z4.4x15'</t>
  </si>
  <si>
    <t>REKOM | Regeneration | AL/EL</t>
  </si>
  <si>
    <t>Grundlagenausdauer | MAF | long runs</t>
  </si>
  <si>
    <t>Tempo | Marathontempo</t>
  </si>
  <si>
    <t>Schwelle | Halbmarathontempo</t>
  </si>
  <si>
    <t>WOW</t>
  </si>
  <si>
    <t>HLR1</t>
  </si>
  <si>
    <t>HLR2</t>
  </si>
  <si>
    <t>HLR3</t>
  </si>
  <si>
    <t>Val's Hard Longrun 80'</t>
  </si>
  <si>
    <t>Val's Hard Longrun 90'</t>
  </si>
  <si>
    <t>Val's Hard Longrun 100'</t>
  </si>
  <si>
    <t>Median of PWR/HR</t>
  </si>
  <si>
    <t>Last 90d avg PWR/HR</t>
  </si>
  <si>
    <t>Z2.45'</t>
  </si>
  <si>
    <t>Z2.30'</t>
  </si>
  <si>
    <t>Trend</t>
  </si>
  <si>
    <t>Standard JD</t>
  </si>
  <si>
    <t>Nanocycles</t>
  </si>
  <si>
    <t>Z3.10'</t>
  </si>
  <si>
    <t>Z3.20'</t>
  </si>
  <si>
    <t>Z1.45'</t>
  </si>
  <si>
    <t>Gesamtergebnis</t>
  </si>
  <si>
    <t>2022</t>
  </si>
  <si>
    <t>Mizuno</t>
  </si>
  <si>
    <t>Summe von HM</t>
  </si>
  <si>
    <t>neuer stryd ab hier</t>
  </si>
  <si>
    <t>Years</t>
  </si>
  <si>
    <t>Adidas Solarglide 5</t>
  </si>
  <si>
    <t>HOKA Rincon 3</t>
  </si>
  <si>
    <t>Avg</t>
  </si>
  <si>
    <t xml:space="preserve">   </t>
  </si>
  <si>
    <t>Sep</t>
  </si>
  <si>
    <t>date</t>
  </si>
  <si>
    <t>90d</t>
  </si>
  <si>
    <t>trailing 90d volume</t>
  </si>
  <si>
    <t>Herbst 2025</t>
  </si>
  <si>
    <t>Marathon</t>
  </si>
  <si>
    <t>Frühjahr 2025</t>
  </si>
  <si>
    <t>10k</t>
  </si>
  <si>
    <t>5k</t>
  </si>
  <si>
    <t>Herbst 2024</t>
  </si>
  <si>
    <t>Frühjahr 2024</t>
  </si>
  <si>
    <t>5k von der couch weg</t>
  </si>
  <si>
    <t>2023</t>
  </si>
  <si>
    <t>str</t>
  </si>
  <si>
    <t>6x1'</t>
  </si>
  <si>
    <t>HOKA Clifton 8</t>
  </si>
  <si>
    <t>wo</t>
  </si>
  <si>
    <t>8x1'/1'</t>
  </si>
  <si>
    <t>ecor</t>
  </si>
  <si>
    <t>pw/hr</t>
  </si>
  <si>
    <t/>
  </si>
  <si>
    <t>OSM ID</t>
  </si>
  <si>
    <t>Name</t>
  </si>
  <si>
    <t>Höhe</t>
  </si>
  <si>
    <t>Check</t>
  </si>
  <si>
    <t>Garbuckel</t>
  </si>
  <si>
    <t>Bogenberg</t>
  </si>
  <si>
    <t>Teufelsfelsen</t>
  </si>
  <si>
    <t>Kirnhöhe</t>
  </si>
  <si>
    <t>Schützberg</t>
  </si>
  <si>
    <t>Schwarzer Dachsberg</t>
  </si>
  <si>
    <t>Kühberg</t>
  </si>
  <si>
    <t>Buchaberg</t>
  </si>
  <si>
    <t>Urberberg</t>
  </si>
  <si>
    <t>Degenberg</t>
  </si>
  <si>
    <t>Steinberg</t>
  </si>
  <si>
    <t>Hirschbuckel</t>
  </si>
  <si>
    <t>Hohes Buchet</t>
  </si>
  <si>
    <t>Riesberg</t>
  </si>
  <si>
    <t>Hungerberg</t>
  </si>
  <si>
    <t>Pilgramsberg</t>
  </si>
  <si>
    <t>Kirchenberg</t>
  </si>
  <si>
    <t>Spangelberg</t>
  </si>
  <si>
    <t>Neundelberg</t>
  </si>
  <si>
    <t>Eichhänge</t>
  </si>
  <si>
    <t>Hohenried</t>
  </si>
  <si>
    <t>Blumerberg</t>
  </si>
  <si>
    <t>Ochsenberg</t>
  </si>
  <si>
    <t>Oberer Berg</t>
  </si>
  <si>
    <t>Viechtberg</t>
  </si>
  <si>
    <t>Kobelberg</t>
  </si>
  <si>
    <t>Kühleite</t>
  </si>
  <si>
    <t>Gallner Berg</t>
  </si>
  <si>
    <t>Knoglerberg</t>
  </si>
  <si>
    <t>Loider Höhe</t>
  </si>
  <si>
    <t>Winterberg</t>
  </si>
  <si>
    <t>Büscherl</t>
  </si>
  <si>
    <t>Sommerberg</t>
  </si>
  <si>
    <t>Kapellenberg</t>
  </si>
  <si>
    <t>Schopf</t>
  </si>
  <si>
    <t>Predigtstuhl</t>
  </si>
  <si>
    <t>Pröller</t>
  </si>
  <si>
    <t>Knogl</t>
  </si>
  <si>
    <t>Hirschenstein</t>
  </si>
  <si>
    <t>Egidi-Buckel</t>
  </si>
  <si>
    <t>Schloßberg</t>
  </si>
  <si>
    <t>Geißberg</t>
  </si>
  <si>
    <t>Herrnberg</t>
  </si>
  <si>
    <t>Jägerbuckel</t>
  </si>
  <si>
    <t>Tannenberg</t>
  </si>
  <si>
    <t>Gschwellberg</t>
  </si>
  <si>
    <t>Sauberg</t>
  </si>
  <si>
    <t>Lerchenhaube</t>
  </si>
  <si>
    <t>Rabenstein</t>
  </si>
  <si>
    <t>Klingerberg</t>
  </si>
  <si>
    <t>Steinriegel</t>
  </si>
  <si>
    <t>Heizerberg</t>
  </si>
  <si>
    <t>Hinterberg</t>
  </si>
  <si>
    <t>Kirchberg</t>
  </si>
  <si>
    <t>Hochgartenberg</t>
  </si>
  <si>
    <t>Fuchsberg</t>
  </si>
  <si>
    <t>Hofberg</t>
  </si>
  <si>
    <t>Lindenauer Berg</t>
  </si>
  <si>
    <t>Achslacher Berg</t>
  </si>
  <si>
    <t>Eisberg</t>
  </si>
  <si>
    <t>Förchenbichel</t>
  </si>
  <si>
    <t>Butzen</t>
  </si>
  <si>
    <t>Kastenstein</t>
  </si>
  <si>
    <t>Burgstein</t>
  </si>
  <si>
    <t>Bernhardsnagel</t>
  </si>
  <si>
    <t>Hochriedriegel</t>
  </si>
  <si>
    <t>Hanichelriegel</t>
  </si>
  <si>
    <t>Käsplatte</t>
  </si>
  <si>
    <t>Schusterstein</t>
  </si>
  <si>
    <t>Vogelsang</t>
  </si>
  <si>
    <t>Hochberg</t>
  </si>
  <si>
    <t>Klausenstein</t>
  </si>
  <si>
    <t>Rauher Kulm</t>
  </si>
  <si>
    <t>Kälberbuckel</t>
  </si>
  <si>
    <t>Geiersberg</t>
  </si>
  <si>
    <t>Streubügel</t>
  </si>
  <si>
    <t>Reisberg</t>
  </si>
  <si>
    <t>Einfaltsberg</t>
  </si>
  <si>
    <t>Hocheiche</t>
  </si>
  <si>
    <t>Schanzenberg</t>
  </si>
  <si>
    <t>Wacht</t>
  </si>
  <si>
    <t>Wilde Leite</t>
  </si>
  <si>
    <t>Irlberg</t>
  </si>
  <si>
    <t>Tränkberg</t>
  </si>
  <si>
    <t>Kalvarienberg</t>
  </si>
  <si>
    <t>Bauenberg</t>
  </si>
  <si>
    <t>Breitenberg</t>
  </si>
  <si>
    <t>Koppenberg</t>
  </si>
  <si>
    <t>Hohenstein</t>
  </si>
  <si>
    <t>Tratthöhe</t>
  </si>
  <si>
    <t>Uhrberg</t>
  </si>
  <si>
    <t>Steinbichel</t>
  </si>
  <si>
    <t>Lauberberg</t>
  </si>
  <si>
    <t>Rauchenberg</t>
  </si>
  <si>
    <t>Schützinger Berg</t>
  </si>
  <si>
    <t>Schweinsberg</t>
  </si>
  <si>
    <t>Fundberg</t>
  </si>
  <si>
    <t>Blattenbigel</t>
  </si>
  <si>
    <t>Distelberg</t>
  </si>
  <si>
    <t>Längseigenberg</t>
  </si>
  <si>
    <t>Oberberg</t>
  </si>
  <si>
    <t>Köpfelsberg</t>
  </si>
  <si>
    <t>Weissenstein</t>
  </si>
  <si>
    <t>Buchberg</t>
  </si>
  <si>
    <t>Furth</t>
  </si>
  <si>
    <t>Sollerberg</t>
  </si>
  <si>
    <t>Buchenhöhe</t>
  </si>
  <si>
    <t>Hocheck</t>
  </si>
  <si>
    <t>Kanzel</t>
  </si>
  <si>
    <t>Scheuerberg</t>
  </si>
  <si>
    <t>Bumsenberg</t>
  </si>
  <si>
    <t>Gsteinachhöhe</t>
  </si>
  <si>
    <t>Hochoberndorfer Berg</t>
  </si>
  <si>
    <t>Spitzberg</t>
  </si>
  <si>
    <t>Schergenhöhe</t>
  </si>
  <si>
    <t>Hirschenkopf</t>
  </si>
  <si>
    <t>Anhangberg</t>
  </si>
  <si>
    <t>Geißriegel</t>
  </si>
  <si>
    <t>Dreitannenriegel</t>
  </si>
  <si>
    <t>Geißkopf</t>
  </si>
  <si>
    <t>Breitenauriegel</t>
  </si>
  <si>
    <t>Einödriegel</t>
  </si>
  <si>
    <t>Hummelsberg</t>
  </si>
  <si>
    <t>Semmelberg</t>
  </si>
  <si>
    <t>Frauenberg</t>
  </si>
  <si>
    <t>Hengersberg</t>
  </si>
  <si>
    <t>Mühlberg</t>
  </si>
  <si>
    <t>Lindenberg</t>
  </si>
  <si>
    <t>Pfahl (bei Ried am Pfahl)</t>
  </si>
  <si>
    <t>Birkenberg</t>
  </si>
  <si>
    <t>Weinberg</t>
  </si>
  <si>
    <t>Teufelsmauer</t>
  </si>
  <si>
    <t>Schlottberg</t>
  </si>
  <si>
    <t>Riedberg</t>
  </si>
  <si>
    <t>Raubühl</t>
  </si>
  <si>
    <t>Taschinger Berg</t>
  </si>
  <si>
    <t>Scheibenbühl</t>
  </si>
  <si>
    <t>Teufelsmauer (bei Radling)</t>
  </si>
  <si>
    <t>Füchsenbuhl</t>
  </si>
  <si>
    <t>Taubenberg</t>
  </si>
  <si>
    <t>Pfahlhöhe</t>
  </si>
  <si>
    <t>Vogelherd</t>
  </si>
  <si>
    <t>Giglberg</t>
  </si>
  <si>
    <t>Tragelberg</t>
  </si>
  <si>
    <t>Steinbühl</t>
  </si>
  <si>
    <t>Wiltinger Höhe</t>
  </si>
  <si>
    <t>Faschaberg</t>
  </si>
  <si>
    <t>Schwenkberg</t>
  </si>
  <si>
    <t>Eckenberg</t>
  </si>
  <si>
    <t>Großeilberg</t>
  </si>
  <si>
    <t>Plattenberg</t>
  </si>
  <si>
    <t>Gruberberg</t>
  </si>
  <si>
    <t>Michelsbühl</t>
  </si>
  <si>
    <t>Tannberg</t>
  </si>
  <si>
    <t>Hohenruck</t>
  </si>
  <si>
    <t>Achatsbuckel</t>
  </si>
  <si>
    <t>Hohe Wart</t>
  </si>
  <si>
    <t>Zinzenberg</t>
  </si>
  <si>
    <t>Hammühlberg</t>
  </si>
  <si>
    <t>Scheuchenberg</t>
  </si>
  <si>
    <t>Bügel</t>
  </si>
  <si>
    <t>Geiselberg</t>
  </si>
  <si>
    <t>Eicherlberg</t>
  </si>
  <si>
    <t>Geßinger Berg</t>
  </si>
  <si>
    <t>Schlossberg</t>
  </si>
  <si>
    <t>Striegelberg</t>
  </si>
  <si>
    <t>Hürstein</t>
  </si>
  <si>
    <t>Grubberg</t>
  </si>
  <si>
    <t>Haiberberg</t>
  </si>
  <si>
    <t>Hirtenberg</t>
  </si>
  <si>
    <t>Altweiberhöhe</t>
  </si>
  <si>
    <t>Lamberg</t>
  </si>
  <si>
    <t>Dangelsdorfer Berg</t>
  </si>
  <si>
    <t>Pfefferberg</t>
  </si>
  <si>
    <t>Gemeindeberg</t>
  </si>
  <si>
    <t>Brechhausberg</t>
  </si>
  <si>
    <t>Kleiner Rossberg</t>
  </si>
  <si>
    <t>Hoher Fels</t>
  </si>
  <si>
    <t>Finkenrieder Berg</t>
  </si>
  <si>
    <t>Pfarrerberg</t>
  </si>
  <si>
    <t>Bölmersberg</t>
  </si>
  <si>
    <t>Hadriwa</t>
  </si>
  <si>
    <t>Hieselberg</t>
  </si>
  <si>
    <t>Knogelberg</t>
  </si>
  <si>
    <t>Bärnstein</t>
  </si>
  <si>
    <t>Bembichel</t>
  </si>
  <si>
    <t>Schachenfeld</t>
  </si>
  <si>
    <t>Wimmesbichel</t>
  </si>
  <si>
    <t>Schachel</t>
  </si>
  <si>
    <t>Kleiner Riedstein</t>
  </si>
  <si>
    <t>Feldbühl</t>
  </si>
  <si>
    <t>Bornstein</t>
  </si>
  <si>
    <t>Tannbühl</t>
  </si>
  <si>
    <t>Hermannschopf</t>
  </si>
  <si>
    <t>Rosenberg</t>
  </si>
  <si>
    <t>Dattinger Berg</t>
  </si>
  <si>
    <t>Stadelberg</t>
  </si>
  <si>
    <t>Weigelsberg</t>
  </si>
  <si>
    <t>Teufelstisch</t>
  </si>
  <si>
    <t>Hausstein</t>
  </si>
  <si>
    <t>Helfenstein</t>
  </si>
  <si>
    <t>Berliner Kreuz</t>
  </si>
  <si>
    <t>Weißer Felsen</t>
  </si>
  <si>
    <t>Hirschpertberg</t>
  </si>
  <si>
    <t>Hetzenbacher Höhe</t>
  </si>
  <si>
    <t>Hohes Kreuz</t>
  </si>
  <si>
    <t>Vormittagberg</t>
  </si>
  <si>
    <t>Rohrberg</t>
  </si>
  <si>
    <t>Riederberg</t>
  </si>
  <si>
    <t>Pledlberg</t>
  </si>
  <si>
    <t>Rechenberg</t>
  </si>
  <si>
    <t>Abesberg</t>
  </si>
  <si>
    <t>Keilstein</t>
  </si>
  <si>
    <t>Keilberg</t>
  </si>
  <si>
    <t>Großer Pfaffenstein</t>
  </si>
  <si>
    <t>Rote Marter</t>
  </si>
  <si>
    <t>Traubenberg</t>
  </si>
  <si>
    <t>Schlossberg (Runding)</t>
  </si>
  <si>
    <t>Hoher Stein</t>
  </si>
  <si>
    <t>Streitberg</t>
  </si>
  <si>
    <t>Anis</t>
  </si>
  <si>
    <t>Regener Berg</t>
  </si>
  <si>
    <t>Aibenberg</t>
  </si>
  <si>
    <t>Ranzinger Vorberg</t>
  </si>
  <si>
    <t>Haidstein</t>
  </si>
  <si>
    <t>Leitenbühl</t>
  </si>
  <si>
    <t>Kleiner Rachelberg</t>
  </si>
  <si>
    <t>Sternknöckel</t>
  </si>
  <si>
    <t>Strohmannhanselhöhe</t>
  </si>
  <si>
    <t>Wolfgangriegel</t>
  </si>
  <si>
    <t>Harlachberger Spitze</t>
  </si>
  <si>
    <t>Kronberg</t>
  </si>
  <si>
    <t>Kreuzfelsen</t>
  </si>
  <si>
    <t>Mittagstein</t>
  </si>
  <si>
    <t>Rauchröhren</t>
  </si>
  <si>
    <t>Kleiner Riedelstein</t>
  </si>
  <si>
    <t>Plattenriegel</t>
  </si>
  <si>
    <t>Großer Riedelstein</t>
  </si>
  <si>
    <t>Kleiner Büchelstein</t>
  </si>
  <si>
    <t>Unterdorfer Berg</t>
  </si>
  <si>
    <t>Galgenberg</t>
  </si>
  <si>
    <t>Abendberg</t>
  </si>
  <si>
    <t>Spielberg</t>
  </si>
  <si>
    <t>Langberg</t>
  </si>
  <si>
    <t>Sallerner Berg</t>
  </si>
  <si>
    <t>Zeitlberg</t>
  </si>
  <si>
    <t>Fuchsbühl</t>
  </si>
  <si>
    <t>Kranewittberg</t>
  </si>
  <si>
    <t>Trettinger Birkenberg</t>
  </si>
  <si>
    <t>Eschbühl</t>
  </si>
  <si>
    <t>Jugenberg</t>
  </si>
  <si>
    <t>Hiermesbügel</t>
  </si>
  <si>
    <t>Riegelholzberg</t>
  </si>
  <si>
    <t>Plattenhöhe</t>
  </si>
  <si>
    <t>Riedstein</t>
  </si>
  <si>
    <t>Brauerriegel</t>
  </si>
  <si>
    <t>Scheibenberg</t>
  </si>
  <si>
    <t>Asberg</t>
  </si>
  <si>
    <t>Hangenleithner Hügel</t>
  </si>
  <si>
    <t>Kleines Hochgrainet</t>
  </si>
  <si>
    <t>Büchelstein</t>
  </si>
  <si>
    <t>Traillingriegel</t>
  </si>
  <si>
    <t>Fürberg</t>
  </si>
  <si>
    <t>Jägerriegel</t>
  </si>
  <si>
    <t>Wolfsriegel</t>
  </si>
  <si>
    <t>Schmidtriegel</t>
  </si>
  <si>
    <t>Pürzerriegel</t>
  </si>
  <si>
    <t>Weißmandl</t>
  </si>
  <si>
    <t>Silberberg</t>
  </si>
  <si>
    <t>Kohlriegel</t>
  </si>
  <si>
    <t>Hennenkobel</t>
  </si>
  <si>
    <t>Burgstall</t>
  </si>
  <si>
    <t>Farrenruck</t>
  </si>
  <si>
    <t>Brandtner Riegel</t>
  </si>
  <si>
    <t>Brotjacklriegel</t>
  </si>
  <si>
    <t>Hörndl</t>
  </si>
  <si>
    <t>Schneiderberg</t>
  </si>
  <si>
    <t>Bärenriegel</t>
  </si>
  <si>
    <t>Haibühler Spitz</t>
  </si>
  <si>
    <t>Ahornriegel</t>
  </si>
  <si>
    <t>Rote Höhe</t>
  </si>
  <si>
    <t>Eckstein</t>
  </si>
  <si>
    <t>Mühlriegel</t>
  </si>
  <si>
    <t>Schwarzriegel</t>
  </si>
  <si>
    <t>Hochsätter</t>
  </si>
  <si>
    <t>Hahnenriegel</t>
  </si>
  <si>
    <t>Hochstein</t>
  </si>
  <si>
    <t>Ödriegel</t>
  </si>
  <si>
    <t>Hängender Riegel</t>
  </si>
  <si>
    <t>Hochzellberg</t>
  </si>
  <si>
    <t>Stallriegel</t>
  </si>
  <si>
    <t>Schwarzeck</t>
  </si>
  <si>
    <t>Heugstatt</t>
  </si>
  <si>
    <t>Enzian</t>
  </si>
  <si>
    <t>Mittagsplatzl</t>
  </si>
  <si>
    <t>Kleiner Arber</t>
  </si>
  <si>
    <t>Großer Arber</t>
  </si>
  <si>
    <t>Sturmriegel</t>
  </si>
  <si>
    <t>Riebenzingriegel</t>
  </si>
  <si>
    <t>Zwieselberg</t>
  </si>
  <si>
    <t>Brünst</t>
  </si>
  <si>
    <t>Atzelberg</t>
  </si>
  <si>
    <t>Ständelberg</t>
  </si>
  <si>
    <t>Bernhöhe</t>
  </si>
  <si>
    <t>Büschlberg</t>
  </si>
  <si>
    <t>Häuserberg</t>
  </si>
  <si>
    <t>Spandlberg</t>
  </si>
  <si>
    <t>Glasberg</t>
  </si>
  <si>
    <t>Stierberg</t>
  </si>
  <si>
    <t>Kohlbichel</t>
  </si>
  <si>
    <t>Oberer Kühberg</t>
  </si>
  <si>
    <t>Vorderer Berg</t>
  </si>
  <si>
    <t>Schindelauberg</t>
  </si>
  <si>
    <t>Sulzriegel</t>
  </si>
  <si>
    <t>Kagerstein</t>
  </si>
  <si>
    <t>Leitenwaldhöhe</t>
  </si>
  <si>
    <t>Dreikögelriegel</t>
  </si>
  <si>
    <t>Habichtstein</t>
  </si>
  <si>
    <t>Hochfels</t>
  </si>
  <si>
    <t>Hessenstein</t>
  </si>
  <si>
    <t>Rotes Kreuz</t>
  </si>
  <si>
    <t>Geißlstein</t>
  </si>
  <si>
    <t>Kleiner Aschenstein</t>
  </si>
  <si>
    <t>Drähberg</t>
  </si>
  <si>
    <t>Aschenstein</t>
  </si>
  <si>
    <t>Gsengetstein</t>
  </si>
  <si>
    <t>Wagensonnriegel</t>
  </si>
  <si>
    <t>Fuchsriegel</t>
  </si>
  <si>
    <t>Eschenberg</t>
  </si>
  <si>
    <t>Hindenburgkanzel</t>
  </si>
  <si>
    <t>Helmwald</t>
  </si>
  <si>
    <t>Wagnerspitze</t>
  </si>
  <si>
    <t>Maxfelsen</t>
  </si>
  <si>
    <t>Maly Kokrháč</t>
  </si>
  <si>
    <t>Hindenburgfelsen</t>
  </si>
  <si>
    <t>Kleiner Osser</t>
  </si>
  <si>
    <t>Großer Osser</t>
  </si>
  <si>
    <t>Peilstein</t>
  </si>
  <si>
    <t>Franzenshöhe</t>
  </si>
  <si>
    <t>Widderberg</t>
  </si>
  <si>
    <t>Am Knöchel</t>
  </si>
  <si>
    <t>Sattel</t>
  </si>
  <si>
    <t>Kopfriegel</t>
  </si>
  <si>
    <t>Riesensprung</t>
  </si>
  <si>
    <t>Büchelberg</t>
  </si>
  <si>
    <t>Pfennighügel</t>
  </si>
  <si>
    <t>Diebstein</t>
  </si>
  <si>
    <t>Bauernberg</t>
  </si>
  <si>
    <t>Goldhügel</t>
  </si>
  <si>
    <t>Im Riegel</t>
  </si>
  <si>
    <t>Weinerberg</t>
  </si>
  <si>
    <t>Ochsenstiegl</t>
  </si>
  <si>
    <t>Stangenruck</t>
  </si>
  <si>
    <t>Brändriegel</t>
  </si>
  <si>
    <t>Türkenberg</t>
  </si>
  <si>
    <t>Altenstein</t>
  </si>
  <si>
    <t>Steinbügel</t>
  </si>
  <si>
    <t>Hoher Sachsen</t>
  </si>
  <si>
    <t>Auf der Schanz</t>
  </si>
  <si>
    <t>Hirschberg</t>
  </si>
  <si>
    <t>Weißer Riegel</t>
  </si>
  <si>
    <t>Jägerhübel</t>
  </si>
  <si>
    <t>Schwarzbachriegel</t>
  </si>
  <si>
    <t>Kleiner Falkenstein</t>
  </si>
  <si>
    <t>Scheuereckberg</t>
  </si>
  <si>
    <t>Fahnenriegel</t>
  </si>
  <si>
    <t>Kiesruck</t>
  </si>
  <si>
    <t>Ruckowitzberg</t>
  </si>
  <si>
    <t>Großer Falkenstein</t>
  </si>
  <si>
    <t>Trossel</t>
  </si>
  <si>
    <t>Redelberg</t>
  </si>
  <si>
    <t>Scheiben</t>
  </si>
  <si>
    <t>Kreuzberg</t>
  </si>
  <si>
    <t>Kadernberg</t>
  </si>
  <si>
    <t>Fürstenstand</t>
  </si>
  <si>
    <t>Höllbachriegel</t>
  </si>
  <si>
    <t>Scheuereckriegel</t>
  </si>
  <si>
    <t>Erlenberg</t>
  </si>
  <si>
    <t>Kehlberg</t>
  </si>
  <si>
    <t>Glockenberg</t>
  </si>
  <si>
    <t>Ebersberg</t>
  </si>
  <si>
    <t>Hauzenberg</t>
  </si>
  <si>
    <t>Bubikberg</t>
  </si>
  <si>
    <t>Höhenberg</t>
  </si>
  <si>
    <t>Lindberg</t>
  </si>
  <si>
    <t>Siebenrücken</t>
  </si>
  <si>
    <t>Bienstand</t>
  </si>
  <si>
    <t>Steinkopf</t>
  </si>
  <si>
    <t>Großer Hahnenbogen</t>
  </si>
  <si>
    <t>Hochruck</t>
  </si>
  <si>
    <t>V koutě</t>
  </si>
  <si>
    <t>Bärenlochriegel</t>
  </si>
  <si>
    <t>Kleiner Rachel</t>
  </si>
  <si>
    <t>Großer Rachel</t>
  </si>
  <si>
    <t>Beerenkopf</t>
  </si>
  <si>
    <t>Grüdelberg</t>
  </si>
  <si>
    <t>Kleiner Hahnenbogen</t>
  </si>
  <si>
    <t>Schwaimberg</t>
  </si>
  <si>
    <t>Schuhnagelkopf</t>
  </si>
  <si>
    <t>Felsensturz</t>
  </si>
  <si>
    <t>Kastenberg</t>
  </si>
  <si>
    <t>Geistlicher Stein</t>
  </si>
  <si>
    <t>Bärenkopf</t>
  </si>
  <si>
    <t>Waldhäuserriegel</t>
  </si>
  <si>
    <t>Kleiner Spitzberg</t>
  </si>
  <si>
    <t>Hoher Filzberg</t>
  </si>
  <si>
    <t>Markkopf</t>
  </si>
  <si>
    <t>Lusen</t>
  </si>
  <si>
    <t>Plattenhausenriegel</t>
  </si>
  <si>
    <t>Ochsenriegel</t>
  </si>
  <si>
    <t>Atzldorfer Berg</t>
  </si>
  <si>
    <t>Kleiner Geistlicher Stein</t>
  </si>
  <si>
    <t>Luchsstein</t>
  </si>
  <si>
    <t>Frauenstein</t>
  </si>
  <si>
    <t>Augustin Kanzel</t>
  </si>
  <si>
    <t>Grosse Kanzel</t>
  </si>
  <si>
    <t>Kleine Kanzel</t>
  </si>
  <si>
    <t>Hohlstein</t>
  </si>
  <si>
    <t>Farrenberg</t>
  </si>
  <si>
    <t>Hochgefeichtetstein</t>
  </si>
  <si>
    <t>Siebensteinkopf</t>
  </si>
  <si>
    <t>Steinfleckberg</t>
  </si>
  <si>
    <t>Baderstein</t>
  </si>
  <si>
    <t>Sicklinger Berg</t>
  </si>
  <si>
    <t>Saußberg</t>
  </si>
  <si>
    <t>Grandelberg</t>
  </si>
  <si>
    <t>Schwarzkopf</t>
  </si>
  <si>
    <t>Alzenberg</t>
  </si>
  <si>
    <t>Almberg</t>
  </si>
  <si>
    <t>Tiessenberg</t>
  </si>
  <si>
    <t>Neufanger Berg</t>
  </si>
  <si>
    <t>Staffelberg</t>
  </si>
  <si>
    <t>Mitterscheibling</t>
  </si>
  <si>
    <t>Zillberg</t>
  </si>
  <si>
    <t>Oberfrauenwald</t>
  </si>
  <si>
    <t>Sulzberg</t>
  </si>
  <si>
    <t>Haidel</t>
  </si>
  <si>
    <t>Braunberg</t>
  </si>
  <si>
    <t>Fuchsenstein</t>
  </si>
  <si>
    <t>Spitzenberg</t>
  </si>
  <si>
    <t>Stubenberg</t>
  </si>
  <si>
    <t>Ruhmannsberg</t>
  </si>
  <si>
    <t>Klausgupf</t>
  </si>
  <si>
    <t>Lichtenberg</t>
  </si>
  <si>
    <t>Zielberg</t>
  </si>
  <si>
    <t>Ebenstein</t>
  </si>
  <si>
    <t>Dreihiasl</t>
  </si>
  <si>
    <t>Nanzelberg</t>
  </si>
  <si>
    <t>Höpfelberg</t>
  </si>
  <si>
    <t>Ponzaun</t>
  </si>
  <si>
    <t>Großer Rathberg</t>
  </si>
  <si>
    <t>Friedrichsberg</t>
  </si>
  <si>
    <t>Rollmannsberg</t>
  </si>
  <si>
    <t>Habergrasberg</t>
  </si>
  <si>
    <t>Dreisessel</t>
  </si>
  <si>
    <t>Eidenberger Lusen</t>
  </si>
  <si>
    <t>Z3.45'</t>
  </si>
  <si>
    <t>Goal</t>
  </si>
  <si>
    <t>Herbst 2023</t>
  </si>
  <si>
    <t>1 day off</t>
  </si>
  <si>
    <t>Sa</t>
  </si>
  <si>
    <t>Fr</t>
  </si>
  <si>
    <t>Do</t>
  </si>
  <si>
    <t>Mi</t>
  </si>
  <si>
    <t>Di</t>
  </si>
  <si>
    <t>Mo</t>
  </si>
  <si>
    <t>1 day off on weekend</t>
  </si>
  <si>
    <t>km/W</t>
  </si>
  <si>
    <t>Frühjahr 2023</t>
  </si>
  <si>
    <t>Zyklus</t>
  </si>
  <si>
    <t xml:space="preserve">10k </t>
  </si>
  <si>
    <t>pro 9d</t>
  </si>
  <si>
    <t xml:space="preserve">HM </t>
  </si>
  <si>
    <t>Herzogstadtlauf 5k</t>
  </si>
  <si>
    <t>HOKA Clifton 7</t>
  </si>
  <si>
    <t>Urlaub</t>
  </si>
  <si>
    <t>HOKA Rincon 3 II</t>
  </si>
  <si>
    <t>HOKA Carbon X</t>
  </si>
  <si>
    <t>km/9d</t>
  </si>
  <si>
    <t>Innov-8 Trailfly</t>
  </si>
  <si>
    <t>Z2.40'</t>
  </si>
  <si>
    <t>FS45</t>
  </si>
  <si>
    <t>lange Intervalle (3-5 Minuten)</t>
  </si>
  <si>
    <t>365d</t>
  </si>
  <si>
    <t>Labertallauf 5k</t>
  </si>
  <si>
    <t>HM Nanocycles</t>
  </si>
  <si>
    <t>Phase</t>
  </si>
  <si>
    <t>1</t>
  </si>
  <si>
    <t>2</t>
  </si>
  <si>
    <t>3</t>
  </si>
  <si>
    <t>4</t>
  </si>
  <si>
    <t>5</t>
  </si>
  <si>
    <t>6</t>
  </si>
  <si>
    <t>7</t>
  </si>
  <si>
    <t>8</t>
  </si>
  <si>
    <t>9</t>
  </si>
  <si>
    <t>10</t>
  </si>
  <si>
    <t>11</t>
  </si>
  <si>
    <t>Z4.4x7'</t>
  </si>
  <si>
    <t>Z4.4x9'</t>
  </si>
  <si>
    <t>Z4.4x11'</t>
  </si>
  <si>
    <t>Ostern</t>
  </si>
  <si>
    <t>Fasching</t>
  </si>
  <si>
    <t>2023/2</t>
  </si>
  <si>
    <t>2024/2</t>
  </si>
  <si>
    <t>walhallalauf</t>
  </si>
  <si>
    <t>EMBL</t>
  </si>
  <si>
    <t>hochzeit</t>
  </si>
  <si>
    <t>Herzogstadtlauf</t>
  </si>
  <si>
    <t>Volksfest</t>
  </si>
  <si>
    <t>2024</t>
  </si>
  <si>
    <t>Höhenmeter</t>
  </si>
  <si>
    <t>to go</t>
  </si>
  <si>
    <t>Strecke mit Kinderwagen (2024)</t>
  </si>
  <si>
    <t>HOKA Mach 5</t>
  </si>
  <si>
    <t>Saucony Triumph 21</t>
  </si>
  <si>
    <t xml:space="preserve">Bogenberg </t>
  </si>
  <si>
    <t>Büscherl ?</t>
  </si>
  <si>
    <t>RSS</t>
  </si>
  <si>
    <t>RSS load</t>
  </si>
  <si>
    <t>RSS/TSS</t>
  </si>
  <si>
    <t>TSS load</t>
  </si>
  <si>
    <t>Walhallalauf</t>
  </si>
  <si>
    <t>JD 6 days</t>
  </si>
  <si>
    <t>Trail ?</t>
  </si>
  <si>
    <t>@lat</t>
  </si>
  <si>
    <t>@lon</t>
  </si>
  <si>
    <t>TSS CTL</t>
  </si>
  <si>
    <t>RSS CTL</t>
  </si>
  <si>
    <t>Herzogstadtlauf 10k</t>
  </si>
  <si>
    <t>Row Labels</t>
  </si>
  <si>
    <t>Grand Total</t>
  </si>
  <si>
    <t>Column Labels</t>
  </si>
  <si>
    <t>Mar</t>
  </si>
  <si>
    <t>May</t>
  </si>
  <si>
    <t>Oct</t>
  </si>
  <si>
    <t>Dec</t>
  </si>
  <si>
    <t>(Multiple Items)</t>
  </si>
  <si>
    <t>(All)</t>
  </si>
  <si>
    <t>tCTL</t>
  </si>
  <si>
    <t>tATL</t>
  </si>
  <si>
    <t>rATL</t>
  </si>
  <si>
    <t>rCTL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</si>
</sst>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dd&quot;. &quot;mmm"/>
    <numFmt numFmtId="165" formatCode="dd\.mm"/>
    <numFmt numFmtId="166" formatCode="ddd"/>
    <numFmt numFmtId="167" formatCode="ddd\ dd\.mm"/>
    <numFmt numFmtId="168" formatCode="hh:mm:ss\ AM/PM"/>
    <numFmt numFmtId="169" formatCode="0.0"/>
    <numFmt numFmtId="170" formatCode="0.000"/>
    <numFmt numFmtId="171" formatCode="[$-F800]dddd\,\ mmmm\ dd\,\ yyyy"/>
    <numFmt numFmtId="172" formatCode="d\.m;@"/>
    <numFmt numFmtId="173" formatCode="0.0000"/>
    <numFmt numFmtId="174" formatCode="[$-F400]h:mm:ss\ AM/PM"/>
    <numFmt numFmtId="175" formatCode="0.0%"/>
  </numFmts>
  <fonts count="57" x14ac:knownFonts="1">
    <font>
      <sz val="10"/>
      <name val="Arial"/>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0"/>
      <name val="Arial"/>
      <family val="2"/>
    </font>
    <font>
      <b/>
      <u/>
      <sz val="15"/>
      <name val="Arial"/>
      <family val="2"/>
    </font>
    <font>
      <b/>
      <sz val="10"/>
      <color indexed="10"/>
      <name val="Arial"/>
      <family val="2"/>
    </font>
    <font>
      <sz val="10"/>
      <color indexed="10"/>
      <name val="Arial"/>
      <family val="2"/>
    </font>
    <font>
      <b/>
      <sz val="14"/>
      <name val="Arial"/>
      <family val="2"/>
    </font>
    <font>
      <b/>
      <i/>
      <u/>
      <sz val="10"/>
      <color indexed="10"/>
      <name val="Arial"/>
      <family val="2"/>
    </font>
    <font>
      <b/>
      <sz val="10"/>
      <color indexed="8"/>
      <name val="Arial"/>
      <family val="2"/>
    </font>
    <font>
      <b/>
      <sz val="10"/>
      <color indexed="53"/>
      <name val="Arial"/>
      <family val="2"/>
    </font>
    <font>
      <b/>
      <u/>
      <sz val="10"/>
      <name val="Arial"/>
      <family val="2"/>
    </font>
    <font>
      <sz val="10"/>
      <color indexed="8"/>
      <name val="Arial"/>
      <family val="2"/>
    </font>
    <font>
      <sz val="10"/>
      <color indexed="25"/>
      <name val="Arial"/>
      <family val="2"/>
    </font>
    <font>
      <sz val="10"/>
      <name val="Arial"/>
      <family val="2"/>
    </font>
    <font>
      <sz val="10"/>
      <color rgb="FFFF0000"/>
      <name val="Arial"/>
      <family val="2"/>
    </font>
    <font>
      <u/>
      <sz val="10"/>
      <color theme="10"/>
      <name val="Arial"/>
      <family val="2"/>
    </font>
    <font>
      <u/>
      <sz val="10"/>
      <color theme="11"/>
      <name val="Arial"/>
      <family val="2"/>
    </font>
    <font>
      <sz val="10"/>
      <color theme="1"/>
      <name val="Arial"/>
      <family val="2"/>
    </font>
    <font>
      <sz val="8"/>
      <name val="Arial"/>
      <family val="2"/>
    </font>
    <font>
      <b/>
      <u/>
      <sz val="15"/>
      <name val="Arial"/>
      <family val="2"/>
    </font>
    <font>
      <sz val="10"/>
      <name val="Arial"/>
      <family val="2"/>
    </font>
    <font>
      <b/>
      <sz val="10"/>
      <name val="Arial"/>
      <family val="2"/>
    </font>
    <font>
      <b/>
      <u/>
      <sz val="10"/>
      <name val="Arial"/>
      <family val="2"/>
    </font>
    <font>
      <sz val="10"/>
      <color rgb="FFFF0000"/>
      <name val="Arial"/>
      <family val="2"/>
    </font>
    <font>
      <sz val="10"/>
      <color theme="1"/>
      <name val="Arial"/>
      <family val="2"/>
    </font>
    <font>
      <sz val="9"/>
      <name val="Arial"/>
      <family val="2"/>
    </font>
    <font>
      <sz val="10"/>
      <name val="Calibri"/>
      <family val="2"/>
      <scheme val="minor"/>
    </font>
    <font>
      <sz val="12"/>
      <name val="Calibri"/>
      <family val="2"/>
      <scheme val="minor"/>
    </font>
    <font>
      <b/>
      <sz val="12"/>
      <name val="Calibri"/>
      <family val="2"/>
      <scheme val="minor"/>
    </font>
    <font>
      <b/>
      <u/>
      <sz val="12"/>
      <name val="Calibri"/>
      <family val="2"/>
      <scheme val="minor"/>
    </font>
    <font>
      <sz val="8"/>
      <name val="Calibri"/>
      <family val="2"/>
      <scheme val="minor"/>
    </font>
    <font>
      <sz val="11"/>
      <name val="Calibri"/>
      <family val="2"/>
      <scheme val="minor"/>
    </font>
    <font>
      <b/>
      <sz val="11"/>
      <name val="Calibri"/>
      <family val="2"/>
      <scheme val="minor"/>
    </font>
    <font>
      <b/>
      <sz val="22"/>
      <color theme="1"/>
      <name val="Calibri"/>
      <family val="2"/>
      <scheme val="minor"/>
    </font>
    <font>
      <b/>
      <sz val="36"/>
      <color theme="1"/>
      <name val="Calibri"/>
      <family val="2"/>
      <scheme val="minor"/>
    </font>
    <font>
      <sz val="11"/>
      <color rgb="FF000000"/>
      <name val="Calibri"/>
      <family val="2"/>
      <scheme val="minor"/>
    </font>
    <font>
      <b/>
      <sz val="12"/>
      <color theme="1"/>
      <name val="Calibri"/>
      <family val="2"/>
      <scheme val="minor"/>
    </font>
    <font>
      <sz val="12"/>
      <color theme="0"/>
      <name val="Calibri"/>
      <family val="2"/>
      <scheme val="minor"/>
    </font>
    <font>
      <b/>
      <sz val="10"/>
      <name val="Calibri"/>
      <family val="2"/>
      <scheme val="minor"/>
    </font>
    <font>
      <b/>
      <u/>
      <sz val="10"/>
      <name val="Calibri"/>
      <family val="2"/>
      <scheme val="minor"/>
    </font>
    <font>
      <sz val="10"/>
      <name val="Calibri"/>
      <family val="2"/>
    </font>
    <font>
      <sz val="11"/>
      <color theme="1"/>
      <name val="Calibri"/>
      <family val="2"/>
      <scheme val="minor"/>
    </font>
    <font>
      <b/>
      <sz val="11"/>
      <color theme="1"/>
      <name val="Calibri"/>
      <family val="2"/>
      <scheme val="minor"/>
    </font>
    <font>
      <sz val="11"/>
      <name val="Arial"/>
      <family val="2"/>
    </font>
    <font>
      <b/>
      <sz val="11"/>
      <name val="Arial"/>
      <family val="2"/>
    </font>
    <font>
      <b/>
      <u/>
      <sz val="11"/>
      <color theme="10"/>
      <name val="Calibri"/>
      <family val="2"/>
      <scheme val="minor"/>
    </font>
    <font>
      <b/>
      <sz val="11"/>
      <name val="Calibri"/>
      <family val="2"/>
    </font>
    <font>
      <b/>
      <sz val="10"/>
      <color theme="1"/>
      <name val="Arial"/>
      <family val="2"/>
    </font>
    <font>
      <b/>
      <sz val="10"/>
      <name val="Calibri"/>
      <family val="2"/>
    </font>
  </fonts>
  <fills count="33">
    <fill>
      <patternFill patternType="none"/>
    </fill>
    <fill>
      <patternFill patternType="gray125"/>
    </fill>
    <fill>
      <patternFill patternType="solid">
        <fgColor indexed="29"/>
        <bgColor indexed="45"/>
      </patternFill>
    </fill>
    <fill>
      <patternFill patternType="solid">
        <fgColor indexed="10"/>
        <bgColor indexed="16"/>
      </patternFill>
    </fill>
    <fill>
      <patternFill patternType="solid">
        <fgColor indexed="61"/>
        <bgColor indexed="53"/>
      </patternFill>
    </fill>
    <fill>
      <patternFill patternType="solid">
        <fgColor theme="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bgColor indexed="31"/>
      </patternFill>
    </fill>
    <fill>
      <patternFill patternType="solid">
        <fgColor indexed="55"/>
        <bgColor indexed="23"/>
      </patternFill>
    </fill>
    <fill>
      <patternFill patternType="solid">
        <fgColor theme="8" tint="0.59999389629810485"/>
        <bgColor indexed="64"/>
      </patternFill>
    </fill>
    <fill>
      <patternFill patternType="solid">
        <fgColor theme="7" tint="0.39997558519241921"/>
        <bgColor indexed="64"/>
      </patternFill>
    </fill>
    <fill>
      <patternFill patternType="solid">
        <fgColor rgb="FFFF0000"/>
        <bgColor indexed="64"/>
      </patternFill>
    </fill>
    <fill>
      <patternFill patternType="solid">
        <fgColor rgb="FFFCE4D6"/>
        <bgColor rgb="FF000000"/>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C6EFCE"/>
        <bgColor indexed="64"/>
      </patternFill>
    </fill>
    <fill>
      <patternFill patternType="solid">
        <fgColor rgb="FF92D050"/>
        <bgColor indexed="64"/>
      </patternFill>
    </fill>
    <fill>
      <patternFill patternType="solid">
        <fgColor theme="4" tint="0.59999389629810485"/>
        <bgColor indexed="64"/>
      </patternFill>
    </fill>
    <fill>
      <patternFill patternType="solid">
        <fgColor rgb="FFC00000"/>
        <bgColor indexed="64"/>
      </patternFill>
    </fill>
    <fill>
      <patternFill patternType="solid">
        <fgColor theme="5"/>
        <bgColor indexed="64"/>
      </patternFill>
    </fill>
  </fills>
  <borders count="1152">
    <border>
      <left/>
      <right/>
      <top/>
      <bottom/>
      <diagonal/>
    </border>
    <border>
      <left style="medium">
        <color indexed="8"/>
      </left>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medium">
        <color indexed="8"/>
      </bottom>
      <diagonal/>
    </border>
    <border>
      <left style="medium">
        <color indexed="8"/>
      </left>
      <right/>
      <top/>
      <bottom style="thin">
        <color indexed="8"/>
      </bottom>
      <diagonal/>
    </border>
    <border>
      <left style="medium">
        <color indexed="8"/>
      </left>
      <right/>
      <top style="medium">
        <color indexed="8"/>
      </top>
      <bottom style="thin">
        <color indexed="8"/>
      </bottom>
      <diagonal/>
    </border>
    <border>
      <left style="medium">
        <color indexed="8"/>
      </left>
      <right style="medium">
        <color indexed="8"/>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medium">
        <color indexed="8"/>
      </top>
      <bottom/>
      <diagonal/>
    </border>
    <border>
      <left style="medium">
        <color indexed="8"/>
      </left>
      <right/>
      <top style="thin">
        <color indexed="8"/>
      </top>
      <bottom style="thin">
        <color indexed="8"/>
      </bottom>
      <diagonal/>
    </border>
    <border>
      <left style="medium">
        <color indexed="8"/>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bottom style="medium">
        <color indexed="8"/>
      </bottom>
      <diagonal/>
    </border>
    <border>
      <left style="medium">
        <color indexed="8"/>
      </left>
      <right/>
      <top style="thin">
        <color indexed="8"/>
      </top>
      <bottom style="medium">
        <color indexed="8"/>
      </bottom>
      <diagonal/>
    </border>
    <border>
      <left style="medium">
        <color indexed="8"/>
      </left>
      <right style="medium">
        <color indexed="8"/>
      </right>
      <top style="thin">
        <color indexed="8"/>
      </top>
      <bottom style="medium">
        <color indexed="8"/>
      </bottom>
      <diagonal/>
    </border>
    <border>
      <left/>
      <right style="medium">
        <color indexed="8"/>
      </right>
      <top style="thin">
        <color indexed="8"/>
      </top>
      <bottom style="medium">
        <color indexed="8"/>
      </bottom>
      <diagonal/>
    </border>
    <border>
      <left/>
      <right style="medium">
        <color indexed="8"/>
      </right>
      <top/>
      <bottom style="thin">
        <color indexed="8"/>
      </bottom>
      <diagonal/>
    </border>
    <border>
      <left/>
      <right/>
      <top/>
      <bottom style="thin">
        <color indexed="8"/>
      </bottom>
      <diagonal/>
    </border>
    <border>
      <left/>
      <right/>
      <top style="thin">
        <color indexed="8"/>
      </top>
      <bottom style="thin">
        <color indexed="8"/>
      </bottom>
      <diagonal/>
    </border>
    <border>
      <left/>
      <right/>
      <top style="thin">
        <color indexed="8"/>
      </top>
      <bottom style="medium">
        <color indexed="8"/>
      </bottom>
      <diagonal/>
    </border>
    <border>
      <left style="medium">
        <color indexed="8"/>
      </left>
      <right/>
      <top style="thin">
        <color indexed="8"/>
      </top>
      <bottom/>
      <diagonal/>
    </border>
    <border>
      <left style="medium">
        <color indexed="8"/>
      </left>
      <right style="medium">
        <color indexed="8"/>
      </right>
      <top style="thin">
        <color indexed="8"/>
      </top>
      <bottom/>
      <diagonal/>
    </border>
    <border>
      <left/>
      <right style="medium">
        <color indexed="8"/>
      </right>
      <top style="thin">
        <color indexed="8"/>
      </top>
      <bottom/>
      <diagonal/>
    </border>
    <border>
      <left/>
      <right/>
      <top style="thin">
        <color indexed="8"/>
      </top>
      <bottom/>
      <diagonal/>
    </border>
    <border>
      <left/>
      <right/>
      <top style="medium">
        <color indexed="8"/>
      </top>
      <bottom style="thin">
        <color indexed="8"/>
      </bottom>
      <diagonal/>
    </border>
    <border>
      <left style="medium">
        <color indexed="8"/>
      </left>
      <right/>
      <top style="medium">
        <color indexed="8"/>
      </top>
      <bottom/>
      <diagonal/>
    </border>
    <border>
      <left/>
      <right/>
      <top/>
      <bottom style="hair">
        <color indexed="8"/>
      </bottom>
      <diagonal/>
    </border>
    <border>
      <left/>
      <right style="medium">
        <color indexed="8"/>
      </right>
      <top style="medium">
        <color indexed="8"/>
      </top>
      <bottom style="medium">
        <color indexed="8"/>
      </bottom>
      <diagonal/>
    </border>
    <border>
      <left style="medium">
        <color indexed="8"/>
      </left>
      <right style="medium">
        <color indexed="8"/>
      </right>
      <top style="hair">
        <color indexed="8"/>
      </top>
      <bottom style="thin">
        <color indexed="8"/>
      </bottom>
      <diagonal/>
    </border>
    <border>
      <left style="medium">
        <color indexed="8"/>
      </left>
      <right style="medium">
        <color indexed="8"/>
      </right>
      <top style="hair">
        <color indexed="8"/>
      </top>
      <bottom style="medium">
        <color indexed="8"/>
      </bottom>
      <diagonal/>
    </border>
    <border>
      <left/>
      <right/>
      <top/>
      <bottom style="medium">
        <color indexed="8"/>
      </bottom>
      <diagonal/>
    </border>
    <border>
      <left style="medium">
        <color indexed="8"/>
      </left>
      <right style="hair">
        <color indexed="8"/>
      </right>
      <top style="medium">
        <color indexed="8"/>
      </top>
      <bottom style="medium">
        <color indexed="8"/>
      </bottom>
      <diagonal/>
    </border>
    <border>
      <left style="medium">
        <color indexed="8"/>
      </left>
      <right style="hair">
        <color indexed="8"/>
      </right>
      <top style="hair">
        <color indexed="8"/>
      </top>
      <bottom style="hair">
        <color indexed="8"/>
      </bottom>
      <diagonal/>
    </border>
    <border>
      <left style="medium">
        <color indexed="8"/>
      </left>
      <right/>
      <top style="hair">
        <color indexed="8"/>
      </top>
      <bottom style="hair">
        <color indexed="8"/>
      </bottom>
      <diagonal/>
    </border>
    <border>
      <left/>
      <right/>
      <top style="hair">
        <color indexed="8"/>
      </top>
      <bottom style="hair">
        <color indexed="8"/>
      </bottom>
      <diagonal/>
    </border>
    <border>
      <left/>
      <right style="medium">
        <color indexed="8"/>
      </right>
      <top style="hair">
        <color indexed="8"/>
      </top>
      <bottom style="hair">
        <color indexed="8"/>
      </bottom>
      <diagonal/>
    </border>
    <border>
      <left style="hair">
        <color indexed="8"/>
      </left>
      <right/>
      <top style="hair">
        <color indexed="8"/>
      </top>
      <bottom style="hair">
        <color indexed="8"/>
      </bottom>
      <diagonal/>
    </border>
    <border>
      <left style="medium">
        <color indexed="8"/>
      </left>
      <right style="medium">
        <color indexed="8"/>
      </right>
      <top style="hair">
        <color indexed="8"/>
      </top>
      <bottom style="hair">
        <color indexed="8"/>
      </bottom>
      <diagonal/>
    </border>
    <border>
      <left style="medium">
        <color indexed="8"/>
      </left>
      <right style="hair">
        <color indexed="8"/>
      </right>
      <top style="hair">
        <color indexed="8"/>
      </top>
      <bottom style="medium">
        <color indexed="8"/>
      </bottom>
      <diagonal/>
    </border>
    <border>
      <left style="medium">
        <color indexed="8"/>
      </left>
      <right/>
      <top style="hair">
        <color indexed="8"/>
      </top>
      <bottom style="medium">
        <color indexed="8"/>
      </bottom>
      <diagonal/>
    </border>
    <border>
      <left/>
      <right/>
      <top style="hair">
        <color indexed="8"/>
      </top>
      <bottom style="medium">
        <color indexed="8"/>
      </bottom>
      <diagonal/>
    </border>
    <border>
      <left/>
      <right style="medium">
        <color indexed="8"/>
      </right>
      <top style="hair">
        <color indexed="8"/>
      </top>
      <bottom style="medium">
        <color indexed="8"/>
      </bottom>
      <diagonal/>
    </border>
    <border>
      <left style="hair">
        <color indexed="8"/>
      </left>
      <right/>
      <top style="hair">
        <color indexed="8"/>
      </top>
      <bottom style="medium">
        <color indexed="8"/>
      </bottom>
      <diagonal/>
    </border>
    <border>
      <left style="medium">
        <color indexed="8"/>
      </left>
      <right style="medium">
        <color indexed="8"/>
      </right>
      <top style="medium">
        <color indexed="8"/>
      </top>
      <bottom style="hair">
        <color indexed="8"/>
      </bottom>
      <diagonal/>
    </border>
    <border>
      <left style="hair">
        <color indexed="8"/>
      </left>
      <right style="medium">
        <color indexed="8"/>
      </right>
      <top style="medium">
        <color indexed="8"/>
      </top>
      <bottom style="medium">
        <color indexed="8"/>
      </bottom>
      <diagonal/>
    </border>
    <border>
      <left style="hair">
        <color indexed="8"/>
      </left>
      <right style="medium">
        <color indexed="8"/>
      </right>
      <top style="hair">
        <color indexed="8"/>
      </top>
      <bottom style="medium">
        <color indexed="8"/>
      </bottom>
      <diagonal/>
    </border>
    <border>
      <left style="medium">
        <color indexed="8"/>
      </left>
      <right/>
      <top/>
      <bottom style="medium">
        <color indexed="8"/>
      </bottom>
      <diagonal/>
    </border>
    <border>
      <left style="medium">
        <color indexed="8"/>
      </left>
      <right style="medium">
        <color indexed="8"/>
      </right>
      <top style="hair">
        <color indexed="8"/>
      </top>
      <bottom/>
      <diagonal/>
    </border>
    <border>
      <left style="medium">
        <color auto="1"/>
      </left>
      <right style="medium">
        <color indexed="8"/>
      </right>
      <top style="medium">
        <color auto="1"/>
      </top>
      <bottom style="hair">
        <color indexed="8"/>
      </bottom>
      <diagonal/>
    </border>
    <border>
      <left style="medium">
        <color indexed="8"/>
      </left>
      <right style="medium">
        <color indexed="8"/>
      </right>
      <top style="medium">
        <color auto="1"/>
      </top>
      <bottom style="thin">
        <color indexed="8"/>
      </bottom>
      <diagonal/>
    </border>
    <border>
      <left/>
      <right style="medium">
        <color indexed="8"/>
      </right>
      <top style="medium">
        <color auto="1"/>
      </top>
      <bottom style="thin">
        <color indexed="8"/>
      </bottom>
      <diagonal/>
    </border>
    <border>
      <left style="medium">
        <color indexed="8"/>
      </left>
      <right/>
      <top style="medium">
        <color auto="1"/>
      </top>
      <bottom style="thin">
        <color indexed="8"/>
      </bottom>
      <diagonal/>
    </border>
    <border>
      <left style="medium">
        <color auto="1"/>
      </left>
      <right style="medium">
        <color indexed="8"/>
      </right>
      <top style="hair">
        <color indexed="8"/>
      </top>
      <bottom style="hair">
        <color indexed="8"/>
      </bottom>
      <diagonal/>
    </border>
    <border>
      <left style="medium">
        <color auto="1"/>
      </left>
      <right style="medium">
        <color indexed="8"/>
      </right>
      <top style="hair">
        <color indexed="8"/>
      </top>
      <bottom style="medium">
        <color auto="1"/>
      </bottom>
      <diagonal/>
    </border>
    <border>
      <left style="medium">
        <color indexed="8"/>
      </left>
      <right style="medium">
        <color indexed="8"/>
      </right>
      <top style="thin">
        <color indexed="8"/>
      </top>
      <bottom style="medium">
        <color auto="1"/>
      </bottom>
      <diagonal/>
    </border>
    <border>
      <left/>
      <right style="medium">
        <color indexed="8"/>
      </right>
      <top style="thin">
        <color indexed="8"/>
      </top>
      <bottom style="medium">
        <color auto="1"/>
      </bottom>
      <diagonal/>
    </border>
    <border>
      <left style="medium">
        <color indexed="8"/>
      </left>
      <right/>
      <top style="thin">
        <color indexed="8"/>
      </top>
      <bottom style="medium">
        <color auto="1"/>
      </bottom>
      <diagonal/>
    </border>
    <border>
      <left style="medium">
        <color indexed="8"/>
      </left>
      <right style="medium">
        <color auto="1"/>
      </right>
      <top style="medium">
        <color auto="1"/>
      </top>
      <bottom style="thin">
        <color indexed="8"/>
      </bottom>
      <diagonal/>
    </border>
    <border>
      <left style="medium">
        <color indexed="8"/>
      </left>
      <right style="medium">
        <color auto="1"/>
      </right>
      <top style="thin">
        <color indexed="8"/>
      </top>
      <bottom style="thin">
        <color indexed="8"/>
      </bottom>
      <diagonal/>
    </border>
    <border>
      <left style="medium">
        <color auto="1"/>
      </left>
      <right/>
      <top/>
      <bottom/>
      <diagonal/>
    </border>
    <border>
      <left style="medium">
        <color auto="1"/>
      </left>
      <right/>
      <top/>
      <bottom style="medium">
        <color auto="1"/>
      </bottom>
      <diagonal/>
    </border>
    <border>
      <left style="medium">
        <color indexed="8"/>
      </left>
      <right style="medium">
        <color auto="1"/>
      </right>
      <top style="thin">
        <color indexed="8"/>
      </top>
      <bottom style="medium">
        <color auto="1"/>
      </bottom>
      <diagonal/>
    </border>
    <border>
      <left style="medium">
        <color auto="1"/>
      </left>
      <right/>
      <top style="medium">
        <color auto="1"/>
      </top>
      <bottom style="hair">
        <color indexed="8"/>
      </bottom>
      <diagonal/>
    </border>
    <border>
      <left style="medium">
        <color auto="1"/>
      </left>
      <right/>
      <top style="hair">
        <color indexed="8"/>
      </top>
      <bottom style="hair">
        <color indexed="8"/>
      </bottom>
      <diagonal/>
    </border>
    <border>
      <left style="medium">
        <color auto="1"/>
      </left>
      <right/>
      <top style="hair">
        <color indexed="8"/>
      </top>
      <bottom style="medium">
        <color auto="1"/>
      </bottom>
      <diagonal/>
    </border>
    <border>
      <left style="medium">
        <color auto="1"/>
      </left>
      <right style="medium">
        <color indexed="8"/>
      </right>
      <top style="medium">
        <color auto="1"/>
      </top>
      <bottom style="thin">
        <color indexed="8"/>
      </bottom>
      <diagonal/>
    </border>
    <border>
      <left style="medium">
        <color auto="1"/>
      </left>
      <right style="medium">
        <color indexed="8"/>
      </right>
      <top style="thin">
        <color indexed="8"/>
      </top>
      <bottom style="thin">
        <color indexed="8"/>
      </bottom>
      <diagonal/>
    </border>
    <border>
      <left style="medium">
        <color auto="1"/>
      </left>
      <right style="medium">
        <color indexed="8"/>
      </right>
      <top style="thin">
        <color indexed="8"/>
      </top>
      <bottom style="medium">
        <color auto="1"/>
      </bottom>
      <diagonal/>
    </border>
    <border>
      <left style="medium">
        <color auto="1"/>
      </left>
      <right/>
      <top style="medium">
        <color auto="1"/>
      </top>
      <bottom style="medium">
        <color indexed="8"/>
      </bottom>
      <diagonal/>
    </border>
    <border>
      <left style="medium">
        <color auto="1"/>
      </left>
      <right/>
      <top style="medium">
        <color indexed="8"/>
      </top>
      <bottom/>
      <diagonal/>
    </border>
    <border>
      <left style="medium">
        <color auto="1"/>
      </left>
      <right/>
      <top/>
      <bottom style="medium">
        <color indexed="8"/>
      </bottom>
      <diagonal/>
    </border>
    <border>
      <left style="medium">
        <color auto="1"/>
      </left>
      <right/>
      <top style="medium">
        <color auto="1"/>
      </top>
      <bottom/>
      <diagonal/>
    </border>
    <border>
      <left style="medium">
        <color indexed="8"/>
      </left>
      <right style="medium">
        <color indexed="8"/>
      </right>
      <top style="medium">
        <color auto="1"/>
      </top>
      <bottom/>
      <diagonal/>
    </border>
    <border>
      <left/>
      <right/>
      <top style="medium">
        <color auto="1"/>
      </top>
      <bottom/>
      <diagonal/>
    </border>
    <border>
      <left style="medium">
        <color indexed="8"/>
      </left>
      <right/>
      <top style="medium">
        <color auto="1"/>
      </top>
      <bottom/>
      <diagonal/>
    </border>
    <border>
      <left style="medium">
        <color indexed="8"/>
      </left>
      <right style="medium">
        <color auto="1"/>
      </right>
      <top style="medium">
        <color auto="1"/>
      </top>
      <bottom/>
      <diagonal/>
    </border>
    <border>
      <left style="medium">
        <color indexed="8"/>
      </left>
      <right style="medium">
        <color auto="1"/>
      </right>
      <top style="medium">
        <color indexed="8"/>
      </top>
      <bottom style="thin">
        <color indexed="8"/>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indexed="8"/>
      </left>
      <right style="medium">
        <color auto="1"/>
      </right>
      <top style="thin">
        <color indexed="8"/>
      </top>
      <bottom/>
      <diagonal/>
    </border>
    <border>
      <left style="medium">
        <color indexed="8"/>
      </left>
      <right style="medium">
        <color auto="1"/>
      </right>
      <top/>
      <bottom style="thin">
        <color indexed="8"/>
      </bottom>
      <diagonal/>
    </border>
    <border>
      <left style="medium">
        <color auto="1"/>
      </left>
      <right style="hair">
        <color indexed="8"/>
      </right>
      <top style="medium">
        <color auto="1"/>
      </top>
      <bottom style="medium">
        <color indexed="8"/>
      </bottom>
      <diagonal/>
    </border>
    <border>
      <left style="medium">
        <color indexed="8"/>
      </left>
      <right style="medium">
        <color indexed="8"/>
      </right>
      <top style="medium">
        <color auto="1"/>
      </top>
      <bottom style="medium">
        <color indexed="8"/>
      </bottom>
      <diagonal/>
    </border>
    <border>
      <left style="hair">
        <color indexed="8"/>
      </left>
      <right style="medium">
        <color indexed="8"/>
      </right>
      <top style="medium">
        <color auto="1"/>
      </top>
      <bottom style="medium">
        <color indexed="8"/>
      </bottom>
      <diagonal/>
    </border>
    <border>
      <left style="hair">
        <color indexed="8"/>
      </left>
      <right style="medium">
        <color auto="1"/>
      </right>
      <top style="medium">
        <color auto="1"/>
      </top>
      <bottom style="medium">
        <color indexed="8"/>
      </bottom>
      <diagonal/>
    </border>
    <border>
      <left style="medium">
        <color auto="1"/>
      </left>
      <right style="hair">
        <color indexed="8"/>
      </right>
      <top style="hair">
        <color indexed="8"/>
      </top>
      <bottom style="hair">
        <color indexed="8"/>
      </bottom>
      <diagonal/>
    </border>
    <border>
      <left/>
      <right style="medium">
        <color auto="1"/>
      </right>
      <top style="hair">
        <color indexed="8"/>
      </top>
      <bottom style="hair">
        <color indexed="8"/>
      </bottom>
      <diagonal/>
    </border>
    <border>
      <left style="medium">
        <color auto="1"/>
      </left>
      <right style="hair">
        <color indexed="8"/>
      </right>
      <top style="hair">
        <color indexed="8"/>
      </top>
      <bottom style="medium">
        <color indexed="8"/>
      </bottom>
      <diagonal/>
    </border>
    <border>
      <left/>
      <right style="medium">
        <color auto="1"/>
      </right>
      <top style="hair">
        <color indexed="8"/>
      </top>
      <bottom style="medium">
        <color indexed="8"/>
      </bottom>
      <diagonal/>
    </border>
    <border>
      <left style="medium">
        <color auto="1"/>
      </left>
      <right style="hair">
        <color indexed="8"/>
      </right>
      <top style="hair">
        <color indexed="8"/>
      </top>
      <bottom style="medium">
        <color auto="1"/>
      </bottom>
      <diagonal/>
    </border>
    <border>
      <left style="medium">
        <color indexed="8"/>
      </left>
      <right style="medium">
        <color indexed="8"/>
      </right>
      <top style="hair">
        <color indexed="8"/>
      </top>
      <bottom style="medium">
        <color auto="1"/>
      </bottom>
      <diagonal/>
    </border>
    <border>
      <left style="hair">
        <color indexed="8"/>
      </left>
      <right style="medium">
        <color indexed="8"/>
      </right>
      <top style="hair">
        <color indexed="8"/>
      </top>
      <bottom style="medium">
        <color auto="1"/>
      </bottom>
      <diagonal/>
    </border>
    <border>
      <left style="hair">
        <color indexed="8"/>
      </left>
      <right style="medium">
        <color auto="1"/>
      </right>
      <top style="hair">
        <color indexed="8"/>
      </top>
      <bottom style="medium">
        <color auto="1"/>
      </bottom>
      <diagonal/>
    </border>
    <border>
      <left style="medium">
        <color auto="1"/>
      </left>
      <right/>
      <top style="hair">
        <color indexed="8"/>
      </top>
      <bottom/>
      <diagonal/>
    </border>
    <border>
      <left style="medium">
        <color auto="1"/>
      </left>
      <right style="medium">
        <color auto="1"/>
      </right>
      <top/>
      <bottom/>
      <diagonal/>
    </border>
    <border>
      <left style="medium">
        <color auto="1"/>
      </left>
      <right style="medium">
        <color indexed="8"/>
      </right>
      <top/>
      <bottom style="thin">
        <color indexed="8"/>
      </bottom>
      <diagonal/>
    </border>
    <border>
      <left style="medium">
        <color auto="1"/>
      </left>
      <right style="medium">
        <color indexed="8"/>
      </right>
      <top style="thin">
        <color indexed="8"/>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indexed="8"/>
      </left>
      <right/>
      <top style="medium">
        <color indexed="8"/>
      </top>
      <bottom style="thin">
        <color indexed="8"/>
      </bottom>
      <diagonal/>
    </border>
    <border>
      <left style="medium">
        <color indexed="8"/>
      </left>
      <right/>
      <top style="medium">
        <color auto="1"/>
      </top>
      <bottom style="thin">
        <color indexed="8"/>
      </bottom>
      <diagonal/>
    </border>
    <border>
      <left style="medium">
        <color auto="1"/>
      </left>
      <right style="medium">
        <color indexed="8"/>
      </right>
      <top style="medium">
        <color auto="1"/>
      </top>
      <bottom style="medium">
        <color auto="1"/>
      </bottom>
      <diagonal/>
    </border>
    <border>
      <left/>
      <right/>
      <top style="medium">
        <color auto="1"/>
      </top>
      <bottom style="medium">
        <color auto="1"/>
      </bottom>
      <diagonal/>
    </border>
    <border>
      <left style="medium">
        <color indexed="8"/>
      </left>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medium">
        <color auto="1"/>
      </right>
      <top/>
      <bottom/>
      <diagonal/>
    </border>
    <border>
      <left/>
      <right/>
      <top/>
      <bottom style="medium">
        <color auto="1"/>
      </bottom>
      <diagonal/>
    </border>
    <border>
      <left/>
      <right/>
      <top style="medium">
        <color auto="1"/>
      </top>
      <bottom style="medium">
        <color auto="1"/>
      </bottom>
      <diagonal/>
    </border>
    <border>
      <left style="medium">
        <color auto="1"/>
      </left>
      <right/>
      <top style="thin">
        <color auto="1"/>
      </top>
      <bottom style="thin">
        <color auto="1"/>
      </bottom>
      <diagonal/>
    </border>
    <border>
      <left/>
      <right style="medium">
        <color auto="1"/>
      </right>
      <top/>
      <bottom style="medium">
        <color auto="1"/>
      </bottom>
      <diagonal/>
    </border>
    <border>
      <left style="medium">
        <color auto="1"/>
      </left>
      <right style="medium">
        <color auto="1"/>
      </right>
      <top style="thin">
        <color auto="1"/>
      </top>
      <bottom/>
      <diagonal/>
    </border>
    <border>
      <left style="medium">
        <color auto="1"/>
      </left>
      <right/>
      <top style="thin">
        <color auto="1"/>
      </top>
      <bottom/>
      <diagonal/>
    </border>
    <border>
      <left style="medium">
        <color auto="1"/>
      </left>
      <right style="thin">
        <color auto="1"/>
      </right>
      <top style="medium">
        <color auto="1"/>
      </top>
      <bottom/>
      <diagonal/>
    </border>
    <border>
      <left style="medium">
        <color auto="1"/>
      </left>
      <right/>
      <top/>
      <bottom style="medium">
        <color auto="1"/>
      </bottom>
      <diagonal/>
    </border>
    <border>
      <left/>
      <right/>
      <top style="medium">
        <color indexed="64"/>
      </top>
      <bottom/>
      <diagonal/>
    </border>
    <border>
      <left style="medium">
        <color auto="1"/>
      </left>
      <right/>
      <top style="medium">
        <color indexed="64"/>
      </top>
      <bottom style="medium">
        <color auto="1"/>
      </bottom>
      <diagonal/>
    </border>
    <border>
      <left/>
      <right style="medium">
        <color indexed="64"/>
      </right>
      <top style="medium">
        <color indexed="64"/>
      </top>
      <bottom style="medium">
        <color auto="1"/>
      </bottom>
      <diagonal/>
    </border>
    <border>
      <left/>
      <right style="medium">
        <color auto="1"/>
      </right>
      <top style="medium">
        <color auto="1"/>
      </top>
      <bottom/>
      <diagonal/>
    </border>
    <border>
      <left style="medium">
        <color indexed="64"/>
      </left>
      <right/>
      <top style="medium">
        <color indexed="64"/>
      </top>
      <bottom/>
      <diagonal/>
    </border>
    <border>
      <left style="medium">
        <color indexed="8"/>
      </left>
      <right/>
      <top style="thin">
        <color indexed="8"/>
      </top>
      <bottom style="thin">
        <color indexed="8"/>
      </bottom>
      <diagonal/>
    </border>
    <border>
      <left/>
      <right style="medium">
        <color auto="1"/>
      </right>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right/>
      <top style="thin">
        <color auto="1"/>
      </top>
      <bottom style="thin">
        <color auto="1"/>
      </bottom>
      <diagonal/>
    </border>
    <border>
      <left style="medium">
        <color auto="1"/>
      </left>
      <right/>
      <top style="thin">
        <color auto="1"/>
      </top>
      <bottom style="medium">
        <color indexed="64"/>
      </bottom>
      <diagonal/>
    </border>
    <border>
      <left style="medium">
        <color indexed="64"/>
      </left>
      <right style="medium">
        <color indexed="64"/>
      </right>
      <top style="thin">
        <color indexed="8"/>
      </top>
      <bottom style="thin">
        <color indexed="8"/>
      </bottom>
      <diagonal/>
    </border>
    <border>
      <left/>
      <right/>
      <top style="medium">
        <color indexed="64"/>
      </top>
      <bottom/>
      <diagonal/>
    </border>
    <border>
      <left style="medium">
        <color indexed="64"/>
      </left>
      <right/>
      <top style="medium">
        <color indexed="64"/>
      </top>
      <bottom/>
      <diagonal/>
    </border>
    <border>
      <left style="medium">
        <color auto="1"/>
      </left>
      <right style="hair">
        <color indexed="8"/>
      </right>
      <top style="medium">
        <color auto="1"/>
      </top>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thin">
        <color indexed="8"/>
      </top>
      <bottom style="thin">
        <color indexed="8"/>
      </bottom>
      <diagonal/>
    </border>
    <border>
      <left/>
      <right/>
      <top style="medium">
        <color indexed="64"/>
      </top>
      <bottom/>
      <diagonal/>
    </border>
    <border>
      <left style="medium">
        <color auto="1"/>
      </left>
      <right/>
      <top style="medium">
        <color auto="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8"/>
      </left>
      <right/>
      <top style="medium">
        <color auto="1"/>
      </top>
      <bottom style="medium">
        <color indexed="64"/>
      </bottom>
      <diagonal/>
    </border>
    <border>
      <left/>
      <right style="medium">
        <color indexed="64"/>
      </right>
      <top style="medium">
        <color indexed="64"/>
      </top>
      <bottom/>
      <diagonal/>
    </border>
    <border>
      <left style="medium">
        <color indexed="8"/>
      </left>
      <right/>
      <top/>
      <bottom style="thin">
        <color indexed="8"/>
      </bottom>
      <diagonal/>
    </border>
    <border>
      <left/>
      <right/>
      <top/>
      <bottom style="thin">
        <color indexed="8"/>
      </bottom>
      <diagonal/>
    </border>
    <border>
      <left style="medium">
        <color indexed="64"/>
      </left>
      <right/>
      <top style="medium">
        <color indexed="64"/>
      </top>
      <bottom style="medium">
        <color indexed="64"/>
      </bottom>
      <diagonal/>
    </border>
    <border>
      <left/>
      <right/>
      <top style="medium">
        <color indexed="64"/>
      </top>
      <bottom style="medium">
        <color auto="1"/>
      </bottom>
      <diagonal/>
    </border>
    <border>
      <left/>
      <right style="medium">
        <color indexed="64"/>
      </right>
      <top style="medium">
        <color indexed="64"/>
      </top>
      <bottom style="medium">
        <color auto="1"/>
      </bottom>
      <diagonal/>
    </border>
    <border>
      <left style="medium">
        <color indexed="64"/>
      </left>
      <right/>
      <top style="medium">
        <color indexed="64"/>
      </top>
      <bottom/>
      <diagonal/>
    </border>
    <border>
      <left style="medium">
        <color auto="1"/>
      </left>
      <right/>
      <top/>
      <bottom style="thin">
        <color auto="1"/>
      </bottom>
      <diagonal/>
    </border>
    <border>
      <left style="medium">
        <color indexed="64"/>
      </left>
      <right style="medium">
        <color indexed="64"/>
      </right>
      <top/>
      <bottom style="thin">
        <color indexed="8"/>
      </bottom>
      <diagonal/>
    </border>
    <border>
      <left style="medium">
        <color indexed="64"/>
      </left>
      <right style="medium">
        <color indexed="64"/>
      </right>
      <top/>
      <bottom style="thin">
        <color indexed="64"/>
      </bottom>
      <diagonal/>
    </border>
    <border>
      <left style="medium">
        <color indexed="8"/>
      </left>
      <right style="medium">
        <color indexed="8"/>
      </right>
      <top style="thin">
        <color indexed="8"/>
      </top>
      <bottom style="thin">
        <color indexed="64"/>
      </bottom>
      <diagonal/>
    </border>
    <border>
      <left/>
      <right/>
      <top/>
      <bottom style="thin">
        <color indexed="64"/>
      </bottom>
      <diagonal/>
    </border>
    <border>
      <left/>
      <right style="medium">
        <color auto="1"/>
      </right>
      <top/>
      <bottom style="thin">
        <color indexed="64"/>
      </bottom>
      <diagonal/>
    </border>
    <border>
      <left style="medium">
        <color auto="1"/>
      </left>
      <right/>
      <top/>
      <bottom style="thin">
        <color indexed="64"/>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bottom style="medium">
        <color indexed="64"/>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thin">
        <color indexed="8"/>
      </top>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style="thin">
        <color indexed="8"/>
      </top>
      <bottom style="thin">
        <color indexed="8"/>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indexed="64"/>
      </top>
      <bottom style="thin">
        <color indexed="64"/>
      </bottom>
      <diagonal/>
    </border>
    <border>
      <left style="medium">
        <color auto="1"/>
      </left>
      <right style="medium">
        <color auto="1"/>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style="medium">
        <color indexed="64"/>
      </left>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auto="1"/>
      </right>
      <top style="medium">
        <color indexed="64"/>
      </top>
      <bottom style="medium">
        <color indexed="64"/>
      </bottom>
      <diagonal/>
    </border>
    <border>
      <left/>
      <right style="medium">
        <color indexed="64"/>
      </right>
      <top/>
      <bottom style="thin">
        <color indexed="8"/>
      </bottom>
      <diagonal/>
    </border>
    <border>
      <left style="medium">
        <color indexed="64"/>
      </left>
      <right/>
      <top style="medium">
        <color indexed="64"/>
      </top>
      <bottom style="thin">
        <color auto="1"/>
      </bottom>
      <diagonal/>
    </border>
    <border>
      <left style="medium">
        <color indexed="64"/>
      </left>
      <right/>
      <top/>
      <bottom style="thin">
        <color indexed="8"/>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auto="1"/>
      </left>
      <right style="medium">
        <color auto="1"/>
      </right>
      <top style="medium">
        <color indexed="64"/>
      </top>
      <bottom style="medium">
        <color indexed="64"/>
      </bottom>
      <diagonal/>
    </border>
    <border>
      <left style="medium">
        <color auto="1"/>
      </left>
      <right/>
      <top/>
      <bottom style="medium">
        <color auto="1"/>
      </bottom>
      <diagonal/>
    </border>
    <border>
      <left/>
      <right style="medium">
        <color indexed="64"/>
      </right>
      <top style="medium">
        <color indexed="64"/>
      </top>
      <bottom/>
      <diagonal/>
    </border>
    <border>
      <left style="medium">
        <color indexed="64"/>
      </left>
      <right/>
      <top style="medium">
        <color indexed="64"/>
      </top>
      <bottom/>
      <diagonal/>
    </border>
    <border>
      <left style="medium">
        <color auto="1"/>
      </left>
      <right style="medium">
        <color auto="1"/>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auto="1"/>
      </left>
      <right style="medium">
        <color auto="1"/>
      </right>
      <top/>
      <bottom style="medium">
        <color auto="1"/>
      </bottom>
      <diagonal/>
    </border>
    <border>
      <left/>
      <right style="medium">
        <color indexed="64"/>
      </right>
      <top style="medium">
        <color indexed="64"/>
      </top>
      <bottom/>
      <diagonal/>
    </border>
    <border>
      <left/>
      <right/>
      <top style="medium">
        <color indexed="64"/>
      </top>
      <bottom style="medium">
        <color indexed="64"/>
      </bottom>
      <diagonal/>
    </border>
    <border>
      <left/>
      <right/>
      <top style="medium">
        <color indexed="64"/>
      </top>
      <bottom/>
      <diagonal/>
    </border>
    <border>
      <left style="medium">
        <color indexed="64"/>
      </left>
      <right/>
      <top style="medium">
        <color indexed="64"/>
      </top>
      <bottom style="medium">
        <color auto="1"/>
      </bottom>
      <diagonal/>
    </border>
    <border>
      <left/>
      <right style="medium">
        <color indexed="64"/>
      </right>
      <top style="medium">
        <color indexed="64"/>
      </top>
      <bottom style="medium">
        <color auto="1"/>
      </bottom>
      <diagonal/>
    </border>
    <border>
      <left style="medium">
        <color indexed="64"/>
      </left>
      <right/>
      <top style="medium">
        <color indexed="64"/>
      </top>
      <bottom/>
      <diagonal/>
    </border>
    <border>
      <left/>
      <right/>
      <top style="thin">
        <color auto="1"/>
      </top>
      <bottom/>
      <diagonal/>
    </border>
    <border>
      <left style="medium">
        <color auto="1"/>
      </left>
      <right/>
      <top style="thin">
        <color auto="1"/>
      </top>
      <bottom/>
      <diagonal/>
    </border>
    <border>
      <left style="medium">
        <color indexed="64"/>
      </left>
      <right/>
      <top style="thin">
        <color auto="1"/>
      </top>
      <bottom style="thin">
        <color auto="1"/>
      </bottom>
      <diagonal/>
    </border>
    <border>
      <left/>
      <right/>
      <top style="thin">
        <color auto="1"/>
      </top>
      <bottom style="thin">
        <color auto="1"/>
      </bottom>
      <diagonal/>
    </border>
    <border>
      <left style="medium">
        <color indexed="64"/>
      </left>
      <right style="medium">
        <color indexed="64"/>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style="medium">
        <color auto="1"/>
      </left>
      <right style="medium">
        <color auto="1"/>
      </right>
      <top style="thin">
        <color auto="1"/>
      </top>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style="medium">
        <color indexed="8"/>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thin">
        <color auto="1"/>
      </top>
      <bottom style="thin">
        <color auto="1"/>
      </bottom>
      <diagonal/>
    </border>
    <border>
      <left style="medium">
        <color auto="1"/>
      </left>
      <right/>
      <top style="thin">
        <color auto="1"/>
      </top>
      <bottom/>
      <diagonal/>
    </border>
    <border>
      <left style="medium">
        <color indexed="64"/>
      </left>
      <right style="medium">
        <color indexed="64"/>
      </right>
      <top style="thin">
        <color indexed="8"/>
      </top>
      <bottom style="thin">
        <color indexed="8"/>
      </bottom>
      <diagonal/>
    </border>
    <border>
      <left style="medium">
        <color auto="1"/>
      </left>
      <right style="medium">
        <color auto="1"/>
      </right>
      <top style="thin">
        <color auto="1"/>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style="medium">
        <color indexed="8"/>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thin">
        <color auto="1"/>
      </top>
      <bottom style="thin">
        <color auto="1"/>
      </bottom>
      <diagonal/>
    </border>
    <border>
      <left/>
      <right/>
      <top style="thin">
        <color auto="1"/>
      </top>
      <bottom style="thin">
        <color auto="1"/>
      </bottom>
      <diagonal/>
    </border>
    <border>
      <left style="medium">
        <color auto="1"/>
      </left>
      <right/>
      <top style="thin">
        <color indexed="8"/>
      </top>
      <bottom style="thin">
        <color indexed="8"/>
      </bottom>
      <diagonal/>
    </border>
    <border>
      <left style="medium">
        <color indexed="64"/>
      </left>
      <right/>
      <top style="thin">
        <color indexed="64"/>
      </top>
      <bottom style="thin">
        <color indexed="64"/>
      </bottom>
      <diagonal/>
    </border>
    <border>
      <left style="medium">
        <color auto="1"/>
      </left>
      <right style="medium">
        <color auto="1"/>
      </right>
      <top style="medium">
        <color indexed="64"/>
      </top>
      <bottom/>
      <diagonal/>
    </border>
    <border>
      <left style="medium">
        <color auto="1"/>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8"/>
      </bottom>
      <diagonal/>
    </border>
    <border>
      <left style="medium">
        <color auto="1"/>
      </left>
      <right/>
      <top style="medium">
        <color indexed="64"/>
      </top>
      <bottom style="thin">
        <color indexed="8"/>
      </bottom>
      <diagonal/>
    </border>
    <border>
      <left style="medium">
        <color indexed="8"/>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style="medium">
        <color indexed="8"/>
      </left>
      <right/>
      <top style="thin">
        <color indexed="8"/>
      </top>
      <bottom style="thin">
        <color indexed="8"/>
      </bottom>
      <diagonal/>
    </border>
    <border>
      <left style="medium">
        <color indexed="64"/>
      </left>
      <right/>
      <top style="thin">
        <color indexed="64"/>
      </top>
      <bottom style="medium">
        <color indexed="64"/>
      </bottom>
      <diagonal/>
    </border>
    <border>
      <left style="medium">
        <color indexed="64"/>
      </left>
      <right style="medium">
        <color indexed="64"/>
      </right>
      <top style="thin">
        <color indexed="8"/>
      </top>
      <bottom/>
      <diagonal/>
    </border>
    <border>
      <left/>
      <right/>
      <top style="thin">
        <color indexed="8"/>
      </top>
      <bottom/>
      <diagonal/>
    </border>
    <border>
      <left style="medium">
        <color indexed="64"/>
      </left>
      <right/>
      <top style="thin">
        <color indexed="8"/>
      </top>
      <bottom/>
      <diagonal/>
    </border>
    <border>
      <left style="medium">
        <color indexed="64"/>
      </left>
      <right style="medium">
        <color indexed="64"/>
      </right>
      <top style="thin">
        <color indexed="64"/>
      </top>
      <bottom/>
      <diagonal/>
    </border>
    <border>
      <left/>
      <right style="medium">
        <color indexed="64"/>
      </right>
      <top style="thin">
        <color indexed="8"/>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style="medium">
        <color indexed="8"/>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style="medium">
        <color indexed="64"/>
      </right>
      <top style="thin">
        <color indexed="8"/>
      </top>
      <bottom style="medium">
        <color indexed="64"/>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style="medium">
        <color indexed="8"/>
      </left>
      <right/>
      <top style="thin">
        <color indexed="8"/>
      </top>
      <bottom style="medium">
        <color indexed="64"/>
      </bottom>
      <diagonal/>
    </border>
    <border>
      <left/>
      <right style="medium">
        <color indexed="64"/>
      </right>
      <top style="thin">
        <color indexed="8"/>
      </top>
      <bottom style="medium">
        <color indexed="64"/>
      </bottom>
      <diagonal/>
    </border>
    <border>
      <left/>
      <right/>
      <top style="thin">
        <color indexed="64"/>
      </top>
      <bottom style="medium">
        <color indexed="64"/>
      </bottom>
      <diagonal/>
    </border>
    <border>
      <left style="thin">
        <color indexed="64"/>
      </left>
      <right/>
      <top style="medium">
        <color indexed="64"/>
      </top>
      <bottom style="thin">
        <color indexed="64"/>
      </bottom>
      <diagonal/>
    </border>
    <border>
      <left style="thin">
        <color auto="1"/>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8"/>
      </bottom>
      <diagonal/>
    </border>
    <border>
      <left style="medium">
        <color indexed="64"/>
      </left>
      <right style="medium">
        <color indexed="64"/>
      </right>
      <top style="medium">
        <color indexed="64"/>
      </top>
      <bottom style="thin">
        <color indexed="64"/>
      </bottom>
      <diagonal/>
    </border>
    <border>
      <left style="medium">
        <color auto="1"/>
      </left>
      <right style="medium">
        <color auto="1"/>
      </right>
      <top style="medium">
        <color indexed="64"/>
      </top>
      <bottom style="thin">
        <color auto="1"/>
      </bottom>
      <diagonal/>
    </border>
    <border>
      <left style="medium">
        <color auto="1"/>
      </left>
      <right style="medium">
        <color auto="1"/>
      </right>
      <top style="medium">
        <color indexed="64"/>
      </top>
      <bottom/>
      <diagonal/>
    </border>
    <border>
      <left style="medium">
        <color auto="1"/>
      </left>
      <right/>
      <top style="medium">
        <color indexed="64"/>
      </top>
      <bottom/>
      <diagonal/>
    </border>
    <border>
      <left style="medium">
        <color indexed="64"/>
      </left>
      <right/>
      <top style="medium">
        <color indexed="64"/>
      </top>
      <bottom style="thin">
        <color auto="1"/>
      </bottom>
      <diagonal/>
    </border>
    <border>
      <left/>
      <right/>
      <top style="medium">
        <color indexed="64"/>
      </top>
      <bottom style="thin">
        <color indexed="8"/>
      </bottom>
      <diagonal/>
    </border>
    <border>
      <left style="medium">
        <color indexed="64"/>
      </left>
      <right/>
      <top style="medium">
        <color indexed="64"/>
      </top>
      <bottom style="thin">
        <color indexed="8"/>
      </bottom>
      <diagonal/>
    </border>
    <border>
      <left/>
      <right style="medium">
        <color indexed="64"/>
      </right>
      <top style="medium">
        <color indexed="64"/>
      </top>
      <bottom style="thin">
        <color indexed="8"/>
      </bottom>
      <diagonal/>
    </border>
    <border>
      <left style="medium">
        <color auto="1"/>
      </left>
      <right/>
      <top style="medium">
        <color indexed="64"/>
      </top>
      <bottom style="thin">
        <color indexed="64"/>
      </bottom>
      <diagonal/>
    </border>
    <border>
      <left/>
      <right/>
      <top style="medium">
        <color indexed="64"/>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style="medium">
        <color indexed="64"/>
      </bottom>
      <diagonal/>
    </border>
    <border>
      <left/>
      <right/>
      <top style="thin">
        <color auto="1"/>
      </top>
      <bottom style="medium">
        <color indexed="64"/>
      </bottom>
      <diagonal/>
    </border>
    <border>
      <left style="medium">
        <color auto="1"/>
      </left>
      <right style="medium">
        <color auto="1"/>
      </right>
      <top style="thin">
        <color auto="1"/>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bottom style="thin">
        <color indexed="8"/>
      </bottom>
      <diagonal/>
    </border>
    <border>
      <left style="medium">
        <color indexed="64"/>
      </left>
      <right style="medium">
        <color auto="1"/>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bottom style="thin">
        <color indexed="8"/>
      </bottom>
      <diagonal/>
    </border>
    <border>
      <left style="medium">
        <color indexed="64"/>
      </left>
      <right/>
      <top style="thin">
        <color auto="1"/>
      </top>
      <bottom style="thin">
        <color auto="1"/>
      </bottom>
      <diagonal/>
    </border>
    <border>
      <left style="medium">
        <color indexed="64"/>
      </left>
      <right style="medium">
        <color indexed="64"/>
      </right>
      <top style="thin">
        <color indexed="64"/>
      </top>
      <bottom style="thin">
        <color indexed="64"/>
      </bottom>
      <diagonal/>
    </border>
    <border>
      <left style="medium">
        <color auto="1"/>
      </left>
      <right style="medium">
        <color auto="1"/>
      </right>
      <top style="thin">
        <color auto="1"/>
      </top>
      <bottom/>
      <diagonal/>
    </border>
    <border>
      <left style="medium">
        <color indexed="64"/>
      </left>
      <right/>
      <top style="thin">
        <color auto="1"/>
      </top>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style="thin">
        <color indexed="8"/>
      </top>
      <bottom/>
      <diagonal/>
    </border>
    <border>
      <left/>
      <right style="medium">
        <color indexed="8"/>
      </right>
      <top style="thin">
        <color indexed="8"/>
      </top>
      <bottom/>
      <diagonal/>
    </border>
    <border>
      <left style="medium">
        <color indexed="8"/>
      </left>
      <right/>
      <top style="thin">
        <color indexed="8"/>
      </top>
      <bottom/>
      <diagonal/>
    </border>
    <border>
      <left style="medium">
        <color indexed="64"/>
      </left>
      <right style="medium">
        <color indexed="64"/>
      </right>
      <top style="thin">
        <color indexed="8"/>
      </top>
      <bottom/>
      <diagonal/>
    </border>
    <border>
      <left/>
      <right/>
      <top style="thin">
        <color indexed="8"/>
      </top>
      <bottom/>
      <diagonal/>
    </border>
    <border>
      <left style="medium">
        <color indexed="64"/>
      </left>
      <right style="medium">
        <color indexed="64"/>
      </right>
      <top style="thin">
        <color indexed="64"/>
      </top>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right/>
      <top style="thin">
        <color auto="1"/>
      </top>
      <bottom style="thin">
        <color auto="1"/>
      </bottom>
      <diagonal/>
    </border>
    <border>
      <left/>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bottom style="thin">
        <color indexed="8"/>
      </bottom>
      <diagonal/>
    </border>
    <border>
      <left/>
      <right style="medium">
        <color indexed="8"/>
      </right>
      <top/>
      <bottom style="thin">
        <color indexed="8"/>
      </bottom>
      <diagonal/>
    </border>
    <border>
      <left style="medium">
        <color indexed="64"/>
      </left>
      <right style="medium">
        <color indexed="64"/>
      </right>
      <top/>
      <bottom style="thin">
        <color indexed="8"/>
      </bottom>
      <diagonal/>
    </border>
    <border>
      <left/>
      <right/>
      <top/>
      <bottom style="thin">
        <color indexed="8"/>
      </bottom>
      <diagonal/>
    </border>
    <border>
      <left style="medium">
        <color indexed="64"/>
      </left>
      <right/>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indexed="8"/>
      </left>
      <right/>
      <top style="thin">
        <color indexed="8"/>
      </top>
      <bottom/>
      <diagonal/>
    </border>
    <border>
      <left style="medium">
        <color indexed="64"/>
      </left>
      <right style="medium">
        <color indexed="64"/>
      </right>
      <top style="thin">
        <color indexed="8"/>
      </top>
      <bottom/>
      <diagonal/>
    </border>
    <border>
      <left/>
      <right/>
      <top style="thin">
        <color indexed="8"/>
      </top>
      <bottom/>
      <diagonal/>
    </border>
    <border>
      <left/>
      <right style="medium">
        <color indexed="8"/>
      </right>
      <top style="thin">
        <color indexed="8"/>
      </top>
      <bottom style="thin">
        <color indexed="8"/>
      </bottom>
      <diagonal/>
    </border>
    <border>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top style="thin">
        <color auto="1"/>
      </top>
      <bottom style="thin">
        <color auto="1"/>
      </bottom>
      <diagonal/>
    </border>
    <border>
      <left style="medium">
        <color indexed="64"/>
      </left>
      <right style="medium">
        <color indexed="64"/>
      </right>
      <top style="thin">
        <color indexed="64"/>
      </top>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auto="1"/>
      </top>
      <bottom style="thin">
        <color auto="1"/>
      </bottom>
      <diagonal/>
    </border>
    <border>
      <left style="medium">
        <color auto="1"/>
      </left>
      <right/>
      <top style="thin">
        <color auto="1"/>
      </top>
      <bottom/>
      <diagonal/>
    </border>
    <border>
      <left style="medium">
        <color auto="1"/>
      </left>
      <right style="medium">
        <color auto="1"/>
      </right>
      <top style="thin">
        <color auto="1"/>
      </top>
      <bottom/>
      <diagonal/>
    </border>
    <border>
      <left style="medium">
        <color indexed="64"/>
      </left>
      <right/>
      <top style="thin">
        <color indexed="8"/>
      </top>
      <bottom style="thin">
        <color indexed="8"/>
      </bottom>
      <diagonal/>
    </border>
    <border>
      <left style="medium">
        <color indexed="8"/>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style="medium">
        <color indexed="64"/>
      </right>
      <top style="thin">
        <color indexed="64"/>
      </top>
      <bottom/>
      <diagonal/>
    </border>
    <border>
      <left style="medium">
        <color indexed="8"/>
      </left>
      <right/>
      <top/>
      <bottom style="thin">
        <color indexed="8"/>
      </bottom>
      <diagonal/>
    </border>
    <border>
      <left/>
      <right style="medium">
        <color indexed="64"/>
      </right>
      <top/>
      <bottom style="thin">
        <color indexed="8"/>
      </bottom>
      <diagonal/>
    </border>
    <border>
      <left style="medium">
        <color indexed="64"/>
      </left>
      <right/>
      <top style="thin">
        <color indexed="8"/>
      </top>
      <bottom/>
      <diagonal/>
    </border>
    <border>
      <left/>
      <right style="medium">
        <color indexed="64"/>
      </right>
      <top style="thin">
        <color indexed="8"/>
      </top>
      <bottom/>
      <diagonal/>
    </border>
    <border>
      <left style="medium">
        <color indexed="64"/>
      </left>
      <right/>
      <top style="thin">
        <color indexed="64"/>
      </top>
      <bottom/>
      <diagonal/>
    </border>
    <border>
      <left/>
      <right/>
      <top style="thin">
        <color indexed="64"/>
      </top>
      <bottom/>
      <diagonal/>
    </border>
    <border>
      <left style="medium">
        <color indexed="64"/>
      </left>
      <right/>
      <top style="thin">
        <color indexed="8"/>
      </top>
      <bottom/>
      <diagonal/>
    </border>
    <border>
      <left style="medium">
        <color indexed="8"/>
      </left>
      <right/>
      <top style="thin">
        <color indexed="8"/>
      </top>
      <bottom/>
      <diagonal/>
    </border>
    <border>
      <left style="medium">
        <color auto="1"/>
      </left>
      <right style="medium">
        <color auto="1"/>
      </right>
      <top/>
      <bottom style="thin">
        <color auto="1"/>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diagonal/>
    </border>
    <border>
      <left/>
      <right/>
      <top style="thin">
        <color indexed="8"/>
      </top>
      <bottom/>
      <diagonal/>
    </border>
    <border>
      <left style="medium">
        <color auto="1"/>
      </left>
      <right/>
      <top style="thin">
        <color indexed="8"/>
      </top>
      <bottom/>
      <diagonal/>
    </border>
    <border>
      <left style="medium">
        <color indexed="8"/>
      </left>
      <right/>
      <top style="thin">
        <color indexed="8"/>
      </top>
      <bottom/>
      <diagonal/>
    </border>
    <border>
      <left style="medium">
        <color indexed="64"/>
      </left>
      <right style="medium">
        <color indexed="64"/>
      </right>
      <top style="thin">
        <color indexed="64"/>
      </top>
      <bottom/>
      <diagonal/>
    </border>
    <border>
      <left/>
      <right style="medium">
        <color indexed="64"/>
      </right>
      <top style="thin">
        <color indexed="8"/>
      </top>
      <bottom/>
      <diagonal/>
    </border>
    <border>
      <left style="medium">
        <color indexed="64"/>
      </left>
      <right/>
      <top style="thin">
        <color indexed="64"/>
      </top>
      <bottom/>
      <diagonal/>
    </border>
    <border>
      <left/>
      <right/>
      <top style="thin">
        <color indexed="64"/>
      </top>
      <bottom/>
      <diagonal/>
    </border>
    <border>
      <left style="medium">
        <color auto="1"/>
      </left>
      <right style="medium">
        <color indexed="8"/>
      </right>
      <top style="thin">
        <color indexed="8"/>
      </top>
      <bottom style="thin">
        <color indexed="8"/>
      </bottom>
      <diagonal/>
    </border>
    <border>
      <left style="medium">
        <color indexed="64"/>
      </left>
      <right/>
      <top style="thin">
        <color indexed="8"/>
      </top>
      <bottom style="thin">
        <color indexed="8"/>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medium">
        <color indexed="64"/>
      </right>
      <top style="medium">
        <color indexed="64"/>
      </top>
      <bottom style="thin">
        <color indexed="8"/>
      </bottom>
      <diagonal/>
    </border>
    <border>
      <left style="medium">
        <color auto="1"/>
      </left>
      <right style="medium">
        <color auto="1"/>
      </right>
      <top style="medium">
        <color indexed="64"/>
      </top>
      <bottom/>
      <diagonal/>
    </border>
    <border>
      <left style="medium">
        <color indexed="64"/>
      </left>
      <right/>
      <top style="medium">
        <color indexed="64"/>
      </top>
      <bottom/>
      <diagonal/>
    </border>
    <border>
      <left style="medium">
        <color indexed="64"/>
      </left>
      <right/>
      <top style="medium">
        <color indexed="64"/>
      </top>
      <bottom style="thin">
        <color auto="1"/>
      </bottom>
      <diagonal/>
    </border>
    <border>
      <left style="medium">
        <color auto="1"/>
      </left>
      <right style="medium">
        <color auto="1"/>
      </right>
      <top style="medium">
        <color indexed="64"/>
      </top>
      <bottom style="thin">
        <color auto="1"/>
      </bottom>
      <diagonal/>
    </border>
    <border>
      <left/>
      <right style="medium">
        <color indexed="8"/>
      </right>
      <top style="medium">
        <color indexed="64"/>
      </top>
      <bottom style="thin">
        <color indexed="8"/>
      </bottom>
      <diagonal/>
    </border>
    <border>
      <left style="medium">
        <color indexed="8"/>
      </left>
      <right/>
      <top style="medium">
        <color indexed="64"/>
      </top>
      <bottom style="thin">
        <color indexed="8"/>
      </bottom>
      <diagonal/>
    </border>
    <border>
      <left/>
      <right/>
      <top style="medium">
        <color indexed="64"/>
      </top>
      <bottom style="thin">
        <color indexed="8"/>
      </bottom>
      <diagonal/>
    </border>
    <border>
      <left style="medium">
        <color auto="1"/>
      </left>
      <right/>
      <top style="medium">
        <color indexed="64"/>
      </top>
      <bottom style="thin">
        <color indexed="64"/>
      </bottom>
      <diagonal/>
    </border>
    <border>
      <left/>
      <right/>
      <top style="medium">
        <color indexed="64"/>
      </top>
      <bottom style="thin">
        <color auto="1"/>
      </bottom>
      <diagonal/>
    </border>
    <border>
      <left/>
      <right/>
      <top style="thin">
        <color auto="1"/>
      </top>
      <bottom style="thin">
        <color auto="1"/>
      </bottom>
      <diagonal/>
    </border>
    <border>
      <left style="medium">
        <color indexed="64"/>
      </left>
      <right/>
      <top style="thin">
        <color auto="1"/>
      </top>
      <bottom style="medium">
        <color indexed="64"/>
      </bottom>
      <diagonal/>
    </border>
    <border>
      <left style="medium">
        <color auto="1"/>
      </left>
      <right style="medium">
        <color auto="1"/>
      </right>
      <top style="thin">
        <color auto="1"/>
      </top>
      <bottom style="medium">
        <color indexed="64"/>
      </bottom>
      <diagonal/>
    </border>
    <border>
      <left/>
      <right style="medium">
        <color indexed="8"/>
      </right>
      <top style="thin">
        <color indexed="8"/>
      </top>
      <bottom style="medium">
        <color indexed="64"/>
      </bottom>
      <diagonal/>
    </border>
    <border>
      <left style="medium">
        <color indexed="8"/>
      </left>
      <right/>
      <top style="thin">
        <color indexed="8"/>
      </top>
      <bottom style="medium">
        <color indexed="64"/>
      </bottom>
      <diagonal/>
    </border>
    <border>
      <left style="medium">
        <color indexed="64"/>
      </left>
      <right style="medium">
        <color indexed="64"/>
      </right>
      <top style="thin">
        <color indexed="8"/>
      </top>
      <bottom style="medium">
        <color indexed="64"/>
      </bottom>
      <diagonal/>
    </border>
    <border>
      <left/>
      <right/>
      <top style="thin">
        <color indexed="8"/>
      </top>
      <bottom style="medium">
        <color indexed="64"/>
      </bottom>
      <diagonal/>
    </border>
    <border>
      <left/>
      <right/>
      <top style="thin">
        <color auto="1"/>
      </top>
      <bottom style="medium">
        <color indexed="64"/>
      </bottom>
      <diagonal/>
    </border>
    <border>
      <left/>
      <right/>
      <top style="thin">
        <color auto="1"/>
      </top>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style="medium">
        <color indexed="64"/>
      </right>
      <top style="thin">
        <color auto="1"/>
      </top>
      <bottom style="thin">
        <color auto="1"/>
      </bottom>
      <diagonal/>
    </border>
    <border>
      <left style="medium">
        <color indexed="64"/>
      </left>
      <right/>
      <top style="thin">
        <color auto="1"/>
      </top>
      <bottom style="medium">
        <color indexed="64"/>
      </bottom>
      <diagonal/>
    </border>
    <border>
      <left style="medium">
        <color auto="1"/>
      </left>
      <right style="medium">
        <color auto="1"/>
      </right>
      <top style="thin">
        <color auto="1"/>
      </top>
      <bottom style="medium">
        <color indexed="64"/>
      </bottom>
      <diagonal/>
    </border>
    <border>
      <left/>
      <right style="medium">
        <color indexed="8"/>
      </right>
      <top style="thin">
        <color indexed="8"/>
      </top>
      <bottom style="medium">
        <color indexed="64"/>
      </bottom>
      <diagonal/>
    </border>
    <border>
      <left style="medium">
        <color indexed="8"/>
      </left>
      <right/>
      <top style="thin">
        <color indexed="8"/>
      </top>
      <bottom style="medium">
        <color indexed="64"/>
      </bottom>
      <diagonal/>
    </border>
    <border>
      <left style="medium">
        <color indexed="64"/>
      </left>
      <right style="medium">
        <color indexed="64"/>
      </right>
      <top style="thin">
        <color indexed="8"/>
      </top>
      <bottom style="medium">
        <color indexed="64"/>
      </bottom>
      <diagonal/>
    </border>
    <border>
      <left/>
      <right/>
      <top style="thin">
        <color indexed="8"/>
      </top>
      <bottom style="medium">
        <color indexed="64"/>
      </bottom>
      <diagonal/>
    </border>
    <border>
      <left/>
      <right/>
      <top style="thin">
        <color auto="1"/>
      </top>
      <bottom style="medium">
        <color indexed="64"/>
      </bottom>
      <diagonal/>
    </border>
    <border>
      <left style="thin">
        <color indexed="8"/>
      </left>
      <right style="medium">
        <color auto="1"/>
      </right>
      <top/>
      <bottom style="medium">
        <color auto="1"/>
      </bottom>
      <diagonal/>
    </border>
    <border>
      <left style="medium">
        <color auto="1"/>
      </left>
      <right style="thin">
        <color indexed="8"/>
      </right>
      <top/>
      <bottom style="medium">
        <color auto="1"/>
      </bottom>
      <diagonal/>
    </border>
    <border>
      <left style="thin">
        <color indexed="8"/>
      </left>
      <right style="medium">
        <color auto="1"/>
      </right>
      <top style="thin">
        <color indexed="8"/>
      </top>
      <bottom style="medium">
        <color auto="1"/>
      </bottom>
      <diagonal/>
    </border>
    <border>
      <left style="medium">
        <color auto="1"/>
      </left>
      <right style="thin">
        <color indexed="8"/>
      </right>
      <top style="thin">
        <color indexed="8"/>
      </top>
      <bottom style="medium">
        <color auto="1"/>
      </bottom>
      <diagonal/>
    </border>
    <border>
      <left style="thin">
        <color indexed="8"/>
      </left>
      <right style="medium">
        <color auto="1"/>
      </right>
      <top style="medium">
        <color auto="1"/>
      </top>
      <bottom style="thin">
        <color indexed="8"/>
      </bottom>
      <diagonal/>
    </border>
    <border>
      <left style="medium">
        <color auto="1"/>
      </left>
      <right style="thin">
        <color indexed="8"/>
      </right>
      <top style="medium">
        <color auto="1"/>
      </top>
      <bottom style="thin">
        <color indexed="8"/>
      </bottom>
      <diagonal/>
    </border>
    <border>
      <left style="thin">
        <color indexed="8"/>
      </left>
      <right style="medium">
        <color auto="1"/>
      </right>
      <top style="thin">
        <color indexed="8"/>
      </top>
      <bottom/>
      <diagonal/>
    </border>
    <border>
      <left style="medium">
        <color auto="1"/>
      </left>
      <right style="thin">
        <color indexed="8"/>
      </right>
      <top style="thin">
        <color indexed="8"/>
      </top>
      <bottom/>
      <diagonal/>
    </border>
    <border>
      <left style="thin">
        <color indexed="8"/>
      </left>
      <right style="medium">
        <color auto="1"/>
      </right>
      <top style="thin">
        <color indexed="8"/>
      </top>
      <bottom style="thin">
        <color indexed="8"/>
      </bottom>
      <diagonal/>
    </border>
    <border>
      <left style="medium">
        <color auto="1"/>
      </left>
      <right style="thin">
        <color indexed="8"/>
      </right>
      <top style="thin">
        <color indexed="8"/>
      </top>
      <bottom style="thin">
        <color indexed="8"/>
      </bottom>
      <diagonal/>
    </border>
    <border>
      <left style="thin">
        <color indexed="8"/>
      </left>
      <right style="medium">
        <color auto="1"/>
      </right>
      <top style="medium">
        <color auto="1"/>
      </top>
      <bottom/>
      <diagonal/>
    </border>
    <border>
      <left style="medium">
        <color auto="1"/>
      </left>
      <right style="thin">
        <color indexed="8"/>
      </right>
      <top style="medium">
        <color auto="1"/>
      </top>
      <bottom/>
      <diagonal/>
    </border>
    <border>
      <left style="thin">
        <color indexed="8"/>
      </left>
      <right style="medium">
        <color auto="1"/>
      </right>
      <top/>
      <bottom style="thin">
        <color indexed="8"/>
      </bottom>
      <diagonal/>
    </border>
    <border>
      <left style="medium">
        <color auto="1"/>
      </left>
      <right style="thin">
        <color indexed="8"/>
      </right>
      <top/>
      <bottom style="thin">
        <color indexed="8"/>
      </bottom>
      <diagonal/>
    </border>
    <border>
      <left style="thin">
        <color indexed="8"/>
      </left>
      <right style="medium">
        <color auto="1"/>
      </right>
      <top style="medium">
        <color auto="1"/>
      </top>
      <bottom style="medium">
        <color auto="1"/>
      </bottom>
      <diagonal/>
    </border>
    <border>
      <left style="medium">
        <color auto="1"/>
      </left>
      <right style="thin">
        <color indexed="8"/>
      </right>
      <top style="medium">
        <color auto="1"/>
      </top>
      <bottom style="medium">
        <color auto="1"/>
      </bottom>
      <diagonal/>
    </border>
    <border>
      <left style="medium">
        <color indexed="64"/>
      </left>
      <right/>
      <top style="medium">
        <color auto="1"/>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8"/>
      </top>
      <bottom style="medium">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right/>
      <top style="thin">
        <color indexed="64"/>
      </top>
      <bottom style="medium">
        <color indexed="64"/>
      </bottom>
      <diagonal/>
    </border>
    <border>
      <left/>
      <right/>
      <top style="thin">
        <color indexed="64"/>
      </top>
      <bottom/>
      <diagonal/>
    </border>
    <border>
      <left/>
      <right/>
      <top style="thin">
        <color indexed="8"/>
      </top>
      <bottom/>
      <diagonal/>
    </border>
    <border>
      <left style="medium">
        <color auto="1"/>
      </left>
      <right/>
      <top style="thin">
        <color indexed="8"/>
      </top>
      <bottom/>
      <diagonal/>
    </border>
    <border>
      <left style="medium">
        <color indexed="8"/>
      </left>
      <right/>
      <top style="thin">
        <color indexed="8"/>
      </top>
      <bottom/>
      <diagonal/>
    </border>
    <border>
      <left/>
      <right style="medium">
        <color indexed="64"/>
      </right>
      <top style="thin">
        <color indexed="8"/>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style="medium">
        <color auto="1"/>
      </left>
      <right style="medium">
        <color indexed="8"/>
      </right>
      <top style="thin">
        <color indexed="8"/>
      </top>
      <bottom style="thin">
        <color indexed="8"/>
      </bottom>
      <diagonal/>
    </border>
    <border>
      <left style="medium">
        <color auto="1"/>
      </left>
      <right style="medium">
        <color indexed="8"/>
      </right>
      <top style="thin">
        <color indexed="8"/>
      </top>
      <bottom style="medium">
        <color indexed="64"/>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thin">
        <color indexed="8"/>
      </bottom>
      <diagonal/>
    </border>
    <border>
      <left/>
      <right/>
      <top style="thin">
        <color indexed="64"/>
      </top>
      <bottom/>
      <diagonal/>
    </border>
    <border>
      <left style="medium">
        <color indexed="64"/>
      </left>
      <right style="medium">
        <color indexed="64"/>
      </right>
      <top/>
      <bottom/>
      <diagonal/>
    </border>
    <border>
      <left style="medium">
        <color auto="1"/>
      </left>
      <right style="medium">
        <color indexed="8"/>
      </right>
      <top style="medium">
        <color indexed="64"/>
      </top>
      <bottom style="thin">
        <color indexed="8"/>
      </bottom>
      <diagonal/>
    </border>
    <border>
      <left/>
      <right style="medium">
        <color indexed="8"/>
      </right>
      <top style="medium">
        <color indexed="64"/>
      </top>
      <bottom style="thin">
        <color indexed="8"/>
      </bottom>
      <diagonal/>
    </border>
    <border>
      <left style="medium">
        <color indexed="8"/>
      </left>
      <right/>
      <top style="medium">
        <color indexed="64"/>
      </top>
      <bottom style="thin">
        <color indexed="8"/>
      </bottom>
      <diagonal/>
    </border>
    <border>
      <left/>
      <right/>
      <top style="medium">
        <color indexed="64"/>
      </top>
      <bottom style="thin">
        <color indexed="8"/>
      </bottom>
      <diagonal/>
    </border>
    <border>
      <left/>
      <right/>
      <top style="medium">
        <color indexed="64"/>
      </top>
      <bottom style="thin">
        <color auto="1"/>
      </bottom>
      <diagonal/>
    </border>
    <border>
      <left style="medium">
        <color indexed="64"/>
      </left>
      <right style="medium">
        <color indexed="64"/>
      </right>
      <top style="medium">
        <color indexed="64"/>
      </top>
      <bottom/>
      <diagonal/>
    </border>
    <border>
      <left/>
      <right/>
      <top style="thin">
        <color auto="1"/>
      </top>
      <bottom style="medium">
        <color indexed="64"/>
      </bottom>
      <diagonal/>
    </border>
    <border>
      <left/>
      <right/>
      <top style="thin">
        <color auto="1"/>
      </top>
      <bottom/>
      <diagonal/>
    </border>
    <border>
      <left style="medium">
        <color indexed="64"/>
      </left>
      <right/>
      <top style="medium">
        <color indexed="64"/>
      </top>
      <bottom style="thin">
        <color auto="1"/>
      </bottom>
      <diagonal/>
    </border>
    <border>
      <left style="medium">
        <color auto="1"/>
      </left>
      <right style="medium">
        <color auto="1"/>
      </right>
      <top style="medium">
        <color indexed="64"/>
      </top>
      <bottom style="thin">
        <color auto="1"/>
      </bottom>
      <diagonal/>
    </border>
    <border>
      <left style="medium">
        <color indexed="64"/>
      </left>
      <right/>
      <top style="medium">
        <color indexed="64"/>
      </top>
      <bottom style="thin">
        <color indexed="8"/>
      </bottom>
      <diagonal/>
    </border>
    <border>
      <left style="medium">
        <color indexed="64"/>
      </left>
      <right/>
      <top style="thin">
        <color indexed="8"/>
      </top>
      <bottom style="medium">
        <color indexed="64"/>
      </bottom>
      <diagonal/>
    </border>
    <border>
      <left/>
      <right style="medium">
        <color indexed="64"/>
      </right>
      <top style="thin">
        <color auto="1"/>
      </top>
      <bottom/>
      <diagonal/>
    </border>
    <border>
      <left style="medium">
        <color indexed="64"/>
      </left>
      <right/>
      <top/>
      <bottom style="thin">
        <color indexed="8"/>
      </bottom>
      <diagonal/>
    </border>
    <border>
      <left style="medium">
        <color indexed="8"/>
      </left>
      <right/>
      <top style="medium">
        <color indexed="64"/>
      </top>
      <bottom style="thin">
        <color indexed="8"/>
      </bottom>
      <diagonal/>
    </border>
    <border>
      <left style="medium">
        <color indexed="8"/>
      </left>
      <right/>
      <top style="thin">
        <color indexed="8"/>
      </top>
      <bottom style="thin">
        <color indexed="8"/>
      </bottom>
      <diagonal/>
    </border>
    <border>
      <left style="medium">
        <color indexed="64"/>
      </left>
      <right/>
      <top style="thin">
        <color indexed="8"/>
      </top>
      <bottom style="thin">
        <color indexed="8"/>
      </bottom>
      <diagonal/>
    </border>
    <border>
      <left style="medium">
        <color indexed="8"/>
      </left>
      <right style="medium">
        <color indexed="8"/>
      </right>
      <top style="thin">
        <color indexed="8"/>
      </top>
      <bottom style="thin">
        <color indexed="64"/>
      </bottom>
      <diagonal/>
    </border>
    <border>
      <left style="medium">
        <color auto="1"/>
      </left>
      <right style="medium">
        <color indexed="8"/>
      </right>
      <top/>
      <bottom style="thin">
        <color indexed="8"/>
      </bottom>
      <diagonal/>
    </border>
    <border>
      <left style="medium">
        <color indexed="8"/>
      </left>
      <right/>
      <top style="thin">
        <color indexed="8"/>
      </top>
      <bottom style="medium">
        <color indexed="64"/>
      </bottom>
      <diagonal/>
    </border>
    <border>
      <left style="medium">
        <color auto="1"/>
      </left>
      <right style="medium">
        <color indexed="8"/>
      </right>
      <top style="medium">
        <color indexed="64"/>
      </top>
      <bottom style="thin">
        <color indexed="8"/>
      </bottom>
      <diagonal/>
    </border>
    <border>
      <left style="medium">
        <color auto="1"/>
      </left>
      <right style="medium">
        <color indexed="8"/>
      </right>
      <top style="thin">
        <color indexed="8"/>
      </top>
      <bottom style="medium">
        <color indexed="64"/>
      </bottom>
      <diagonal/>
    </border>
    <border>
      <left style="medium">
        <color auto="1"/>
      </left>
      <right style="medium">
        <color indexed="8"/>
      </right>
      <top style="thin">
        <color indexed="8"/>
      </top>
      <bottom style="thin">
        <color indexed="64"/>
      </bottom>
      <diagonal/>
    </border>
    <border>
      <left/>
      <right style="medium">
        <color indexed="8"/>
      </right>
      <top style="thin">
        <color indexed="8"/>
      </top>
      <bottom style="thin">
        <color indexed="64"/>
      </bottom>
      <diagonal/>
    </border>
    <border>
      <left style="medium">
        <color indexed="8"/>
      </left>
      <right/>
      <top style="thin">
        <color indexed="8"/>
      </top>
      <bottom style="thin">
        <color indexed="64"/>
      </bottom>
      <diagonal/>
    </border>
    <border>
      <left style="medium">
        <color indexed="64"/>
      </left>
      <right style="medium">
        <color indexed="64"/>
      </right>
      <top style="thin">
        <color indexed="8"/>
      </top>
      <bottom style="thin">
        <color indexed="64"/>
      </bottom>
      <diagonal/>
    </border>
    <border>
      <left/>
      <right/>
      <top style="thin">
        <color indexed="8"/>
      </top>
      <bottom style="thin">
        <color indexed="64"/>
      </bottom>
      <diagonal/>
    </border>
    <border>
      <left style="medium">
        <color indexed="64"/>
      </left>
      <right style="medium">
        <color indexed="8"/>
      </right>
      <top/>
      <bottom style="medium">
        <color indexed="64"/>
      </bottom>
      <diagonal/>
    </border>
    <border>
      <left/>
      <right style="medium">
        <color indexed="8"/>
      </right>
      <top/>
      <bottom style="medium">
        <color indexed="64"/>
      </bottom>
      <diagonal/>
    </border>
    <border>
      <left/>
      <right/>
      <top/>
      <bottom style="medium">
        <color indexed="64"/>
      </bottom>
      <diagonal/>
    </border>
    <border>
      <left style="medium">
        <color indexed="64"/>
      </left>
      <right/>
      <top style="thin">
        <color indexed="8"/>
      </top>
      <bottom/>
      <diagonal/>
    </border>
    <border>
      <left/>
      <right style="medium">
        <color indexed="64"/>
      </right>
      <top style="thin">
        <color indexed="8"/>
      </top>
      <bottom/>
      <diagonal/>
    </border>
    <border>
      <left/>
      <right style="medium">
        <color indexed="64"/>
      </right>
      <top style="medium">
        <color indexed="64"/>
      </top>
      <bottom style="thin">
        <color indexed="8"/>
      </bottom>
      <diagonal/>
    </border>
    <border>
      <left style="medium">
        <color indexed="64"/>
      </left>
      <right/>
      <top style="thin">
        <color indexed="8"/>
      </top>
      <bottom/>
      <diagonal/>
    </border>
    <border>
      <left style="medium">
        <color indexed="8"/>
      </left>
      <right/>
      <top style="thin">
        <color indexed="8"/>
      </top>
      <bottom/>
      <diagonal/>
    </border>
    <border>
      <left style="medium">
        <color indexed="64"/>
      </left>
      <right/>
      <top style="medium">
        <color indexed="64"/>
      </top>
      <bottom style="thin">
        <color indexed="8"/>
      </bottom>
      <diagonal/>
    </border>
    <border>
      <left style="medium">
        <color auto="1"/>
      </left>
      <right style="medium">
        <color auto="1"/>
      </right>
      <top/>
      <bottom style="medium">
        <color indexed="64"/>
      </bottom>
      <diagonal/>
    </border>
    <border>
      <left style="medium">
        <color auto="1"/>
      </left>
      <right/>
      <top style="thin">
        <color indexed="8"/>
      </top>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8"/>
      </top>
      <bottom style="medium">
        <color indexed="64"/>
      </bottom>
      <diagonal/>
    </border>
    <border>
      <left style="medium">
        <color indexed="64"/>
      </left>
      <right style="medium">
        <color indexed="64"/>
      </right>
      <top style="medium">
        <color indexed="64"/>
      </top>
      <bottom style="thin">
        <color indexed="8"/>
      </bottom>
      <diagonal/>
    </border>
    <border>
      <left/>
      <right style="medium">
        <color auto="1"/>
      </right>
      <top/>
      <bottom style="medium">
        <color auto="1"/>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auto="1"/>
      </left>
      <right style="medium">
        <color auto="1"/>
      </right>
      <top style="medium">
        <color indexed="64"/>
      </top>
      <bottom/>
      <diagonal/>
    </border>
    <border>
      <left style="medium">
        <color auto="1"/>
      </left>
      <right style="medium">
        <color auto="1"/>
      </right>
      <top style="thin">
        <color auto="1"/>
      </top>
      <bottom/>
      <diagonal/>
    </border>
    <border>
      <left style="medium">
        <color auto="1"/>
      </left>
      <right/>
      <top style="thin">
        <color auto="1"/>
      </top>
      <bottom/>
      <diagonal/>
    </border>
    <border>
      <left style="medium">
        <color auto="1"/>
      </left>
      <right/>
      <top style="thin">
        <color auto="1"/>
      </top>
      <bottom style="thin">
        <color auto="1"/>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8"/>
      </bottom>
      <diagonal/>
    </border>
    <border>
      <left/>
      <right/>
      <top style="medium">
        <color indexed="64"/>
      </top>
      <bottom style="thin">
        <color indexed="8"/>
      </bottom>
      <diagonal/>
    </border>
    <border>
      <left style="medium">
        <color indexed="64"/>
      </left>
      <right/>
      <top style="medium">
        <color indexed="64"/>
      </top>
      <bottom style="thin">
        <color indexed="8"/>
      </bottom>
      <diagonal/>
    </border>
    <border>
      <left/>
      <right style="medium">
        <color indexed="64"/>
      </right>
      <top style="medium">
        <color indexed="64"/>
      </top>
      <bottom style="thin">
        <color indexed="8"/>
      </bottom>
      <diagonal/>
    </border>
    <border>
      <left style="medium">
        <color auto="1"/>
      </left>
      <right/>
      <top style="medium">
        <color indexed="64"/>
      </top>
      <bottom style="thin">
        <color auto="1"/>
      </bottom>
      <diagonal/>
    </border>
    <border>
      <left/>
      <right/>
      <top style="medium">
        <color indexed="64"/>
      </top>
      <bottom style="thin">
        <color auto="1"/>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thin">
        <color auto="1"/>
      </top>
      <bottom style="medium">
        <color indexed="64"/>
      </bottom>
      <diagonal/>
    </border>
    <border>
      <left style="medium">
        <color auto="1"/>
      </left>
      <right style="medium">
        <color auto="1"/>
      </right>
      <top style="thin">
        <color auto="1"/>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8"/>
      </bottom>
      <diagonal/>
    </border>
    <border>
      <left style="medium">
        <color indexed="64"/>
      </left>
      <right/>
      <top style="medium">
        <color auto="1"/>
      </top>
      <bottom/>
      <diagonal/>
    </border>
    <border>
      <left style="medium">
        <color indexed="64"/>
      </left>
      <right/>
      <top style="thin">
        <color auto="1"/>
      </top>
      <bottom style="thin">
        <color auto="1"/>
      </bottom>
      <diagonal/>
    </border>
    <border>
      <left style="medium">
        <color auto="1"/>
      </left>
      <right style="medium">
        <color auto="1"/>
      </right>
      <top style="thin">
        <color auto="1"/>
      </top>
      <bottom/>
      <diagonal/>
    </border>
    <border>
      <left style="medium">
        <color auto="1"/>
      </left>
      <right/>
      <top style="thin">
        <color auto="1"/>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right style="medium">
        <color indexed="64"/>
      </right>
      <top style="thin">
        <color indexed="8"/>
      </top>
      <bottom style="thin">
        <color indexed="8"/>
      </bottom>
      <diagonal/>
    </border>
    <border>
      <left style="medium">
        <color auto="1"/>
      </left>
      <right/>
      <top style="thin">
        <color auto="1"/>
      </top>
      <bottom style="thin">
        <color auto="1"/>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right style="medium">
        <color indexed="64"/>
      </right>
      <top style="thin">
        <color indexed="8"/>
      </top>
      <bottom style="thin">
        <color indexed="8"/>
      </bottom>
      <diagonal/>
    </border>
    <border>
      <left/>
      <right/>
      <top style="thin">
        <color auto="1"/>
      </top>
      <bottom style="thin">
        <color auto="1"/>
      </bottom>
      <diagonal/>
    </border>
    <border>
      <left style="medium">
        <color auto="1"/>
      </left>
      <right/>
      <top style="thin">
        <color auto="1"/>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auto="1"/>
      </top>
      <bottom style="thin">
        <color auto="1"/>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thin">
        <color auto="1"/>
      </top>
      <bottom style="medium">
        <color indexed="64"/>
      </bottom>
      <diagonal/>
    </border>
    <border>
      <left style="medium">
        <color auto="1"/>
      </left>
      <right style="medium">
        <color auto="1"/>
      </right>
      <top style="thin">
        <color auto="1"/>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medium">
        <color auto="1"/>
      </top>
      <bottom/>
      <diagonal/>
    </border>
    <border>
      <left style="medium">
        <color indexed="64"/>
      </left>
      <right style="medium">
        <color indexed="64"/>
      </right>
      <top style="medium">
        <color auto="1"/>
      </top>
      <bottom/>
      <diagonal/>
    </border>
    <border>
      <left style="medium">
        <color indexed="64"/>
      </left>
      <right/>
      <top style="medium">
        <color auto="1"/>
      </top>
      <bottom/>
      <diagonal/>
    </border>
    <border>
      <left style="medium">
        <color indexed="64"/>
      </left>
      <right style="medium">
        <color indexed="64"/>
      </right>
      <top style="medium">
        <color auto="1"/>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8"/>
      </top>
      <bottom style="medium">
        <color indexed="64"/>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indexed="8"/>
      </top>
      <bottom/>
      <diagonal/>
    </border>
    <border>
      <left style="medium">
        <color indexed="64"/>
      </left>
      <right style="medium">
        <color indexed="64"/>
      </right>
      <top style="thin">
        <color indexed="64"/>
      </top>
      <bottom/>
      <diagonal/>
    </border>
    <border>
      <left style="medium">
        <color auto="1"/>
      </left>
      <right style="medium">
        <color indexed="8"/>
      </right>
      <top style="thin">
        <color indexed="8"/>
      </top>
      <bottom style="thin">
        <color indexed="8"/>
      </bottom>
      <diagonal/>
    </border>
    <border>
      <left style="medium">
        <color auto="1"/>
      </left>
      <right style="medium">
        <color indexed="8"/>
      </right>
      <top style="thin">
        <color indexed="8"/>
      </top>
      <bottom style="medium">
        <color indexed="64"/>
      </bottom>
      <diagonal/>
    </border>
    <border>
      <left style="medium">
        <color indexed="64"/>
      </left>
      <right/>
      <top style="thin">
        <color auto="1"/>
      </top>
      <bottom style="medium">
        <color indexed="64"/>
      </bottom>
      <diagonal/>
    </border>
    <border>
      <left/>
      <right/>
      <top style="thin">
        <color auto="1"/>
      </top>
      <bottom style="medium">
        <color indexed="64"/>
      </bottom>
      <diagonal/>
    </border>
    <border>
      <left style="medium">
        <color auto="1"/>
      </left>
      <right style="medium">
        <color auto="1"/>
      </right>
      <top style="thin">
        <color auto="1"/>
      </top>
      <bottom style="medium">
        <color indexed="64"/>
      </bottom>
      <diagonal/>
    </border>
    <border>
      <left style="medium">
        <color indexed="64"/>
      </left>
      <right/>
      <top style="thin">
        <color indexed="64"/>
      </top>
      <bottom style="thin">
        <color indexed="64"/>
      </bottom>
      <diagonal/>
    </border>
    <border>
      <left/>
      <right/>
      <top style="thin">
        <color indexed="8"/>
      </top>
      <bottom/>
      <diagonal/>
    </border>
    <border>
      <left style="medium">
        <color indexed="64"/>
      </left>
      <right/>
      <top style="thin">
        <color indexed="8"/>
      </top>
      <bottom/>
      <diagonal/>
    </border>
    <border>
      <left/>
      <right style="medium">
        <color indexed="64"/>
      </right>
      <top style="thin">
        <color indexed="8"/>
      </top>
      <bottom/>
      <diagonal/>
    </border>
    <border>
      <left style="medium">
        <color auto="1"/>
      </left>
      <right style="medium">
        <color auto="1"/>
      </right>
      <top style="medium">
        <color indexed="64"/>
      </top>
      <bottom/>
      <diagonal/>
    </border>
    <border>
      <left/>
      <right/>
      <top style="thin">
        <color indexed="64"/>
      </top>
      <bottom style="medium">
        <color indexed="64"/>
      </bottom>
      <diagonal/>
    </border>
    <border>
      <left/>
      <right/>
      <top style="thin">
        <color indexed="64"/>
      </top>
      <bottom style="thin">
        <color indexed="64"/>
      </bottom>
      <diagonal/>
    </border>
    <border>
      <left style="medium">
        <color auto="1"/>
      </left>
      <right/>
      <top/>
      <bottom style="medium">
        <color indexed="8"/>
      </bottom>
      <diagonal/>
    </border>
    <border>
      <left style="medium">
        <color auto="1"/>
      </left>
      <right style="medium">
        <color auto="1"/>
      </right>
      <top style="medium">
        <color indexed="64"/>
      </top>
      <bottom/>
      <diagonal/>
    </border>
    <border>
      <left style="medium">
        <color indexed="64"/>
      </left>
      <right style="medium">
        <color indexed="64"/>
      </right>
      <top style="thin">
        <color indexed="8"/>
      </top>
      <bottom style="thin">
        <color indexed="8"/>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8"/>
      </bottom>
      <diagonal/>
    </border>
    <border>
      <left style="medium">
        <color auto="1"/>
      </left>
      <right/>
      <top style="thin">
        <color auto="1"/>
      </top>
      <bottom/>
      <diagonal/>
    </border>
    <border>
      <left style="medium">
        <color auto="1"/>
      </left>
      <right style="medium">
        <color auto="1"/>
      </right>
      <top style="thin">
        <color auto="1"/>
      </top>
      <bottom/>
      <diagonal/>
    </border>
    <border>
      <left/>
      <right/>
      <top style="medium">
        <color indexed="64"/>
      </top>
      <bottom style="thin">
        <color auto="1"/>
      </bottom>
      <diagonal/>
    </border>
    <border>
      <left style="medium">
        <color auto="1"/>
      </left>
      <right/>
      <top style="thin">
        <color auto="1"/>
      </top>
      <bottom style="thin">
        <color auto="1"/>
      </bottom>
      <diagonal/>
    </border>
    <border>
      <left style="medium">
        <color auto="1"/>
      </left>
      <right/>
      <top/>
      <bottom style="medium">
        <color indexed="8"/>
      </bottom>
      <diagonal/>
    </border>
    <border>
      <left/>
      <right/>
      <top style="medium">
        <color indexed="64"/>
      </top>
      <bottom style="thin">
        <color indexed="8"/>
      </bottom>
      <diagonal/>
    </border>
    <border>
      <left style="medium">
        <color indexed="64"/>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medium">
        <color indexed="64"/>
      </top>
      <bottom style="thin">
        <color auto="1"/>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auto="1"/>
      </top>
      <bottom style="thin">
        <color auto="1"/>
      </bottom>
      <diagonal/>
    </border>
    <border>
      <left style="medium">
        <color indexed="64"/>
      </left>
      <right style="medium">
        <color indexed="64"/>
      </right>
      <top style="thin">
        <color indexed="8"/>
      </top>
      <bottom style="medium">
        <color indexed="64"/>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style="medium">
        <color auto="1"/>
      </left>
      <right style="medium">
        <color auto="1"/>
      </right>
      <top style="thin">
        <color auto="1"/>
      </top>
      <bottom style="medium">
        <color indexed="64"/>
      </bottom>
      <diagonal/>
    </border>
    <border>
      <left/>
      <right style="medium">
        <color indexed="64"/>
      </right>
      <top style="medium">
        <color indexed="64"/>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8"/>
      </top>
      <bottom style="medium">
        <color indexed="64"/>
      </bottom>
      <diagonal/>
    </border>
    <border>
      <left style="medium">
        <color auto="1"/>
      </left>
      <right style="medium">
        <color auto="1"/>
      </right>
      <top style="thin">
        <color auto="1"/>
      </top>
      <bottom style="medium">
        <color auto="1"/>
      </bottom>
      <diagonal/>
    </border>
    <border>
      <left style="medium">
        <color auto="1"/>
      </left>
      <right/>
      <top style="thin">
        <color auto="1"/>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8"/>
      </top>
      <bottom/>
      <diagonal/>
    </border>
    <border>
      <left style="medium">
        <color indexed="64"/>
      </left>
      <right style="medium">
        <color auto="1"/>
      </right>
      <top style="thin">
        <color auto="1"/>
      </top>
      <bottom style="thin">
        <color auto="1"/>
      </bottom>
      <diagonal/>
    </border>
    <border>
      <left/>
      <right/>
      <top style="thin">
        <color indexed="64"/>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style="medium">
        <color indexed="64"/>
      </bottom>
      <diagonal/>
    </border>
    <border>
      <left style="medium">
        <color indexed="64"/>
      </left>
      <right style="medium">
        <color indexed="64"/>
      </right>
      <top style="thin">
        <color indexed="64"/>
      </top>
      <bottom/>
      <diagonal/>
    </border>
    <border>
      <left style="medium">
        <color auto="1"/>
      </left>
      <right style="medium">
        <color auto="1"/>
      </right>
      <top style="thin">
        <color auto="1"/>
      </top>
      <bottom style="medium">
        <color indexed="64"/>
      </bottom>
      <diagonal/>
    </border>
    <border>
      <left style="medium">
        <color auto="1"/>
      </left>
      <right/>
      <top style="thin">
        <color auto="1"/>
      </top>
      <bottom style="medium">
        <color indexed="64"/>
      </bottom>
      <diagonal/>
    </border>
    <border>
      <left style="medium">
        <color indexed="64"/>
      </left>
      <right style="medium">
        <color indexed="64"/>
      </right>
      <top style="thin">
        <color indexed="8"/>
      </top>
      <bottom/>
      <diagonal/>
    </border>
    <border>
      <left style="medium">
        <color indexed="64"/>
      </left>
      <right/>
      <top style="thin">
        <color indexed="64"/>
      </top>
      <bottom/>
      <diagonal/>
    </border>
    <border>
      <left style="medium">
        <color indexed="64"/>
      </left>
      <right style="medium">
        <color indexed="64"/>
      </right>
      <top style="thin">
        <color indexed="8"/>
      </top>
      <bottom style="medium">
        <color indexed="64"/>
      </bottom>
      <diagonal/>
    </border>
    <border>
      <left style="medium">
        <color auto="1"/>
      </left>
      <right style="medium">
        <color auto="1"/>
      </right>
      <top style="thin">
        <color auto="1"/>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8"/>
      </top>
      <bottom/>
      <diagonal/>
    </border>
    <border>
      <left style="medium">
        <color auto="1"/>
      </left>
      <right style="medium">
        <color indexed="8"/>
      </right>
      <top style="thin">
        <color indexed="8"/>
      </top>
      <bottom/>
      <diagonal/>
    </border>
    <border>
      <left/>
      <right/>
      <top style="thin">
        <color indexed="8"/>
      </top>
      <bottom/>
      <diagonal/>
    </border>
    <border>
      <left style="medium">
        <color indexed="64"/>
      </left>
      <right/>
      <top style="thin">
        <color indexed="8"/>
      </top>
      <bottom/>
      <diagonal/>
    </border>
    <border>
      <left/>
      <right style="medium">
        <color indexed="64"/>
      </right>
      <top style="thin">
        <color indexed="8"/>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8"/>
      </bottom>
      <diagonal/>
    </border>
    <border>
      <left/>
      <right/>
      <top style="medium">
        <color indexed="64"/>
      </top>
      <bottom style="thin">
        <color indexed="8"/>
      </bottom>
      <diagonal/>
    </border>
    <border>
      <left style="medium">
        <color indexed="64"/>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style="medium">
        <color auto="1"/>
      </left>
      <right style="medium">
        <color auto="1"/>
      </right>
      <top style="medium">
        <color indexed="64"/>
      </top>
      <bottom/>
      <diagonal/>
    </border>
    <border>
      <left/>
      <right/>
      <top style="thin">
        <color indexed="8"/>
      </top>
      <bottom/>
      <diagonal/>
    </border>
    <border>
      <left style="medium">
        <color indexed="64"/>
      </left>
      <right/>
      <top style="thin">
        <color indexed="8"/>
      </top>
      <bottom/>
      <diagonal/>
    </border>
    <border>
      <left/>
      <right style="medium">
        <color indexed="64"/>
      </right>
      <top style="thin">
        <color indexed="8"/>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right/>
      <top style="thin">
        <color indexed="8"/>
      </top>
      <bottom/>
      <diagonal/>
    </border>
    <border>
      <left style="medium">
        <color indexed="64"/>
      </left>
      <right/>
      <top style="thin">
        <color indexed="8"/>
      </top>
      <bottom/>
      <diagonal/>
    </border>
    <border>
      <left/>
      <right style="medium">
        <color indexed="64"/>
      </right>
      <top style="thin">
        <color indexed="8"/>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right/>
      <top style="thin">
        <color auto="1"/>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medium">
        <color indexed="8"/>
      </bottom>
      <diagonal/>
    </border>
    <border>
      <left style="medium">
        <color indexed="64"/>
      </left>
      <right/>
      <top style="medium">
        <color indexed="8"/>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style="medium">
        <color auto="1"/>
      </right>
      <top style="medium">
        <color auto="1"/>
      </top>
      <bottom/>
      <diagonal/>
    </border>
    <border>
      <left style="medium">
        <color indexed="64"/>
      </left>
      <right/>
      <top style="thin">
        <color auto="1"/>
      </top>
      <bottom style="double">
        <color indexed="64"/>
      </bottom>
      <diagonal/>
    </border>
    <border>
      <left style="medium">
        <color indexed="64"/>
      </left>
      <right style="medium">
        <color indexed="64"/>
      </right>
      <top style="thin">
        <color indexed="64"/>
      </top>
      <bottom style="double">
        <color indexed="64"/>
      </bottom>
      <diagonal/>
    </border>
    <border>
      <left style="medium">
        <color indexed="64"/>
      </left>
      <right style="medium">
        <color indexed="64"/>
      </right>
      <top style="thin">
        <color indexed="8"/>
      </top>
      <bottom style="double">
        <color indexed="64"/>
      </bottom>
      <diagonal/>
    </border>
    <border>
      <left/>
      <right/>
      <top style="thin">
        <color indexed="8"/>
      </top>
      <bottom style="double">
        <color indexed="64"/>
      </bottom>
      <diagonal/>
    </border>
    <border>
      <left style="medium">
        <color indexed="64"/>
      </left>
      <right/>
      <top style="thin">
        <color indexed="8"/>
      </top>
      <bottom style="double">
        <color indexed="64"/>
      </bottom>
      <diagonal/>
    </border>
    <border>
      <left/>
      <right style="medium">
        <color indexed="64"/>
      </right>
      <top style="thin">
        <color indexed="8"/>
      </top>
      <bottom style="double">
        <color indexed="64"/>
      </bottom>
      <diagonal/>
    </border>
    <border>
      <left/>
      <right/>
      <top style="thin">
        <color auto="1"/>
      </top>
      <bottom style="double">
        <color indexed="64"/>
      </bottom>
      <diagonal/>
    </border>
    <border>
      <left style="medium">
        <color auto="1"/>
      </left>
      <right style="medium">
        <color auto="1"/>
      </right>
      <top style="thin">
        <color auto="1"/>
      </top>
      <bottom style="double">
        <color indexed="64"/>
      </bottom>
      <diagonal/>
    </border>
    <border>
      <left/>
      <right style="medium">
        <color indexed="8"/>
      </right>
      <top style="medium">
        <color indexed="64"/>
      </top>
      <bottom style="double">
        <color indexed="64"/>
      </bottom>
      <diagonal/>
    </border>
    <border>
      <left style="medium">
        <color indexed="8"/>
      </left>
      <right/>
      <top style="medium">
        <color indexed="64"/>
      </top>
      <bottom style="double">
        <color indexed="64"/>
      </bottom>
      <diagonal/>
    </border>
    <border>
      <left style="medium">
        <color indexed="64"/>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medium">
        <color indexed="64"/>
      </left>
      <right style="medium">
        <color indexed="64"/>
      </right>
      <top style="medium">
        <color indexed="64"/>
      </top>
      <bottom style="thin">
        <color indexed="8"/>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auto="1"/>
      </left>
      <right/>
      <top style="thin">
        <color auto="1"/>
      </top>
      <bottom style="thin">
        <color auto="1"/>
      </bottom>
      <diagonal/>
    </border>
    <border>
      <left style="medium">
        <color auto="1"/>
      </left>
      <right/>
      <top style="thin">
        <color auto="1"/>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top style="medium">
        <color indexed="64"/>
      </top>
      <bottom style="thin">
        <color auto="1"/>
      </bottom>
      <diagonal/>
    </border>
    <border>
      <left style="medium">
        <color auto="1"/>
      </left>
      <right/>
      <top style="thin">
        <color auto="1"/>
      </top>
      <bottom style="thin">
        <color auto="1"/>
      </bottom>
      <diagonal/>
    </border>
    <border>
      <left style="medium">
        <color auto="1"/>
      </left>
      <right/>
      <top style="thin">
        <color auto="1"/>
      </top>
      <bottom style="thin">
        <color auto="1"/>
      </bottom>
      <diagonal/>
    </border>
    <border>
      <left style="medium">
        <color indexed="64"/>
      </left>
      <right/>
      <top style="medium">
        <color indexed="64"/>
      </top>
      <bottom style="thin">
        <color auto="1"/>
      </bottom>
      <diagonal/>
    </border>
    <border>
      <left style="medium">
        <color auto="1"/>
      </left>
      <right/>
      <top style="thin">
        <color auto="1"/>
      </top>
      <bottom style="thin">
        <color auto="1"/>
      </bottom>
      <diagonal/>
    </border>
    <border>
      <left style="medium">
        <color auto="1"/>
      </left>
      <right/>
      <top style="thin">
        <color auto="1"/>
      </top>
      <bottom style="thin">
        <color auto="1"/>
      </bottom>
      <diagonal/>
    </border>
    <border>
      <left style="medium">
        <color indexed="64"/>
      </left>
      <right/>
      <top style="thin">
        <color auto="1"/>
      </top>
      <bottom style="thin">
        <color auto="1"/>
      </bottom>
      <diagonal/>
    </border>
    <border>
      <left style="medium">
        <color indexed="64"/>
      </left>
      <right/>
      <top style="thin">
        <color indexed="64"/>
      </top>
      <bottom style="thin">
        <color indexed="64"/>
      </bottom>
      <diagonal/>
    </border>
    <border>
      <left style="medium">
        <color indexed="64"/>
      </left>
      <right/>
      <top style="medium">
        <color indexed="64"/>
      </top>
      <bottom style="thin">
        <color auto="1"/>
      </bottom>
      <diagonal/>
    </border>
    <border>
      <left style="medium">
        <color indexed="64"/>
      </left>
      <right/>
      <top style="thin">
        <color indexed="64"/>
      </top>
      <bottom/>
      <diagonal/>
    </border>
    <border>
      <left/>
      <right style="medium">
        <color indexed="64"/>
      </right>
      <top style="medium">
        <color indexed="64"/>
      </top>
      <bottom style="thin">
        <color indexed="8"/>
      </bottom>
      <diagonal/>
    </border>
    <border>
      <left/>
      <right style="medium">
        <color indexed="64"/>
      </right>
      <top style="thin">
        <color indexed="8"/>
      </top>
      <bottom style="thin">
        <color indexed="8"/>
      </bottom>
      <diagonal/>
    </border>
    <border>
      <left/>
      <right style="medium">
        <color indexed="64"/>
      </right>
      <top style="thin">
        <color indexed="8"/>
      </top>
      <bottom style="medium">
        <color indexed="64"/>
      </bottom>
      <diagonal/>
    </border>
    <border>
      <left/>
      <right style="medium">
        <color indexed="64"/>
      </right>
      <top style="medium">
        <color indexed="64"/>
      </top>
      <bottom style="thin">
        <color indexed="8"/>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8"/>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thin">
        <color auto="1"/>
      </top>
      <bottom style="thin">
        <color auto="1"/>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style="medium">
        <color auto="1"/>
      </right>
      <top style="thin">
        <color auto="1"/>
      </top>
      <bottom style="thin">
        <color auto="1"/>
      </bottom>
      <diagonal/>
    </border>
    <border>
      <left style="medium">
        <color indexed="64"/>
      </left>
      <right/>
      <top style="thin">
        <color auto="1"/>
      </top>
      <bottom style="thin">
        <color auto="1"/>
      </bottom>
      <diagonal/>
    </border>
    <border>
      <left style="medium">
        <color indexed="64"/>
      </left>
      <right style="medium">
        <color indexed="64"/>
      </right>
      <top style="thin">
        <color indexed="8"/>
      </top>
      <bottom/>
      <diagonal/>
    </border>
    <border>
      <left style="medium">
        <color indexed="64"/>
      </left>
      <right/>
      <top style="thin">
        <color auto="1"/>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8"/>
      </bottom>
      <diagonal/>
    </border>
    <border>
      <left style="medium">
        <color auto="1"/>
      </left>
      <right/>
      <top style="thin">
        <color auto="1"/>
      </top>
      <bottom/>
      <diagonal/>
    </border>
    <border>
      <left style="medium">
        <color auto="1"/>
      </left>
      <right/>
      <top style="thin">
        <color auto="1"/>
      </top>
      <bottom style="thin">
        <color auto="1"/>
      </bottom>
      <diagonal/>
    </border>
    <border>
      <left style="medium">
        <color auto="1"/>
      </left>
      <right style="medium">
        <color auto="1"/>
      </right>
      <top style="thin">
        <color auto="1"/>
      </top>
      <bottom/>
      <diagonal/>
    </border>
    <border>
      <left style="medium">
        <color auto="1"/>
      </left>
      <right/>
      <top style="thin">
        <color auto="1"/>
      </top>
      <bottom/>
      <diagonal/>
    </border>
    <border>
      <left style="medium">
        <color auto="1"/>
      </left>
      <right/>
      <top style="thin">
        <color auto="1"/>
      </top>
      <bottom style="thin">
        <color auto="1"/>
      </bottom>
      <diagonal/>
    </border>
    <border>
      <left style="medium">
        <color auto="1"/>
      </left>
      <right style="medium">
        <color auto="1"/>
      </right>
      <top style="thin">
        <color auto="1"/>
      </top>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8"/>
      </top>
      <bottom style="medium">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style="medium">
        <color auto="1"/>
      </left>
      <right/>
      <top style="thin">
        <color auto="1"/>
      </top>
      <bottom/>
      <diagonal/>
    </border>
    <border>
      <left style="medium">
        <color indexed="64"/>
      </left>
      <right/>
      <top style="thin">
        <color auto="1"/>
      </top>
      <bottom style="thin">
        <color auto="1"/>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auto="1"/>
      </left>
      <right/>
      <top/>
      <bottom style="medium">
        <color auto="1"/>
      </bottom>
      <diagonal/>
    </border>
    <border>
      <left style="medium">
        <color auto="1"/>
      </left>
      <right/>
      <top/>
      <bottom style="medium">
        <color auto="1"/>
      </bottom>
      <diagonal/>
    </border>
    <border>
      <left style="medium">
        <color indexed="8"/>
      </left>
      <right/>
      <top style="medium">
        <color auto="1"/>
      </top>
      <bottom/>
      <diagonal/>
    </border>
    <border>
      <left style="medium">
        <color indexed="64"/>
      </left>
      <right/>
      <top style="medium">
        <color auto="1"/>
      </top>
      <bottom/>
      <diagonal/>
    </border>
    <border>
      <left/>
      <right/>
      <top/>
      <bottom style="medium">
        <color indexed="64"/>
      </bottom>
      <diagonal/>
    </border>
    <border>
      <left/>
      <right style="medium">
        <color auto="1"/>
      </right>
      <top/>
      <bottom style="medium">
        <color auto="1"/>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right style="medium">
        <color auto="1"/>
      </right>
      <top style="thin">
        <color indexed="64"/>
      </top>
      <bottom style="thin">
        <color indexed="64"/>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auto="1"/>
      </top>
      <bottom style="thin">
        <color auto="1"/>
      </bottom>
      <diagonal/>
    </border>
    <border>
      <left/>
      <right/>
      <top style="thin">
        <color auto="1"/>
      </top>
      <bottom style="medium">
        <color indexed="64"/>
      </bottom>
      <diagonal/>
    </border>
    <border>
      <left style="medium">
        <color auto="1"/>
      </left>
      <right style="medium">
        <color auto="1"/>
      </right>
      <top style="thin">
        <color auto="1"/>
      </top>
      <bottom style="thin">
        <color auto="1"/>
      </bottom>
      <diagonal/>
    </border>
    <border>
      <left style="thin">
        <color indexed="64"/>
      </left>
      <right style="thin">
        <color indexed="64"/>
      </right>
      <top/>
      <bottom style="thin">
        <color indexed="64"/>
      </bottom>
      <diagonal/>
    </border>
    <border>
      <left style="medium">
        <color auto="1"/>
      </left>
      <right style="medium">
        <color auto="1"/>
      </right>
      <top style="thin">
        <color auto="1"/>
      </top>
      <bottom style="medium">
        <color indexed="64"/>
      </bottom>
      <diagonal/>
    </border>
    <border>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style="medium">
        <color indexed="64"/>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auto="1"/>
      </left>
      <right/>
      <top style="thin">
        <color auto="1"/>
      </top>
      <bottom style="medium">
        <color indexed="64"/>
      </bottom>
      <diagonal/>
    </border>
    <border>
      <left style="medium">
        <color auto="1"/>
      </left>
      <right style="medium">
        <color auto="1"/>
      </right>
      <top style="thin">
        <color auto="1"/>
      </top>
      <bottom/>
      <diagonal/>
    </border>
    <border>
      <left style="medium">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indexed="8"/>
      </top>
      <bottom style="medium">
        <color indexed="64"/>
      </bottom>
      <diagonal/>
    </border>
    <border>
      <left style="medium">
        <color auto="1"/>
      </left>
      <right style="medium">
        <color auto="1"/>
      </right>
      <top style="thin">
        <color auto="1"/>
      </top>
      <bottom/>
      <diagonal/>
    </border>
    <border>
      <left style="medium">
        <color indexed="64"/>
      </left>
      <right/>
      <top style="thin">
        <color auto="1"/>
      </top>
      <bottom style="thin">
        <color auto="1"/>
      </bottom>
      <diagonal/>
    </border>
    <border>
      <left style="medium">
        <color indexed="64"/>
      </left>
      <right/>
      <top style="thin">
        <color auto="1"/>
      </top>
      <bottom style="medium">
        <color indexed="64"/>
      </bottom>
      <diagonal/>
    </border>
    <border>
      <left style="medium">
        <color auto="1"/>
      </left>
      <right style="medium">
        <color auto="1"/>
      </right>
      <top style="thin">
        <color auto="1"/>
      </top>
      <bottom style="medium">
        <color indexed="64"/>
      </bottom>
      <diagonal/>
    </border>
    <border>
      <left/>
      <right/>
      <top style="medium">
        <color indexed="64"/>
      </top>
      <bottom style="thin">
        <color indexed="64"/>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auto="1"/>
      </top>
      <bottom style="thin">
        <color auto="1"/>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right/>
      <top style="thin">
        <color auto="1"/>
      </top>
      <bottom style="medium">
        <color indexed="64"/>
      </bottom>
      <diagonal/>
    </border>
    <border>
      <left style="medium">
        <color indexed="64"/>
      </left>
      <right style="medium">
        <color indexed="64"/>
      </right>
      <top style="medium">
        <color indexed="64"/>
      </top>
      <bottom style="thin">
        <color indexed="64"/>
      </bottom>
      <diagonal/>
    </border>
    <border>
      <left style="medium">
        <color auto="1"/>
      </left>
      <right style="medium">
        <color auto="1"/>
      </right>
      <top style="thin">
        <color auto="1"/>
      </top>
      <bottom style="thin">
        <color auto="1"/>
      </bottom>
      <diagonal/>
    </border>
    <border>
      <left/>
      <right style="thin">
        <color indexed="64"/>
      </right>
      <top/>
      <bottom style="thin">
        <color auto="1"/>
      </bottom>
      <diagonal/>
    </border>
    <border>
      <left/>
      <right style="thin">
        <color indexed="64"/>
      </right>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n">
        <color indexed="64"/>
      </left>
      <right/>
      <top/>
      <bottom/>
      <diagonal/>
    </border>
    <border>
      <left/>
      <right/>
      <top style="thin">
        <color indexed="64"/>
      </top>
      <bottom style="thin">
        <color indexed="64"/>
      </bottom>
      <diagonal/>
    </border>
    <border>
      <left/>
      <right/>
      <top style="thin">
        <color indexed="64"/>
      </top>
      <bottom style="medium">
        <color indexed="64"/>
      </bottom>
      <diagonal/>
    </border>
    <border>
      <left/>
      <right/>
      <top style="medium">
        <color indexed="64"/>
      </top>
      <bottom style="thin">
        <color indexed="64"/>
      </bottom>
      <diagonal/>
    </border>
    <border>
      <left style="medium">
        <color auto="1"/>
      </left>
      <right/>
      <top style="medium">
        <color indexed="8"/>
      </top>
      <bottom/>
      <diagonal/>
    </border>
    <border>
      <left style="medium">
        <color indexed="64"/>
      </left>
      <right style="medium">
        <color indexed="64"/>
      </right>
      <top style="thin">
        <color indexed="8"/>
      </top>
      <bottom/>
      <diagonal/>
    </border>
    <border>
      <left/>
      <right/>
      <top style="thin">
        <color indexed="8"/>
      </top>
      <bottom/>
      <diagonal/>
    </border>
    <border>
      <left style="medium">
        <color indexed="64"/>
      </left>
      <right/>
      <top style="thin">
        <color indexed="8"/>
      </top>
      <bottom/>
      <diagonal/>
    </border>
    <border>
      <left style="medium">
        <color indexed="64"/>
      </left>
      <right style="medium">
        <color indexed="64"/>
      </right>
      <top style="thin">
        <color indexed="64"/>
      </top>
      <bottom/>
      <diagonal/>
    </border>
    <border>
      <left/>
      <right style="medium">
        <color indexed="64"/>
      </right>
      <top style="thin">
        <color indexed="8"/>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right/>
      <top style="thin">
        <color indexed="64"/>
      </top>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auto="1"/>
      </top>
      <bottom style="thin">
        <color auto="1"/>
      </bottom>
      <diagonal/>
    </border>
    <border>
      <left style="medium">
        <color indexed="64"/>
      </left>
      <right style="medium">
        <color indexed="64"/>
      </right>
      <top style="thin">
        <color auto="1"/>
      </top>
      <bottom style="thin">
        <color auto="1"/>
      </bottom>
      <diagonal/>
    </border>
    <border>
      <left style="medium">
        <color auto="1"/>
      </left>
      <right style="medium">
        <color auto="1"/>
      </right>
      <top style="thin">
        <color auto="1"/>
      </top>
      <bottom style="medium">
        <color indexed="64"/>
      </bottom>
      <diagonal/>
    </border>
    <border>
      <left style="medium">
        <color indexed="64"/>
      </left>
      <right/>
      <top style="thin">
        <color auto="1"/>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auto="1"/>
      </left>
      <right style="medium">
        <color auto="1"/>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auto="1"/>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auto="1"/>
      </left>
      <right style="medium">
        <color auto="1"/>
      </right>
      <top/>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style="medium">
        <color indexed="64"/>
      </bottom>
      <diagonal/>
    </border>
    <border>
      <left/>
      <right/>
      <top style="thin">
        <color auto="1"/>
      </top>
      <bottom style="medium">
        <color indexed="64"/>
      </bottom>
      <diagonal/>
    </border>
    <border>
      <left style="medium">
        <color indexed="64"/>
      </left>
      <right style="medium">
        <color indexed="64"/>
      </right>
      <top style="thin">
        <color indexed="8"/>
      </top>
      <bottom style="thin">
        <color indexed="8"/>
      </bottom>
      <diagonal/>
    </border>
    <border>
      <left style="medium">
        <color auto="1"/>
      </left>
      <right/>
      <top style="thin">
        <color auto="1"/>
      </top>
      <bottom style="thin">
        <color auto="1"/>
      </bottom>
      <diagonal/>
    </border>
    <border>
      <left style="medium">
        <color indexed="64"/>
      </left>
      <right style="medium">
        <color indexed="64"/>
      </right>
      <top style="thin">
        <color indexed="8"/>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style="thin">
        <color indexed="8"/>
      </top>
      <bottom/>
      <diagonal/>
    </border>
    <border>
      <left/>
      <right/>
      <top style="thin">
        <color indexed="8"/>
      </top>
      <bottom/>
      <diagonal/>
    </border>
    <border>
      <left style="medium">
        <color indexed="64"/>
      </left>
      <right/>
      <top style="thin">
        <color indexed="8"/>
      </top>
      <bottom/>
      <diagonal/>
    </border>
    <border>
      <left/>
      <right style="medium">
        <color indexed="64"/>
      </right>
      <top style="thin">
        <color indexed="8"/>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style="medium">
        <color auto="1"/>
      </left>
      <right style="medium">
        <color indexed="8"/>
      </right>
      <top style="thin">
        <color indexed="8"/>
      </top>
      <bottom style="thin">
        <color indexed="8"/>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style="medium">
        <color indexed="64"/>
      </left>
      <right/>
      <top style="medium">
        <color auto="1"/>
      </top>
      <bottom/>
      <diagonal/>
    </border>
    <border>
      <left style="medium">
        <color auto="1"/>
      </left>
      <right style="medium">
        <color auto="1"/>
      </right>
      <top style="thin">
        <color auto="1"/>
      </top>
      <bottom style="medium">
        <color indexed="64"/>
      </bottom>
      <diagonal/>
    </border>
    <border>
      <left style="medium">
        <color auto="1"/>
      </left>
      <right/>
      <top style="thin">
        <color auto="1"/>
      </top>
      <bottom style="double">
        <color indexed="64"/>
      </bottom>
      <diagonal/>
    </border>
    <border>
      <left style="medium">
        <color indexed="64"/>
      </left>
      <right style="medium">
        <color indexed="64"/>
      </right>
      <top style="thin">
        <color indexed="8"/>
      </top>
      <bottom style="double">
        <color indexed="64"/>
      </bottom>
      <diagonal/>
    </border>
    <border>
      <left style="medium">
        <color auto="1"/>
      </left>
      <right style="medium">
        <color indexed="64"/>
      </right>
      <top style="medium">
        <color indexed="64"/>
      </top>
      <bottom style="thin">
        <color auto="1"/>
      </bottom>
      <diagonal/>
    </border>
    <border>
      <left style="medium">
        <color indexed="64"/>
      </left>
      <right/>
      <top/>
      <bottom style="thin">
        <color indexed="8"/>
      </bottom>
      <diagonal/>
    </border>
    <border>
      <left style="medium">
        <color auto="1"/>
      </left>
      <right style="medium">
        <color indexed="8"/>
      </right>
      <top style="thin">
        <color indexed="8"/>
      </top>
      <bottom style="double">
        <color indexed="64"/>
      </bottom>
      <diagonal/>
    </border>
    <border>
      <left/>
      <right/>
      <top style="thin">
        <color indexed="8"/>
      </top>
      <bottom style="double">
        <color indexed="64"/>
      </bottom>
      <diagonal/>
    </border>
    <border>
      <left style="medium">
        <color indexed="64"/>
      </left>
      <right/>
      <top style="thin">
        <color indexed="8"/>
      </top>
      <bottom style="double">
        <color indexed="64"/>
      </bottom>
      <diagonal/>
    </border>
    <border>
      <left/>
      <right style="medium">
        <color indexed="64"/>
      </right>
      <top style="thin">
        <color indexed="8"/>
      </top>
      <bottom style="double">
        <color indexed="64"/>
      </bottom>
      <diagonal/>
    </border>
    <border>
      <left/>
      <right/>
      <top style="thin">
        <color auto="1"/>
      </top>
      <bottom style="double">
        <color indexed="64"/>
      </bottom>
      <diagonal/>
    </border>
    <border>
      <left/>
      <right style="medium">
        <color indexed="64"/>
      </right>
      <top style="thin">
        <color auto="1"/>
      </top>
      <bottom/>
      <diagonal/>
    </border>
    <border>
      <left style="medium">
        <color indexed="64"/>
      </left>
      <right/>
      <top/>
      <bottom style="medium">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medium">
        <color auto="1"/>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style="medium">
        <color auto="1"/>
      </right>
      <top/>
      <bottom style="medium">
        <color auto="1"/>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auto="1"/>
      </right>
      <top style="thin">
        <color auto="1"/>
      </top>
      <bottom style="thin">
        <color auto="1"/>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auto="1"/>
      </right>
      <top style="thin">
        <color indexed="64"/>
      </top>
      <bottom style="thin">
        <color indexed="64"/>
      </bottom>
      <diagonal/>
    </border>
    <border>
      <left/>
      <right style="medium">
        <color auto="1"/>
      </right>
      <top style="thin">
        <color indexed="64"/>
      </top>
      <bottom style="thin">
        <color indexed="64"/>
      </bottom>
      <diagonal/>
    </border>
    <border>
      <left style="medium">
        <color indexed="64"/>
      </left>
      <right style="medium">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indexed="64"/>
      </top>
      <bottom style="thin">
        <color indexed="64"/>
      </bottom>
      <diagonal/>
    </border>
    <border>
      <left style="medium">
        <color indexed="64"/>
      </left>
      <right/>
      <top style="medium">
        <color auto="1"/>
      </top>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auto="1"/>
      </left>
      <right/>
      <top style="thin">
        <color auto="1"/>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thin">
        <color indexed="64"/>
      </top>
      <bottom style="thin">
        <color indexed="64"/>
      </bottom>
      <diagonal/>
    </border>
    <border>
      <left/>
      <right/>
      <top style="thin">
        <color indexed="8"/>
      </top>
      <bottom style="thin">
        <color indexed="8"/>
      </bottom>
      <diagonal/>
    </border>
    <border>
      <left/>
      <right/>
      <top style="thin">
        <color indexed="8"/>
      </top>
      <bottom style="medium">
        <color indexed="64"/>
      </bottom>
      <diagonal/>
    </border>
    <border>
      <left/>
      <right/>
      <top style="thin">
        <color indexed="8"/>
      </top>
      <bottom/>
      <diagonal/>
    </border>
    <border>
      <left/>
      <right/>
      <top style="thin">
        <color indexed="8"/>
      </top>
      <bottom style="thin">
        <color indexed="64"/>
      </bottom>
      <diagonal/>
    </border>
    <border>
      <left/>
      <right/>
      <top style="thin">
        <color indexed="8"/>
      </top>
      <bottom style="double">
        <color indexed="64"/>
      </bottom>
      <diagonal/>
    </border>
    <border>
      <left style="medium">
        <color indexed="64"/>
      </left>
      <right/>
      <top style="thin">
        <color indexed="64"/>
      </top>
      <bottom/>
      <diagonal/>
    </border>
    <border>
      <left style="medium">
        <color indexed="64"/>
      </left>
      <right/>
      <top style="medium">
        <color indexed="64"/>
      </top>
      <bottom/>
      <diagonal/>
    </border>
    <border>
      <left style="medium">
        <color indexed="64"/>
      </left>
      <right/>
      <top style="thin">
        <color indexed="8"/>
      </top>
      <bottom style="thin">
        <color indexed="8"/>
      </bottom>
      <diagonal/>
    </border>
    <border>
      <left style="medium">
        <color indexed="64"/>
      </left>
      <right/>
      <top style="thin">
        <color indexed="8"/>
      </top>
      <bottom style="medium">
        <color indexed="64"/>
      </bottom>
      <diagonal/>
    </border>
    <border>
      <left style="medium">
        <color indexed="64"/>
      </left>
      <right/>
      <top style="thin">
        <color indexed="8"/>
      </top>
      <bottom/>
      <diagonal/>
    </border>
    <border>
      <left style="medium">
        <color indexed="64"/>
      </left>
      <right/>
      <top style="thin">
        <color indexed="8"/>
      </top>
      <bottom style="thin">
        <color indexed="64"/>
      </bottom>
      <diagonal/>
    </border>
    <border>
      <left style="medium">
        <color indexed="64"/>
      </left>
      <right/>
      <top style="thin">
        <color indexed="8"/>
      </top>
      <bottom style="double">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8"/>
      </right>
      <top/>
      <bottom/>
      <diagonal/>
    </border>
    <border>
      <left style="medium">
        <color indexed="8"/>
      </left>
      <right/>
      <top/>
      <bottom/>
      <diagonal/>
    </border>
    <border>
      <left style="medium">
        <color auto="1"/>
      </left>
      <right style="medium">
        <color auto="1"/>
      </right>
      <top/>
      <bottom/>
      <diagonal/>
    </border>
    <border>
      <left/>
      <right style="medium">
        <color indexed="8"/>
      </right>
      <top style="medium">
        <color indexed="64"/>
      </top>
      <bottom style="medium">
        <color indexed="64"/>
      </bottom>
      <diagonal/>
    </border>
    <border>
      <left style="medium">
        <color indexed="8"/>
      </left>
      <right/>
      <top style="medium">
        <color indexed="64"/>
      </top>
      <bottom style="medium">
        <color indexed="64"/>
      </bottom>
      <diagonal/>
    </border>
    <border>
      <left style="medium">
        <color auto="1"/>
      </left>
      <right style="medium">
        <color auto="1"/>
      </right>
      <top style="medium">
        <color indexed="64"/>
      </top>
      <bottom style="medium">
        <color indexed="64"/>
      </bottom>
      <diagonal/>
    </border>
    <border>
      <left style="medium">
        <color auto="1"/>
      </left>
      <right/>
      <top style="medium">
        <color indexed="64"/>
      </top>
      <bottom style="medium">
        <color indexed="64"/>
      </bottom>
      <diagonal/>
    </border>
    <border>
      <left style="thin">
        <color auto="1"/>
      </left>
      <right/>
      <top style="medium">
        <color auto="1"/>
      </top>
      <bottom style="thin">
        <color auto="1"/>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medium">
        <color auto="1"/>
      </left>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auto="1"/>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thin">
        <color indexed="64"/>
      </right>
      <top style="thin">
        <color indexed="64"/>
      </top>
      <bottom style="medium">
        <color indexed="64"/>
      </bottom>
      <diagonal/>
    </border>
    <border>
      <left style="medium">
        <color auto="1"/>
      </left>
      <right/>
      <top/>
      <bottom style="medium">
        <color indexed="64"/>
      </bottom>
      <diagonal/>
    </border>
    <border>
      <left/>
      <right/>
      <top/>
      <bottom style="thin">
        <color indexed="64"/>
      </bottom>
      <diagonal/>
    </border>
    <border>
      <left/>
      <right style="thin">
        <color indexed="64"/>
      </right>
      <top/>
      <bottom style="thin">
        <color indexed="64"/>
      </bottom>
      <diagonal/>
    </border>
    <border>
      <left style="medium">
        <color auto="1"/>
      </left>
      <right/>
      <top/>
      <bottom style="medium">
        <color indexed="64"/>
      </bottom>
      <diagonal/>
    </border>
    <border>
      <left/>
      <right style="medium">
        <color auto="1"/>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auto="1"/>
      </top>
      <bottom/>
      <diagonal/>
    </border>
    <border>
      <left/>
      <right style="medium">
        <color indexed="64"/>
      </right>
      <top style="medium">
        <color indexed="64"/>
      </top>
      <bottom/>
      <diagonal/>
    </border>
    <border>
      <left/>
      <right/>
      <top style="medium">
        <color indexed="64"/>
      </top>
      <bottom/>
      <diagonal/>
    </border>
    <border>
      <left style="medium">
        <color auto="1"/>
      </left>
      <right/>
      <top style="thin">
        <color auto="1"/>
      </top>
      <bottom style="thin">
        <color auto="1"/>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auto="1"/>
      </left>
      <right/>
      <top style="thin">
        <color auto="1"/>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diagonal/>
    </border>
    <border>
      <left style="medium">
        <color indexed="64"/>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auto="1"/>
      </left>
      <right style="medium">
        <color auto="1"/>
      </right>
      <top style="thin">
        <color auto="1"/>
      </top>
      <bottom style="thin">
        <color auto="1"/>
      </bottom>
      <diagonal/>
    </border>
  </borders>
  <cellStyleXfs count="101">
    <xf numFmtId="0" fontId="0" fillId="0" borderId="0"/>
    <xf numFmtId="0" fontId="21"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Alignment="0" applyProtection="0"/>
    <xf numFmtId="0" fontId="1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Protection="0">
      <alignment horizontal="left"/>
    </xf>
    <xf numFmtId="0" fontId="10"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Alignment="0" applyProtection="0"/>
    <xf numFmtId="0" fontId="1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Protection="0">
      <alignment horizontal="left"/>
    </xf>
    <xf numFmtId="0" fontId="10"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Alignment="0" applyProtection="0"/>
    <xf numFmtId="0" fontId="1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Protection="0">
      <alignment horizontal="left"/>
    </xf>
    <xf numFmtId="0" fontId="10" fillId="0" borderId="0" applyNumberFormat="0" applyFill="0" applyBorder="0" applyProtection="0">
      <alignment horizontal="left"/>
    </xf>
    <xf numFmtId="0" fontId="21"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9" fontId="21" fillId="0" borderId="0" applyFont="0" applyFill="0" applyBorder="0" applyAlignment="0" applyProtection="0"/>
    <xf numFmtId="0" fontId="9" fillId="0" borderId="0"/>
    <xf numFmtId="9" fontId="9" fillId="0" borderId="0" applyFont="0" applyFill="0" applyBorder="0" applyAlignment="0" applyProtection="0"/>
    <xf numFmtId="0" fontId="8" fillId="0" borderId="0"/>
    <xf numFmtId="9" fontId="8" fillId="0" borderId="0" applyFont="0" applyFill="0" applyBorder="0" applyAlignment="0" applyProtection="0"/>
  </cellStyleXfs>
  <cellXfs count="3647">
    <xf numFmtId="0" fontId="0" fillId="0" borderId="0" xfId="0"/>
    <xf numFmtId="0" fontId="12" fillId="0" borderId="0" xfId="0" applyFont="1"/>
    <xf numFmtId="0" fontId="0" fillId="0" borderId="0" xfId="0" applyAlignment="1">
      <alignment horizontal="center"/>
    </xf>
    <xf numFmtId="0" fontId="10" fillId="0" borderId="1" xfId="0" applyFont="1" applyBorder="1" applyAlignment="1">
      <alignment horizontal="center"/>
    </xf>
    <xf numFmtId="0" fontId="10" fillId="0" borderId="2" xfId="0" applyFont="1" applyBorder="1" applyAlignment="1">
      <alignment horizontal="center"/>
    </xf>
    <xf numFmtId="0" fontId="10" fillId="0" borderId="3" xfId="0" applyFont="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13" fillId="0" borderId="13" xfId="0" applyFont="1"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11" xfId="0" applyBorder="1" applyAlignment="1">
      <alignment horizontal="center" vertical="center"/>
    </xf>
    <xf numFmtId="0" fontId="0" fillId="0" borderId="20" xfId="0" applyBorder="1" applyAlignment="1">
      <alignment horizontal="center"/>
    </xf>
    <xf numFmtId="164" fontId="0" fillId="0" borderId="10" xfId="0" applyNumberFormat="1" applyBorder="1" applyAlignment="1">
      <alignment horizontal="center"/>
    </xf>
    <xf numFmtId="164" fontId="0" fillId="0" borderId="14" xfId="0" applyNumberFormat="1" applyBorder="1" applyAlignment="1">
      <alignment horizontal="center"/>
    </xf>
    <xf numFmtId="0" fontId="0" fillId="0" borderId="13" xfId="0" applyBorder="1" applyAlignment="1">
      <alignment horizontal="center"/>
    </xf>
    <xf numFmtId="0" fontId="13" fillId="0" borderId="12" xfId="0" applyFont="1" applyBorder="1" applyAlignment="1">
      <alignment horizontal="center"/>
    </xf>
    <xf numFmtId="0" fontId="13" fillId="0" borderId="10" xfId="0" applyFont="1"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10" fillId="0" borderId="0" xfId="0" applyFont="1" applyAlignment="1">
      <alignment horizontal="center"/>
    </xf>
    <xf numFmtId="0" fontId="13" fillId="0" borderId="6" xfId="0" applyFont="1" applyBorder="1" applyAlignment="1">
      <alignment horizontal="center"/>
    </xf>
    <xf numFmtId="0" fontId="13" fillId="0" borderId="15" xfId="0" applyFont="1" applyBorder="1" applyAlignment="1">
      <alignment horizontal="center"/>
    </xf>
    <xf numFmtId="0" fontId="13" fillId="0" borderId="20" xfId="0" applyFont="1" applyBorder="1" applyAlignment="1">
      <alignment horizontal="center"/>
    </xf>
    <xf numFmtId="0" fontId="13" fillId="0" borderId="14" xfId="0" applyFont="1" applyBorder="1" applyAlignment="1">
      <alignment horizontal="center"/>
    </xf>
    <xf numFmtId="0" fontId="16" fillId="0" borderId="0" xfId="0" applyFont="1" applyAlignment="1" applyProtection="1">
      <alignment horizontal="center"/>
      <protection locked="0"/>
    </xf>
    <xf numFmtId="0" fontId="0" fillId="0" borderId="0" xfId="0" applyAlignment="1" applyProtection="1">
      <alignment horizontal="center"/>
      <protection locked="0"/>
    </xf>
    <xf numFmtId="2" fontId="0" fillId="0" borderId="0" xfId="0" applyNumberFormat="1" applyAlignment="1" applyProtection="1">
      <alignment horizontal="center"/>
      <protection locked="0"/>
    </xf>
    <xf numFmtId="21" fontId="0" fillId="0" borderId="0" xfId="0" applyNumberFormat="1" applyAlignment="1">
      <alignment horizontal="center"/>
    </xf>
    <xf numFmtId="2" fontId="10" fillId="0" borderId="0" xfId="0" applyNumberFormat="1" applyFont="1" applyAlignment="1">
      <alignment horizontal="center"/>
    </xf>
    <xf numFmtId="45" fontId="0" fillId="0" borderId="0" xfId="0" applyNumberFormat="1" applyAlignment="1">
      <alignment horizontal="center"/>
    </xf>
    <xf numFmtId="165" fontId="0" fillId="0" borderId="0" xfId="0" applyNumberFormat="1" applyAlignment="1">
      <alignment horizontal="center"/>
    </xf>
    <xf numFmtId="21" fontId="0" fillId="0" borderId="0" xfId="0" applyNumberFormat="1"/>
    <xf numFmtId="165" fontId="0" fillId="0" borderId="0" xfId="0" applyNumberFormat="1"/>
    <xf numFmtId="165" fontId="10" fillId="0" borderId="3" xfId="0" applyNumberFormat="1" applyFont="1" applyBorder="1" applyAlignment="1">
      <alignment horizontal="center"/>
    </xf>
    <xf numFmtId="21" fontId="10" fillId="0" borderId="3" xfId="0" applyNumberFormat="1" applyFont="1" applyBorder="1" applyAlignment="1">
      <alignment horizontal="center"/>
    </xf>
    <xf numFmtId="165" fontId="0" fillId="0" borderId="5" xfId="0" applyNumberFormat="1" applyBorder="1" applyAlignment="1">
      <alignment horizontal="center"/>
    </xf>
    <xf numFmtId="21" fontId="0" fillId="0" borderId="7" xfId="0" applyNumberFormat="1" applyBorder="1" applyAlignment="1">
      <alignment horizontal="center"/>
    </xf>
    <xf numFmtId="165" fontId="0" fillId="0" borderId="10" xfId="0" applyNumberFormat="1" applyBorder="1" applyAlignment="1">
      <alignment horizontal="center"/>
    </xf>
    <xf numFmtId="21" fontId="0" fillId="0" borderId="12" xfId="0" applyNumberFormat="1" applyBorder="1" applyAlignment="1">
      <alignment horizontal="center"/>
    </xf>
    <xf numFmtId="165" fontId="0" fillId="0" borderId="14" xfId="0" applyNumberFormat="1" applyBorder="1" applyAlignment="1">
      <alignment horizontal="center"/>
    </xf>
    <xf numFmtId="0" fontId="13" fillId="0" borderId="15" xfId="0" applyFont="1" applyBorder="1" applyAlignment="1">
      <alignment horizontal="center" vertical="center"/>
    </xf>
    <xf numFmtId="21" fontId="0" fillId="0" borderId="16" xfId="0" applyNumberFormat="1" applyBorder="1" applyAlignment="1">
      <alignment horizontal="center"/>
    </xf>
    <xf numFmtId="0" fontId="0" fillId="0" borderId="0" xfId="0" applyAlignment="1">
      <alignment horizontal="center" vertical="center"/>
    </xf>
    <xf numFmtId="0" fontId="0" fillId="0" borderId="27" xfId="0" applyBorder="1" applyAlignment="1">
      <alignment horizontal="center"/>
    </xf>
    <xf numFmtId="0" fontId="0" fillId="0" borderId="2" xfId="0" applyBorder="1" applyAlignment="1">
      <alignment horizontal="center"/>
    </xf>
    <xf numFmtId="166" fontId="0" fillId="0" borderId="0" xfId="0" applyNumberFormat="1"/>
    <xf numFmtId="2" fontId="0" fillId="0" borderId="0" xfId="0" applyNumberFormat="1"/>
    <xf numFmtId="45" fontId="0" fillId="0" borderId="0" xfId="0" applyNumberFormat="1"/>
    <xf numFmtId="166" fontId="0" fillId="0" borderId="0" xfId="0" applyNumberFormat="1" applyAlignment="1">
      <alignment horizontal="center"/>
    </xf>
    <xf numFmtId="2" fontId="0" fillId="0" borderId="0" xfId="0" applyNumberFormat="1" applyAlignment="1">
      <alignment horizontal="center"/>
    </xf>
    <xf numFmtId="166" fontId="10" fillId="0" borderId="2" xfId="0" applyNumberFormat="1" applyFont="1" applyBorder="1" applyAlignment="1">
      <alignment horizontal="center"/>
    </xf>
    <xf numFmtId="165" fontId="10" fillId="0" borderId="1" xfId="0" applyNumberFormat="1" applyFont="1" applyBorder="1" applyAlignment="1">
      <alignment horizontal="center"/>
    </xf>
    <xf numFmtId="2" fontId="10" fillId="0" borderId="1" xfId="0" applyNumberFormat="1" applyFont="1" applyBorder="1" applyAlignment="1">
      <alignment horizontal="center"/>
    </xf>
    <xf numFmtId="45" fontId="10" fillId="0" borderId="1" xfId="0" applyNumberFormat="1" applyFont="1" applyBorder="1" applyAlignment="1">
      <alignment horizontal="center"/>
    </xf>
    <xf numFmtId="0" fontId="0" fillId="0" borderId="1" xfId="0" applyBorder="1" applyAlignment="1">
      <alignment horizontal="center"/>
    </xf>
    <xf numFmtId="166" fontId="0" fillId="0" borderId="1" xfId="0" applyNumberFormat="1" applyBorder="1" applyAlignment="1">
      <alignment horizontal="center"/>
    </xf>
    <xf numFmtId="2" fontId="0" fillId="0" borderId="1" xfId="0" applyNumberFormat="1" applyBorder="1" applyAlignment="1">
      <alignment horizontal="center"/>
    </xf>
    <xf numFmtId="45" fontId="0" fillId="0" borderId="1" xfId="0" applyNumberFormat="1" applyBorder="1" applyAlignment="1">
      <alignment horizontal="center"/>
    </xf>
    <xf numFmtId="166" fontId="0" fillId="0" borderId="2" xfId="0" applyNumberFormat="1" applyBorder="1" applyAlignment="1">
      <alignment horizontal="center"/>
    </xf>
    <xf numFmtId="167" fontId="0" fillId="0" borderId="1" xfId="0" applyNumberFormat="1" applyBorder="1" applyAlignment="1">
      <alignment horizontal="center"/>
    </xf>
    <xf numFmtId="21" fontId="0" fillId="0" borderId="28" xfId="0" applyNumberFormat="1" applyBorder="1" applyAlignment="1">
      <alignment horizontal="center"/>
    </xf>
    <xf numFmtId="0" fontId="0" fillId="0" borderId="3" xfId="0" applyBorder="1" applyAlignment="1">
      <alignment horizontal="center"/>
    </xf>
    <xf numFmtId="166" fontId="0" fillId="0" borderId="4" xfId="0" applyNumberFormat="1" applyBorder="1" applyAlignment="1">
      <alignment horizontal="center"/>
    </xf>
    <xf numFmtId="167" fontId="0" fillId="0" borderId="6" xfId="0" applyNumberFormat="1" applyBorder="1" applyAlignment="1">
      <alignment horizontal="center"/>
    </xf>
    <xf numFmtId="2" fontId="0" fillId="0" borderId="5" xfId="0" applyNumberFormat="1" applyBorder="1" applyAlignment="1">
      <alignment horizontal="center"/>
    </xf>
    <xf numFmtId="45" fontId="0" fillId="0" borderId="5" xfId="0" applyNumberFormat="1" applyBorder="1" applyAlignment="1">
      <alignment horizontal="center"/>
    </xf>
    <xf numFmtId="167" fontId="0" fillId="0" borderId="29" xfId="0" applyNumberFormat="1" applyBorder="1" applyAlignment="1">
      <alignment horizontal="center"/>
    </xf>
    <xf numFmtId="2" fontId="0" fillId="0" borderId="10" xfId="0" applyNumberFormat="1" applyBorder="1" applyAlignment="1">
      <alignment horizontal="center"/>
    </xf>
    <xf numFmtId="45" fontId="0" fillId="0" borderId="10" xfId="0" applyNumberFormat="1" applyBorder="1" applyAlignment="1">
      <alignment horizontal="center"/>
    </xf>
    <xf numFmtId="166" fontId="0" fillId="0" borderId="14" xfId="0" applyNumberFormat="1" applyBorder="1" applyAlignment="1">
      <alignment horizontal="center"/>
    </xf>
    <xf numFmtId="2" fontId="0" fillId="0" borderId="14" xfId="0" applyNumberFormat="1" applyBorder="1" applyAlignment="1">
      <alignment horizontal="center"/>
    </xf>
    <xf numFmtId="45" fontId="0" fillId="0" borderId="14" xfId="0" applyNumberFormat="1" applyBorder="1" applyAlignment="1">
      <alignment horizontal="center"/>
    </xf>
    <xf numFmtId="0" fontId="0" fillId="0" borderId="15" xfId="0" applyBorder="1" applyAlignment="1">
      <alignment horizontal="center" vertical="center"/>
    </xf>
    <xf numFmtId="0" fontId="13" fillId="0" borderId="2" xfId="0" applyFont="1" applyBorder="1" applyAlignment="1">
      <alignment horizontal="center"/>
    </xf>
    <xf numFmtId="167" fontId="0" fillId="0" borderId="30" xfId="0" applyNumberFormat="1" applyBorder="1" applyAlignment="1">
      <alignment horizontal="center"/>
    </xf>
    <xf numFmtId="0" fontId="0" fillId="0" borderId="31" xfId="0" applyBorder="1" applyAlignment="1">
      <alignment horizontal="center"/>
    </xf>
    <xf numFmtId="45" fontId="0" fillId="0" borderId="15" xfId="0" applyNumberFormat="1" applyBorder="1" applyAlignment="1">
      <alignment horizontal="center"/>
    </xf>
    <xf numFmtId="0" fontId="0" fillId="0" borderId="32" xfId="0" applyBorder="1" applyAlignment="1">
      <alignment horizontal="center"/>
    </xf>
    <xf numFmtId="0" fontId="0" fillId="0" borderId="33" xfId="0" applyBorder="1" applyAlignment="1">
      <alignment horizontal="center"/>
    </xf>
    <xf numFmtId="9" fontId="0" fillId="0" borderId="34" xfId="0" applyNumberFormat="1" applyBorder="1" applyAlignment="1">
      <alignment horizontal="center"/>
    </xf>
    <xf numFmtId="0" fontId="0" fillId="0" borderId="35" xfId="0" applyBorder="1" applyAlignment="1">
      <alignment horizontal="center"/>
    </xf>
    <xf numFmtId="9" fontId="0" fillId="0" borderId="36" xfId="0" applyNumberFormat="1" applyBorder="1" applyAlignment="1">
      <alignment horizontal="center"/>
    </xf>
    <xf numFmtId="1" fontId="0" fillId="0" borderId="37" xfId="0" applyNumberFormat="1" applyBorder="1" applyAlignment="1">
      <alignment horizontal="center"/>
    </xf>
    <xf numFmtId="1" fontId="0" fillId="0" borderId="35" xfId="0" applyNumberFormat="1" applyBorder="1" applyAlignment="1">
      <alignment horizontal="center"/>
    </xf>
    <xf numFmtId="1" fontId="0" fillId="0" borderId="36" xfId="0" applyNumberFormat="1" applyBorder="1" applyAlignment="1">
      <alignment horizontal="center"/>
    </xf>
    <xf numFmtId="45" fontId="0" fillId="0" borderId="38" xfId="0" applyNumberFormat="1" applyBorder="1" applyAlignment="1">
      <alignment horizontal="center"/>
    </xf>
    <xf numFmtId="0" fontId="0" fillId="0" borderId="39" xfId="0" applyBorder="1" applyAlignment="1">
      <alignment horizontal="center"/>
    </xf>
    <xf numFmtId="9" fontId="0" fillId="0" borderId="40" xfId="0" applyNumberFormat="1" applyBorder="1" applyAlignment="1">
      <alignment horizontal="center"/>
    </xf>
    <xf numFmtId="0" fontId="0" fillId="0" borderId="41" xfId="0" applyBorder="1" applyAlignment="1">
      <alignment horizontal="center"/>
    </xf>
    <xf numFmtId="9" fontId="0" fillId="0" borderId="42" xfId="0" applyNumberFormat="1" applyBorder="1" applyAlignment="1">
      <alignment horizontal="center"/>
    </xf>
    <xf numFmtId="1" fontId="0" fillId="0" borderId="43" xfId="0" applyNumberFormat="1" applyBorder="1" applyAlignment="1">
      <alignment horizontal="center"/>
    </xf>
    <xf numFmtId="1" fontId="0" fillId="0" borderId="41" xfId="0" applyNumberFormat="1" applyBorder="1" applyAlignment="1">
      <alignment horizontal="center"/>
    </xf>
    <xf numFmtId="1" fontId="0" fillId="0" borderId="42" xfId="0" applyNumberFormat="1" applyBorder="1" applyAlignment="1">
      <alignment horizontal="center"/>
    </xf>
    <xf numFmtId="45" fontId="0" fillId="0" borderId="30" xfId="0" applyNumberFormat="1" applyBorder="1" applyAlignment="1">
      <alignment horizontal="center"/>
    </xf>
    <xf numFmtId="0" fontId="0" fillId="2" borderId="11" xfId="0" applyFill="1" applyBorder="1" applyAlignment="1">
      <alignment horizontal="center"/>
    </xf>
    <xf numFmtId="21" fontId="0" fillId="2" borderId="12" xfId="0" applyNumberFormat="1" applyFill="1" applyBorder="1" applyAlignment="1">
      <alignment horizontal="center"/>
    </xf>
    <xf numFmtId="0" fontId="0" fillId="2" borderId="0" xfId="0" applyFill="1" applyAlignment="1">
      <alignment horizontal="center"/>
    </xf>
    <xf numFmtId="2" fontId="0" fillId="2" borderId="10" xfId="0" applyNumberFormat="1" applyFill="1" applyBorder="1" applyAlignment="1">
      <alignment horizontal="center"/>
    </xf>
    <xf numFmtId="45" fontId="0" fillId="2" borderId="10" xfId="0" applyNumberFormat="1" applyFill="1" applyBorder="1" applyAlignment="1">
      <alignment horizontal="center"/>
    </xf>
    <xf numFmtId="0" fontId="0" fillId="2" borderId="10" xfId="0" applyFill="1" applyBorder="1" applyAlignment="1">
      <alignment horizontal="center"/>
    </xf>
    <xf numFmtId="0" fontId="0" fillId="2" borderId="15" xfId="0" applyFill="1" applyBorder="1" applyAlignment="1">
      <alignment horizontal="center"/>
    </xf>
    <xf numFmtId="2" fontId="0" fillId="2" borderId="14" xfId="0" applyNumberFormat="1" applyFill="1" applyBorder="1" applyAlignment="1">
      <alignment horizontal="center"/>
    </xf>
    <xf numFmtId="45" fontId="0" fillId="2" borderId="14" xfId="0" applyNumberFormat="1" applyFill="1" applyBorder="1" applyAlignment="1">
      <alignment horizontal="center"/>
    </xf>
    <xf numFmtId="0" fontId="0" fillId="2" borderId="6" xfId="0" applyFill="1" applyBorder="1" applyAlignment="1">
      <alignment horizontal="center"/>
    </xf>
    <xf numFmtId="21" fontId="0" fillId="2" borderId="7" xfId="0" applyNumberFormat="1" applyFill="1" applyBorder="1" applyAlignment="1">
      <alignment horizontal="center"/>
    </xf>
    <xf numFmtId="0" fontId="0" fillId="2" borderId="5" xfId="0" applyFill="1" applyBorder="1" applyAlignment="1">
      <alignment horizontal="center"/>
    </xf>
    <xf numFmtId="2" fontId="0" fillId="2" borderId="5" xfId="0" applyNumberFormat="1" applyFill="1" applyBorder="1" applyAlignment="1">
      <alignment horizontal="center"/>
    </xf>
    <xf numFmtId="45" fontId="0" fillId="2" borderId="5" xfId="0" applyNumberFormat="1" applyFill="1" applyBorder="1" applyAlignment="1">
      <alignment horizontal="center"/>
    </xf>
    <xf numFmtId="0" fontId="17" fillId="0" borderId="15" xfId="0" applyFont="1" applyBorder="1" applyAlignment="1">
      <alignment horizontal="center" vertical="center"/>
    </xf>
    <xf numFmtId="21" fontId="17" fillId="0" borderId="12" xfId="0" applyNumberFormat="1" applyFont="1" applyBorder="1" applyAlignment="1">
      <alignment horizontal="center"/>
    </xf>
    <xf numFmtId="0" fontId="17" fillId="0" borderId="0" xfId="0" applyFont="1" applyAlignment="1">
      <alignment horizontal="center"/>
    </xf>
    <xf numFmtId="2" fontId="17" fillId="0" borderId="14" xfId="0" applyNumberFormat="1" applyFont="1" applyBorder="1" applyAlignment="1">
      <alignment horizontal="center"/>
    </xf>
    <xf numFmtId="45" fontId="17" fillId="0" borderId="10" xfId="0" applyNumberFormat="1" applyFont="1" applyBorder="1" applyAlignment="1">
      <alignment horizontal="center"/>
    </xf>
    <xf numFmtId="45" fontId="17" fillId="0" borderId="14" xfId="0" applyNumberFormat="1" applyFont="1" applyBorder="1" applyAlignment="1">
      <alignment horizontal="center"/>
    </xf>
    <xf numFmtId="0" fontId="0" fillId="3" borderId="0" xfId="0" applyFill="1"/>
    <xf numFmtId="0" fontId="0" fillId="4" borderId="0" xfId="0" applyFill="1"/>
    <xf numFmtId="0" fontId="12" fillId="0" borderId="15" xfId="0" applyFont="1" applyBorder="1" applyAlignment="1">
      <alignment horizontal="center" vertical="center"/>
    </xf>
    <xf numFmtId="21" fontId="12" fillId="0" borderId="16" xfId="0" applyNumberFormat="1" applyFont="1" applyBorder="1" applyAlignment="1">
      <alignment horizontal="center"/>
    </xf>
    <xf numFmtId="0" fontId="12" fillId="0" borderId="0" xfId="0" applyFont="1" applyAlignment="1">
      <alignment horizontal="center"/>
    </xf>
    <xf numFmtId="2" fontId="12" fillId="0" borderId="14" xfId="0" applyNumberFormat="1" applyFont="1" applyBorder="1" applyAlignment="1">
      <alignment horizontal="center"/>
    </xf>
    <xf numFmtId="45" fontId="12" fillId="0" borderId="14" xfId="0" applyNumberFormat="1" applyFont="1" applyBorder="1" applyAlignment="1">
      <alignment horizontal="center"/>
    </xf>
    <xf numFmtId="167" fontId="0" fillId="0" borderId="44" xfId="0" applyNumberFormat="1" applyBorder="1" applyAlignment="1">
      <alignment horizontal="center"/>
    </xf>
    <xf numFmtId="167" fontId="0" fillId="0" borderId="38" xfId="0" applyNumberFormat="1" applyBorder="1" applyAlignment="1">
      <alignment horizontal="center"/>
    </xf>
    <xf numFmtId="0" fontId="18" fillId="0" borderId="0" xfId="0" applyFont="1"/>
    <xf numFmtId="0" fontId="10" fillId="0" borderId="0" xfId="0" applyFont="1"/>
    <xf numFmtId="0" fontId="12" fillId="0" borderId="11" xfId="0" applyFont="1" applyBorder="1" applyAlignment="1">
      <alignment horizontal="center"/>
    </xf>
    <xf numFmtId="21" fontId="12" fillId="0" borderId="12" xfId="0" applyNumberFormat="1" applyFont="1" applyBorder="1" applyAlignment="1">
      <alignment horizontal="center"/>
    </xf>
    <xf numFmtId="0" fontId="12" fillId="0" borderId="10" xfId="0" applyFont="1" applyBorder="1" applyAlignment="1">
      <alignment horizontal="center"/>
    </xf>
    <xf numFmtId="2" fontId="12" fillId="0" borderId="10" xfId="0" applyNumberFormat="1" applyFont="1" applyBorder="1" applyAlignment="1">
      <alignment horizontal="center"/>
    </xf>
    <xf numFmtId="45" fontId="12" fillId="0" borderId="10" xfId="0" applyNumberFormat="1" applyFont="1" applyBorder="1" applyAlignment="1">
      <alignment horizontal="center"/>
    </xf>
    <xf numFmtId="45" fontId="19" fillId="0" borderId="10" xfId="0" applyNumberFormat="1" applyFont="1" applyBorder="1" applyAlignment="1">
      <alignment horizontal="center"/>
    </xf>
    <xf numFmtId="0" fontId="0" fillId="0" borderId="0" xfId="0" applyAlignment="1">
      <alignment vertical="center"/>
    </xf>
    <xf numFmtId="0" fontId="13" fillId="0" borderId="11" xfId="0" applyFont="1" applyBorder="1" applyAlignment="1">
      <alignment horizontal="center"/>
    </xf>
    <xf numFmtId="21" fontId="13" fillId="0" borderId="12" xfId="0" applyNumberFormat="1" applyFont="1" applyBorder="1" applyAlignment="1">
      <alignment horizontal="center"/>
    </xf>
    <xf numFmtId="2" fontId="13" fillId="0" borderId="10" xfId="0" applyNumberFormat="1" applyFont="1" applyBorder="1" applyAlignment="1">
      <alignment horizontal="center"/>
    </xf>
    <xf numFmtId="45" fontId="13" fillId="0" borderId="10" xfId="0" applyNumberFormat="1" applyFont="1" applyBorder="1" applyAlignment="1">
      <alignment horizontal="center"/>
    </xf>
    <xf numFmtId="0" fontId="19" fillId="0" borderId="11" xfId="0" applyFont="1" applyBorder="1" applyAlignment="1">
      <alignment horizontal="center"/>
    </xf>
    <xf numFmtId="21" fontId="19" fillId="0" borderId="12" xfId="0" applyNumberFormat="1" applyFont="1" applyBorder="1" applyAlignment="1">
      <alignment horizontal="center"/>
    </xf>
    <xf numFmtId="0" fontId="19" fillId="0" borderId="10" xfId="0" applyFont="1" applyBorder="1" applyAlignment="1">
      <alignment horizontal="center"/>
    </xf>
    <xf numFmtId="2" fontId="19" fillId="0" borderId="10" xfId="0" applyNumberFormat="1" applyFont="1" applyBorder="1" applyAlignment="1">
      <alignment horizontal="center"/>
    </xf>
    <xf numFmtId="0" fontId="10" fillId="0" borderId="0" xfId="0" applyFont="1" applyAlignment="1">
      <alignment horizontal="center" vertical="center"/>
    </xf>
    <xf numFmtId="0" fontId="19" fillId="0" borderId="0" xfId="0" applyFont="1" applyAlignment="1">
      <alignment horizontal="center"/>
    </xf>
    <xf numFmtId="168" fontId="0" fillId="0" borderId="0" xfId="0" applyNumberFormat="1"/>
    <xf numFmtId="2" fontId="13" fillId="0" borderId="2" xfId="0" applyNumberFormat="1" applyFont="1" applyBorder="1" applyAlignment="1">
      <alignment horizontal="center"/>
    </xf>
    <xf numFmtId="0" fontId="20" fillId="0" borderId="11" xfId="0" applyFont="1" applyBorder="1" applyAlignment="1">
      <alignment horizontal="center"/>
    </xf>
    <xf numFmtId="21" fontId="20" fillId="0" borderId="12" xfId="0" applyNumberFormat="1" applyFont="1" applyBorder="1" applyAlignment="1">
      <alignment horizontal="center"/>
    </xf>
    <xf numFmtId="2" fontId="20" fillId="0" borderId="10" xfId="0" applyNumberFormat="1" applyFont="1" applyBorder="1" applyAlignment="1">
      <alignment horizontal="center"/>
    </xf>
    <xf numFmtId="45" fontId="20" fillId="0" borderId="10" xfId="0" applyNumberFormat="1" applyFont="1" applyBorder="1" applyAlignment="1">
      <alignment horizontal="center"/>
    </xf>
    <xf numFmtId="2" fontId="13" fillId="0" borderId="13" xfId="0" applyNumberFormat="1" applyFont="1" applyBorder="1" applyAlignment="1">
      <alignment horizontal="center"/>
    </xf>
    <xf numFmtId="0" fontId="22" fillId="0" borderId="11" xfId="0" applyFont="1" applyBorder="1" applyAlignment="1">
      <alignment horizontal="center"/>
    </xf>
    <xf numFmtId="21" fontId="22" fillId="0" borderId="12" xfId="0" applyNumberFormat="1" applyFont="1" applyBorder="1" applyAlignment="1">
      <alignment horizontal="center"/>
    </xf>
    <xf numFmtId="2" fontId="22" fillId="0" borderId="10" xfId="0" applyNumberFormat="1" applyFont="1" applyBorder="1" applyAlignment="1">
      <alignment horizontal="center"/>
    </xf>
    <xf numFmtId="0" fontId="13" fillId="0" borderId="47" xfId="0" applyFont="1" applyBorder="1" applyAlignment="1">
      <alignment horizontal="center"/>
    </xf>
    <xf numFmtId="0" fontId="13" fillId="0" borderId="1" xfId="0" applyFont="1" applyBorder="1" applyAlignment="1">
      <alignment horizontal="center"/>
    </xf>
    <xf numFmtId="167" fontId="0" fillId="0" borderId="48" xfId="0" applyNumberFormat="1" applyBorder="1" applyAlignment="1">
      <alignment horizontal="center"/>
    </xf>
    <xf numFmtId="0" fontId="22" fillId="0" borderId="22" xfId="0" applyFont="1" applyBorder="1" applyAlignment="1">
      <alignment horizontal="center"/>
    </xf>
    <xf numFmtId="21" fontId="22" fillId="0" borderId="23" xfId="0" applyNumberFormat="1" applyFont="1" applyBorder="1" applyAlignment="1">
      <alignment horizontal="center"/>
    </xf>
    <xf numFmtId="2" fontId="22" fillId="0" borderId="21" xfId="0" applyNumberFormat="1" applyFont="1" applyBorder="1" applyAlignment="1">
      <alignment horizontal="center"/>
    </xf>
    <xf numFmtId="45" fontId="0" fillId="0" borderId="21" xfId="0" applyNumberFormat="1" applyBorder="1" applyAlignment="1">
      <alignment horizontal="center"/>
    </xf>
    <xf numFmtId="167" fontId="0" fillId="0" borderId="49" xfId="0" applyNumberFormat="1" applyBorder="1" applyAlignment="1">
      <alignment horizontal="center"/>
    </xf>
    <xf numFmtId="0" fontId="0" fillId="0" borderId="50" xfId="0" applyBorder="1" applyAlignment="1">
      <alignment horizontal="center"/>
    </xf>
    <xf numFmtId="21" fontId="0" fillId="0" borderId="51" xfId="0" applyNumberFormat="1" applyBorder="1" applyAlignment="1">
      <alignment horizontal="center"/>
    </xf>
    <xf numFmtId="2" fontId="0" fillId="0" borderId="52" xfId="0" applyNumberFormat="1" applyBorder="1" applyAlignment="1">
      <alignment horizontal="center"/>
    </xf>
    <xf numFmtId="45" fontId="0" fillId="0" borderId="52" xfId="0" applyNumberFormat="1" applyBorder="1" applyAlignment="1">
      <alignment horizontal="center"/>
    </xf>
    <xf numFmtId="167" fontId="0" fillId="0" borderId="53" xfId="0" applyNumberFormat="1" applyBorder="1" applyAlignment="1">
      <alignment horizontal="center"/>
    </xf>
    <xf numFmtId="167" fontId="0" fillId="0" borderId="54" xfId="0" applyNumberFormat="1" applyBorder="1" applyAlignment="1">
      <alignment horizontal="center"/>
    </xf>
    <xf numFmtId="0" fontId="22" fillId="0" borderId="55" xfId="0" applyFont="1" applyBorder="1" applyAlignment="1">
      <alignment horizontal="center"/>
    </xf>
    <xf numFmtId="21" fontId="22" fillId="0" borderId="56" xfId="0" applyNumberFormat="1" applyFont="1" applyBorder="1" applyAlignment="1">
      <alignment horizontal="center"/>
    </xf>
    <xf numFmtId="2" fontId="22" fillId="0" borderId="57" xfId="0" applyNumberFormat="1" applyFont="1" applyBorder="1" applyAlignment="1">
      <alignment horizontal="center"/>
    </xf>
    <xf numFmtId="45" fontId="0" fillId="0" borderId="57" xfId="0" applyNumberFormat="1" applyBorder="1" applyAlignment="1">
      <alignment horizontal="center"/>
    </xf>
    <xf numFmtId="0" fontId="25" fillId="0" borderId="11" xfId="0" applyFont="1" applyBorder="1" applyAlignment="1">
      <alignment horizontal="center"/>
    </xf>
    <xf numFmtId="21" fontId="25" fillId="0" borderId="12" xfId="0" applyNumberFormat="1" applyFont="1" applyBorder="1" applyAlignment="1">
      <alignment horizontal="center"/>
    </xf>
    <xf numFmtId="2" fontId="25" fillId="0" borderId="10" xfId="0" applyNumberFormat="1" applyFont="1" applyBorder="1" applyAlignment="1">
      <alignment horizontal="center"/>
    </xf>
    <xf numFmtId="0" fontId="25" fillId="0" borderId="6" xfId="0" applyFont="1" applyBorder="1" applyAlignment="1">
      <alignment horizontal="center"/>
    </xf>
    <xf numFmtId="21" fontId="25" fillId="0" borderId="7" xfId="0" applyNumberFormat="1" applyFont="1" applyBorder="1" applyAlignment="1">
      <alignment horizontal="center"/>
    </xf>
    <xf numFmtId="2" fontId="25" fillId="0" borderId="5" xfId="0" applyNumberFormat="1" applyFont="1" applyBorder="1" applyAlignment="1">
      <alignment horizontal="center"/>
    </xf>
    <xf numFmtId="45" fontId="22" fillId="0" borderId="10" xfId="0" applyNumberFormat="1" applyFont="1" applyBorder="1" applyAlignment="1">
      <alignment horizontal="center"/>
    </xf>
    <xf numFmtId="0" fontId="10" fillId="0" borderId="26" xfId="0" applyFont="1" applyBorder="1" applyAlignment="1">
      <alignment horizontal="center"/>
    </xf>
    <xf numFmtId="45" fontId="0" fillId="0" borderId="58" xfId="0" applyNumberFormat="1" applyBorder="1" applyAlignment="1">
      <alignment horizontal="center"/>
    </xf>
    <xf numFmtId="45" fontId="0" fillId="0" borderId="59" xfId="0" applyNumberFormat="1" applyBorder="1" applyAlignment="1">
      <alignment horizontal="center"/>
    </xf>
    <xf numFmtId="0" fontId="0" fillId="0" borderId="60" xfId="0" applyBorder="1" applyAlignment="1">
      <alignment horizontal="center"/>
    </xf>
    <xf numFmtId="0" fontId="0" fillId="0" borderId="61" xfId="0" applyBorder="1" applyAlignment="1">
      <alignment horizontal="center"/>
    </xf>
    <xf numFmtId="0" fontId="0" fillId="0" borderId="55" xfId="0" applyBorder="1" applyAlignment="1">
      <alignment horizontal="center"/>
    </xf>
    <xf numFmtId="21" fontId="0" fillId="0" borderId="56" xfId="0" applyNumberFormat="1" applyBorder="1" applyAlignment="1">
      <alignment horizontal="center"/>
    </xf>
    <xf numFmtId="2" fontId="0" fillId="0" borderId="57" xfId="0" applyNumberFormat="1" applyBorder="1" applyAlignment="1">
      <alignment horizontal="center"/>
    </xf>
    <xf numFmtId="45" fontId="0" fillId="0" borderId="62" xfId="0" applyNumberFormat="1" applyBorder="1" applyAlignment="1">
      <alignment horizontal="center"/>
    </xf>
    <xf numFmtId="0" fontId="10" fillId="0" borderId="47" xfId="0" applyFont="1" applyBorder="1" applyAlignment="1">
      <alignment horizontal="center"/>
    </xf>
    <xf numFmtId="167" fontId="0" fillId="0" borderId="63" xfId="0" applyNumberFormat="1" applyBorder="1" applyAlignment="1">
      <alignment horizontal="center"/>
    </xf>
    <xf numFmtId="167" fontId="0" fillId="0" borderId="64" xfId="0" applyNumberFormat="1" applyBorder="1" applyAlignment="1">
      <alignment horizontal="center"/>
    </xf>
    <xf numFmtId="167" fontId="0" fillId="0" borderId="65" xfId="0" applyNumberFormat="1" applyBorder="1" applyAlignment="1">
      <alignment horizontal="center"/>
    </xf>
    <xf numFmtId="0" fontId="0" fillId="0" borderId="66" xfId="0" applyBorder="1" applyAlignment="1">
      <alignment horizontal="center"/>
    </xf>
    <xf numFmtId="0" fontId="0" fillId="0" borderId="67" xfId="0" applyBorder="1" applyAlignment="1">
      <alignment horizontal="center"/>
    </xf>
    <xf numFmtId="0" fontId="0" fillId="0" borderId="68" xfId="0" applyBorder="1" applyAlignment="1">
      <alignment horizontal="center"/>
    </xf>
    <xf numFmtId="0" fontId="10" fillId="0" borderId="69" xfId="0" applyFont="1" applyBorder="1" applyAlignment="1">
      <alignment horizontal="center"/>
    </xf>
    <xf numFmtId="0" fontId="0" fillId="0" borderId="70" xfId="0" applyBorder="1" applyAlignment="1">
      <alignment horizontal="center"/>
    </xf>
    <xf numFmtId="0" fontId="13" fillId="0" borderId="71" xfId="0" applyFont="1" applyBorder="1" applyAlignment="1">
      <alignment horizontal="center"/>
    </xf>
    <xf numFmtId="2" fontId="13" fillId="0" borderId="47" xfId="0" applyNumberFormat="1" applyFont="1" applyBorder="1" applyAlignment="1">
      <alignment horizontal="center"/>
    </xf>
    <xf numFmtId="165" fontId="10" fillId="0" borderId="72" xfId="0" applyNumberFormat="1" applyFont="1" applyBorder="1" applyAlignment="1">
      <alignment horizontal="center"/>
    </xf>
    <xf numFmtId="0" fontId="10" fillId="0" borderId="73" xfId="0" applyFont="1" applyBorder="1" applyAlignment="1">
      <alignment horizontal="center"/>
    </xf>
    <xf numFmtId="21" fontId="10" fillId="0" borderId="74" xfId="0" applyNumberFormat="1" applyFont="1" applyBorder="1" applyAlignment="1">
      <alignment horizontal="center"/>
    </xf>
    <xf numFmtId="2" fontId="10" fillId="0" borderId="75" xfId="0" applyNumberFormat="1" applyFont="1" applyBorder="1" applyAlignment="1">
      <alignment horizontal="center"/>
    </xf>
    <xf numFmtId="45" fontId="10" fillId="0" borderId="75" xfId="0" applyNumberFormat="1" applyFont="1" applyBorder="1" applyAlignment="1">
      <alignment horizontal="center"/>
    </xf>
    <xf numFmtId="45" fontId="10" fillId="0" borderId="76" xfId="0" applyNumberFormat="1" applyFont="1" applyBorder="1" applyAlignment="1">
      <alignment horizontal="center"/>
    </xf>
    <xf numFmtId="49" fontId="28" fillId="0" borderId="0" xfId="0" applyNumberFormat="1" applyFont="1"/>
    <xf numFmtId="0" fontId="28" fillId="0" borderId="0" xfId="0" applyFont="1"/>
    <xf numFmtId="0" fontId="28" fillId="0" borderId="0" xfId="0" applyFont="1" applyAlignment="1">
      <alignment horizontal="center"/>
    </xf>
    <xf numFmtId="165" fontId="28" fillId="0" borderId="0" xfId="0" applyNumberFormat="1" applyFont="1" applyAlignment="1">
      <alignment horizontal="center"/>
    </xf>
    <xf numFmtId="21" fontId="28" fillId="0" borderId="0" xfId="0" applyNumberFormat="1" applyFont="1" applyAlignment="1">
      <alignment horizontal="center"/>
    </xf>
    <xf numFmtId="169" fontId="28" fillId="0" borderId="0" xfId="0" applyNumberFormat="1" applyFont="1" applyAlignment="1">
      <alignment horizontal="center"/>
    </xf>
    <xf numFmtId="45" fontId="28" fillId="0" borderId="0" xfId="0" applyNumberFormat="1" applyFont="1" applyAlignment="1">
      <alignment horizontal="center"/>
    </xf>
    <xf numFmtId="1" fontId="28" fillId="0" borderId="0" xfId="0" applyNumberFormat="1" applyFont="1" applyAlignment="1">
      <alignment horizontal="center"/>
    </xf>
    <xf numFmtId="0" fontId="29" fillId="0" borderId="26" xfId="0" applyFont="1" applyBorder="1" applyAlignment="1">
      <alignment horizontal="center"/>
    </xf>
    <xf numFmtId="165" fontId="29" fillId="0" borderId="72" xfId="0" applyNumberFormat="1" applyFont="1" applyBorder="1" applyAlignment="1">
      <alignment horizontal="center"/>
    </xf>
    <xf numFmtId="167" fontId="28" fillId="0" borderId="63" xfId="0" applyNumberFormat="1" applyFont="1" applyBorder="1" applyAlignment="1">
      <alignment horizontal="center"/>
    </xf>
    <xf numFmtId="0" fontId="28" fillId="0" borderId="66" xfId="0" applyFont="1" applyBorder="1" applyAlignment="1">
      <alignment horizontal="center"/>
    </xf>
    <xf numFmtId="21" fontId="28" fillId="0" borderId="51" xfId="0" applyNumberFormat="1" applyFont="1" applyBorder="1" applyAlignment="1">
      <alignment horizontal="center"/>
    </xf>
    <xf numFmtId="169" fontId="28" fillId="0" borderId="52" xfId="0" applyNumberFormat="1" applyFont="1" applyBorder="1" applyAlignment="1">
      <alignment horizontal="center"/>
    </xf>
    <xf numFmtId="45" fontId="28" fillId="0" borderId="4" xfId="0" applyNumberFormat="1" applyFont="1" applyBorder="1" applyAlignment="1">
      <alignment horizontal="center"/>
    </xf>
    <xf numFmtId="1" fontId="28" fillId="0" borderId="4" xfId="0" applyNumberFormat="1" applyFont="1" applyBorder="1" applyAlignment="1">
      <alignment horizontal="center"/>
    </xf>
    <xf numFmtId="45" fontId="28" fillId="0" borderId="58" xfId="0" applyNumberFormat="1" applyFont="1" applyBorder="1" applyAlignment="1">
      <alignment horizontal="center"/>
    </xf>
    <xf numFmtId="167" fontId="28" fillId="0" borderId="64" xfId="0" applyNumberFormat="1" applyFont="1" applyBorder="1" applyAlignment="1">
      <alignment horizontal="center"/>
    </xf>
    <xf numFmtId="0" fontId="28" fillId="0" borderId="67" xfId="0" applyFont="1" applyBorder="1" applyAlignment="1">
      <alignment horizontal="center"/>
    </xf>
    <xf numFmtId="21" fontId="28" fillId="0" borderId="12" xfId="0" applyNumberFormat="1" applyFont="1" applyBorder="1" applyAlignment="1">
      <alignment horizontal="center"/>
    </xf>
    <xf numFmtId="169" fontId="28" fillId="0" borderId="10" xfId="0" applyNumberFormat="1" applyFont="1" applyBorder="1" applyAlignment="1">
      <alignment horizontal="center"/>
    </xf>
    <xf numFmtId="45" fontId="28" fillId="0" borderId="10" xfId="0" applyNumberFormat="1" applyFont="1" applyBorder="1" applyAlignment="1">
      <alignment horizontal="center"/>
    </xf>
    <xf numFmtId="1" fontId="28" fillId="0" borderId="10" xfId="0" applyNumberFormat="1" applyFont="1" applyBorder="1" applyAlignment="1">
      <alignment horizontal="center"/>
    </xf>
    <xf numFmtId="45" fontId="28" fillId="0" borderId="59" xfId="0" applyNumberFormat="1" applyFont="1" applyBorder="1" applyAlignment="1">
      <alignment horizontal="center"/>
    </xf>
    <xf numFmtId="0" fontId="29" fillId="0" borderId="0" xfId="0" applyFont="1" applyAlignment="1">
      <alignment horizontal="center"/>
    </xf>
    <xf numFmtId="0" fontId="28" fillId="0" borderId="60" xfId="0" applyFont="1" applyBorder="1" applyAlignment="1">
      <alignment horizontal="center"/>
    </xf>
    <xf numFmtId="0" fontId="28" fillId="0" borderId="82" xfId="0" applyFont="1" applyBorder="1" applyAlignment="1">
      <alignment horizontal="center"/>
    </xf>
    <xf numFmtId="0" fontId="29" fillId="0" borderId="28" xfId="0" applyFont="1" applyBorder="1" applyAlignment="1">
      <alignment horizontal="center"/>
    </xf>
    <xf numFmtId="0" fontId="29" fillId="0" borderId="86" xfId="0" applyFont="1" applyBorder="1" applyAlignment="1">
      <alignment horizontal="center"/>
    </xf>
    <xf numFmtId="9" fontId="28" fillId="0" borderId="34" xfId="0" applyNumberFormat="1" applyFont="1" applyBorder="1" applyAlignment="1">
      <alignment horizontal="center"/>
    </xf>
    <xf numFmtId="0" fontId="28" fillId="0" borderId="35" xfId="0" applyFont="1" applyBorder="1" applyAlignment="1">
      <alignment horizontal="center"/>
    </xf>
    <xf numFmtId="9" fontId="28" fillId="0" borderId="36" xfId="0" applyNumberFormat="1" applyFont="1" applyBorder="1" applyAlignment="1">
      <alignment horizontal="center"/>
    </xf>
    <xf numFmtId="1" fontId="28" fillId="0" borderId="37" xfId="0" applyNumberFormat="1" applyFont="1" applyBorder="1" applyAlignment="1">
      <alignment horizontal="center"/>
    </xf>
    <xf numFmtId="1" fontId="28" fillId="0" borderId="35" xfId="0" applyNumberFormat="1" applyFont="1" applyBorder="1" applyAlignment="1">
      <alignment horizontal="center"/>
    </xf>
    <xf numFmtId="1" fontId="28" fillId="0" borderId="87" xfId="0" applyNumberFormat="1" applyFont="1" applyBorder="1" applyAlignment="1">
      <alignment horizontal="center"/>
    </xf>
    <xf numFmtId="45" fontId="28" fillId="0" borderId="36" xfId="0" applyNumberFormat="1" applyFont="1" applyBorder="1" applyAlignment="1">
      <alignment horizontal="center"/>
    </xf>
    <xf numFmtId="0" fontId="28" fillId="0" borderId="61" xfId="0" applyFont="1" applyBorder="1" applyAlignment="1">
      <alignment horizontal="center"/>
    </xf>
    <xf numFmtId="167" fontId="28" fillId="0" borderId="65" xfId="0" applyNumberFormat="1" applyFont="1" applyBorder="1" applyAlignment="1">
      <alignment horizontal="center"/>
    </xf>
    <xf numFmtId="0" fontId="28" fillId="0" borderId="68" xfId="0" applyFont="1" applyBorder="1" applyAlignment="1">
      <alignment horizontal="center"/>
    </xf>
    <xf numFmtId="21" fontId="28" fillId="0" borderId="56" xfId="0" applyNumberFormat="1" applyFont="1" applyBorder="1" applyAlignment="1">
      <alignment horizontal="center"/>
    </xf>
    <xf numFmtId="169" fontId="28" fillId="0" borderId="57" xfId="0" applyNumberFormat="1" applyFont="1" applyBorder="1" applyAlignment="1">
      <alignment horizontal="center"/>
    </xf>
    <xf numFmtId="45" fontId="28" fillId="0" borderId="57" xfId="0" applyNumberFormat="1" applyFont="1" applyBorder="1" applyAlignment="1">
      <alignment horizontal="center"/>
    </xf>
    <xf numFmtId="1" fontId="28" fillId="0" borderId="57" xfId="0" applyNumberFormat="1" applyFont="1" applyBorder="1" applyAlignment="1">
      <alignment horizontal="center"/>
    </xf>
    <xf numFmtId="45" fontId="28" fillId="0" borderId="62" xfId="0" applyNumberFormat="1" applyFont="1" applyBorder="1" applyAlignment="1">
      <alignment horizontal="center"/>
    </xf>
    <xf numFmtId="0" fontId="28" fillId="0" borderId="86" xfId="0" applyFont="1" applyBorder="1" applyAlignment="1">
      <alignment horizontal="center"/>
    </xf>
    <xf numFmtId="0" fontId="28" fillId="0" borderId="88" xfId="0" applyFont="1" applyBorder="1" applyAlignment="1">
      <alignment horizontal="center"/>
    </xf>
    <xf numFmtId="9" fontId="28" fillId="0" borderId="40" xfId="0" applyNumberFormat="1" applyFont="1" applyBorder="1" applyAlignment="1">
      <alignment horizontal="center"/>
    </xf>
    <xf numFmtId="0" fontId="28" fillId="0" borderId="41" xfId="0" applyFont="1" applyBorder="1" applyAlignment="1">
      <alignment horizontal="center"/>
    </xf>
    <xf numFmtId="9" fontId="28" fillId="0" borderId="42" xfId="0" applyNumberFormat="1" applyFont="1" applyBorder="1" applyAlignment="1">
      <alignment horizontal="center"/>
    </xf>
    <xf numFmtId="1" fontId="28" fillId="0" borderId="43" xfId="0" applyNumberFormat="1" applyFont="1" applyBorder="1" applyAlignment="1">
      <alignment horizontal="center"/>
    </xf>
    <xf numFmtId="1" fontId="28" fillId="0" borderId="41" xfId="0" applyNumberFormat="1" applyFont="1" applyBorder="1" applyAlignment="1">
      <alignment horizontal="center"/>
    </xf>
    <xf numFmtId="1" fontId="28" fillId="0" borderId="89" xfId="0" applyNumberFormat="1" applyFont="1" applyBorder="1" applyAlignment="1">
      <alignment horizontal="center"/>
    </xf>
    <xf numFmtId="45" fontId="28" fillId="0" borderId="42" xfId="0" applyNumberFormat="1" applyFont="1" applyBorder="1" applyAlignment="1">
      <alignment horizontal="center"/>
    </xf>
    <xf numFmtId="0" fontId="28" fillId="0" borderId="90" xfId="0" applyFont="1" applyBorder="1" applyAlignment="1">
      <alignment horizontal="center"/>
    </xf>
    <xf numFmtId="0" fontId="30" fillId="0" borderId="0" xfId="0" applyFont="1"/>
    <xf numFmtId="0" fontId="29" fillId="0" borderId="0" xfId="0" applyFont="1"/>
    <xf numFmtId="0" fontId="29" fillId="0" borderId="0" xfId="0" applyFont="1" applyAlignment="1">
      <alignment wrapText="1"/>
    </xf>
    <xf numFmtId="0" fontId="28" fillId="0" borderId="0" xfId="0" applyFont="1" applyAlignment="1">
      <alignment wrapText="1"/>
    </xf>
    <xf numFmtId="0" fontId="31" fillId="0" borderId="68" xfId="0" applyFont="1" applyBorder="1" applyAlignment="1">
      <alignment horizontal="center"/>
    </xf>
    <xf numFmtId="21" fontId="31" fillId="0" borderId="56" xfId="0" applyNumberFormat="1" applyFont="1" applyBorder="1" applyAlignment="1">
      <alignment horizontal="center"/>
    </xf>
    <xf numFmtId="169" fontId="31" fillId="0" borderId="57" xfId="0" applyNumberFormat="1" applyFont="1" applyBorder="1" applyAlignment="1">
      <alignment horizontal="center"/>
    </xf>
    <xf numFmtId="49" fontId="28" fillId="0" borderId="0" xfId="0" applyNumberFormat="1" applyFont="1" applyAlignment="1">
      <alignment horizontal="center"/>
    </xf>
    <xf numFmtId="21" fontId="28" fillId="0" borderId="7" xfId="0" applyNumberFormat="1" applyFont="1" applyBorder="1" applyAlignment="1">
      <alignment horizontal="center"/>
    </xf>
    <xf numFmtId="169" fontId="28" fillId="0" borderId="5" xfId="0" applyNumberFormat="1" applyFont="1" applyBorder="1" applyAlignment="1">
      <alignment horizontal="center"/>
    </xf>
    <xf numFmtId="45" fontId="28" fillId="0" borderId="5" xfId="0" applyNumberFormat="1" applyFont="1" applyBorder="1" applyAlignment="1">
      <alignment horizontal="center"/>
    </xf>
    <xf numFmtId="1" fontId="28" fillId="0" borderId="5" xfId="0" applyNumberFormat="1" applyFont="1" applyBorder="1" applyAlignment="1">
      <alignment horizontal="center"/>
    </xf>
    <xf numFmtId="45" fontId="28" fillId="0" borderId="77" xfId="0" applyNumberFormat="1" applyFont="1" applyBorder="1" applyAlignment="1">
      <alignment horizontal="center"/>
    </xf>
    <xf numFmtId="21" fontId="28" fillId="0" borderId="17" xfId="0" applyNumberFormat="1" applyFont="1" applyBorder="1" applyAlignment="1">
      <alignment horizontal="center"/>
    </xf>
    <xf numFmtId="169" fontId="28" fillId="0" borderId="4" xfId="0" applyNumberFormat="1" applyFont="1" applyBorder="1" applyAlignment="1">
      <alignment horizontal="center"/>
    </xf>
    <xf numFmtId="45" fontId="28" fillId="0" borderId="81" xfId="0" applyNumberFormat="1" applyFont="1" applyBorder="1" applyAlignment="1">
      <alignment horizontal="center"/>
    </xf>
    <xf numFmtId="2" fontId="28" fillId="0" borderId="0" xfId="0" applyNumberFormat="1" applyFont="1" applyAlignment="1">
      <alignment horizontal="center"/>
    </xf>
    <xf numFmtId="45" fontId="28" fillId="0" borderId="0" xfId="0" applyNumberFormat="1" applyFont="1"/>
    <xf numFmtId="169" fontId="28" fillId="0" borderId="0" xfId="0" applyNumberFormat="1" applyFont="1"/>
    <xf numFmtId="1" fontId="28" fillId="0" borderId="0" xfId="0" applyNumberFormat="1" applyFont="1"/>
    <xf numFmtId="21" fontId="28" fillId="0" borderId="0" xfId="0" applyNumberFormat="1" applyFont="1"/>
    <xf numFmtId="167" fontId="28" fillId="0" borderId="94" xfId="0" applyNumberFormat="1" applyFont="1" applyBorder="1" applyAlignment="1">
      <alignment horizontal="center"/>
    </xf>
    <xf numFmtId="167" fontId="28" fillId="0" borderId="78" xfId="0" applyNumberFormat="1" applyFont="1" applyBorder="1" applyAlignment="1">
      <alignment horizontal="center"/>
    </xf>
    <xf numFmtId="167" fontId="28" fillId="0" borderId="95" xfId="0" applyNumberFormat="1" applyFont="1" applyBorder="1" applyAlignment="1">
      <alignment horizontal="center"/>
    </xf>
    <xf numFmtId="167" fontId="28" fillId="0" borderId="79" xfId="0" applyNumberFormat="1" applyFont="1" applyBorder="1" applyAlignment="1">
      <alignment horizontal="center"/>
    </xf>
    <xf numFmtId="0" fontId="28" fillId="0" borderId="56" xfId="0" applyFont="1" applyBorder="1" applyAlignment="1">
      <alignment horizontal="center"/>
    </xf>
    <xf numFmtId="0" fontId="28" fillId="0" borderId="72" xfId="0" applyFont="1" applyBorder="1" applyAlignment="1">
      <alignment horizontal="center"/>
    </xf>
    <xf numFmtId="2" fontId="28" fillId="0" borderId="61" xfId="0" applyNumberFormat="1" applyFont="1" applyBorder="1" applyAlignment="1">
      <alignment horizontal="center"/>
    </xf>
    <xf numFmtId="169" fontId="0" fillId="0" borderId="10" xfId="0" applyNumberFormat="1" applyBorder="1" applyAlignment="1">
      <alignment horizontal="center"/>
    </xf>
    <xf numFmtId="1" fontId="0" fillId="0" borderId="10" xfId="0" applyNumberFormat="1" applyBorder="1" applyAlignment="1">
      <alignment horizontal="center"/>
    </xf>
    <xf numFmtId="0" fontId="0" fillId="0" borderId="97" xfId="0" applyBorder="1" applyAlignment="1">
      <alignment horizontal="center"/>
    </xf>
    <xf numFmtId="45" fontId="25" fillId="0" borderId="77" xfId="0" applyNumberFormat="1" applyFont="1" applyBorder="1" applyAlignment="1">
      <alignment horizontal="center"/>
    </xf>
    <xf numFmtId="45" fontId="25" fillId="0" borderId="59" xfId="0" applyNumberFormat="1" applyFont="1" applyBorder="1" applyAlignment="1">
      <alignment horizontal="center"/>
    </xf>
    <xf numFmtId="1" fontId="28" fillId="0" borderId="99" xfId="0" applyNumberFormat="1" applyFont="1" applyBorder="1" applyAlignment="1">
      <alignment horizontal="center"/>
    </xf>
    <xf numFmtId="0" fontId="10" fillId="0" borderId="70" xfId="0" applyFont="1" applyBorder="1" applyAlignment="1">
      <alignment horizontal="center"/>
    </xf>
    <xf numFmtId="0" fontId="10" fillId="0" borderId="98" xfId="0" applyFont="1" applyBorder="1" applyAlignment="1">
      <alignment horizontal="center"/>
    </xf>
    <xf numFmtId="0" fontId="0" fillId="0" borderId="69" xfId="0" applyBorder="1" applyAlignment="1">
      <alignment horizontal="center"/>
    </xf>
    <xf numFmtId="169" fontId="32" fillId="0" borderId="60" xfId="0" applyNumberFormat="1" applyFont="1" applyBorder="1" applyAlignment="1">
      <alignment horizontal="center"/>
    </xf>
    <xf numFmtId="1" fontId="28" fillId="0" borderId="100" xfId="0" applyNumberFormat="1" applyFont="1" applyBorder="1" applyAlignment="1">
      <alignment horizontal="center"/>
    </xf>
    <xf numFmtId="0" fontId="28" fillId="0" borderId="96" xfId="0" applyFont="1" applyBorder="1" applyAlignment="1">
      <alignment horizontal="center"/>
    </xf>
    <xf numFmtId="0" fontId="29" fillId="0" borderId="102" xfId="0" applyFont="1" applyBorder="1" applyAlignment="1">
      <alignment horizontal="center"/>
    </xf>
    <xf numFmtId="21" fontId="29" fillId="0" borderId="103" xfId="0" applyNumberFormat="1" applyFont="1" applyBorder="1" applyAlignment="1">
      <alignment horizontal="center"/>
    </xf>
    <xf numFmtId="169" fontId="29" fillId="0" borderId="104" xfId="0" applyNumberFormat="1" applyFont="1" applyBorder="1" applyAlignment="1">
      <alignment horizontal="center"/>
    </xf>
    <xf numFmtId="45" fontId="29" fillId="0" borderId="105" xfId="0" applyNumberFormat="1" applyFont="1" applyBorder="1" applyAlignment="1">
      <alignment horizontal="center"/>
    </xf>
    <xf numFmtId="1" fontId="29" fillId="0" borderId="105" xfId="0" applyNumberFormat="1" applyFont="1" applyBorder="1" applyAlignment="1">
      <alignment horizontal="center"/>
    </xf>
    <xf numFmtId="1" fontId="10" fillId="0" borderId="106" xfId="0" applyNumberFormat="1" applyFont="1" applyBorder="1" applyAlignment="1">
      <alignment horizontal="center"/>
    </xf>
    <xf numFmtId="45" fontId="29" fillId="0" borderId="106" xfId="0" applyNumberFormat="1" applyFont="1" applyBorder="1" applyAlignment="1">
      <alignment horizontal="center"/>
    </xf>
    <xf numFmtId="169" fontId="0" fillId="0" borderId="5" xfId="0" applyNumberFormat="1" applyBorder="1" applyAlignment="1">
      <alignment horizontal="center"/>
    </xf>
    <xf numFmtId="1" fontId="0" fillId="0" borderId="5" xfId="0" applyNumberFormat="1" applyBorder="1" applyAlignment="1">
      <alignment horizontal="center"/>
    </xf>
    <xf numFmtId="1" fontId="0" fillId="0" borderId="100" xfId="0" applyNumberFormat="1" applyBorder="1" applyAlignment="1">
      <alignment horizontal="center"/>
    </xf>
    <xf numFmtId="0" fontId="25" fillId="0" borderId="67" xfId="0" applyFont="1" applyBorder="1" applyAlignment="1">
      <alignment horizontal="center"/>
    </xf>
    <xf numFmtId="169" fontId="25" fillId="0" borderId="10" xfId="0" applyNumberFormat="1" applyFont="1" applyBorder="1" applyAlignment="1">
      <alignment horizontal="center"/>
    </xf>
    <xf numFmtId="45" fontId="25" fillId="0" borderId="10" xfId="0" applyNumberFormat="1" applyFont="1" applyBorder="1" applyAlignment="1">
      <alignment horizontal="center"/>
    </xf>
    <xf numFmtId="1" fontId="25" fillId="0" borderId="10" xfId="0" applyNumberFormat="1" applyFont="1" applyBorder="1" applyAlignment="1">
      <alignment horizontal="center"/>
    </xf>
    <xf numFmtId="0" fontId="25" fillId="0" borderId="68" xfId="0" applyFont="1" applyBorder="1" applyAlignment="1">
      <alignment horizontal="center"/>
    </xf>
    <xf numFmtId="45" fontId="25" fillId="0" borderId="57" xfId="0" applyNumberFormat="1" applyFont="1" applyBorder="1" applyAlignment="1">
      <alignment horizontal="center"/>
    </xf>
    <xf numFmtId="0" fontId="25" fillId="0" borderId="51" xfId="0" applyFont="1" applyBorder="1" applyAlignment="1">
      <alignment horizontal="center"/>
    </xf>
    <xf numFmtId="169" fontId="25" fillId="0" borderId="5" xfId="0" applyNumberFormat="1" applyFont="1" applyBorder="1" applyAlignment="1">
      <alignment horizontal="center"/>
    </xf>
    <xf numFmtId="45" fontId="25" fillId="0" borderId="5" xfId="0" applyNumberFormat="1" applyFont="1" applyBorder="1" applyAlignment="1">
      <alignment horizontal="center"/>
    </xf>
    <xf numFmtId="1" fontId="25" fillId="0" borderId="5" xfId="0" applyNumberFormat="1" applyFont="1" applyBorder="1" applyAlignment="1">
      <alignment horizontal="center"/>
    </xf>
    <xf numFmtId="1" fontId="25" fillId="0" borderId="100" xfId="0" applyNumberFormat="1" applyFont="1" applyBorder="1" applyAlignment="1">
      <alignment horizontal="center"/>
    </xf>
    <xf numFmtId="0" fontId="25" fillId="0" borderId="12" xfId="0" applyFont="1" applyBorder="1" applyAlignment="1">
      <alignment horizontal="center"/>
    </xf>
    <xf numFmtId="0" fontId="25" fillId="0" borderId="23" xfId="0" applyFont="1" applyBorder="1" applyAlignment="1">
      <alignment horizontal="center"/>
    </xf>
    <xf numFmtId="21" fontId="25" fillId="0" borderId="23" xfId="0" applyNumberFormat="1" applyFont="1" applyBorder="1" applyAlignment="1">
      <alignment horizontal="center"/>
    </xf>
    <xf numFmtId="169" fontId="25" fillId="0" borderId="21" xfId="0" applyNumberFormat="1" applyFont="1" applyBorder="1" applyAlignment="1">
      <alignment horizontal="center"/>
    </xf>
    <xf numFmtId="45" fontId="25" fillId="0" borderId="21" xfId="0" applyNumberFormat="1" applyFont="1" applyBorder="1" applyAlignment="1">
      <alignment horizontal="center"/>
    </xf>
    <xf numFmtId="1" fontId="25" fillId="0" borderId="21" xfId="0" applyNumberFormat="1" applyFont="1" applyBorder="1" applyAlignment="1">
      <alignment horizontal="center"/>
    </xf>
    <xf numFmtId="45" fontId="25" fillId="0" borderId="80" xfId="0" applyNumberFormat="1" applyFont="1" applyBorder="1" applyAlignment="1">
      <alignment horizontal="center"/>
    </xf>
    <xf numFmtId="21" fontId="25" fillId="0" borderId="51" xfId="0" applyNumberFormat="1" applyFont="1" applyBorder="1" applyAlignment="1">
      <alignment horizontal="center"/>
    </xf>
    <xf numFmtId="169" fontId="25" fillId="0" borderId="52" xfId="0" applyNumberFormat="1" applyFont="1" applyBorder="1" applyAlignment="1">
      <alignment horizontal="center"/>
    </xf>
    <xf numFmtId="45" fontId="25" fillId="0" borderId="52" xfId="0" applyNumberFormat="1" applyFont="1" applyBorder="1" applyAlignment="1">
      <alignment horizontal="center"/>
    </xf>
    <xf numFmtId="1" fontId="25" fillId="0" borderId="52" xfId="0" applyNumberFormat="1" applyFont="1" applyBorder="1" applyAlignment="1">
      <alignment horizontal="center"/>
    </xf>
    <xf numFmtId="1" fontId="25" fillId="0" borderId="101" xfId="0" applyNumberFormat="1" applyFont="1" applyBorder="1" applyAlignment="1">
      <alignment horizontal="center"/>
    </xf>
    <xf numFmtId="45" fontId="25" fillId="0" borderId="58" xfId="0" applyNumberFormat="1" applyFont="1" applyBorder="1" applyAlignment="1">
      <alignment horizontal="center"/>
    </xf>
    <xf numFmtId="0" fontId="25" fillId="0" borderId="56" xfId="0" applyFont="1" applyBorder="1" applyAlignment="1">
      <alignment horizontal="center"/>
    </xf>
    <xf numFmtId="21" fontId="25" fillId="0" borderId="56" xfId="0" applyNumberFormat="1" applyFont="1" applyBorder="1" applyAlignment="1">
      <alignment horizontal="center"/>
    </xf>
    <xf numFmtId="169" fontId="25" fillId="0" borderId="57" xfId="0" applyNumberFormat="1" applyFont="1" applyBorder="1" applyAlignment="1">
      <alignment horizontal="center"/>
    </xf>
    <xf numFmtId="1" fontId="25" fillId="0" borderId="57" xfId="0" applyNumberFormat="1" applyFont="1" applyBorder="1" applyAlignment="1">
      <alignment horizontal="center"/>
    </xf>
    <xf numFmtId="45" fontId="25" fillId="0" borderId="62" xfId="0" applyNumberFormat="1" applyFont="1" applyBorder="1" applyAlignment="1">
      <alignment horizontal="center"/>
    </xf>
    <xf numFmtId="0" fontId="25" fillId="0" borderId="17" xfId="0" applyFont="1" applyBorder="1" applyAlignment="1">
      <alignment horizontal="center"/>
    </xf>
    <xf numFmtId="21" fontId="25" fillId="0" borderId="17" xfId="0" applyNumberFormat="1" applyFont="1" applyBorder="1" applyAlignment="1">
      <alignment horizontal="center"/>
    </xf>
    <xf numFmtId="169" fontId="25" fillId="0" borderId="4" xfId="0" applyNumberFormat="1" applyFont="1" applyBorder="1" applyAlignment="1">
      <alignment horizontal="center"/>
    </xf>
    <xf numFmtId="45" fontId="25" fillId="0" borderId="4" xfId="0" applyNumberFormat="1" applyFont="1" applyBorder="1" applyAlignment="1">
      <alignment horizontal="center"/>
    </xf>
    <xf numFmtId="1" fontId="25" fillId="0" borderId="4" xfId="0" applyNumberFormat="1" applyFont="1" applyBorder="1" applyAlignment="1">
      <alignment horizontal="center"/>
    </xf>
    <xf numFmtId="45" fontId="25" fillId="0" borderId="81" xfId="0" applyNumberFormat="1" applyFont="1" applyBorder="1" applyAlignment="1">
      <alignment horizontal="center"/>
    </xf>
    <xf numFmtId="45" fontId="33" fillId="0" borderId="0" xfId="0" applyNumberFormat="1" applyFont="1" applyAlignment="1">
      <alignment horizontal="center"/>
    </xf>
    <xf numFmtId="169" fontId="0" fillId="0" borderId="0" xfId="0" applyNumberFormat="1" applyAlignment="1">
      <alignment horizontal="center"/>
    </xf>
    <xf numFmtId="1" fontId="10" fillId="0" borderId="95" xfId="0" applyNumberFormat="1" applyFont="1" applyBorder="1" applyAlignment="1">
      <alignment horizontal="center"/>
    </xf>
    <xf numFmtId="0" fontId="34" fillId="0" borderId="0" xfId="0" applyFont="1" applyAlignment="1">
      <alignment horizontal="center"/>
    </xf>
    <xf numFmtId="1" fontId="34" fillId="0" borderId="0" xfId="0" applyNumberFormat="1" applyFont="1" applyAlignment="1">
      <alignment horizontal="center"/>
    </xf>
    <xf numFmtId="0" fontId="34" fillId="0" borderId="0" xfId="0" applyFont="1"/>
    <xf numFmtId="1" fontId="34" fillId="0" borderId="0" xfId="0" applyNumberFormat="1" applyFont="1"/>
    <xf numFmtId="0" fontId="35" fillId="0" borderId="0" xfId="0" applyFont="1" applyAlignment="1">
      <alignment horizontal="center"/>
    </xf>
    <xf numFmtId="0" fontId="0" fillId="0" borderId="0" xfId="0" pivotButton="1"/>
    <xf numFmtId="0" fontId="0" fillId="0" borderId="0" xfId="0" applyAlignment="1">
      <alignment horizontal="left"/>
    </xf>
    <xf numFmtId="1" fontId="0" fillId="0" borderId="0" xfId="0" applyNumberFormat="1"/>
    <xf numFmtId="0" fontId="36" fillId="0" borderId="0" xfId="0" applyFont="1"/>
    <xf numFmtId="0" fontId="35" fillId="0" borderId="0" xfId="0" applyFont="1"/>
    <xf numFmtId="1" fontId="35" fillId="0" borderId="0" xfId="0" applyNumberFormat="1" applyFont="1"/>
    <xf numFmtId="0" fontId="36" fillId="0" borderId="0" xfId="0" applyFont="1" applyAlignment="1">
      <alignment horizontal="left"/>
    </xf>
    <xf numFmtId="0" fontId="37" fillId="0" borderId="0" xfId="0" applyFont="1"/>
    <xf numFmtId="170" fontId="0" fillId="0" borderId="0" xfId="0" applyNumberFormat="1"/>
    <xf numFmtId="0" fontId="10" fillId="0" borderId="0" xfId="0" applyFont="1" applyAlignment="1">
      <alignment vertical="center"/>
    </xf>
    <xf numFmtId="0" fontId="0" fillId="0" borderId="0" xfId="0" applyAlignment="1">
      <alignment horizontal="left" indent="1"/>
    </xf>
    <xf numFmtId="1" fontId="28" fillId="0" borderId="0" xfId="0" applyNumberFormat="1" applyFont="1" applyAlignment="1">
      <alignment horizontal="center" vertical="center"/>
    </xf>
    <xf numFmtId="1" fontId="39" fillId="5" borderId="0" xfId="0" applyNumberFormat="1" applyFont="1" applyFill="1" applyAlignment="1">
      <alignment horizontal="center" vertical="center"/>
    </xf>
    <xf numFmtId="0" fontId="39" fillId="5" borderId="133" xfId="0" applyFont="1" applyFill="1" applyBorder="1" applyAlignment="1">
      <alignment horizontal="center" vertical="center"/>
    </xf>
    <xf numFmtId="0" fontId="39" fillId="5" borderId="0" xfId="0" applyFont="1" applyFill="1" applyAlignment="1">
      <alignment horizontal="center" vertical="center"/>
    </xf>
    <xf numFmtId="0" fontId="39" fillId="5" borderId="0" xfId="0" applyFont="1" applyFill="1" applyAlignment="1">
      <alignment vertical="center"/>
    </xf>
    <xf numFmtId="49" fontId="39" fillId="5" borderId="0" xfId="0" applyNumberFormat="1" applyFont="1" applyFill="1" applyAlignment="1">
      <alignment vertical="center"/>
    </xf>
    <xf numFmtId="171" fontId="39" fillId="5" borderId="0" xfId="0" applyNumberFormat="1" applyFont="1" applyFill="1" applyAlignment="1">
      <alignment vertical="center"/>
    </xf>
    <xf numFmtId="0" fontId="39" fillId="5" borderId="0" xfId="0" pivotButton="1" applyFont="1" applyFill="1" applyAlignment="1">
      <alignment vertical="center"/>
    </xf>
    <xf numFmtId="49" fontId="40" fillId="5" borderId="0" xfId="0" applyNumberFormat="1" applyFont="1" applyFill="1" applyAlignment="1">
      <alignment vertical="center"/>
    </xf>
    <xf numFmtId="1" fontId="41" fillId="5" borderId="0" xfId="0" applyNumberFormat="1" applyFont="1" applyFill="1" applyAlignment="1">
      <alignment vertical="center"/>
    </xf>
    <xf numFmtId="0" fontId="40" fillId="11" borderId="824" xfId="0" applyFont="1" applyFill="1" applyBorder="1" applyAlignment="1">
      <alignment horizontal="center" vertical="center"/>
    </xf>
    <xf numFmtId="0" fontId="40" fillId="12" borderId="883" xfId="0" applyFont="1" applyFill="1" applyBorder="1" applyAlignment="1">
      <alignment horizontal="center" vertical="center"/>
    </xf>
    <xf numFmtId="0" fontId="40" fillId="13" borderId="882" xfId="0" applyFont="1" applyFill="1" applyBorder="1" applyAlignment="1">
      <alignment horizontal="center" vertical="center"/>
    </xf>
    <xf numFmtId="0" fontId="40" fillId="16" borderId="156" xfId="0" applyFont="1" applyFill="1" applyBorder="1" applyAlignment="1">
      <alignment horizontal="center" vertical="center"/>
    </xf>
    <xf numFmtId="0" fontId="40" fillId="17" borderId="882" xfId="0" applyFont="1" applyFill="1" applyBorder="1" applyAlignment="1">
      <alignment horizontal="center" vertical="center"/>
    </xf>
    <xf numFmtId="49" fontId="38" fillId="5" borderId="0" xfId="0" applyNumberFormat="1" applyFont="1" applyFill="1" applyAlignment="1">
      <alignment horizontal="center" vertical="center"/>
    </xf>
    <xf numFmtId="173" fontId="0" fillId="0" borderId="0" xfId="0" applyNumberFormat="1"/>
    <xf numFmtId="1" fontId="28" fillId="0" borderId="1034" xfId="0" applyNumberFormat="1" applyFont="1" applyBorder="1" applyAlignment="1">
      <alignment horizontal="center"/>
    </xf>
    <xf numFmtId="1" fontId="28" fillId="0" borderId="1035" xfId="0" applyNumberFormat="1" applyFont="1" applyBorder="1" applyAlignment="1">
      <alignment horizontal="center"/>
    </xf>
    <xf numFmtId="1" fontId="28" fillId="0" borderId="1036" xfId="0" applyNumberFormat="1" applyFont="1" applyBorder="1" applyAlignment="1">
      <alignment horizontal="center"/>
    </xf>
    <xf numFmtId="0" fontId="40" fillId="10" borderId="843" xfId="0" applyFont="1" applyFill="1" applyBorder="1" applyAlignment="1">
      <alignment horizontal="center" vertical="center"/>
    </xf>
    <xf numFmtId="0" fontId="34" fillId="5" borderId="0" xfId="0" applyFont="1" applyFill="1" applyAlignment="1">
      <alignment vertical="center"/>
    </xf>
    <xf numFmtId="0" fontId="34" fillId="5" borderId="0" xfId="0" applyFont="1" applyFill="1" applyAlignment="1">
      <alignment horizontal="center" vertical="center"/>
    </xf>
    <xf numFmtId="1" fontId="34" fillId="5" borderId="0" xfId="0" applyNumberFormat="1" applyFont="1" applyFill="1" applyAlignment="1">
      <alignment vertical="center"/>
    </xf>
    <xf numFmtId="0" fontId="34" fillId="5" borderId="0" xfId="0" pivotButton="1" applyFont="1" applyFill="1" applyAlignment="1">
      <alignment vertical="center"/>
    </xf>
    <xf numFmtId="49" fontId="34" fillId="5" borderId="0" xfId="0" applyNumberFormat="1" applyFont="1" applyFill="1" applyAlignment="1">
      <alignment vertical="center"/>
    </xf>
    <xf numFmtId="1" fontId="34" fillId="5" borderId="0" xfId="0" applyNumberFormat="1" applyFont="1" applyFill="1" applyAlignment="1">
      <alignment horizontal="center" vertical="center"/>
    </xf>
    <xf numFmtId="0" fontId="40" fillId="10" borderId="178" xfId="0" applyFont="1" applyFill="1" applyBorder="1" applyAlignment="1">
      <alignment horizontal="center"/>
    </xf>
    <xf numFmtId="1" fontId="40" fillId="10" borderId="177" xfId="0" applyNumberFormat="1" applyFont="1" applyFill="1" applyBorder="1" applyAlignment="1">
      <alignment horizontal="center"/>
    </xf>
    <xf numFmtId="0" fontId="39" fillId="5" borderId="0" xfId="0" applyFont="1" applyFill="1"/>
    <xf numFmtId="0" fontId="39" fillId="5" borderId="0" xfId="0" applyFont="1" applyFill="1" applyAlignment="1">
      <alignment horizontal="left"/>
    </xf>
    <xf numFmtId="0" fontId="39" fillId="5" borderId="0" xfId="0" applyFont="1" applyFill="1" applyAlignment="1">
      <alignment horizontal="center"/>
    </xf>
    <xf numFmtId="0" fontId="39" fillId="0" borderId="0" xfId="0" applyFont="1"/>
    <xf numFmtId="0" fontId="40" fillId="11" borderId="153" xfId="0" applyFont="1" applyFill="1" applyBorder="1" applyAlignment="1">
      <alignment horizontal="center"/>
    </xf>
    <xf numFmtId="45" fontId="39" fillId="11" borderId="117" xfId="0" applyNumberFormat="1" applyFont="1" applyFill="1" applyBorder="1" applyAlignment="1">
      <alignment horizontal="center"/>
    </xf>
    <xf numFmtId="45" fontId="39" fillId="11" borderId="147" xfId="0" applyNumberFormat="1" applyFont="1" applyFill="1" applyBorder="1" applyAlignment="1">
      <alignment horizontal="center"/>
    </xf>
    <xf numFmtId="0" fontId="39" fillId="5" borderId="0" xfId="0" applyFont="1" applyFill="1" applyAlignment="1">
      <alignment horizontal="right"/>
    </xf>
    <xf numFmtId="0" fontId="40" fillId="11" borderId="967" xfId="0" applyFont="1" applyFill="1" applyBorder="1" applyAlignment="1">
      <alignment horizontal="center"/>
    </xf>
    <xf numFmtId="9" fontId="43" fillId="11" borderId="613" xfId="96" applyFont="1" applyFill="1" applyBorder="1" applyAlignment="1">
      <alignment horizontal="center"/>
    </xf>
    <xf numFmtId="9" fontId="43" fillId="11" borderId="845" xfId="96" applyFont="1" applyFill="1" applyBorder="1" applyAlignment="1">
      <alignment horizontal="center"/>
    </xf>
    <xf numFmtId="0" fontId="40" fillId="7" borderId="60" xfId="0" applyFont="1" applyFill="1" applyBorder="1" applyAlignment="1">
      <alignment horizontal="center"/>
    </xf>
    <xf numFmtId="45" fontId="39" fillId="7" borderId="170" xfId="0" applyNumberFormat="1" applyFont="1" applyFill="1" applyBorder="1" applyAlignment="1">
      <alignment horizontal="center"/>
    </xf>
    <xf numFmtId="45" fontId="39" fillId="7" borderId="110" xfId="0" applyNumberFormat="1" applyFont="1" applyFill="1" applyBorder="1" applyAlignment="1">
      <alignment horizontal="center"/>
    </xf>
    <xf numFmtId="0" fontId="40" fillId="7" borderId="569" xfId="0" applyFont="1" applyFill="1" applyBorder="1" applyAlignment="1">
      <alignment horizontal="center"/>
    </xf>
    <xf numFmtId="9" fontId="43" fillId="7" borderId="0" xfId="96" applyFont="1" applyFill="1" applyBorder="1" applyAlignment="1">
      <alignment horizontal="center"/>
    </xf>
    <xf numFmtId="9" fontId="43" fillId="7" borderId="110" xfId="96" applyFont="1" applyFill="1" applyBorder="1" applyAlignment="1">
      <alignment horizontal="center"/>
    </xf>
    <xf numFmtId="0" fontId="40" fillId="13" borderId="869" xfId="0" applyFont="1" applyFill="1" applyBorder="1" applyAlignment="1">
      <alignment horizontal="center"/>
    </xf>
    <xf numFmtId="45" fontId="39" fillId="13" borderId="826" xfId="0" applyNumberFormat="1" applyFont="1" applyFill="1" applyBorder="1" applyAlignment="1">
      <alignment horizontal="center"/>
    </xf>
    <xf numFmtId="45" fontId="39" fillId="13" borderId="870" xfId="0" applyNumberFormat="1" applyFont="1" applyFill="1" applyBorder="1" applyAlignment="1">
      <alignment horizontal="center"/>
    </xf>
    <xf numFmtId="0" fontId="40" fillId="13" borderId="569" xfId="0" applyFont="1" applyFill="1" applyBorder="1" applyAlignment="1">
      <alignment horizontal="center"/>
    </xf>
    <xf numFmtId="9" fontId="39" fillId="13" borderId="0" xfId="96" applyFont="1" applyFill="1" applyBorder="1" applyAlignment="1">
      <alignment horizontal="center"/>
    </xf>
    <xf numFmtId="9" fontId="39" fillId="13" borderId="110" xfId="96" applyFont="1" applyFill="1" applyBorder="1" applyAlignment="1">
      <alignment horizontal="center"/>
    </xf>
    <xf numFmtId="0" fontId="40" fillId="10" borderId="60" xfId="0" applyFont="1" applyFill="1" applyBorder="1" applyAlignment="1">
      <alignment horizontal="center"/>
    </xf>
    <xf numFmtId="45" fontId="39" fillId="10" borderId="170" xfId="0" applyNumberFormat="1" applyFont="1" applyFill="1" applyBorder="1" applyAlignment="1">
      <alignment horizontal="center"/>
    </xf>
    <xf numFmtId="45" fontId="39" fillId="10" borderId="110" xfId="0" applyNumberFormat="1" applyFont="1" applyFill="1" applyBorder="1" applyAlignment="1">
      <alignment horizontal="center"/>
    </xf>
    <xf numFmtId="0" fontId="40" fillId="10" borderId="569" xfId="0" applyFont="1" applyFill="1" applyBorder="1" applyAlignment="1">
      <alignment horizontal="center"/>
    </xf>
    <xf numFmtId="9" fontId="43" fillId="10" borderId="0" xfId="96" applyFont="1" applyFill="1" applyBorder="1" applyAlignment="1">
      <alignment horizontal="center"/>
    </xf>
    <xf numFmtId="9" fontId="43" fillId="10" borderId="110" xfId="96" applyFont="1" applyFill="1" applyBorder="1" applyAlignment="1">
      <alignment horizontal="center"/>
    </xf>
    <xf numFmtId="0" fontId="40" fillId="16" borderId="60" xfId="0" applyFont="1" applyFill="1" applyBorder="1" applyAlignment="1">
      <alignment horizontal="center"/>
    </xf>
    <xf numFmtId="45" fontId="39" fillId="16" borderId="170" xfId="0" applyNumberFormat="1" applyFont="1" applyFill="1" applyBorder="1" applyAlignment="1">
      <alignment horizontal="center"/>
    </xf>
    <xf numFmtId="45" fontId="39" fillId="16" borderId="110" xfId="0" applyNumberFormat="1" applyFont="1" applyFill="1" applyBorder="1" applyAlignment="1">
      <alignment horizontal="center"/>
    </xf>
    <xf numFmtId="0" fontId="40" fillId="16" borderId="569" xfId="0" applyFont="1" applyFill="1" applyBorder="1" applyAlignment="1">
      <alignment horizontal="center"/>
    </xf>
    <xf numFmtId="9" fontId="43" fillId="16" borderId="0" xfId="96" applyFont="1" applyFill="1" applyBorder="1" applyAlignment="1">
      <alignment horizontal="center"/>
    </xf>
    <xf numFmtId="9" fontId="43" fillId="16" borderId="110" xfId="96" applyFont="1" applyFill="1" applyBorder="1" applyAlignment="1">
      <alignment horizontal="center"/>
    </xf>
    <xf numFmtId="0" fontId="40" fillId="17" borderId="118" xfId="0" applyFont="1" applyFill="1" applyBorder="1" applyAlignment="1">
      <alignment horizontal="center"/>
    </xf>
    <xf numFmtId="45" fontId="39" fillId="17" borderId="169" xfId="0" applyNumberFormat="1" applyFont="1" applyFill="1" applyBorder="1" applyAlignment="1">
      <alignment horizontal="center"/>
    </xf>
    <xf numFmtId="45" fontId="39" fillId="17" borderId="114" xfId="0" applyNumberFormat="1" applyFont="1" applyFill="1" applyBorder="1" applyAlignment="1">
      <alignment horizontal="center"/>
    </xf>
    <xf numFmtId="0" fontId="40" fillId="17" borderId="606" xfId="0" applyFont="1" applyFill="1" applyBorder="1" applyAlignment="1">
      <alignment horizontal="center"/>
    </xf>
    <xf numFmtId="9" fontId="43" fillId="17" borderId="1037" xfId="96" applyFont="1" applyFill="1" applyBorder="1" applyAlignment="1">
      <alignment horizontal="center"/>
    </xf>
    <xf numFmtId="9" fontId="43" fillId="17" borderId="1038" xfId="96" applyFont="1" applyFill="1" applyBorder="1" applyAlignment="1">
      <alignment horizontal="center"/>
    </xf>
    <xf numFmtId="0" fontId="40" fillId="5" borderId="0" xfId="0" applyFont="1" applyFill="1" applyAlignment="1">
      <alignment horizontal="center"/>
    </xf>
    <xf numFmtId="0" fontId="40" fillId="5" borderId="0" xfId="0" applyFont="1" applyFill="1" applyAlignment="1">
      <alignment horizontal="center" vertical="center"/>
    </xf>
    <xf numFmtId="1" fontId="39" fillId="5" borderId="0" xfId="0" applyNumberFormat="1" applyFont="1" applyFill="1" applyAlignment="1">
      <alignment horizontal="center"/>
    </xf>
    <xf numFmtId="0" fontId="40" fillId="6" borderId="716" xfId="0" applyFont="1" applyFill="1" applyBorder="1"/>
    <xf numFmtId="0" fontId="40" fillId="6" borderId="717" xfId="0" applyFont="1" applyFill="1" applyBorder="1"/>
    <xf numFmtId="0" fontId="40" fillId="6" borderId="889" xfId="0" applyFont="1" applyFill="1" applyBorder="1"/>
    <xf numFmtId="0" fontId="40" fillId="11" borderId="123" xfId="0" applyFont="1" applyFill="1" applyBorder="1" applyAlignment="1">
      <alignment horizontal="center"/>
    </xf>
    <xf numFmtId="0" fontId="40" fillId="11" borderId="119" xfId="0" applyFont="1" applyFill="1" applyBorder="1" applyAlignment="1">
      <alignment horizontal="center"/>
    </xf>
    <xf numFmtId="0" fontId="40" fillId="11" borderId="122" xfId="0" applyFont="1" applyFill="1" applyBorder="1" applyAlignment="1">
      <alignment horizontal="center"/>
    </xf>
    <xf numFmtId="0" fontId="40" fillId="11" borderId="208" xfId="0" applyFont="1" applyFill="1" applyBorder="1" applyAlignment="1">
      <alignment horizontal="center"/>
    </xf>
    <xf numFmtId="0" fontId="40" fillId="11" borderId="203" xfId="0" applyFont="1" applyFill="1" applyBorder="1" applyAlignment="1">
      <alignment horizontal="center"/>
    </xf>
    <xf numFmtId="1" fontId="39" fillId="5" borderId="0" xfId="0" applyNumberFormat="1" applyFont="1" applyFill="1"/>
    <xf numFmtId="0" fontId="39" fillId="11" borderId="619" xfId="0" applyFont="1" applyFill="1" applyBorder="1" applyAlignment="1">
      <alignment horizontal="center"/>
    </xf>
    <xf numFmtId="20" fontId="39" fillId="11" borderId="868" xfId="0" applyNumberFormat="1" applyFont="1" applyFill="1" applyBorder="1" applyAlignment="1">
      <alignment horizontal="center"/>
    </xf>
    <xf numFmtId="0" fontId="39" fillId="11" borderId="868" xfId="0" applyFont="1" applyFill="1" applyBorder="1" applyAlignment="1">
      <alignment horizontal="center"/>
    </xf>
    <xf numFmtId="169" fontId="39" fillId="11" borderId="818" xfId="0" applyNumberFormat="1" applyFont="1" applyFill="1" applyBorder="1" applyAlignment="1">
      <alignment horizontal="center"/>
    </xf>
    <xf numFmtId="1" fontId="39" fillId="11" borderId="754" xfId="0" applyNumberFormat="1" applyFont="1" applyFill="1" applyBorder="1" applyAlignment="1">
      <alignment horizontal="center"/>
    </xf>
    <xf numFmtId="0" fontId="40" fillId="5" borderId="0" xfId="0" applyFont="1" applyFill="1"/>
    <xf numFmtId="0" fontId="39" fillId="11" borderId="0" xfId="0" applyFont="1" applyFill="1" applyAlignment="1">
      <alignment horizontal="center"/>
    </xf>
    <xf numFmtId="169" fontId="39" fillId="11" borderId="60" xfId="0" applyNumberFormat="1" applyFont="1" applyFill="1" applyBorder="1" applyAlignment="1">
      <alignment horizontal="center"/>
    </xf>
    <xf numFmtId="20" fontId="39" fillId="11" borderId="0" xfId="0" applyNumberFormat="1" applyFont="1" applyFill="1" applyAlignment="1">
      <alignment horizontal="center"/>
    </xf>
    <xf numFmtId="1" fontId="39" fillId="11" borderId="0" xfId="0" applyNumberFormat="1" applyFont="1" applyFill="1" applyAlignment="1">
      <alignment horizontal="center"/>
    </xf>
    <xf numFmtId="0" fontId="39" fillId="11" borderId="110" xfId="0" applyFont="1" applyFill="1" applyBorder="1" applyAlignment="1">
      <alignment horizontal="center"/>
    </xf>
    <xf numFmtId="1" fontId="39" fillId="11" borderId="110" xfId="0" applyNumberFormat="1" applyFont="1" applyFill="1" applyBorder="1" applyAlignment="1">
      <alignment horizontal="center"/>
    </xf>
    <xf numFmtId="1" fontId="43" fillId="11" borderId="60" xfId="0" applyNumberFormat="1" applyFont="1" applyFill="1" applyBorder="1" applyAlignment="1">
      <alignment horizontal="center"/>
    </xf>
    <xf numFmtId="1" fontId="43" fillId="11" borderId="0" xfId="0" applyNumberFormat="1" applyFont="1" applyFill="1" applyAlignment="1">
      <alignment horizontal="center"/>
    </xf>
    <xf numFmtId="1" fontId="43" fillId="11" borderId="110" xfId="0" applyNumberFormat="1" applyFont="1" applyFill="1" applyBorder="1" applyAlignment="1">
      <alignment horizontal="center"/>
    </xf>
    <xf numFmtId="169" fontId="39" fillId="11" borderId="160" xfId="0" applyNumberFormat="1" applyFont="1" applyFill="1" applyBorder="1" applyAlignment="1">
      <alignment horizontal="center"/>
    </xf>
    <xf numFmtId="0" fontId="40" fillId="7" borderId="843" xfId="0" applyFont="1" applyFill="1" applyBorder="1" applyAlignment="1">
      <alignment horizontal="center"/>
    </xf>
    <xf numFmtId="169" fontId="40" fillId="7" borderId="866" xfId="0" applyNumberFormat="1" applyFont="1" applyFill="1" applyBorder="1" applyAlignment="1">
      <alignment horizontal="center"/>
    </xf>
    <xf numFmtId="0" fontId="40" fillId="7" borderId="866" xfId="0" applyFont="1" applyFill="1" applyBorder="1" applyAlignment="1">
      <alignment horizontal="center"/>
    </xf>
    <xf numFmtId="0" fontId="40" fillId="7" borderId="716" xfId="0" applyFont="1" applyFill="1" applyBorder="1" applyAlignment="1">
      <alignment horizontal="center"/>
    </xf>
    <xf numFmtId="0" fontId="40" fillId="7" borderId="717" xfId="0" applyFont="1" applyFill="1" applyBorder="1" applyAlignment="1">
      <alignment horizontal="center"/>
    </xf>
    <xf numFmtId="0" fontId="40" fillId="7" borderId="715" xfId="0" applyFont="1" applyFill="1" applyBorder="1" applyAlignment="1">
      <alignment horizontal="center"/>
    </xf>
    <xf numFmtId="169" fontId="40" fillId="7" borderId="716" xfId="0" applyNumberFormat="1" applyFont="1" applyFill="1" applyBorder="1" applyAlignment="1">
      <alignment horizontal="center"/>
    </xf>
    <xf numFmtId="0" fontId="39" fillId="7" borderId="60" xfId="0" applyFont="1" applyFill="1" applyBorder="1" applyAlignment="1">
      <alignment horizontal="center"/>
    </xf>
    <xf numFmtId="169" fontId="39" fillId="7" borderId="865" xfId="0" applyNumberFormat="1" applyFont="1" applyFill="1" applyBorder="1" applyAlignment="1">
      <alignment horizontal="center"/>
    </xf>
    <xf numFmtId="20" fontId="39" fillId="7" borderId="613" xfId="0" applyNumberFormat="1" applyFont="1" applyFill="1" applyBorder="1" applyAlignment="1">
      <alignment horizontal="center"/>
    </xf>
    <xf numFmtId="1" fontId="39" fillId="7" borderId="613" xfId="0" applyNumberFormat="1" applyFont="1" applyFill="1" applyBorder="1" applyAlignment="1">
      <alignment horizontal="center"/>
    </xf>
    <xf numFmtId="0" fontId="39" fillId="7" borderId="845" xfId="0" applyFont="1" applyFill="1" applyBorder="1" applyAlignment="1">
      <alignment horizontal="center"/>
    </xf>
    <xf numFmtId="0" fontId="39" fillId="7" borderId="0" xfId="0" applyFont="1" applyFill="1" applyAlignment="1">
      <alignment horizontal="center"/>
    </xf>
    <xf numFmtId="45" fontId="39" fillId="7" borderId="0" xfId="0" applyNumberFormat="1" applyFont="1" applyFill="1" applyAlignment="1">
      <alignment horizontal="center"/>
    </xf>
    <xf numFmtId="169" fontId="39" fillId="7" borderId="60" xfId="0" applyNumberFormat="1" applyFont="1" applyFill="1" applyBorder="1" applyAlignment="1">
      <alignment horizontal="center"/>
    </xf>
    <xf numFmtId="1" fontId="39" fillId="7" borderId="0" xfId="0" applyNumberFormat="1" applyFont="1" applyFill="1" applyAlignment="1">
      <alignment horizontal="center"/>
    </xf>
    <xf numFmtId="1" fontId="43" fillId="7" borderId="60" xfId="0" applyNumberFormat="1" applyFont="1" applyFill="1" applyBorder="1" applyAlignment="1">
      <alignment horizontal="center"/>
    </xf>
    <xf numFmtId="1" fontId="43" fillId="7" borderId="0" xfId="0" applyNumberFormat="1" applyFont="1" applyFill="1" applyAlignment="1">
      <alignment horizontal="center"/>
    </xf>
    <xf numFmtId="1" fontId="43" fillId="7" borderId="110" xfId="0" applyNumberFormat="1" applyFont="1" applyFill="1" applyBorder="1" applyAlignment="1">
      <alignment horizontal="center"/>
    </xf>
    <xf numFmtId="2" fontId="39" fillId="5" borderId="0" xfId="0" applyNumberFormat="1" applyFont="1" applyFill="1"/>
    <xf numFmtId="20" fontId="39" fillId="7" borderId="0" xfId="0" applyNumberFormat="1" applyFont="1" applyFill="1" applyAlignment="1">
      <alignment horizontal="center"/>
    </xf>
    <xf numFmtId="0" fontId="39" fillId="7" borderId="110" xfId="0" applyFont="1" applyFill="1" applyBorder="1" applyAlignment="1">
      <alignment horizontal="center"/>
    </xf>
    <xf numFmtId="1" fontId="43" fillId="7" borderId="160" xfId="0" applyNumberFormat="1" applyFont="1" applyFill="1" applyBorder="1" applyAlignment="1">
      <alignment horizontal="center"/>
    </xf>
    <xf numFmtId="1" fontId="43" fillId="7" borderId="158" xfId="0" applyNumberFormat="1" applyFont="1" applyFill="1" applyBorder="1" applyAlignment="1">
      <alignment horizontal="center"/>
    </xf>
    <xf numFmtId="1" fontId="43" fillId="7" borderId="159" xfId="0" applyNumberFormat="1" applyFont="1" applyFill="1" applyBorder="1" applyAlignment="1">
      <alignment horizontal="center"/>
    </xf>
    <xf numFmtId="0" fontId="39" fillId="7" borderId="577" xfId="0" applyFont="1" applyFill="1" applyBorder="1" applyAlignment="1">
      <alignment horizontal="center"/>
    </xf>
    <xf numFmtId="169" fontId="39" fillId="7" borderId="851" xfId="0" applyNumberFormat="1" applyFont="1" applyFill="1" applyBorder="1" applyAlignment="1">
      <alignment horizontal="center"/>
    </xf>
    <xf numFmtId="20" fontId="39" fillId="7" borderId="577" xfId="0" applyNumberFormat="1" applyFont="1" applyFill="1" applyBorder="1" applyAlignment="1">
      <alignment horizontal="center"/>
    </xf>
    <xf numFmtId="1" fontId="39" fillId="7" borderId="577" xfId="0" applyNumberFormat="1" applyFont="1" applyFill="1" applyBorder="1" applyAlignment="1">
      <alignment horizontal="center"/>
    </xf>
    <xf numFmtId="0" fontId="39" fillId="7" borderId="582" xfId="0" applyFont="1" applyFill="1" applyBorder="1" applyAlignment="1">
      <alignment horizontal="center"/>
    </xf>
    <xf numFmtId="1" fontId="39" fillId="7" borderId="582" xfId="0" applyNumberFormat="1" applyFont="1" applyFill="1" applyBorder="1" applyAlignment="1">
      <alignment horizontal="center"/>
    </xf>
    <xf numFmtId="1" fontId="39" fillId="7" borderId="110" xfId="0" applyNumberFormat="1" applyFont="1" applyFill="1" applyBorder="1" applyAlignment="1">
      <alignment horizontal="center"/>
    </xf>
    <xf numFmtId="45" fontId="39" fillId="5" borderId="0" xfId="0" applyNumberFormat="1" applyFont="1" applyFill="1"/>
    <xf numFmtId="0" fontId="39" fillId="7" borderId="107" xfId="0" applyFont="1" applyFill="1" applyBorder="1" applyAlignment="1">
      <alignment horizontal="center"/>
    </xf>
    <xf numFmtId="169" fontId="39" fillId="7" borderId="160" xfId="0" applyNumberFormat="1" applyFont="1" applyFill="1" applyBorder="1" applyAlignment="1">
      <alignment horizontal="center"/>
    </xf>
    <xf numFmtId="20" fontId="39" fillId="7" borderId="158" xfId="0" applyNumberFormat="1" applyFont="1" applyFill="1" applyBorder="1" applyAlignment="1">
      <alignment horizontal="center"/>
    </xf>
    <xf numFmtId="1" fontId="39" fillId="7" borderId="158" xfId="0" applyNumberFormat="1" applyFont="1" applyFill="1" applyBorder="1" applyAlignment="1">
      <alignment horizontal="center"/>
    </xf>
    <xf numFmtId="0" fontId="39" fillId="7" borderId="159" xfId="0" applyFont="1" applyFill="1" applyBorder="1" applyAlignment="1">
      <alignment horizontal="center"/>
    </xf>
    <xf numFmtId="1" fontId="39" fillId="7" borderId="125" xfId="0" applyNumberFormat="1" applyFont="1" applyFill="1" applyBorder="1" applyAlignment="1">
      <alignment horizontal="center"/>
    </xf>
    <xf numFmtId="0" fontId="39" fillId="7" borderId="160" xfId="0" applyFont="1" applyFill="1" applyBorder="1" applyAlignment="1">
      <alignment horizontal="center"/>
    </xf>
    <xf numFmtId="169" fontId="39" fillId="7" borderId="432" xfId="0" applyNumberFormat="1" applyFont="1" applyFill="1" applyBorder="1" applyAlignment="1">
      <alignment horizontal="center"/>
    </xf>
    <xf numFmtId="20" fontId="39" fillId="7" borderId="107" xfId="0" applyNumberFormat="1" applyFont="1" applyFill="1" applyBorder="1" applyAlignment="1">
      <alignment horizontal="center"/>
    </xf>
    <xf numFmtId="1" fontId="39" fillId="7" borderId="107" xfId="0" applyNumberFormat="1" applyFont="1" applyFill="1" applyBorder="1" applyAlignment="1">
      <alignment horizontal="center"/>
    </xf>
    <xf numFmtId="0" fontId="39" fillId="7" borderId="125" xfId="0" applyFont="1" applyFill="1" applyBorder="1" applyAlignment="1">
      <alignment horizontal="center"/>
    </xf>
    <xf numFmtId="0" fontId="39" fillId="7" borderId="158" xfId="0" applyFont="1" applyFill="1" applyBorder="1" applyAlignment="1">
      <alignment horizontal="center"/>
    </xf>
    <xf numFmtId="1" fontId="43" fillId="7" borderId="107" xfId="0" applyNumberFormat="1" applyFont="1" applyFill="1" applyBorder="1" applyAlignment="1">
      <alignment horizontal="center"/>
    </xf>
    <xf numFmtId="1" fontId="43" fillId="7" borderId="125" xfId="0" applyNumberFormat="1" applyFont="1" applyFill="1" applyBorder="1" applyAlignment="1">
      <alignment horizontal="center"/>
    </xf>
    <xf numFmtId="169" fontId="39" fillId="7" borderId="0" xfId="0" applyNumberFormat="1" applyFont="1" applyFill="1" applyAlignment="1">
      <alignment horizontal="center"/>
    </xf>
    <xf numFmtId="0" fontId="39" fillId="7" borderId="195" xfId="0" applyFont="1" applyFill="1" applyBorder="1" applyAlignment="1">
      <alignment horizontal="center"/>
    </xf>
    <xf numFmtId="169" fontId="39" fillId="7" borderId="863" xfId="0" applyNumberFormat="1" applyFont="1" applyFill="1" applyBorder="1" applyAlignment="1">
      <alignment horizontal="center"/>
    </xf>
    <xf numFmtId="20" fontId="39" fillId="7" borderId="866" xfId="0" applyNumberFormat="1" applyFont="1" applyFill="1" applyBorder="1" applyAlignment="1">
      <alignment horizontal="center"/>
    </xf>
    <xf numFmtId="1" fontId="39" fillId="7" borderId="866" xfId="0" applyNumberFormat="1" applyFont="1" applyFill="1" applyBorder="1" applyAlignment="1">
      <alignment horizontal="center"/>
    </xf>
    <xf numFmtId="0" fontId="39" fillId="7" borderId="867" xfId="0" applyFont="1" applyFill="1" applyBorder="1" applyAlignment="1">
      <alignment horizontal="center"/>
    </xf>
    <xf numFmtId="169" fontId="39" fillId="7" borderId="862" xfId="0" applyNumberFormat="1" applyFont="1" applyFill="1" applyBorder="1" applyAlignment="1">
      <alignment horizontal="center"/>
    </xf>
    <xf numFmtId="1" fontId="39" fillId="7" borderId="599" xfId="0" applyNumberFormat="1" applyFont="1" applyFill="1" applyBorder="1" applyAlignment="1">
      <alignment horizontal="center"/>
    </xf>
    <xf numFmtId="1" fontId="43" fillId="7" borderId="863" xfId="0" applyNumberFormat="1" applyFont="1" applyFill="1" applyBorder="1" applyAlignment="1">
      <alignment horizontal="center"/>
    </xf>
    <xf numFmtId="1" fontId="43" fillId="7" borderId="599" xfId="0" applyNumberFormat="1" applyFont="1" applyFill="1" applyBorder="1" applyAlignment="1">
      <alignment horizontal="center"/>
    </xf>
    <xf numFmtId="1" fontId="43" fillId="7" borderId="611" xfId="0" applyNumberFormat="1" applyFont="1" applyFill="1" applyBorder="1" applyAlignment="1">
      <alignment horizontal="center"/>
    </xf>
    <xf numFmtId="0" fontId="39" fillId="10" borderId="1018" xfId="0" applyFont="1" applyFill="1" applyBorder="1" applyAlignment="1">
      <alignment horizontal="center"/>
    </xf>
    <xf numFmtId="169" fontId="39" fillId="10" borderId="1018" xfId="0" applyNumberFormat="1" applyFont="1" applyFill="1" applyBorder="1" applyAlignment="1">
      <alignment horizontal="center"/>
    </xf>
    <xf numFmtId="45" fontId="39" fillId="10" borderId="613" xfId="0" applyNumberFormat="1" applyFont="1" applyFill="1" applyBorder="1" applyAlignment="1">
      <alignment horizontal="center"/>
    </xf>
    <xf numFmtId="0" fontId="39" fillId="10" borderId="613" xfId="0" applyFont="1" applyFill="1" applyBorder="1" applyAlignment="1">
      <alignment horizontal="center"/>
    </xf>
    <xf numFmtId="0" fontId="39" fillId="10" borderId="845" xfId="0" applyFont="1" applyFill="1" applyBorder="1" applyAlignment="1">
      <alignment horizontal="center"/>
    </xf>
    <xf numFmtId="169" fontId="39" fillId="10" borderId="613" xfId="0" applyNumberFormat="1" applyFont="1" applyFill="1" applyBorder="1" applyAlignment="1">
      <alignment horizontal="center"/>
    </xf>
    <xf numFmtId="1" fontId="39" fillId="10" borderId="845" xfId="0" applyNumberFormat="1" applyFont="1" applyFill="1" applyBorder="1" applyAlignment="1">
      <alignment horizontal="center"/>
    </xf>
    <xf numFmtId="1" fontId="43" fillId="10" borderId="613" xfId="0" applyNumberFormat="1" applyFont="1" applyFill="1" applyBorder="1" applyAlignment="1">
      <alignment horizontal="center"/>
    </xf>
    <xf numFmtId="1" fontId="43" fillId="10" borderId="845" xfId="0" applyNumberFormat="1" applyFont="1" applyFill="1" applyBorder="1" applyAlignment="1">
      <alignment horizontal="center"/>
    </xf>
    <xf numFmtId="0" fontId="39" fillId="10" borderId="60" xfId="0" applyFont="1" applyFill="1" applyBorder="1" applyAlignment="1">
      <alignment horizontal="center"/>
    </xf>
    <xf numFmtId="169" fontId="39" fillId="10" borderId="60" xfId="0" applyNumberFormat="1" applyFont="1" applyFill="1" applyBorder="1" applyAlignment="1">
      <alignment horizontal="center"/>
    </xf>
    <xf numFmtId="45" fontId="39" fillId="10" borderId="0" xfId="0" applyNumberFormat="1" applyFont="1" applyFill="1" applyAlignment="1">
      <alignment horizontal="center"/>
    </xf>
    <xf numFmtId="0" fontId="39" fillId="10" borderId="0" xfId="0" applyFont="1" applyFill="1" applyAlignment="1">
      <alignment horizontal="center"/>
    </xf>
    <xf numFmtId="0" fontId="39" fillId="10" borderId="110" xfId="0" applyFont="1" applyFill="1" applyBorder="1" applyAlignment="1">
      <alignment horizontal="center"/>
    </xf>
    <xf numFmtId="169" fontId="39" fillId="10" borderId="0" xfId="0" applyNumberFormat="1" applyFont="1" applyFill="1" applyAlignment="1">
      <alignment horizontal="center"/>
    </xf>
    <xf numFmtId="1" fontId="39" fillId="10" borderId="110" xfId="0" applyNumberFormat="1" applyFont="1" applyFill="1" applyBorder="1" applyAlignment="1">
      <alignment horizontal="center"/>
    </xf>
    <xf numFmtId="1" fontId="43" fillId="10" borderId="0" xfId="0" applyNumberFormat="1" applyFont="1" applyFill="1" applyAlignment="1">
      <alignment horizontal="center"/>
    </xf>
    <xf numFmtId="1" fontId="43" fillId="10" borderId="110" xfId="0" applyNumberFormat="1" applyFont="1" applyFill="1" applyBorder="1" applyAlignment="1">
      <alignment horizontal="center"/>
    </xf>
    <xf numFmtId="169" fontId="39" fillId="10" borderId="432" xfId="0" applyNumberFormat="1" applyFont="1" applyFill="1" applyBorder="1" applyAlignment="1">
      <alignment horizontal="center"/>
    </xf>
    <xf numFmtId="45" fontId="39" fillId="10" borderId="107" xfId="0" applyNumberFormat="1" applyFont="1" applyFill="1" applyBorder="1" applyAlignment="1">
      <alignment horizontal="center"/>
    </xf>
    <xf numFmtId="0" fontId="39" fillId="10" borderId="107" xfId="0" applyFont="1" applyFill="1" applyBorder="1" applyAlignment="1">
      <alignment horizontal="center"/>
    </xf>
    <xf numFmtId="0" fontId="39" fillId="10" borderId="125" xfId="0" applyFont="1" applyFill="1" applyBorder="1" applyAlignment="1">
      <alignment horizontal="center"/>
    </xf>
    <xf numFmtId="1" fontId="39" fillId="10" borderId="125" xfId="0" applyNumberFormat="1" applyFont="1" applyFill="1" applyBorder="1" applyAlignment="1">
      <alignment horizontal="center"/>
    </xf>
    <xf numFmtId="0" fontId="39" fillId="10" borderId="858" xfId="0" applyFont="1" applyFill="1" applyBorder="1" applyAlignment="1">
      <alignment horizontal="center"/>
    </xf>
    <xf numFmtId="45" fontId="39" fillId="10" borderId="857" xfId="0" applyNumberFormat="1" applyFont="1" applyFill="1" applyBorder="1" applyAlignment="1">
      <alignment horizontal="center"/>
    </xf>
    <xf numFmtId="0" fontId="39" fillId="10" borderId="857" xfId="0" applyFont="1" applyFill="1" applyBorder="1" applyAlignment="1">
      <alignment horizontal="center"/>
    </xf>
    <xf numFmtId="0" fontId="39" fillId="10" borderId="1029" xfId="0" applyFont="1" applyFill="1" applyBorder="1" applyAlignment="1">
      <alignment horizontal="center"/>
    </xf>
    <xf numFmtId="0" fontId="39" fillId="10" borderId="1030" xfId="0" applyFont="1" applyFill="1" applyBorder="1" applyAlignment="1">
      <alignment horizontal="center"/>
    </xf>
    <xf numFmtId="169" fontId="39" fillId="10" borderId="1030" xfId="0" applyNumberFormat="1" applyFont="1" applyFill="1" applyBorder="1" applyAlignment="1">
      <alignment horizontal="center"/>
    </xf>
    <xf numFmtId="45" fontId="39" fillId="10" borderId="866" xfId="0" applyNumberFormat="1" applyFont="1" applyFill="1" applyBorder="1" applyAlignment="1">
      <alignment horizontal="center"/>
    </xf>
    <xf numFmtId="0" fontId="39" fillId="10" borderId="866" xfId="0" applyFont="1" applyFill="1" applyBorder="1" applyAlignment="1">
      <alignment horizontal="center"/>
    </xf>
    <xf numFmtId="0" fontId="39" fillId="10" borderId="867" xfId="0" applyFont="1" applyFill="1" applyBorder="1" applyAlignment="1">
      <alignment horizontal="center"/>
    </xf>
    <xf numFmtId="169" fontId="39" fillId="10" borderId="866" xfId="0" applyNumberFormat="1" applyFont="1" applyFill="1" applyBorder="1" applyAlignment="1">
      <alignment horizontal="center"/>
    </xf>
    <xf numFmtId="1" fontId="39" fillId="10" borderId="867" xfId="0" applyNumberFormat="1" applyFont="1" applyFill="1" applyBorder="1" applyAlignment="1">
      <alignment horizontal="center"/>
    </xf>
    <xf numFmtId="169" fontId="40" fillId="16" borderId="60" xfId="0" applyNumberFormat="1" applyFont="1" applyFill="1" applyBorder="1" applyAlignment="1">
      <alignment horizontal="center"/>
    </xf>
    <xf numFmtId="0" fontId="40" fillId="16" borderId="0" xfId="0" applyFont="1" applyFill="1" applyAlignment="1">
      <alignment horizontal="center"/>
    </xf>
    <xf numFmtId="0" fontId="40" fillId="16" borderId="110" xfId="0" applyFont="1" applyFill="1" applyBorder="1" applyAlignment="1">
      <alignment horizontal="center"/>
    </xf>
    <xf numFmtId="169" fontId="40" fillId="16" borderId="179" xfId="0" applyNumberFormat="1" applyFont="1" applyFill="1" applyBorder="1" applyAlignment="1">
      <alignment horizontal="center"/>
    </xf>
    <xf numFmtId="0" fontId="40" fillId="16" borderId="111" xfId="0" applyFont="1" applyFill="1" applyBorder="1" applyAlignment="1">
      <alignment horizontal="center"/>
    </xf>
    <xf numFmtId="0" fontId="39" fillId="16" borderId="173" xfId="0" applyFont="1" applyFill="1" applyBorder="1" applyAlignment="1">
      <alignment horizontal="center"/>
    </xf>
    <xf numFmtId="169" fontId="39" fillId="16" borderId="614" xfId="0" applyNumberFormat="1" applyFont="1" applyFill="1" applyBorder="1" applyAlignment="1">
      <alignment horizontal="center"/>
    </xf>
    <xf numFmtId="45" fontId="39" fillId="16" borderId="613" xfId="0" applyNumberFormat="1" applyFont="1" applyFill="1" applyBorder="1" applyAlignment="1">
      <alignment horizontal="center"/>
    </xf>
    <xf numFmtId="0" fontId="39" fillId="16" borderId="613" xfId="0" applyFont="1" applyFill="1" applyBorder="1" applyAlignment="1">
      <alignment horizontal="center"/>
    </xf>
    <xf numFmtId="0" fontId="39" fillId="16" borderId="612" xfId="0" applyFont="1" applyFill="1" applyBorder="1" applyAlignment="1">
      <alignment horizontal="center"/>
    </xf>
    <xf numFmtId="169" fontId="39" fillId="16" borderId="613" xfId="0" applyNumberFormat="1" applyFont="1" applyFill="1" applyBorder="1" applyAlignment="1">
      <alignment horizontal="center"/>
    </xf>
    <xf numFmtId="45" fontId="39" fillId="16" borderId="171" xfId="0" applyNumberFormat="1" applyFont="1" applyFill="1" applyBorder="1" applyAlignment="1">
      <alignment horizontal="center"/>
    </xf>
    <xf numFmtId="0" fontId="39" fillId="16" borderId="171" xfId="0" applyFont="1" applyFill="1" applyBorder="1" applyAlignment="1">
      <alignment horizontal="center"/>
    </xf>
    <xf numFmtId="169" fontId="39" fillId="16" borderId="825" xfId="0" applyNumberFormat="1" applyFont="1" applyFill="1" applyBorder="1" applyAlignment="1">
      <alignment horizontal="center"/>
    </xf>
    <xf numFmtId="1" fontId="39" fillId="16" borderId="845" xfId="0" applyNumberFormat="1" applyFont="1" applyFill="1" applyBorder="1" applyAlignment="1">
      <alignment horizontal="center"/>
    </xf>
    <xf numFmtId="1" fontId="43" fillId="16" borderId="205" xfId="0" applyNumberFormat="1" applyFont="1" applyFill="1" applyBorder="1" applyAlignment="1">
      <alignment horizontal="center"/>
    </xf>
    <xf numFmtId="1" fontId="43" fillId="16" borderId="171" xfId="0" applyNumberFormat="1" applyFont="1" applyFill="1" applyBorder="1" applyAlignment="1">
      <alignment horizontal="center"/>
    </xf>
    <xf numFmtId="1" fontId="43" fillId="16" borderId="172" xfId="0" applyNumberFormat="1" applyFont="1" applyFill="1" applyBorder="1" applyAlignment="1">
      <alignment horizontal="center"/>
    </xf>
    <xf numFmtId="0" fontId="39" fillId="16" borderId="60" xfId="0" applyFont="1" applyFill="1" applyBorder="1" applyAlignment="1">
      <alignment horizontal="center"/>
    </xf>
    <xf numFmtId="169" fontId="39" fillId="16" borderId="60" xfId="0" applyNumberFormat="1" applyFont="1" applyFill="1" applyBorder="1" applyAlignment="1">
      <alignment horizontal="center"/>
    </xf>
    <xf numFmtId="45" fontId="39" fillId="16" borderId="0" xfId="0" applyNumberFormat="1" applyFont="1" applyFill="1" applyAlignment="1">
      <alignment horizontal="center"/>
    </xf>
    <xf numFmtId="0" fontId="39" fillId="16" borderId="0" xfId="0" applyFont="1" applyFill="1" applyAlignment="1">
      <alignment horizontal="center"/>
    </xf>
    <xf numFmtId="0" fontId="39" fillId="16" borderId="110" xfId="0" applyFont="1" applyFill="1" applyBorder="1" applyAlignment="1">
      <alignment horizontal="center"/>
    </xf>
    <xf numFmtId="169" fontId="39" fillId="16" borderId="0" xfId="0" applyNumberFormat="1" applyFont="1" applyFill="1" applyAlignment="1">
      <alignment horizontal="center"/>
    </xf>
    <xf numFmtId="1" fontId="39" fillId="16" borderId="110" xfId="0" applyNumberFormat="1" applyFont="1" applyFill="1" applyBorder="1" applyAlignment="1">
      <alignment horizontal="center"/>
    </xf>
    <xf numFmtId="1" fontId="43" fillId="16" borderId="0" xfId="0" applyNumberFormat="1" applyFont="1" applyFill="1" applyAlignment="1">
      <alignment horizontal="center"/>
    </xf>
    <xf numFmtId="1" fontId="43" fillId="16" borderId="110" xfId="0" applyNumberFormat="1" applyFont="1" applyFill="1" applyBorder="1" applyAlignment="1">
      <alignment horizontal="center"/>
    </xf>
    <xf numFmtId="169" fontId="39" fillId="16" borderId="160" xfId="0" applyNumberFormat="1" applyFont="1" applyFill="1" applyBorder="1" applyAlignment="1">
      <alignment horizontal="center"/>
    </xf>
    <xf numFmtId="0" fontId="39" fillId="16" borderId="159" xfId="0" applyFont="1" applyFill="1" applyBorder="1" applyAlignment="1">
      <alignment horizontal="center"/>
    </xf>
    <xf numFmtId="1" fontId="43" fillId="16" borderId="160" xfId="0" applyNumberFormat="1" applyFont="1" applyFill="1" applyBorder="1" applyAlignment="1">
      <alignment horizontal="center"/>
    </xf>
    <xf numFmtId="0" fontId="39" fillId="16" borderId="118" xfId="0" applyFont="1" applyFill="1" applyBorder="1" applyAlignment="1">
      <alignment horizontal="center"/>
    </xf>
    <xf numFmtId="169" fontId="39" fillId="16" borderId="195" xfId="0" applyNumberFormat="1" applyFont="1" applyFill="1" applyBorder="1" applyAlignment="1">
      <alignment horizontal="center"/>
    </xf>
    <xf numFmtId="45" fontId="39" fillId="16" borderId="599" xfId="0" applyNumberFormat="1" applyFont="1" applyFill="1" applyBorder="1" applyAlignment="1">
      <alignment horizontal="center"/>
    </xf>
    <xf numFmtId="0" fontId="39" fillId="16" borderId="599" xfId="0" applyFont="1" applyFill="1" applyBorder="1" applyAlignment="1">
      <alignment horizontal="center"/>
    </xf>
    <xf numFmtId="0" fontId="39" fillId="16" borderId="611" xfId="0" applyFont="1" applyFill="1" applyBorder="1" applyAlignment="1">
      <alignment horizontal="center"/>
    </xf>
    <xf numFmtId="169" fontId="39" fillId="16" borderId="599" xfId="0" applyNumberFormat="1" applyFont="1" applyFill="1" applyBorder="1" applyAlignment="1">
      <alignment horizontal="center"/>
    </xf>
    <xf numFmtId="45" fontId="39" fillId="16" borderId="111" xfId="0" applyNumberFormat="1" applyFont="1" applyFill="1" applyBorder="1" applyAlignment="1">
      <alignment horizontal="center"/>
    </xf>
    <xf numFmtId="0" fontId="39" fillId="16" borderId="111" xfId="0" applyFont="1" applyFill="1" applyBorder="1" applyAlignment="1">
      <alignment horizontal="center"/>
    </xf>
    <xf numFmtId="1" fontId="39" fillId="16" borderId="611" xfId="0" applyNumberFormat="1" applyFont="1" applyFill="1" applyBorder="1" applyAlignment="1">
      <alignment horizontal="center"/>
    </xf>
    <xf numFmtId="1" fontId="43" fillId="16" borderId="111" xfId="0" applyNumberFormat="1" applyFont="1" applyFill="1" applyBorder="1" applyAlignment="1">
      <alignment horizontal="center"/>
    </xf>
    <xf numFmtId="1" fontId="43" fillId="16" borderId="114" xfId="0" applyNumberFormat="1" applyFont="1" applyFill="1" applyBorder="1" applyAlignment="1">
      <alignment horizontal="center"/>
    </xf>
    <xf numFmtId="0" fontId="40" fillId="17" borderId="185" xfId="0" applyFont="1" applyFill="1" applyBorder="1" applyAlignment="1">
      <alignment horizontal="center"/>
    </xf>
    <xf numFmtId="169" fontId="40" fillId="17" borderId="614" xfId="0" applyNumberFormat="1" applyFont="1" applyFill="1" applyBorder="1" applyAlignment="1">
      <alignment horizontal="center"/>
    </xf>
    <xf numFmtId="0" fontId="40" fillId="17" borderId="613" xfId="0" applyFont="1" applyFill="1" applyBorder="1" applyAlignment="1">
      <alignment horizontal="center"/>
    </xf>
    <xf numFmtId="0" fontId="40" fillId="17" borderId="612" xfId="0" applyFont="1" applyFill="1" applyBorder="1" applyAlignment="1">
      <alignment horizontal="center"/>
    </xf>
    <xf numFmtId="169" fontId="40" fillId="17" borderId="185" xfId="0" applyNumberFormat="1" applyFont="1" applyFill="1" applyBorder="1" applyAlignment="1">
      <alignment horizontal="center"/>
    </xf>
    <xf numFmtId="0" fontId="40" fillId="17" borderId="186" xfId="0" applyFont="1" applyFill="1" applyBorder="1" applyAlignment="1">
      <alignment horizontal="center"/>
    </xf>
    <xf numFmtId="0" fontId="40" fillId="17" borderId="187" xfId="0" applyFont="1" applyFill="1" applyBorder="1" applyAlignment="1">
      <alignment horizontal="center"/>
    </xf>
    <xf numFmtId="169" fontId="40" fillId="17" borderId="206" xfId="0" applyNumberFormat="1" applyFont="1" applyFill="1" applyBorder="1" applyAlignment="1">
      <alignment horizontal="center"/>
    </xf>
    <xf numFmtId="0" fontId="40" fillId="17" borderId="207" xfId="0" applyFont="1" applyFill="1" applyBorder="1" applyAlignment="1">
      <alignment horizontal="center"/>
    </xf>
    <xf numFmtId="0" fontId="39" fillId="17" borderId="60" xfId="0" applyFont="1" applyFill="1" applyBorder="1" applyAlignment="1">
      <alignment horizontal="center"/>
    </xf>
    <xf numFmtId="169" fontId="39" fillId="17" borderId="614" xfId="0" applyNumberFormat="1" applyFont="1" applyFill="1" applyBorder="1" applyAlignment="1">
      <alignment horizontal="center"/>
    </xf>
    <xf numFmtId="45" fontId="39" fillId="17" borderId="613" xfId="0" applyNumberFormat="1" applyFont="1" applyFill="1" applyBorder="1" applyAlignment="1">
      <alignment horizontal="center"/>
    </xf>
    <xf numFmtId="0" fontId="39" fillId="17" borderId="613" xfId="0" applyFont="1" applyFill="1" applyBorder="1" applyAlignment="1">
      <alignment horizontal="center"/>
    </xf>
    <xf numFmtId="0" fontId="39" fillId="17" borderId="612" xfId="0" applyFont="1" applyFill="1" applyBorder="1" applyAlignment="1">
      <alignment horizontal="center"/>
    </xf>
    <xf numFmtId="169" fontId="39" fillId="17" borderId="0" xfId="0" applyNumberFormat="1" applyFont="1" applyFill="1" applyAlignment="1">
      <alignment horizontal="center"/>
    </xf>
    <xf numFmtId="45" fontId="39" fillId="17" borderId="0" xfId="0" applyNumberFormat="1" applyFont="1" applyFill="1" applyAlignment="1">
      <alignment horizontal="center"/>
    </xf>
    <xf numFmtId="0" fontId="39" fillId="17" borderId="0" xfId="0" applyFont="1" applyFill="1" applyAlignment="1">
      <alignment horizontal="center"/>
    </xf>
    <xf numFmtId="169" fontId="39" fillId="17" borderId="60" xfId="0" applyNumberFormat="1" applyFont="1" applyFill="1" applyBorder="1" applyAlignment="1">
      <alignment horizontal="center"/>
    </xf>
    <xf numFmtId="1" fontId="39" fillId="17" borderId="110" xfId="0" applyNumberFormat="1" applyFont="1" applyFill="1" applyBorder="1" applyAlignment="1">
      <alignment horizontal="center"/>
    </xf>
    <xf numFmtId="1" fontId="43" fillId="17" borderId="0" xfId="0" applyNumberFormat="1" applyFont="1" applyFill="1" applyAlignment="1">
      <alignment horizontal="center"/>
    </xf>
    <xf numFmtId="1" fontId="43" fillId="17" borderId="110" xfId="0" applyNumberFormat="1" applyFont="1" applyFill="1" applyBorder="1" applyAlignment="1">
      <alignment horizontal="center"/>
    </xf>
    <xf numFmtId="0" fontId="39" fillId="17" borderId="110" xfId="0" applyFont="1" applyFill="1" applyBorder="1" applyAlignment="1">
      <alignment horizontal="center"/>
    </xf>
    <xf numFmtId="0" fontId="39" fillId="17" borderId="160" xfId="0" applyFont="1" applyFill="1" applyBorder="1" applyAlignment="1">
      <alignment horizontal="center"/>
    </xf>
    <xf numFmtId="169" fontId="39" fillId="17" borderId="160" xfId="0" applyNumberFormat="1" applyFont="1" applyFill="1" applyBorder="1" applyAlignment="1">
      <alignment horizontal="center"/>
    </xf>
    <xf numFmtId="45" fontId="39" fillId="17" borderId="158" xfId="0" applyNumberFormat="1" applyFont="1" applyFill="1" applyBorder="1" applyAlignment="1">
      <alignment horizontal="center"/>
    </xf>
    <xf numFmtId="0" fontId="39" fillId="17" borderId="158" xfId="0" applyFont="1" applyFill="1" applyBorder="1" applyAlignment="1">
      <alignment horizontal="center"/>
    </xf>
    <xf numFmtId="0" fontId="39" fillId="17" borderId="159" xfId="0" applyFont="1" applyFill="1" applyBorder="1" applyAlignment="1">
      <alignment horizontal="center"/>
    </xf>
    <xf numFmtId="169" fontId="39" fillId="17" borderId="158" xfId="0" applyNumberFormat="1" applyFont="1" applyFill="1" applyBorder="1" applyAlignment="1">
      <alignment horizontal="center"/>
    </xf>
    <xf numFmtId="1" fontId="39" fillId="17" borderId="159" xfId="0" applyNumberFormat="1" applyFont="1" applyFill="1" applyBorder="1" applyAlignment="1">
      <alignment horizontal="center"/>
    </xf>
    <xf numFmtId="1" fontId="43" fillId="17" borderId="158" xfId="0" applyNumberFormat="1" applyFont="1" applyFill="1" applyBorder="1" applyAlignment="1">
      <alignment horizontal="center"/>
    </xf>
    <xf numFmtId="1" fontId="43" fillId="17" borderId="159" xfId="0" applyNumberFormat="1" applyFont="1" applyFill="1" applyBorder="1" applyAlignment="1">
      <alignment horizontal="center"/>
    </xf>
    <xf numFmtId="0" fontId="39" fillId="17" borderId="906" xfId="0" applyFont="1" applyFill="1" applyBorder="1" applyAlignment="1">
      <alignment horizontal="center"/>
    </xf>
    <xf numFmtId="45" fontId="39" fillId="17" borderId="913" xfId="0" applyNumberFormat="1" applyFont="1" applyFill="1" applyBorder="1" applyAlignment="1">
      <alignment horizontal="center"/>
    </xf>
    <xf numFmtId="169" fontId="39" fillId="17" borderId="913" xfId="0" applyNumberFormat="1" applyFont="1" applyFill="1" applyBorder="1" applyAlignment="1">
      <alignment horizontal="center"/>
    </xf>
    <xf numFmtId="0" fontId="39" fillId="17" borderId="179" xfId="0" applyFont="1" applyFill="1" applyBorder="1" applyAlignment="1">
      <alignment horizontal="center"/>
    </xf>
    <xf numFmtId="169" fontId="39" fillId="17" borderId="195" xfId="0" applyNumberFormat="1" applyFont="1" applyFill="1" applyBorder="1" applyAlignment="1">
      <alignment horizontal="center"/>
    </xf>
    <xf numFmtId="45" fontId="39" fillId="17" borderId="599" xfId="0" applyNumberFormat="1" applyFont="1" applyFill="1" applyBorder="1" applyAlignment="1">
      <alignment horizontal="center"/>
    </xf>
    <xf numFmtId="0" fontId="39" fillId="17" borderId="599" xfId="0" applyFont="1" applyFill="1" applyBorder="1" applyAlignment="1">
      <alignment horizontal="center"/>
    </xf>
    <xf numFmtId="0" fontId="39" fillId="17" borderId="611" xfId="0" applyFont="1" applyFill="1" applyBorder="1" applyAlignment="1">
      <alignment horizontal="center"/>
    </xf>
    <xf numFmtId="45" fontId="39" fillId="17" borderId="111" xfId="0" applyNumberFormat="1" applyFont="1" applyFill="1" applyBorder="1" applyAlignment="1">
      <alignment horizontal="center"/>
    </xf>
    <xf numFmtId="0" fontId="39" fillId="17" borderId="111" xfId="0" applyFont="1" applyFill="1" applyBorder="1" applyAlignment="1">
      <alignment horizontal="center"/>
    </xf>
    <xf numFmtId="1" fontId="39" fillId="17" borderId="114" xfId="0" applyNumberFormat="1" applyFont="1" applyFill="1" applyBorder="1" applyAlignment="1">
      <alignment horizontal="center"/>
    </xf>
    <xf numFmtId="1" fontId="43" fillId="17" borderId="111" xfId="0" applyNumberFormat="1" applyFont="1" applyFill="1" applyBorder="1" applyAlignment="1">
      <alignment horizontal="center"/>
    </xf>
    <xf numFmtId="1" fontId="43" fillId="17" borderId="114" xfId="0" applyNumberFormat="1" applyFont="1" applyFill="1" applyBorder="1" applyAlignment="1">
      <alignment horizontal="center"/>
    </xf>
    <xf numFmtId="0" fontId="40" fillId="15" borderId="150" xfId="0" applyFont="1" applyFill="1" applyBorder="1" applyAlignment="1">
      <alignment horizontal="center"/>
    </xf>
    <xf numFmtId="169" fontId="40" fillId="15" borderId="179" xfId="0" applyNumberFormat="1" applyFont="1" applyFill="1" applyBorder="1" applyAlignment="1">
      <alignment horizontal="center"/>
    </xf>
    <xf numFmtId="0" fontId="40" fillId="15" borderId="111" xfId="0" applyFont="1" applyFill="1" applyBorder="1" applyAlignment="1">
      <alignment horizontal="center"/>
    </xf>
    <xf numFmtId="0" fontId="40" fillId="15" borderId="164" xfId="0" applyFont="1" applyFill="1" applyBorder="1" applyAlignment="1">
      <alignment horizontal="center"/>
    </xf>
    <xf numFmtId="0" fontId="40" fillId="15" borderId="151" xfId="0" applyFont="1" applyFill="1" applyBorder="1" applyAlignment="1">
      <alignment horizontal="center"/>
    </xf>
    <xf numFmtId="0" fontId="40" fillId="15" borderId="152" xfId="0" applyFont="1" applyFill="1" applyBorder="1" applyAlignment="1">
      <alignment horizontal="center"/>
    </xf>
    <xf numFmtId="169" fontId="40" fillId="15" borderId="206" xfId="0" applyNumberFormat="1" applyFont="1" applyFill="1" applyBorder="1" applyAlignment="1">
      <alignment horizontal="center"/>
    </xf>
    <xf numFmtId="0" fontId="40" fillId="15" borderId="207" xfId="0" applyFont="1" applyFill="1" applyBorder="1" applyAlignment="1">
      <alignment horizontal="center"/>
    </xf>
    <xf numFmtId="0" fontId="39" fillId="15" borderId="60" xfId="0" applyFont="1" applyFill="1" applyBorder="1" applyAlignment="1">
      <alignment horizontal="center"/>
    </xf>
    <xf numFmtId="169" fontId="39" fillId="15" borderId="183" xfId="0" applyNumberFormat="1" applyFont="1" applyFill="1" applyBorder="1" applyAlignment="1">
      <alignment horizontal="center"/>
    </xf>
    <xf numFmtId="45" fontId="39" fillId="15" borderId="181" xfId="0" applyNumberFormat="1" applyFont="1" applyFill="1" applyBorder="1" applyAlignment="1">
      <alignment horizontal="center"/>
    </xf>
    <xf numFmtId="0" fontId="39" fillId="15" borderId="181" xfId="0" applyFont="1" applyFill="1" applyBorder="1" applyAlignment="1">
      <alignment horizontal="center"/>
    </xf>
    <xf numFmtId="0" fontId="39" fillId="15" borderId="182" xfId="0" applyFont="1" applyFill="1" applyBorder="1" applyAlignment="1">
      <alignment horizontal="center"/>
    </xf>
    <xf numFmtId="45" fontId="39" fillId="15" borderId="0" xfId="0" applyNumberFormat="1" applyFont="1" applyFill="1" applyAlignment="1">
      <alignment horizontal="center"/>
    </xf>
    <xf numFmtId="0" fontId="39" fillId="15" borderId="0" xfId="0" applyFont="1" applyFill="1" applyAlignment="1">
      <alignment horizontal="center"/>
    </xf>
    <xf numFmtId="169" fontId="39" fillId="15" borderId="208" xfId="0" applyNumberFormat="1" applyFont="1" applyFill="1" applyBorder="1" applyAlignment="1">
      <alignment horizontal="center"/>
    </xf>
    <xf numFmtId="1" fontId="39" fillId="15" borderId="203" xfId="0" applyNumberFormat="1" applyFont="1" applyFill="1" applyBorder="1" applyAlignment="1">
      <alignment horizontal="center"/>
    </xf>
    <xf numFmtId="1" fontId="43" fillId="15" borderId="205" xfId="0" applyNumberFormat="1" applyFont="1" applyFill="1" applyBorder="1" applyAlignment="1">
      <alignment horizontal="center"/>
    </xf>
    <xf numFmtId="1" fontId="43" fillId="15" borderId="140" xfId="0" applyNumberFormat="1" applyFont="1" applyFill="1" applyBorder="1" applyAlignment="1">
      <alignment horizontal="center"/>
    </xf>
    <xf numFmtId="1" fontId="43" fillId="15" borderId="147" xfId="0" applyNumberFormat="1" applyFont="1" applyFill="1" applyBorder="1" applyAlignment="1">
      <alignment horizontal="center"/>
    </xf>
    <xf numFmtId="0" fontId="39" fillId="15" borderId="118" xfId="0" applyFont="1" applyFill="1" applyBorder="1" applyAlignment="1">
      <alignment horizontal="center"/>
    </xf>
    <xf numFmtId="169" fontId="39" fillId="15" borderId="179" xfId="0" applyNumberFormat="1" applyFont="1" applyFill="1" applyBorder="1" applyAlignment="1">
      <alignment horizontal="center"/>
    </xf>
    <xf numFmtId="45" fontId="39" fillId="15" borderId="111" xfId="0" applyNumberFormat="1" applyFont="1" applyFill="1" applyBorder="1" applyAlignment="1">
      <alignment horizontal="center"/>
    </xf>
    <xf numFmtId="0" fontId="39" fillId="15" borderId="111" xfId="0" applyFont="1" applyFill="1" applyBorder="1" applyAlignment="1">
      <alignment horizontal="center"/>
    </xf>
    <xf numFmtId="0" fontId="39" fillId="15" borderId="164" xfId="0" applyFont="1" applyFill="1" applyBorder="1" applyAlignment="1">
      <alignment horizontal="center"/>
    </xf>
    <xf numFmtId="169" fontId="39" fillId="15" borderId="195" xfId="0" applyNumberFormat="1" applyFont="1" applyFill="1" applyBorder="1" applyAlignment="1">
      <alignment horizontal="center"/>
    </xf>
    <xf numFmtId="1" fontId="39" fillId="15" borderId="114" xfId="0" applyNumberFormat="1" applyFont="1" applyFill="1" applyBorder="1" applyAlignment="1">
      <alignment horizontal="center"/>
    </xf>
    <xf numFmtId="1" fontId="43" fillId="15" borderId="111" xfId="0" applyNumberFormat="1" applyFont="1" applyFill="1" applyBorder="1" applyAlignment="1">
      <alignment horizontal="center"/>
    </xf>
    <xf numFmtId="1" fontId="43" fillId="15" borderId="114" xfId="0" applyNumberFormat="1" applyFont="1" applyFill="1" applyBorder="1" applyAlignment="1">
      <alignment horizontal="center"/>
    </xf>
    <xf numFmtId="1" fontId="43" fillId="5" borderId="0" xfId="0" applyNumberFormat="1" applyFont="1" applyFill="1" applyAlignment="1">
      <alignment horizontal="center"/>
    </xf>
    <xf numFmtId="0" fontId="40" fillId="0" borderId="0" xfId="0" applyFont="1" applyAlignment="1">
      <alignment horizontal="center"/>
    </xf>
    <xf numFmtId="0" fontId="39" fillId="0" borderId="0" xfId="0" applyFont="1" applyAlignment="1">
      <alignment horizontal="center"/>
    </xf>
    <xf numFmtId="1" fontId="43" fillId="10" borderId="1018" xfId="0" applyNumberFormat="1" applyFont="1" applyFill="1" applyBorder="1" applyAlignment="1">
      <alignment horizontal="center"/>
    </xf>
    <xf numFmtId="1" fontId="43" fillId="10" borderId="60" xfId="0" applyNumberFormat="1" applyFont="1" applyFill="1" applyBorder="1" applyAlignment="1">
      <alignment horizontal="center"/>
    </xf>
    <xf numFmtId="1" fontId="43" fillId="10" borderId="160" xfId="0" applyNumberFormat="1" applyFont="1" applyFill="1" applyBorder="1" applyAlignment="1">
      <alignment horizontal="center"/>
    </xf>
    <xf numFmtId="1" fontId="43" fillId="10" borderId="158" xfId="0" applyNumberFormat="1" applyFont="1" applyFill="1" applyBorder="1" applyAlignment="1">
      <alignment horizontal="center"/>
    </xf>
    <xf numFmtId="1" fontId="43" fillId="10" borderId="159" xfId="0" applyNumberFormat="1" applyFont="1" applyFill="1" applyBorder="1" applyAlignment="1">
      <alignment horizontal="center"/>
    </xf>
    <xf numFmtId="1" fontId="43" fillId="10" borderId="1030" xfId="0" applyNumberFormat="1" applyFont="1" applyFill="1" applyBorder="1" applyAlignment="1">
      <alignment horizontal="center"/>
    </xf>
    <xf numFmtId="1" fontId="43" fillId="10" borderId="1037" xfId="0" applyNumberFormat="1" applyFont="1" applyFill="1" applyBorder="1" applyAlignment="1">
      <alignment horizontal="center"/>
    </xf>
    <xf numFmtId="1" fontId="43" fillId="10" borderId="1038" xfId="0" applyNumberFormat="1" applyFont="1" applyFill="1" applyBorder="1" applyAlignment="1">
      <alignment horizontal="center"/>
    </xf>
    <xf numFmtId="0" fontId="35" fillId="5" borderId="134" xfId="0" applyFont="1" applyFill="1" applyBorder="1" applyAlignment="1">
      <alignment horizontal="center" vertical="center"/>
    </xf>
    <xf numFmtId="0" fontId="36" fillId="5" borderId="135" xfId="0" applyFont="1" applyFill="1" applyBorder="1" applyAlignment="1">
      <alignment horizontal="center" 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l="center"/>
    </xf>
    <xf numFmtId="9" fontId="35" fillId="11" borderId="485" xfId="0" applyNumberFormat="1" applyFont="1" applyFill="1" applyBorder="1" applyAlignment="1">
      <alignment horizontal="center" vertical="center"/>
    </xf>
    <xf numFmtId="0" fontId="35" fillId="11" borderId="846" xfId="0" applyFont="1" applyFill="1" applyBorder="1" applyAlignment="1">
      <alignment horizontal="center" vertical="center"/>
    </xf>
    <xf numFmtId="9" fontId="35" fillId="11" borderId="845" xfId="0" applyNumberFormat="1" applyFont="1" applyFill="1" applyBorder="1" applyAlignment="1">
      <alignment horizontal="center" vertical="center"/>
    </xf>
    <xf numFmtId="1" fontId="35" fillId="5" borderId="485" xfId="0" applyNumberFormat="1" applyFont="1" applyFill="1" applyBorder="1" applyAlignment="1">
      <alignment horizontal="center" vertical="center"/>
    </xf>
    <xf numFmtId="1" fontId="35" fillId="5" borderId="846" xfId="0" applyNumberFormat="1" applyFont="1" applyFill="1" applyBorder="1" applyAlignment="1">
      <alignment horizontal="center" vertical="center"/>
    </xf>
    <xf numFmtId="1" fontId="35" fillId="5" borderId="845" xfId="0" applyNumberFormat="1" applyFont="1" applyFill="1" applyBorder="1" applyAlignment="1">
      <alignment horizontal="center" vertical="center"/>
    </xf>
    <xf numFmtId="0" fontId="36" fillId="7" borderId="60" xfId="0" applyFont="1" applyFill="1" applyBorder="1" applyAlignment="1">
      <alignment horizontal="center"/>
    </xf>
    <xf numFmtId="9" fontId="35" fillId="12" borderId="60" xfId="0" applyNumberFormat="1" applyFont="1" applyFill="1" applyBorder="1" applyAlignment="1">
      <alignment horizontal="center" vertical="center"/>
    </xf>
    <xf numFmtId="0" fontId="35" fillId="12" borderId="0" xfId="0" applyFont="1" applyFill="1" applyAlignment="1">
      <alignment horizontal="center" vertical="center"/>
    </xf>
    <xf numFmtId="9" fontId="35" fillId="12" borderId="110" xfId="0" applyNumberFormat="1" applyFont="1" applyFill="1" applyBorder="1" applyAlignment="1">
      <alignment horizontal="center" vertical="center"/>
    </xf>
    <xf numFmtId="1" fontId="35" fillId="5" borderId="60" xfId="0" applyNumberFormat="1" applyFont="1" applyFill="1" applyBorder="1" applyAlignment="1">
      <alignment horizontal="center" vertical="center"/>
    </xf>
    <xf numFmtId="1" fontId="35" fillId="5" borderId="0" xfId="0" applyNumberFormat="1" applyFont="1" applyFill="1" applyAlignment="1">
      <alignment horizontal="center" vertical="center"/>
    </xf>
    <xf numFmtId="1" fontId="35" fillId="5" borderId="110" xfId="0" applyNumberFormat="1" applyFont="1" applyFill="1" applyBorder="1" applyAlignment="1">
      <alignment horizontal="center" vertical="center"/>
    </xf>
    <xf numFmtId="0" fontId="36" fillId="13" borderId="869" xfId="0" applyFont="1" applyFill="1" applyBorder="1" applyAlignment="1">
      <alignment horizontal="center"/>
    </xf>
    <xf numFmtId="9" fontId="35" fillId="13" borderId="871" xfId="0" applyNumberFormat="1" applyFont="1" applyFill="1" applyBorder="1" applyAlignment="1">
      <alignment horizontal="center" vertical="center"/>
    </xf>
    <xf numFmtId="0" fontId="35" fillId="13" borderId="874" xfId="0" applyFont="1" applyFill="1" applyBorder="1" applyAlignment="1">
      <alignment horizontal="center" vertical="center"/>
    </xf>
    <xf numFmtId="9" fontId="35" fillId="13" borderId="870" xfId="0" applyNumberFormat="1" applyFont="1" applyFill="1" applyBorder="1" applyAlignment="1">
      <alignment horizontal="center" vertical="center"/>
    </xf>
    <xf numFmtId="1" fontId="35" fillId="5" borderId="871" xfId="0" applyNumberFormat="1" applyFont="1" applyFill="1" applyBorder="1" applyAlignment="1">
      <alignment horizontal="center" vertical="center"/>
    </xf>
    <xf numFmtId="1" fontId="35" fillId="5" borderId="874" xfId="0" applyNumberFormat="1" applyFont="1" applyFill="1" applyBorder="1" applyAlignment="1">
      <alignment horizontal="center" vertical="center"/>
    </xf>
    <xf numFmtId="1" fontId="35" fillId="5" borderId="870" xfId="0" applyNumberFormat="1" applyFont="1" applyFill="1" applyBorder="1" applyAlignment="1">
      <alignment horizontal="center" vertical="center"/>
    </xf>
    <xf numFmtId="0" fontId="36" fillId="10" borderId="60" xfId="0" applyFont="1" applyFill="1" applyBorder="1" applyAlignment="1">
      <alignment horizontal="center"/>
    </xf>
    <xf numFmtId="9" fontId="35" fillId="10" borderId="60" xfId="0" applyNumberFormat="1" applyFont="1" applyFill="1" applyBorder="1" applyAlignment="1">
      <alignment horizontal="center" vertical="center"/>
    </xf>
    <xf numFmtId="0" fontId="35" fillId="10" borderId="0" xfId="0" applyFont="1" applyFill="1" applyAlignment="1">
      <alignment horizontal="center" vertical="center"/>
    </xf>
    <xf numFmtId="9" fontId="35" fillId="10" borderId="110" xfId="0" applyNumberFormat="1" applyFont="1" applyFill="1" applyBorder="1" applyAlignment="1">
      <alignment horizontal="center" vertical="center"/>
    </xf>
    <xf numFmtId="0" fontId="36" fillId="16" borderId="60" xfId="0" applyFont="1" applyFill="1" applyBorder="1" applyAlignment="1">
      <alignment horizontal="center"/>
    </xf>
    <xf numFmtId="9" fontId="35" fillId="16" borderId="60" xfId="0" applyNumberFormat="1" applyFont="1" applyFill="1" applyBorder="1" applyAlignment="1">
      <alignment horizontal="center" vertical="center"/>
    </xf>
    <xf numFmtId="0" fontId="35" fillId="16" borderId="0" xfId="0" applyFont="1" applyFill="1" applyAlignment="1">
      <alignment horizontal="center" vertical="center"/>
    </xf>
    <xf numFmtId="9" fontId="35" fillId="16" borderId="110" xfId="0" applyNumberFormat="1" applyFont="1" applyFill="1" applyBorder="1" applyAlignment="1">
      <alignment horizontal="center" vertical="center"/>
    </xf>
    <xf numFmtId="0" fontId="36" fillId="17" borderId="118" xfId="0" applyFont="1" applyFill="1" applyBorder="1" applyAlignment="1">
      <alignment horizontal="center"/>
    </xf>
    <xf numFmtId="9" fontId="35" fillId="17" borderId="863" xfId="0" applyNumberFormat="1" applyFont="1" applyFill="1" applyBorder="1" applyAlignment="1">
      <alignment horizontal="center" vertical="center"/>
    </xf>
    <xf numFmtId="0" fontId="35" fillId="17" borderId="599" xfId="0" applyFont="1" applyFill="1" applyBorder="1" applyAlignment="1">
      <alignment horizontal="center" vertical="center"/>
    </xf>
    <xf numFmtId="9" fontId="35" fillId="17" borderId="611" xfId="0" applyNumberFormat="1" applyFont="1" applyFill="1" applyBorder="1" applyAlignment="1">
      <alignment horizontal="center" vertical="center"/>
    </xf>
    <xf numFmtId="1" fontId="35" fillId="5" borderId="863" xfId="0" applyNumberFormat="1" applyFont="1" applyFill="1" applyBorder="1" applyAlignment="1">
      <alignment horizontal="center" vertical="center"/>
    </xf>
    <xf numFmtId="1" fontId="35" fillId="5" borderId="599" xfId="0" applyNumberFormat="1" applyFont="1" applyFill="1" applyBorder="1" applyAlignment="1">
      <alignment horizontal="center" vertical="center"/>
    </xf>
    <xf numFmtId="1" fontId="35" fillId="5" borderId="611" xfId="0" applyNumberFormat="1" applyFont="1" applyFill="1" applyBorder="1" applyAlignment="1">
      <alignment horizontal="center" vertical="center"/>
    </xf>
    <xf numFmtId="0" fontId="36" fillId="5" borderId="138" xfId="0" applyFont="1" applyFill="1" applyBorder="1" applyAlignment="1">
      <alignment horizontal="center" vertical="center"/>
    </xf>
    <xf numFmtId="0" fontId="36" fillId="5" borderId="0" xfId="0" applyFont="1" applyFill="1" applyAlignment="1">
      <alignment horizontal="center" vertical="center"/>
    </xf>
    <xf numFmtId="9" fontId="35" fillId="5" borderId="0" xfId="0" applyNumberFormat="1" applyFont="1" applyFill="1" applyAlignment="1">
      <alignment horizontal="center" vertical="center"/>
    </xf>
    <xf numFmtId="0" fontId="35" fillId="5" borderId="0" xfId="0" applyFont="1" applyFill="1" applyAlignment="1">
      <alignment horizontal="center" vertical="center"/>
    </xf>
    <xf numFmtId="0" fontId="36" fillId="11" borderId="808" xfId="0" applyFont="1" applyFill="1" applyBorder="1" applyAlignment="1">
      <alignment horizontal="center"/>
    </xf>
    <xf numFmtId="9" fontId="35" fillId="11" borderId="865" xfId="0" applyNumberFormat="1" applyFont="1" applyFill="1" applyBorder="1" applyAlignment="1">
      <alignment horizontal="center" vertical="center"/>
    </xf>
    <xf numFmtId="0" fontId="35" fillId="11" borderId="613" xfId="0" applyFont="1" applyFill="1" applyBorder="1" applyAlignment="1">
      <alignment horizontal="center" vertical="center"/>
    </xf>
    <xf numFmtId="9" fontId="35" fillId="11" borderId="613" xfId="0" applyNumberFormat="1" applyFont="1" applyFill="1" applyBorder="1" applyAlignment="1">
      <alignment horizontal="center" vertical="center"/>
    </xf>
    <xf numFmtId="1" fontId="35" fillId="5" borderId="865" xfId="0" applyNumberFormat="1" applyFont="1" applyFill="1" applyBorder="1" applyAlignment="1">
      <alignment horizontal="center" vertical="center"/>
    </xf>
    <xf numFmtId="1" fontId="35" fillId="5" borderId="613" xfId="0" applyNumberFormat="1" applyFont="1" applyFill="1" applyBorder="1" applyAlignment="1">
      <alignment horizontal="center" vertical="center"/>
    </xf>
    <xf numFmtId="0" fontId="36" fillId="7" borderId="569" xfId="0" applyFont="1" applyFill="1" applyBorder="1" applyAlignment="1">
      <alignment horizontal="center"/>
    </xf>
    <xf numFmtId="9" fontId="35" fillId="12" borderId="0" xfId="0" applyNumberFormat="1" applyFont="1" applyFill="1" applyAlignment="1">
      <alignment horizontal="center" vertical="center"/>
    </xf>
    <xf numFmtId="0" fontId="36" fillId="13" borderId="888" xfId="0" applyFont="1" applyFill="1" applyBorder="1" applyAlignment="1">
      <alignment horizontal="center"/>
    </xf>
    <xf numFmtId="9" fontId="35" fillId="13" borderId="874" xfId="0" applyNumberFormat="1" applyFont="1" applyFill="1" applyBorder="1" applyAlignment="1">
      <alignment horizontal="center" vertical="center"/>
    </xf>
    <xf numFmtId="0" fontId="36" fillId="10" borderId="569" xfId="0" applyFont="1" applyFill="1" applyBorder="1" applyAlignment="1">
      <alignment horizontal="center"/>
    </xf>
    <xf numFmtId="9" fontId="35" fillId="10" borderId="0" xfId="0" applyNumberFormat="1" applyFont="1" applyFill="1" applyAlignment="1">
      <alignment horizontal="center" vertical="center"/>
    </xf>
    <xf numFmtId="0" fontId="36" fillId="16" borderId="606" xfId="0" applyFont="1" applyFill="1" applyBorder="1" applyAlignment="1">
      <alignment horizontal="center"/>
    </xf>
    <xf numFmtId="9" fontId="35" fillId="16" borderId="863" xfId="0" applyNumberFormat="1" applyFont="1" applyFill="1" applyBorder="1" applyAlignment="1">
      <alignment horizontal="center" vertical="center"/>
    </xf>
    <xf numFmtId="0" fontId="35" fillId="16" borderId="866" xfId="0" applyFont="1" applyFill="1" applyBorder="1" applyAlignment="1">
      <alignment horizontal="center" vertical="center"/>
    </xf>
    <xf numFmtId="9" fontId="35" fillId="16" borderId="866" xfId="0" applyNumberFormat="1" applyFont="1" applyFill="1" applyBorder="1" applyAlignment="1">
      <alignment horizontal="center" vertical="center"/>
    </xf>
    <xf numFmtId="0" fontId="35" fillId="5" borderId="866" xfId="0" applyFont="1" applyFill="1" applyBorder="1" applyAlignment="1">
      <alignment horizontal="center" vertical="center"/>
    </xf>
    <xf numFmtId="1" fontId="35" fillId="5" borderId="867" xfId="0" applyNumberFormat="1" applyFont="1" applyFill="1" applyBorder="1" applyAlignment="1">
      <alignment horizontal="center" vertical="center"/>
    </xf>
    <xf numFmtId="0" fontId="36" fillId="5" borderId="198" xfId="0" applyFont="1" applyFill="1" applyBorder="1" applyAlignment="1">
      <alignment horizontal="center" vertical="center"/>
    </xf>
    <xf numFmtId="0" fontId="36" fillId="5" borderId="199" xfId="0" applyFont="1" applyFill="1" applyBorder="1" applyAlignment="1">
      <alignment horizontal="center" vertical="center"/>
    </xf>
    <xf numFmtId="0" fontId="36" fillId="5" borderId="200" xfId="0" applyFont="1" applyFill="1" applyBorder="1" applyAlignment="1">
      <alignment horizontal="center" vertical="center"/>
    </xf>
    <xf numFmtId="0" fontId="36" fillId="5" borderId="201" xfId="0" applyFont="1" applyFill="1" applyBorder="1" applyAlignment="1">
      <alignment horizontal="center" vertical="center"/>
    </xf>
    <xf numFmtId="0" fontId="35" fillId="5" borderId="217" xfId="0" applyFont="1" applyFill="1" applyBorder="1" applyAlignment="1">
      <alignment horizontal="center" vertical="center"/>
    </xf>
    <xf numFmtId="0" fontId="35" fillId="5" borderId="215" xfId="0" applyFont="1" applyFill="1" applyBorder="1" applyAlignment="1">
      <alignment horizontal="center" vertical="center"/>
    </xf>
    <xf numFmtId="0" fontId="35" fillId="5" borderId="216" xfId="0" applyFont="1" applyFill="1" applyBorder="1" applyAlignment="1">
      <alignment horizontal="center" vertical="center"/>
    </xf>
    <xf numFmtId="0" fontId="35" fillId="5" borderId="271" xfId="0" applyFont="1" applyFill="1" applyBorder="1" applyAlignment="1">
      <alignment horizontal="center" vertical="center"/>
    </xf>
    <xf numFmtId="1" fontId="35" fillId="5" borderId="274" xfId="0" applyNumberFormat="1" applyFont="1" applyFill="1" applyBorder="1" applyAlignment="1">
      <alignment horizontal="center" vertical="center"/>
    </xf>
    <xf numFmtId="0" fontId="35" fillId="5" borderId="180" xfId="0" applyFont="1" applyFill="1" applyBorder="1" applyAlignment="1">
      <alignment horizontal="center" vertical="center"/>
    </xf>
    <xf numFmtId="0" fontId="35" fillId="5" borderId="193" xfId="0" applyFont="1" applyFill="1" applyBorder="1" applyAlignment="1">
      <alignment horizontal="center" vertical="center"/>
    </xf>
    <xf numFmtId="0" fontId="35" fillId="5" borderId="214" xfId="0" applyFont="1" applyFill="1" applyBorder="1" applyAlignment="1">
      <alignment horizontal="center" vertical="center"/>
    </xf>
    <xf numFmtId="0" fontId="35" fillId="5" borderId="272" xfId="0" applyFont="1" applyFill="1" applyBorder="1" applyAlignment="1">
      <alignment horizontal="center" vertical="center"/>
    </xf>
    <xf numFmtId="1" fontId="35" fillId="5" borderId="259" xfId="0" applyNumberFormat="1" applyFont="1" applyFill="1" applyBorder="1" applyAlignment="1">
      <alignment horizontal="center" vertical="center"/>
    </xf>
    <xf numFmtId="14" fontId="35" fillId="5" borderId="180" xfId="0" applyNumberFormat="1" applyFont="1" applyFill="1" applyBorder="1" applyAlignment="1">
      <alignment horizontal="center" vertical="center"/>
    </xf>
    <xf numFmtId="171" fontId="35" fillId="5" borderId="60" xfId="0" applyNumberFormat="1" applyFont="1" applyFill="1" applyBorder="1" applyAlignment="1">
      <alignment vertical="center"/>
    </xf>
    <xf numFmtId="171" fontId="35" fillId="5" borderId="0" xfId="0" applyNumberFormat="1" applyFont="1" applyFill="1" applyAlignment="1">
      <alignment vertical="center"/>
    </xf>
    <xf numFmtId="0" fontId="35" fillId="5" borderId="168" xfId="0" applyFont="1" applyFill="1" applyBorder="1" applyAlignment="1">
      <alignment horizontal="center" vertical="center"/>
    </xf>
    <xf numFmtId="0" fontId="35" fillId="5" borderId="192" xfId="0" applyFont="1" applyFill="1" applyBorder="1" applyAlignment="1">
      <alignment horizontal="center" vertical="center"/>
    </xf>
    <xf numFmtId="0" fontId="35" fillId="5" borderId="191" xfId="0" applyFont="1" applyFill="1" applyBorder="1" applyAlignment="1">
      <alignment horizontal="center" vertical="center"/>
    </xf>
    <xf numFmtId="0" fontId="35" fillId="5" borderId="273" xfId="0" applyFont="1" applyFill="1" applyBorder="1" applyAlignment="1">
      <alignment horizontal="center" vertical="center"/>
    </xf>
    <xf numFmtId="1" fontId="35" fillId="5" borderId="245" xfId="0" applyNumberFormat="1" applyFont="1" applyFill="1" applyBorder="1" applyAlignment="1">
      <alignment horizontal="center" vertical="center"/>
    </xf>
    <xf numFmtId="0" fontId="35" fillId="5" borderId="141" xfId="0" applyFont="1" applyFill="1" applyBorder="1" applyAlignment="1">
      <alignment horizontal="center" vertical="center"/>
    </xf>
    <xf numFmtId="0" fontId="36" fillId="5" borderId="165" xfId="0" applyFont="1" applyFill="1" applyBorder="1" applyAlignment="1">
      <alignment horizontal="center" vertical="center"/>
    </xf>
    <xf numFmtId="0" fontId="36" fillId="5" borderId="166" xfId="0" applyFont="1" applyFill="1" applyBorder="1" applyAlignment="1">
      <alignment horizontal="center" vertical="center"/>
    </xf>
    <xf numFmtId="0" fontId="36" fillId="5" borderId="60" xfId="0" applyFont="1" applyFill="1" applyBorder="1" applyAlignment="1">
      <alignment horizontal="center" vertical="center"/>
    </xf>
    <xf numFmtId="0" fontId="36" fillId="5" borderId="118" xfId="0" applyFont="1" applyFill="1" applyBorder="1" applyAlignment="1">
      <alignment horizontal="center" vertical="center"/>
    </xf>
    <xf numFmtId="14" fontId="45" fillId="5" borderId="866" xfId="0" applyNumberFormat="1" applyFont="1" applyFill="1" applyBorder="1" applyAlignment="1">
      <alignment vertical="center"/>
    </xf>
    <xf numFmtId="172" fontId="45" fillId="5" borderId="0" xfId="0" applyNumberFormat="1" applyFont="1" applyFill="1" applyAlignment="1">
      <alignment vertical="center"/>
    </xf>
    <xf numFmtId="0" fontId="35" fillId="5" borderId="0" xfId="0" applyFont="1" applyFill="1" applyAlignment="1">
      <alignment vertical="center"/>
    </xf>
    <xf numFmtId="0" fontId="37" fillId="5" borderId="0" xfId="0" applyFont="1" applyFill="1" applyAlignment="1">
      <alignment vertical="center"/>
    </xf>
    <xf numFmtId="0" fontId="36" fillId="11" borderId="136" xfId="0" applyFont="1" applyFill="1" applyBorder="1" applyAlignment="1">
      <alignment horizontal="center" vertical="center"/>
    </xf>
    <xf numFmtId="2" fontId="36" fillId="5" borderId="432" xfId="0" applyNumberFormat="1" applyFont="1" applyFill="1" applyBorder="1" applyAlignment="1">
      <alignment horizontal="right" vertical="center"/>
    </xf>
    <xf numFmtId="2" fontId="36" fillId="5" borderId="107" xfId="0" applyNumberFormat="1" applyFont="1" applyFill="1" applyBorder="1" applyAlignment="1">
      <alignment horizontal="right" vertical="center"/>
    </xf>
    <xf numFmtId="2" fontId="36" fillId="5" borderId="920" xfId="0" applyNumberFormat="1" applyFont="1" applyFill="1" applyBorder="1" applyAlignment="1">
      <alignment horizontal="right" vertical="center"/>
    </xf>
    <xf numFmtId="0" fontId="36" fillId="12" borderId="160" xfId="0" applyFont="1" applyFill="1" applyBorder="1" applyAlignment="1">
      <alignment horizontal="center" vertical="center"/>
    </xf>
    <xf numFmtId="0" fontId="36" fillId="13" borderId="871" xfId="0" applyFont="1" applyFill="1" applyBorder="1" applyAlignment="1">
      <alignment horizontal="center" vertical="center"/>
    </xf>
    <xf numFmtId="49" fontId="36" fillId="5" borderId="0" xfId="0" applyNumberFormat="1" applyFont="1" applyFill="1" applyAlignment="1">
      <alignment vertical="center"/>
    </xf>
    <xf numFmtId="0" fontId="36" fillId="14" borderId="60" xfId="0" applyFont="1" applyFill="1" applyBorder="1" applyAlignment="1">
      <alignment horizontal="center" vertical="center"/>
    </xf>
    <xf numFmtId="0" fontId="36" fillId="16" borderId="60" xfId="0" applyFont="1" applyFill="1" applyBorder="1" applyAlignment="1">
      <alignment horizontal="center" vertical="center"/>
    </xf>
    <xf numFmtId="0" fontId="36" fillId="17" borderId="118" xfId="0" applyFont="1" applyFill="1" applyBorder="1" applyAlignment="1">
      <alignment horizontal="center" vertical="center"/>
    </xf>
    <xf numFmtId="0" fontId="39" fillId="11" borderId="137" xfId="0" applyFont="1" applyFill="1" applyBorder="1" applyAlignment="1">
      <alignment horizontal="left" vertical="center"/>
    </xf>
    <xf numFmtId="0" fontId="39" fillId="12" borderId="156" xfId="0" applyFont="1" applyFill="1" applyBorder="1" applyAlignment="1">
      <alignment horizontal="left" vertical="center"/>
    </xf>
    <xf numFmtId="0" fontId="39" fillId="13" borderId="156" xfId="0" applyFont="1" applyFill="1" applyBorder="1" applyAlignment="1">
      <alignment horizontal="left" vertical="center"/>
    </xf>
    <xf numFmtId="0" fontId="39" fillId="14" borderId="95" xfId="0" applyFont="1" applyFill="1" applyBorder="1" applyAlignment="1">
      <alignment horizontal="left" vertical="center"/>
    </xf>
    <xf numFmtId="0" fontId="39" fillId="16" borderId="95" xfId="0" applyFont="1" applyFill="1" applyBorder="1" applyAlignment="1">
      <alignment horizontal="left" vertical="center"/>
    </xf>
    <xf numFmtId="0" fontId="39" fillId="17" borderId="138" xfId="0" applyFont="1" applyFill="1" applyBorder="1" applyAlignment="1">
      <alignment horizontal="left" vertical="center"/>
    </xf>
    <xf numFmtId="0" fontId="39" fillId="5" borderId="60" xfId="0" applyFont="1" applyFill="1" applyBorder="1"/>
    <xf numFmtId="2" fontId="34" fillId="0" borderId="843" xfId="0" applyNumberFormat="1" applyFont="1" applyBorder="1" applyAlignment="1">
      <alignment horizontal="center"/>
    </xf>
    <xf numFmtId="1" fontId="34" fillId="0" borderId="569" xfId="0" applyNumberFormat="1" applyFont="1" applyBorder="1" applyAlignment="1">
      <alignment horizontal="center"/>
    </xf>
    <xf numFmtId="0" fontId="34" fillId="10" borderId="628" xfId="0" applyFont="1" applyFill="1" applyBorder="1" applyAlignment="1">
      <alignment horizontal="center" vertical="center"/>
    </xf>
    <xf numFmtId="0" fontId="34" fillId="17" borderId="606" xfId="0" applyFont="1" applyFill="1" applyBorder="1" applyAlignment="1">
      <alignment horizontal="center" vertical="center"/>
    </xf>
    <xf numFmtId="169" fontId="34" fillId="0" borderId="0" xfId="0" applyNumberFormat="1" applyFont="1" applyAlignment="1">
      <alignment horizontal="left"/>
    </xf>
    <xf numFmtId="0" fontId="46" fillId="0" borderId="843" xfId="0" applyFont="1" applyBorder="1" applyAlignment="1">
      <alignment horizontal="center"/>
    </xf>
    <xf numFmtId="0" fontId="46" fillId="0" borderId="866" xfId="0" applyFont="1" applyBorder="1"/>
    <xf numFmtId="0" fontId="46" fillId="0" borderId="879" xfId="0" applyFont="1" applyBorder="1" applyAlignment="1">
      <alignment horizontal="center"/>
    </xf>
    <xf numFmtId="0" fontId="46" fillId="0" borderId="829" xfId="0" applyFont="1" applyBorder="1" applyAlignment="1">
      <alignment horizontal="center"/>
    </xf>
    <xf numFmtId="0" fontId="46" fillId="0" borderId="922" xfId="0" applyFont="1" applyBorder="1" applyAlignment="1">
      <alignment horizontal="center"/>
    </xf>
    <xf numFmtId="0" fontId="46" fillId="0" borderId="0" xfId="0" applyFont="1" applyAlignment="1">
      <alignment horizontal="center"/>
    </xf>
    <xf numFmtId="0" fontId="34" fillId="7" borderId="829" xfId="0" applyFont="1" applyFill="1" applyBorder="1" applyAlignment="1">
      <alignment horizontal="center"/>
    </xf>
    <xf numFmtId="0" fontId="34" fillId="16" borderId="829" xfId="0" applyFont="1" applyFill="1" applyBorder="1" applyAlignment="1">
      <alignment horizontal="center"/>
    </xf>
    <xf numFmtId="0" fontId="34" fillId="23" borderId="829" xfId="0" applyFont="1" applyFill="1" applyBorder="1" applyAlignment="1">
      <alignment horizontal="center"/>
    </xf>
    <xf numFmtId="0" fontId="34" fillId="17" borderId="829" xfId="0" applyFont="1" applyFill="1" applyBorder="1" applyAlignment="1">
      <alignment horizontal="center"/>
    </xf>
    <xf numFmtId="0" fontId="34" fillId="21" borderId="829" xfId="0" applyFont="1" applyFill="1" applyBorder="1" applyAlignment="1">
      <alignment horizontal="center"/>
    </xf>
    <xf numFmtId="0" fontId="34" fillId="14" borderId="829" xfId="0" applyFont="1" applyFill="1" applyBorder="1" applyAlignment="1">
      <alignment horizontal="center"/>
    </xf>
    <xf numFmtId="0" fontId="34" fillId="0" borderId="484" xfId="0" applyFont="1" applyBorder="1" applyAlignment="1">
      <alignment horizontal="center"/>
    </xf>
    <xf numFmtId="1" fontId="34" fillId="5" borderId="861" xfId="0" applyNumberFormat="1" applyFont="1" applyFill="1" applyBorder="1" applyAlignment="1">
      <alignment horizontal="center"/>
    </xf>
    <xf numFmtId="1" fontId="34" fillId="5" borderId="200" xfId="0" applyNumberFormat="1" applyFont="1" applyFill="1" applyBorder="1" applyAlignment="1">
      <alignment horizontal="center"/>
    </xf>
    <xf numFmtId="1" fontId="34" fillId="5" borderId="923" xfId="0" applyNumberFormat="1" applyFont="1" applyFill="1" applyBorder="1" applyAlignment="1">
      <alignment horizontal="center"/>
    </xf>
    <xf numFmtId="1" fontId="34" fillId="5" borderId="484" xfId="0" applyNumberFormat="1" applyFont="1" applyFill="1" applyBorder="1" applyAlignment="1">
      <alignment horizontal="center"/>
    </xf>
    <xf numFmtId="1" fontId="34" fillId="5" borderId="170" xfId="0" applyNumberFormat="1" applyFont="1" applyFill="1" applyBorder="1" applyAlignment="1">
      <alignment horizontal="center"/>
    </xf>
    <xf numFmtId="1" fontId="34" fillId="5" borderId="898" xfId="0" applyNumberFormat="1" applyFont="1" applyFill="1" applyBorder="1" applyAlignment="1">
      <alignment horizontal="center"/>
    </xf>
    <xf numFmtId="1" fontId="34" fillId="5" borderId="924" xfId="0" applyNumberFormat="1" applyFont="1" applyFill="1" applyBorder="1" applyAlignment="1">
      <alignment horizontal="center"/>
    </xf>
    <xf numFmtId="1" fontId="34" fillId="5" borderId="606" xfId="0" applyNumberFormat="1" applyFont="1" applyFill="1" applyBorder="1" applyAlignment="1">
      <alignment horizontal="center"/>
    </xf>
    <xf numFmtId="1" fontId="34" fillId="0" borderId="969" xfId="0" applyNumberFormat="1" applyFont="1" applyBorder="1" applyAlignment="1">
      <alignment horizontal="center"/>
    </xf>
    <xf numFmtId="1" fontId="34" fillId="0" borderId="968" xfId="0" applyNumberFormat="1" applyFont="1" applyBorder="1" applyAlignment="1">
      <alignment horizontal="center"/>
    </xf>
    <xf numFmtId="1" fontId="34" fillId="0" borderId="923" xfId="0" applyNumberFormat="1" applyFont="1" applyBorder="1" applyAlignment="1">
      <alignment horizontal="center"/>
    </xf>
    <xf numFmtId="2" fontId="34" fillId="0" borderId="971" xfId="0" applyNumberFormat="1" applyFont="1" applyBorder="1" applyAlignment="1">
      <alignment horizontal="center"/>
    </xf>
    <xf numFmtId="2" fontId="34" fillId="0" borderId="972" xfId="0" applyNumberFormat="1" applyFont="1" applyBorder="1" applyAlignment="1">
      <alignment horizontal="center"/>
    </xf>
    <xf numFmtId="1" fontId="34" fillId="0" borderId="606" xfId="0" applyNumberFormat="1" applyFont="1" applyBorder="1" applyAlignment="1">
      <alignment horizontal="center"/>
    </xf>
    <xf numFmtId="0" fontId="46" fillId="0" borderId="863" xfId="0" applyFont="1" applyBorder="1"/>
    <xf numFmtId="0" fontId="46" fillId="0" borderId="830" xfId="0" applyFont="1" applyBorder="1" applyAlignment="1">
      <alignment horizontal="center"/>
    </xf>
    <xf numFmtId="1" fontId="34" fillId="0" borderId="901" xfId="0" applyNumberFormat="1" applyFont="1" applyBorder="1" applyAlignment="1">
      <alignment horizontal="center"/>
    </xf>
    <xf numFmtId="1" fontId="34" fillId="0" borderId="899" xfId="0" applyNumberFormat="1" applyFont="1" applyBorder="1" applyAlignment="1">
      <alignment horizontal="center"/>
    </xf>
    <xf numFmtId="1" fontId="34" fillId="0" borderId="900" xfId="0" applyNumberFormat="1" applyFont="1" applyBorder="1" applyAlignment="1">
      <alignment horizontal="center"/>
    </xf>
    <xf numFmtId="0" fontId="34" fillId="22" borderId="829" xfId="0" applyFont="1" applyFill="1" applyBorder="1" applyAlignment="1">
      <alignment horizontal="center"/>
    </xf>
    <xf numFmtId="0" fontId="46" fillId="19" borderId="535" xfId="0" applyFont="1" applyFill="1" applyBorder="1" applyAlignment="1">
      <alignment horizontal="center"/>
    </xf>
    <xf numFmtId="1" fontId="46" fillId="19" borderId="534" xfId="0" applyNumberFormat="1" applyFont="1" applyFill="1" applyBorder="1" applyAlignment="1">
      <alignment horizontal="center"/>
    </xf>
    <xf numFmtId="0" fontId="34" fillId="0" borderId="533" xfId="0" applyFont="1" applyBorder="1" applyAlignment="1">
      <alignment horizontal="center"/>
    </xf>
    <xf numFmtId="1" fontId="34" fillId="0" borderId="532" xfId="0" applyNumberFormat="1" applyFont="1" applyBorder="1" applyAlignment="1">
      <alignment horizontal="center"/>
    </xf>
    <xf numFmtId="0" fontId="34" fillId="0" borderId="529" xfId="0" applyFont="1" applyBorder="1" applyAlignment="1">
      <alignment horizontal="center"/>
    </xf>
    <xf numFmtId="1" fontId="34" fillId="0" borderId="528" xfId="0" applyNumberFormat="1" applyFont="1" applyBorder="1" applyAlignment="1">
      <alignment horizontal="center"/>
    </xf>
    <xf numFmtId="0" fontId="34" fillId="0" borderId="527" xfId="0" applyFont="1" applyBorder="1" applyAlignment="1">
      <alignment horizontal="center"/>
    </xf>
    <xf numFmtId="1" fontId="34" fillId="0" borderId="526" xfId="0" applyNumberFormat="1" applyFont="1" applyBorder="1" applyAlignment="1">
      <alignment horizontal="center"/>
    </xf>
    <xf numFmtId="0" fontId="34" fillId="19" borderId="525" xfId="0" applyFont="1" applyFill="1" applyBorder="1" applyAlignment="1">
      <alignment horizontal="center"/>
    </xf>
    <xf numFmtId="1" fontId="34" fillId="19" borderId="524" xfId="0" applyNumberFormat="1" applyFont="1" applyFill="1" applyBorder="1" applyAlignment="1">
      <alignment horizontal="center"/>
    </xf>
    <xf numFmtId="0" fontId="34" fillId="20" borderId="523" xfId="0" applyFont="1" applyFill="1" applyBorder="1" applyAlignment="1">
      <alignment horizontal="center"/>
    </xf>
    <xf numFmtId="1" fontId="34" fillId="20" borderId="522" xfId="0" applyNumberFormat="1" applyFont="1" applyFill="1" applyBorder="1" applyAlignment="1">
      <alignment horizontal="center"/>
    </xf>
    <xf numFmtId="1" fontId="46" fillId="0" borderId="0" xfId="0" applyNumberFormat="1" applyFont="1" applyAlignment="1">
      <alignment horizontal="center"/>
    </xf>
    <xf numFmtId="169" fontId="34" fillId="0" borderId="0" xfId="0" applyNumberFormat="1" applyFont="1" applyAlignment="1">
      <alignment horizontal="center"/>
    </xf>
    <xf numFmtId="0" fontId="46" fillId="19" borderId="531" xfId="0" applyFont="1" applyFill="1" applyBorder="1" applyAlignment="1">
      <alignment horizontal="center"/>
    </xf>
    <xf numFmtId="169" fontId="46" fillId="19" borderId="530" xfId="0" applyNumberFormat="1" applyFont="1" applyFill="1" applyBorder="1" applyAlignment="1">
      <alignment horizontal="center"/>
    </xf>
    <xf numFmtId="0" fontId="34" fillId="0" borderId="979" xfId="0" applyFont="1" applyBorder="1" applyAlignment="1">
      <alignment horizontal="center"/>
    </xf>
    <xf numFmtId="0" fontId="34" fillId="0" borderId="982" xfId="0" applyFont="1" applyBorder="1" applyAlignment="1">
      <alignment horizontal="center"/>
    </xf>
    <xf numFmtId="0" fontId="34" fillId="19" borderId="521" xfId="0" applyFont="1" applyFill="1" applyBorder="1" applyAlignment="1">
      <alignment horizontal="center"/>
    </xf>
    <xf numFmtId="1" fontId="34" fillId="19" borderId="520" xfId="0" applyNumberFormat="1" applyFont="1" applyFill="1" applyBorder="1" applyAlignment="1">
      <alignment horizontal="center"/>
    </xf>
    <xf numFmtId="45" fontId="34" fillId="0" borderId="0" xfId="0" applyNumberFormat="1" applyFont="1"/>
    <xf numFmtId="0" fontId="46" fillId="0" borderId="977" xfId="0" applyFont="1" applyBorder="1" applyAlignment="1">
      <alignment horizontal="center"/>
    </xf>
    <xf numFmtId="0" fontId="46" fillId="0" borderId="923" xfId="0" applyFont="1" applyBorder="1" applyAlignment="1">
      <alignment horizontal="center"/>
    </xf>
    <xf numFmtId="45" fontId="46" fillId="0" borderId="968" xfId="0" applyNumberFormat="1" applyFont="1" applyBorder="1" applyAlignment="1">
      <alignment horizontal="center"/>
    </xf>
    <xf numFmtId="0" fontId="46" fillId="0" borderId="968" xfId="0" applyFont="1" applyBorder="1" applyAlignment="1">
      <alignment horizontal="center"/>
    </xf>
    <xf numFmtId="0" fontId="46" fillId="0" borderId="978" xfId="0" applyFont="1" applyBorder="1" applyAlignment="1">
      <alignment horizontal="center"/>
    </xf>
    <xf numFmtId="0" fontId="46" fillId="9" borderId="977" xfId="0" applyFont="1" applyFill="1" applyBorder="1" applyAlignment="1">
      <alignment horizontal="center"/>
    </xf>
    <xf numFmtId="0" fontId="46" fillId="9" borderId="968" xfId="0" applyFont="1" applyFill="1" applyBorder="1" applyAlignment="1">
      <alignment horizontal="center"/>
    </xf>
    <xf numFmtId="0" fontId="46" fillId="9" borderId="978" xfId="0" applyFont="1" applyFill="1" applyBorder="1" applyAlignment="1">
      <alignment horizontal="center"/>
    </xf>
    <xf numFmtId="0" fontId="46" fillId="0" borderId="980" xfId="0" applyFont="1" applyBorder="1" applyAlignment="1">
      <alignment horizontal="center"/>
    </xf>
    <xf numFmtId="45" fontId="34" fillId="0" borderId="979" xfId="0" applyNumberFormat="1" applyFont="1" applyBorder="1" applyAlignment="1">
      <alignment horizontal="center"/>
    </xf>
    <xf numFmtId="45" fontId="34" fillId="0" borderId="880" xfId="0" applyNumberFormat="1" applyFont="1" applyBorder="1" applyAlignment="1">
      <alignment horizontal="center"/>
    </xf>
    <xf numFmtId="0" fontId="34" fillId="0" borderId="880" xfId="0" applyFont="1" applyBorder="1" applyAlignment="1">
      <alignment horizontal="center"/>
    </xf>
    <xf numFmtId="170" fontId="34" fillId="0" borderId="880" xfId="0" applyNumberFormat="1" applyFont="1" applyBorder="1" applyAlignment="1">
      <alignment horizontal="center"/>
    </xf>
    <xf numFmtId="1" fontId="34" fillId="0" borderId="980" xfId="0" applyNumberFormat="1" applyFont="1" applyBorder="1" applyAlignment="1">
      <alignment horizontal="center"/>
    </xf>
    <xf numFmtId="0" fontId="34" fillId="0" borderId="881" xfId="0" applyFont="1" applyBorder="1" applyAlignment="1">
      <alignment horizontal="center"/>
    </xf>
    <xf numFmtId="0" fontId="34" fillId="9" borderId="979" xfId="0" applyFont="1" applyFill="1" applyBorder="1" applyAlignment="1">
      <alignment horizontal="center"/>
    </xf>
    <xf numFmtId="45" fontId="34" fillId="9" borderId="880" xfId="0" applyNumberFormat="1" applyFont="1" applyFill="1" applyBorder="1" applyAlignment="1">
      <alignment horizontal="center"/>
    </xf>
    <xf numFmtId="45" fontId="34" fillId="9" borderId="881" xfId="0" applyNumberFormat="1" applyFont="1" applyFill="1" applyBorder="1" applyAlignment="1">
      <alignment horizontal="center"/>
    </xf>
    <xf numFmtId="0" fontId="34" fillId="0" borderId="826" xfId="0" applyFont="1" applyBorder="1" applyAlignment="1">
      <alignment horizontal="center"/>
    </xf>
    <xf numFmtId="0" fontId="46" fillId="0" borderId="981" xfId="0" applyFont="1" applyBorder="1" applyAlignment="1">
      <alignment horizontal="center"/>
    </xf>
    <xf numFmtId="45" fontId="34" fillId="0" borderId="826" xfId="0" applyNumberFormat="1" applyFont="1" applyBorder="1" applyAlignment="1">
      <alignment horizontal="center"/>
    </xf>
    <xf numFmtId="45" fontId="34" fillId="0" borderId="872" xfId="0" applyNumberFormat="1" applyFont="1" applyBorder="1" applyAlignment="1">
      <alignment horizontal="center"/>
    </xf>
    <xf numFmtId="0" fontId="34" fillId="0" borderId="872" xfId="0" applyFont="1" applyBorder="1" applyAlignment="1">
      <alignment horizontal="center"/>
    </xf>
    <xf numFmtId="170" fontId="34" fillId="0" borderId="872" xfId="0" applyNumberFormat="1" applyFont="1" applyBorder="1" applyAlignment="1">
      <alignment horizontal="center"/>
    </xf>
    <xf numFmtId="1" fontId="34" fillId="0" borderId="981" xfId="0" applyNumberFormat="1" applyFont="1" applyBorder="1" applyAlignment="1">
      <alignment horizontal="center"/>
    </xf>
    <xf numFmtId="0" fontId="34" fillId="0" borderId="856" xfId="0" applyFont="1" applyBorder="1" applyAlignment="1">
      <alignment horizontal="center"/>
    </xf>
    <xf numFmtId="0" fontId="34" fillId="9" borderId="885" xfId="0" applyFont="1" applyFill="1" applyBorder="1" applyAlignment="1">
      <alignment horizontal="center"/>
    </xf>
    <xf numFmtId="45" fontId="34" fillId="9" borderId="872" xfId="0" applyNumberFormat="1" applyFont="1" applyFill="1" applyBorder="1" applyAlignment="1">
      <alignment horizontal="center"/>
    </xf>
    <xf numFmtId="0" fontId="46" fillId="0" borderId="983" xfId="0" applyFont="1" applyBorder="1" applyAlignment="1">
      <alignment horizontal="center"/>
    </xf>
    <xf numFmtId="45" fontId="34" fillId="0" borderId="982" xfId="0" applyNumberFormat="1" applyFont="1" applyBorder="1" applyAlignment="1">
      <alignment horizontal="center"/>
    </xf>
    <xf numFmtId="45" fontId="34" fillId="0" borderId="984" xfId="0" applyNumberFormat="1" applyFont="1" applyBorder="1" applyAlignment="1">
      <alignment horizontal="center"/>
    </xf>
    <xf numFmtId="0" fontId="34" fillId="0" borderId="984" xfId="0" applyFont="1" applyBorder="1" applyAlignment="1">
      <alignment horizontal="center"/>
    </xf>
    <xf numFmtId="170" fontId="34" fillId="0" borderId="984" xfId="0" applyNumberFormat="1" applyFont="1" applyBorder="1" applyAlignment="1">
      <alignment horizontal="center"/>
    </xf>
    <xf numFmtId="1" fontId="34" fillId="0" borderId="983" xfId="0" applyNumberFormat="1" applyFont="1" applyBorder="1" applyAlignment="1">
      <alignment horizontal="center"/>
    </xf>
    <xf numFmtId="0" fontId="34" fillId="0" borderId="985" xfId="0" applyFont="1" applyBorder="1" applyAlignment="1">
      <alignment horizontal="center"/>
    </xf>
    <xf numFmtId="0" fontId="34" fillId="9" borderId="986" xfId="0" applyFont="1" applyFill="1" applyBorder="1" applyAlignment="1">
      <alignment horizontal="center"/>
    </xf>
    <xf numFmtId="45" fontId="34" fillId="9" borderId="984" xfId="0" applyNumberFormat="1" applyFont="1" applyFill="1" applyBorder="1" applyAlignment="1">
      <alignment horizontal="center"/>
    </xf>
    <xf numFmtId="45" fontId="34" fillId="9" borderId="985" xfId="0" applyNumberFormat="1" applyFont="1" applyFill="1" applyBorder="1" applyAlignment="1">
      <alignment horizontal="center"/>
    </xf>
    <xf numFmtId="0" fontId="34" fillId="0" borderId="977" xfId="0" applyFont="1" applyBorder="1" applyAlignment="1">
      <alignment horizontal="center"/>
    </xf>
    <xf numFmtId="45" fontId="34" fillId="0" borderId="977" xfId="0" applyNumberFormat="1" applyFont="1" applyBorder="1" applyAlignment="1">
      <alignment horizontal="center"/>
    </xf>
    <xf numFmtId="45" fontId="34" fillId="0" borderId="968" xfId="0" applyNumberFormat="1" applyFont="1" applyBorder="1" applyAlignment="1">
      <alignment horizontal="center"/>
    </xf>
    <xf numFmtId="0" fontId="34" fillId="0" borderId="968" xfId="0" applyFont="1" applyBorder="1" applyAlignment="1">
      <alignment horizontal="center"/>
    </xf>
    <xf numFmtId="0" fontId="34" fillId="0" borderId="978" xfId="0" applyFont="1" applyBorder="1" applyAlignment="1">
      <alignment horizontal="center"/>
    </xf>
    <xf numFmtId="0" fontId="34" fillId="9" borderId="969" xfId="0" applyFont="1" applyFill="1" applyBorder="1" applyAlignment="1">
      <alignment horizontal="center"/>
    </xf>
    <xf numFmtId="45" fontId="34" fillId="9" borderId="978" xfId="0" applyNumberFormat="1" applyFont="1" applyFill="1" applyBorder="1" applyAlignment="1">
      <alignment horizontal="center"/>
    </xf>
    <xf numFmtId="21" fontId="34" fillId="9" borderId="985" xfId="0" applyNumberFormat="1" applyFont="1" applyFill="1" applyBorder="1" applyAlignment="1">
      <alignment horizontal="center"/>
    </xf>
    <xf numFmtId="14" fontId="34" fillId="0" borderId="970" xfId="0" applyNumberFormat="1" applyFont="1" applyBorder="1" applyAlignment="1">
      <alignment horizontal="center"/>
    </xf>
    <xf numFmtId="45" fontId="34" fillId="0" borderId="898" xfId="0" applyNumberFormat="1" applyFont="1" applyBorder="1" applyAlignment="1">
      <alignment horizontal="center"/>
    </xf>
    <xf numFmtId="0" fontId="34" fillId="0" borderId="898" xfId="0" applyFont="1" applyBorder="1" applyAlignment="1">
      <alignment horizontal="center"/>
    </xf>
    <xf numFmtId="1" fontId="34" fillId="0" borderId="924" xfId="0" applyNumberFormat="1" applyFont="1" applyBorder="1" applyAlignment="1">
      <alignment horizontal="center"/>
    </xf>
    <xf numFmtId="0" fontId="34" fillId="0" borderId="987" xfId="0" applyFont="1" applyBorder="1" applyAlignment="1">
      <alignment horizontal="center"/>
    </xf>
    <xf numFmtId="0" fontId="34" fillId="9" borderId="921" xfId="0" applyFont="1" applyFill="1" applyBorder="1" applyAlignment="1">
      <alignment horizontal="center"/>
    </xf>
    <xf numFmtId="0" fontId="34" fillId="6" borderId="970" xfId="0" applyFont="1" applyFill="1" applyBorder="1" applyAlignment="1">
      <alignment horizontal="center"/>
    </xf>
    <xf numFmtId="45" fontId="34" fillId="6" borderId="988" xfId="0" applyNumberFormat="1" applyFont="1" applyFill="1" applyBorder="1" applyAlignment="1">
      <alignment horizontal="center"/>
    </xf>
    <xf numFmtId="0" fontId="34" fillId="6" borderId="988" xfId="0" applyFont="1" applyFill="1" applyBorder="1" applyAlignment="1">
      <alignment horizontal="center"/>
    </xf>
    <xf numFmtId="170" fontId="34" fillId="6" borderId="988" xfId="0" applyNumberFormat="1" applyFont="1" applyFill="1" applyBorder="1" applyAlignment="1">
      <alignment horizontal="center"/>
    </xf>
    <xf numFmtId="2" fontId="34" fillId="6" borderId="988" xfId="0" applyNumberFormat="1" applyFont="1" applyFill="1" applyBorder="1" applyAlignment="1">
      <alignment horizontal="center"/>
    </xf>
    <xf numFmtId="2" fontId="34" fillId="6" borderId="989" xfId="0" applyNumberFormat="1" applyFont="1" applyFill="1" applyBorder="1" applyAlignment="1">
      <alignment horizontal="center"/>
    </xf>
    <xf numFmtId="1" fontId="34" fillId="6" borderId="990" xfId="0" applyNumberFormat="1" applyFont="1" applyFill="1" applyBorder="1" applyAlignment="1">
      <alignment horizontal="center"/>
    </xf>
    <xf numFmtId="1" fontId="34" fillId="6" borderId="991" xfId="0" applyNumberFormat="1" applyFont="1" applyFill="1" applyBorder="1" applyAlignment="1">
      <alignment horizontal="center"/>
    </xf>
    <xf numFmtId="45" fontId="34" fillId="6" borderId="990" xfId="0" applyNumberFormat="1" applyFont="1" applyFill="1" applyBorder="1" applyAlignment="1">
      <alignment horizontal="center"/>
    </xf>
    <xf numFmtId="45" fontId="34" fillId="0" borderId="0" xfId="0" applyNumberFormat="1" applyFont="1" applyAlignment="1">
      <alignment horizontal="center"/>
    </xf>
    <xf numFmtId="21" fontId="34" fillId="0" borderId="979" xfId="0" applyNumberFormat="1" applyFont="1" applyBorder="1" applyAlignment="1">
      <alignment horizontal="center"/>
    </xf>
    <xf numFmtId="21" fontId="34" fillId="9" borderId="881" xfId="0" applyNumberFormat="1" applyFont="1" applyFill="1" applyBorder="1" applyAlignment="1">
      <alignment horizontal="center"/>
    </xf>
    <xf numFmtId="21" fontId="34" fillId="0" borderId="982" xfId="0" applyNumberFormat="1" applyFont="1" applyBorder="1" applyAlignment="1">
      <alignment horizontal="center"/>
    </xf>
    <xf numFmtId="2" fontId="34" fillId="0" borderId="984" xfId="0" applyNumberFormat="1" applyFont="1" applyBorder="1" applyAlignment="1">
      <alignment horizontal="center"/>
    </xf>
    <xf numFmtId="0" fontId="34" fillId="9" borderId="982" xfId="0" applyFont="1" applyFill="1" applyBorder="1" applyAlignment="1">
      <alignment horizontal="center"/>
    </xf>
    <xf numFmtId="0" fontId="46" fillId="0" borderId="866" xfId="0" applyFont="1" applyBorder="1" applyAlignment="1">
      <alignment horizontal="center"/>
    </xf>
    <xf numFmtId="0" fontId="34" fillId="0" borderId="169" xfId="0" applyFont="1" applyBorder="1" applyAlignment="1">
      <alignment horizontal="center"/>
    </xf>
    <xf numFmtId="45" fontId="34" fillId="0" borderId="992" xfId="0" applyNumberFormat="1" applyFont="1" applyBorder="1" applyAlignment="1">
      <alignment horizontal="center"/>
    </xf>
    <xf numFmtId="0" fontId="34" fillId="0" borderId="992" xfId="0" applyFont="1" applyBorder="1" applyAlignment="1">
      <alignment horizontal="center"/>
    </xf>
    <xf numFmtId="1" fontId="34" fillId="0" borderId="993" xfId="0" applyNumberFormat="1" applyFont="1" applyBorder="1" applyAlignment="1">
      <alignment horizontal="center"/>
    </xf>
    <xf numFmtId="0" fontId="34" fillId="0" borderId="994" xfId="0" applyFont="1" applyBorder="1" applyAlignment="1">
      <alignment horizontal="center"/>
    </xf>
    <xf numFmtId="174" fontId="34" fillId="6" borderId="990" xfId="0" applyNumberFormat="1" applyFont="1" applyFill="1" applyBorder="1" applyAlignment="1">
      <alignment horizontal="center"/>
    </xf>
    <xf numFmtId="0" fontId="40" fillId="10" borderId="973" xfId="0" applyFont="1" applyFill="1" applyBorder="1" applyAlignment="1">
      <alignment horizontal="center"/>
    </xf>
    <xf numFmtId="169" fontId="40" fillId="10" borderId="973" xfId="0" applyNumberFormat="1" applyFont="1" applyFill="1" applyBorder="1" applyAlignment="1">
      <alignment horizontal="center"/>
    </xf>
    <xf numFmtId="0" fontId="40" fillId="10" borderId="975" xfId="0" applyFont="1" applyFill="1" applyBorder="1" applyAlignment="1">
      <alignment horizontal="center"/>
    </xf>
    <xf numFmtId="0" fontId="40" fillId="10" borderId="974" xfId="0" applyFont="1" applyFill="1" applyBorder="1" applyAlignment="1">
      <alignment horizontal="center"/>
    </xf>
    <xf numFmtId="0" fontId="39" fillId="10" borderId="569" xfId="0" applyFont="1" applyFill="1" applyBorder="1" applyAlignment="1">
      <alignment horizontal="center"/>
    </xf>
    <xf numFmtId="20" fontId="39" fillId="10" borderId="866" xfId="0" applyNumberFormat="1" applyFont="1" applyFill="1" applyBorder="1" applyAlignment="1">
      <alignment horizontal="center"/>
    </xf>
    <xf numFmtId="169" fontId="39" fillId="5" borderId="195" xfId="0" applyNumberFormat="1" applyFont="1" applyFill="1" applyBorder="1" applyAlignment="1">
      <alignment horizontal="center"/>
    </xf>
    <xf numFmtId="45" fontId="39" fillId="5" borderId="1037" xfId="0" applyNumberFormat="1" applyFont="1" applyFill="1" applyBorder="1" applyAlignment="1">
      <alignment horizontal="center"/>
    </xf>
    <xf numFmtId="0" fontId="39" fillId="5" borderId="1037" xfId="0" applyFont="1" applyFill="1" applyBorder="1" applyAlignment="1">
      <alignment horizontal="center"/>
    </xf>
    <xf numFmtId="0" fontId="39" fillId="5" borderId="1038" xfId="0" applyFont="1" applyFill="1" applyBorder="1" applyAlignment="1">
      <alignment horizontal="center"/>
    </xf>
    <xf numFmtId="1" fontId="39" fillId="5" borderId="1038" xfId="0" applyNumberFormat="1" applyFont="1" applyFill="1" applyBorder="1" applyAlignment="1">
      <alignment horizontal="center"/>
    </xf>
    <xf numFmtId="1" fontId="43" fillId="5" borderId="1037" xfId="0" applyNumberFormat="1" applyFont="1" applyFill="1" applyBorder="1" applyAlignment="1">
      <alignment horizontal="center"/>
    </xf>
    <xf numFmtId="1" fontId="43" fillId="5" borderId="1038" xfId="0" applyNumberFormat="1" applyFont="1" applyFill="1" applyBorder="1" applyAlignment="1">
      <alignment horizontal="center"/>
    </xf>
    <xf numFmtId="0" fontId="39" fillId="5" borderId="195" xfId="0" applyFont="1" applyFill="1" applyBorder="1" applyAlignment="1">
      <alignment horizontal="center"/>
    </xf>
    <xf numFmtId="169" fontId="39" fillId="5" borderId="60" xfId="0" applyNumberFormat="1" applyFont="1" applyFill="1" applyBorder="1" applyAlignment="1">
      <alignment horizontal="center"/>
    </xf>
    <xf numFmtId="45" fontId="39" fillId="5" borderId="0" xfId="0" applyNumberFormat="1" applyFont="1" applyFill="1" applyAlignment="1">
      <alignment horizontal="center"/>
    </xf>
    <xf numFmtId="0" fontId="39" fillId="5" borderId="110" xfId="0" applyFont="1" applyFill="1" applyBorder="1" applyAlignment="1">
      <alignment horizontal="center"/>
    </xf>
    <xf numFmtId="1" fontId="39" fillId="5" borderId="110" xfId="0" applyNumberFormat="1" applyFont="1" applyFill="1" applyBorder="1" applyAlignment="1">
      <alignment horizontal="center"/>
    </xf>
    <xf numFmtId="1" fontId="43" fillId="5" borderId="110" xfId="0" applyNumberFormat="1" applyFont="1" applyFill="1" applyBorder="1" applyAlignment="1">
      <alignment horizontal="center"/>
    </xf>
    <xf numFmtId="0" fontId="39" fillId="18" borderId="195" xfId="0" applyFont="1" applyFill="1" applyBorder="1" applyAlignment="1">
      <alignment horizontal="center"/>
    </xf>
    <xf numFmtId="169" fontId="39" fillId="18" borderId="195" xfId="0" applyNumberFormat="1" applyFont="1" applyFill="1" applyBorder="1" applyAlignment="1">
      <alignment horizontal="center"/>
    </xf>
    <xf numFmtId="45" fontId="39" fillId="18" borderId="1037" xfId="0" applyNumberFormat="1" applyFont="1" applyFill="1" applyBorder="1" applyAlignment="1">
      <alignment horizontal="center"/>
    </xf>
    <xf numFmtId="0" fontId="39" fillId="18" borderId="1037" xfId="0" applyFont="1" applyFill="1" applyBorder="1" applyAlignment="1">
      <alignment horizontal="center"/>
    </xf>
    <xf numFmtId="0" fontId="39" fillId="18" borderId="1038" xfId="0" applyFont="1" applyFill="1" applyBorder="1" applyAlignment="1">
      <alignment horizontal="center"/>
    </xf>
    <xf numFmtId="169" fontId="39" fillId="18" borderId="1037" xfId="0" applyNumberFormat="1" applyFont="1" applyFill="1" applyBorder="1" applyAlignment="1">
      <alignment horizontal="center"/>
    </xf>
    <xf numFmtId="1" fontId="39" fillId="18" borderId="1038" xfId="0" applyNumberFormat="1" applyFont="1" applyFill="1" applyBorder="1" applyAlignment="1">
      <alignment horizontal="center"/>
    </xf>
    <xf numFmtId="1" fontId="43" fillId="18" borderId="1037" xfId="0" applyNumberFormat="1" applyFont="1" applyFill="1" applyBorder="1" applyAlignment="1">
      <alignment horizontal="center"/>
    </xf>
    <xf numFmtId="1" fontId="43" fillId="18" borderId="1038" xfId="0" applyNumberFormat="1" applyFont="1" applyFill="1" applyBorder="1" applyAlignment="1">
      <alignment horizontal="center"/>
    </xf>
    <xf numFmtId="169" fontId="39" fillId="5" borderId="0" xfId="0" applyNumberFormat="1" applyFont="1" applyFill="1" applyAlignment="1">
      <alignment horizontal="center"/>
    </xf>
    <xf numFmtId="169" fontId="39" fillId="5" borderId="613" xfId="0" applyNumberFormat="1" applyFont="1" applyFill="1" applyBorder="1" applyAlignment="1">
      <alignment horizontal="center"/>
    </xf>
    <xf numFmtId="45" fontId="39" fillId="5" borderId="613" xfId="0" applyNumberFormat="1" applyFont="1" applyFill="1" applyBorder="1" applyAlignment="1">
      <alignment horizontal="center"/>
    </xf>
    <xf numFmtId="0" fontId="39" fillId="5" borderId="613" xfId="0" applyFont="1" applyFill="1" applyBorder="1" applyAlignment="1">
      <alignment horizontal="center"/>
    </xf>
    <xf numFmtId="1" fontId="43" fillId="5" borderId="613" xfId="0" applyNumberFormat="1" applyFont="1" applyFill="1" applyBorder="1" applyAlignment="1">
      <alignment horizontal="center"/>
    </xf>
    <xf numFmtId="1" fontId="43" fillId="5" borderId="845" xfId="0" applyNumberFormat="1" applyFont="1" applyFill="1" applyBorder="1" applyAlignment="1">
      <alignment horizontal="center"/>
    </xf>
    <xf numFmtId="169" fontId="39" fillId="5" borderId="1037" xfId="0" applyNumberFormat="1" applyFont="1" applyFill="1" applyBorder="1" applyAlignment="1">
      <alignment horizontal="center"/>
    </xf>
    <xf numFmtId="0" fontId="40" fillId="6" borderId="60" xfId="0" applyFont="1" applyFill="1" applyBorder="1" applyAlignment="1">
      <alignment horizontal="center"/>
    </xf>
    <xf numFmtId="169" fontId="39" fillId="6" borderId="60" xfId="0" applyNumberFormat="1" applyFont="1" applyFill="1" applyBorder="1" applyAlignment="1">
      <alignment horizontal="center"/>
    </xf>
    <xf numFmtId="45" fontId="39" fillId="6" borderId="0" xfId="0" applyNumberFormat="1" applyFont="1" applyFill="1" applyAlignment="1">
      <alignment horizontal="center"/>
    </xf>
    <xf numFmtId="0" fontId="39" fillId="6" borderId="0" xfId="0" applyFont="1" applyFill="1" applyAlignment="1">
      <alignment horizontal="center"/>
    </xf>
    <xf numFmtId="0" fontId="39" fillId="6" borderId="110" xfId="0" applyFont="1" applyFill="1" applyBorder="1" applyAlignment="1">
      <alignment horizontal="center"/>
    </xf>
    <xf numFmtId="1" fontId="39" fillId="6" borderId="110" xfId="0" applyNumberFormat="1" applyFont="1" applyFill="1" applyBorder="1" applyAlignment="1">
      <alignment horizontal="center"/>
    </xf>
    <xf numFmtId="1" fontId="43" fillId="6" borderId="0" xfId="0" applyNumberFormat="1" applyFont="1" applyFill="1" applyAlignment="1">
      <alignment horizontal="center"/>
    </xf>
    <xf numFmtId="1" fontId="43" fillId="6" borderId="110" xfId="0" applyNumberFormat="1" applyFont="1" applyFill="1" applyBorder="1" applyAlignment="1">
      <alignment horizontal="center"/>
    </xf>
    <xf numFmtId="169" fontId="39" fillId="5" borderId="1018" xfId="0" applyNumberFormat="1" applyFont="1" applyFill="1" applyBorder="1" applyAlignment="1">
      <alignment horizontal="center"/>
    </xf>
    <xf numFmtId="0" fontId="39" fillId="5" borderId="845" xfId="0" applyFont="1" applyFill="1" applyBorder="1" applyAlignment="1">
      <alignment horizontal="center"/>
    </xf>
    <xf numFmtId="1" fontId="39" fillId="5" borderId="845" xfId="0" applyNumberFormat="1" applyFont="1" applyFill="1" applyBorder="1" applyAlignment="1">
      <alignment horizontal="center"/>
    </xf>
    <xf numFmtId="0" fontId="39" fillId="5" borderId="1018" xfId="0" applyFont="1" applyFill="1" applyBorder="1" applyAlignment="1">
      <alignment horizontal="center"/>
    </xf>
    <xf numFmtId="0" fontId="39" fillId="5" borderId="60" xfId="0" applyFont="1" applyFill="1" applyBorder="1" applyAlignment="1">
      <alignment horizontal="center"/>
    </xf>
    <xf numFmtId="0" fontId="34" fillId="15" borderId="918" xfId="0" applyFont="1" applyFill="1" applyBorder="1" applyAlignment="1">
      <alignment horizontal="center" vertical="center"/>
    </xf>
    <xf numFmtId="0" fontId="34" fillId="15" borderId="628" xfId="0" applyFont="1" applyFill="1" applyBorder="1" applyAlignment="1">
      <alignment horizontal="center" vertical="center"/>
    </xf>
    <xf numFmtId="0" fontId="34" fillId="15" borderId="538" xfId="0" applyFont="1" applyFill="1" applyBorder="1" applyAlignment="1">
      <alignment horizontal="center" vertical="center"/>
    </xf>
    <xf numFmtId="0" fontId="34" fillId="10" borderId="918" xfId="0" applyFont="1" applyFill="1" applyBorder="1" applyAlignment="1">
      <alignment horizontal="center" vertical="center"/>
    </xf>
    <xf numFmtId="0" fontId="34" fillId="10" borderId="538" xfId="0" applyFont="1" applyFill="1" applyBorder="1" applyAlignment="1">
      <alignment horizontal="center" vertical="center"/>
    </xf>
    <xf numFmtId="0" fontId="48" fillId="24" borderId="1040" xfId="0" applyFont="1" applyFill="1" applyBorder="1" applyAlignment="1">
      <alignment horizontal="center" vertical="center"/>
    </xf>
    <xf numFmtId="0" fontId="48" fillId="24" borderId="156" xfId="0" applyFont="1" applyFill="1" applyBorder="1" applyAlignment="1">
      <alignment horizontal="center" vertical="center"/>
    </xf>
    <xf numFmtId="0" fontId="34" fillId="15" borderId="606" xfId="0" applyFont="1" applyFill="1" applyBorder="1" applyAlignment="1">
      <alignment horizontal="center" vertical="center"/>
    </xf>
    <xf numFmtId="0" fontId="34" fillId="15" borderId="1039" xfId="0" applyFont="1" applyFill="1" applyBorder="1" applyAlignment="1">
      <alignment horizontal="center" vertical="center"/>
    </xf>
    <xf numFmtId="0" fontId="48" fillId="24" borderId="606" xfId="0" applyFont="1" applyFill="1" applyBorder="1" applyAlignment="1">
      <alignment horizontal="center" vertical="center"/>
    </xf>
    <xf numFmtId="0" fontId="34" fillId="17" borderId="967" xfId="0" applyFont="1" applyFill="1" applyBorder="1" applyAlignment="1">
      <alignment horizontal="center" vertical="center"/>
    </xf>
    <xf numFmtId="0" fontId="34" fillId="17" borderId="569" xfId="0" applyFont="1" applyFill="1" applyBorder="1" applyAlignment="1">
      <alignment horizontal="center" vertical="center"/>
    </xf>
    <xf numFmtId="0" fontId="34" fillId="17" borderId="156" xfId="0" applyFont="1" applyFill="1" applyBorder="1" applyAlignment="1">
      <alignment horizontal="center" vertical="center"/>
    </xf>
    <xf numFmtId="0" fontId="34" fillId="16" borderId="569" xfId="0" applyFont="1" applyFill="1" applyBorder="1" applyAlignment="1">
      <alignment horizontal="center" vertical="center"/>
    </xf>
    <xf numFmtId="0" fontId="34" fillId="16" borderId="156" xfId="0" applyFont="1" applyFill="1" applyBorder="1" applyAlignment="1">
      <alignment horizontal="center" vertical="center"/>
    </xf>
    <xf numFmtId="0" fontId="34" fillId="25" borderId="967" xfId="0" applyFont="1" applyFill="1" applyBorder="1" applyAlignment="1">
      <alignment horizontal="center" vertical="center"/>
    </xf>
    <xf numFmtId="0" fontId="34" fillId="25" borderId="569" xfId="0" applyFont="1" applyFill="1" applyBorder="1" applyAlignment="1">
      <alignment horizontal="center" vertical="center"/>
    </xf>
    <xf numFmtId="0" fontId="34" fillId="26" borderId="967" xfId="0" applyFont="1" applyFill="1" applyBorder="1" applyAlignment="1">
      <alignment horizontal="center" vertical="center"/>
    </xf>
    <xf numFmtId="0" fontId="34" fillId="26" borderId="569" xfId="0" applyFont="1" applyFill="1" applyBorder="1" applyAlignment="1">
      <alignment horizontal="center" vertical="center"/>
    </xf>
    <xf numFmtId="0" fontId="34" fillId="26" borderId="156" xfId="0" applyFont="1" applyFill="1" applyBorder="1" applyAlignment="1">
      <alignment horizontal="center" vertical="center"/>
    </xf>
    <xf numFmtId="0" fontId="34" fillId="27" borderId="967" xfId="0" applyFont="1" applyFill="1" applyBorder="1" applyAlignment="1">
      <alignment horizontal="center" vertical="center"/>
    </xf>
    <xf numFmtId="0" fontId="34" fillId="27" borderId="569" xfId="0" applyFont="1" applyFill="1" applyBorder="1" applyAlignment="1">
      <alignment horizontal="center" vertical="center"/>
    </xf>
    <xf numFmtId="0" fontId="34" fillId="27" borderId="156" xfId="0" applyFont="1" applyFill="1" applyBorder="1" applyAlignment="1">
      <alignment horizontal="center" vertical="center"/>
    </xf>
    <xf numFmtId="0" fontId="34" fillId="27" borderId="606" xfId="0" applyFont="1" applyFill="1" applyBorder="1" applyAlignment="1">
      <alignment horizontal="center" vertical="center"/>
    </xf>
    <xf numFmtId="0" fontId="34" fillId="15" borderId="156" xfId="0" applyFont="1" applyFill="1" applyBorder="1" applyAlignment="1">
      <alignment horizontal="center"/>
    </xf>
    <xf numFmtId="0" fontId="34" fillId="15" borderId="1048" xfId="0" applyFont="1" applyFill="1" applyBorder="1" applyAlignment="1">
      <alignment horizontal="center"/>
    </xf>
    <xf numFmtId="0" fontId="34" fillId="15" borderId="1002" xfId="0" applyFont="1" applyFill="1" applyBorder="1" applyAlignment="1">
      <alignment horizontal="center"/>
    </xf>
    <xf numFmtId="0" fontId="34" fillId="15" borderId="1040" xfId="0" applyFont="1" applyFill="1" applyBorder="1" applyAlignment="1">
      <alignment horizontal="center"/>
    </xf>
    <xf numFmtId="0" fontId="34" fillId="27" borderId="538" xfId="0" applyFont="1" applyFill="1" applyBorder="1" applyAlignment="1">
      <alignment horizontal="center" vertical="center"/>
    </xf>
    <xf numFmtId="14" fontId="45" fillId="5" borderId="0" xfId="0" applyNumberFormat="1" applyFont="1" applyFill="1" applyAlignment="1">
      <alignment horizontal="center" vertical="center"/>
    </xf>
    <xf numFmtId="49" fontId="38" fillId="5" borderId="845" xfId="0" applyNumberFormat="1" applyFont="1" applyFill="1" applyBorder="1" applyAlignment="1">
      <alignment horizontal="center" vertical="center"/>
    </xf>
    <xf numFmtId="0" fontId="39" fillId="5" borderId="110" xfId="0" applyFont="1" applyFill="1" applyBorder="1" applyAlignment="1">
      <alignment horizontal="center" vertical="center"/>
    </xf>
    <xf numFmtId="0" fontId="39" fillId="5" borderId="1038" xfId="0" applyFont="1" applyFill="1" applyBorder="1" applyAlignment="1">
      <alignment horizontal="center" vertical="center"/>
    </xf>
    <xf numFmtId="0" fontId="34" fillId="5" borderId="1018" xfId="0" applyFont="1" applyFill="1" applyBorder="1" applyAlignment="1">
      <alignment horizontal="left" vertical="center"/>
    </xf>
    <xf numFmtId="0" fontId="34" fillId="5" borderId="60" xfId="0" applyFont="1" applyFill="1" applyBorder="1" applyAlignment="1">
      <alignment horizontal="left" vertical="center"/>
    </xf>
    <xf numFmtId="0" fontId="34" fillId="5" borderId="1030" xfId="0" applyFont="1" applyFill="1" applyBorder="1" applyAlignment="1">
      <alignment horizontal="left" vertical="center"/>
    </xf>
    <xf numFmtId="2" fontId="35" fillId="5" borderId="184" xfId="0" applyNumberFormat="1" applyFont="1" applyFill="1" applyBorder="1" applyAlignment="1">
      <alignment horizontal="center" vertical="center"/>
    </xf>
    <xf numFmtId="2" fontId="35" fillId="5" borderId="973" xfId="0" applyNumberFormat="1" applyFont="1" applyFill="1" applyBorder="1" applyAlignment="1">
      <alignment horizontal="center" vertical="center"/>
    </xf>
    <xf numFmtId="169" fontId="35" fillId="5" borderId="118" xfId="0" applyNumberFormat="1" applyFont="1" applyFill="1" applyBorder="1" applyAlignment="1">
      <alignment horizontal="center" vertical="center"/>
    </xf>
    <xf numFmtId="169" fontId="35" fillId="5" borderId="1030" xfId="0" applyNumberFormat="1" applyFont="1" applyFill="1" applyBorder="1" applyAlignment="1">
      <alignment horizontal="center" vertical="center"/>
    </xf>
    <xf numFmtId="1" fontId="36" fillId="10" borderId="60" xfId="0" applyNumberFormat="1" applyFont="1" applyFill="1" applyBorder="1" applyAlignment="1">
      <alignment horizontal="center" vertical="center"/>
    </xf>
    <xf numFmtId="0" fontId="36" fillId="6" borderId="142" xfId="0" applyFont="1" applyFill="1" applyBorder="1" applyAlignment="1">
      <alignment horizontal="center" vertical="center"/>
    </xf>
    <xf numFmtId="0" fontId="36" fillId="6" borderId="194" xfId="0" applyFont="1" applyFill="1" applyBorder="1" applyAlignment="1">
      <alignment horizontal="center" vertical="center"/>
    </xf>
    <xf numFmtId="1" fontId="36" fillId="10" borderId="1018" xfId="0" applyNumberFormat="1" applyFont="1" applyFill="1" applyBorder="1" applyAlignment="1">
      <alignment horizontal="center" vertical="center"/>
    </xf>
    <xf numFmtId="2" fontId="34" fillId="0" borderId="0" xfId="0" applyNumberFormat="1" applyFont="1" applyAlignment="1">
      <alignment horizontal="center"/>
    </xf>
    <xf numFmtId="169" fontId="39" fillId="11" borderId="1037" xfId="0" applyNumberFormat="1" applyFont="1" applyFill="1" applyBorder="1" applyAlignment="1">
      <alignment horizontal="center"/>
    </xf>
    <xf numFmtId="20" fontId="39" fillId="11" borderId="1037" xfId="0" applyNumberFormat="1" applyFont="1" applyFill="1" applyBorder="1" applyAlignment="1">
      <alignment horizontal="center"/>
    </xf>
    <xf numFmtId="1" fontId="39" fillId="11" borderId="1037" xfId="0" applyNumberFormat="1" applyFont="1" applyFill="1" applyBorder="1" applyAlignment="1">
      <alignment horizontal="center"/>
    </xf>
    <xf numFmtId="0" fontId="39" fillId="11" borderId="1037" xfId="0" applyFont="1" applyFill="1" applyBorder="1" applyAlignment="1">
      <alignment horizontal="center"/>
    </xf>
    <xf numFmtId="0" fontId="39" fillId="11" borderId="158" xfId="0" applyFont="1" applyFill="1" applyBorder="1" applyAlignment="1">
      <alignment horizontal="center"/>
    </xf>
    <xf numFmtId="20" fontId="39" fillId="11" borderId="158" xfId="0" applyNumberFormat="1" applyFont="1" applyFill="1" applyBorder="1" applyAlignment="1">
      <alignment horizontal="center"/>
    </xf>
    <xf numFmtId="1" fontId="39" fillId="11" borderId="158" xfId="0" applyNumberFormat="1" applyFont="1" applyFill="1" applyBorder="1" applyAlignment="1">
      <alignment horizontal="center"/>
    </xf>
    <xf numFmtId="0" fontId="39" fillId="11" borderId="159" xfId="0" applyFont="1" applyFill="1" applyBorder="1" applyAlignment="1">
      <alignment horizontal="center"/>
    </xf>
    <xf numFmtId="1" fontId="39" fillId="11" borderId="159" xfId="0" applyNumberFormat="1" applyFont="1" applyFill="1" applyBorder="1" applyAlignment="1">
      <alignment horizontal="center"/>
    </xf>
    <xf numFmtId="1" fontId="43" fillId="11" borderId="160" xfId="0" applyNumberFormat="1" applyFont="1" applyFill="1" applyBorder="1" applyAlignment="1">
      <alignment horizontal="center"/>
    </xf>
    <xf numFmtId="1" fontId="43" fillId="11" borderId="158" xfId="0" applyNumberFormat="1" applyFont="1" applyFill="1" applyBorder="1" applyAlignment="1">
      <alignment horizontal="center"/>
    </xf>
    <xf numFmtId="1" fontId="43" fillId="11" borderId="159" xfId="0" applyNumberFormat="1" applyFont="1" applyFill="1" applyBorder="1" applyAlignment="1">
      <alignment horizontal="center"/>
    </xf>
    <xf numFmtId="0" fontId="39" fillId="11" borderId="945" xfId="0" applyFont="1" applyFill="1" applyBorder="1" applyAlignment="1">
      <alignment horizontal="center"/>
    </xf>
    <xf numFmtId="169" fontId="39" fillId="11" borderId="0" xfId="0" applyNumberFormat="1" applyFont="1" applyFill="1" applyAlignment="1">
      <alignment horizontal="center"/>
    </xf>
    <xf numFmtId="169" fontId="39" fillId="11" borderId="158" xfId="0" applyNumberFormat="1" applyFont="1" applyFill="1" applyBorder="1" applyAlignment="1">
      <alignment horizontal="center"/>
    </xf>
    <xf numFmtId="0" fontId="39" fillId="11" borderId="1040" xfId="0" applyFont="1" applyFill="1" applyBorder="1" applyAlignment="1">
      <alignment horizontal="center"/>
    </xf>
    <xf numFmtId="0" fontId="39" fillId="11" borderId="569" xfId="0" applyFont="1" applyFill="1" applyBorder="1" applyAlignment="1">
      <alignment horizontal="center"/>
    </xf>
    <xf numFmtId="0" fontId="39" fillId="11" borderId="156" xfId="0" applyFont="1" applyFill="1" applyBorder="1" applyAlignment="1">
      <alignment horizontal="center"/>
    </xf>
    <xf numFmtId="0" fontId="39" fillId="11" borderId="606" xfId="0" applyFont="1" applyFill="1" applyBorder="1" applyAlignment="1">
      <alignment horizontal="center"/>
    </xf>
    <xf numFmtId="45" fontId="39" fillId="11" borderId="945" xfId="0" applyNumberFormat="1" applyFont="1" applyFill="1" applyBorder="1" applyAlignment="1">
      <alignment horizontal="center"/>
    </xf>
    <xf numFmtId="0" fontId="39" fillId="11" borderId="946" xfId="0" applyFont="1" applyFill="1" applyBorder="1" applyAlignment="1">
      <alignment horizontal="center"/>
    </xf>
    <xf numFmtId="0" fontId="39" fillId="11" borderId="60" xfId="0" applyFont="1" applyFill="1" applyBorder="1" applyAlignment="1">
      <alignment horizontal="center"/>
    </xf>
    <xf numFmtId="0" fontId="39" fillId="11" borderId="160" xfId="0" applyFont="1" applyFill="1" applyBorder="1" applyAlignment="1">
      <alignment horizontal="center"/>
    </xf>
    <xf numFmtId="0" fontId="39" fillId="11" borderId="1030" xfId="0" applyFont="1" applyFill="1" applyBorder="1" applyAlignment="1">
      <alignment horizontal="center"/>
    </xf>
    <xf numFmtId="0" fontId="39" fillId="11" borderId="1038" xfId="0" applyFont="1" applyFill="1" applyBorder="1" applyAlignment="1">
      <alignment horizontal="center"/>
    </xf>
    <xf numFmtId="1" fontId="43" fillId="11" borderId="619" xfId="0" applyNumberFormat="1" applyFont="1" applyFill="1" applyBorder="1" applyAlignment="1">
      <alignment horizontal="center"/>
    </xf>
    <xf numFmtId="1" fontId="43" fillId="11" borderId="945" xfId="0" applyNumberFormat="1" applyFont="1" applyFill="1" applyBorder="1" applyAlignment="1">
      <alignment horizontal="center"/>
    </xf>
    <xf numFmtId="1" fontId="43" fillId="11" borderId="946" xfId="0" applyNumberFormat="1" applyFont="1" applyFill="1" applyBorder="1" applyAlignment="1">
      <alignment horizontal="center"/>
    </xf>
    <xf numFmtId="1" fontId="39" fillId="0" borderId="536" xfId="0" applyNumberFormat="1" applyFont="1" applyBorder="1" applyAlignment="1">
      <alignment horizontal="center"/>
    </xf>
    <xf numFmtId="0" fontId="39" fillId="0" borderId="0" xfId="0" applyFont="1" applyAlignment="1">
      <alignment horizontal="left"/>
    </xf>
    <xf numFmtId="167" fontId="39" fillId="0" borderId="486" xfId="0" applyNumberFormat="1" applyFont="1" applyBorder="1" applyAlignment="1">
      <alignment horizontal="center"/>
    </xf>
    <xf numFmtId="1" fontId="39" fillId="0" borderId="487" xfId="0" applyNumberFormat="1" applyFont="1" applyBorder="1" applyAlignment="1">
      <alignment horizontal="center"/>
    </xf>
    <xf numFmtId="1" fontId="39" fillId="0" borderId="487" xfId="0" applyNumberFormat="1" applyFont="1" applyBorder="1" applyAlignment="1">
      <alignment horizontal="center" vertical="center"/>
    </xf>
    <xf numFmtId="21" fontId="39" fillId="0" borderId="488" xfId="0" applyNumberFormat="1" applyFont="1" applyBorder="1" applyAlignment="1">
      <alignment horizontal="center"/>
    </xf>
    <xf numFmtId="169" fontId="39" fillId="0" borderId="489" xfId="0" applyNumberFormat="1" applyFont="1" applyBorder="1" applyAlignment="1">
      <alignment horizontal="center"/>
    </xf>
    <xf numFmtId="45" fontId="39" fillId="0" borderId="489" xfId="0" applyNumberFormat="1" applyFont="1" applyBorder="1" applyAlignment="1">
      <alignment horizontal="center"/>
    </xf>
    <xf numFmtId="1" fontId="39" fillId="0" borderId="489" xfId="0" applyNumberFormat="1" applyFont="1" applyBorder="1" applyAlignment="1">
      <alignment horizontal="center"/>
    </xf>
    <xf numFmtId="1" fontId="40" fillId="0" borderId="483" xfId="0" applyNumberFormat="1" applyFont="1" applyBorder="1" applyAlignment="1">
      <alignment horizontal="center"/>
    </xf>
    <xf numFmtId="170" fontId="39" fillId="0" borderId="480" xfId="0" applyNumberFormat="1" applyFont="1" applyBorder="1" applyAlignment="1">
      <alignment horizontal="center"/>
    </xf>
    <xf numFmtId="45" fontId="39" fillId="0" borderId="490" xfId="0" applyNumberFormat="1" applyFont="1" applyBorder="1" applyAlignment="1">
      <alignment horizontal="center"/>
    </xf>
    <xf numFmtId="1" fontId="43" fillId="5" borderId="491" xfId="0" applyNumberFormat="1" applyFont="1" applyFill="1" applyBorder="1" applyAlignment="1">
      <alignment horizontal="center"/>
    </xf>
    <xf numFmtId="1" fontId="43" fillId="5" borderId="492" xfId="0" applyNumberFormat="1" applyFont="1" applyFill="1" applyBorder="1" applyAlignment="1">
      <alignment horizontal="center"/>
    </xf>
    <xf numFmtId="1" fontId="43" fillId="5" borderId="753" xfId="0" applyNumberFormat="1" applyFont="1" applyFill="1" applyBorder="1" applyAlignment="1">
      <alignment horizontal="center"/>
    </xf>
    <xf numFmtId="2" fontId="39" fillId="0" borderId="824" xfId="0" applyNumberFormat="1" applyFont="1" applyBorder="1" applyAlignment="1">
      <alignment horizontal="center"/>
    </xf>
    <xf numFmtId="1" fontId="39" fillId="0" borderId="545" xfId="0" applyNumberFormat="1" applyFont="1" applyBorder="1" applyAlignment="1">
      <alignment horizontal="center"/>
    </xf>
    <xf numFmtId="1" fontId="39" fillId="0" borderId="537" xfId="0" applyNumberFormat="1" applyFont="1" applyBorder="1" applyAlignment="1">
      <alignment horizontal="center"/>
    </xf>
    <xf numFmtId="1" fontId="39" fillId="0" borderId="564" xfId="0" applyNumberFormat="1" applyFont="1" applyBorder="1" applyAlignment="1">
      <alignment horizontal="center"/>
    </xf>
    <xf numFmtId="167" fontId="39" fillId="0" borderId="300" xfId="0" applyNumberFormat="1" applyFont="1" applyBorder="1" applyAlignment="1">
      <alignment horizontal="center"/>
    </xf>
    <xf numFmtId="1" fontId="39" fillId="0" borderId="469" xfId="0" applyNumberFormat="1" applyFont="1" applyBorder="1" applyAlignment="1">
      <alignment horizontal="center"/>
    </xf>
    <xf numFmtId="1" fontId="39" fillId="0" borderId="469" xfId="0" applyNumberFormat="1" applyFont="1" applyBorder="1" applyAlignment="1">
      <alignment horizontal="center" vertical="center"/>
    </xf>
    <xf numFmtId="21" fontId="39" fillId="0" borderId="296" xfId="0" applyNumberFormat="1" applyFont="1" applyBorder="1" applyAlignment="1">
      <alignment horizontal="center"/>
    </xf>
    <xf numFmtId="169" fontId="39" fillId="0" borderId="297" xfId="0" applyNumberFormat="1" applyFont="1" applyBorder="1" applyAlignment="1">
      <alignment horizontal="center"/>
    </xf>
    <xf numFmtId="45" fontId="39" fillId="0" borderId="297" xfId="0" applyNumberFormat="1" applyFont="1" applyBorder="1" applyAlignment="1">
      <alignment horizontal="center"/>
    </xf>
    <xf numFmtId="1" fontId="39" fillId="0" borderId="297" xfId="0" applyNumberFormat="1" applyFont="1" applyBorder="1" applyAlignment="1">
      <alignment horizontal="center"/>
    </xf>
    <xf numFmtId="1" fontId="40" fillId="0" borderId="298" xfId="0" applyNumberFormat="1" applyFont="1" applyBorder="1" applyAlignment="1">
      <alignment horizontal="center"/>
    </xf>
    <xf numFmtId="170" fontId="39" fillId="0" borderId="295" xfId="0" applyNumberFormat="1" applyFont="1" applyBorder="1" applyAlignment="1">
      <alignment horizontal="center"/>
    </xf>
    <xf numFmtId="45" fontId="39" fillId="0" borderId="299" xfId="0" applyNumberFormat="1" applyFont="1" applyBorder="1" applyAlignment="1">
      <alignment horizontal="center"/>
    </xf>
    <xf numFmtId="1" fontId="43" fillId="5" borderId="300" xfId="0" applyNumberFormat="1" applyFont="1" applyFill="1" applyBorder="1" applyAlignment="1">
      <alignment horizontal="center"/>
    </xf>
    <xf numFmtId="1" fontId="43" fillId="5" borderId="493" xfId="0" applyNumberFormat="1" applyFont="1" applyFill="1" applyBorder="1" applyAlignment="1">
      <alignment horizontal="center"/>
    </xf>
    <xf numFmtId="1" fontId="43" fillId="5" borderId="874" xfId="0" applyNumberFormat="1" applyFont="1" applyFill="1" applyBorder="1" applyAlignment="1">
      <alignment horizontal="center"/>
    </xf>
    <xf numFmtId="2" fontId="39" fillId="0" borderId="876" xfId="0" applyNumberFormat="1" applyFont="1" applyBorder="1" applyAlignment="1">
      <alignment horizontal="center"/>
    </xf>
    <xf numFmtId="1" fontId="39" fillId="0" borderId="546" xfId="0" applyNumberFormat="1" applyFont="1" applyBorder="1" applyAlignment="1">
      <alignment horizontal="center"/>
    </xf>
    <xf numFmtId="1" fontId="39" fillId="0" borderId="540" xfId="0" applyNumberFormat="1" applyFont="1" applyBorder="1" applyAlignment="1">
      <alignment horizontal="center"/>
    </xf>
    <xf numFmtId="1" fontId="39" fillId="0" borderId="565" xfId="0" applyNumberFormat="1" applyFont="1" applyBorder="1" applyAlignment="1">
      <alignment horizontal="center"/>
    </xf>
    <xf numFmtId="1" fontId="39" fillId="0" borderId="295" xfId="0" applyNumberFormat="1" applyFont="1" applyBorder="1" applyAlignment="1">
      <alignment horizontal="center"/>
    </xf>
    <xf numFmtId="1" fontId="39" fillId="0" borderId="295" xfId="0" applyNumberFormat="1" applyFont="1" applyBorder="1" applyAlignment="1">
      <alignment horizontal="center" vertical="center"/>
    </xf>
    <xf numFmtId="167" fontId="39" fillId="0" borderId="494" xfId="0" applyNumberFormat="1" applyFont="1" applyBorder="1" applyAlignment="1">
      <alignment horizontal="center"/>
    </xf>
    <xf numFmtId="1" fontId="39" fillId="0" borderId="495" xfId="0" applyNumberFormat="1" applyFont="1" applyBorder="1" applyAlignment="1">
      <alignment horizontal="center"/>
    </xf>
    <xf numFmtId="1" fontId="39" fillId="0" borderId="495" xfId="0" applyNumberFormat="1" applyFont="1" applyBorder="1" applyAlignment="1">
      <alignment horizontal="center" vertical="center"/>
    </xf>
    <xf numFmtId="21" fontId="39" fillId="0" borderId="496" xfId="0" applyNumberFormat="1" applyFont="1" applyBorder="1" applyAlignment="1">
      <alignment horizontal="center"/>
    </xf>
    <xf numFmtId="169" fontId="39" fillId="0" borderId="497" xfId="0" applyNumberFormat="1" applyFont="1" applyBorder="1" applyAlignment="1">
      <alignment horizontal="center"/>
    </xf>
    <xf numFmtId="45" fontId="39" fillId="0" borderId="497" xfId="0" applyNumberFormat="1" applyFont="1" applyBorder="1" applyAlignment="1">
      <alignment horizontal="center"/>
    </xf>
    <xf numFmtId="1" fontId="39" fillId="0" borderId="497" xfId="0" applyNumberFormat="1" applyFont="1" applyBorder="1" applyAlignment="1">
      <alignment horizontal="center"/>
    </xf>
    <xf numFmtId="1" fontId="40" fillId="0" borderId="498" xfId="0" applyNumberFormat="1" applyFont="1" applyBorder="1" applyAlignment="1">
      <alignment horizontal="center"/>
    </xf>
    <xf numFmtId="170" fontId="39" fillId="0" borderId="291" xfId="0" applyNumberFormat="1" applyFont="1" applyBorder="1" applyAlignment="1">
      <alignment horizontal="center"/>
    </xf>
    <xf numFmtId="45" fontId="39" fillId="0" borderId="499" xfId="0" applyNumberFormat="1" applyFont="1" applyBorder="1" applyAlignment="1">
      <alignment horizontal="center"/>
    </xf>
    <xf numFmtId="1" fontId="43" fillId="5" borderId="494" xfId="0" applyNumberFormat="1" applyFont="1" applyFill="1" applyBorder="1" applyAlignment="1">
      <alignment horizontal="center"/>
    </xf>
    <xf numFmtId="1" fontId="43" fillId="5" borderId="500" xfId="0" applyNumberFormat="1" applyFont="1" applyFill="1" applyBorder="1" applyAlignment="1">
      <alignment horizontal="center"/>
    </xf>
    <xf numFmtId="1" fontId="43" fillId="5" borderId="875" xfId="0" applyNumberFormat="1" applyFont="1" applyFill="1" applyBorder="1" applyAlignment="1">
      <alignment horizontal="center"/>
    </xf>
    <xf numFmtId="2" fontId="39" fillId="0" borderId="873" xfId="0" applyNumberFormat="1" applyFont="1" applyBorder="1" applyAlignment="1">
      <alignment horizontal="center"/>
    </xf>
    <xf numFmtId="1" fontId="39" fillId="0" borderId="544" xfId="0" applyNumberFormat="1" applyFont="1" applyBorder="1" applyAlignment="1">
      <alignment horizontal="center"/>
    </xf>
    <xf numFmtId="1" fontId="39" fillId="0" borderId="538" xfId="0" applyNumberFormat="1" applyFont="1" applyBorder="1" applyAlignment="1">
      <alignment horizontal="center"/>
    </xf>
    <xf numFmtId="1" fontId="39" fillId="0" borderId="548" xfId="0" applyNumberFormat="1" applyFont="1" applyBorder="1" applyAlignment="1">
      <alignment horizontal="center"/>
    </xf>
    <xf numFmtId="167" fontId="39" fillId="0" borderId="160" xfId="0" applyNumberFormat="1" applyFont="1" applyBorder="1" applyAlignment="1">
      <alignment horizontal="center"/>
    </xf>
    <xf numFmtId="1" fontId="39" fillId="0" borderId="156" xfId="0" applyNumberFormat="1" applyFont="1" applyBorder="1" applyAlignment="1">
      <alignment horizontal="center"/>
    </xf>
    <xf numFmtId="1" fontId="39" fillId="0" borderId="156" xfId="0" applyNumberFormat="1" applyFont="1" applyBorder="1" applyAlignment="1">
      <alignment horizontal="center" vertical="center"/>
    </xf>
    <xf numFmtId="21" fontId="39" fillId="0" borderId="429" xfId="0" applyNumberFormat="1" applyFont="1" applyBorder="1" applyAlignment="1">
      <alignment horizontal="center"/>
    </xf>
    <xf numFmtId="169" fontId="39" fillId="0" borderId="460" xfId="0" applyNumberFormat="1" applyFont="1" applyBorder="1" applyAlignment="1">
      <alignment horizontal="center"/>
    </xf>
    <xf numFmtId="45" fontId="39" fillId="0" borderId="460" xfId="0" applyNumberFormat="1" applyFont="1" applyBorder="1" applyAlignment="1">
      <alignment horizontal="center"/>
    </xf>
    <xf numFmtId="1" fontId="39" fillId="0" borderId="460" xfId="0" applyNumberFormat="1" applyFont="1" applyBorder="1" applyAlignment="1">
      <alignment horizontal="center"/>
    </xf>
    <xf numFmtId="1" fontId="40" fillId="0" borderId="430" xfId="0" applyNumberFormat="1" applyFont="1" applyBorder="1" applyAlignment="1">
      <alignment horizontal="center"/>
    </xf>
    <xf numFmtId="1" fontId="39" fillId="0" borderId="431" xfId="0" applyNumberFormat="1" applyFont="1" applyBorder="1" applyAlignment="1">
      <alignment horizontal="center"/>
    </xf>
    <xf numFmtId="170" fontId="39" fillId="0" borderId="156" xfId="0" applyNumberFormat="1" applyFont="1" applyBorder="1" applyAlignment="1">
      <alignment horizontal="center"/>
    </xf>
    <xf numFmtId="45" fontId="39" fillId="0" borderId="431" xfId="0" applyNumberFormat="1" applyFont="1" applyBorder="1" applyAlignment="1">
      <alignment horizontal="center"/>
    </xf>
    <xf numFmtId="1" fontId="43" fillId="5" borderId="160" xfId="0" applyNumberFormat="1" applyFont="1" applyFill="1" applyBorder="1" applyAlignment="1">
      <alignment horizontal="center"/>
    </xf>
    <xf numFmtId="1" fontId="43" fillId="5" borderId="107" xfId="0" applyNumberFormat="1" applyFont="1" applyFill="1" applyBorder="1" applyAlignment="1">
      <alignment horizontal="center"/>
    </xf>
    <xf numFmtId="1" fontId="39" fillId="0" borderId="160" xfId="0" applyNumberFormat="1" applyFont="1" applyBorder="1" applyAlignment="1">
      <alignment horizontal="center"/>
    </xf>
    <xf numFmtId="1" fontId="39" fillId="0" borderId="158" xfId="0" applyNumberFormat="1" applyFont="1" applyBorder="1" applyAlignment="1">
      <alignment horizontal="center"/>
    </xf>
    <xf numFmtId="2" fontId="39" fillId="0" borderId="468" xfId="0" applyNumberFormat="1" applyFont="1" applyBorder="1" applyAlignment="1">
      <alignment horizontal="center"/>
    </xf>
    <xf numFmtId="167" fontId="39" fillId="0" borderId="113" xfId="0" applyNumberFormat="1" applyFont="1" applyBorder="1" applyAlignment="1">
      <alignment horizontal="center"/>
    </xf>
    <xf numFmtId="1" fontId="39" fillId="0" borderId="108" xfId="0" applyNumberFormat="1" applyFont="1" applyBorder="1" applyAlignment="1">
      <alignment horizontal="center"/>
    </xf>
    <xf numFmtId="1" fontId="39" fillId="0" borderId="108" xfId="0" applyNumberFormat="1" applyFont="1" applyBorder="1" applyAlignment="1">
      <alignment horizontal="center" vertical="center"/>
    </xf>
    <xf numFmtId="21" fontId="39" fillId="0" borderId="12" xfId="0" applyNumberFormat="1" applyFont="1" applyBorder="1" applyAlignment="1">
      <alignment horizontal="center"/>
    </xf>
    <xf numFmtId="169" fontId="39" fillId="0" borderId="10" xfId="0" applyNumberFormat="1" applyFont="1" applyBorder="1" applyAlignment="1">
      <alignment horizontal="center"/>
    </xf>
    <xf numFmtId="45" fontId="39" fillId="0" borderId="10" xfId="0" applyNumberFormat="1" applyFont="1" applyBorder="1" applyAlignment="1">
      <alignment horizontal="center"/>
    </xf>
    <xf numFmtId="1" fontId="39" fillId="0" borderId="124" xfId="0" applyNumberFormat="1" applyFont="1" applyBorder="1" applyAlignment="1">
      <alignment horizontal="center"/>
    </xf>
    <xf numFmtId="1" fontId="40" fillId="0" borderId="132" xfId="0" applyNumberFormat="1" applyFont="1" applyBorder="1" applyAlignment="1">
      <alignment horizontal="center"/>
    </xf>
    <xf numFmtId="170" fontId="39" fillId="0" borderId="175" xfId="0" applyNumberFormat="1" applyFont="1" applyBorder="1" applyAlignment="1">
      <alignment horizontal="center"/>
    </xf>
    <xf numFmtId="45" fontId="39" fillId="0" borderId="218" xfId="0" applyNumberFormat="1" applyFont="1" applyBorder="1" applyAlignment="1">
      <alignment horizontal="center"/>
    </xf>
    <xf numFmtId="1" fontId="43" fillId="5" borderId="126" xfId="0" applyNumberFormat="1" applyFont="1" applyFill="1" applyBorder="1" applyAlignment="1">
      <alignment horizontal="center"/>
    </xf>
    <xf numFmtId="1" fontId="43" fillId="5" borderId="130" xfId="0" applyNumberFormat="1" applyFont="1" applyFill="1" applyBorder="1" applyAlignment="1">
      <alignment horizontal="center"/>
    </xf>
    <xf numFmtId="167" fontId="39" fillId="0" borderId="482" xfId="0" applyNumberFormat="1" applyFont="1" applyBorder="1" applyAlignment="1">
      <alignment horizontal="center"/>
    </xf>
    <xf numFmtId="1" fontId="39" fillId="0" borderId="481" xfId="0" applyNumberFormat="1" applyFont="1" applyBorder="1" applyAlignment="1">
      <alignment horizontal="center"/>
    </xf>
    <xf numFmtId="1" fontId="39" fillId="0" borderId="481" xfId="0" applyNumberFormat="1" applyFont="1" applyBorder="1" applyAlignment="1">
      <alignment horizontal="center" vertical="center"/>
    </xf>
    <xf numFmtId="21" fontId="39" fillId="0" borderId="23" xfId="0" applyNumberFormat="1" applyFont="1" applyBorder="1" applyAlignment="1">
      <alignment horizontal="center"/>
    </xf>
    <xf numFmtId="169" fontId="39" fillId="0" borderId="318" xfId="0" applyNumberFormat="1" applyFont="1" applyBorder="1" applyAlignment="1">
      <alignment horizontal="center"/>
    </xf>
    <xf numFmtId="45" fontId="39" fillId="0" borderId="318" xfId="0" applyNumberFormat="1" applyFont="1" applyBorder="1" applyAlignment="1">
      <alignment horizontal="center"/>
    </xf>
    <xf numFmtId="1" fontId="39" fillId="0" borderId="318" xfId="0" applyNumberFormat="1" applyFont="1" applyBorder="1" applyAlignment="1">
      <alignment horizontal="center"/>
    </xf>
    <xf numFmtId="1" fontId="40" fillId="0" borderId="470" xfId="0" applyNumberFormat="1" applyFont="1" applyBorder="1" applyAlignment="1">
      <alignment horizontal="center"/>
    </xf>
    <xf numFmtId="1" fontId="39" fillId="0" borderId="24" xfId="0" applyNumberFormat="1" applyFont="1" applyBorder="1" applyAlignment="1">
      <alignment horizontal="center"/>
    </xf>
    <xf numFmtId="170" fontId="39" fillId="0" borderId="481" xfId="0" applyNumberFormat="1" applyFont="1" applyBorder="1" applyAlignment="1">
      <alignment horizontal="center"/>
    </xf>
    <xf numFmtId="45" fontId="39" fillId="0" borderId="24" xfId="0" applyNumberFormat="1" applyFont="1" applyBorder="1" applyAlignment="1">
      <alignment horizontal="center"/>
    </xf>
    <xf numFmtId="1" fontId="43" fillId="5" borderId="116" xfId="0" applyNumberFormat="1" applyFont="1" applyFill="1" applyBorder="1" applyAlignment="1">
      <alignment horizontal="center"/>
    </xf>
    <xf numFmtId="1" fontId="43" fillId="5" borderId="501" xfId="0" applyNumberFormat="1" applyFont="1" applyFill="1" applyBorder="1" applyAlignment="1">
      <alignment horizontal="center"/>
    </xf>
    <xf numFmtId="1" fontId="43" fillId="5" borderId="577" xfId="0" applyNumberFormat="1" applyFont="1" applyFill="1" applyBorder="1" applyAlignment="1">
      <alignment horizontal="center"/>
    </xf>
    <xf numFmtId="1" fontId="39" fillId="0" borderId="547" xfId="0" applyNumberFormat="1" applyFont="1" applyBorder="1" applyAlignment="1">
      <alignment horizontal="center"/>
    </xf>
    <xf numFmtId="1" fontId="39" fillId="0" borderId="542" xfId="0" applyNumberFormat="1" applyFont="1" applyBorder="1" applyAlignment="1">
      <alignment horizontal="center"/>
    </xf>
    <xf numFmtId="1" fontId="39" fillId="0" borderId="549" xfId="0" applyNumberFormat="1" applyFont="1" applyBorder="1" applyAlignment="1">
      <alignment horizontal="center"/>
    </xf>
    <xf numFmtId="1" fontId="39" fillId="0" borderId="480" xfId="0" applyNumberFormat="1" applyFont="1" applyBorder="1" applyAlignment="1">
      <alignment horizontal="center"/>
    </xf>
    <xf numFmtId="1" fontId="39" fillId="0" borderId="480" xfId="0" applyNumberFormat="1" applyFont="1" applyBorder="1" applyAlignment="1">
      <alignment horizontal="center" vertical="center"/>
    </xf>
    <xf numFmtId="21" fontId="39" fillId="0" borderId="502" xfId="0" applyNumberFormat="1" applyFont="1" applyBorder="1" applyAlignment="1">
      <alignment horizontal="center"/>
    </xf>
    <xf numFmtId="169" fontId="39" fillId="0" borderId="503" xfId="0" applyNumberFormat="1" applyFont="1" applyBorder="1" applyAlignment="1">
      <alignment horizontal="center"/>
    </xf>
    <xf numFmtId="45" fontId="39" fillId="0" borderId="503" xfId="0" applyNumberFormat="1" applyFont="1" applyBorder="1" applyAlignment="1">
      <alignment horizontal="center"/>
    </xf>
    <xf numFmtId="1" fontId="39" fillId="0" borderId="503" xfId="0" applyNumberFormat="1" applyFont="1" applyBorder="1" applyAlignment="1">
      <alignment horizontal="center"/>
    </xf>
    <xf numFmtId="1" fontId="40" fillId="0" borderId="504" xfId="0" applyNumberFormat="1" applyFont="1" applyBorder="1" applyAlignment="1">
      <alignment horizontal="center"/>
    </xf>
    <xf numFmtId="45" fontId="39" fillId="0" borderId="505" xfId="0" applyNumberFormat="1" applyFont="1" applyBorder="1" applyAlignment="1">
      <alignment horizontal="center"/>
    </xf>
    <xf numFmtId="167" fontId="39" fillId="0" borderId="507" xfId="0" applyNumberFormat="1" applyFont="1" applyBorder="1" applyAlignment="1">
      <alignment horizontal="center"/>
    </xf>
    <xf numFmtId="1" fontId="39" fillId="0" borderId="506" xfId="0" applyNumberFormat="1" applyFont="1" applyBorder="1" applyAlignment="1">
      <alignment horizontal="center"/>
    </xf>
    <xf numFmtId="1" fontId="39" fillId="0" borderId="506" xfId="0" applyNumberFormat="1" applyFont="1" applyBorder="1" applyAlignment="1">
      <alignment horizontal="center" vertical="center"/>
    </xf>
    <xf numFmtId="21" fontId="39" fillId="0" borderId="508" xfId="0" applyNumberFormat="1" applyFont="1" applyBorder="1" applyAlignment="1">
      <alignment horizontal="center"/>
    </xf>
    <xf numFmtId="169" fontId="39" fillId="0" borderId="509" xfId="0" applyNumberFormat="1" applyFont="1" applyBorder="1" applyAlignment="1">
      <alignment horizontal="center"/>
    </xf>
    <xf numFmtId="45" fontId="39" fillId="0" borderId="509" xfId="0" applyNumberFormat="1" applyFont="1" applyBorder="1" applyAlignment="1">
      <alignment horizontal="center"/>
    </xf>
    <xf numFmtId="1" fontId="39" fillId="0" borderId="509" xfId="0" applyNumberFormat="1" applyFont="1" applyBorder="1" applyAlignment="1">
      <alignment horizontal="center"/>
    </xf>
    <xf numFmtId="1" fontId="40" fillId="0" borderId="510" xfId="0" applyNumberFormat="1" applyFont="1" applyBorder="1" applyAlignment="1">
      <alignment horizontal="center"/>
    </xf>
    <xf numFmtId="170" fontId="39" fillId="0" borderId="512" xfId="0" applyNumberFormat="1" applyFont="1" applyBorder="1" applyAlignment="1">
      <alignment horizontal="center"/>
    </xf>
    <xf numFmtId="45" fontId="39" fillId="0" borderId="511" xfId="0" applyNumberFormat="1" applyFont="1" applyBorder="1" applyAlignment="1">
      <alignment horizontal="center"/>
    </xf>
    <xf numFmtId="1" fontId="43" fillId="5" borderId="507" xfId="0" applyNumberFormat="1" applyFont="1" applyFill="1" applyBorder="1" applyAlignment="1">
      <alignment horizontal="center"/>
    </xf>
    <xf numFmtId="1" fontId="39" fillId="0" borderId="512" xfId="0" applyNumberFormat="1" applyFont="1" applyBorder="1" applyAlignment="1">
      <alignment horizontal="center"/>
    </xf>
    <xf numFmtId="1" fontId="39" fillId="0" borderId="512" xfId="0" applyNumberFormat="1" applyFont="1" applyBorder="1" applyAlignment="1">
      <alignment horizontal="center" vertical="center"/>
    </xf>
    <xf numFmtId="167" fontId="39" fillId="10" borderId="513" xfId="0" applyNumberFormat="1" applyFont="1" applyFill="1" applyBorder="1" applyAlignment="1">
      <alignment horizontal="center"/>
    </xf>
    <xf numFmtId="1" fontId="39" fillId="10" borderId="514" xfId="0" applyNumberFormat="1" applyFont="1" applyFill="1" applyBorder="1" applyAlignment="1">
      <alignment horizontal="center"/>
    </xf>
    <xf numFmtId="1" fontId="39" fillId="10" borderId="514" xfId="0" applyNumberFormat="1" applyFont="1" applyFill="1" applyBorder="1" applyAlignment="1">
      <alignment horizontal="center" vertical="center"/>
    </xf>
    <xf numFmtId="21" fontId="39" fillId="10" borderId="515" xfId="0" applyNumberFormat="1" applyFont="1" applyFill="1" applyBorder="1" applyAlignment="1">
      <alignment horizontal="center"/>
    </xf>
    <xf numFmtId="169" fontId="39" fillId="10" borderId="516" xfId="0" applyNumberFormat="1" applyFont="1" applyFill="1" applyBorder="1" applyAlignment="1">
      <alignment horizontal="center"/>
    </xf>
    <xf numFmtId="45" fontId="39" fillId="10" borderId="516" xfId="0" applyNumberFormat="1" applyFont="1" applyFill="1" applyBorder="1" applyAlignment="1">
      <alignment horizontal="center"/>
    </xf>
    <xf numFmtId="1" fontId="39" fillId="10" borderId="516" xfId="0" applyNumberFormat="1" applyFont="1" applyFill="1" applyBorder="1" applyAlignment="1">
      <alignment horizontal="center"/>
    </xf>
    <xf numFmtId="1" fontId="40" fillId="10" borderId="517" xfId="0" applyNumberFormat="1" applyFont="1" applyFill="1" applyBorder="1" applyAlignment="1">
      <alignment horizontal="center"/>
    </xf>
    <xf numFmtId="170" fontId="39" fillId="10" borderId="291" xfId="0" applyNumberFormat="1" applyFont="1" applyFill="1" applyBorder="1" applyAlignment="1">
      <alignment horizontal="center"/>
    </xf>
    <xf numFmtId="45" fontId="39" fillId="10" borderId="518" xfId="0" applyNumberFormat="1" applyFont="1" applyFill="1" applyBorder="1" applyAlignment="1">
      <alignment horizontal="center"/>
    </xf>
    <xf numFmtId="1" fontId="43" fillId="5" borderId="513" xfId="0" applyNumberFormat="1" applyFont="1" applyFill="1" applyBorder="1" applyAlignment="1">
      <alignment horizontal="center"/>
    </xf>
    <xf numFmtId="1" fontId="43" fillId="5" borderId="519" xfId="0" applyNumberFormat="1" applyFont="1" applyFill="1" applyBorder="1" applyAlignment="1">
      <alignment horizontal="center"/>
    </xf>
    <xf numFmtId="170" fontId="39" fillId="0" borderId="176" xfId="0" applyNumberFormat="1" applyFont="1" applyBorder="1" applyAlignment="1">
      <alignment horizontal="center"/>
    </xf>
    <xf numFmtId="167" fontId="39" fillId="0" borderId="116" xfId="0" applyNumberFormat="1" applyFont="1" applyBorder="1" applyAlignment="1">
      <alignment horizontal="center"/>
    </xf>
    <xf numFmtId="167" fontId="39" fillId="0" borderId="562" xfId="0" applyNumberFormat="1" applyFont="1" applyBorder="1" applyAlignment="1">
      <alignment horizontal="center"/>
    </xf>
    <xf numFmtId="1" fontId="39" fillId="0" borderId="563" xfId="0" applyNumberFormat="1" applyFont="1" applyBorder="1" applyAlignment="1">
      <alignment horizontal="center"/>
    </xf>
    <xf numFmtId="1" fontId="39" fillId="0" borderId="563" xfId="0" applyNumberFormat="1" applyFont="1" applyBorder="1" applyAlignment="1">
      <alignment horizontal="center" vertical="center"/>
    </xf>
    <xf numFmtId="21" fontId="39" fillId="0" borderId="571" xfId="0" applyNumberFormat="1" applyFont="1" applyBorder="1" applyAlignment="1">
      <alignment horizontal="center"/>
    </xf>
    <xf numFmtId="169" fontId="39" fillId="0" borderId="572" xfId="0" applyNumberFormat="1" applyFont="1" applyBorder="1" applyAlignment="1">
      <alignment horizontal="center"/>
    </xf>
    <xf numFmtId="45" fontId="39" fillId="0" borderId="572" xfId="0" applyNumberFormat="1" applyFont="1" applyBorder="1" applyAlignment="1">
      <alignment horizontal="center"/>
    </xf>
    <xf numFmtId="1" fontId="39" fillId="0" borderId="572" xfId="0" applyNumberFormat="1" applyFont="1" applyBorder="1" applyAlignment="1">
      <alignment horizontal="center"/>
    </xf>
    <xf numFmtId="1" fontId="40" fillId="0" borderId="567" xfId="0" applyNumberFormat="1" applyFont="1" applyBorder="1" applyAlignment="1">
      <alignment horizontal="center"/>
    </xf>
    <xf numFmtId="1" fontId="39" fillId="0" borderId="573" xfId="0" applyNumberFormat="1" applyFont="1" applyBorder="1" applyAlignment="1">
      <alignment horizontal="center"/>
    </xf>
    <xf numFmtId="170" fontId="39" fillId="0" borderId="563" xfId="0" applyNumberFormat="1" applyFont="1" applyBorder="1" applyAlignment="1">
      <alignment horizontal="center"/>
    </xf>
    <xf numFmtId="45" fontId="39" fillId="0" borderId="573" xfId="0" applyNumberFormat="1" applyFont="1" applyBorder="1" applyAlignment="1">
      <alignment horizontal="center"/>
    </xf>
    <xf numFmtId="1" fontId="43" fillId="5" borderId="562" xfId="0" applyNumberFormat="1" applyFont="1" applyFill="1" applyBorder="1" applyAlignment="1">
      <alignment horizontal="center"/>
    </xf>
    <xf numFmtId="1" fontId="43" fillId="5" borderId="574" xfId="0" applyNumberFormat="1" applyFont="1" applyFill="1" applyBorder="1" applyAlignment="1">
      <alignment horizontal="center"/>
    </xf>
    <xf numFmtId="1" fontId="39" fillId="0" borderId="562" xfId="0" applyNumberFormat="1" applyFont="1" applyBorder="1" applyAlignment="1">
      <alignment horizontal="center"/>
    </xf>
    <xf numFmtId="167" fontId="39" fillId="0" borderId="546" xfId="0" applyNumberFormat="1" applyFont="1" applyBorder="1" applyAlignment="1">
      <alignment horizontal="center"/>
    </xf>
    <xf numFmtId="1" fontId="39" fillId="0" borderId="540" xfId="0" applyNumberFormat="1" applyFont="1" applyBorder="1" applyAlignment="1">
      <alignment horizontal="center" vertical="center"/>
    </xf>
    <xf numFmtId="1" fontId="40" fillId="0" borderId="539" xfId="0" applyNumberFormat="1" applyFont="1" applyBorder="1" applyAlignment="1">
      <alignment horizontal="center"/>
    </xf>
    <xf numFmtId="1" fontId="39" fillId="0" borderId="554" xfId="0" applyNumberFormat="1" applyFont="1" applyBorder="1" applyAlignment="1">
      <alignment horizontal="center"/>
    </xf>
    <xf numFmtId="170" fontId="39" fillId="0" borderId="540" xfId="0" applyNumberFormat="1" applyFont="1" applyBorder="1" applyAlignment="1">
      <alignment horizontal="center"/>
    </xf>
    <xf numFmtId="45" fontId="39" fillId="0" borderId="554" xfId="0" applyNumberFormat="1" applyFont="1" applyBorder="1" applyAlignment="1">
      <alignment horizontal="center"/>
    </xf>
    <xf numFmtId="1" fontId="39" fillId="0" borderId="126" xfId="0" applyNumberFormat="1" applyFont="1" applyBorder="1" applyAlignment="1">
      <alignment horizontal="center"/>
    </xf>
    <xf numFmtId="167" fontId="39" fillId="0" borderId="126" xfId="0" applyNumberFormat="1" applyFont="1" applyBorder="1" applyAlignment="1">
      <alignment horizontal="center"/>
    </xf>
    <xf numFmtId="1" fontId="39" fillId="0" borderId="127" xfId="0" applyNumberFormat="1" applyFont="1" applyBorder="1" applyAlignment="1">
      <alignment horizontal="center"/>
    </xf>
    <xf numFmtId="1" fontId="39" fillId="0" borderId="127" xfId="0" applyNumberFormat="1" applyFont="1" applyBorder="1" applyAlignment="1">
      <alignment horizontal="center" vertical="center"/>
    </xf>
    <xf numFmtId="167" fontId="39" fillId="0" borderId="131" xfId="0" applyNumberFormat="1" applyFont="1" applyBorder="1" applyAlignment="1">
      <alignment horizontal="center"/>
    </xf>
    <xf numFmtId="1" fontId="39" fillId="0" borderId="109" xfId="0" applyNumberFormat="1" applyFont="1" applyBorder="1" applyAlignment="1">
      <alignment horizontal="center"/>
    </xf>
    <xf numFmtId="1" fontId="39" fillId="0" borderId="109" xfId="0" applyNumberFormat="1" applyFont="1" applyBorder="1" applyAlignment="1">
      <alignment horizontal="center" vertical="center"/>
    </xf>
    <xf numFmtId="21" fontId="39" fillId="0" borderId="515" xfId="0" applyNumberFormat="1" applyFont="1" applyBorder="1" applyAlignment="1">
      <alignment horizontal="center"/>
    </xf>
    <xf numFmtId="169" fontId="39" fillId="0" borderId="516" xfId="0" applyNumberFormat="1" applyFont="1" applyBorder="1" applyAlignment="1">
      <alignment horizontal="center"/>
    </xf>
    <xf numFmtId="45" fontId="39" fillId="0" borderId="516" xfId="0" applyNumberFormat="1" applyFont="1" applyBorder="1" applyAlignment="1">
      <alignment horizontal="center"/>
    </xf>
    <xf numFmtId="1" fontId="39" fillId="0" borderId="516" xfId="0" applyNumberFormat="1" applyFont="1" applyBorder="1" applyAlignment="1">
      <alignment horizontal="center"/>
    </xf>
    <xf numFmtId="1" fontId="40" fillId="0" borderId="543" xfId="0" applyNumberFormat="1" applyFont="1" applyBorder="1" applyAlignment="1">
      <alignment horizontal="center"/>
    </xf>
    <xf numFmtId="1" fontId="39" fillId="0" borderId="559" xfId="0" applyNumberFormat="1" applyFont="1" applyBorder="1" applyAlignment="1">
      <alignment horizontal="center"/>
    </xf>
    <xf numFmtId="170" fontId="39" fillId="0" borderId="538" xfId="0" applyNumberFormat="1" applyFont="1" applyBorder="1" applyAlignment="1">
      <alignment horizontal="center"/>
    </xf>
    <xf numFmtId="45" fontId="39" fillId="0" borderId="559" xfId="0" applyNumberFormat="1" applyFont="1" applyBorder="1" applyAlignment="1">
      <alignment horizontal="center"/>
    </xf>
    <xf numFmtId="1" fontId="43" fillId="5" borderId="131" xfId="0" applyNumberFormat="1" applyFont="1" applyFill="1" applyBorder="1" applyAlignment="1">
      <alignment horizontal="center"/>
    </xf>
    <xf numFmtId="1" fontId="43" fillId="5" borderId="576" xfId="0" applyNumberFormat="1" applyFont="1" applyFill="1" applyBorder="1" applyAlignment="1">
      <alignment horizontal="center"/>
    </xf>
    <xf numFmtId="1" fontId="39" fillId="0" borderId="131" xfId="0" applyNumberFormat="1" applyFont="1" applyBorder="1" applyAlignment="1">
      <alignment horizontal="center"/>
    </xf>
    <xf numFmtId="1" fontId="39" fillId="0" borderId="576" xfId="0" applyNumberFormat="1" applyFont="1" applyBorder="1" applyAlignment="1">
      <alignment horizontal="center"/>
    </xf>
    <xf numFmtId="169" fontId="39" fillId="0" borderId="148" xfId="0" applyNumberFormat="1" applyFont="1" applyBorder="1" applyAlignment="1">
      <alignment horizontal="center"/>
    </xf>
    <xf numFmtId="45" fontId="39" fillId="0" borderId="148" xfId="0" applyNumberFormat="1" applyFont="1" applyBorder="1" applyAlignment="1">
      <alignment horizontal="center"/>
    </xf>
    <xf numFmtId="1" fontId="39" fillId="0" borderId="148" xfId="0" applyNumberFormat="1" applyFont="1" applyBorder="1" applyAlignment="1">
      <alignment horizontal="center"/>
    </xf>
    <xf numFmtId="1" fontId="39" fillId="0" borderId="115" xfId="0" applyNumberFormat="1" applyFont="1" applyBorder="1" applyAlignment="1">
      <alignment horizontal="center"/>
    </xf>
    <xf numFmtId="1" fontId="39" fillId="0" borderId="115" xfId="0" applyNumberFormat="1" applyFont="1" applyBorder="1" applyAlignment="1">
      <alignment horizontal="center" vertical="center"/>
    </xf>
    <xf numFmtId="169" fontId="39" fillId="0" borderId="21" xfId="0" applyNumberFormat="1" applyFont="1" applyBorder="1" applyAlignment="1">
      <alignment horizontal="center"/>
    </xf>
    <xf numFmtId="45" fontId="39" fillId="0" borderId="21" xfId="0" applyNumberFormat="1" applyFont="1" applyBorder="1" applyAlignment="1">
      <alignment horizontal="center"/>
    </xf>
    <xf numFmtId="1" fontId="39" fillId="0" borderId="21" xfId="0" applyNumberFormat="1" applyFont="1" applyBorder="1" applyAlignment="1">
      <alignment horizontal="center"/>
    </xf>
    <xf numFmtId="1" fontId="40" fillId="0" borderId="541" xfId="0" applyNumberFormat="1" applyFont="1" applyBorder="1" applyAlignment="1">
      <alignment horizontal="center"/>
    </xf>
    <xf numFmtId="170" fontId="39" fillId="0" borderId="566" xfId="0" applyNumberFormat="1" applyFont="1" applyBorder="1" applyAlignment="1">
      <alignment horizontal="center"/>
    </xf>
    <xf numFmtId="1" fontId="39" fillId="0" borderId="116" xfId="0" applyNumberFormat="1" applyFont="1" applyBorder="1" applyAlignment="1">
      <alignment horizontal="center"/>
    </xf>
    <xf numFmtId="1" fontId="39" fillId="0" borderId="568" xfId="0" applyNumberFormat="1" applyFont="1" applyBorder="1" applyAlignment="1">
      <alignment horizontal="center"/>
    </xf>
    <xf numFmtId="167" fontId="39" fillId="0" borderId="578" xfId="0" applyNumberFormat="1" applyFont="1" applyBorder="1" applyAlignment="1">
      <alignment horizontal="center"/>
    </xf>
    <xf numFmtId="1" fontId="39" fillId="0" borderId="579" xfId="0" applyNumberFormat="1" applyFont="1" applyBorder="1" applyAlignment="1">
      <alignment horizontal="center"/>
    </xf>
    <xf numFmtId="1" fontId="39" fillId="0" borderId="579" xfId="0" applyNumberFormat="1" applyFont="1" applyBorder="1" applyAlignment="1">
      <alignment horizontal="center" vertical="center"/>
    </xf>
    <xf numFmtId="1" fontId="39" fillId="0" borderId="574" xfId="0" applyNumberFormat="1" applyFont="1" applyBorder="1" applyAlignment="1">
      <alignment horizontal="center"/>
    </xf>
    <xf numFmtId="167" fontId="39" fillId="0" borderId="432" xfId="0" applyNumberFormat="1" applyFont="1" applyBorder="1" applyAlignment="1">
      <alignment horizontal="center"/>
    </xf>
    <xf numFmtId="1" fontId="39" fillId="0" borderId="468" xfId="0" applyNumberFormat="1" applyFont="1" applyBorder="1" applyAlignment="1">
      <alignment horizontal="center"/>
    </xf>
    <xf numFmtId="1" fontId="39" fillId="0" borderId="468" xfId="0" applyNumberFormat="1" applyFont="1" applyBorder="1" applyAlignment="1">
      <alignment horizontal="center" vertical="center"/>
    </xf>
    <xf numFmtId="167" fontId="39" fillId="10" borderId="116" xfId="0" applyNumberFormat="1" applyFont="1" applyFill="1" applyBorder="1" applyAlignment="1">
      <alignment horizontal="center"/>
    </xf>
    <xf numFmtId="1" fontId="39" fillId="10" borderId="115" xfId="0" applyNumberFormat="1" applyFont="1" applyFill="1" applyBorder="1" applyAlignment="1">
      <alignment horizontal="center"/>
    </xf>
    <xf numFmtId="1" fontId="39" fillId="10" borderId="115" xfId="0" applyNumberFormat="1" applyFont="1" applyFill="1" applyBorder="1" applyAlignment="1">
      <alignment horizontal="center" vertical="center"/>
    </xf>
    <xf numFmtId="21" fontId="39" fillId="10" borderId="23" xfId="0" applyNumberFormat="1" applyFont="1" applyFill="1" applyBorder="1" applyAlignment="1">
      <alignment horizontal="center"/>
    </xf>
    <xf numFmtId="169" fontId="39" fillId="10" borderId="21" xfId="0" applyNumberFormat="1" applyFont="1" applyFill="1" applyBorder="1" applyAlignment="1">
      <alignment horizontal="center"/>
    </xf>
    <xf numFmtId="45" fontId="39" fillId="10" borderId="21" xfId="0" applyNumberFormat="1" applyFont="1" applyFill="1" applyBorder="1" applyAlignment="1">
      <alignment horizontal="center"/>
    </xf>
    <xf numFmtId="1" fontId="39" fillId="10" borderId="21" xfId="0" applyNumberFormat="1" applyFont="1" applyFill="1" applyBorder="1" applyAlignment="1">
      <alignment horizontal="center"/>
    </xf>
    <xf numFmtId="1" fontId="40" fillId="10" borderId="541" xfId="0" applyNumberFormat="1" applyFont="1" applyFill="1" applyBorder="1" applyAlignment="1">
      <alignment horizontal="center"/>
    </xf>
    <xf numFmtId="170" fontId="39" fillId="10" borderId="566" xfId="0" applyNumberFormat="1" applyFont="1" applyFill="1" applyBorder="1" applyAlignment="1">
      <alignment horizontal="center"/>
    </xf>
    <xf numFmtId="45" fontId="39" fillId="10" borderId="24" xfId="0" applyNumberFormat="1" applyFont="1" applyFill="1" applyBorder="1" applyAlignment="1">
      <alignment horizontal="center"/>
    </xf>
    <xf numFmtId="1" fontId="39" fillId="0" borderId="566" xfId="0" applyNumberFormat="1" applyFont="1" applyBorder="1" applyAlignment="1">
      <alignment horizontal="center"/>
    </xf>
    <xf numFmtId="1" fontId="39" fillId="0" borderId="130" xfId="0" applyNumberFormat="1" applyFont="1" applyBorder="1" applyAlignment="1">
      <alignment horizontal="center"/>
    </xf>
    <xf numFmtId="167" fontId="39" fillId="0" borderId="544" xfId="0" applyNumberFormat="1" applyFont="1" applyBorder="1" applyAlignment="1">
      <alignment horizontal="center"/>
    </xf>
    <xf numFmtId="1" fontId="39" fillId="0" borderId="538" xfId="0" applyNumberFormat="1" applyFont="1" applyBorder="1" applyAlignment="1">
      <alignment horizontal="center" vertical="center"/>
    </xf>
    <xf numFmtId="1" fontId="39" fillId="0" borderId="577" xfId="0" applyNumberFormat="1" applyFont="1" applyBorder="1" applyAlignment="1">
      <alignment horizontal="center"/>
    </xf>
    <xf numFmtId="21" fontId="39" fillId="0" borderId="573" xfId="0" applyNumberFormat="1" applyFont="1" applyBorder="1" applyAlignment="1">
      <alignment horizontal="center"/>
    </xf>
    <xf numFmtId="169" fontId="39" fillId="0" borderId="580" xfId="0" applyNumberFormat="1" applyFont="1" applyBorder="1" applyAlignment="1">
      <alignment horizontal="center"/>
    </xf>
    <xf numFmtId="45" fontId="39" fillId="0" borderId="580" xfId="0" applyNumberFormat="1" applyFont="1" applyBorder="1" applyAlignment="1">
      <alignment horizontal="center"/>
    </xf>
    <xf numFmtId="1" fontId="39" fillId="0" borderId="580" xfId="0" applyNumberFormat="1" applyFont="1" applyBorder="1" applyAlignment="1">
      <alignment horizontal="center"/>
    </xf>
    <xf numFmtId="1" fontId="43" fillId="5" borderId="578" xfId="0" applyNumberFormat="1" applyFont="1" applyFill="1" applyBorder="1" applyAlignment="1">
      <alignment horizontal="center"/>
    </xf>
    <xf numFmtId="1" fontId="39" fillId="0" borderId="578" xfId="0" applyNumberFormat="1" applyFont="1" applyBorder="1" applyAlignment="1">
      <alignment horizontal="center"/>
    </xf>
    <xf numFmtId="21" fontId="39" fillId="0" borderId="554" xfId="0" applyNumberFormat="1" applyFont="1" applyBorder="1" applyAlignment="1">
      <alignment horizontal="center"/>
    </xf>
    <xf numFmtId="169" fontId="39" fillId="0" borderId="555" xfId="0" applyNumberFormat="1" applyFont="1" applyBorder="1" applyAlignment="1">
      <alignment horizontal="center"/>
    </xf>
    <xf numFmtId="45" fontId="39" fillId="0" borderId="555" xfId="0" applyNumberFormat="1" applyFont="1" applyBorder="1" applyAlignment="1">
      <alignment horizontal="center"/>
    </xf>
    <xf numFmtId="1" fontId="39" fillId="0" borderId="555" xfId="0" applyNumberFormat="1" applyFont="1" applyBorder="1" applyAlignment="1">
      <alignment horizontal="center"/>
    </xf>
    <xf numFmtId="45" fontId="39" fillId="0" borderId="479" xfId="0" applyNumberFormat="1" applyFont="1" applyBorder="1" applyAlignment="1">
      <alignment horizontal="center"/>
    </xf>
    <xf numFmtId="1" fontId="39" fillId="0" borderId="479" xfId="0" applyNumberFormat="1" applyFont="1" applyBorder="1" applyAlignment="1">
      <alignment horizontal="center"/>
    </xf>
    <xf numFmtId="21" fontId="39" fillId="0" borderId="559" xfId="0" applyNumberFormat="1" applyFont="1" applyBorder="1" applyAlignment="1">
      <alignment horizontal="center"/>
    </xf>
    <xf numFmtId="1" fontId="39" fillId="0" borderId="581" xfId="0" applyNumberFormat="1" applyFont="1" applyBorder="1" applyAlignment="1">
      <alignment horizontal="center"/>
    </xf>
    <xf numFmtId="1" fontId="43" fillId="5" borderId="432" xfId="0" applyNumberFormat="1" applyFont="1" applyFill="1" applyBorder="1" applyAlignment="1">
      <alignment horizontal="center"/>
    </xf>
    <xf numFmtId="1" fontId="39" fillId="0" borderId="432" xfId="0" applyNumberFormat="1" applyFont="1" applyBorder="1" applyAlignment="1">
      <alignment horizontal="center"/>
    </xf>
    <xf numFmtId="21" fontId="39" fillId="0" borderId="129" xfId="0" applyNumberFormat="1" applyFont="1" applyBorder="1" applyAlignment="1">
      <alignment horizontal="center"/>
    </xf>
    <xf numFmtId="169" fontId="39" fillId="0" borderId="124" xfId="0" applyNumberFormat="1" applyFont="1" applyBorder="1" applyAlignment="1">
      <alignment horizontal="center"/>
    </xf>
    <xf numFmtId="45" fontId="39" fillId="0" borderId="139" xfId="0" applyNumberFormat="1" applyFont="1" applyBorder="1" applyAlignment="1">
      <alignment horizontal="center"/>
    </xf>
    <xf numFmtId="1" fontId="43" fillId="5" borderId="211" xfId="0" applyNumberFormat="1" applyFont="1" applyFill="1" applyBorder="1" applyAlignment="1">
      <alignment horizontal="center"/>
    </xf>
    <xf numFmtId="1" fontId="43" fillId="5" borderId="212" xfId="0" applyNumberFormat="1" applyFont="1" applyFill="1" applyBorder="1" applyAlignment="1">
      <alignment horizontal="center"/>
    </xf>
    <xf numFmtId="45" fontId="39" fillId="0" borderId="124" xfId="0" applyNumberFormat="1" applyFont="1" applyBorder="1" applyAlignment="1">
      <alignment horizontal="center"/>
    </xf>
    <xf numFmtId="1" fontId="43" fillId="10" borderId="116" xfId="0" applyNumberFormat="1" applyFont="1" applyFill="1" applyBorder="1" applyAlignment="1">
      <alignment horizontal="center"/>
    </xf>
    <xf numFmtId="1" fontId="43" fillId="10" borderId="577" xfId="0" applyNumberFormat="1" applyFont="1" applyFill="1" applyBorder="1" applyAlignment="1">
      <alignment horizontal="center"/>
    </xf>
    <xf numFmtId="169" fontId="39" fillId="0" borderId="584" xfId="0" applyNumberFormat="1" applyFont="1" applyBorder="1" applyAlignment="1">
      <alignment horizontal="center"/>
    </xf>
    <xf numFmtId="45" fontId="39" fillId="0" borderId="584" xfId="0" applyNumberFormat="1" applyFont="1" applyBorder="1" applyAlignment="1">
      <alignment horizontal="center"/>
    </xf>
    <xf numFmtId="1" fontId="39" fillId="0" borderId="584" xfId="0" applyNumberFormat="1" applyFont="1" applyBorder="1" applyAlignment="1">
      <alignment horizontal="center"/>
    </xf>
    <xf numFmtId="170" fontId="39" fillId="0" borderId="127" xfId="0" applyNumberFormat="1" applyFont="1" applyBorder="1" applyAlignment="1">
      <alignment horizontal="center"/>
    </xf>
    <xf numFmtId="45" fontId="39" fillId="0" borderId="583" xfId="0" applyNumberFormat="1" applyFont="1" applyBorder="1" applyAlignment="1">
      <alignment horizontal="center"/>
    </xf>
    <xf numFmtId="169" fontId="39" fillId="0" borderId="585" xfId="0" applyNumberFormat="1" applyFont="1" applyBorder="1" applyAlignment="1">
      <alignment horizontal="center"/>
    </xf>
    <xf numFmtId="45" fontId="39" fillId="0" borderId="586" xfId="0" applyNumberFormat="1" applyFont="1" applyBorder="1" applyAlignment="1">
      <alignment horizontal="center"/>
    </xf>
    <xf numFmtId="1" fontId="39" fillId="0" borderId="585" xfId="0" applyNumberFormat="1" applyFont="1" applyBorder="1" applyAlignment="1">
      <alignment horizontal="center"/>
    </xf>
    <xf numFmtId="45" fontId="39" fillId="0" borderId="585" xfId="0" applyNumberFormat="1" applyFont="1" applyBorder="1" applyAlignment="1">
      <alignment horizontal="center"/>
    </xf>
    <xf numFmtId="1" fontId="39" fillId="0" borderId="107" xfId="0" applyNumberFormat="1" applyFont="1" applyBorder="1" applyAlignment="1">
      <alignment horizontal="center"/>
    </xf>
    <xf numFmtId="45" fontId="39" fillId="0" borderId="157" xfId="0" applyNumberFormat="1" applyFont="1" applyBorder="1" applyAlignment="1">
      <alignment horizontal="center"/>
    </xf>
    <xf numFmtId="45" fontId="39" fillId="0" borderId="587" xfId="0" applyNumberFormat="1" applyFont="1" applyBorder="1" applyAlignment="1">
      <alignment horizontal="center"/>
    </xf>
    <xf numFmtId="167" fontId="39" fillId="5" borderId="126" xfId="0" applyNumberFormat="1" applyFont="1" applyFill="1" applyBorder="1" applyAlignment="1">
      <alignment horizontal="center"/>
    </xf>
    <xf numFmtId="1" fontId="39" fillId="5" borderId="540" xfId="0" applyNumberFormat="1" applyFont="1" applyFill="1" applyBorder="1" applyAlignment="1">
      <alignment horizontal="center"/>
    </xf>
    <xf numFmtId="1" fontId="39" fillId="5" borderId="540" xfId="0" applyNumberFormat="1" applyFont="1" applyFill="1" applyBorder="1" applyAlignment="1">
      <alignment horizontal="center" vertical="center"/>
    </xf>
    <xf numFmtId="21" fontId="39" fillId="5" borderId="508" xfId="0" applyNumberFormat="1" applyFont="1" applyFill="1" applyBorder="1" applyAlignment="1">
      <alignment horizontal="center"/>
    </xf>
    <xf numFmtId="169" fontId="39" fillId="5" borderId="585" xfId="0" applyNumberFormat="1" applyFont="1" applyFill="1" applyBorder="1" applyAlignment="1">
      <alignment horizontal="center"/>
    </xf>
    <xf numFmtId="1" fontId="39" fillId="5" borderId="585" xfId="0" applyNumberFormat="1" applyFont="1" applyFill="1" applyBorder="1" applyAlignment="1">
      <alignment horizontal="center"/>
    </xf>
    <xf numFmtId="1" fontId="40" fillId="5" borderId="539" xfId="0" applyNumberFormat="1" applyFont="1" applyFill="1" applyBorder="1" applyAlignment="1">
      <alignment horizontal="center"/>
    </xf>
    <xf numFmtId="1" fontId="39" fillId="5" borderId="554" xfId="0" applyNumberFormat="1" applyFont="1" applyFill="1" applyBorder="1" applyAlignment="1">
      <alignment horizontal="center"/>
    </xf>
    <xf numFmtId="45" fontId="39" fillId="5" borderId="554" xfId="0" applyNumberFormat="1" applyFont="1" applyFill="1" applyBorder="1" applyAlignment="1">
      <alignment horizontal="center"/>
    </xf>
    <xf numFmtId="45" fontId="39" fillId="5" borderId="585" xfId="0" applyNumberFormat="1" applyFont="1" applyFill="1" applyBorder="1" applyAlignment="1">
      <alignment horizontal="center"/>
    </xf>
    <xf numFmtId="167" fontId="39" fillId="5" borderId="544" xfId="0" applyNumberFormat="1" applyFont="1" applyFill="1" applyBorder="1" applyAlignment="1">
      <alignment horizontal="center"/>
    </xf>
    <xf numFmtId="1" fontId="39" fillId="5" borderId="538" xfId="0" applyNumberFormat="1" applyFont="1" applyFill="1" applyBorder="1" applyAlignment="1">
      <alignment horizontal="center"/>
    </xf>
    <xf numFmtId="1" fontId="39" fillId="5" borderId="538" xfId="0" applyNumberFormat="1" applyFont="1" applyFill="1" applyBorder="1" applyAlignment="1">
      <alignment horizontal="center" vertical="center"/>
    </xf>
    <xf numFmtId="21" fontId="39" fillId="5" borderId="515" xfId="0" applyNumberFormat="1" applyFont="1" applyFill="1" applyBorder="1" applyAlignment="1">
      <alignment horizontal="center"/>
    </xf>
    <xf numFmtId="169" fontId="39" fillId="5" borderId="516" xfId="0" applyNumberFormat="1" applyFont="1" applyFill="1" applyBorder="1" applyAlignment="1">
      <alignment horizontal="center"/>
    </xf>
    <xf numFmtId="45" fontId="39" fillId="5" borderId="516" xfId="0" applyNumberFormat="1" applyFont="1" applyFill="1" applyBorder="1" applyAlignment="1">
      <alignment horizontal="center"/>
    </xf>
    <xf numFmtId="1" fontId="39" fillId="5" borderId="516" xfId="0" applyNumberFormat="1" applyFont="1" applyFill="1" applyBorder="1" applyAlignment="1">
      <alignment horizontal="center"/>
    </xf>
    <xf numFmtId="1" fontId="40" fillId="5" borderId="543" xfId="0" applyNumberFormat="1" applyFont="1" applyFill="1" applyBorder="1" applyAlignment="1">
      <alignment horizontal="center"/>
    </xf>
    <xf numFmtId="1" fontId="39" fillId="5" borderId="559" xfId="0" applyNumberFormat="1" applyFont="1" applyFill="1" applyBorder="1" applyAlignment="1">
      <alignment horizontal="center"/>
    </xf>
    <xf numFmtId="45" fontId="39" fillId="5" borderId="559" xfId="0" applyNumberFormat="1" applyFont="1" applyFill="1" applyBorder="1" applyAlignment="1">
      <alignment horizontal="center"/>
    </xf>
    <xf numFmtId="167" fontId="39" fillId="5" borderId="160" xfId="0" applyNumberFormat="1" applyFont="1" applyFill="1" applyBorder="1" applyAlignment="1">
      <alignment horizontal="center"/>
    </xf>
    <xf numFmtId="1" fontId="39" fillId="5" borderId="156" xfId="0" applyNumberFormat="1" applyFont="1" applyFill="1" applyBorder="1" applyAlignment="1">
      <alignment horizontal="center"/>
    </xf>
    <xf numFmtId="1" fontId="39" fillId="5" borderId="156" xfId="0" applyNumberFormat="1" applyFont="1" applyFill="1" applyBorder="1" applyAlignment="1">
      <alignment horizontal="center" vertical="center"/>
    </xf>
    <xf numFmtId="21" fontId="39" fillId="5" borderId="429" xfId="0" applyNumberFormat="1" applyFont="1" applyFill="1" applyBorder="1" applyAlignment="1">
      <alignment horizontal="center"/>
    </xf>
    <xf numFmtId="169" fontId="39" fillId="5" borderId="148" xfId="0" applyNumberFormat="1" applyFont="1" applyFill="1" applyBorder="1" applyAlignment="1">
      <alignment horizontal="center"/>
    </xf>
    <xf numFmtId="1" fontId="39" fillId="5" borderId="148" xfId="0" applyNumberFormat="1" applyFont="1" applyFill="1" applyBorder="1" applyAlignment="1">
      <alignment horizontal="center"/>
    </xf>
    <xf numFmtId="1" fontId="40" fillId="5" borderId="430" xfId="0" applyNumberFormat="1" applyFont="1" applyFill="1" applyBorder="1" applyAlignment="1">
      <alignment horizontal="center"/>
    </xf>
    <xf numFmtId="1" fontId="39" fillId="5" borderId="431" xfId="0" applyNumberFormat="1" applyFont="1" applyFill="1" applyBorder="1" applyAlignment="1">
      <alignment horizontal="center"/>
    </xf>
    <xf numFmtId="45" fontId="39" fillId="5" borderId="431" xfId="0" applyNumberFormat="1" applyFont="1" applyFill="1" applyBorder="1" applyAlignment="1">
      <alignment horizontal="center"/>
    </xf>
    <xf numFmtId="167" fontId="39" fillId="5" borderId="113" xfId="0" applyNumberFormat="1" applyFont="1" applyFill="1" applyBorder="1" applyAlignment="1">
      <alignment horizontal="center"/>
    </xf>
    <xf numFmtId="1" fontId="39" fillId="5" borderId="127" xfId="0" applyNumberFormat="1" applyFont="1" applyFill="1" applyBorder="1" applyAlignment="1">
      <alignment horizontal="center"/>
    </xf>
    <xf numFmtId="1" fontId="39" fillId="5" borderId="127" xfId="0" applyNumberFormat="1" applyFont="1" applyFill="1" applyBorder="1" applyAlignment="1">
      <alignment horizontal="center" vertical="center"/>
    </xf>
    <xf numFmtId="21" fontId="39" fillId="5" borderId="129" xfId="0" applyNumberFormat="1" applyFont="1" applyFill="1" applyBorder="1" applyAlignment="1">
      <alignment horizontal="center"/>
    </xf>
    <xf numFmtId="169" fontId="39" fillId="5" borderId="124" xfId="0" applyNumberFormat="1" applyFont="1" applyFill="1" applyBorder="1" applyAlignment="1">
      <alignment horizontal="center"/>
    </xf>
    <xf numFmtId="45" fontId="39" fillId="5" borderId="124" xfId="0" applyNumberFormat="1" applyFont="1" applyFill="1" applyBorder="1" applyAlignment="1">
      <alignment horizontal="center"/>
    </xf>
    <xf numFmtId="1" fontId="39" fillId="5" borderId="124" xfId="0" applyNumberFormat="1" applyFont="1" applyFill="1" applyBorder="1" applyAlignment="1">
      <alignment horizontal="center"/>
    </xf>
    <xf numFmtId="1" fontId="40" fillId="5" borderId="132" xfId="0" applyNumberFormat="1" applyFont="1" applyFill="1" applyBorder="1" applyAlignment="1">
      <alignment horizontal="center"/>
    </xf>
    <xf numFmtId="45" fontId="39" fillId="5" borderId="218" xfId="0" applyNumberFormat="1" applyFont="1" applyFill="1" applyBorder="1" applyAlignment="1">
      <alignment horizontal="center"/>
    </xf>
    <xf numFmtId="167" fontId="39" fillId="5" borderId="116" xfId="0" applyNumberFormat="1" applyFont="1" applyFill="1" applyBorder="1" applyAlignment="1">
      <alignment horizontal="center"/>
    </xf>
    <xf numFmtId="1" fontId="39" fillId="5" borderId="115" xfId="0" applyNumberFormat="1" applyFont="1" applyFill="1" applyBorder="1" applyAlignment="1">
      <alignment horizontal="center"/>
    </xf>
    <xf numFmtId="1" fontId="39" fillId="5" borderId="115" xfId="0" applyNumberFormat="1" applyFont="1" applyFill="1" applyBorder="1" applyAlignment="1">
      <alignment horizontal="center" vertical="center"/>
    </xf>
    <xf numFmtId="21" fontId="39" fillId="5" borderId="23" xfId="0" applyNumberFormat="1" applyFont="1" applyFill="1" applyBorder="1" applyAlignment="1">
      <alignment horizontal="center"/>
    </xf>
    <xf numFmtId="169" fontId="39" fillId="5" borderId="21" xfId="0" applyNumberFormat="1" applyFont="1" applyFill="1" applyBorder="1" applyAlignment="1">
      <alignment horizontal="center"/>
    </xf>
    <xf numFmtId="45" fontId="39" fillId="5" borderId="21" xfId="0" applyNumberFormat="1" applyFont="1" applyFill="1" applyBorder="1" applyAlignment="1">
      <alignment horizontal="center"/>
    </xf>
    <xf numFmtId="1" fontId="39" fillId="5" borderId="21" xfId="0" applyNumberFormat="1" applyFont="1" applyFill="1" applyBorder="1" applyAlignment="1">
      <alignment horizontal="center"/>
    </xf>
    <xf numFmtId="1" fontId="40" fillId="5" borderId="541" xfId="0" applyNumberFormat="1" applyFont="1" applyFill="1" applyBorder="1" applyAlignment="1">
      <alignment horizontal="center"/>
    </xf>
    <xf numFmtId="45" fontId="39" fillId="5" borderId="24" xfId="0" applyNumberFormat="1" applyFont="1" applyFill="1" applyBorder="1" applyAlignment="1">
      <alignment horizontal="center"/>
    </xf>
    <xf numFmtId="167" fontId="39" fillId="5" borderId="578" xfId="0" applyNumberFormat="1" applyFont="1" applyFill="1" applyBorder="1" applyAlignment="1">
      <alignment horizontal="center"/>
    </xf>
    <xf numFmtId="1" fontId="39" fillId="5" borderId="563" xfId="0" applyNumberFormat="1" applyFont="1" applyFill="1" applyBorder="1" applyAlignment="1">
      <alignment horizontal="center"/>
    </xf>
    <xf numFmtId="1" fontId="39" fillId="5" borderId="563" xfId="0" applyNumberFormat="1" applyFont="1" applyFill="1" applyBorder="1" applyAlignment="1">
      <alignment horizontal="center" vertical="center"/>
    </xf>
    <xf numFmtId="21" fontId="39" fillId="5" borderId="573" xfId="0" applyNumberFormat="1" applyFont="1" applyFill="1" applyBorder="1" applyAlignment="1">
      <alignment horizontal="center"/>
    </xf>
    <xf numFmtId="169" fontId="39" fillId="5" borderId="580" xfId="0" applyNumberFormat="1" applyFont="1" applyFill="1" applyBorder="1" applyAlignment="1">
      <alignment horizontal="center"/>
    </xf>
    <xf numFmtId="45" fontId="39" fillId="5" borderId="584" xfId="0" applyNumberFormat="1" applyFont="1" applyFill="1" applyBorder="1" applyAlignment="1">
      <alignment horizontal="center"/>
    </xf>
    <xf numFmtId="1" fontId="39" fillId="5" borderId="584" xfId="0" applyNumberFormat="1" applyFont="1" applyFill="1" applyBorder="1" applyAlignment="1">
      <alignment horizontal="center"/>
    </xf>
    <xf numFmtId="1" fontId="40" fillId="5" borderId="567" xfId="0" applyNumberFormat="1" applyFont="1" applyFill="1" applyBorder="1" applyAlignment="1">
      <alignment horizontal="center"/>
    </xf>
    <xf numFmtId="1" fontId="39" fillId="5" borderId="573" xfId="0" applyNumberFormat="1" applyFont="1" applyFill="1" applyBorder="1" applyAlignment="1">
      <alignment horizontal="center"/>
    </xf>
    <xf numFmtId="45" fontId="39" fillId="5" borderId="573" xfId="0" applyNumberFormat="1" applyFont="1" applyFill="1" applyBorder="1" applyAlignment="1">
      <alignment horizontal="center"/>
    </xf>
    <xf numFmtId="167" fontId="39" fillId="5" borderId="546" xfId="0" applyNumberFormat="1" applyFont="1" applyFill="1" applyBorder="1" applyAlignment="1">
      <alignment horizontal="center"/>
    </xf>
    <xf numFmtId="21" fontId="39" fillId="5" borderId="554" xfId="0" applyNumberFormat="1" applyFont="1" applyFill="1" applyBorder="1" applyAlignment="1">
      <alignment horizontal="center"/>
    </xf>
    <xf numFmtId="169" fontId="39" fillId="5" borderId="479" xfId="0" applyNumberFormat="1" applyFont="1" applyFill="1" applyBorder="1" applyAlignment="1">
      <alignment horizontal="center"/>
    </xf>
    <xf numFmtId="45" fontId="39" fillId="5" borderId="509" xfId="0" applyNumberFormat="1" applyFont="1" applyFill="1" applyBorder="1" applyAlignment="1">
      <alignment horizontal="center"/>
    </xf>
    <xf numFmtId="1" fontId="39" fillId="5" borderId="509" xfId="0" applyNumberFormat="1" applyFont="1" applyFill="1" applyBorder="1" applyAlignment="1">
      <alignment horizontal="center"/>
    </xf>
    <xf numFmtId="21" fontId="39" fillId="5" borderId="559" xfId="0" applyNumberFormat="1" applyFont="1" applyFill="1" applyBorder="1" applyAlignment="1">
      <alignment horizontal="center"/>
    </xf>
    <xf numFmtId="169" fontId="39" fillId="5" borderId="560" xfId="0" applyNumberFormat="1" applyFont="1" applyFill="1" applyBorder="1" applyAlignment="1">
      <alignment horizontal="center"/>
    </xf>
    <xf numFmtId="45" fontId="39" fillId="0" borderId="589" xfId="0" applyNumberFormat="1" applyFont="1" applyBorder="1" applyAlignment="1">
      <alignment horizontal="center"/>
    </xf>
    <xf numFmtId="1" fontId="39" fillId="5" borderId="589" xfId="0" applyNumberFormat="1" applyFont="1" applyFill="1" applyBorder="1" applyAlignment="1">
      <alignment horizontal="center"/>
    </xf>
    <xf numFmtId="1" fontId="39" fillId="0" borderId="566" xfId="0" applyNumberFormat="1" applyFont="1" applyBorder="1" applyAlignment="1">
      <alignment horizontal="center" vertical="center"/>
    </xf>
    <xf numFmtId="169" fontId="39" fillId="0" borderId="589" xfId="0" applyNumberFormat="1" applyFont="1" applyBorder="1" applyAlignment="1">
      <alignment horizontal="center"/>
    </xf>
    <xf numFmtId="1" fontId="39" fillId="0" borderId="589" xfId="0" applyNumberFormat="1" applyFont="1" applyBorder="1" applyAlignment="1">
      <alignment horizontal="center"/>
    </xf>
    <xf numFmtId="45" fontId="39" fillId="0" borderId="567" xfId="0" applyNumberFormat="1" applyFont="1" applyBorder="1" applyAlignment="1">
      <alignment horizontal="center"/>
    </xf>
    <xf numFmtId="45" fontId="39" fillId="0" borderId="539" xfId="0" applyNumberFormat="1" applyFont="1" applyBorder="1" applyAlignment="1">
      <alignment horizontal="center"/>
    </xf>
    <xf numFmtId="45" fontId="39" fillId="0" borderId="543" xfId="0" applyNumberFormat="1" applyFont="1" applyBorder="1" applyAlignment="1">
      <alignment horizontal="center"/>
    </xf>
    <xf numFmtId="45" fontId="39" fillId="5" borderId="148" xfId="0" applyNumberFormat="1" applyFont="1" applyFill="1" applyBorder="1" applyAlignment="1">
      <alignment horizontal="center"/>
    </xf>
    <xf numFmtId="45" fontId="39" fillId="5" borderId="10" xfId="0" applyNumberFormat="1" applyFont="1" applyFill="1" applyBorder="1" applyAlignment="1">
      <alignment horizontal="center"/>
    </xf>
    <xf numFmtId="167" fontId="39" fillId="0" borderId="305" xfId="0" applyNumberFormat="1" applyFont="1" applyBorder="1" applyAlignment="1">
      <alignment horizontal="center"/>
    </xf>
    <xf numFmtId="1" fontId="39" fillId="0" borderId="304" xfId="0" applyNumberFormat="1" applyFont="1" applyBorder="1" applyAlignment="1">
      <alignment horizontal="center"/>
    </xf>
    <xf numFmtId="1" fontId="39" fillId="0" borderId="304" xfId="0" applyNumberFormat="1" applyFont="1" applyBorder="1" applyAlignment="1">
      <alignment horizontal="center" vertical="center"/>
    </xf>
    <xf numFmtId="21" fontId="39" fillId="0" borderId="317" xfId="0" applyNumberFormat="1" applyFont="1" applyBorder="1" applyAlignment="1">
      <alignment horizontal="center"/>
    </xf>
    <xf numFmtId="1" fontId="40" fillId="0" borderId="319" xfId="0" applyNumberFormat="1" applyFont="1" applyBorder="1" applyAlignment="1">
      <alignment horizontal="center"/>
    </xf>
    <xf numFmtId="170" fontId="39" fillId="0" borderId="321" xfId="0" applyNumberFormat="1" applyFont="1" applyBorder="1" applyAlignment="1">
      <alignment horizontal="center"/>
    </xf>
    <xf numFmtId="45" fontId="39" fillId="0" borderId="320" xfId="0" applyNumberFormat="1" applyFont="1" applyBorder="1" applyAlignment="1">
      <alignment horizontal="center"/>
    </xf>
    <xf numFmtId="1" fontId="43" fillId="5" borderId="305" xfId="0" applyNumberFormat="1" applyFont="1" applyFill="1" applyBorder="1" applyAlignment="1">
      <alignment horizontal="center"/>
    </xf>
    <xf numFmtId="1" fontId="43" fillId="5" borderId="209" xfId="0" applyNumberFormat="1" applyFont="1" applyFill="1" applyBorder="1" applyAlignment="1">
      <alignment horizontal="center"/>
    </xf>
    <xf numFmtId="170" fontId="39" fillId="5" borderId="156" xfId="0" applyNumberFormat="1" applyFont="1" applyFill="1" applyBorder="1" applyAlignment="1">
      <alignment horizontal="center"/>
    </xf>
    <xf numFmtId="170" fontId="39" fillId="5" borderId="176" xfId="0" applyNumberFormat="1" applyFont="1" applyFill="1" applyBorder="1" applyAlignment="1">
      <alignment horizontal="center"/>
    </xf>
    <xf numFmtId="167" fontId="39" fillId="5" borderId="305" xfId="0" applyNumberFormat="1" applyFont="1" applyFill="1" applyBorder="1" applyAlignment="1">
      <alignment horizontal="center"/>
    </xf>
    <xf numFmtId="1" fontId="39" fillId="5" borderId="321" xfId="0" applyNumberFormat="1" applyFont="1" applyFill="1" applyBorder="1" applyAlignment="1">
      <alignment horizontal="center"/>
    </xf>
    <xf numFmtId="1" fontId="39" fillId="5" borderId="321" xfId="0" applyNumberFormat="1" applyFont="1" applyFill="1" applyBorder="1" applyAlignment="1">
      <alignment horizontal="center" vertical="center"/>
    </xf>
    <xf numFmtId="21" fontId="39" fillId="5" borderId="317" xfId="0" applyNumberFormat="1" applyFont="1" applyFill="1" applyBorder="1" applyAlignment="1">
      <alignment horizontal="center"/>
    </xf>
    <xf numFmtId="169" fontId="39" fillId="5" borderId="318" xfId="0" applyNumberFormat="1" applyFont="1" applyFill="1" applyBorder="1" applyAlignment="1">
      <alignment horizontal="center"/>
    </xf>
    <xf numFmtId="45" fontId="39" fillId="5" borderId="318" xfId="0" applyNumberFormat="1" applyFont="1" applyFill="1" applyBorder="1" applyAlignment="1">
      <alignment horizontal="center"/>
    </xf>
    <xf numFmtId="1" fontId="39" fillId="5" borderId="318" xfId="0" applyNumberFormat="1" applyFont="1" applyFill="1" applyBorder="1" applyAlignment="1">
      <alignment horizontal="center"/>
    </xf>
    <xf numFmtId="1" fontId="40" fillId="5" borderId="319" xfId="0" applyNumberFormat="1" applyFont="1" applyFill="1" applyBorder="1" applyAlignment="1">
      <alignment horizontal="center"/>
    </xf>
    <xf numFmtId="170" fontId="39" fillId="5" borderId="321" xfId="0" applyNumberFormat="1" applyFont="1" applyFill="1" applyBorder="1" applyAlignment="1">
      <alignment horizontal="center"/>
    </xf>
    <xf numFmtId="45" fontId="39" fillId="5" borderId="320" xfId="0" applyNumberFormat="1" applyFont="1" applyFill="1" applyBorder="1" applyAlignment="1">
      <alignment horizontal="center"/>
    </xf>
    <xf numFmtId="1" fontId="39" fillId="0" borderId="578" xfId="0" applyNumberFormat="1" applyFont="1" applyBorder="1" applyAlignment="1">
      <alignment horizontal="center" vertical="center"/>
    </xf>
    <xf numFmtId="1" fontId="39" fillId="0" borderId="126" xfId="0" applyNumberFormat="1" applyFont="1" applyBorder="1" applyAlignment="1">
      <alignment horizontal="center" vertical="center"/>
    </xf>
    <xf numFmtId="1" fontId="39" fillId="0" borderId="546" xfId="0" applyNumberFormat="1" applyFont="1" applyBorder="1" applyAlignment="1">
      <alignment horizontal="center" vertical="center"/>
    </xf>
    <xf numFmtId="1" fontId="39" fillId="0" borderId="544" xfId="0" applyNumberFormat="1" applyFont="1" applyBorder="1" applyAlignment="1">
      <alignment horizontal="center" vertical="center"/>
    </xf>
    <xf numFmtId="1" fontId="39" fillId="0" borderId="432" xfId="0" applyNumberFormat="1" applyFont="1" applyBorder="1" applyAlignment="1">
      <alignment horizontal="center" vertical="center"/>
    </xf>
    <xf numFmtId="45" fontId="39" fillId="0" borderId="430" xfId="0" applyNumberFormat="1" applyFont="1" applyBorder="1" applyAlignment="1">
      <alignment horizontal="center"/>
    </xf>
    <xf numFmtId="167" fontId="39" fillId="0" borderId="322" xfId="0" applyNumberFormat="1" applyFont="1" applyBorder="1" applyAlignment="1">
      <alignment horizontal="center"/>
    </xf>
    <xf numFmtId="1" fontId="39" fillId="0" borderId="322" xfId="0" applyNumberFormat="1" applyFont="1" applyBorder="1" applyAlignment="1">
      <alignment horizontal="center"/>
    </xf>
    <xf numFmtId="1" fontId="39" fillId="0" borderId="322" xfId="0" applyNumberFormat="1" applyFont="1" applyBorder="1" applyAlignment="1">
      <alignment horizontal="center" vertical="center"/>
    </xf>
    <xf numFmtId="21" fontId="39" fillId="0" borderId="323" xfId="0" applyNumberFormat="1" applyFont="1" applyBorder="1" applyAlignment="1">
      <alignment horizontal="center"/>
    </xf>
    <xf numFmtId="169" fontId="39" fillId="0" borderId="324" xfId="0" applyNumberFormat="1" applyFont="1" applyBorder="1" applyAlignment="1">
      <alignment horizontal="center"/>
    </xf>
    <xf numFmtId="45" fontId="39" fillId="0" borderId="325" xfId="0" applyNumberFormat="1" applyFont="1" applyBorder="1" applyAlignment="1">
      <alignment horizontal="center"/>
    </xf>
    <xf numFmtId="1" fontId="39" fillId="0" borderId="326" xfId="0" applyNumberFormat="1" applyFont="1" applyBorder="1" applyAlignment="1">
      <alignment horizontal="center"/>
    </xf>
    <xf numFmtId="1" fontId="40" fillId="0" borderId="325" xfId="0" applyNumberFormat="1" applyFont="1" applyBorder="1" applyAlignment="1">
      <alignment horizontal="center"/>
    </xf>
    <xf numFmtId="170" fontId="39" fillId="0" borderId="303" xfId="0" applyNumberFormat="1" applyFont="1" applyBorder="1" applyAlignment="1">
      <alignment horizontal="center"/>
    </xf>
    <xf numFmtId="45" fontId="39" fillId="0" borderId="326" xfId="0" applyNumberFormat="1" applyFont="1" applyBorder="1" applyAlignment="1">
      <alignment horizontal="center"/>
    </xf>
    <xf numFmtId="1" fontId="43" fillId="5" borderId="322" xfId="0" applyNumberFormat="1" applyFont="1" applyFill="1" applyBorder="1" applyAlignment="1">
      <alignment horizontal="center"/>
    </xf>
    <xf numFmtId="1" fontId="43" fillId="5" borderId="327" xfId="0" applyNumberFormat="1" applyFont="1" applyFill="1" applyBorder="1" applyAlignment="1">
      <alignment horizontal="center"/>
    </xf>
    <xf numFmtId="167" fontId="39" fillId="0" borderId="315" xfId="0" applyNumberFormat="1" applyFont="1" applyBorder="1" applyAlignment="1">
      <alignment horizontal="center"/>
    </xf>
    <xf numFmtId="1" fontId="39" fillId="0" borderId="315" xfId="0" applyNumberFormat="1" applyFont="1" applyBorder="1" applyAlignment="1">
      <alignment horizontal="center"/>
    </xf>
    <xf numFmtId="1" fontId="39" fillId="0" borderId="315" xfId="0" applyNumberFormat="1" applyFont="1" applyBorder="1" applyAlignment="1">
      <alignment horizontal="center" vertical="center"/>
    </xf>
    <xf numFmtId="21" fontId="39" fillId="0" borderId="311" xfId="0" applyNumberFormat="1" applyFont="1" applyBorder="1" applyAlignment="1">
      <alignment horizontal="center"/>
    </xf>
    <xf numFmtId="169" fontId="39" fillId="0" borderId="312" xfId="0" applyNumberFormat="1" applyFont="1" applyBorder="1" applyAlignment="1">
      <alignment horizontal="center"/>
    </xf>
    <xf numFmtId="45" fontId="39" fillId="0" borderId="313" xfId="0" applyNumberFormat="1" applyFont="1" applyBorder="1" applyAlignment="1">
      <alignment horizontal="center"/>
    </xf>
    <xf numFmtId="1" fontId="39" fillId="0" borderId="314" xfId="0" applyNumberFormat="1" applyFont="1" applyBorder="1" applyAlignment="1">
      <alignment horizontal="center"/>
    </xf>
    <xf numFmtId="1" fontId="40" fillId="0" borderId="313" xfId="0" applyNumberFormat="1" applyFont="1" applyBorder="1" applyAlignment="1">
      <alignment horizontal="center"/>
    </xf>
    <xf numFmtId="45" fontId="39" fillId="0" borderId="314" xfId="0" applyNumberFormat="1" applyFont="1" applyBorder="1" applyAlignment="1">
      <alignment horizontal="center"/>
    </xf>
    <xf numFmtId="1" fontId="43" fillId="5" borderId="315" xfId="0" applyNumberFormat="1" applyFont="1" applyFill="1" applyBorder="1" applyAlignment="1">
      <alignment horizontal="center"/>
    </xf>
    <xf numFmtId="1" fontId="43" fillId="5" borderId="328" xfId="0" applyNumberFormat="1" applyFont="1" applyFill="1" applyBorder="1" applyAlignment="1">
      <alignment horizontal="center"/>
    </xf>
    <xf numFmtId="167" fontId="39" fillId="0" borderId="310" xfId="0" applyNumberFormat="1" applyFont="1" applyBorder="1" applyAlignment="1">
      <alignment horizontal="center"/>
    </xf>
    <xf numFmtId="1" fontId="39" fillId="0" borderId="310" xfId="0" applyNumberFormat="1" applyFont="1" applyBorder="1" applyAlignment="1">
      <alignment horizontal="center"/>
    </xf>
    <xf numFmtId="1" fontId="39" fillId="0" borderId="310" xfId="0" applyNumberFormat="1" applyFont="1" applyBorder="1" applyAlignment="1">
      <alignment horizontal="center" vertical="center"/>
    </xf>
    <xf numFmtId="21" fontId="39" fillId="0" borderId="306" xfId="0" applyNumberFormat="1" applyFont="1" applyBorder="1" applyAlignment="1">
      <alignment horizontal="center"/>
    </xf>
    <xf numFmtId="169" fontId="39" fillId="0" borderId="307" xfId="0" applyNumberFormat="1" applyFont="1" applyBorder="1" applyAlignment="1">
      <alignment horizontal="center"/>
    </xf>
    <xf numFmtId="45" fontId="39" fillId="0" borderId="308" xfId="0" applyNumberFormat="1" applyFont="1" applyBorder="1" applyAlignment="1">
      <alignment horizontal="center"/>
    </xf>
    <xf numFmtId="1" fontId="39" fillId="0" borderId="309" xfId="0" applyNumberFormat="1" applyFont="1" applyBorder="1" applyAlignment="1">
      <alignment horizontal="center"/>
    </xf>
    <xf numFmtId="1" fontId="40" fillId="0" borderId="308" xfId="0" applyNumberFormat="1" applyFont="1" applyBorder="1" applyAlignment="1">
      <alignment horizontal="center"/>
    </xf>
    <xf numFmtId="45" fontId="39" fillId="0" borderId="309" xfId="0" applyNumberFormat="1" applyFont="1" applyBorder="1" applyAlignment="1">
      <alignment horizontal="center"/>
    </xf>
    <xf numFmtId="1" fontId="43" fillId="5" borderId="310" xfId="0" applyNumberFormat="1" applyFont="1" applyFill="1" applyBorder="1" applyAlignment="1">
      <alignment horizontal="center"/>
    </xf>
    <xf numFmtId="1" fontId="39" fillId="0" borderId="116" xfId="0" applyNumberFormat="1" applyFont="1" applyBorder="1" applyAlignment="1">
      <alignment horizontal="center" vertical="center"/>
    </xf>
    <xf numFmtId="45" fontId="39" fillId="0" borderId="541" xfId="0" applyNumberFormat="1" applyFont="1" applyBorder="1" applyAlignment="1">
      <alignment horizontal="center"/>
    </xf>
    <xf numFmtId="21" fontId="39" fillId="5" borderId="571" xfId="0" applyNumberFormat="1" applyFont="1" applyFill="1" applyBorder="1" applyAlignment="1">
      <alignment horizontal="center"/>
    </xf>
    <xf numFmtId="169" fontId="39" fillId="5" borderId="584" xfId="0" applyNumberFormat="1" applyFont="1" applyFill="1" applyBorder="1" applyAlignment="1">
      <alignment horizontal="center"/>
    </xf>
    <xf numFmtId="170" fontId="39" fillId="5" borderId="563" xfId="0" applyNumberFormat="1" applyFont="1" applyFill="1" applyBorder="1" applyAlignment="1">
      <alignment horizontal="center"/>
    </xf>
    <xf numFmtId="169" fontId="39" fillId="5" borderId="509" xfId="0" applyNumberFormat="1" applyFont="1" applyFill="1" applyBorder="1" applyAlignment="1">
      <alignment horizontal="center"/>
    </xf>
    <xf numFmtId="170" fontId="39" fillId="5" borderId="540" xfId="0" applyNumberFormat="1" applyFont="1" applyFill="1" applyBorder="1" applyAlignment="1">
      <alignment horizontal="center"/>
    </xf>
    <xf numFmtId="169" fontId="39" fillId="5" borderId="589" xfId="0" applyNumberFormat="1" applyFont="1" applyFill="1" applyBorder="1" applyAlignment="1">
      <alignment horizontal="center"/>
    </xf>
    <xf numFmtId="45" fontId="39" fillId="5" borderId="589" xfId="0" applyNumberFormat="1" applyFont="1" applyFill="1" applyBorder="1" applyAlignment="1">
      <alignment horizontal="center"/>
    </xf>
    <xf numFmtId="170" fontId="39" fillId="5" borderId="538" xfId="0" applyNumberFormat="1" applyFont="1" applyFill="1" applyBorder="1" applyAlignment="1">
      <alignment horizontal="center"/>
    </xf>
    <xf numFmtId="45" fontId="39" fillId="5" borderId="430" xfId="0" applyNumberFormat="1" applyFont="1" applyFill="1" applyBorder="1" applyAlignment="1">
      <alignment horizontal="center"/>
    </xf>
    <xf numFmtId="1" fontId="39" fillId="5" borderId="303" xfId="0" applyNumberFormat="1" applyFont="1" applyFill="1" applyBorder="1" applyAlignment="1">
      <alignment horizontal="center"/>
    </xf>
    <xf numFmtId="1" fontId="39" fillId="5" borderId="303" xfId="0" applyNumberFormat="1" applyFont="1" applyFill="1" applyBorder="1" applyAlignment="1">
      <alignment horizontal="center" vertical="center"/>
    </xf>
    <xf numFmtId="21" fontId="39" fillId="5" borderId="330" xfId="0" applyNumberFormat="1" applyFont="1" applyFill="1" applyBorder="1" applyAlignment="1">
      <alignment horizontal="center"/>
    </xf>
    <xf numFmtId="169" fontId="39" fillId="5" borderId="331" xfId="0" applyNumberFormat="1" applyFont="1" applyFill="1" applyBorder="1" applyAlignment="1">
      <alignment horizontal="center"/>
    </xf>
    <xf numFmtId="45" fontId="39" fillId="5" borderId="332" xfId="0" applyNumberFormat="1" applyFont="1" applyFill="1" applyBorder="1" applyAlignment="1">
      <alignment horizontal="center"/>
    </xf>
    <xf numFmtId="1" fontId="39" fillId="5" borderId="333" xfId="0" applyNumberFormat="1" applyFont="1" applyFill="1" applyBorder="1" applyAlignment="1">
      <alignment horizontal="center"/>
    </xf>
    <xf numFmtId="1" fontId="40" fillId="5" borderId="332" xfId="0" applyNumberFormat="1" applyFont="1" applyFill="1" applyBorder="1" applyAlignment="1">
      <alignment horizontal="center"/>
    </xf>
    <xf numFmtId="170" fontId="39" fillId="5" borderId="303" xfId="0" applyNumberFormat="1" applyFont="1" applyFill="1" applyBorder="1" applyAlignment="1">
      <alignment horizontal="center"/>
    </xf>
    <xf numFmtId="45" fontId="39" fillId="5" borderId="333" xfId="0" applyNumberFormat="1" applyFont="1" applyFill="1" applyBorder="1" applyAlignment="1">
      <alignment horizontal="center"/>
    </xf>
    <xf numFmtId="1" fontId="43" fillId="5" borderId="334" xfId="0" applyNumberFormat="1" applyFont="1" applyFill="1" applyBorder="1" applyAlignment="1">
      <alignment horizontal="center"/>
    </xf>
    <xf numFmtId="1" fontId="43" fillId="5" borderId="335" xfId="0" applyNumberFormat="1" applyFont="1" applyFill="1" applyBorder="1" applyAlignment="1">
      <alignment horizontal="center"/>
    </xf>
    <xf numFmtId="21" fontId="39" fillId="5" borderId="337" xfId="0" applyNumberFormat="1" applyFont="1" applyFill="1" applyBorder="1" applyAlignment="1">
      <alignment horizontal="center"/>
    </xf>
    <xf numFmtId="169" fontId="39" fillId="5" borderId="338" xfId="0" applyNumberFormat="1" applyFont="1" applyFill="1" applyBorder="1" applyAlignment="1">
      <alignment horizontal="center"/>
    </xf>
    <xf numFmtId="45" fontId="39" fillId="5" borderId="339" xfId="0" applyNumberFormat="1" applyFont="1" applyFill="1" applyBorder="1" applyAlignment="1">
      <alignment horizontal="center"/>
    </xf>
    <xf numFmtId="1" fontId="39" fillId="5" borderId="340" xfId="0" applyNumberFormat="1" applyFont="1" applyFill="1" applyBorder="1" applyAlignment="1">
      <alignment horizontal="center"/>
    </xf>
    <xf numFmtId="1" fontId="40" fillId="5" borderId="339" xfId="0" applyNumberFormat="1" applyFont="1" applyFill="1" applyBorder="1" applyAlignment="1">
      <alignment horizontal="center"/>
    </xf>
    <xf numFmtId="45" fontId="39" fillId="5" borderId="340" xfId="0" applyNumberFormat="1" applyFont="1" applyFill="1" applyBorder="1" applyAlignment="1">
      <alignment horizontal="center"/>
    </xf>
    <xf numFmtId="1" fontId="43" fillId="5" borderId="341" xfId="0" applyNumberFormat="1" applyFont="1" applyFill="1" applyBorder="1" applyAlignment="1">
      <alignment horizontal="center"/>
    </xf>
    <xf numFmtId="21" fontId="39" fillId="5" borderId="343" xfId="0" applyNumberFormat="1" applyFont="1" applyFill="1" applyBorder="1" applyAlignment="1">
      <alignment horizontal="center"/>
    </xf>
    <xf numFmtId="169" fontId="39" fillId="5" borderId="344" xfId="0" applyNumberFormat="1" applyFont="1" applyFill="1" applyBorder="1" applyAlignment="1">
      <alignment horizontal="center"/>
    </xf>
    <xf numFmtId="45" fontId="39" fillId="5" borderId="345" xfId="0" applyNumberFormat="1" applyFont="1" applyFill="1" applyBorder="1" applyAlignment="1">
      <alignment horizontal="center"/>
    </xf>
    <xf numFmtId="1" fontId="39" fillId="5" borderId="346" xfId="0" applyNumberFormat="1" applyFont="1" applyFill="1" applyBorder="1" applyAlignment="1">
      <alignment horizontal="center"/>
    </xf>
    <xf numFmtId="1" fontId="40" fillId="5" borderId="345" xfId="0" applyNumberFormat="1" applyFont="1" applyFill="1" applyBorder="1" applyAlignment="1">
      <alignment horizontal="center"/>
    </xf>
    <xf numFmtId="45" fontId="39" fillId="5" borderId="346" xfId="0" applyNumberFormat="1" applyFont="1" applyFill="1" applyBorder="1" applyAlignment="1">
      <alignment horizontal="center"/>
    </xf>
    <xf numFmtId="1" fontId="43" fillId="5" borderId="347" xfId="0" applyNumberFormat="1" applyFont="1" applyFill="1" applyBorder="1" applyAlignment="1">
      <alignment horizontal="center"/>
    </xf>
    <xf numFmtId="21" fontId="39" fillId="5" borderId="349" xfId="0" applyNumberFormat="1" applyFont="1" applyFill="1" applyBorder="1" applyAlignment="1">
      <alignment horizontal="center"/>
    </xf>
    <xf numFmtId="169" fontId="39" fillId="5" borderId="350" xfId="0" applyNumberFormat="1" applyFont="1" applyFill="1" applyBorder="1" applyAlignment="1">
      <alignment horizontal="center"/>
    </xf>
    <xf numFmtId="45" fontId="39" fillId="5" borderId="351" xfId="0" applyNumberFormat="1" applyFont="1" applyFill="1" applyBorder="1" applyAlignment="1">
      <alignment horizontal="center"/>
    </xf>
    <xf numFmtId="1" fontId="39" fillId="5" borderId="352" xfId="0" applyNumberFormat="1" applyFont="1" applyFill="1" applyBorder="1" applyAlignment="1">
      <alignment horizontal="center"/>
    </xf>
    <xf numFmtId="1" fontId="40" fillId="5" borderId="351" xfId="0" applyNumberFormat="1" applyFont="1" applyFill="1" applyBorder="1" applyAlignment="1">
      <alignment horizontal="center"/>
    </xf>
    <xf numFmtId="45" fontId="39" fillId="5" borderId="352" xfId="0" applyNumberFormat="1" applyFont="1" applyFill="1" applyBorder="1" applyAlignment="1">
      <alignment horizontal="center"/>
    </xf>
    <xf numFmtId="1" fontId="43" fillId="5" borderId="353" xfId="0" applyNumberFormat="1" applyFont="1" applyFill="1" applyBorder="1" applyAlignment="1">
      <alignment horizontal="center"/>
    </xf>
    <xf numFmtId="167" fontId="39" fillId="10" borderId="113" xfId="0" applyNumberFormat="1" applyFont="1" applyFill="1" applyBorder="1" applyAlignment="1">
      <alignment horizontal="center"/>
    </xf>
    <xf numFmtId="1" fontId="39" fillId="10" borderId="303" xfId="0" applyNumberFormat="1" applyFont="1" applyFill="1" applyBorder="1" applyAlignment="1">
      <alignment horizontal="center"/>
    </xf>
    <xf numFmtId="1" fontId="39" fillId="10" borderId="303" xfId="0" applyNumberFormat="1" applyFont="1" applyFill="1" applyBorder="1" applyAlignment="1">
      <alignment horizontal="center" vertical="center"/>
    </xf>
    <xf numFmtId="21" fontId="39" fillId="10" borderId="355" xfId="0" applyNumberFormat="1" applyFont="1" applyFill="1" applyBorder="1" applyAlignment="1">
      <alignment horizontal="center"/>
    </xf>
    <xf numFmtId="169" fontId="39" fillId="10" borderId="356" xfId="0" applyNumberFormat="1" applyFont="1" applyFill="1" applyBorder="1" applyAlignment="1">
      <alignment horizontal="center"/>
    </xf>
    <xf numFmtId="45" fontId="39" fillId="10" borderId="357" xfId="0" applyNumberFormat="1" applyFont="1" applyFill="1" applyBorder="1" applyAlignment="1">
      <alignment horizontal="center"/>
    </xf>
    <xf numFmtId="1" fontId="39" fillId="10" borderId="358" xfId="0" applyNumberFormat="1" applyFont="1" applyFill="1" applyBorder="1" applyAlignment="1">
      <alignment horizontal="center"/>
    </xf>
    <xf numFmtId="1" fontId="40" fillId="10" borderId="357" xfId="0" applyNumberFormat="1" applyFont="1" applyFill="1" applyBorder="1" applyAlignment="1">
      <alignment horizontal="center"/>
    </xf>
    <xf numFmtId="170" fontId="39" fillId="10" borderId="303" xfId="0" applyNumberFormat="1" applyFont="1" applyFill="1" applyBorder="1" applyAlignment="1">
      <alignment horizontal="center"/>
    </xf>
    <xf numFmtId="45" fontId="39" fillId="10" borderId="358" xfId="0" applyNumberFormat="1" applyFont="1" applyFill="1" applyBorder="1" applyAlignment="1">
      <alignment horizontal="center"/>
    </xf>
    <xf numFmtId="1" fontId="43" fillId="10" borderId="359" xfId="0" applyNumberFormat="1" applyFont="1" applyFill="1" applyBorder="1" applyAlignment="1">
      <alignment horizontal="center"/>
    </xf>
    <xf numFmtId="1" fontId="43" fillId="10" borderId="335" xfId="0" applyNumberFormat="1" applyFont="1" applyFill="1" applyBorder="1" applyAlignment="1">
      <alignment horizontal="center"/>
    </xf>
    <xf numFmtId="1" fontId="43" fillId="10" borderId="874" xfId="0" applyNumberFormat="1" applyFont="1" applyFill="1" applyBorder="1" applyAlignment="1">
      <alignment horizontal="center"/>
    </xf>
    <xf numFmtId="21" fontId="39" fillId="0" borderId="431" xfId="0" applyNumberFormat="1" applyFont="1" applyBorder="1" applyAlignment="1">
      <alignment horizontal="center"/>
    </xf>
    <xf numFmtId="169" fontId="39" fillId="0" borderId="430" xfId="0" applyNumberFormat="1" applyFont="1" applyBorder="1" applyAlignment="1">
      <alignment horizontal="center"/>
    </xf>
    <xf numFmtId="1" fontId="39" fillId="0" borderId="303" xfId="0" applyNumberFormat="1" applyFont="1" applyBorder="1" applyAlignment="1">
      <alignment horizontal="center"/>
    </xf>
    <xf numFmtId="1" fontId="39" fillId="0" borderId="303" xfId="0" applyNumberFormat="1" applyFont="1" applyBorder="1" applyAlignment="1">
      <alignment horizontal="center" vertical="center"/>
    </xf>
    <xf numFmtId="21" fontId="39" fillId="0" borderId="361" xfId="0" applyNumberFormat="1" applyFont="1" applyBorder="1" applyAlignment="1">
      <alignment horizontal="center"/>
    </xf>
    <xf numFmtId="169" fontId="39" fillId="0" borderId="362" xfId="0" applyNumberFormat="1" applyFont="1" applyBorder="1" applyAlignment="1">
      <alignment horizontal="center"/>
    </xf>
    <xf numFmtId="45" fontId="39" fillId="0" borderId="362" xfId="0" applyNumberFormat="1" applyFont="1" applyBorder="1" applyAlignment="1">
      <alignment horizontal="center"/>
    </xf>
    <xf numFmtId="1" fontId="39" fillId="0" borderId="361" xfId="0" applyNumberFormat="1" applyFont="1" applyBorder="1" applyAlignment="1">
      <alignment horizontal="center"/>
    </xf>
    <xf numFmtId="1" fontId="40" fillId="0" borderId="362" xfId="0" applyNumberFormat="1" applyFont="1" applyBorder="1" applyAlignment="1">
      <alignment horizontal="center"/>
    </xf>
    <xf numFmtId="45" fontId="39" fillId="0" borderId="361" xfId="0" applyNumberFormat="1" applyFont="1" applyBorder="1" applyAlignment="1">
      <alignment horizontal="center"/>
    </xf>
    <xf numFmtId="1" fontId="43" fillId="5" borderId="363" xfId="0" applyNumberFormat="1" applyFont="1" applyFill="1" applyBorder="1" applyAlignment="1">
      <alignment horizontal="center"/>
    </xf>
    <xf numFmtId="21" fontId="39" fillId="0" borderId="365" xfId="0" applyNumberFormat="1" applyFont="1" applyBorder="1" applyAlignment="1">
      <alignment horizontal="center"/>
    </xf>
    <xf numFmtId="169" fontId="39" fillId="0" borderId="366" xfId="0" applyNumberFormat="1" applyFont="1" applyBorder="1" applyAlignment="1">
      <alignment horizontal="center"/>
    </xf>
    <xf numFmtId="45" fontId="39" fillId="0" borderId="366" xfId="0" applyNumberFormat="1" applyFont="1" applyBorder="1" applyAlignment="1">
      <alignment horizontal="center"/>
    </xf>
    <xf numFmtId="1" fontId="39" fillId="0" borderId="365" xfId="0" applyNumberFormat="1" applyFont="1" applyBorder="1" applyAlignment="1">
      <alignment horizontal="center"/>
    </xf>
    <xf numFmtId="1" fontId="40" fillId="0" borderId="366" xfId="0" applyNumberFormat="1" applyFont="1" applyBorder="1" applyAlignment="1">
      <alignment horizontal="center"/>
    </xf>
    <xf numFmtId="45" fontId="39" fillId="0" borderId="365" xfId="0" applyNumberFormat="1" applyFont="1" applyBorder="1" applyAlignment="1">
      <alignment horizontal="center"/>
    </xf>
    <xf numFmtId="1" fontId="43" fillId="5" borderId="367" xfId="0" applyNumberFormat="1" applyFont="1" applyFill="1" applyBorder="1" applyAlignment="1">
      <alignment horizontal="center"/>
    </xf>
    <xf numFmtId="21" fontId="39" fillId="0" borderId="24" xfId="0" applyNumberFormat="1" applyFont="1" applyBorder="1" applyAlignment="1">
      <alignment horizontal="center"/>
    </xf>
    <xf numFmtId="169" fontId="39" fillId="0" borderId="541" xfId="0" applyNumberFormat="1" applyFont="1" applyBorder="1" applyAlignment="1">
      <alignment horizontal="center"/>
    </xf>
    <xf numFmtId="21" fontId="39" fillId="5" borderId="593" xfId="0" applyNumberFormat="1" applyFont="1" applyFill="1" applyBorder="1" applyAlignment="1">
      <alignment horizontal="center"/>
    </xf>
    <xf numFmtId="169" fontId="39" fillId="5" borderId="594" xfId="0" applyNumberFormat="1" applyFont="1" applyFill="1" applyBorder="1" applyAlignment="1">
      <alignment horizontal="center"/>
    </xf>
    <xf numFmtId="45" fontId="39" fillId="5" borderId="594" xfId="0" applyNumberFormat="1" applyFont="1" applyFill="1" applyBorder="1" applyAlignment="1">
      <alignment horizontal="center"/>
    </xf>
    <xf numFmtId="1" fontId="39" fillId="5" borderId="594" xfId="0" applyNumberFormat="1" applyFont="1" applyFill="1" applyBorder="1" applyAlignment="1">
      <alignment horizontal="center"/>
    </xf>
    <xf numFmtId="1" fontId="40" fillId="5" borderId="595" xfId="0" applyNumberFormat="1" applyFont="1" applyFill="1" applyBorder="1" applyAlignment="1">
      <alignment horizontal="center"/>
    </xf>
    <xf numFmtId="45" fontId="39" fillId="5" borderId="596" xfId="0" applyNumberFormat="1" applyFont="1" applyFill="1" applyBorder="1" applyAlignment="1">
      <alignment horizontal="center"/>
    </xf>
    <xf numFmtId="1" fontId="39" fillId="5" borderId="202" xfId="0" applyNumberFormat="1" applyFont="1" applyFill="1" applyBorder="1" applyAlignment="1">
      <alignment horizontal="center"/>
    </xf>
    <xf numFmtId="1" fontId="39" fillId="5" borderId="202" xfId="0" applyNumberFormat="1" applyFont="1" applyFill="1" applyBorder="1" applyAlignment="1">
      <alignment horizontal="center" vertical="center"/>
    </xf>
    <xf numFmtId="21" fontId="39" fillId="5" borderId="598" xfId="0" applyNumberFormat="1" applyFont="1" applyFill="1" applyBorder="1" applyAlignment="1">
      <alignment horizontal="center"/>
    </xf>
    <xf numFmtId="45" fontId="39" fillId="5" borderId="599" xfId="0" applyNumberFormat="1" applyFont="1" applyFill="1" applyBorder="1" applyAlignment="1">
      <alignment horizontal="center"/>
    </xf>
    <xf numFmtId="1" fontId="43" fillId="5" borderId="544" xfId="0" applyNumberFormat="1" applyFont="1" applyFill="1" applyBorder="1" applyAlignment="1">
      <alignment horizontal="center"/>
    </xf>
    <xf numFmtId="1" fontId="43" fillId="5" borderId="548" xfId="0" applyNumberFormat="1" applyFont="1" applyFill="1" applyBorder="1" applyAlignment="1">
      <alignment horizontal="center"/>
    </xf>
    <xf numFmtId="21" fontId="39" fillId="0" borderId="368" xfId="0" applyNumberFormat="1" applyFont="1" applyBorder="1" applyAlignment="1">
      <alignment horizontal="center"/>
    </xf>
    <xf numFmtId="169" fontId="39" fillId="0" borderId="369" xfId="0" applyNumberFormat="1" applyFont="1" applyBorder="1" applyAlignment="1">
      <alignment horizontal="center"/>
    </xf>
    <xf numFmtId="45" fontId="39" fillId="0" borderId="370" xfId="0" applyNumberFormat="1" applyFont="1" applyBorder="1" applyAlignment="1">
      <alignment horizontal="center"/>
    </xf>
    <xf numFmtId="1" fontId="39" fillId="0" borderId="371" xfId="0" applyNumberFormat="1" applyFont="1" applyBorder="1" applyAlignment="1">
      <alignment horizontal="center"/>
    </xf>
    <xf numFmtId="1" fontId="40" fillId="0" borderId="370" xfId="0" applyNumberFormat="1" applyFont="1" applyBorder="1" applyAlignment="1">
      <alignment horizontal="center"/>
    </xf>
    <xf numFmtId="45" fontId="39" fillId="0" borderId="371" xfId="0" applyNumberFormat="1" applyFont="1" applyBorder="1" applyAlignment="1">
      <alignment horizontal="center"/>
    </xf>
    <xf numFmtId="1" fontId="43" fillId="5" borderId="372" xfId="0" applyNumberFormat="1" applyFont="1" applyFill="1" applyBorder="1" applyAlignment="1">
      <alignment horizontal="center"/>
    </xf>
    <xf numFmtId="21" fontId="39" fillId="0" borderId="373" xfId="0" applyNumberFormat="1" applyFont="1" applyBorder="1" applyAlignment="1">
      <alignment horizontal="center"/>
    </xf>
    <xf numFmtId="169" fontId="39" fillId="0" borderId="374" xfId="0" applyNumberFormat="1" applyFont="1" applyBorder="1" applyAlignment="1">
      <alignment horizontal="center"/>
    </xf>
    <xf numFmtId="45" fontId="39" fillId="0" borderId="375" xfId="0" applyNumberFormat="1" applyFont="1" applyBorder="1" applyAlignment="1">
      <alignment horizontal="center"/>
    </xf>
    <xf numFmtId="1" fontId="39" fillId="0" borderId="376" xfId="0" applyNumberFormat="1" applyFont="1" applyBorder="1" applyAlignment="1">
      <alignment horizontal="center"/>
    </xf>
    <xf numFmtId="1" fontId="40" fillId="0" borderId="375" xfId="0" applyNumberFormat="1" applyFont="1" applyBorder="1" applyAlignment="1">
      <alignment horizontal="center"/>
    </xf>
    <xf numFmtId="45" fontId="39" fillId="0" borderId="376" xfId="0" applyNumberFormat="1" applyFont="1" applyBorder="1" applyAlignment="1">
      <alignment horizontal="center"/>
    </xf>
    <xf numFmtId="1" fontId="43" fillId="5" borderId="377" xfId="0" applyNumberFormat="1" applyFont="1" applyFill="1" applyBorder="1" applyAlignment="1">
      <alignment horizontal="center"/>
    </xf>
    <xf numFmtId="21" fontId="39" fillId="0" borderId="378" xfId="0" applyNumberFormat="1" applyFont="1" applyBorder="1" applyAlignment="1">
      <alignment horizontal="center"/>
    </xf>
    <xf numFmtId="169" fontId="39" fillId="0" borderId="379" xfId="0" applyNumberFormat="1" applyFont="1" applyBorder="1" applyAlignment="1">
      <alignment horizontal="center"/>
    </xf>
    <xf numFmtId="45" fontId="39" fillId="0" borderId="380" xfId="0" applyNumberFormat="1" applyFont="1" applyBorder="1" applyAlignment="1">
      <alignment horizontal="center"/>
    </xf>
    <xf numFmtId="1" fontId="39" fillId="0" borderId="381" xfId="0" applyNumberFormat="1" applyFont="1" applyBorder="1" applyAlignment="1">
      <alignment horizontal="center"/>
    </xf>
    <xf numFmtId="1" fontId="40" fillId="0" borderId="380" xfId="0" applyNumberFormat="1" applyFont="1" applyBorder="1" applyAlignment="1">
      <alignment horizontal="center"/>
    </xf>
    <xf numFmtId="45" fontId="39" fillId="0" borderId="381" xfId="0" applyNumberFormat="1" applyFont="1" applyBorder="1" applyAlignment="1">
      <alignment horizontal="center"/>
    </xf>
    <xf numFmtId="1" fontId="43" fillId="5" borderId="382" xfId="0" applyNumberFormat="1" applyFont="1" applyFill="1" applyBorder="1" applyAlignment="1">
      <alignment horizontal="center"/>
    </xf>
    <xf numFmtId="167" fontId="39" fillId="0" borderId="547" xfId="0" applyNumberFormat="1" applyFont="1" applyBorder="1" applyAlignment="1">
      <alignment horizontal="center"/>
    </xf>
    <xf numFmtId="21" fontId="39" fillId="0" borderId="383" xfId="0" applyNumberFormat="1" applyFont="1" applyBorder="1" applyAlignment="1">
      <alignment horizontal="center"/>
    </xf>
    <xf numFmtId="169" fontId="39" fillId="0" borderId="384" xfId="0" applyNumberFormat="1" applyFont="1" applyBorder="1" applyAlignment="1">
      <alignment horizontal="center"/>
    </xf>
    <xf numFmtId="45" fontId="39" fillId="0" borderId="385" xfId="0" applyNumberFormat="1" applyFont="1" applyBorder="1" applyAlignment="1">
      <alignment horizontal="center"/>
    </xf>
    <xf numFmtId="1" fontId="39" fillId="0" borderId="386" xfId="0" applyNumberFormat="1" applyFont="1" applyBorder="1" applyAlignment="1">
      <alignment horizontal="center"/>
    </xf>
    <xf numFmtId="1" fontId="40" fillId="0" borderId="385" xfId="0" applyNumberFormat="1" applyFont="1" applyBorder="1" applyAlignment="1">
      <alignment horizontal="center"/>
    </xf>
    <xf numFmtId="45" fontId="39" fillId="0" borderId="386" xfId="0" applyNumberFormat="1" applyFont="1" applyBorder="1" applyAlignment="1">
      <alignment horizontal="center"/>
    </xf>
    <xf numFmtId="1" fontId="43" fillId="5" borderId="387" xfId="0" applyNumberFormat="1" applyFont="1" applyFill="1" applyBorder="1" applyAlignment="1">
      <alignment horizontal="center"/>
    </xf>
    <xf numFmtId="21" fontId="39" fillId="0" borderId="388" xfId="0" applyNumberFormat="1" applyFont="1" applyBorder="1" applyAlignment="1">
      <alignment horizontal="center"/>
    </xf>
    <xf numFmtId="169" fontId="39" fillId="0" borderId="389" xfId="0" applyNumberFormat="1" applyFont="1" applyBorder="1" applyAlignment="1">
      <alignment horizontal="center"/>
    </xf>
    <xf numFmtId="45" fontId="39" fillId="0" borderId="390" xfId="0" applyNumberFormat="1" applyFont="1" applyBorder="1" applyAlignment="1">
      <alignment horizontal="center"/>
    </xf>
    <xf numFmtId="1" fontId="39" fillId="0" borderId="391" xfId="0" applyNumberFormat="1" applyFont="1" applyBorder="1" applyAlignment="1">
      <alignment horizontal="center"/>
    </xf>
    <xf numFmtId="1" fontId="40" fillId="0" borderId="390" xfId="0" applyNumberFormat="1" applyFont="1" applyBorder="1" applyAlignment="1">
      <alignment horizontal="center"/>
    </xf>
    <xf numFmtId="45" fontId="39" fillId="0" borderId="391" xfId="0" applyNumberFormat="1" applyFont="1" applyBorder="1" applyAlignment="1">
      <alignment horizontal="center"/>
    </xf>
    <xf numFmtId="1" fontId="43" fillId="5" borderId="392" xfId="0" applyNumberFormat="1" applyFont="1" applyFill="1" applyBorder="1" applyAlignment="1">
      <alignment horizontal="center"/>
    </xf>
    <xf numFmtId="21" fontId="39" fillId="0" borderId="393" xfId="0" applyNumberFormat="1" applyFont="1" applyBorder="1" applyAlignment="1">
      <alignment horizontal="center"/>
    </xf>
    <xf numFmtId="169" fontId="39" fillId="0" borderId="394" xfId="0" applyNumberFormat="1" applyFont="1" applyBorder="1" applyAlignment="1">
      <alignment horizontal="center"/>
    </xf>
    <xf numFmtId="45" fontId="39" fillId="0" borderId="395" xfId="0" applyNumberFormat="1" applyFont="1" applyBorder="1" applyAlignment="1">
      <alignment horizontal="center"/>
    </xf>
    <xf numFmtId="1" fontId="39" fillId="0" borderId="396" xfId="0" applyNumberFormat="1" applyFont="1" applyBorder="1" applyAlignment="1">
      <alignment horizontal="center"/>
    </xf>
    <xf numFmtId="1" fontId="40" fillId="0" borderId="395" xfId="0" applyNumberFormat="1" applyFont="1" applyBorder="1" applyAlignment="1">
      <alignment horizontal="center"/>
    </xf>
    <xf numFmtId="45" fontId="39" fillId="0" borderId="396" xfId="0" applyNumberFormat="1" applyFont="1" applyBorder="1" applyAlignment="1">
      <alignment horizontal="center"/>
    </xf>
    <xf numFmtId="1" fontId="43" fillId="5" borderId="397" xfId="0" applyNumberFormat="1" applyFont="1" applyFill="1" applyBorder="1" applyAlignment="1">
      <alignment horizontal="center"/>
    </xf>
    <xf numFmtId="21" fontId="39" fillId="0" borderId="398" xfId="0" applyNumberFormat="1" applyFont="1" applyBorder="1" applyAlignment="1">
      <alignment horizontal="center"/>
    </xf>
    <xf numFmtId="169" fontId="39" fillId="0" borderId="399" xfId="0" applyNumberFormat="1" applyFont="1" applyBorder="1" applyAlignment="1">
      <alignment horizontal="center"/>
    </xf>
    <xf numFmtId="45" fontId="39" fillId="0" borderId="400" xfId="0" applyNumberFormat="1" applyFont="1" applyBorder="1" applyAlignment="1">
      <alignment horizontal="center"/>
    </xf>
    <xf numFmtId="1" fontId="39" fillId="0" borderId="401" xfId="0" applyNumberFormat="1" applyFont="1" applyBorder="1" applyAlignment="1">
      <alignment horizontal="center"/>
    </xf>
    <xf numFmtId="1" fontId="40" fillId="0" borderId="400" xfId="0" applyNumberFormat="1" applyFont="1" applyBorder="1" applyAlignment="1">
      <alignment horizontal="center"/>
    </xf>
    <xf numFmtId="45" fontId="39" fillId="0" borderId="401" xfId="0" applyNumberFormat="1" applyFont="1" applyBorder="1" applyAlignment="1">
      <alignment horizontal="center"/>
    </xf>
    <xf numFmtId="1" fontId="43" fillId="5" borderId="402" xfId="0" applyNumberFormat="1" applyFont="1" applyFill="1" applyBorder="1" applyAlignment="1">
      <alignment horizontal="center"/>
    </xf>
    <xf numFmtId="21" fontId="39" fillId="0" borderId="403" xfId="0" applyNumberFormat="1" applyFont="1" applyBorder="1" applyAlignment="1">
      <alignment horizontal="center"/>
    </xf>
    <xf numFmtId="169" fontId="39" fillId="0" borderId="404" xfId="0" applyNumberFormat="1" applyFont="1" applyBorder="1" applyAlignment="1">
      <alignment horizontal="center"/>
    </xf>
    <xf numFmtId="45" fontId="39" fillId="0" borderId="405" xfId="0" applyNumberFormat="1" applyFont="1" applyBorder="1" applyAlignment="1">
      <alignment horizontal="center"/>
    </xf>
    <xf numFmtId="1" fontId="39" fillId="0" borderId="406" xfId="0" applyNumberFormat="1" applyFont="1" applyBorder="1" applyAlignment="1">
      <alignment horizontal="center"/>
    </xf>
    <xf numFmtId="1" fontId="40" fillId="0" borderId="405" xfId="0" applyNumberFormat="1" applyFont="1" applyBorder="1" applyAlignment="1">
      <alignment horizontal="center"/>
    </xf>
    <xf numFmtId="45" fontId="39" fillId="0" borderId="406" xfId="0" applyNumberFormat="1" applyFont="1" applyBorder="1" applyAlignment="1">
      <alignment horizontal="center"/>
    </xf>
    <xf numFmtId="1" fontId="43" fillId="5" borderId="407" xfId="0" applyNumberFormat="1" applyFont="1" applyFill="1" applyBorder="1" applyAlignment="1">
      <alignment horizontal="center"/>
    </xf>
    <xf numFmtId="21" fontId="39" fillId="0" borderId="408" xfId="0" applyNumberFormat="1" applyFont="1" applyBorder="1" applyAlignment="1">
      <alignment horizontal="center"/>
    </xf>
    <xf numFmtId="169" fontId="39" fillId="0" borderId="409" xfId="0" applyNumberFormat="1" applyFont="1" applyBorder="1" applyAlignment="1">
      <alignment horizontal="center"/>
    </xf>
    <xf numFmtId="45" fontId="39" fillId="0" borderId="410" xfId="0" applyNumberFormat="1" applyFont="1" applyBorder="1" applyAlignment="1">
      <alignment horizontal="center"/>
    </xf>
    <xf numFmtId="1" fontId="39" fillId="0" borderId="411" xfId="0" applyNumberFormat="1" applyFont="1" applyBorder="1" applyAlignment="1">
      <alignment horizontal="center"/>
    </xf>
    <xf numFmtId="1" fontId="40" fillId="0" borderId="410" xfId="0" applyNumberFormat="1" applyFont="1" applyBorder="1" applyAlignment="1">
      <alignment horizontal="center"/>
    </xf>
    <xf numFmtId="45" fontId="39" fillId="0" borderId="411" xfId="0" applyNumberFormat="1" applyFont="1" applyBorder="1" applyAlignment="1">
      <alignment horizontal="center"/>
    </xf>
    <xf numFmtId="1" fontId="43" fillId="5" borderId="412" xfId="0" applyNumberFormat="1" applyFont="1" applyFill="1" applyBorder="1" applyAlignment="1">
      <alignment horizontal="center"/>
    </xf>
    <xf numFmtId="21" fontId="39" fillId="0" borderId="413" xfId="0" applyNumberFormat="1" applyFont="1" applyBorder="1" applyAlignment="1">
      <alignment horizontal="center"/>
    </xf>
    <xf numFmtId="169" fontId="39" fillId="0" borderId="414" xfId="0" applyNumberFormat="1" applyFont="1" applyBorder="1" applyAlignment="1">
      <alignment horizontal="center"/>
    </xf>
    <xf numFmtId="45" fontId="39" fillId="0" borderId="415" xfId="0" applyNumberFormat="1" applyFont="1" applyBorder="1" applyAlignment="1">
      <alignment horizontal="center"/>
    </xf>
    <xf numFmtId="1" fontId="39" fillId="0" borderId="416" xfId="0" applyNumberFormat="1" applyFont="1" applyBorder="1" applyAlignment="1">
      <alignment horizontal="center"/>
    </xf>
    <xf numFmtId="1" fontId="40" fillId="0" borderId="415" xfId="0" applyNumberFormat="1" applyFont="1" applyBorder="1" applyAlignment="1">
      <alignment horizontal="center"/>
    </xf>
    <xf numFmtId="45" fontId="39" fillId="0" borderId="416" xfId="0" applyNumberFormat="1" applyFont="1" applyBorder="1" applyAlignment="1">
      <alignment horizontal="center"/>
    </xf>
    <xf numFmtId="1" fontId="43" fillId="5" borderId="417" xfId="0" applyNumberFormat="1" applyFont="1" applyFill="1" applyBorder="1" applyAlignment="1">
      <alignment horizontal="center"/>
    </xf>
    <xf numFmtId="21" fontId="39" fillId="0" borderId="418" xfId="0" applyNumberFormat="1" applyFont="1" applyBorder="1" applyAlignment="1">
      <alignment horizontal="center"/>
    </xf>
    <xf numFmtId="169" fontId="39" fillId="0" borderId="419" xfId="0" applyNumberFormat="1" applyFont="1" applyBorder="1" applyAlignment="1">
      <alignment horizontal="center"/>
    </xf>
    <xf numFmtId="45" fontId="39" fillId="0" borderId="420" xfId="0" applyNumberFormat="1" applyFont="1" applyBorder="1" applyAlignment="1">
      <alignment horizontal="center"/>
    </xf>
    <xf numFmtId="1" fontId="39" fillId="0" borderId="421" xfId="0" applyNumberFormat="1" applyFont="1" applyBorder="1" applyAlignment="1">
      <alignment horizontal="center"/>
    </xf>
    <xf numFmtId="1" fontId="40" fillId="0" borderId="420" xfId="0" applyNumberFormat="1" applyFont="1" applyBorder="1" applyAlignment="1">
      <alignment horizontal="center"/>
    </xf>
    <xf numFmtId="45" fontId="39" fillId="0" borderId="421" xfId="0" applyNumberFormat="1" applyFont="1" applyBorder="1" applyAlignment="1">
      <alignment horizontal="center"/>
    </xf>
    <xf numFmtId="1" fontId="43" fillId="5" borderId="422" xfId="0" applyNumberFormat="1" applyFont="1" applyFill="1" applyBorder="1" applyAlignment="1">
      <alignment horizontal="center"/>
    </xf>
    <xf numFmtId="21" fontId="39" fillId="0" borderId="423" xfId="0" applyNumberFormat="1" applyFont="1" applyBorder="1" applyAlignment="1">
      <alignment horizontal="center"/>
    </xf>
    <xf numFmtId="169" fontId="39" fillId="0" borderId="424" xfId="0" applyNumberFormat="1" applyFont="1" applyBorder="1" applyAlignment="1">
      <alignment horizontal="center"/>
    </xf>
    <xf numFmtId="45" fontId="39" fillId="0" borderId="425" xfId="0" applyNumberFormat="1" applyFont="1" applyBorder="1" applyAlignment="1">
      <alignment horizontal="center"/>
    </xf>
    <xf numFmtId="1" fontId="39" fillId="0" borderId="426" xfId="0" applyNumberFormat="1" applyFont="1" applyBorder="1" applyAlignment="1">
      <alignment horizontal="center"/>
    </xf>
    <xf numFmtId="1" fontId="40" fillId="0" borderId="425" xfId="0" applyNumberFormat="1" applyFont="1" applyBorder="1" applyAlignment="1">
      <alignment horizontal="center"/>
    </xf>
    <xf numFmtId="45" fontId="39" fillId="0" borderId="426" xfId="0" applyNumberFormat="1" applyFont="1" applyBorder="1" applyAlignment="1">
      <alignment horizontal="center"/>
    </xf>
    <xf numFmtId="1" fontId="43" fillId="5" borderId="427" xfId="0" applyNumberFormat="1" applyFont="1" applyFill="1" applyBorder="1" applyAlignment="1">
      <alignment horizontal="center"/>
    </xf>
    <xf numFmtId="21" fontId="39" fillId="0" borderId="433" xfId="0" applyNumberFormat="1" applyFont="1" applyBorder="1" applyAlignment="1">
      <alignment horizontal="center"/>
    </xf>
    <xf numFmtId="169" fontId="39" fillId="0" borderId="434" xfId="0" applyNumberFormat="1" applyFont="1" applyBorder="1" applyAlignment="1">
      <alignment horizontal="center"/>
    </xf>
    <xf numFmtId="45" fontId="39" fillId="0" borderId="435" xfId="0" applyNumberFormat="1" applyFont="1" applyBorder="1" applyAlignment="1">
      <alignment horizontal="center"/>
    </xf>
    <xf numFmtId="1" fontId="39" fillId="0" borderId="436" xfId="0" applyNumberFormat="1" applyFont="1" applyBorder="1" applyAlignment="1">
      <alignment horizontal="center"/>
    </xf>
    <xf numFmtId="1" fontId="40" fillId="0" borderId="435" xfId="0" applyNumberFormat="1" applyFont="1" applyBorder="1" applyAlignment="1">
      <alignment horizontal="center"/>
    </xf>
    <xf numFmtId="45" fontId="39" fillId="0" borderId="436" xfId="0" applyNumberFormat="1" applyFont="1" applyBorder="1" applyAlignment="1">
      <alignment horizontal="center"/>
    </xf>
    <xf numFmtId="1" fontId="43" fillId="5" borderId="437" xfId="0" applyNumberFormat="1" applyFont="1" applyFill="1" applyBorder="1" applyAlignment="1">
      <alignment horizontal="center"/>
    </xf>
    <xf numFmtId="21" fontId="39" fillId="0" borderId="438" xfId="0" applyNumberFormat="1" applyFont="1" applyBorder="1" applyAlignment="1">
      <alignment horizontal="center"/>
    </xf>
    <xf numFmtId="169" fontId="39" fillId="0" borderId="439" xfId="0" applyNumberFormat="1" applyFont="1" applyBorder="1" applyAlignment="1">
      <alignment horizontal="center"/>
    </xf>
    <xf numFmtId="45" fontId="39" fillId="0" borderId="440" xfId="0" applyNumberFormat="1" applyFont="1" applyBorder="1" applyAlignment="1">
      <alignment horizontal="center"/>
    </xf>
    <xf numFmtId="1" fontId="39" fillId="0" borderId="441" xfId="0" applyNumberFormat="1" applyFont="1" applyBorder="1" applyAlignment="1">
      <alignment horizontal="center"/>
    </xf>
    <xf numFmtId="1" fontId="40" fillId="0" borderId="440" xfId="0" applyNumberFormat="1" applyFont="1" applyBorder="1" applyAlignment="1">
      <alignment horizontal="center"/>
    </xf>
    <xf numFmtId="45" fontId="39" fillId="0" borderId="441" xfId="0" applyNumberFormat="1" applyFont="1" applyBorder="1" applyAlignment="1">
      <alignment horizontal="center"/>
    </xf>
    <xf numFmtId="1" fontId="43" fillId="5" borderId="442" xfId="0" applyNumberFormat="1" applyFont="1" applyFill="1" applyBorder="1" applyAlignment="1">
      <alignment horizontal="center"/>
    </xf>
    <xf numFmtId="21" fontId="39" fillId="0" borderId="441" xfId="0" applyNumberFormat="1" applyFont="1" applyBorder="1" applyAlignment="1">
      <alignment horizontal="center"/>
    </xf>
    <xf numFmtId="169" fontId="39" fillId="0" borderId="440" xfId="0" applyNumberFormat="1" applyFont="1" applyBorder="1" applyAlignment="1">
      <alignment horizontal="center"/>
    </xf>
    <xf numFmtId="21" fontId="39" fillId="0" borderId="447" xfId="0" applyNumberFormat="1" applyFont="1" applyBorder="1" applyAlignment="1">
      <alignment horizontal="center"/>
    </xf>
    <xf numFmtId="169" fontId="39" fillId="0" borderId="448" xfId="0" applyNumberFormat="1" applyFont="1" applyBorder="1" applyAlignment="1">
      <alignment horizontal="center"/>
    </xf>
    <xf numFmtId="45" fontId="39" fillId="0" borderId="448" xfId="0" applyNumberFormat="1" applyFont="1" applyBorder="1" applyAlignment="1">
      <alignment horizontal="center"/>
    </xf>
    <xf numFmtId="1" fontId="39" fillId="0" borderId="447" xfId="0" applyNumberFormat="1" applyFont="1" applyBorder="1" applyAlignment="1">
      <alignment horizontal="center"/>
    </xf>
    <xf numFmtId="1" fontId="40" fillId="0" borderId="448" xfId="0" applyNumberFormat="1" applyFont="1" applyBorder="1" applyAlignment="1">
      <alignment horizontal="center"/>
    </xf>
    <xf numFmtId="45" fontId="39" fillId="0" borderId="447" xfId="0" applyNumberFormat="1" applyFont="1" applyBorder="1" applyAlignment="1">
      <alignment horizontal="center"/>
    </xf>
    <xf numFmtId="1" fontId="43" fillId="5" borderId="449" xfId="0" applyNumberFormat="1" applyFont="1" applyFill="1" applyBorder="1" applyAlignment="1">
      <alignment horizontal="center"/>
    </xf>
    <xf numFmtId="167" fontId="39" fillId="0" borderId="563" xfId="0" applyNumberFormat="1" applyFont="1" applyBorder="1" applyAlignment="1">
      <alignment horizontal="center"/>
    </xf>
    <xf numFmtId="167" fontId="39" fillId="0" borderId="540" xfId="0" applyNumberFormat="1" applyFont="1" applyBorder="1" applyAlignment="1">
      <alignment horizontal="center"/>
    </xf>
    <xf numFmtId="167" fontId="39" fillId="0" borderId="538" xfId="0" applyNumberFormat="1" applyFont="1" applyBorder="1" applyAlignment="1">
      <alignment horizontal="center"/>
    </xf>
    <xf numFmtId="167" fontId="39" fillId="0" borderId="802" xfId="0" applyNumberFormat="1" applyFont="1" applyBorder="1" applyAlignment="1">
      <alignment horizontal="center"/>
    </xf>
    <xf numFmtId="1" fontId="39" fillId="0" borderId="800" xfId="0" applyNumberFormat="1" applyFont="1" applyBorder="1" applyAlignment="1">
      <alignment horizontal="center"/>
    </xf>
    <xf numFmtId="1" fontId="39" fillId="0" borderId="800" xfId="0" applyNumberFormat="1" applyFont="1" applyBorder="1" applyAlignment="1">
      <alignment horizontal="center" vertical="center"/>
    </xf>
    <xf numFmtId="21" fontId="39" fillId="0" borderId="798" xfId="0" applyNumberFormat="1" applyFont="1" applyBorder="1" applyAlignment="1">
      <alignment horizontal="center"/>
    </xf>
    <xf numFmtId="169" fontId="39" fillId="0" borderId="799" xfId="0" applyNumberFormat="1" applyFont="1" applyBorder="1" applyAlignment="1">
      <alignment horizontal="center"/>
    </xf>
    <xf numFmtId="45" fontId="39" fillId="0" borderId="799" xfId="0" applyNumberFormat="1" applyFont="1" applyBorder="1" applyAlignment="1">
      <alignment horizontal="center"/>
    </xf>
    <xf numFmtId="1" fontId="39" fillId="0" borderId="799" xfId="0" applyNumberFormat="1" applyFont="1" applyBorder="1" applyAlignment="1">
      <alignment horizontal="center"/>
    </xf>
    <xf numFmtId="1" fontId="40" fillId="0" borderId="800" xfId="0" applyNumberFormat="1" applyFont="1" applyBorder="1" applyAlignment="1">
      <alignment horizontal="center"/>
    </xf>
    <xf numFmtId="1" fontId="39" fillId="0" borderId="801" xfId="0" applyNumberFormat="1" applyFont="1" applyBorder="1" applyAlignment="1">
      <alignment horizontal="center"/>
    </xf>
    <xf numFmtId="170" fontId="39" fillId="0" borderId="800" xfId="0" applyNumberFormat="1" applyFont="1" applyBorder="1" applyAlignment="1">
      <alignment horizontal="center"/>
    </xf>
    <xf numFmtId="45" fontId="39" fillId="0" borderId="801" xfId="0" applyNumberFormat="1" applyFont="1" applyBorder="1" applyAlignment="1">
      <alignment horizontal="center"/>
    </xf>
    <xf numFmtId="1" fontId="43" fillId="5" borderId="802" xfId="0" applyNumberFormat="1" applyFont="1" applyFill="1" applyBorder="1" applyAlignment="1">
      <alignment horizontal="center"/>
    </xf>
    <xf numFmtId="1" fontId="43" fillId="5" borderId="801" xfId="0" applyNumberFormat="1" applyFont="1" applyFill="1" applyBorder="1" applyAlignment="1">
      <alignment horizontal="center"/>
    </xf>
    <xf numFmtId="2" fontId="39" fillId="0" borderId="800" xfId="0" applyNumberFormat="1" applyFont="1" applyBorder="1" applyAlignment="1">
      <alignment horizontal="center"/>
    </xf>
    <xf numFmtId="1" fontId="39" fillId="0" borderId="802" xfId="0" applyNumberFormat="1" applyFont="1" applyBorder="1" applyAlignment="1">
      <alignment horizontal="center"/>
    </xf>
    <xf numFmtId="21" fontId="39" fillId="5" borderId="431" xfId="0" applyNumberFormat="1" applyFont="1" applyFill="1" applyBorder="1" applyAlignment="1">
      <alignment horizontal="center"/>
    </xf>
    <xf numFmtId="169" fontId="39" fillId="5" borderId="583" xfId="0" applyNumberFormat="1" applyFont="1" applyFill="1" applyBorder="1" applyAlignment="1">
      <alignment horizontal="center"/>
    </xf>
    <xf numFmtId="45" fontId="39" fillId="5" borderId="461" xfId="0" applyNumberFormat="1" applyFont="1" applyFill="1" applyBorder="1" applyAlignment="1">
      <alignment horizontal="center"/>
    </xf>
    <xf numFmtId="1" fontId="39" fillId="0" borderId="569" xfId="0" applyNumberFormat="1" applyFont="1" applyBorder="1" applyAlignment="1">
      <alignment horizontal="center"/>
    </xf>
    <xf numFmtId="1" fontId="39" fillId="0" borderId="60" xfId="0" applyNumberFormat="1" applyFont="1" applyBorder="1" applyAlignment="1">
      <alignment horizontal="center"/>
    </xf>
    <xf numFmtId="167" fontId="39" fillId="0" borderId="442" xfId="0" applyNumberFormat="1" applyFont="1" applyBorder="1" applyAlignment="1">
      <alignment horizontal="center"/>
    </xf>
    <xf numFmtId="21" fontId="39" fillId="5" borderId="441" xfId="0" applyNumberFormat="1" applyFont="1" applyFill="1" applyBorder="1" applyAlignment="1">
      <alignment horizontal="center"/>
    </xf>
    <xf numFmtId="169" fontId="39" fillId="5" borderId="451" xfId="0" applyNumberFormat="1" applyFont="1" applyFill="1" applyBorder="1" applyAlignment="1">
      <alignment horizontal="center"/>
    </xf>
    <xf numFmtId="45" fontId="39" fillId="5" borderId="439" xfId="0" applyNumberFormat="1" applyFont="1" applyFill="1" applyBorder="1" applyAlignment="1">
      <alignment horizontal="center"/>
    </xf>
    <xf numFmtId="1" fontId="39" fillId="5" borderId="439" xfId="0" applyNumberFormat="1" applyFont="1" applyFill="1" applyBorder="1" applyAlignment="1">
      <alignment horizontal="center"/>
    </xf>
    <xf numFmtId="1" fontId="40" fillId="5" borderId="440" xfId="0" applyNumberFormat="1" applyFont="1" applyFill="1" applyBorder="1" applyAlignment="1">
      <alignment horizontal="center"/>
    </xf>
    <xf numFmtId="45" fontId="39" fillId="5" borderId="452" xfId="0" applyNumberFormat="1" applyFont="1" applyFill="1" applyBorder="1" applyAlignment="1">
      <alignment horizontal="center"/>
    </xf>
    <xf numFmtId="1" fontId="43" fillId="5" borderId="453" xfId="0" applyNumberFormat="1" applyFont="1" applyFill="1" applyBorder="1" applyAlignment="1">
      <alignment horizontal="center"/>
    </xf>
    <xf numFmtId="1" fontId="39" fillId="0" borderId="450" xfId="0" applyNumberFormat="1" applyFont="1" applyBorder="1" applyAlignment="1">
      <alignment horizontal="center"/>
    </xf>
    <xf numFmtId="1" fontId="39" fillId="0" borderId="454" xfId="0" applyNumberFormat="1" applyFont="1" applyBorder="1" applyAlignment="1">
      <alignment horizontal="center"/>
    </xf>
    <xf numFmtId="45" fontId="39" fillId="0" borderId="439" xfId="0" applyNumberFormat="1" applyFont="1" applyBorder="1" applyAlignment="1">
      <alignment horizontal="center"/>
    </xf>
    <xf numFmtId="21" fontId="39" fillId="5" borderId="24" xfId="0" applyNumberFormat="1" applyFont="1" applyFill="1" applyBorder="1" applyAlignment="1">
      <alignment horizontal="center"/>
    </xf>
    <xf numFmtId="169" fontId="39" fillId="5" borderId="600" xfId="0" applyNumberFormat="1" applyFont="1" applyFill="1" applyBorder="1" applyAlignment="1">
      <alignment horizontal="center"/>
    </xf>
    <xf numFmtId="1" fontId="40" fillId="5" borderId="167" xfId="0" applyNumberFormat="1" applyFont="1" applyFill="1" applyBorder="1" applyAlignment="1">
      <alignment horizontal="center"/>
    </xf>
    <xf numFmtId="45" fontId="39" fillId="5" borderId="601" xfId="0" applyNumberFormat="1" applyFont="1" applyFill="1" applyBorder="1" applyAlignment="1">
      <alignment horizontal="center"/>
    </xf>
    <xf numFmtId="1" fontId="43" fillId="5" borderId="547" xfId="0" applyNumberFormat="1" applyFont="1" applyFill="1" applyBorder="1" applyAlignment="1">
      <alignment horizontal="center"/>
    </xf>
    <xf numFmtId="45" fontId="39" fillId="5" borderId="602" xfId="0" applyNumberFormat="1" applyFont="1" applyFill="1" applyBorder="1" applyAlignment="1">
      <alignment horizontal="center"/>
    </xf>
    <xf numFmtId="1" fontId="39" fillId="0" borderId="575" xfId="0" applyNumberFormat="1" applyFont="1" applyBorder="1" applyAlignment="1">
      <alignment horizontal="center"/>
    </xf>
    <xf numFmtId="45" fontId="39" fillId="5" borderId="556" xfId="0" applyNumberFormat="1" applyFont="1" applyFill="1" applyBorder="1" applyAlignment="1">
      <alignment horizontal="center"/>
    </xf>
    <xf numFmtId="45" fontId="39" fillId="5" borderId="561" xfId="0" applyNumberFormat="1" applyFont="1" applyFill="1" applyBorder="1" applyAlignment="1">
      <alignment horizontal="center"/>
    </xf>
    <xf numFmtId="167" fontId="39" fillId="0" borderId="302" xfId="0" applyNumberFormat="1" applyFont="1" applyBorder="1" applyAlignment="1">
      <alignment horizontal="center"/>
    </xf>
    <xf numFmtId="1" fontId="39" fillId="0" borderId="290" xfId="0" applyNumberFormat="1" applyFont="1" applyBorder="1" applyAlignment="1">
      <alignment horizontal="center"/>
    </xf>
    <xf numFmtId="1" fontId="39" fillId="0" borderId="290" xfId="0" applyNumberFormat="1" applyFont="1" applyBorder="1" applyAlignment="1">
      <alignment horizontal="center" vertical="center"/>
    </xf>
    <xf numFmtId="21" fontId="39" fillId="5" borderId="292" xfId="0" applyNumberFormat="1" applyFont="1" applyFill="1" applyBorder="1" applyAlignment="1">
      <alignment horizontal="center"/>
    </xf>
    <xf numFmtId="169" fontId="39" fillId="5" borderId="456" xfId="0" applyNumberFormat="1" applyFont="1" applyFill="1" applyBorder="1" applyAlignment="1">
      <alignment horizontal="center"/>
    </xf>
    <xf numFmtId="45" fontId="39" fillId="0" borderId="457" xfId="0" applyNumberFormat="1" applyFont="1" applyBorder="1" applyAlignment="1">
      <alignment horizontal="center"/>
    </xf>
    <xf numFmtId="1" fontId="39" fillId="5" borderId="457" xfId="0" applyNumberFormat="1" applyFont="1" applyFill="1" applyBorder="1" applyAlignment="1">
      <alignment horizontal="center"/>
    </xf>
    <xf numFmtId="1" fontId="40" fillId="5" borderId="293" xfId="0" applyNumberFormat="1" applyFont="1" applyFill="1" applyBorder="1" applyAlignment="1">
      <alignment horizontal="center"/>
    </xf>
    <xf numFmtId="170" fontId="39" fillId="0" borderId="290" xfId="0" applyNumberFormat="1" applyFont="1" applyBorder="1" applyAlignment="1">
      <alignment horizontal="center"/>
    </xf>
    <xf numFmtId="45" fontId="39" fillId="5" borderId="458" xfId="0" applyNumberFormat="1" applyFont="1" applyFill="1" applyBorder="1" applyAlignment="1">
      <alignment horizontal="center"/>
    </xf>
    <xf numFmtId="1" fontId="43" fillId="5" borderId="302" xfId="0" applyNumberFormat="1" applyFont="1" applyFill="1" applyBorder="1" applyAlignment="1">
      <alignment horizontal="center"/>
    </xf>
    <xf numFmtId="1" fontId="39" fillId="0" borderId="455" xfId="0" applyNumberFormat="1" applyFont="1" applyBorder="1" applyAlignment="1">
      <alignment horizontal="center"/>
    </xf>
    <xf numFmtId="167" fontId="39" fillId="16" borderId="116" xfId="0" applyNumberFormat="1" applyFont="1" applyFill="1" applyBorder="1" applyAlignment="1">
      <alignment horizontal="center"/>
    </xf>
    <xf numFmtId="1" fontId="39" fillId="16" borderId="115" xfId="0" applyNumberFormat="1" applyFont="1" applyFill="1" applyBorder="1" applyAlignment="1">
      <alignment horizontal="center"/>
    </xf>
    <xf numFmtId="1" fontId="39" fillId="16" borderId="115" xfId="0" applyNumberFormat="1" applyFont="1" applyFill="1" applyBorder="1" applyAlignment="1">
      <alignment horizontal="center" vertical="center"/>
    </xf>
    <xf numFmtId="21" fontId="39" fillId="16" borderId="24" xfId="0" applyNumberFormat="1" applyFont="1" applyFill="1" applyBorder="1" applyAlignment="1">
      <alignment horizontal="center"/>
    </xf>
    <xf numFmtId="169" fontId="39" fillId="16" borderId="603" xfId="0" applyNumberFormat="1" applyFont="1" applyFill="1" applyBorder="1" applyAlignment="1">
      <alignment horizontal="center"/>
    </xf>
    <xf numFmtId="45" fontId="39" fillId="16" borderId="604" xfId="0" applyNumberFormat="1" applyFont="1" applyFill="1" applyBorder="1" applyAlignment="1">
      <alignment horizontal="center"/>
    </xf>
    <xf numFmtId="1" fontId="39" fillId="16" borderId="604" xfId="0" applyNumberFormat="1" applyFont="1" applyFill="1" applyBorder="1" applyAlignment="1">
      <alignment horizontal="center"/>
    </xf>
    <xf numFmtId="1" fontId="40" fillId="16" borderId="541" xfId="0" applyNumberFormat="1" applyFont="1" applyFill="1" applyBorder="1" applyAlignment="1">
      <alignment horizontal="center"/>
    </xf>
    <xf numFmtId="170" fontId="39" fillId="16" borderId="566" xfId="0" applyNumberFormat="1" applyFont="1" applyFill="1" applyBorder="1" applyAlignment="1">
      <alignment horizontal="center"/>
    </xf>
    <xf numFmtId="45" fontId="39" fillId="16" borderId="601" xfId="0" applyNumberFormat="1" applyFont="1" applyFill="1" applyBorder="1" applyAlignment="1">
      <alignment horizontal="center"/>
    </xf>
    <xf numFmtId="1" fontId="43" fillId="16" borderId="547" xfId="0" applyNumberFormat="1" applyFont="1" applyFill="1" applyBorder="1" applyAlignment="1">
      <alignment horizontal="center"/>
    </xf>
    <xf numFmtId="1" fontId="43" fillId="16" borderId="549" xfId="0" applyNumberFormat="1" applyFont="1" applyFill="1" applyBorder="1" applyAlignment="1">
      <alignment horizontal="center"/>
    </xf>
    <xf numFmtId="1" fontId="43" fillId="16" borderId="577" xfId="0" applyNumberFormat="1" applyFont="1" applyFill="1" applyBorder="1" applyAlignment="1">
      <alignment horizontal="center"/>
    </xf>
    <xf numFmtId="169" fontId="39" fillId="5" borderId="605" xfId="0" applyNumberFormat="1" applyFont="1" applyFill="1" applyBorder="1" applyAlignment="1">
      <alignment horizontal="center"/>
    </xf>
    <xf numFmtId="167" fontId="39" fillId="0" borderId="180" xfId="0" applyNumberFormat="1" applyFont="1" applyBorder="1" applyAlignment="1">
      <alignment horizontal="center"/>
    </xf>
    <xf numFmtId="1" fontId="39" fillId="0" borderId="222" xfId="0" applyNumberFormat="1" applyFont="1" applyBorder="1" applyAlignment="1">
      <alignment horizontal="center"/>
    </xf>
    <xf numFmtId="1" fontId="39" fillId="0" borderId="222" xfId="0" applyNumberFormat="1" applyFont="1" applyBorder="1" applyAlignment="1">
      <alignment horizontal="center" vertical="center"/>
    </xf>
    <xf numFmtId="21" fontId="39" fillId="5" borderId="223" xfId="0" applyNumberFormat="1" applyFont="1" applyFill="1" applyBorder="1" applyAlignment="1">
      <alignment horizontal="center"/>
    </xf>
    <xf numFmtId="169" fontId="39" fillId="5" borderId="224" xfId="0" applyNumberFormat="1" applyFont="1" applyFill="1" applyBorder="1" applyAlignment="1">
      <alignment horizontal="center"/>
    </xf>
    <xf numFmtId="45" fontId="39" fillId="0" borderId="225" xfId="0" applyNumberFormat="1" applyFont="1" applyBorder="1" applyAlignment="1">
      <alignment horizontal="center"/>
    </xf>
    <xf numFmtId="1" fontId="39" fillId="5" borderId="225" xfId="0" applyNumberFormat="1" applyFont="1" applyFill="1" applyBorder="1" applyAlignment="1">
      <alignment horizontal="center"/>
    </xf>
    <xf numFmtId="1" fontId="40" fillId="5" borderId="221" xfId="0" applyNumberFormat="1" applyFont="1" applyFill="1" applyBorder="1" applyAlignment="1">
      <alignment horizontal="center"/>
    </xf>
    <xf numFmtId="170" fontId="39" fillId="0" borderId="222" xfId="0" applyNumberFormat="1" applyFont="1" applyBorder="1" applyAlignment="1">
      <alignment horizontal="center"/>
    </xf>
    <xf numFmtId="45" fontId="39" fillId="5" borderId="226" xfId="0" applyNumberFormat="1" applyFont="1" applyFill="1" applyBorder="1" applyAlignment="1">
      <alignment horizontal="center"/>
    </xf>
    <xf numFmtId="1" fontId="43" fillId="5" borderId="227" xfId="0" applyNumberFormat="1" applyFont="1" applyFill="1" applyBorder="1" applyAlignment="1">
      <alignment horizontal="center"/>
    </xf>
    <xf numFmtId="1" fontId="39" fillId="0" borderId="220" xfId="0" applyNumberFormat="1" applyFont="1" applyBorder="1" applyAlignment="1">
      <alignment horizontal="center"/>
    </xf>
    <xf numFmtId="1" fontId="39" fillId="0" borderId="210" xfId="0" applyNumberFormat="1" applyFont="1" applyBorder="1" applyAlignment="1">
      <alignment horizontal="center"/>
    </xf>
    <xf numFmtId="167" fontId="39" fillId="0" borderId="454" xfId="0" applyNumberFormat="1" applyFont="1" applyBorder="1" applyAlignment="1">
      <alignment horizontal="center"/>
    </xf>
    <xf numFmtId="1" fontId="39" fillId="0" borderId="455" xfId="0" applyNumberFormat="1" applyFont="1" applyBorder="1" applyAlignment="1">
      <alignment horizontal="center" vertical="center"/>
    </xf>
    <xf numFmtId="21" fontId="39" fillId="5" borderId="445" xfId="0" applyNumberFormat="1" applyFont="1" applyFill="1" applyBorder="1" applyAlignment="1">
      <alignment horizontal="center"/>
    </xf>
    <xf numFmtId="169" fontId="39" fillId="5" borderId="462" xfId="0" applyNumberFormat="1" applyFont="1" applyFill="1" applyBorder="1" applyAlignment="1">
      <alignment horizontal="center"/>
    </xf>
    <xf numFmtId="45" fontId="39" fillId="0" borderId="443" xfId="0" applyNumberFormat="1" applyFont="1" applyBorder="1" applyAlignment="1">
      <alignment horizontal="center"/>
    </xf>
    <xf numFmtId="1" fontId="39" fillId="5" borderId="443" xfId="0" applyNumberFormat="1" applyFont="1" applyFill="1" applyBorder="1" applyAlignment="1">
      <alignment horizontal="center"/>
    </xf>
    <xf numFmtId="1" fontId="40" fillId="5" borderId="444" xfId="0" applyNumberFormat="1" applyFont="1" applyFill="1" applyBorder="1" applyAlignment="1">
      <alignment horizontal="center"/>
    </xf>
    <xf numFmtId="170" fontId="39" fillId="0" borderId="459" xfId="0" applyNumberFormat="1" applyFont="1" applyBorder="1" applyAlignment="1">
      <alignment horizontal="center"/>
    </xf>
    <xf numFmtId="45" fontId="39" fillId="5" borderId="463" xfId="0" applyNumberFormat="1" applyFont="1" applyFill="1" applyBorder="1" applyAlignment="1">
      <alignment horizontal="center"/>
    </xf>
    <xf numFmtId="1" fontId="43" fillId="5" borderId="464" xfId="0" applyNumberFormat="1" applyFont="1" applyFill="1" applyBorder="1" applyAlignment="1">
      <alignment horizontal="center"/>
    </xf>
    <xf numFmtId="1" fontId="43" fillId="5" borderId="465" xfId="0" applyNumberFormat="1" applyFont="1" applyFill="1" applyBorder="1" applyAlignment="1">
      <alignment horizontal="center"/>
    </xf>
    <xf numFmtId="1" fontId="39" fillId="0" borderId="459" xfId="0" applyNumberFormat="1" applyFont="1" applyBorder="1" applyAlignment="1">
      <alignment horizontal="center"/>
    </xf>
    <xf numFmtId="1" fontId="39" fillId="0" borderId="464" xfId="0" applyNumberFormat="1" applyFont="1" applyBorder="1" applyAlignment="1">
      <alignment horizontal="center"/>
    </xf>
    <xf numFmtId="169" fontId="39" fillId="5" borderId="466" xfId="0" applyNumberFormat="1" applyFont="1" applyFill="1" applyBorder="1" applyAlignment="1">
      <alignment horizontal="center"/>
    </xf>
    <xf numFmtId="45" fontId="39" fillId="0" borderId="467" xfId="0" applyNumberFormat="1" applyFont="1" applyBorder="1" applyAlignment="1">
      <alignment horizontal="center"/>
    </xf>
    <xf numFmtId="1" fontId="39" fillId="5" borderId="467" xfId="0" applyNumberFormat="1" applyFont="1" applyFill="1" applyBorder="1" applyAlignment="1">
      <alignment horizontal="center"/>
    </xf>
    <xf numFmtId="167" fontId="39" fillId="16" borderId="544" xfId="0" applyNumberFormat="1" applyFont="1" applyFill="1" applyBorder="1" applyAlignment="1">
      <alignment horizontal="center"/>
    </xf>
    <xf numFmtId="1" fontId="39" fillId="16" borderId="538" xfId="0" applyNumberFormat="1" applyFont="1" applyFill="1" applyBorder="1" applyAlignment="1">
      <alignment horizontal="center"/>
    </xf>
    <xf numFmtId="1" fontId="39" fillId="16" borderId="538" xfId="0" applyNumberFormat="1" applyFont="1" applyFill="1" applyBorder="1" applyAlignment="1">
      <alignment horizontal="center" vertical="center"/>
    </xf>
    <xf numFmtId="21" fontId="39" fillId="16" borderId="559" xfId="0" applyNumberFormat="1" applyFont="1" applyFill="1" applyBorder="1" applyAlignment="1">
      <alignment horizontal="center"/>
    </xf>
    <xf numFmtId="169" fontId="39" fillId="16" borderId="560" xfId="0" applyNumberFormat="1" applyFont="1" applyFill="1" applyBorder="1" applyAlignment="1">
      <alignment horizontal="center"/>
    </xf>
    <xf numFmtId="45" fontId="39" fillId="16" borderId="543" xfId="0" applyNumberFormat="1" applyFont="1" applyFill="1" applyBorder="1" applyAlignment="1">
      <alignment horizontal="center"/>
    </xf>
    <xf numFmtId="1" fontId="39" fillId="16" borderId="559" xfId="0" applyNumberFormat="1" applyFont="1" applyFill="1" applyBorder="1" applyAlignment="1">
      <alignment horizontal="center"/>
    </xf>
    <xf numFmtId="170" fontId="39" fillId="16" borderId="538" xfId="0" applyNumberFormat="1" applyFont="1" applyFill="1" applyBorder="1" applyAlignment="1">
      <alignment horizontal="center"/>
    </xf>
    <xf numFmtId="45" fontId="39" fillId="16" borderId="561" xfId="0" applyNumberFormat="1" applyFont="1" applyFill="1" applyBorder="1" applyAlignment="1">
      <alignment horizontal="center"/>
    </xf>
    <xf numFmtId="1" fontId="43" fillId="16" borderId="131" xfId="0" applyNumberFormat="1" applyFont="1" applyFill="1" applyBorder="1" applyAlignment="1">
      <alignment horizontal="center"/>
    </xf>
    <xf numFmtId="1" fontId="43" fillId="16" borderId="576" xfId="0" applyNumberFormat="1" applyFont="1" applyFill="1" applyBorder="1" applyAlignment="1">
      <alignment horizontal="center"/>
    </xf>
    <xf numFmtId="1" fontId="43" fillId="16" borderId="875" xfId="0" applyNumberFormat="1" applyFont="1" applyFill="1" applyBorder="1" applyAlignment="1">
      <alignment horizontal="center"/>
    </xf>
    <xf numFmtId="170" fontId="39" fillId="0" borderId="455" xfId="0" applyNumberFormat="1" applyFont="1" applyBorder="1" applyAlignment="1">
      <alignment horizontal="center"/>
    </xf>
    <xf numFmtId="167" fontId="39" fillId="0" borderId="464" xfId="0" applyNumberFormat="1" applyFont="1" applyBorder="1" applyAlignment="1">
      <alignment horizontal="center"/>
    </xf>
    <xf numFmtId="1" fontId="39" fillId="0" borderId="459" xfId="0" applyNumberFormat="1" applyFont="1" applyBorder="1" applyAlignment="1">
      <alignment horizontal="center" vertical="center"/>
    </xf>
    <xf numFmtId="167" fontId="39" fillId="5" borderId="454" xfId="0" applyNumberFormat="1" applyFont="1" applyFill="1" applyBorder="1" applyAlignment="1">
      <alignment horizontal="center"/>
    </xf>
    <xf numFmtId="1" fontId="39" fillId="5" borderId="459" xfId="0" applyNumberFormat="1" applyFont="1" applyFill="1" applyBorder="1" applyAlignment="1">
      <alignment horizontal="center"/>
    </xf>
    <xf numFmtId="1" fontId="39" fillId="5" borderId="459" xfId="0" applyNumberFormat="1" applyFont="1" applyFill="1" applyBorder="1" applyAlignment="1">
      <alignment horizontal="center" vertical="center"/>
    </xf>
    <xf numFmtId="45" fontId="39" fillId="5" borderId="467" xfId="0" applyNumberFormat="1" applyFont="1" applyFill="1" applyBorder="1" applyAlignment="1">
      <alignment horizontal="center"/>
    </xf>
    <xf numFmtId="170" fontId="39" fillId="5" borderId="459" xfId="0" applyNumberFormat="1" applyFont="1" applyFill="1" applyBorder="1" applyAlignment="1">
      <alignment horizontal="center"/>
    </xf>
    <xf numFmtId="1" fontId="39" fillId="5" borderId="222" xfId="0" applyNumberFormat="1" applyFont="1" applyFill="1" applyBorder="1" applyAlignment="1">
      <alignment horizontal="center"/>
    </xf>
    <xf numFmtId="1" fontId="39" fillId="5" borderId="222" xfId="0" applyNumberFormat="1" applyFont="1" applyFill="1" applyBorder="1" applyAlignment="1">
      <alignment horizontal="center" vertical="center"/>
    </xf>
    <xf numFmtId="21" fontId="39" fillId="5" borderId="231" xfId="0" applyNumberFormat="1" applyFont="1" applyFill="1" applyBorder="1" applyAlignment="1">
      <alignment horizontal="center"/>
    </xf>
    <xf numFmtId="169" fontId="39" fillId="5" borderId="232" xfId="0" applyNumberFormat="1" applyFont="1" applyFill="1" applyBorder="1" applyAlignment="1">
      <alignment horizontal="center"/>
    </xf>
    <xf numFmtId="45" fontId="39" fillId="0" borderId="233" xfId="0" applyNumberFormat="1" applyFont="1" applyBorder="1" applyAlignment="1">
      <alignment horizontal="center"/>
    </xf>
    <xf numFmtId="1" fontId="39" fillId="5" borderId="233" xfId="0" applyNumberFormat="1" applyFont="1" applyFill="1" applyBorder="1" applyAlignment="1">
      <alignment horizontal="center"/>
    </xf>
    <xf numFmtId="1" fontId="40" fillId="5" borderId="229" xfId="0" applyNumberFormat="1" applyFont="1" applyFill="1" applyBorder="1" applyAlignment="1">
      <alignment horizontal="center"/>
    </xf>
    <xf numFmtId="45" fontId="39" fillId="5" borderId="234" xfId="0" applyNumberFormat="1" applyFont="1" applyFill="1" applyBorder="1" applyAlignment="1">
      <alignment horizontal="center"/>
    </xf>
    <xf numFmtId="1" fontId="43" fillId="5" borderId="235" xfId="0" applyNumberFormat="1" applyFont="1" applyFill="1" applyBorder="1" applyAlignment="1">
      <alignment horizontal="center"/>
    </xf>
    <xf numFmtId="1" fontId="43" fillId="5" borderId="236" xfId="0" applyNumberFormat="1" applyFont="1" applyFill="1" applyBorder="1" applyAlignment="1">
      <alignment horizontal="center"/>
    </xf>
    <xf numFmtId="1" fontId="39" fillId="0" borderId="230" xfId="0" applyNumberFormat="1" applyFont="1" applyBorder="1" applyAlignment="1">
      <alignment horizontal="center"/>
    </xf>
    <xf numFmtId="1" fontId="39" fillId="0" borderId="228" xfId="0" applyNumberFormat="1" applyFont="1" applyBorder="1" applyAlignment="1">
      <alignment horizontal="center"/>
    </xf>
    <xf numFmtId="1" fontId="40" fillId="16" borderId="543" xfId="0" applyNumberFormat="1" applyFont="1" applyFill="1" applyBorder="1" applyAlignment="1">
      <alignment horizontal="center"/>
    </xf>
    <xf numFmtId="21" fontId="39" fillId="0" borderId="231" xfId="0" applyNumberFormat="1" applyFont="1" applyBorder="1" applyAlignment="1">
      <alignment horizontal="center"/>
    </xf>
    <xf numFmtId="169" fontId="39" fillId="0" borderId="232" xfId="0" applyNumberFormat="1" applyFont="1" applyBorder="1" applyAlignment="1">
      <alignment horizontal="center"/>
    </xf>
    <xf numFmtId="1" fontId="39" fillId="0" borderId="233" xfId="0" applyNumberFormat="1" applyFont="1" applyBorder="1" applyAlignment="1">
      <alignment horizontal="center"/>
    </xf>
    <xf numFmtId="1" fontId="40" fillId="0" borderId="229" xfId="0" applyNumberFormat="1" applyFont="1" applyBorder="1" applyAlignment="1">
      <alignment horizontal="center"/>
    </xf>
    <xf numFmtId="45" fontId="39" fillId="0" borderId="234" xfId="0" applyNumberFormat="1" applyFont="1" applyBorder="1" applyAlignment="1">
      <alignment horizontal="center"/>
    </xf>
    <xf numFmtId="21" fontId="39" fillId="0" borderId="445" xfId="0" applyNumberFormat="1" applyFont="1" applyBorder="1" applyAlignment="1">
      <alignment horizontal="center"/>
    </xf>
    <xf numFmtId="169" fontId="39" fillId="0" borderId="466" xfId="0" applyNumberFormat="1" applyFont="1" applyBorder="1" applyAlignment="1">
      <alignment horizontal="center"/>
    </xf>
    <xf numFmtId="1" fontId="39" fillId="0" borderId="467" xfId="0" applyNumberFormat="1" applyFont="1" applyBorder="1" applyAlignment="1">
      <alignment horizontal="center"/>
    </xf>
    <xf numFmtId="1" fontId="40" fillId="0" borderId="444" xfId="0" applyNumberFormat="1" applyFont="1" applyBorder="1" applyAlignment="1">
      <alignment horizontal="center"/>
    </xf>
    <xf numFmtId="45" fontId="39" fillId="0" borderId="463" xfId="0" applyNumberFormat="1" applyFont="1" applyBorder="1" applyAlignment="1">
      <alignment horizontal="center"/>
    </xf>
    <xf numFmtId="169" fontId="39" fillId="0" borderId="605" xfId="0" applyNumberFormat="1" applyFont="1" applyBorder="1" applyAlignment="1">
      <alignment horizontal="center"/>
    </xf>
    <xf numFmtId="45" fontId="39" fillId="0" borderId="602" xfId="0" applyNumberFormat="1" applyFont="1" applyBorder="1" applyAlignment="1">
      <alignment horizontal="center"/>
    </xf>
    <xf numFmtId="169" fontId="39" fillId="0" borderId="479" xfId="0" applyNumberFormat="1" applyFont="1" applyBorder="1" applyAlignment="1">
      <alignment horizontal="center"/>
    </xf>
    <xf numFmtId="45" fontId="39" fillId="0" borderId="556" xfId="0" applyNumberFormat="1" applyFont="1" applyBorder="1" applyAlignment="1">
      <alignment horizontal="center"/>
    </xf>
    <xf numFmtId="169" fontId="39" fillId="0" borderId="560" xfId="0" applyNumberFormat="1" applyFont="1" applyBorder="1" applyAlignment="1">
      <alignment horizontal="center"/>
    </xf>
    <xf numFmtId="45" fontId="39" fillId="0" borderId="561" xfId="0" applyNumberFormat="1" applyFont="1" applyBorder="1" applyAlignment="1">
      <alignment horizontal="center"/>
    </xf>
    <xf numFmtId="169" fontId="39" fillId="0" borderId="583" xfId="0" applyNumberFormat="1" applyFont="1" applyBorder="1" applyAlignment="1">
      <alignment horizontal="center"/>
    </xf>
    <xf numFmtId="45" fontId="39" fillId="0" borderId="461" xfId="0" applyNumberFormat="1" applyFont="1" applyBorder="1" applyAlignment="1">
      <alignment horizontal="center"/>
    </xf>
    <xf numFmtId="169" fontId="39" fillId="5" borderId="237" xfId="0" applyNumberFormat="1" applyFont="1" applyFill="1" applyBorder="1" applyAlignment="1">
      <alignment horizontal="center"/>
    </xf>
    <xf numFmtId="1" fontId="39" fillId="0" borderId="562" xfId="0" applyNumberFormat="1" applyFont="1" applyBorder="1" applyAlignment="1">
      <alignment horizontal="center" vertical="center"/>
    </xf>
    <xf numFmtId="45" fontId="39" fillId="5" borderId="610" xfId="0" applyNumberFormat="1" applyFont="1" applyFill="1" applyBorder="1" applyAlignment="1">
      <alignment horizontal="center"/>
    </xf>
    <xf numFmtId="45" fontId="39" fillId="5" borderId="608" xfId="0" applyNumberFormat="1" applyFont="1" applyFill="1" applyBorder="1" applyAlignment="1">
      <alignment horizontal="center"/>
    </xf>
    <xf numFmtId="45" fontId="39" fillId="5" borderId="609" xfId="0" applyNumberFormat="1" applyFont="1" applyFill="1" applyBorder="1" applyAlignment="1">
      <alignment horizontal="center"/>
    </xf>
    <xf numFmtId="1" fontId="39" fillId="0" borderId="238" xfId="0" applyNumberFormat="1" applyFont="1" applyBorder="1" applyAlignment="1">
      <alignment horizontal="center"/>
    </xf>
    <xf numFmtId="1" fontId="39" fillId="0" borderId="238" xfId="0" applyNumberFormat="1" applyFont="1" applyBorder="1" applyAlignment="1">
      <alignment horizontal="center" vertical="center"/>
    </xf>
    <xf numFmtId="1" fontId="39" fillId="0" borderId="235" xfId="0" applyNumberFormat="1" applyFont="1" applyBorder="1" applyAlignment="1">
      <alignment horizontal="center"/>
    </xf>
    <xf numFmtId="1" fontId="39" fillId="0" borderId="235" xfId="0" applyNumberFormat="1" applyFont="1" applyBorder="1" applyAlignment="1">
      <alignment horizontal="center" vertical="center"/>
    </xf>
    <xf numFmtId="1" fontId="39" fillId="0" borderId="454" xfId="0" applyNumberFormat="1" applyFont="1" applyBorder="1" applyAlignment="1">
      <alignment horizontal="center" vertical="center"/>
    </xf>
    <xf numFmtId="1" fontId="39" fillId="0" borderId="606" xfId="0" applyNumberFormat="1" applyFont="1" applyBorder="1" applyAlignment="1">
      <alignment horizontal="center"/>
    </xf>
    <xf numFmtId="1" fontId="39" fillId="0" borderId="606" xfId="0" applyNumberFormat="1" applyFont="1" applyBorder="1" applyAlignment="1">
      <alignment horizontal="center" vertical="center"/>
    </xf>
    <xf numFmtId="167" fontId="39" fillId="16" borderId="454" xfId="0" applyNumberFormat="1" applyFont="1" applyFill="1" applyBorder="1" applyAlignment="1">
      <alignment horizontal="center"/>
    </xf>
    <xf numFmtId="1" fontId="39" fillId="16" borderId="455" xfId="0" applyNumberFormat="1" applyFont="1" applyFill="1" applyBorder="1" applyAlignment="1">
      <alignment horizontal="center"/>
    </xf>
    <xf numFmtId="1" fontId="39" fillId="16" borderId="455" xfId="0" applyNumberFormat="1" applyFont="1" applyFill="1" applyBorder="1" applyAlignment="1">
      <alignment horizontal="center" vertical="center"/>
    </xf>
    <xf numFmtId="21" fontId="39" fillId="16" borderId="471" xfId="0" applyNumberFormat="1" applyFont="1" applyFill="1" applyBorder="1" applyAlignment="1">
      <alignment horizontal="center"/>
    </xf>
    <xf numFmtId="169" fontId="39" fillId="16" borderId="472" xfId="0" applyNumberFormat="1" applyFont="1" applyFill="1" applyBorder="1" applyAlignment="1">
      <alignment horizontal="center"/>
    </xf>
    <xf numFmtId="45" fontId="39" fillId="16" borderId="473" xfId="0" applyNumberFormat="1" applyFont="1" applyFill="1" applyBorder="1" applyAlignment="1">
      <alignment horizontal="center"/>
    </xf>
    <xf numFmtId="1" fontId="39" fillId="16" borderId="473" xfId="0" applyNumberFormat="1" applyFont="1" applyFill="1" applyBorder="1" applyAlignment="1">
      <alignment horizontal="center"/>
    </xf>
    <xf numFmtId="1" fontId="40" fillId="16" borderId="470" xfId="0" applyNumberFormat="1" applyFont="1" applyFill="1" applyBorder="1" applyAlignment="1">
      <alignment horizontal="center"/>
    </xf>
    <xf numFmtId="170" fontId="39" fillId="16" borderId="474" xfId="0" applyNumberFormat="1" applyFont="1" applyFill="1" applyBorder="1" applyAlignment="1">
      <alignment horizontal="center"/>
    </xf>
    <xf numFmtId="45" fontId="39" fillId="16" borderId="475" xfId="0" applyNumberFormat="1" applyFont="1" applyFill="1" applyBorder="1" applyAlignment="1">
      <alignment horizontal="center"/>
    </xf>
    <xf numFmtId="1" fontId="43" fillId="16" borderId="476" xfId="0" applyNumberFormat="1" applyFont="1" applyFill="1" applyBorder="1" applyAlignment="1">
      <alignment horizontal="center"/>
    </xf>
    <xf numFmtId="1" fontId="43" fillId="16" borderId="477" xfId="0" applyNumberFormat="1" applyFont="1" applyFill="1" applyBorder="1" applyAlignment="1">
      <alignment horizontal="center"/>
    </xf>
    <xf numFmtId="1" fontId="39" fillId="0" borderId="474" xfId="0" applyNumberFormat="1" applyFont="1" applyBorder="1" applyAlignment="1">
      <alignment horizontal="center"/>
    </xf>
    <xf numFmtId="1" fontId="39" fillId="0" borderId="476" xfId="0" applyNumberFormat="1" applyFont="1" applyBorder="1" applyAlignment="1">
      <alignment horizontal="center"/>
    </xf>
    <xf numFmtId="167" fontId="39" fillId="0" borderId="690" xfId="0" applyNumberFormat="1" applyFont="1" applyBorder="1" applyAlignment="1">
      <alignment horizontal="center"/>
    </xf>
    <xf numFmtId="167" fontId="39" fillId="0" borderId="689" xfId="0" applyNumberFormat="1" applyFont="1" applyBorder="1" applyAlignment="1">
      <alignment horizontal="center"/>
    </xf>
    <xf numFmtId="1" fontId="39" fillId="0" borderId="244" xfId="0" applyNumberFormat="1" applyFont="1" applyBorder="1" applyAlignment="1">
      <alignment horizontal="center"/>
    </xf>
    <xf numFmtId="1" fontId="39" fillId="0" borderId="244" xfId="0" applyNumberFormat="1" applyFont="1" applyBorder="1" applyAlignment="1">
      <alignment horizontal="center" vertical="center"/>
    </xf>
    <xf numFmtId="45" fontId="39" fillId="0" borderId="252" xfId="0" applyNumberFormat="1" applyFont="1" applyBorder="1" applyAlignment="1">
      <alignment horizontal="center"/>
    </xf>
    <xf numFmtId="1" fontId="39" fillId="5" borderId="252" xfId="0" applyNumberFormat="1" applyFont="1" applyFill="1" applyBorder="1" applyAlignment="1">
      <alignment horizontal="center"/>
    </xf>
    <xf numFmtId="170" fontId="39" fillId="0" borderId="244" xfId="0" applyNumberFormat="1" applyFont="1" applyBorder="1" applyAlignment="1">
      <alignment horizontal="center"/>
    </xf>
    <xf numFmtId="21" fontId="39" fillId="5" borderId="550" xfId="0" applyNumberFormat="1" applyFont="1" applyFill="1" applyBorder="1" applyAlignment="1">
      <alignment horizontal="center"/>
    </xf>
    <xf numFmtId="169" fontId="39" fillId="5" borderId="551" xfId="0" applyNumberFormat="1" applyFont="1" applyFill="1" applyBorder="1" applyAlignment="1">
      <alignment horizontal="center"/>
    </xf>
    <xf numFmtId="45" fontId="39" fillId="0" borderId="552" xfId="0" applyNumberFormat="1" applyFont="1" applyBorder="1" applyAlignment="1">
      <alignment horizontal="center"/>
    </xf>
    <xf numFmtId="1" fontId="39" fillId="5" borderId="552" xfId="0" applyNumberFormat="1" applyFont="1" applyFill="1" applyBorder="1" applyAlignment="1">
      <alignment horizontal="center"/>
    </xf>
    <xf numFmtId="170" fontId="39" fillId="0" borderId="542" xfId="0" applyNumberFormat="1" applyFont="1" applyBorder="1" applyAlignment="1">
      <alignment horizontal="center"/>
    </xf>
    <xf numFmtId="45" fontId="39" fillId="5" borderId="553" xfId="0" applyNumberFormat="1" applyFont="1" applyFill="1" applyBorder="1" applyAlignment="1">
      <alignment horizontal="center"/>
    </xf>
    <xf numFmtId="1" fontId="43" fillId="5" borderId="549" xfId="0" applyNumberFormat="1" applyFont="1" applyFill="1" applyBorder="1" applyAlignment="1">
      <alignment horizontal="center"/>
    </xf>
    <xf numFmtId="1" fontId="43" fillId="5" borderId="654" xfId="0" applyNumberFormat="1" applyFont="1" applyFill="1" applyBorder="1" applyAlignment="1">
      <alignment horizontal="center"/>
    </xf>
    <xf numFmtId="1" fontId="43" fillId="5" borderId="689" xfId="0" applyNumberFormat="1" applyFont="1" applyFill="1" applyBorder="1" applyAlignment="1">
      <alignment horizontal="center"/>
    </xf>
    <xf numFmtId="169" fontId="39" fillId="5" borderId="607" xfId="0" applyNumberFormat="1" applyFont="1" applyFill="1" applyBorder="1" applyAlignment="1">
      <alignment horizontal="center"/>
    </xf>
    <xf numFmtId="45" fontId="39" fillId="0" borderId="604" xfId="0" applyNumberFormat="1" applyFont="1" applyBorder="1" applyAlignment="1">
      <alignment horizontal="center"/>
    </xf>
    <xf numFmtId="1" fontId="39" fillId="5" borderId="604" xfId="0" applyNumberFormat="1" applyFont="1" applyFill="1" applyBorder="1" applyAlignment="1">
      <alignment horizontal="center"/>
    </xf>
    <xf numFmtId="1" fontId="39" fillId="0" borderId="259" xfId="0" applyNumberFormat="1" applyFont="1" applyBorder="1" applyAlignment="1">
      <alignment horizontal="center"/>
    </xf>
    <xf numFmtId="1" fontId="39" fillId="0" borderId="259" xfId="0" applyNumberFormat="1" applyFont="1" applyBorder="1" applyAlignment="1">
      <alignment horizontal="center" vertical="center"/>
    </xf>
    <xf numFmtId="21" fontId="39" fillId="5" borderId="261" xfId="0" applyNumberFormat="1" applyFont="1" applyFill="1" applyBorder="1" applyAlignment="1">
      <alignment horizontal="center"/>
    </xf>
    <xf numFmtId="169" fontId="39" fillId="5" borderId="262" xfId="0" applyNumberFormat="1" applyFont="1" applyFill="1" applyBorder="1" applyAlignment="1">
      <alignment horizontal="center"/>
    </xf>
    <xf numFmtId="45" fontId="39" fillId="0" borderId="263" xfId="0" applyNumberFormat="1" applyFont="1" applyBorder="1" applyAlignment="1">
      <alignment horizontal="center"/>
    </xf>
    <xf numFmtId="1" fontId="39" fillId="5" borderId="263" xfId="0" applyNumberFormat="1" applyFont="1" applyFill="1" applyBorder="1" applyAlignment="1">
      <alignment horizontal="center"/>
    </xf>
    <xf numFmtId="1" fontId="40" fillId="5" borderId="260" xfId="0" applyNumberFormat="1" applyFont="1" applyFill="1" applyBorder="1" applyAlignment="1">
      <alignment horizontal="center"/>
    </xf>
    <xf numFmtId="1" fontId="39" fillId="5" borderId="261" xfId="0" applyNumberFormat="1" applyFont="1" applyFill="1" applyBorder="1" applyAlignment="1">
      <alignment horizontal="center"/>
    </xf>
    <xf numFmtId="170" fontId="39" fillId="0" borderId="259" xfId="0" applyNumberFormat="1" applyFont="1" applyBorder="1" applyAlignment="1">
      <alignment horizontal="center"/>
    </xf>
    <xf numFmtId="45" fontId="39" fillId="5" borderId="264" xfId="0" applyNumberFormat="1" applyFont="1" applyFill="1" applyBorder="1" applyAlignment="1">
      <alignment horizontal="center"/>
    </xf>
    <xf numFmtId="167" fontId="39" fillId="0" borderId="168" xfId="0" applyNumberFormat="1" applyFont="1" applyBorder="1" applyAlignment="1">
      <alignment horizontal="center"/>
    </xf>
    <xf numFmtId="1" fontId="39" fillId="0" borderId="245" xfId="0" applyNumberFormat="1" applyFont="1" applyBorder="1" applyAlignment="1">
      <alignment horizontal="center"/>
    </xf>
    <xf numFmtId="1" fontId="39" fillId="0" borderId="245" xfId="0" applyNumberFormat="1" applyFont="1" applyBorder="1" applyAlignment="1">
      <alignment horizontal="center" vertical="center"/>
    </xf>
    <xf numFmtId="21" fontId="39" fillId="5" borderId="266" xfId="0" applyNumberFormat="1" applyFont="1" applyFill="1" applyBorder="1" applyAlignment="1">
      <alignment horizontal="center"/>
    </xf>
    <xf numFmtId="169" fontId="39" fillId="5" borderId="267" xfId="0" applyNumberFormat="1" applyFont="1" applyFill="1" applyBorder="1" applyAlignment="1">
      <alignment horizontal="center"/>
    </xf>
    <xf numFmtId="45" fontId="39" fillId="0" borderId="268" xfId="0" applyNumberFormat="1" applyFont="1" applyBorder="1" applyAlignment="1">
      <alignment horizontal="center"/>
    </xf>
    <xf numFmtId="1" fontId="39" fillId="5" borderId="268" xfId="0" applyNumberFormat="1" applyFont="1" applyFill="1" applyBorder="1" applyAlignment="1">
      <alignment horizontal="center"/>
    </xf>
    <xf numFmtId="1" fontId="40" fillId="5" borderId="265" xfId="0" applyNumberFormat="1" applyFont="1" applyFill="1" applyBorder="1" applyAlignment="1">
      <alignment horizontal="center"/>
    </xf>
    <xf numFmtId="1" fontId="39" fillId="5" borderId="266" xfId="0" applyNumberFormat="1" applyFont="1" applyFill="1" applyBorder="1" applyAlignment="1">
      <alignment horizontal="center"/>
    </xf>
    <xf numFmtId="170" fontId="39" fillId="0" borderId="245" xfId="0" applyNumberFormat="1" applyFont="1" applyBorder="1" applyAlignment="1">
      <alignment horizontal="center"/>
    </xf>
    <xf numFmtId="45" fontId="39" fillId="5" borderId="269" xfId="0" applyNumberFormat="1" applyFont="1" applyFill="1" applyBorder="1" applyAlignment="1">
      <alignment horizontal="center"/>
    </xf>
    <xf numFmtId="1" fontId="43" fillId="5" borderId="253" xfId="0" applyNumberFormat="1" applyFont="1" applyFill="1" applyBorder="1" applyAlignment="1">
      <alignment horizontal="center"/>
    </xf>
    <xf numFmtId="1" fontId="43" fillId="5" borderId="270" xfId="0" applyNumberFormat="1" applyFont="1" applyFill="1" applyBorder="1" applyAlignment="1">
      <alignment horizontal="center"/>
    </xf>
    <xf numFmtId="1" fontId="39" fillId="0" borderId="253" xfId="0" applyNumberFormat="1" applyFont="1" applyBorder="1" applyAlignment="1">
      <alignment horizontal="center"/>
    </xf>
    <xf numFmtId="167" fontId="39" fillId="0" borderId="154" xfId="0" applyNumberFormat="1" applyFont="1" applyBorder="1" applyAlignment="1">
      <alignment horizontal="center"/>
    </xf>
    <xf numFmtId="21" fontId="39" fillId="5" borderId="149" xfId="0" applyNumberFormat="1" applyFont="1" applyFill="1" applyBorder="1" applyAlignment="1">
      <alignment horizontal="center"/>
    </xf>
    <xf numFmtId="169" fontId="39" fillId="5" borderId="190" xfId="0" applyNumberFormat="1" applyFont="1" applyFill="1" applyBorder="1" applyAlignment="1">
      <alignment horizontal="center"/>
    </xf>
    <xf numFmtId="45" fontId="39" fillId="0" borderId="155" xfId="0" applyNumberFormat="1" applyFont="1" applyBorder="1" applyAlignment="1">
      <alignment horizontal="center"/>
    </xf>
    <xf numFmtId="1" fontId="39" fillId="5" borderId="149" xfId="0" applyNumberFormat="1" applyFont="1" applyFill="1" applyBorder="1" applyAlignment="1">
      <alignment horizontal="center"/>
    </xf>
    <xf numFmtId="1" fontId="40" fillId="5" borderId="155" xfId="0" applyNumberFormat="1" applyFont="1" applyFill="1" applyBorder="1" applyAlignment="1">
      <alignment horizontal="center"/>
    </xf>
    <xf numFmtId="45" fontId="39" fillId="5" borderId="188" xfId="0" applyNumberFormat="1" applyFont="1" applyFill="1" applyBorder="1" applyAlignment="1">
      <alignment horizontal="center"/>
    </xf>
    <xf numFmtId="1" fontId="39" fillId="0" borderId="95" xfId="0" applyNumberFormat="1" applyFont="1" applyBorder="1" applyAlignment="1">
      <alignment horizontal="center"/>
    </xf>
    <xf numFmtId="21" fontId="39" fillId="5" borderId="162" xfId="0" applyNumberFormat="1" applyFont="1" applyFill="1" applyBorder="1" applyAlignment="1">
      <alignment horizontal="center"/>
    </xf>
    <xf numFmtId="169" fontId="39" fillId="5" borderId="163" xfId="0" applyNumberFormat="1" applyFont="1" applyFill="1" applyBorder="1" applyAlignment="1">
      <alignment horizontal="center"/>
    </xf>
    <xf numFmtId="45" fontId="39" fillId="0" borderId="213" xfId="0" applyNumberFormat="1" applyFont="1" applyBorder="1" applyAlignment="1">
      <alignment horizontal="center"/>
    </xf>
    <xf numFmtId="1" fontId="39" fillId="5" borderId="218" xfId="0" applyNumberFormat="1" applyFont="1" applyFill="1" applyBorder="1" applyAlignment="1">
      <alignment horizontal="center"/>
    </xf>
    <xf numFmtId="1" fontId="40" fillId="5" borderId="161" xfId="0" applyNumberFormat="1" applyFont="1" applyFill="1" applyBorder="1" applyAlignment="1">
      <alignment horizontal="center"/>
    </xf>
    <xf numFmtId="170" fontId="39" fillId="0" borderId="219" xfId="0" applyNumberFormat="1" applyFont="1" applyBorder="1" applyAlignment="1">
      <alignment horizontal="center"/>
    </xf>
    <xf numFmtId="45" fontId="39" fillId="5" borderId="174" xfId="0" applyNumberFormat="1" applyFont="1" applyFill="1" applyBorder="1" applyAlignment="1">
      <alignment horizontal="center"/>
    </xf>
    <xf numFmtId="1" fontId="39" fillId="0" borderId="230" xfId="0" applyNumberFormat="1" applyFont="1" applyBorder="1" applyAlignment="1">
      <alignment horizontal="center" vertical="center"/>
    </xf>
    <xf numFmtId="21" fontId="39" fillId="5" borderId="255" xfId="0" applyNumberFormat="1" applyFont="1" applyFill="1" applyBorder="1" applyAlignment="1">
      <alignment horizontal="center"/>
    </xf>
    <xf numFmtId="169" fontId="39" fillId="5" borderId="256" xfId="0" applyNumberFormat="1" applyFont="1" applyFill="1" applyBorder="1" applyAlignment="1">
      <alignment horizontal="center"/>
    </xf>
    <xf numFmtId="45" fontId="39" fillId="0" borderId="254" xfId="0" applyNumberFormat="1" applyFont="1" applyBorder="1" applyAlignment="1">
      <alignment horizontal="center"/>
    </xf>
    <xf numFmtId="1" fontId="39" fillId="5" borderId="255" xfId="0" applyNumberFormat="1" applyFont="1" applyFill="1" applyBorder="1" applyAlignment="1">
      <alignment horizontal="center"/>
    </xf>
    <xf numFmtId="1" fontId="40" fillId="5" borderId="254" xfId="0" applyNumberFormat="1" applyFont="1" applyFill="1" applyBorder="1" applyAlignment="1">
      <alignment horizontal="center"/>
    </xf>
    <xf numFmtId="170" fontId="39" fillId="0" borderId="257" xfId="0" applyNumberFormat="1" applyFont="1" applyBorder="1" applyAlignment="1">
      <alignment horizontal="center"/>
    </xf>
    <xf numFmtId="45" fontId="39" fillId="5" borderId="258" xfId="0" applyNumberFormat="1" applyFont="1" applyFill="1" applyBorder="1" applyAlignment="1">
      <alignment horizontal="center"/>
    </xf>
    <xf numFmtId="1" fontId="43" fillId="5" borderId="228" xfId="0" applyNumberFormat="1" applyFont="1" applyFill="1" applyBorder="1" applyAlignment="1">
      <alignment horizontal="center"/>
    </xf>
    <xf numFmtId="167" fontId="39" fillId="0" borderId="189" xfId="0" applyNumberFormat="1" applyFont="1" applyBorder="1" applyAlignment="1">
      <alignment horizontal="center"/>
    </xf>
    <xf numFmtId="1" fontId="39" fillId="0" borderId="241" xfId="0" applyNumberFormat="1" applyFont="1" applyBorder="1" applyAlignment="1">
      <alignment horizontal="center"/>
    </xf>
    <xf numFmtId="1" fontId="39" fillId="0" borderId="241" xfId="0" applyNumberFormat="1" applyFont="1" applyBorder="1" applyAlignment="1">
      <alignment horizontal="center" vertical="center"/>
    </xf>
    <xf numFmtId="21" fontId="39" fillId="5" borderId="246" xfId="0" applyNumberFormat="1" applyFont="1" applyFill="1" applyBorder="1" applyAlignment="1">
      <alignment horizontal="center"/>
    </xf>
    <xf numFmtId="169" fontId="39" fillId="5" borderId="247" xfId="0" applyNumberFormat="1" applyFont="1" applyFill="1" applyBorder="1" applyAlignment="1">
      <alignment horizontal="center"/>
    </xf>
    <xf numFmtId="45" fontId="39" fillId="0" borderId="248" xfId="0" applyNumberFormat="1" applyFont="1" applyBorder="1" applyAlignment="1">
      <alignment horizontal="center"/>
    </xf>
    <xf numFmtId="1" fontId="39" fillId="5" borderId="248" xfId="0" applyNumberFormat="1" applyFont="1" applyFill="1" applyBorder="1" applyAlignment="1">
      <alignment horizontal="center"/>
    </xf>
    <xf numFmtId="1" fontId="40" fillId="5" borderId="242" xfId="0" applyNumberFormat="1" applyFont="1" applyFill="1" applyBorder="1" applyAlignment="1">
      <alignment horizontal="center"/>
    </xf>
    <xf numFmtId="170" fontId="39" fillId="0" borderId="241" xfId="0" applyNumberFormat="1" applyFont="1" applyBorder="1" applyAlignment="1">
      <alignment horizontal="center"/>
    </xf>
    <xf numFmtId="45" fontId="39" fillId="5" borderId="249" xfId="0" applyNumberFormat="1" applyFont="1" applyFill="1" applyBorder="1" applyAlignment="1">
      <alignment horizontal="center"/>
    </xf>
    <xf numFmtId="1" fontId="43" fillId="5" borderId="250" xfId="0" applyNumberFormat="1" applyFont="1" applyFill="1" applyBorder="1" applyAlignment="1">
      <alignment horizontal="center"/>
    </xf>
    <xf numFmtId="1" fontId="43" fillId="5" borderId="251" xfId="0" applyNumberFormat="1" applyFont="1" applyFill="1" applyBorder="1" applyAlignment="1">
      <alignment horizontal="center"/>
    </xf>
    <xf numFmtId="1" fontId="39" fillId="0" borderId="239" xfId="0" applyNumberFormat="1" applyFont="1" applyBorder="1" applyAlignment="1">
      <alignment horizontal="center"/>
    </xf>
    <xf numFmtId="1" fontId="39" fillId="0" borderId="240" xfId="0" applyNumberFormat="1" applyFont="1" applyBorder="1" applyAlignment="1">
      <alignment horizontal="center"/>
    </xf>
    <xf numFmtId="167" fontId="39" fillId="0" borderId="280" xfId="0" applyNumberFormat="1" applyFont="1" applyBorder="1" applyAlignment="1">
      <alignment horizontal="center"/>
    </xf>
    <xf numFmtId="1" fontId="39" fillId="0" borderId="277" xfId="0" applyNumberFormat="1" applyFont="1" applyBorder="1" applyAlignment="1">
      <alignment horizontal="center"/>
    </xf>
    <xf numFmtId="1" fontId="39" fillId="0" borderId="277" xfId="0" applyNumberFormat="1" applyFont="1" applyBorder="1" applyAlignment="1">
      <alignment horizontal="center" vertical="center"/>
    </xf>
    <xf numFmtId="21" fontId="39" fillId="5" borderId="281" xfId="0" applyNumberFormat="1" applyFont="1" applyFill="1" applyBorder="1" applyAlignment="1">
      <alignment horizontal="center"/>
    </xf>
    <xf numFmtId="169" fontId="39" fillId="5" borderId="282" xfId="0" applyNumberFormat="1" applyFont="1" applyFill="1" applyBorder="1" applyAlignment="1">
      <alignment horizontal="center"/>
    </xf>
    <xf numFmtId="45" fontId="39" fillId="0" borderId="275" xfId="0" applyNumberFormat="1" applyFont="1" applyBorder="1" applyAlignment="1">
      <alignment horizontal="center"/>
    </xf>
    <xf numFmtId="1" fontId="39" fillId="5" borderId="281" xfId="0" applyNumberFormat="1" applyFont="1" applyFill="1" applyBorder="1" applyAlignment="1">
      <alignment horizontal="center"/>
    </xf>
    <xf numFmtId="1" fontId="40" fillId="5" borderId="275" xfId="0" applyNumberFormat="1" applyFont="1" applyFill="1" applyBorder="1" applyAlignment="1">
      <alignment horizontal="center"/>
    </xf>
    <xf numFmtId="170" fontId="39" fillId="0" borderId="276" xfId="0" applyNumberFormat="1" applyFont="1" applyBorder="1" applyAlignment="1">
      <alignment horizontal="center"/>
    </xf>
    <xf numFmtId="45" fontId="39" fillId="5" borderId="283" xfId="0" applyNumberFormat="1" applyFont="1" applyFill="1" applyBorder="1" applyAlignment="1">
      <alignment horizontal="center"/>
    </xf>
    <xf numFmtId="1" fontId="43" fillId="5" borderId="284" xfId="0" applyNumberFormat="1" applyFont="1" applyFill="1" applyBorder="1" applyAlignment="1">
      <alignment horizontal="center"/>
    </xf>
    <xf numFmtId="1" fontId="43" fillId="5" borderId="285" xfId="0" applyNumberFormat="1" applyFont="1" applyFill="1" applyBorder="1" applyAlignment="1">
      <alignment horizontal="center"/>
    </xf>
    <xf numFmtId="1" fontId="39" fillId="0" borderId="278" xfId="0" applyNumberFormat="1" applyFont="1" applyBorder="1" applyAlignment="1">
      <alignment horizontal="center"/>
    </xf>
    <xf numFmtId="1" fontId="39" fillId="0" borderId="279" xfId="0" applyNumberFormat="1" applyFont="1" applyBorder="1" applyAlignment="1">
      <alignment horizontal="center"/>
    </xf>
    <xf numFmtId="167" fontId="39" fillId="0" borderId="235" xfId="0" applyNumberFormat="1" applyFont="1" applyBorder="1" applyAlignment="1">
      <alignment horizontal="center"/>
    </xf>
    <xf numFmtId="1" fontId="39" fillId="0" borderId="286" xfId="0" applyNumberFormat="1" applyFont="1" applyBorder="1" applyAlignment="1">
      <alignment horizontal="center"/>
    </xf>
    <xf numFmtId="1" fontId="39" fillId="0" borderId="286" xfId="0" applyNumberFormat="1" applyFont="1" applyBorder="1" applyAlignment="1">
      <alignment horizontal="center" vertical="center"/>
    </xf>
    <xf numFmtId="45" fontId="39" fillId="0" borderId="260" xfId="0" applyNumberFormat="1" applyFont="1" applyBorder="1" applyAlignment="1">
      <alignment horizontal="center"/>
    </xf>
    <xf numFmtId="167" fontId="39" fillId="0" borderId="253" xfId="0" applyNumberFormat="1" applyFont="1" applyBorder="1" applyAlignment="1">
      <alignment horizontal="center"/>
    </xf>
    <xf numFmtId="45" fontId="39" fillId="0" borderId="265" xfId="0" applyNumberFormat="1" applyFont="1" applyBorder="1" applyAlignment="1">
      <alignment horizontal="center"/>
    </xf>
    <xf numFmtId="1" fontId="43" fillId="5" borderId="287" xfId="0" applyNumberFormat="1" applyFont="1" applyFill="1" applyBorder="1" applyAlignment="1">
      <alignment horizontal="center"/>
    </xf>
    <xf numFmtId="1" fontId="43" fillId="5" borderId="288" xfId="0" applyNumberFormat="1" applyFont="1" applyFill="1" applyBorder="1" applyAlignment="1">
      <alignment horizontal="center"/>
    </xf>
    <xf numFmtId="1" fontId="39" fillId="0" borderId="289" xfId="0" applyNumberFormat="1" applyFont="1" applyBorder="1" applyAlignment="1">
      <alignment horizontal="center"/>
    </xf>
    <xf numFmtId="1" fontId="39" fillId="0" borderId="287" xfId="0" applyNumberFormat="1" applyFont="1" applyBorder="1" applyAlignment="1">
      <alignment horizontal="center"/>
    </xf>
    <xf numFmtId="167" fontId="39" fillId="0" borderId="625" xfId="0" applyNumberFormat="1" applyFont="1" applyBorder="1" applyAlignment="1">
      <alignment horizontal="center"/>
    </xf>
    <xf numFmtId="1" fontId="39" fillId="0" borderId="620" xfId="0" applyNumberFormat="1" applyFont="1" applyBorder="1" applyAlignment="1">
      <alignment horizontal="center"/>
    </xf>
    <xf numFmtId="1" fontId="39" fillId="0" borderId="620" xfId="0" applyNumberFormat="1" applyFont="1" applyBorder="1" applyAlignment="1">
      <alignment horizontal="center" vertical="center"/>
    </xf>
    <xf numFmtId="21" fontId="39" fillId="5" borderId="622" xfId="0" applyNumberFormat="1" applyFont="1" applyFill="1" applyBorder="1" applyAlignment="1">
      <alignment horizontal="center"/>
    </xf>
    <xf numFmtId="169" fontId="39" fillId="5" borderId="623" xfId="0" applyNumberFormat="1" applyFont="1" applyFill="1" applyBorder="1" applyAlignment="1">
      <alignment horizontal="center"/>
    </xf>
    <xf numFmtId="45" fontId="39" fillId="0" borderId="621" xfId="0" applyNumberFormat="1" applyFont="1" applyBorder="1" applyAlignment="1">
      <alignment horizontal="center"/>
    </xf>
    <xf numFmtId="1" fontId="39" fillId="5" borderId="622" xfId="0" applyNumberFormat="1" applyFont="1" applyFill="1" applyBorder="1" applyAlignment="1">
      <alignment horizontal="center"/>
    </xf>
    <xf numFmtId="1" fontId="40" fillId="5" borderId="621" xfId="0" applyNumberFormat="1" applyFont="1" applyFill="1" applyBorder="1" applyAlignment="1">
      <alignment horizontal="center"/>
    </xf>
    <xf numFmtId="170" fontId="39" fillId="0" borderId="620" xfId="0" applyNumberFormat="1" applyFont="1" applyBorder="1" applyAlignment="1">
      <alignment horizontal="center"/>
    </xf>
    <xf numFmtId="45" fontId="39" fillId="5" borderId="624" xfId="0" applyNumberFormat="1" applyFont="1" applyFill="1" applyBorder="1" applyAlignment="1">
      <alignment horizontal="center"/>
    </xf>
    <xf numFmtId="1" fontId="43" fillId="5" borderId="619" xfId="0" applyNumberFormat="1" applyFont="1" applyFill="1" applyBorder="1" applyAlignment="1">
      <alignment horizontal="center"/>
    </xf>
    <xf numFmtId="1" fontId="43" fillId="5" borderId="626" xfId="0" applyNumberFormat="1" applyFont="1" applyFill="1" applyBorder="1" applyAlignment="1">
      <alignment horizontal="center"/>
    </xf>
    <xf numFmtId="1" fontId="39" fillId="0" borderId="615" xfId="0" applyNumberFormat="1" applyFont="1" applyBorder="1" applyAlignment="1">
      <alignment horizontal="center"/>
    </xf>
    <xf numFmtId="1" fontId="39" fillId="0" borderId="669" xfId="0" applyNumberFormat="1" applyFont="1" applyBorder="1" applyAlignment="1">
      <alignment horizontal="center"/>
    </xf>
    <xf numFmtId="1" fontId="39" fillId="0" borderId="619" xfId="0" applyNumberFormat="1" applyFont="1" applyBorder="1" applyAlignment="1">
      <alignment horizontal="center"/>
    </xf>
    <xf numFmtId="167" fontId="39" fillId="0" borderId="790" xfId="0" applyNumberFormat="1" applyFont="1" applyBorder="1" applyAlignment="1">
      <alignment horizontal="center"/>
    </xf>
    <xf numFmtId="1" fontId="39" fillId="0" borderId="791" xfId="0" applyNumberFormat="1" applyFont="1" applyBorder="1" applyAlignment="1">
      <alignment horizontal="center"/>
    </xf>
    <xf numFmtId="1" fontId="39" fillId="0" borderId="791" xfId="0" applyNumberFormat="1" applyFont="1" applyBorder="1" applyAlignment="1">
      <alignment horizontal="center" vertical="center"/>
    </xf>
    <xf numFmtId="21" fontId="39" fillId="5" borderId="793" xfId="0" applyNumberFormat="1" applyFont="1" applyFill="1" applyBorder="1" applyAlignment="1">
      <alignment horizontal="center"/>
    </xf>
    <xf numFmtId="169" fontId="39" fillId="5" borderId="794" xfId="0" applyNumberFormat="1" applyFont="1" applyFill="1" applyBorder="1" applyAlignment="1">
      <alignment horizontal="center"/>
    </xf>
    <xf numFmtId="45" fontId="39" fillId="0" borderId="792" xfId="0" applyNumberFormat="1" applyFont="1" applyBorder="1" applyAlignment="1">
      <alignment horizontal="center"/>
    </xf>
    <xf numFmtId="1" fontId="39" fillId="5" borderId="793" xfId="0" applyNumberFormat="1" applyFont="1" applyFill="1" applyBorder="1" applyAlignment="1">
      <alignment horizontal="center"/>
    </xf>
    <xf numFmtId="1" fontId="40" fillId="5" borderId="792" xfId="0" applyNumberFormat="1" applyFont="1" applyFill="1" applyBorder="1" applyAlignment="1">
      <alignment horizontal="center"/>
    </xf>
    <xf numFmtId="170" fontId="39" fillId="0" borderId="791" xfId="0" applyNumberFormat="1" applyFont="1" applyBorder="1" applyAlignment="1">
      <alignment horizontal="center"/>
    </xf>
    <xf numFmtId="45" fontId="39" fillId="5" borderId="795" xfId="0" applyNumberFormat="1" applyFont="1" applyFill="1" applyBorder="1" applyAlignment="1">
      <alignment horizontal="center"/>
    </xf>
    <xf numFmtId="1" fontId="43" fillId="5" borderId="790" xfId="0" applyNumberFormat="1" applyFont="1" applyFill="1" applyBorder="1" applyAlignment="1">
      <alignment horizontal="center"/>
    </xf>
    <xf numFmtId="1" fontId="43" fillId="5" borderId="796" xfId="0" applyNumberFormat="1" applyFont="1" applyFill="1" applyBorder="1" applyAlignment="1">
      <alignment horizontal="center"/>
    </xf>
    <xf numFmtId="2" fontId="39" fillId="0" borderId="791" xfId="0" applyNumberFormat="1" applyFont="1" applyBorder="1" applyAlignment="1">
      <alignment horizontal="center"/>
    </xf>
    <xf numFmtId="1" fontId="39" fillId="0" borderId="797" xfId="0" applyNumberFormat="1" applyFont="1" applyBorder="1" applyAlignment="1">
      <alignment horizontal="center"/>
    </xf>
    <xf numFmtId="1" fontId="39" fillId="0" borderId="790" xfId="0" applyNumberFormat="1" applyFont="1" applyBorder="1" applyAlignment="1">
      <alignment horizontal="center"/>
    </xf>
    <xf numFmtId="167" fontId="39" fillId="0" borderId="656" xfId="0" applyNumberFormat="1" applyFont="1" applyBorder="1" applyAlignment="1">
      <alignment horizontal="center"/>
    </xf>
    <xf numFmtId="1" fontId="39" fillId="0" borderId="662" xfId="0" applyNumberFormat="1" applyFont="1" applyBorder="1" applyAlignment="1">
      <alignment horizontal="center"/>
    </xf>
    <xf numFmtId="1" fontId="39" fillId="0" borderId="662" xfId="0" applyNumberFormat="1" applyFont="1" applyBorder="1" applyAlignment="1">
      <alignment horizontal="center" vertical="center"/>
    </xf>
    <xf numFmtId="21" fontId="39" fillId="5" borderId="664" xfId="0" applyNumberFormat="1" applyFont="1" applyFill="1" applyBorder="1" applyAlignment="1">
      <alignment horizontal="center"/>
    </xf>
    <xf numFmtId="169" fontId="39" fillId="5" borderId="665" xfId="0" applyNumberFormat="1" applyFont="1" applyFill="1" applyBorder="1" applyAlignment="1">
      <alignment horizontal="center"/>
    </xf>
    <xf numFmtId="45" fontId="39" fillId="0" borderId="663" xfId="0" applyNumberFormat="1" applyFont="1" applyBorder="1" applyAlignment="1">
      <alignment horizontal="center"/>
    </xf>
    <xf numFmtId="1" fontId="39" fillId="5" borderId="664" xfId="0" applyNumberFormat="1" applyFont="1" applyFill="1" applyBorder="1" applyAlignment="1">
      <alignment horizontal="center"/>
    </xf>
    <xf numFmtId="1" fontId="40" fillId="5" borderId="663" xfId="0" applyNumberFormat="1" applyFont="1" applyFill="1" applyBorder="1" applyAlignment="1">
      <alignment horizontal="center"/>
    </xf>
    <xf numFmtId="170" fontId="39" fillId="0" borderId="662" xfId="0" applyNumberFormat="1" applyFont="1" applyBorder="1" applyAlignment="1">
      <alignment horizontal="center"/>
    </xf>
    <xf numFmtId="45" fontId="39" fillId="5" borderId="666" xfId="0" applyNumberFormat="1" applyFont="1" applyFill="1" applyBorder="1" applyAlignment="1">
      <alignment horizontal="center"/>
    </xf>
    <xf numFmtId="1" fontId="43" fillId="5" borderId="656" xfId="0" applyNumberFormat="1" applyFont="1" applyFill="1" applyBorder="1" applyAlignment="1">
      <alignment horizontal="center"/>
    </xf>
    <xf numFmtId="1" fontId="43" fillId="5" borderId="653" xfId="0" applyNumberFormat="1" applyFont="1" applyFill="1" applyBorder="1" applyAlignment="1">
      <alignment horizontal="center"/>
    </xf>
    <xf numFmtId="1" fontId="39" fillId="0" borderId="638" xfId="0" applyNumberFormat="1" applyFont="1" applyBorder="1" applyAlignment="1">
      <alignment horizontal="center"/>
    </xf>
    <xf numFmtId="1" fontId="39" fillId="0" borderId="639" xfId="0" applyNumberFormat="1" applyFont="1" applyBorder="1" applyAlignment="1">
      <alignment horizontal="center"/>
    </xf>
    <xf numFmtId="1" fontId="39" fillId="0" borderId="656" xfId="0" applyNumberFormat="1" applyFont="1" applyBorder="1" applyAlignment="1">
      <alignment horizontal="center"/>
    </xf>
    <xf numFmtId="21" fontId="39" fillId="5" borderId="673" xfId="0" applyNumberFormat="1" applyFont="1" applyFill="1" applyBorder="1" applyAlignment="1">
      <alignment horizontal="center"/>
    </xf>
    <xf numFmtId="169" fontId="39" fillId="5" borderId="674" xfId="0" applyNumberFormat="1" applyFont="1" applyFill="1" applyBorder="1" applyAlignment="1">
      <alignment horizontal="center"/>
    </xf>
    <xf numFmtId="45" fontId="39" fillId="0" borderId="672" xfId="0" applyNumberFormat="1" applyFont="1" applyBorder="1" applyAlignment="1">
      <alignment horizontal="center"/>
    </xf>
    <xf numFmtId="1" fontId="39" fillId="5" borderId="673" xfId="0" applyNumberFormat="1" applyFont="1" applyFill="1" applyBorder="1" applyAlignment="1">
      <alignment horizontal="center"/>
    </xf>
    <xf numFmtId="1" fontId="40" fillId="5" borderId="672" xfId="0" applyNumberFormat="1" applyFont="1" applyFill="1" applyBorder="1" applyAlignment="1">
      <alignment horizontal="center"/>
    </xf>
    <xf numFmtId="45" fontId="39" fillId="5" borderId="675" xfId="0" applyNumberFormat="1" applyFont="1" applyFill="1" applyBorder="1" applyAlignment="1">
      <alignment horizontal="center"/>
    </xf>
    <xf numFmtId="1" fontId="43" fillId="5" borderId="681" xfId="0" applyNumberFormat="1" applyFont="1" applyFill="1" applyBorder="1" applyAlignment="1">
      <alignment horizontal="center"/>
    </xf>
    <xf numFmtId="1" fontId="43" fillId="5" borderId="682" xfId="0" applyNumberFormat="1" applyFont="1" applyFill="1" applyBorder="1" applyAlignment="1">
      <alignment horizontal="center"/>
    </xf>
    <xf numFmtId="1" fontId="39" fillId="0" borderId="683" xfId="0" applyNumberFormat="1" applyFont="1" applyBorder="1" applyAlignment="1">
      <alignment horizontal="center"/>
    </xf>
    <xf numFmtId="1" fontId="39" fillId="0" borderId="681" xfId="0" applyNumberFormat="1" applyFont="1" applyBorder="1" applyAlignment="1">
      <alignment horizontal="center"/>
    </xf>
    <xf numFmtId="167" fontId="39" fillId="0" borderId="619" xfId="0" applyNumberFormat="1" applyFont="1" applyBorder="1" applyAlignment="1">
      <alignment horizontal="center"/>
    </xf>
    <xf numFmtId="1" fontId="43" fillId="5" borderId="625" xfId="0" applyNumberFormat="1" applyFont="1" applyFill="1" applyBorder="1" applyAlignment="1">
      <alignment horizontal="center"/>
    </xf>
    <xf numFmtId="1" fontId="39" fillId="0" borderId="625" xfId="0" applyNumberFormat="1" applyFont="1" applyBorder="1" applyAlignment="1">
      <alignment horizontal="center"/>
    </xf>
    <xf numFmtId="1" fontId="39" fillId="0" borderId="676" xfId="0" applyNumberFormat="1" applyFont="1" applyBorder="1" applyAlignment="1">
      <alignment horizontal="center"/>
    </xf>
    <xf numFmtId="1" fontId="39" fillId="0" borderId="676" xfId="0" applyNumberFormat="1" applyFont="1" applyBorder="1" applyAlignment="1">
      <alignment horizontal="center" vertical="center"/>
    </xf>
    <xf numFmtId="167" fontId="39" fillId="0" borderId="694" xfId="0" applyNumberFormat="1" applyFont="1" applyBorder="1" applyAlignment="1">
      <alignment horizontal="center"/>
    </xf>
    <xf numFmtId="1" fontId="39" fillId="0" borderId="695" xfId="0" applyNumberFormat="1" applyFont="1" applyBorder="1" applyAlignment="1">
      <alignment horizontal="center"/>
    </xf>
    <xf numFmtId="1" fontId="39" fillId="0" borderId="695" xfId="0" applyNumberFormat="1" applyFont="1" applyBorder="1" applyAlignment="1">
      <alignment horizontal="center" vertical="center"/>
    </xf>
    <xf numFmtId="21" fontId="39" fillId="5" borderId="702" xfId="0" applyNumberFormat="1" applyFont="1" applyFill="1" applyBorder="1" applyAlignment="1">
      <alignment horizontal="center"/>
    </xf>
    <xf numFmtId="169" fontId="39" fillId="5" borderId="703" xfId="0" applyNumberFormat="1" applyFont="1" applyFill="1" applyBorder="1" applyAlignment="1">
      <alignment horizontal="center"/>
    </xf>
    <xf numFmtId="45" fontId="39" fillId="0" borderId="696" xfId="0" applyNumberFormat="1" applyFont="1" applyBorder="1" applyAlignment="1">
      <alignment horizontal="center"/>
    </xf>
    <xf numFmtId="1" fontId="39" fillId="5" borderId="702" xfId="0" applyNumberFormat="1" applyFont="1" applyFill="1" applyBorder="1" applyAlignment="1">
      <alignment horizontal="center"/>
    </xf>
    <xf numFmtId="1" fontId="40" fillId="5" borderId="696" xfId="0" applyNumberFormat="1" applyFont="1" applyFill="1" applyBorder="1" applyAlignment="1">
      <alignment horizontal="center"/>
    </xf>
    <xf numFmtId="170" fontId="39" fillId="0" borderId="695" xfId="0" applyNumberFormat="1" applyFont="1" applyBorder="1" applyAlignment="1">
      <alignment horizontal="center"/>
    </xf>
    <xf numFmtId="45" fontId="39" fillId="5" borderId="704" xfId="0" applyNumberFormat="1" applyFont="1" applyFill="1" applyBorder="1" applyAlignment="1">
      <alignment horizontal="center"/>
    </xf>
    <xf numFmtId="1" fontId="43" fillId="5" borderId="705" xfId="0" applyNumberFormat="1" applyFont="1" applyFill="1" applyBorder="1" applyAlignment="1">
      <alignment horizontal="center"/>
    </xf>
    <xf numFmtId="1" fontId="43" fillId="5" borderId="699" xfId="0" applyNumberFormat="1" applyFont="1" applyFill="1" applyBorder="1" applyAlignment="1">
      <alignment horizontal="center"/>
    </xf>
    <xf numFmtId="1" fontId="39" fillId="0" borderId="692" xfId="0" applyNumberFormat="1" applyFont="1" applyBorder="1" applyAlignment="1">
      <alignment horizontal="center"/>
    </xf>
    <xf numFmtId="1" fontId="39" fillId="0" borderId="705" xfId="0" applyNumberFormat="1" applyFont="1" applyBorder="1" applyAlignment="1">
      <alignment horizontal="center"/>
    </xf>
    <xf numFmtId="167" fontId="39" fillId="0" borderId="684" xfId="0" applyNumberFormat="1" applyFont="1" applyBorder="1" applyAlignment="1">
      <alignment horizontal="center"/>
    </xf>
    <xf numFmtId="1" fontId="39" fillId="0" borderId="655" xfId="0" applyNumberFormat="1" applyFont="1" applyBorder="1" applyAlignment="1">
      <alignment horizontal="center"/>
    </xf>
    <xf numFmtId="1" fontId="39" fillId="0" borderId="655" xfId="0" applyNumberFormat="1" applyFont="1" applyBorder="1" applyAlignment="1">
      <alignment horizontal="center" vertical="center"/>
    </xf>
    <xf numFmtId="21" fontId="39" fillId="5" borderId="706" xfId="0" applyNumberFormat="1" applyFont="1" applyFill="1" applyBorder="1" applyAlignment="1">
      <alignment horizontal="center"/>
    </xf>
    <xf numFmtId="169" fontId="39" fillId="5" borderId="707" xfId="0" applyNumberFormat="1" applyFont="1" applyFill="1" applyBorder="1" applyAlignment="1">
      <alignment horizontal="center"/>
    </xf>
    <xf numFmtId="45" fontId="39" fillId="0" borderId="693" xfId="0" applyNumberFormat="1" applyFont="1" applyBorder="1" applyAlignment="1">
      <alignment horizontal="center"/>
    </xf>
    <xf numFmtId="1" fontId="39" fillId="5" borderId="706" xfId="0" applyNumberFormat="1" applyFont="1" applyFill="1" applyBorder="1" applyAlignment="1">
      <alignment horizontal="center"/>
    </xf>
    <xf numFmtId="1" fontId="40" fillId="5" borderId="693" xfId="0" applyNumberFormat="1" applyFont="1" applyFill="1" applyBorder="1" applyAlignment="1">
      <alignment horizontal="center"/>
    </xf>
    <xf numFmtId="170" fontId="39" fillId="0" borderId="655" xfId="0" applyNumberFormat="1" applyFont="1" applyBorder="1" applyAlignment="1">
      <alignment horizontal="center"/>
    </xf>
    <xf numFmtId="45" fontId="39" fillId="5" borderId="708" xfId="0" applyNumberFormat="1" applyFont="1" applyFill="1" applyBorder="1" applyAlignment="1">
      <alignment horizontal="center"/>
    </xf>
    <xf numFmtId="1" fontId="43" fillId="5" borderId="700" xfId="0" applyNumberFormat="1" applyFont="1" applyFill="1" applyBorder="1" applyAlignment="1">
      <alignment horizontal="center"/>
    </xf>
    <xf numFmtId="1" fontId="43" fillId="5" borderId="709" xfId="0" applyNumberFormat="1" applyFont="1" applyFill="1" applyBorder="1" applyAlignment="1">
      <alignment horizontal="center"/>
    </xf>
    <xf numFmtId="1" fontId="39" fillId="0" borderId="698" xfId="0" applyNumberFormat="1" applyFont="1" applyBorder="1" applyAlignment="1">
      <alignment horizontal="center"/>
    </xf>
    <xf numFmtId="1" fontId="39" fillId="0" borderId="697" xfId="0" applyNumberFormat="1" applyFont="1" applyBorder="1" applyAlignment="1">
      <alignment horizontal="center"/>
    </xf>
    <xf numFmtId="1" fontId="39" fillId="0" borderId="700" xfId="0" applyNumberFormat="1" applyFont="1" applyBorder="1" applyAlignment="1">
      <alignment horizontal="center"/>
    </xf>
    <xf numFmtId="167" fontId="39" fillId="0" borderId="700" xfId="0" applyNumberFormat="1" applyFont="1" applyBorder="1" applyAlignment="1">
      <alignment horizontal="center"/>
    </xf>
    <xf numFmtId="167" fontId="39" fillId="0" borderId="654" xfId="0" applyNumberFormat="1" applyFont="1" applyBorder="1" applyAlignment="1">
      <alignment horizontal="center"/>
    </xf>
    <xf numFmtId="21" fontId="39" fillId="5" borderId="711" xfId="0" applyNumberFormat="1" applyFont="1" applyFill="1" applyBorder="1" applyAlignment="1">
      <alignment horizontal="center"/>
    </xf>
    <xf numFmtId="169" fontId="39" fillId="5" borderId="712" xfId="0" applyNumberFormat="1" applyFont="1" applyFill="1" applyBorder="1" applyAlignment="1">
      <alignment horizontal="center"/>
    </xf>
    <xf numFmtId="45" fontId="39" fillId="0" borderId="710" xfId="0" applyNumberFormat="1" applyFont="1" applyBorder="1" applyAlignment="1">
      <alignment horizontal="center"/>
    </xf>
    <xf numFmtId="1" fontId="39" fillId="5" borderId="711" xfId="0" applyNumberFormat="1" applyFont="1" applyFill="1" applyBorder="1" applyAlignment="1">
      <alignment horizontal="center"/>
    </xf>
    <xf numFmtId="1" fontId="40" fillId="5" borderId="710" xfId="0" applyNumberFormat="1" applyFont="1" applyFill="1" applyBorder="1" applyAlignment="1">
      <alignment horizontal="center"/>
    </xf>
    <xf numFmtId="45" fontId="39" fillId="5" borderId="713" xfId="0" applyNumberFormat="1" applyFont="1" applyFill="1" applyBorder="1" applyAlignment="1">
      <alignment horizontal="center"/>
    </xf>
    <xf numFmtId="1" fontId="39" fillId="0" borderId="714" xfId="0" applyNumberFormat="1" applyFont="1" applyBorder="1" applyAlignment="1">
      <alignment horizontal="center"/>
    </xf>
    <xf numFmtId="1" fontId="39" fillId="0" borderId="654" xfId="0" applyNumberFormat="1" applyFont="1" applyBorder="1" applyAlignment="1">
      <alignment horizontal="center"/>
    </xf>
    <xf numFmtId="167" fontId="39" fillId="0" borderId="618" xfId="0" applyNumberFormat="1" applyFont="1" applyBorder="1" applyAlignment="1">
      <alignment horizontal="center"/>
    </xf>
    <xf numFmtId="1" fontId="39" fillId="0" borderId="628" xfId="0" applyNumberFormat="1" applyFont="1" applyBorder="1" applyAlignment="1">
      <alignment horizontal="center"/>
    </xf>
    <xf numFmtId="1" fontId="39" fillId="0" borderId="628" xfId="0" applyNumberFormat="1" applyFont="1" applyBorder="1" applyAlignment="1">
      <alignment horizontal="center" vertical="center"/>
    </xf>
    <xf numFmtId="21" fontId="39" fillId="5" borderId="630" xfId="0" applyNumberFormat="1" applyFont="1" applyFill="1" applyBorder="1" applyAlignment="1">
      <alignment horizontal="center"/>
    </xf>
    <xf numFmtId="1" fontId="39" fillId="5" borderId="630" xfId="0" applyNumberFormat="1" applyFont="1" applyFill="1" applyBorder="1" applyAlignment="1">
      <alignment horizontal="center"/>
    </xf>
    <xf numFmtId="1" fontId="40" fillId="5" borderId="627" xfId="0" applyNumberFormat="1" applyFont="1" applyFill="1" applyBorder="1" applyAlignment="1">
      <alignment horizontal="center"/>
    </xf>
    <xf numFmtId="45" fontId="39" fillId="5" borderId="631" xfId="0" applyNumberFormat="1" applyFont="1" applyFill="1" applyBorder="1" applyAlignment="1">
      <alignment horizontal="center"/>
    </xf>
    <xf numFmtId="1" fontId="39" fillId="0" borderId="616" xfId="0" applyNumberFormat="1" applyFont="1" applyBorder="1" applyAlignment="1">
      <alignment horizontal="center"/>
    </xf>
    <xf numFmtId="1" fontId="39" fillId="0" borderId="617" xfId="0" applyNumberFormat="1" applyFont="1" applyBorder="1" applyAlignment="1">
      <alignment horizontal="center"/>
    </xf>
    <xf numFmtId="1" fontId="39" fillId="0" borderId="618" xfId="0" applyNumberFormat="1" applyFont="1" applyBorder="1" applyAlignment="1">
      <alignment horizontal="center"/>
    </xf>
    <xf numFmtId="1" fontId="39" fillId="0" borderId="741" xfId="0" applyNumberFormat="1" applyFont="1" applyBorder="1" applyAlignment="1">
      <alignment horizontal="center"/>
    </xf>
    <xf numFmtId="1" fontId="39" fillId="0" borderId="741" xfId="0" applyNumberFormat="1" applyFont="1" applyBorder="1" applyAlignment="1">
      <alignment horizontal="center" vertical="center"/>
    </xf>
    <xf numFmtId="21" fontId="39" fillId="5" borderId="744" xfId="0" applyNumberFormat="1" applyFont="1" applyFill="1" applyBorder="1" applyAlignment="1">
      <alignment horizontal="center"/>
    </xf>
    <xf numFmtId="169" fontId="39" fillId="5" borderId="745" xfId="0" applyNumberFormat="1" applyFont="1" applyFill="1" applyBorder="1" applyAlignment="1">
      <alignment horizontal="center"/>
    </xf>
    <xf numFmtId="45" fontId="39" fillId="0" borderId="742" xfId="0" applyNumberFormat="1" applyFont="1" applyBorder="1" applyAlignment="1">
      <alignment horizontal="center"/>
    </xf>
    <xf numFmtId="1" fontId="39" fillId="5" borderId="744" xfId="0" applyNumberFormat="1" applyFont="1" applyFill="1" applyBorder="1" applyAlignment="1">
      <alignment horizontal="center"/>
    </xf>
    <xf numFmtId="1" fontId="40" fillId="5" borderId="742" xfId="0" applyNumberFormat="1" applyFont="1" applyFill="1" applyBorder="1" applyAlignment="1">
      <alignment horizontal="center"/>
    </xf>
    <xf numFmtId="170" fontId="39" fillId="0" borderId="741" xfId="0" applyNumberFormat="1" applyFont="1" applyBorder="1" applyAlignment="1">
      <alignment horizontal="center"/>
    </xf>
    <xf numFmtId="45" fontId="39" fillId="5" borderId="746" xfId="0" applyNumberFormat="1" applyFont="1" applyFill="1" applyBorder="1" applyAlignment="1">
      <alignment horizontal="center"/>
    </xf>
    <xf numFmtId="1" fontId="43" fillId="5" borderId="697" xfId="0" applyNumberFormat="1" applyFont="1" applyFill="1" applyBorder="1" applyAlignment="1">
      <alignment horizontal="center"/>
    </xf>
    <xf numFmtId="1" fontId="39" fillId="0" borderId="633" xfId="0" applyNumberFormat="1" applyFont="1" applyBorder="1" applyAlignment="1">
      <alignment horizontal="center"/>
    </xf>
    <xf numFmtId="1" fontId="39" fillId="0" borderId="632" xfId="0" applyNumberFormat="1" applyFont="1" applyBorder="1" applyAlignment="1">
      <alignment horizontal="center"/>
    </xf>
    <xf numFmtId="1" fontId="39" fillId="0" borderId="752" xfId="0" applyNumberFormat="1" applyFont="1" applyBorder="1" applyAlignment="1">
      <alignment horizontal="center"/>
    </xf>
    <xf numFmtId="1" fontId="39" fillId="0" borderId="752" xfId="0" applyNumberFormat="1" applyFont="1" applyBorder="1" applyAlignment="1">
      <alignment horizontal="center" vertical="center"/>
    </xf>
    <xf numFmtId="21" fontId="39" fillId="5" borderId="749" xfId="0" applyNumberFormat="1" applyFont="1" applyFill="1" applyBorder="1" applyAlignment="1">
      <alignment horizontal="center"/>
    </xf>
    <xf numFmtId="169" fontId="39" fillId="5" borderId="750" xfId="0" applyNumberFormat="1" applyFont="1" applyFill="1" applyBorder="1" applyAlignment="1">
      <alignment horizontal="center"/>
    </xf>
    <xf numFmtId="45" fontId="39" fillId="0" borderId="748" xfId="0" applyNumberFormat="1" applyFont="1" applyBorder="1" applyAlignment="1">
      <alignment horizontal="center"/>
    </xf>
    <xf numFmtId="1" fontId="39" fillId="5" borderId="749" xfId="0" applyNumberFormat="1" applyFont="1" applyFill="1" applyBorder="1" applyAlignment="1">
      <alignment horizontal="center"/>
    </xf>
    <xf numFmtId="1" fontId="40" fillId="5" borderId="748" xfId="0" applyNumberFormat="1" applyFont="1" applyFill="1" applyBorder="1" applyAlignment="1">
      <alignment horizontal="center"/>
    </xf>
    <xf numFmtId="170" fontId="39" fillId="0" borderId="747" xfId="0" applyNumberFormat="1" applyFont="1" applyBorder="1" applyAlignment="1">
      <alignment horizontal="center"/>
    </xf>
    <xf numFmtId="45" fontId="39" fillId="5" borderId="751" xfId="0" applyNumberFormat="1" applyFont="1" applyFill="1" applyBorder="1" applyAlignment="1">
      <alignment horizontal="center"/>
    </xf>
    <xf numFmtId="1" fontId="43" fillId="5" borderId="752" xfId="0" applyNumberFormat="1" applyFont="1" applyFill="1" applyBorder="1" applyAlignment="1">
      <alignment horizontal="center"/>
    </xf>
    <xf numFmtId="1" fontId="39" fillId="0" borderId="840" xfId="0" applyNumberFormat="1" applyFont="1" applyBorder="1" applyAlignment="1">
      <alignment horizontal="center"/>
    </xf>
    <xf numFmtId="1" fontId="39" fillId="0" borderId="840" xfId="0" applyNumberFormat="1" applyFont="1" applyBorder="1" applyAlignment="1">
      <alignment horizontal="center" vertical="center"/>
    </xf>
    <xf numFmtId="21" fontId="39" fillId="5" borderId="755" xfId="0" applyNumberFormat="1" applyFont="1" applyFill="1" applyBorder="1" applyAlignment="1">
      <alignment horizontal="center"/>
    </xf>
    <xf numFmtId="169" fontId="39" fillId="5" borderId="756" xfId="0" applyNumberFormat="1" applyFont="1" applyFill="1" applyBorder="1" applyAlignment="1">
      <alignment horizontal="center"/>
    </xf>
    <xf numFmtId="45" fontId="39" fillId="0" borderId="737" xfId="0" applyNumberFormat="1" applyFont="1" applyBorder="1" applyAlignment="1">
      <alignment horizontal="center"/>
    </xf>
    <xf numFmtId="1" fontId="39" fillId="5" borderId="755" xfId="0" applyNumberFormat="1" applyFont="1" applyFill="1" applyBorder="1" applyAlignment="1">
      <alignment horizontal="center"/>
    </xf>
    <xf numFmtId="1" fontId="40" fillId="5" borderId="737" xfId="0" applyNumberFormat="1" applyFont="1" applyFill="1" applyBorder="1" applyAlignment="1">
      <alignment horizontal="center"/>
    </xf>
    <xf numFmtId="170" fontId="39" fillId="0" borderId="740" xfId="0" applyNumberFormat="1" applyFont="1" applyBorder="1" applyAlignment="1">
      <alignment horizontal="center"/>
    </xf>
    <xf numFmtId="45" fontId="39" fillId="5" borderId="757" xfId="0" applyNumberFormat="1" applyFont="1" applyFill="1" applyBorder="1" applyAlignment="1">
      <alignment horizontal="center"/>
    </xf>
    <xf numFmtId="167" fontId="39" fillId="0" borderId="634" xfId="0" applyNumberFormat="1" applyFont="1" applyBorder="1" applyAlignment="1">
      <alignment horizontal="center"/>
    </xf>
    <xf numFmtId="1" fontId="39" fillId="0" borderId="837" xfId="0" applyNumberFormat="1" applyFont="1" applyBorder="1" applyAlignment="1">
      <alignment horizontal="center"/>
    </xf>
    <xf numFmtId="1" fontId="39" fillId="0" borderId="837" xfId="0" applyNumberFormat="1" applyFont="1" applyBorder="1" applyAlignment="1">
      <alignment horizontal="center" vertical="center"/>
    </xf>
    <xf numFmtId="21" fontId="39" fillId="5" borderId="758" xfId="0" applyNumberFormat="1" applyFont="1" applyFill="1" applyBorder="1" applyAlignment="1">
      <alignment horizontal="center"/>
    </xf>
    <xf numFmtId="169" fontId="39" fillId="5" borderId="759" xfId="0" applyNumberFormat="1" applyFont="1" applyFill="1" applyBorder="1" applyAlignment="1">
      <alignment horizontal="center"/>
    </xf>
    <xf numFmtId="45" fontId="39" fillId="0" borderId="735" xfId="0" applyNumberFormat="1" applyFont="1" applyBorder="1" applyAlignment="1">
      <alignment horizontal="center"/>
    </xf>
    <xf numFmtId="1" fontId="39" fillId="5" borderId="758" xfId="0" applyNumberFormat="1" applyFont="1" applyFill="1" applyBorder="1" applyAlignment="1">
      <alignment horizontal="center"/>
    </xf>
    <xf numFmtId="1" fontId="40" fillId="5" borderId="735" xfId="0" applyNumberFormat="1" applyFont="1" applyFill="1" applyBorder="1" applyAlignment="1">
      <alignment horizontal="center"/>
    </xf>
    <xf numFmtId="45" fontId="39" fillId="5" borderId="760" xfId="0" applyNumberFormat="1" applyFont="1" applyFill="1" applyBorder="1" applyAlignment="1">
      <alignment horizontal="center"/>
    </xf>
    <xf numFmtId="1" fontId="39" fillId="0" borderId="636" xfId="0" applyNumberFormat="1" applyFont="1" applyBorder="1" applyAlignment="1">
      <alignment horizontal="center"/>
    </xf>
    <xf numFmtId="167" fontId="39" fillId="0" borderId="629" xfId="0" applyNumberFormat="1" applyFont="1" applyBorder="1" applyAlignment="1">
      <alignment horizontal="center"/>
    </xf>
    <xf numFmtId="1" fontId="39" fillId="0" borderId="697" xfId="0" applyNumberFormat="1" applyFont="1" applyBorder="1" applyAlignment="1">
      <alignment horizontal="center" vertical="center"/>
    </xf>
    <xf numFmtId="21" fontId="39" fillId="5" borderId="762" xfId="0" applyNumberFormat="1" applyFont="1" applyFill="1" applyBorder="1" applyAlignment="1">
      <alignment horizontal="center"/>
    </xf>
    <xf numFmtId="169" fontId="39" fillId="5" borderId="763" xfId="0" applyNumberFormat="1" applyFont="1" applyFill="1" applyBorder="1" applyAlignment="1">
      <alignment horizontal="center"/>
    </xf>
    <xf numFmtId="45" fontId="39" fillId="0" borderId="723" xfId="0" applyNumberFormat="1" applyFont="1" applyBorder="1" applyAlignment="1">
      <alignment horizontal="center"/>
    </xf>
    <xf numFmtId="1" fontId="39" fillId="5" borderId="762" xfId="0" applyNumberFormat="1" applyFont="1" applyFill="1" applyBorder="1" applyAlignment="1">
      <alignment horizontal="center"/>
    </xf>
    <xf numFmtId="1" fontId="40" fillId="5" borderId="723" xfId="0" applyNumberFormat="1" applyFont="1" applyFill="1" applyBorder="1" applyAlignment="1">
      <alignment horizontal="center"/>
    </xf>
    <xf numFmtId="170" fontId="39" fillId="0" borderId="722" xfId="0" applyNumberFormat="1" applyFont="1" applyBorder="1" applyAlignment="1">
      <alignment horizontal="center"/>
    </xf>
    <xf numFmtId="45" fontId="39" fillId="5" borderId="764" xfId="0" applyNumberFormat="1" applyFont="1" applyFill="1" applyBorder="1" applyAlignment="1">
      <alignment horizontal="center"/>
    </xf>
    <xf numFmtId="1" fontId="39" fillId="0" borderId="818" xfId="0" applyNumberFormat="1" applyFont="1" applyBorder="1" applyAlignment="1">
      <alignment horizontal="center"/>
    </xf>
    <xf numFmtId="1" fontId="39" fillId="0" borderId="818" xfId="0" applyNumberFormat="1" applyFont="1" applyBorder="1" applyAlignment="1">
      <alignment horizontal="center" vertical="center"/>
    </xf>
    <xf numFmtId="21" fontId="39" fillId="5" borderId="765" xfId="0" applyNumberFormat="1" applyFont="1" applyFill="1" applyBorder="1" applyAlignment="1">
      <alignment horizontal="center"/>
    </xf>
    <xf numFmtId="169" fontId="39" fillId="5" borderId="766" xfId="0" applyNumberFormat="1" applyFont="1" applyFill="1" applyBorder="1" applyAlignment="1">
      <alignment horizontal="center"/>
    </xf>
    <xf numFmtId="45" fontId="39" fillId="0" borderId="718" xfId="0" applyNumberFormat="1" applyFont="1" applyBorder="1" applyAlignment="1">
      <alignment horizontal="center"/>
    </xf>
    <xf numFmtId="1" fontId="39" fillId="5" borderId="765" xfId="0" applyNumberFormat="1" applyFont="1" applyFill="1" applyBorder="1" applyAlignment="1">
      <alignment horizontal="center"/>
    </xf>
    <xf numFmtId="1" fontId="40" fillId="5" borderId="718" xfId="0" applyNumberFormat="1" applyFont="1" applyFill="1" applyBorder="1" applyAlignment="1">
      <alignment horizontal="center"/>
    </xf>
    <xf numFmtId="45" fontId="39" fillId="5" borderId="767" xfId="0" applyNumberFormat="1" applyFont="1" applyFill="1" applyBorder="1" applyAlignment="1">
      <alignment horizontal="center"/>
    </xf>
    <xf numFmtId="1" fontId="39" fillId="0" borderId="842" xfId="0" applyNumberFormat="1" applyFont="1" applyBorder="1" applyAlignment="1">
      <alignment horizontal="center"/>
    </xf>
    <xf numFmtId="1" fontId="39" fillId="0" borderId="842" xfId="0" applyNumberFormat="1" applyFont="1" applyBorder="1" applyAlignment="1">
      <alignment horizontal="center" vertical="center"/>
    </xf>
    <xf numFmtId="21" fontId="39" fillId="5" borderId="768" xfId="0" applyNumberFormat="1" applyFont="1" applyFill="1" applyBorder="1" applyAlignment="1">
      <alignment horizontal="center"/>
    </xf>
    <xf numFmtId="169" fontId="39" fillId="5" borderId="769" xfId="0" applyNumberFormat="1" applyFont="1" applyFill="1" applyBorder="1" applyAlignment="1">
      <alignment horizontal="center"/>
    </xf>
    <xf numFmtId="45" fontId="39" fillId="0" borderId="719" xfId="0" applyNumberFormat="1" applyFont="1" applyBorder="1" applyAlignment="1">
      <alignment horizontal="center"/>
    </xf>
    <xf numFmtId="1" fontId="39" fillId="5" borderId="768" xfId="0" applyNumberFormat="1" applyFont="1" applyFill="1" applyBorder="1" applyAlignment="1">
      <alignment horizontal="center"/>
    </xf>
    <xf numFmtId="1" fontId="40" fillId="5" borderId="719" xfId="0" applyNumberFormat="1" applyFont="1" applyFill="1" applyBorder="1" applyAlignment="1">
      <alignment horizontal="center"/>
    </xf>
    <xf numFmtId="45" fontId="39" fillId="5" borderId="770" xfId="0" applyNumberFormat="1" applyFont="1" applyFill="1" applyBorder="1" applyAlignment="1">
      <alignment horizontal="center"/>
    </xf>
    <xf numFmtId="1" fontId="43" fillId="5" borderId="721" xfId="0" applyNumberFormat="1" applyFont="1" applyFill="1" applyBorder="1" applyAlignment="1">
      <alignment horizontal="center"/>
    </xf>
    <xf numFmtId="1" fontId="43" fillId="5" borderId="725" xfId="0" applyNumberFormat="1" applyFont="1" applyFill="1" applyBorder="1" applyAlignment="1">
      <alignment horizontal="center"/>
    </xf>
    <xf numFmtId="167" fontId="39" fillId="0" borderId="639" xfId="0" applyNumberFormat="1" applyFont="1" applyBorder="1" applyAlignment="1">
      <alignment horizontal="center"/>
    </xf>
    <xf numFmtId="1" fontId="39" fillId="0" borderId="160" xfId="0" applyNumberFormat="1" applyFont="1" applyBorder="1" applyAlignment="1">
      <alignment horizontal="center" vertical="center"/>
    </xf>
    <xf numFmtId="1" fontId="39" fillId="0" borderId="614" xfId="0" applyNumberFormat="1" applyFont="1" applyBorder="1" applyAlignment="1">
      <alignment horizontal="center"/>
    </xf>
    <xf numFmtId="1" fontId="39" fillId="0" borderId="852" xfId="0" applyNumberFormat="1" applyFont="1" applyBorder="1" applyAlignment="1">
      <alignment horizontal="center"/>
    </xf>
    <xf numFmtId="1" fontId="39" fillId="0" borderId="852" xfId="0" applyNumberFormat="1" applyFont="1" applyBorder="1" applyAlignment="1">
      <alignment horizontal="center" vertical="center"/>
    </xf>
    <xf numFmtId="21" fontId="39" fillId="5" borderId="658" xfId="0" applyNumberFormat="1" applyFont="1" applyFill="1" applyBorder="1" applyAlignment="1">
      <alignment horizontal="center"/>
    </xf>
    <xf numFmtId="1" fontId="39" fillId="5" borderId="658" xfId="0" applyNumberFormat="1" applyFont="1" applyFill="1" applyBorder="1" applyAlignment="1">
      <alignment horizontal="center"/>
    </xf>
    <xf numFmtId="1" fontId="40" fillId="5" borderId="657" xfId="0" applyNumberFormat="1" applyFont="1" applyFill="1" applyBorder="1" applyAlignment="1">
      <alignment horizontal="center"/>
    </xf>
    <xf numFmtId="45" fontId="39" fillId="5" borderId="659" xfId="0" applyNumberFormat="1" applyFont="1" applyFill="1" applyBorder="1" applyAlignment="1">
      <alignment horizontal="center"/>
    </xf>
    <xf numFmtId="1" fontId="39" fillId="0" borderId="851" xfId="0" applyNumberFormat="1" applyFont="1" applyBorder="1" applyAlignment="1">
      <alignment horizontal="center"/>
    </xf>
    <xf numFmtId="1" fontId="39" fillId="0" borderId="851" xfId="0" applyNumberFormat="1" applyFont="1" applyBorder="1" applyAlignment="1">
      <alignment horizontal="center" vertical="center"/>
    </xf>
    <xf numFmtId="21" fontId="39" fillId="5" borderId="771" xfId="0" applyNumberFormat="1" applyFont="1" applyFill="1" applyBorder="1" applyAlignment="1">
      <alignment horizontal="center"/>
    </xf>
    <xf numFmtId="169" fontId="39" fillId="5" borderId="772" xfId="0" applyNumberFormat="1" applyFont="1" applyFill="1" applyBorder="1" applyAlignment="1">
      <alignment horizontal="center"/>
    </xf>
    <xf numFmtId="45" fontId="39" fillId="0" borderId="733" xfId="0" applyNumberFormat="1" applyFont="1" applyBorder="1" applyAlignment="1">
      <alignment horizontal="center"/>
    </xf>
    <xf numFmtId="1" fontId="39" fillId="5" borderId="771" xfId="0" applyNumberFormat="1" applyFont="1" applyFill="1" applyBorder="1" applyAlignment="1">
      <alignment horizontal="center"/>
    </xf>
    <xf numFmtId="1" fontId="40" fillId="5" borderId="733" xfId="0" applyNumberFormat="1" applyFont="1" applyFill="1" applyBorder="1" applyAlignment="1">
      <alignment horizontal="center"/>
    </xf>
    <xf numFmtId="170" fontId="39" fillId="0" borderId="730" xfId="0" applyNumberFormat="1" applyFont="1" applyBorder="1" applyAlignment="1">
      <alignment horizontal="center"/>
    </xf>
    <xf numFmtId="45" fontId="39" fillId="5" borderId="773" xfId="0" applyNumberFormat="1" applyFont="1" applyFill="1" applyBorder="1" applyAlignment="1">
      <alignment horizontal="center"/>
    </xf>
    <xf numFmtId="1" fontId="39" fillId="0" borderId="661" xfId="0" applyNumberFormat="1" applyFont="1" applyBorder="1" applyAlignment="1">
      <alignment horizontal="center"/>
    </xf>
    <xf numFmtId="1" fontId="39" fillId="0" borderId="660" xfId="0" applyNumberFormat="1" applyFont="1" applyBorder="1" applyAlignment="1">
      <alignment horizontal="center"/>
    </xf>
    <xf numFmtId="1" fontId="39" fillId="0" borderId="747" xfId="0" applyNumberFormat="1" applyFont="1" applyBorder="1" applyAlignment="1">
      <alignment horizontal="center"/>
    </xf>
    <xf numFmtId="1" fontId="39" fillId="0" borderId="747" xfId="0" applyNumberFormat="1" applyFont="1" applyBorder="1" applyAlignment="1">
      <alignment horizontal="center" vertical="center"/>
    </xf>
    <xf numFmtId="1" fontId="39" fillId="0" borderId="832" xfId="0" applyNumberFormat="1" applyFont="1" applyBorder="1" applyAlignment="1">
      <alignment horizontal="center"/>
    </xf>
    <xf numFmtId="1" fontId="39" fillId="0" borderId="832" xfId="0" applyNumberFormat="1" applyFont="1" applyBorder="1" applyAlignment="1">
      <alignment horizontal="center" vertical="center"/>
    </xf>
    <xf numFmtId="21" fontId="39" fillId="5" borderId="774" xfId="0" applyNumberFormat="1" applyFont="1" applyFill="1" applyBorder="1" applyAlignment="1">
      <alignment horizontal="center"/>
    </xf>
    <xf numFmtId="169" fontId="39" fillId="5" borderId="775" xfId="0" applyNumberFormat="1" applyFont="1" applyFill="1" applyBorder="1" applyAlignment="1">
      <alignment horizontal="center"/>
    </xf>
    <xf numFmtId="45" fontId="39" fillId="0" borderId="726" xfId="0" applyNumberFormat="1" applyFont="1" applyBorder="1" applyAlignment="1">
      <alignment horizontal="center"/>
    </xf>
    <xf numFmtId="1" fontId="39" fillId="5" borderId="774" xfId="0" applyNumberFormat="1" applyFont="1" applyFill="1" applyBorder="1" applyAlignment="1">
      <alignment horizontal="center"/>
    </xf>
    <xf numFmtId="1" fontId="40" fillId="5" borderId="726" xfId="0" applyNumberFormat="1" applyFont="1" applyFill="1" applyBorder="1" applyAlignment="1">
      <alignment horizontal="center"/>
    </xf>
    <xf numFmtId="170" fontId="39" fillId="0" borderId="728" xfId="0" applyNumberFormat="1" applyFont="1" applyBorder="1" applyAlignment="1">
      <alignment horizontal="center"/>
    </xf>
    <xf numFmtId="45" fontId="39" fillId="5" borderId="776" xfId="0" applyNumberFormat="1" applyFont="1" applyFill="1" applyBorder="1" applyAlignment="1">
      <alignment horizontal="center"/>
    </xf>
    <xf numFmtId="167" fontId="39" fillId="0" borderId="660" xfId="0" applyNumberFormat="1" applyFont="1" applyBorder="1" applyAlignment="1">
      <alignment horizontal="center"/>
    </xf>
    <xf numFmtId="1" fontId="39" fillId="0" borderId="833" xfId="0" applyNumberFormat="1" applyFont="1" applyBorder="1" applyAlignment="1">
      <alignment horizontal="center"/>
    </xf>
    <xf numFmtId="1" fontId="39" fillId="0" borderId="833" xfId="0" applyNumberFormat="1" applyFont="1" applyBorder="1" applyAlignment="1">
      <alignment horizontal="center" vertical="center"/>
    </xf>
    <xf numFmtId="21" fontId="39" fillId="5" borderId="777" xfId="0" applyNumberFormat="1" applyFont="1" applyFill="1" applyBorder="1" applyAlignment="1">
      <alignment horizontal="center"/>
    </xf>
    <xf numFmtId="169" fontId="39" fillId="5" borderId="778" xfId="0" applyNumberFormat="1" applyFont="1" applyFill="1" applyBorder="1" applyAlignment="1">
      <alignment horizontal="center"/>
    </xf>
    <xf numFmtId="45" fontId="39" fillId="0" borderId="729" xfId="0" applyNumberFormat="1" applyFont="1" applyBorder="1" applyAlignment="1">
      <alignment horizontal="center"/>
    </xf>
    <xf numFmtId="1" fontId="39" fillId="5" borderId="777" xfId="0" applyNumberFormat="1" applyFont="1" applyFill="1" applyBorder="1" applyAlignment="1">
      <alignment horizontal="center"/>
    </xf>
    <xf numFmtId="1" fontId="40" fillId="5" borderId="729" xfId="0" applyNumberFormat="1" applyFont="1" applyFill="1" applyBorder="1" applyAlignment="1">
      <alignment horizontal="center"/>
    </xf>
    <xf numFmtId="45" fontId="39" fillId="5" borderId="779" xfId="0" applyNumberFormat="1" applyFont="1" applyFill="1" applyBorder="1" applyAlignment="1">
      <alignment horizontal="center"/>
    </xf>
    <xf numFmtId="1" fontId="43" fillId="5" borderId="732" xfId="0" applyNumberFormat="1" applyFont="1" applyFill="1" applyBorder="1" applyAlignment="1">
      <alignment horizontal="center"/>
    </xf>
    <xf numFmtId="1" fontId="43" fillId="5" borderId="780" xfId="0" applyNumberFormat="1" applyFont="1" applyFill="1" applyBorder="1" applyAlignment="1">
      <alignment horizontal="center"/>
    </xf>
    <xf numFmtId="1" fontId="39" fillId="0" borderId="668" xfId="0" applyNumberFormat="1" applyFont="1" applyBorder="1" applyAlignment="1">
      <alignment horizontal="center"/>
    </xf>
    <xf numFmtId="1" fontId="39" fillId="0" borderId="667" xfId="0" applyNumberFormat="1" applyFont="1" applyBorder="1" applyAlignment="1">
      <alignment horizontal="center"/>
    </xf>
    <xf numFmtId="1" fontId="39" fillId="0" borderId="834" xfId="0" applyNumberFormat="1" applyFont="1" applyBorder="1" applyAlignment="1">
      <alignment horizontal="center"/>
    </xf>
    <xf numFmtId="1" fontId="39" fillId="0" borderId="834" xfId="0" applyNumberFormat="1" applyFont="1" applyBorder="1" applyAlignment="1">
      <alignment horizontal="center" vertical="center"/>
    </xf>
    <xf numFmtId="1" fontId="39" fillId="0" borderId="849" xfId="0" applyNumberFormat="1" applyFont="1" applyBorder="1" applyAlignment="1">
      <alignment horizontal="center"/>
    </xf>
    <xf numFmtId="1" fontId="39" fillId="0" borderId="849" xfId="0" applyNumberFormat="1" applyFont="1" applyBorder="1" applyAlignment="1">
      <alignment horizontal="center" vertical="center"/>
    </xf>
    <xf numFmtId="21" fontId="39" fillId="0" borderId="664" xfId="0" applyNumberFormat="1" applyFont="1" applyBorder="1" applyAlignment="1">
      <alignment horizontal="center"/>
    </xf>
    <xf numFmtId="169" fontId="39" fillId="0" borderId="262" xfId="0" applyNumberFormat="1" applyFont="1" applyBorder="1" applyAlignment="1">
      <alignment horizontal="center"/>
    </xf>
    <xf numFmtId="1" fontId="39" fillId="0" borderId="664" xfId="0" applyNumberFormat="1" applyFont="1" applyBorder="1" applyAlignment="1">
      <alignment horizontal="center"/>
    </xf>
    <xf numFmtId="1" fontId="40" fillId="0" borderId="663" xfId="0" applyNumberFormat="1" applyFont="1" applyBorder="1" applyAlignment="1">
      <alignment horizontal="center"/>
    </xf>
    <xf numFmtId="45" fontId="39" fillId="0" borderId="666" xfId="0" applyNumberFormat="1" applyFont="1" applyBorder="1" applyAlignment="1">
      <alignment horizontal="center"/>
    </xf>
    <xf numFmtId="1" fontId="39" fillId="0" borderId="848" xfId="0" applyNumberFormat="1" applyFont="1" applyBorder="1" applyAlignment="1">
      <alignment horizontal="center"/>
    </xf>
    <xf numFmtId="1" fontId="39" fillId="0" borderId="848" xfId="0" applyNumberFormat="1" applyFont="1" applyBorder="1" applyAlignment="1">
      <alignment horizontal="center" vertical="center"/>
    </xf>
    <xf numFmtId="169" fontId="39" fillId="5" borderId="847" xfId="0" applyNumberFormat="1" applyFont="1" applyFill="1" applyBorder="1" applyAlignment="1">
      <alignment horizontal="center"/>
    </xf>
    <xf numFmtId="1" fontId="39" fillId="0" borderId="728" xfId="0" applyNumberFormat="1" applyFont="1" applyBorder="1" applyAlignment="1">
      <alignment horizontal="center"/>
    </xf>
    <xf numFmtId="1" fontId="39" fillId="0" borderId="728" xfId="0" applyNumberFormat="1" applyFont="1" applyBorder="1" applyAlignment="1">
      <alignment horizontal="center" vertical="center"/>
    </xf>
    <xf numFmtId="169" fontId="39" fillId="5" borderId="854" xfId="0" applyNumberFormat="1" applyFont="1" applyFill="1" applyBorder="1" applyAlignment="1">
      <alignment horizontal="center"/>
    </xf>
    <xf numFmtId="1" fontId="39" fillId="0" borderId="731" xfId="0" applyNumberFormat="1" applyFont="1" applyBorder="1" applyAlignment="1">
      <alignment horizontal="center"/>
    </xf>
    <xf numFmtId="1" fontId="39" fillId="0" borderId="731" xfId="0" applyNumberFormat="1" applyFont="1" applyBorder="1" applyAlignment="1">
      <alignment horizontal="center" vertical="center"/>
    </xf>
    <xf numFmtId="169" fontId="39" fillId="5" borderId="855" xfId="0" applyNumberFormat="1" applyFont="1" applyFill="1" applyBorder="1" applyAlignment="1">
      <alignment horizontal="center"/>
    </xf>
    <xf numFmtId="1" fontId="40" fillId="5" borderId="831" xfId="0" applyNumberFormat="1" applyFont="1" applyFill="1" applyBorder="1" applyAlignment="1">
      <alignment horizontal="center"/>
    </xf>
    <xf numFmtId="1" fontId="39" fillId="0" borderId="670" xfId="0" applyNumberFormat="1" applyFont="1" applyBorder="1" applyAlignment="1">
      <alignment horizontal="center"/>
    </xf>
    <xf numFmtId="167" fontId="39" fillId="0" borderId="671" xfId="0" applyNumberFormat="1" applyFont="1" applyBorder="1" applyAlignment="1">
      <alignment horizontal="center"/>
    </xf>
    <xf numFmtId="1" fontId="39" fillId="5" borderId="858" xfId="0" applyNumberFormat="1" applyFont="1" applyFill="1" applyBorder="1" applyAlignment="1">
      <alignment horizontal="center"/>
    </xf>
    <xf numFmtId="1" fontId="39" fillId="5" borderId="858" xfId="0" applyNumberFormat="1" applyFont="1" applyFill="1" applyBorder="1" applyAlignment="1">
      <alignment horizontal="center" vertical="center"/>
    </xf>
    <xf numFmtId="45" fontId="39" fillId="5" borderId="733" xfId="0" applyNumberFormat="1" applyFont="1" applyFill="1" applyBorder="1" applyAlignment="1">
      <alignment horizontal="center"/>
    </xf>
    <xf numFmtId="170" fontId="39" fillId="5" borderId="730" xfId="0" applyNumberFormat="1" applyFont="1" applyFill="1" applyBorder="1" applyAlignment="1">
      <alignment horizontal="center"/>
    </xf>
    <xf numFmtId="1" fontId="39" fillId="5" borderId="661" xfId="0" applyNumberFormat="1" applyFont="1" applyFill="1" applyBorder="1" applyAlignment="1">
      <alignment horizontal="center"/>
    </xf>
    <xf numFmtId="1" fontId="39" fillId="5" borderId="660" xfId="0" applyNumberFormat="1" applyFont="1" applyFill="1" applyBorder="1" applyAlignment="1">
      <alignment horizontal="center"/>
    </xf>
    <xf numFmtId="167" fontId="39" fillId="5" borderId="625" xfId="0" applyNumberFormat="1" applyFont="1" applyFill="1" applyBorder="1" applyAlignment="1">
      <alignment horizontal="center"/>
    </xf>
    <xf numFmtId="1" fontId="39" fillId="5" borderId="818" xfId="0" applyNumberFormat="1" applyFont="1" applyFill="1" applyBorder="1" applyAlignment="1">
      <alignment horizontal="center"/>
    </xf>
    <xf numFmtId="1" fontId="39" fillId="5" borderId="818" xfId="0" applyNumberFormat="1" applyFont="1" applyFill="1" applyBorder="1" applyAlignment="1">
      <alignment horizontal="center" vertical="center"/>
    </xf>
    <xf numFmtId="45" fontId="39" fillId="5" borderId="748" xfId="0" applyNumberFormat="1" applyFont="1" applyFill="1" applyBorder="1" applyAlignment="1">
      <alignment horizontal="center"/>
    </xf>
    <xf numFmtId="170" fontId="39" fillId="5" borderId="747" xfId="0" applyNumberFormat="1" applyFont="1" applyFill="1" applyBorder="1" applyAlignment="1">
      <alignment horizontal="center"/>
    </xf>
    <xf numFmtId="1" fontId="39" fillId="5" borderId="615" xfId="0" applyNumberFormat="1" applyFont="1" applyFill="1" applyBorder="1" applyAlignment="1">
      <alignment horizontal="center"/>
    </xf>
    <xf numFmtId="1" fontId="39" fillId="5" borderId="614" xfId="0" applyNumberFormat="1" applyFont="1" applyFill="1" applyBorder="1" applyAlignment="1">
      <alignment horizontal="center"/>
    </xf>
    <xf numFmtId="1" fontId="39" fillId="5" borderId="625" xfId="0" applyNumberFormat="1" applyFont="1" applyFill="1" applyBorder="1" applyAlignment="1">
      <alignment horizontal="center"/>
    </xf>
    <xf numFmtId="167" fontId="39" fillId="5" borderId="656" xfId="0" applyNumberFormat="1" applyFont="1" applyFill="1" applyBorder="1" applyAlignment="1">
      <alignment horizontal="center"/>
    </xf>
    <xf numFmtId="1" fontId="39" fillId="5" borderId="859" xfId="0" applyNumberFormat="1" applyFont="1" applyFill="1" applyBorder="1" applyAlignment="1">
      <alignment horizontal="center"/>
    </xf>
    <xf numFmtId="1" fontId="39" fillId="5" borderId="859" xfId="0" applyNumberFormat="1" applyFont="1" applyFill="1" applyBorder="1" applyAlignment="1">
      <alignment horizontal="center" vertical="center"/>
    </xf>
    <xf numFmtId="45" fontId="39" fillId="5" borderId="726" xfId="0" applyNumberFormat="1" applyFont="1" applyFill="1" applyBorder="1" applyAlignment="1">
      <alignment horizontal="center"/>
    </xf>
    <xf numFmtId="170" fontId="39" fillId="5" borderId="728" xfId="0" applyNumberFormat="1" applyFont="1" applyFill="1" applyBorder="1" applyAlignment="1">
      <alignment horizontal="center"/>
    </xf>
    <xf numFmtId="1" fontId="39" fillId="5" borderId="638" xfId="0" applyNumberFormat="1" applyFont="1" applyFill="1" applyBorder="1" applyAlignment="1">
      <alignment horizontal="center"/>
    </xf>
    <xf numFmtId="1" fontId="39" fillId="5" borderId="639" xfId="0" applyNumberFormat="1" applyFont="1" applyFill="1" applyBorder="1" applyAlignment="1">
      <alignment horizontal="center"/>
    </xf>
    <xf numFmtId="1" fontId="39" fillId="5" borderId="656" xfId="0" applyNumberFormat="1" applyFont="1" applyFill="1" applyBorder="1" applyAlignment="1">
      <alignment horizontal="center"/>
    </xf>
    <xf numFmtId="1" fontId="39" fillId="5" borderId="728" xfId="0" applyNumberFormat="1" applyFont="1" applyFill="1" applyBorder="1" applyAlignment="1">
      <alignment horizontal="center"/>
    </xf>
    <xf numFmtId="1" fontId="39" fillId="5" borderId="728" xfId="0" applyNumberFormat="1" applyFont="1" applyFill="1" applyBorder="1" applyAlignment="1">
      <alignment horizontal="center" vertical="center"/>
    </xf>
    <xf numFmtId="1" fontId="39" fillId="0" borderId="638" xfId="0" applyNumberFormat="1" applyFont="1" applyBorder="1" applyAlignment="1">
      <alignment horizontal="center" vertical="center"/>
    </xf>
    <xf numFmtId="21" fontId="39" fillId="5" borderId="685" xfId="0" applyNumberFormat="1" applyFont="1" applyFill="1" applyBorder="1" applyAlignment="1">
      <alignment horizontal="center"/>
    </xf>
    <xf numFmtId="169" fontId="39" fillId="5" borderId="686" xfId="0" applyNumberFormat="1" applyFont="1" applyFill="1" applyBorder="1" applyAlignment="1">
      <alignment horizontal="center"/>
    </xf>
    <xf numFmtId="45" fontId="39" fillId="0" borderId="677" xfId="0" applyNumberFormat="1" applyFont="1" applyBorder="1" applyAlignment="1">
      <alignment horizontal="center"/>
    </xf>
    <xf numFmtId="1" fontId="39" fillId="5" borderId="685" xfId="0" applyNumberFormat="1" applyFont="1" applyFill="1" applyBorder="1" applyAlignment="1">
      <alignment horizontal="center"/>
    </xf>
    <xf numFmtId="1" fontId="40" fillId="5" borderId="677" xfId="0" applyNumberFormat="1" applyFont="1" applyFill="1" applyBorder="1" applyAlignment="1">
      <alignment horizontal="center"/>
    </xf>
    <xf numFmtId="170" fontId="39" fillId="0" borderId="678" xfId="0" applyNumberFormat="1" applyFont="1" applyBorder="1" applyAlignment="1">
      <alignment horizontal="center"/>
    </xf>
    <xf numFmtId="45" fontId="39" fillId="5" borderId="687" xfId="0" applyNumberFormat="1" applyFont="1" applyFill="1" applyBorder="1" applyAlignment="1">
      <alignment horizontal="center"/>
    </xf>
    <xf numFmtId="1" fontId="43" fillId="5" borderId="639" xfId="0" applyNumberFormat="1" applyFont="1" applyFill="1" applyBorder="1" applyAlignment="1">
      <alignment horizontal="center"/>
    </xf>
    <xf numFmtId="167" fontId="39" fillId="5" borderId="697" xfId="0" applyNumberFormat="1" applyFont="1" applyFill="1" applyBorder="1" applyAlignment="1">
      <alignment horizontal="center"/>
    </xf>
    <xf numFmtId="1" fontId="39" fillId="5" borderId="698" xfId="0" applyNumberFormat="1" applyFont="1" applyFill="1" applyBorder="1" applyAlignment="1">
      <alignment horizontal="center"/>
    </xf>
    <xf numFmtId="1" fontId="39" fillId="5" borderId="698" xfId="0" applyNumberFormat="1" applyFont="1" applyFill="1" applyBorder="1" applyAlignment="1">
      <alignment horizontal="center" vertical="center"/>
    </xf>
    <xf numFmtId="1" fontId="39" fillId="10" borderId="698" xfId="0" applyNumberFormat="1" applyFont="1" applyFill="1" applyBorder="1" applyAlignment="1">
      <alignment horizontal="center"/>
    </xf>
    <xf numFmtId="1" fontId="39" fillId="10" borderId="697" xfId="0" applyNumberFormat="1" applyFont="1" applyFill="1" applyBorder="1" applyAlignment="1">
      <alignment horizontal="center"/>
    </xf>
    <xf numFmtId="167" fontId="39" fillId="0" borderId="752" xfId="0" applyNumberFormat="1" applyFont="1" applyBorder="1" applyAlignment="1">
      <alignment horizontal="center"/>
    </xf>
    <xf numFmtId="1" fontId="39" fillId="0" borderId="761" xfId="0" applyNumberFormat="1" applyFont="1" applyBorder="1" applyAlignment="1">
      <alignment horizontal="center"/>
    </xf>
    <xf numFmtId="167" fontId="39" fillId="0" borderId="727" xfId="0" applyNumberFormat="1" applyFont="1" applyBorder="1" applyAlignment="1">
      <alignment horizontal="center"/>
    </xf>
    <xf numFmtId="167" fontId="39" fillId="0" borderId="721" xfId="0" applyNumberFormat="1" applyFont="1" applyBorder="1" applyAlignment="1">
      <alignment horizontal="center"/>
    </xf>
    <xf numFmtId="1" fontId="39" fillId="0" borderId="720" xfId="0" applyNumberFormat="1" applyFont="1" applyBorder="1" applyAlignment="1">
      <alignment horizontal="center"/>
    </xf>
    <xf numFmtId="1" fontId="39" fillId="0" borderId="721" xfId="0" applyNumberFormat="1" applyFont="1" applyBorder="1" applyAlignment="1">
      <alignment horizontal="center"/>
    </xf>
    <xf numFmtId="167" fontId="39" fillId="0" borderId="697" xfId="0" applyNumberFormat="1" applyFont="1" applyBorder="1" applyAlignment="1">
      <alignment horizontal="center"/>
    </xf>
    <xf numFmtId="1" fontId="39" fillId="0" borderId="698" xfId="0" applyNumberFormat="1" applyFont="1" applyBorder="1" applyAlignment="1">
      <alignment horizontal="center" vertical="center"/>
    </xf>
    <xf numFmtId="21" fontId="39" fillId="0" borderId="823" xfId="0" applyNumberFormat="1" applyFont="1" applyBorder="1" applyAlignment="1">
      <alignment horizontal="center"/>
    </xf>
    <xf numFmtId="1" fontId="39" fillId="0" borderId="817" xfId="0" applyNumberFormat="1" applyFont="1" applyBorder="1" applyAlignment="1">
      <alignment horizontal="center"/>
    </xf>
    <xf numFmtId="1" fontId="39" fillId="0" borderId="817" xfId="0" applyNumberFormat="1" applyFont="1" applyBorder="1" applyAlignment="1">
      <alignment horizontal="center" vertical="center"/>
    </xf>
    <xf numFmtId="21" fontId="39" fillId="0" borderId="821" xfId="0" applyNumberFormat="1" applyFont="1" applyBorder="1" applyAlignment="1">
      <alignment horizontal="center"/>
    </xf>
    <xf numFmtId="1" fontId="39" fillId="0" borderId="804" xfId="0" applyNumberFormat="1" applyFont="1" applyBorder="1" applyAlignment="1">
      <alignment horizontal="center"/>
    </xf>
    <xf numFmtId="1" fontId="39" fillId="0" borderId="804" xfId="0" applyNumberFormat="1" applyFont="1" applyBorder="1" applyAlignment="1">
      <alignment horizontal="center" vertical="center"/>
    </xf>
    <xf numFmtId="21" fontId="39" fillId="0" borderId="822" xfId="0" applyNumberFormat="1" applyFont="1" applyBorder="1" applyAlignment="1">
      <alignment horizontal="center"/>
    </xf>
    <xf numFmtId="1" fontId="39" fillId="0" borderId="736" xfId="0" applyNumberFormat="1" applyFont="1" applyBorder="1" applyAlignment="1">
      <alignment horizontal="center"/>
    </xf>
    <xf numFmtId="1" fontId="39" fillId="0" borderId="819" xfId="0" applyNumberFormat="1" applyFont="1" applyBorder="1" applyAlignment="1">
      <alignment horizontal="center"/>
    </xf>
    <xf numFmtId="1" fontId="39" fillId="0" borderId="819" xfId="0" applyNumberFormat="1" applyFont="1" applyBorder="1" applyAlignment="1">
      <alignment horizontal="center" vertical="center"/>
    </xf>
    <xf numFmtId="21" fontId="39" fillId="5" borderId="820" xfId="0" applyNumberFormat="1" applyFont="1" applyFill="1" applyBorder="1" applyAlignment="1">
      <alignment horizontal="center"/>
    </xf>
    <xf numFmtId="21" fontId="39" fillId="5" borderId="821" xfId="0" applyNumberFormat="1" applyFont="1" applyFill="1" applyBorder="1" applyAlignment="1">
      <alignment horizontal="center"/>
    </xf>
    <xf numFmtId="21" fontId="39" fillId="5" borderId="822" xfId="0" applyNumberFormat="1" applyFont="1" applyFill="1" applyBorder="1" applyAlignment="1">
      <alignment horizontal="center"/>
    </xf>
    <xf numFmtId="21" fontId="39" fillId="5" borderId="823" xfId="0" applyNumberFormat="1" applyFont="1" applyFill="1" applyBorder="1" applyAlignment="1">
      <alignment horizontal="center"/>
    </xf>
    <xf numFmtId="167" fontId="39" fillId="0" borderId="739" xfId="0" applyNumberFormat="1" applyFont="1" applyBorder="1" applyAlignment="1">
      <alignment horizontal="center"/>
    </xf>
    <xf numFmtId="1" fontId="39" fillId="0" borderId="740" xfId="0" applyNumberFormat="1" applyFont="1" applyBorder="1" applyAlignment="1">
      <alignment horizontal="center"/>
    </xf>
    <xf numFmtId="1" fontId="39" fillId="0" borderId="892" xfId="0" applyNumberFormat="1" applyFont="1" applyBorder="1" applyAlignment="1">
      <alignment horizontal="center" vertical="center"/>
    </xf>
    <xf numFmtId="167" fontId="39" fillId="0" borderId="738" xfId="0" applyNumberFormat="1" applyFont="1" applyBorder="1" applyAlignment="1">
      <alignment horizontal="center"/>
    </xf>
    <xf numFmtId="1" fontId="39" fillId="0" borderId="895" xfId="0" applyNumberFormat="1" applyFont="1" applyBorder="1" applyAlignment="1">
      <alignment horizontal="center" vertical="center"/>
    </xf>
    <xf numFmtId="167" fontId="39" fillId="0" borderId="649" xfId="0" applyNumberFormat="1" applyFont="1" applyBorder="1" applyAlignment="1">
      <alignment horizontal="center"/>
    </xf>
    <xf numFmtId="1" fontId="39" fillId="0" borderId="640" xfId="0" applyNumberFormat="1" applyFont="1" applyBorder="1" applyAlignment="1">
      <alignment horizontal="center"/>
    </xf>
    <xf numFmtId="1" fontId="39" fillId="0" borderId="893" xfId="0" applyNumberFormat="1" applyFont="1" applyBorder="1" applyAlignment="1">
      <alignment horizontal="center" vertical="center"/>
    </xf>
    <xf numFmtId="21" fontId="39" fillId="5" borderId="651" xfId="0" applyNumberFormat="1" applyFont="1" applyFill="1" applyBorder="1" applyAlignment="1">
      <alignment horizontal="center"/>
    </xf>
    <xf numFmtId="1" fontId="39" fillId="5" borderId="651" xfId="0" applyNumberFormat="1" applyFont="1" applyFill="1" applyBorder="1" applyAlignment="1">
      <alignment horizontal="center"/>
    </xf>
    <xf numFmtId="1" fontId="40" fillId="5" borderId="641" xfId="0" applyNumberFormat="1" applyFont="1" applyFill="1" applyBorder="1" applyAlignment="1">
      <alignment horizontal="center"/>
    </xf>
    <xf numFmtId="45" fontId="39" fillId="5" borderId="652" xfId="0" applyNumberFormat="1" applyFont="1" applyFill="1" applyBorder="1" applyAlignment="1">
      <alignment horizontal="center"/>
    </xf>
    <xf numFmtId="1" fontId="39" fillId="0" borderId="649" xfId="0" applyNumberFormat="1" applyFont="1" applyBorder="1" applyAlignment="1">
      <alignment horizontal="center"/>
    </xf>
    <xf numFmtId="1" fontId="39" fillId="0" borderId="858" xfId="0" applyNumberFormat="1" applyFont="1" applyBorder="1" applyAlignment="1">
      <alignment horizontal="center" vertical="center"/>
    </xf>
    <xf numFmtId="1" fontId="39" fillId="0" borderId="732" xfId="0" applyNumberFormat="1" applyFont="1" applyBorder="1" applyAlignment="1">
      <alignment horizontal="center"/>
    </xf>
    <xf numFmtId="1" fontId="39" fillId="0" borderId="730" xfId="0" applyNumberFormat="1" applyFont="1" applyBorder="1" applyAlignment="1">
      <alignment horizontal="center"/>
    </xf>
    <xf numFmtId="2" fontId="39" fillId="0" borderId="878" xfId="0" applyNumberFormat="1" applyFont="1" applyBorder="1" applyAlignment="1">
      <alignment horizontal="center"/>
    </xf>
    <xf numFmtId="167" fontId="39" fillId="0" borderId="644" xfId="0" applyNumberFormat="1" applyFont="1" applyBorder="1" applyAlignment="1">
      <alignment horizontal="center"/>
    </xf>
    <xf numFmtId="21" fontId="39" fillId="5" borderId="642" xfId="0" applyNumberFormat="1" applyFont="1" applyFill="1" applyBorder="1" applyAlignment="1">
      <alignment horizontal="center"/>
    </xf>
    <xf numFmtId="1" fontId="39" fillId="5" borderId="642" xfId="0" applyNumberFormat="1" applyFont="1" applyFill="1" applyBorder="1" applyAlignment="1">
      <alignment horizontal="center"/>
    </xf>
    <xf numFmtId="45" fontId="39" fillId="5" borderId="643" xfId="0" applyNumberFormat="1" applyFont="1" applyFill="1" applyBorder="1" applyAlignment="1">
      <alignment horizontal="center"/>
    </xf>
    <xf numFmtId="167" fontId="39" fillId="0" borderId="734" xfId="0" applyNumberFormat="1" applyFont="1" applyBorder="1" applyAlignment="1">
      <alignment horizontal="center"/>
    </xf>
    <xf numFmtId="1" fontId="39" fillId="0" borderId="645" xfId="0" applyNumberFormat="1" applyFont="1" applyBorder="1" applyAlignment="1">
      <alignment horizontal="center"/>
    </xf>
    <xf numFmtId="1" fontId="40" fillId="5" borderId="650" xfId="0" applyNumberFormat="1" applyFont="1" applyFill="1" applyBorder="1" applyAlignment="1">
      <alignment horizontal="center"/>
    </xf>
    <xf numFmtId="167" fontId="39" fillId="0" borderId="637" xfId="0" applyNumberFormat="1" applyFont="1" applyBorder="1" applyAlignment="1">
      <alignment horizontal="center"/>
    </xf>
    <xf numFmtId="21" fontId="39" fillId="5" borderId="647" xfId="0" applyNumberFormat="1" applyFont="1" applyFill="1" applyBorder="1" applyAlignment="1">
      <alignment horizontal="center"/>
    </xf>
    <xf numFmtId="1" fontId="39" fillId="5" borderId="647" xfId="0" applyNumberFormat="1" applyFont="1" applyFill="1" applyBorder="1" applyAlignment="1">
      <alignment horizontal="center"/>
    </xf>
    <xf numFmtId="1" fontId="40" fillId="5" borderId="646" xfId="0" applyNumberFormat="1" applyFont="1" applyFill="1" applyBorder="1" applyAlignment="1">
      <alignment horizontal="center"/>
    </xf>
    <xf numFmtId="45" fontId="39" fillId="5" borderId="648" xfId="0" applyNumberFormat="1" applyFont="1" applyFill="1" applyBorder="1" applyAlignment="1">
      <alignment horizontal="center"/>
    </xf>
    <xf numFmtId="1" fontId="39" fillId="0" borderId="637" xfId="0" applyNumberFormat="1" applyFont="1" applyBorder="1" applyAlignment="1">
      <alignment horizontal="center"/>
    </xf>
    <xf numFmtId="1" fontId="39" fillId="0" borderId="816" xfId="0" applyNumberFormat="1" applyFont="1" applyBorder="1" applyAlignment="1">
      <alignment horizontal="center"/>
    </xf>
    <xf numFmtId="1" fontId="39" fillId="0" borderId="815" xfId="0" applyNumberFormat="1" applyFont="1" applyBorder="1" applyAlignment="1">
      <alignment horizontal="center"/>
    </xf>
    <xf numFmtId="1" fontId="39" fillId="0" borderId="813" xfId="0" applyNumberFormat="1" applyFont="1" applyBorder="1" applyAlignment="1">
      <alignment horizontal="center"/>
    </xf>
    <xf numFmtId="1" fontId="39" fillId="0" borderId="814" xfId="0" applyNumberFormat="1" applyFont="1" applyBorder="1" applyAlignment="1">
      <alignment horizontal="center"/>
    </xf>
    <xf numFmtId="1" fontId="39" fillId="0" borderId="807" xfId="0" applyNumberFormat="1" applyFont="1" applyBorder="1" applyAlignment="1">
      <alignment horizontal="center"/>
    </xf>
    <xf numFmtId="1" fontId="39" fillId="0" borderId="810" xfId="0" applyNumberFormat="1" applyFont="1" applyBorder="1" applyAlignment="1">
      <alignment horizontal="center"/>
    </xf>
    <xf numFmtId="1" fontId="39" fillId="0" borderId="811" xfId="0" applyNumberFormat="1" applyFont="1" applyBorder="1" applyAlignment="1">
      <alignment horizontal="center"/>
    </xf>
    <xf numFmtId="1" fontId="39" fillId="0" borderId="812" xfId="0" applyNumberFormat="1" applyFont="1" applyBorder="1" applyAlignment="1">
      <alignment horizontal="center"/>
    </xf>
    <xf numFmtId="1" fontId="39" fillId="0" borderId="805" xfId="0" applyNumberFormat="1" applyFont="1" applyBorder="1" applyAlignment="1">
      <alignment horizontal="center"/>
    </xf>
    <xf numFmtId="1" fontId="39" fillId="0" borderId="809" xfId="0" applyNumberFormat="1" applyFont="1" applyBorder="1" applyAlignment="1">
      <alignment horizontal="center"/>
    </xf>
    <xf numFmtId="1" fontId="39" fillId="0" borderId="806" xfId="0" applyNumberFormat="1" applyFont="1" applyBorder="1" applyAlignment="1">
      <alignment horizontal="center"/>
    </xf>
    <xf numFmtId="1" fontId="39" fillId="0" borderId="724" xfId="0" applyNumberFormat="1" applyFont="1" applyBorder="1" applyAlignment="1">
      <alignment horizontal="center"/>
    </xf>
    <xf numFmtId="167" fontId="39" fillId="17" borderId="738" xfId="0" applyNumberFormat="1" applyFont="1" applyFill="1" applyBorder="1" applyAlignment="1">
      <alignment horizontal="center"/>
    </xf>
    <xf numFmtId="1" fontId="39" fillId="17" borderId="538" xfId="0" applyNumberFormat="1" applyFont="1" applyFill="1" applyBorder="1" applyAlignment="1">
      <alignment horizontal="center"/>
    </xf>
    <xf numFmtId="1" fontId="39" fillId="17" borderId="837" xfId="0" applyNumberFormat="1" applyFont="1" applyFill="1" applyBorder="1" applyAlignment="1">
      <alignment horizontal="center" vertical="center"/>
    </xf>
    <xf numFmtId="21" fontId="39" fillId="17" borderId="777" xfId="0" applyNumberFormat="1" applyFont="1" applyFill="1" applyBorder="1" applyAlignment="1">
      <alignment horizontal="center"/>
    </xf>
    <xf numFmtId="169" fontId="39" fillId="17" borderId="778" xfId="0" applyNumberFormat="1" applyFont="1" applyFill="1" applyBorder="1" applyAlignment="1">
      <alignment horizontal="center"/>
    </xf>
    <xf numFmtId="45" fontId="39" fillId="17" borderId="729" xfId="0" applyNumberFormat="1" applyFont="1" applyFill="1" applyBorder="1" applyAlignment="1">
      <alignment horizontal="center"/>
    </xf>
    <xf numFmtId="1" fontId="39" fillId="17" borderId="777" xfId="0" applyNumberFormat="1" applyFont="1" applyFill="1" applyBorder="1" applyAlignment="1">
      <alignment horizontal="center"/>
    </xf>
    <xf numFmtId="1" fontId="40" fillId="17" borderId="729" xfId="0" applyNumberFormat="1" applyFont="1" applyFill="1" applyBorder="1" applyAlignment="1">
      <alignment horizontal="center"/>
    </xf>
    <xf numFmtId="170" fontId="39" fillId="17" borderId="538" xfId="0" applyNumberFormat="1" applyFont="1" applyFill="1" applyBorder="1" applyAlignment="1">
      <alignment horizontal="center"/>
    </xf>
    <xf numFmtId="45" fontId="39" fillId="17" borderId="779" xfId="0" applyNumberFormat="1" applyFont="1" applyFill="1" applyBorder="1" applyAlignment="1">
      <alignment horizontal="center"/>
    </xf>
    <xf numFmtId="1" fontId="43" fillId="17" borderId="732" xfId="0" applyNumberFormat="1" applyFont="1" applyFill="1" applyBorder="1" applyAlignment="1">
      <alignment horizontal="center"/>
    </xf>
    <xf numFmtId="1" fontId="43" fillId="17" borderId="780" xfId="0" applyNumberFormat="1" applyFont="1" applyFill="1" applyBorder="1" applyAlignment="1">
      <alignment horizontal="center"/>
    </xf>
    <xf numFmtId="1" fontId="43" fillId="17" borderId="875" xfId="0" applyNumberFormat="1" applyFont="1" applyFill="1" applyBorder="1" applyAlignment="1">
      <alignment horizontal="center"/>
    </xf>
    <xf numFmtId="2" fontId="39" fillId="17" borderId="878" xfId="0" applyNumberFormat="1" applyFont="1" applyFill="1" applyBorder="1" applyAlignment="1">
      <alignment horizontal="center"/>
    </xf>
    <xf numFmtId="1" fontId="39" fillId="17" borderId="731" xfId="0" applyNumberFormat="1" applyFont="1" applyFill="1" applyBorder="1" applyAlignment="1">
      <alignment horizontal="center"/>
    </xf>
    <xf numFmtId="1" fontId="39" fillId="17" borderId="732" xfId="0" applyNumberFormat="1" applyFont="1" applyFill="1" applyBorder="1" applyAlignment="1">
      <alignment horizontal="center"/>
    </xf>
    <xf numFmtId="167" fontId="39" fillId="0" borderId="782" xfId="0" applyNumberFormat="1" applyFont="1" applyBorder="1" applyAlignment="1">
      <alignment horizontal="center"/>
    </xf>
    <xf numFmtId="1" fontId="39" fillId="0" borderId="783" xfId="0" applyNumberFormat="1" applyFont="1" applyBorder="1" applyAlignment="1">
      <alignment horizontal="center"/>
    </xf>
    <xf numFmtId="1" fontId="39" fillId="0" borderId="783" xfId="0" applyNumberFormat="1" applyFont="1" applyBorder="1" applyAlignment="1">
      <alignment horizontal="center" vertical="center"/>
    </xf>
    <xf numFmtId="21" fontId="39" fillId="5" borderId="786" xfId="0" applyNumberFormat="1" applyFont="1" applyFill="1" applyBorder="1" applyAlignment="1">
      <alignment horizontal="center"/>
    </xf>
    <xf numFmtId="169" fontId="39" fillId="5" borderId="787" xfId="0" applyNumberFormat="1" applyFont="1" applyFill="1" applyBorder="1" applyAlignment="1">
      <alignment horizontal="center"/>
    </xf>
    <xf numFmtId="45" fontId="39" fillId="0" borderId="781" xfId="0" applyNumberFormat="1" applyFont="1" applyBorder="1" applyAlignment="1">
      <alignment horizontal="center"/>
    </xf>
    <xf numFmtId="1" fontId="39" fillId="5" borderId="786" xfId="0" applyNumberFormat="1" applyFont="1" applyFill="1" applyBorder="1" applyAlignment="1">
      <alignment horizontal="center"/>
    </xf>
    <xf numFmtId="1" fontId="40" fillId="5" borderId="781" xfId="0" applyNumberFormat="1" applyFont="1" applyFill="1" applyBorder="1" applyAlignment="1">
      <alignment horizontal="center"/>
    </xf>
    <xf numFmtId="170" fontId="39" fillId="0" borderId="783" xfId="0" applyNumberFormat="1" applyFont="1" applyBorder="1" applyAlignment="1">
      <alignment horizontal="center"/>
    </xf>
    <xf numFmtId="45" fontId="39" fillId="5" borderId="788" xfId="0" applyNumberFormat="1" applyFont="1" applyFill="1" applyBorder="1" applyAlignment="1">
      <alignment horizontal="center"/>
    </xf>
    <xf numFmtId="167" fontId="39" fillId="0" borderId="851" xfId="0" applyNumberFormat="1" applyFont="1" applyBorder="1" applyAlignment="1">
      <alignment horizontal="center"/>
    </xf>
    <xf numFmtId="1" fontId="39" fillId="0" borderId="905" xfId="0" applyNumberFormat="1" applyFont="1" applyBorder="1" applyAlignment="1">
      <alignment horizontal="center"/>
    </xf>
    <xf numFmtId="1" fontId="39" fillId="0" borderId="905" xfId="0" applyNumberFormat="1" applyFont="1" applyBorder="1" applyAlignment="1">
      <alignment horizontal="center" vertical="center"/>
    </xf>
    <xf numFmtId="21" fontId="39" fillId="5" borderId="1008" xfId="0" applyNumberFormat="1" applyFont="1" applyFill="1" applyBorder="1" applyAlignment="1">
      <alignment horizontal="center"/>
    </xf>
    <xf numFmtId="169" fontId="39" fillId="5" borderId="1009" xfId="0" applyNumberFormat="1" applyFont="1" applyFill="1" applyBorder="1" applyAlignment="1">
      <alignment horizontal="center"/>
    </xf>
    <xf numFmtId="45" fontId="39" fillId="0" borderId="1007" xfId="0" applyNumberFormat="1" applyFont="1" applyBorder="1" applyAlignment="1">
      <alignment horizontal="center"/>
    </xf>
    <xf numFmtId="1" fontId="39" fillId="5" borderId="1008" xfId="0" applyNumberFormat="1" applyFont="1" applyFill="1" applyBorder="1" applyAlignment="1">
      <alignment horizontal="center"/>
    </xf>
    <xf numFmtId="1" fontId="40" fillId="5" borderId="1007" xfId="0" applyNumberFormat="1" applyFont="1" applyFill="1" applyBorder="1" applyAlignment="1">
      <alignment horizontal="center"/>
    </xf>
    <xf numFmtId="170" fontId="39" fillId="0" borderId="1005" xfId="0" applyNumberFormat="1" applyFont="1" applyBorder="1" applyAlignment="1">
      <alignment horizontal="center"/>
    </xf>
    <xf numFmtId="45" fontId="39" fillId="5" borderId="1010" xfId="0" applyNumberFormat="1" applyFont="1" applyFill="1" applyBorder="1" applyAlignment="1">
      <alignment horizontal="center"/>
    </xf>
    <xf numFmtId="1" fontId="43" fillId="5" borderId="851" xfId="0" applyNumberFormat="1" applyFont="1" applyFill="1" applyBorder="1" applyAlignment="1">
      <alignment horizontal="center"/>
    </xf>
    <xf numFmtId="2" fontId="39" fillId="0" borderId="905" xfId="0" applyNumberFormat="1" applyFont="1" applyBorder="1" applyAlignment="1">
      <alignment horizontal="center"/>
    </xf>
    <xf numFmtId="167" fontId="39" fillId="0" borderId="818" xfId="0" applyNumberFormat="1" applyFont="1" applyBorder="1" applyAlignment="1">
      <alignment horizontal="center"/>
    </xf>
    <xf numFmtId="1" fontId="39" fillId="0" borderId="918" xfId="0" applyNumberFormat="1" applyFont="1" applyBorder="1" applyAlignment="1">
      <alignment horizontal="center"/>
    </xf>
    <xf numFmtId="1" fontId="39" fillId="0" borderId="918" xfId="0" applyNumberFormat="1" applyFont="1" applyBorder="1" applyAlignment="1">
      <alignment horizontal="center" vertical="center"/>
    </xf>
    <xf numFmtId="45" fontId="39" fillId="0" borderId="847" xfId="0" applyNumberFormat="1" applyFont="1" applyBorder="1" applyAlignment="1">
      <alignment horizontal="center"/>
    </xf>
    <xf numFmtId="1" fontId="40" fillId="5" borderId="1022" xfId="0" applyNumberFormat="1" applyFont="1" applyFill="1" applyBorder="1" applyAlignment="1">
      <alignment horizontal="center"/>
    </xf>
    <xf numFmtId="170" fontId="39" fillId="0" borderId="918" xfId="0" applyNumberFormat="1" applyFont="1" applyBorder="1" applyAlignment="1">
      <alignment horizontal="center"/>
    </xf>
    <xf numFmtId="45" fontId="39" fillId="5" borderId="823" xfId="0" applyNumberFormat="1" applyFont="1" applyFill="1" applyBorder="1" applyAlignment="1">
      <alignment horizontal="center"/>
    </xf>
    <xf numFmtId="1" fontId="43" fillId="5" borderId="818" xfId="0" applyNumberFormat="1" applyFont="1" applyFill="1" applyBorder="1" applyAlignment="1">
      <alignment horizontal="center"/>
    </xf>
    <xf numFmtId="2" fontId="39" fillId="0" borderId="579" xfId="0" applyNumberFormat="1" applyFont="1" applyBorder="1" applyAlignment="1">
      <alignment horizontal="center"/>
    </xf>
    <xf numFmtId="1" fontId="39" fillId="0" borderId="484" xfId="0" applyNumberFormat="1" applyFont="1" applyBorder="1" applyAlignment="1">
      <alignment horizontal="center"/>
    </xf>
    <xf numFmtId="1" fontId="39" fillId="0" borderId="976" xfId="0" applyNumberFormat="1" applyFont="1" applyBorder="1" applyAlignment="1">
      <alignment horizontal="center"/>
    </xf>
    <xf numFmtId="167" fontId="39" fillId="0" borderId="1004" xfId="0" applyNumberFormat="1" applyFont="1" applyBorder="1" applyAlignment="1">
      <alignment horizontal="center"/>
    </xf>
    <xf numFmtId="1" fontId="39" fillId="0" borderId="1003" xfId="0" applyNumberFormat="1" applyFont="1" applyBorder="1" applyAlignment="1">
      <alignment horizontal="center"/>
    </xf>
    <xf numFmtId="1" fontId="39" fillId="0" borderId="1003" xfId="0" applyNumberFormat="1" applyFont="1" applyBorder="1" applyAlignment="1">
      <alignment horizontal="center" vertical="center"/>
    </xf>
    <xf numFmtId="21" fontId="39" fillId="5" borderId="1011" xfId="0" applyNumberFormat="1" applyFont="1" applyFill="1" applyBorder="1" applyAlignment="1">
      <alignment horizontal="center"/>
    </xf>
    <xf numFmtId="169" fontId="39" fillId="5" borderId="1012" xfId="0" applyNumberFormat="1" applyFont="1" applyFill="1" applyBorder="1" applyAlignment="1">
      <alignment horizontal="center"/>
    </xf>
    <xf numFmtId="45" fontId="39" fillId="0" borderId="999" xfId="0" applyNumberFormat="1" applyFont="1" applyBorder="1" applyAlignment="1">
      <alignment horizontal="center"/>
    </xf>
    <xf numFmtId="1" fontId="39" fillId="5" borderId="1011" xfId="0" applyNumberFormat="1" applyFont="1" applyFill="1" applyBorder="1" applyAlignment="1">
      <alignment horizontal="center"/>
    </xf>
    <xf numFmtId="170" fontId="39" fillId="0" borderId="1003" xfId="0" applyNumberFormat="1" applyFont="1" applyBorder="1" applyAlignment="1">
      <alignment horizontal="center"/>
    </xf>
    <xf numFmtId="45" fontId="39" fillId="5" borderId="1013" xfId="0" applyNumberFormat="1" applyFont="1" applyFill="1" applyBorder="1" applyAlignment="1">
      <alignment horizontal="center"/>
    </xf>
    <xf numFmtId="1" fontId="43" fillId="5" borderId="1000" xfId="0" applyNumberFormat="1" applyFont="1" applyFill="1" applyBorder="1" applyAlignment="1">
      <alignment horizontal="center"/>
    </xf>
    <xf numFmtId="1" fontId="43" fillId="5" borderId="995" xfId="0" applyNumberFormat="1" applyFont="1" applyFill="1" applyBorder="1" applyAlignment="1">
      <alignment horizontal="center"/>
    </xf>
    <xf numFmtId="2" fontId="39" fillId="0" borderId="996" xfId="0" applyNumberFormat="1" applyFont="1" applyBorder="1" applyAlignment="1">
      <alignment horizontal="center"/>
    </xf>
    <xf numFmtId="1" fontId="39" fillId="0" borderId="1000" xfId="0" applyNumberFormat="1" applyFont="1" applyBorder="1" applyAlignment="1">
      <alignment horizontal="center"/>
    </xf>
    <xf numFmtId="167" fontId="39" fillId="0" borderId="1000" xfId="0" applyNumberFormat="1" applyFont="1" applyBorder="1" applyAlignment="1">
      <alignment horizontal="center"/>
    </xf>
    <xf numFmtId="1" fontId="39" fillId="0" borderId="996" xfId="0" applyNumberFormat="1" applyFont="1" applyBorder="1" applyAlignment="1">
      <alignment horizontal="center"/>
    </xf>
    <xf numFmtId="1" fontId="39" fillId="0" borderId="996" xfId="0" applyNumberFormat="1" applyFont="1" applyBorder="1" applyAlignment="1">
      <alignment horizontal="center" vertical="center"/>
    </xf>
    <xf numFmtId="1" fontId="40" fillId="5" borderId="999" xfId="0" applyNumberFormat="1" applyFont="1" applyFill="1" applyBorder="1" applyAlignment="1">
      <alignment horizontal="center"/>
    </xf>
    <xf numFmtId="167" fontId="39" fillId="0" borderId="1006" xfId="0" applyNumberFormat="1" applyFont="1" applyBorder="1" applyAlignment="1">
      <alignment horizontal="center"/>
    </xf>
    <xf numFmtId="1" fontId="39" fillId="0" borderId="1002" xfId="0" applyNumberFormat="1" applyFont="1" applyBorder="1" applyAlignment="1">
      <alignment horizontal="center"/>
    </xf>
    <xf numFmtId="1" fontId="39" fillId="0" borderId="1002" xfId="0" applyNumberFormat="1" applyFont="1" applyBorder="1" applyAlignment="1">
      <alignment horizontal="center" vertical="center"/>
    </xf>
    <xf numFmtId="21" fontId="39" fillId="5" borderId="1015" xfId="0" applyNumberFormat="1" applyFont="1" applyFill="1" applyBorder="1" applyAlignment="1">
      <alignment horizontal="center"/>
    </xf>
    <xf numFmtId="169" fontId="39" fillId="5" borderId="1016" xfId="0" applyNumberFormat="1" applyFont="1" applyFill="1" applyBorder="1" applyAlignment="1">
      <alignment horizontal="center"/>
    </xf>
    <xf numFmtId="45" fontId="39" fillId="0" borderId="1001" xfId="0" applyNumberFormat="1" applyFont="1" applyBorder="1" applyAlignment="1">
      <alignment horizontal="center"/>
    </xf>
    <xf numFmtId="1" fontId="39" fillId="5" borderId="1015" xfId="0" applyNumberFormat="1" applyFont="1" applyFill="1" applyBorder="1" applyAlignment="1">
      <alignment horizontal="center"/>
    </xf>
    <xf numFmtId="1" fontId="40" fillId="5" borderId="1001" xfId="0" applyNumberFormat="1" applyFont="1" applyFill="1" applyBorder="1" applyAlignment="1">
      <alignment horizontal="center"/>
    </xf>
    <xf numFmtId="170" fontId="39" fillId="0" borderId="1002" xfId="0" applyNumberFormat="1" applyFont="1" applyBorder="1" applyAlignment="1">
      <alignment horizontal="center"/>
    </xf>
    <xf numFmtId="45" fontId="39" fillId="5" borderId="1017" xfId="0" applyNumberFormat="1" applyFont="1" applyFill="1" applyBorder="1" applyAlignment="1">
      <alignment horizontal="center"/>
    </xf>
    <xf numFmtId="1" fontId="43" fillId="5" borderId="997" xfId="0" applyNumberFormat="1" applyFont="1" applyFill="1" applyBorder="1" applyAlignment="1">
      <alignment horizontal="center"/>
    </xf>
    <xf numFmtId="1" fontId="43" fillId="5" borderId="998" xfId="0" applyNumberFormat="1" applyFont="1" applyFill="1" applyBorder="1" applyAlignment="1">
      <alignment horizontal="center"/>
    </xf>
    <xf numFmtId="2" fontId="39" fillId="0" borderId="950" xfId="0" applyNumberFormat="1" applyFont="1" applyBorder="1" applyAlignment="1">
      <alignment horizontal="center"/>
    </xf>
    <xf numFmtId="1" fontId="39" fillId="0" borderId="950" xfId="0" applyNumberFormat="1" applyFont="1" applyBorder="1" applyAlignment="1">
      <alignment horizontal="center"/>
    </xf>
    <xf numFmtId="1" fontId="39" fillId="0" borderId="997" xfId="0" applyNumberFormat="1" applyFont="1" applyBorder="1" applyAlignment="1">
      <alignment horizontal="center"/>
    </xf>
    <xf numFmtId="1" fontId="40" fillId="5" borderId="847" xfId="0" applyNumberFormat="1" applyFont="1" applyFill="1" applyBorder="1" applyAlignment="1">
      <alignment horizontal="center"/>
    </xf>
    <xf numFmtId="167" fontId="39" fillId="0" borderId="858" xfId="0" applyNumberFormat="1" applyFont="1" applyBorder="1" applyAlignment="1">
      <alignment horizontal="center"/>
    </xf>
    <xf numFmtId="1" fontId="43" fillId="5" borderId="858" xfId="0" applyNumberFormat="1" applyFont="1" applyFill="1" applyBorder="1" applyAlignment="1">
      <alignment horizontal="center"/>
    </xf>
    <xf numFmtId="1" fontId="39" fillId="0" borderId="858" xfId="0" applyNumberFormat="1" applyFont="1" applyBorder="1" applyAlignment="1">
      <alignment horizontal="center"/>
    </xf>
    <xf numFmtId="2" fontId="39" fillId="0" borderId="1022" xfId="0" applyNumberFormat="1" applyFont="1" applyBorder="1" applyAlignment="1">
      <alignment horizontal="center"/>
    </xf>
    <xf numFmtId="1" fontId="39" fillId="0" borderId="808" xfId="0" applyNumberFormat="1" applyFont="1" applyBorder="1" applyAlignment="1">
      <alignment horizontal="center"/>
    </xf>
    <xf numFmtId="1" fontId="39" fillId="0" borderId="1018" xfId="0" applyNumberFormat="1" applyFont="1" applyBorder="1" applyAlignment="1">
      <alignment horizontal="center"/>
    </xf>
    <xf numFmtId="2" fontId="39" fillId="0" borderId="1019" xfId="0" applyNumberFormat="1" applyFont="1" applyBorder="1" applyAlignment="1">
      <alignment horizontal="center"/>
    </xf>
    <xf numFmtId="1" fontId="39" fillId="0" borderId="1019" xfId="0" applyNumberFormat="1" applyFont="1" applyBorder="1" applyAlignment="1">
      <alignment horizontal="center"/>
    </xf>
    <xf numFmtId="169" fontId="39" fillId="5" borderId="1023" xfId="0" applyNumberFormat="1" applyFont="1" applyFill="1" applyBorder="1" applyAlignment="1">
      <alignment horizontal="center"/>
    </xf>
    <xf numFmtId="1" fontId="39" fillId="0" borderId="1022" xfId="0" applyNumberFormat="1" applyFont="1" applyBorder="1" applyAlignment="1">
      <alignment horizontal="center"/>
    </xf>
    <xf numFmtId="1" fontId="39" fillId="0" borderId="1022" xfId="0" applyNumberFormat="1" applyFont="1" applyBorder="1" applyAlignment="1">
      <alignment horizontal="center" vertical="center"/>
    </xf>
    <xf numFmtId="167" fontId="39" fillId="0" borderId="1020" xfId="0" applyNumberFormat="1" applyFont="1" applyBorder="1" applyAlignment="1">
      <alignment horizontal="center"/>
    </xf>
    <xf numFmtId="21" fontId="39" fillId="5" borderId="1025" xfId="0" applyNumberFormat="1" applyFont="1" applyFill="1" applyBorder="1" applyAlignment="1">
      <alignment horizontal="center"/>
    </xf>
    <xf numFmtId="169" fontId="39" fillId="5" borderId="1026" xfId="0" applyNumberFormat="1" applyFont="1" applyFill="1" applyBorder="1" applyAlignment="1">
      <alignment horizontal="center"/>
    </xf>
    <xf numFmtId="45" fontId="39" fillId="0" borderId="1021" xfId="0" applyNumberFormat="1" applyFont="1" applyBorder="1" applyAlignment="1">
      <alignment horizontal="center"/>
    </xf>
    <xf numFmtId="1" fontId="39" fillId="5" borderId="1025" xfId="0" applyNumberFormat="1" applyFont="1" applyFill="1" applyBorder="1" applyAlignment="1">
      <alignment horizontal="center"/>
    </xf>
    <xf numFmtId="1" fontId="40" fillId="5" borderId="1021" xfId="0" applyNumberFormat="1" applyFont="1" applyFill="1" applyBorder="1" applyAlignment="1">
      <alignment horizontal="center"/>
    </xf>
    <xf numFmtId="45" fontId="39" fillId="5" borderId="1027" xfId="0" applyNumberFormat="1" applyFont="1" applyFill="1" applyBorder="1" applyAlignment="1">
      <alignment horizontal="center"/>
    </xf>
    <xf numFmtId="1" fontId="43" fillId="5" borderId="1020" xfId="0" applyNumberFormat="1" applyFont="1" applyFill="1" applyBorder="1" applyAlignment="1">
      <alignment horizontal="center"/>
    </xf>
    <xf numFmtId="1" fontId="43" fillId="5" borderId="1028" xfId="0" applyNumberFormat="1" applyFont="1" applyFill="1" applyBorder="1" applyAlignment="1">
      <alignment horizontal="center"/>
    </xf>
    <xf numFmtId="1" fontId="39" fillId="0" borderId="1020" xfId="0" applyNumberFormat="1" applyFont="1" applyBorder="1" applyAlignment="1">
      <alignment horizontal="center"/>
    </xf>
    <xf numFmtId="2" fontId="39" fillId="0" borderId="1002" xfId="0" applyNumberFormat="1" applyFont="1" applyBorder="1" applyAlignment="1">
      <alignment horizontal="center"/>
    </xf>
    <xf numFmtId="1" fontId="39" fillId="0" borderId="824" xfId="0" applyNumberFormat="1" applyFont="1" applyBorder="1" applyAlignment="1">
      <alignment horizontal="center"/>
    </xf>
    <xf numFmtId="1" fontId="39" fillId="0" borderId="824" xfId="0" applyNumberFormat="1" applyFont="1" applyBorder="1" applyAlignment="1">
      <alignment horizontal="center" vertical="center"/>
    </xf>
    <xf numFmtId="45" fontId="39" fillId="0" borderId="803" xfId="0" applyNumberFormat="1" applyFont="1" applyBorder="1" applyAlignment="1">
      <alignment horizontal="center"/>
    </xf>
    <xf numFmtId="1" fontId="40" fillId="5" borderId="803" xfId="0" applyNumberFormat="1" applyFont="1" applyFill="1" applyBorder="1" applyAlignment="1">
      <alignment horizontal="center"/>
    </xf>
    <xf numFmtId="170" fontId="39" fillId="0" borderId="824" xfId="0" applyNumberFormat="1" applyFont="1" applyBorder="1" applyAlignment="1">
      <alignment horizontal="center"/>
    </xf>
    <xf numFmtId="1" fontId="39" fillId="0" borderId="865" xfId="0" applyNumberFormat="1" applyFont="1" applyBorder="1" applyAlignment="1">
      <alignment horizontal="center"/>
    </xf>
    <xf numFmtId="21" fontId="39" fillId="5" borderId="910" xfId="0" applyNumberFormat="1" applyFont="1" applyFill="1" applyBorder="1" applyAlignment="1">
      <alignment horizontal="center"/>
    </xf>
    <xf numFmtId="169" fontId="39" fillId="5" borderId="911" xfId="0" applyNumberFormat="1" applyFont="1" applyFill="1" applyBorder="1" applyAlignment="1">
      <alignment horizontal="center"/>
    </xf>
    <xf numFmtId="45" fontId="39" fillId="0" borderId="902" xfId="0" applyNumberFormat="1" applyFont="1" applyBorder="1" applyAlignment="1">
      <alignment horizontal="center"/>
    </xf>
    <xf numFmtId="1" fontId="39" fillId="5" borderId="910" xfId="0" applyNumberFormat="1" applyFont="1" applyFill="1" applyBorder="1" applyAlignment="1">
      <alignment horizontal="center"/>
    </xf>
    <xf numFmtId="1" fontId="40" fillId="5" borderId="902" xfId="0" applyNumberFormat="1" applyFont="1" applyFill="1" applyBorder="1" applyAlignment="1">
      <alignment horizontal="center"/>
    </xf>
    <xf numFmtId="170" fontId="39" fillId="0" borderId="628" xfId="0" applyNumberFormat="1" applyFont="1" applyBorder="1" applyAlignment="1">
      <alignment horizontal="center"/>
    </xf>
    <xf numFmtId="45" fontId="39" fillId="5" borderId="912" xfId="0" applyNumberFormat="1" applyFont="1" applyFill="1" applyBorder="1" applyAlignment="1">
      <alignment horizontal="center"/>
    </xf>
    <xf numFmtId="1" fontId="43" fillId="5" borderId="906" xfId="0" applyNumberFormat="1" applyFont="1" applyFill="1" applyBorder="1" applyAlignment="1">
      <alignment horizontal="center"/>
    </xf>
    <xf numFmtId="1" fontId="43" fillId="5" borderId="913" xfId="0" applyNumberFormat="1" applyFont="1" applyFill="1" applyBorder="1" applyAlignment="1">
      <alignment horizontal="center"/>
    </xf>
    <xf numFmtId="2" fontId="39" fillId="0" borderId="903" xfId="0" applyNumberFormat="1" applyFont="1" applyBorder="1" applyAlignment="1">
      <alignment horizontal="center"/>
    </xf>
    <xf numFmtId="1" fontId="39" fillId="0" borderId="906" xfId="0" applyNumberFormat="1" applyFont="1" applyBorder="1" applyAlignment="1">
      <alignment horizontal="center"/>
    </xf>
    <xf numFmtId="167" fontId="39" fillId="0" borderId="906" xfId="0" applyNumberFormat="1" applyFont="1" applyBorder="1" applyAlignment="1">
      <alignment horizontal="center"/>
    </xf>
    <xf numFmtId="1" fontId="39" fillId="0" borderId="903" xfId="0" applyNumberFormat="1" applyFont="1" applyBorder="1" applyAlignment="1">
      <alignment horizontal="center"/>
    </xf>
    <xf numFmtId="1" fontId="39" fillId="0" borderId="903" xfId="0" applyNumberFormat="1" applyFont="1" applyBorder="1" applyAlignment="1">
      <alignment horizontal="center" vertical="center"/>
    </xf>
    <xf numFmtId="45" fontId="39" fillId="0" borderId="627" xfId="0" applyNumberFormat="1" applyFont="1" applyBorder="1" applyAlignment="1">
      <alignment horizontal="center"/>
    </xf>
    <xf numFmtId="167" fontId="39" fillId="0" borderId="907" xfId="0" applyNumberFormat="1" applyFont="1" applyBorder="1" applyAlignment="1">
      <alignment horizontal="center"/>
    </xf>
    <xf numFmtId="21" fontId="39" fillId="5" borderId="914" xfId="0" applyNumberFormat="1" applyFont="1" applyFill="1" applyBorder="1" applyAlignment="1">
      <alignment horizontal="center"/>
    </xf>
    <xf numFmtId="169" fontId="39" fillId="5" borderId="915" xfId="0" applyNumberFormat="1" applyFont="1" applyFill="1" applyBorder="1" applyAlignment="1">
      <alignment horizontal="center"/>
    </xf>
    <xf numFmtId="45" fontId="39" fillId="0" borderId="904" xfId="0" applyNumberFormat="1" applyFont="1" applyBorder="1" applyAlignment="1">
      <alignment horizontal="center"/>
    </xf>
    <xf numFmtId="1" fontId="39" fillId="5" borderId="914" xfId="0" applyNumberFormat="1" applyFont="1" applyFill="1" applyBorder="1" applyAlignment="1">
      <alignment horizontal="center"/>
    </xf>
    <xf numFmtId="1" fontId="40" fillId="5" borderId="904" xfId="0" applyNumberFormat="1" applyFont="1" applyFill="1" applyBorder="1" applyAlignment="1">
      <alignment horizontal="center"/>
    </xf>
    <xf numFmtId="45" fontId="39" fillId="5" borderId="916" xfId="0" applyNumberFormat="1" applyFont="1" applyFill="1" applyBorder="1" applyAlignment="1">
      <alignment horizontal="center"/>
    </xf>
    <xf numFmtId="1" fontId="43" fillId="5" borderId="907" xfId="0" applyNumberFormat="1" applyFont="1" applyFill="1" applyBorder="1" applyAlignment="1">
      <alignment horizontal="center"/>
    </xf>
    <xf numFmtId="1" fontId="43" fillId="5" borderId="917" xfId="0" applyNumberFormat="1" applyFont="1" applyFill="1" applyBorder="1" applyAlignment="1">
      <alignment horizontal="center"/>
    </xf>
    <xf numFmtId="2" fontId="39" fillId="0" borderId="908" xfId="0" applyNumberFormat="1" applyFont="1" applyBorder="1" applyAlignment="1">
      <alignment horizontal="center"/>
    </xf>
    <xf numFmtId="1" fontId="39" fillId="0" borderId="908" xfId="0" applyNumberFormat="1" applyFont="1" applyBorder="1" applyAlignment="1">
      <alignment horizontal="center"/>
    </xf>
    <xf numFmtId="1" fontId="39" fillId="0" borderId="907" xfId="0" applyNumberFormat="1" applyFont="1" applyBorder="1" applyAlignment="1">
      <alignment horizontal="center"/>
    </xf>
    <xf numFmtId="2" fontId="39" fillId="0" borderId="606" xfId="0" applyNumberFormat="1" applyFont="1" applyBorder="1" applyAlignment="1">
      <alignment horizontal="center"/>
    </xf>
    <xf numFmtId="1" fontId="43" fillId="5" borderId="909" xfId="0" applyNumberFormat="1" applyFont="1" applyFill="1" applyBorder="1" applyAlignment="1">
      <alignment horizontal="center"/>
    </xf>
    <xf numFmtId="21" fontId="39" fillId="5" borderId="930" xfId="0" applyNumberFormat="1" applyFont="1" applyFill="1" applyBorder="1" applyAlignment="1">
      <alignment horizontal="center"/>
    </xf>
    <xf numFmtId="169" fontId="39" fillId="5" borderId="931" xfId="0" applyNumberFormat="1" applyFont="1" applyFill="1" applyBorder="1" applyAlignment="1">
      <alignment horizontal="center"/>
    </xf>
    <xf numFmtId="45" fontId="39" fillId="0" borderId="929" xfId="0" applyNumberFormat="1" applyFont="1" applyBorder="1" applyAlignment="1">
      <alignment horizontal="center"/>
    </xf>
    <xf numFmtId="1" fontId="39" fillId="5" borderId="930" xfId="0" applyNumberFormat="1" applyFont="1" applyFill="1" applyBorder="1" applyAlignment="1">
      <alignment horizontal="center"/>
    </xf>
    <xf numFmtId="1" fontId="40" fillId="5" borderId="929" xfId="0" applyNumberFormat="1" applyFont="1" applyFill="1" applyBorder="1" applyAlignment="1">
      <alignment horizontal="center"/>
    </xf>
    <xf numFmtId="170" fontId="39" fillId="0" borderId="932" xfId="0" applyNumberFormat="1" applyFont="1" applyBorder="1" applyAlignment="1">
      <alignment horizontal="center"/>
    </xf>
    <xf numFmtId="45" fontId="39" fillId="5" borderId="933" xfId="0" applyNumberFormat="1" applyFont="1" applyFill="1" applyBorder="1" applyAlignment="1">
      <alignment horizontal="center"/>
    </xf>
    <xf numFmtId="167" fontId="39" fillId="0" borderId="918" xfId="0" applyNumberFormat="1" applyFont="1" applyBorder="1" applyAlignment="1">
      <alignment horizontal="center"/>
    </xf>
    <xf numFmtId="21" fontId="39" fillId="5" borderId="918" xfId="0" applyNumberFormat="1" applyFont="1" applyFill="1" applyBorder="1" applyAlignment="1">
      <alignment horizontal="center"/>
    </xf>
    <xf numFmtId="169" fontId="39" fillId="5" borderId="918" xfId="0" applyNumberFormat="1" applyFont="1" applyFill="1" applyBorder="1" applyAlignment="1">
      <alignment horizontal="center"/>
    </xf>
    <xf numFmtId="45" fontId="39" fillId="0" borderId="918" xfId="0" applyNumberFormat="1" applyFont="1" applyBorder="1" applyAlignment="1">
      <alignment horizontal="center"/>
    </xf>
    <xf numFmtId="1" fontId="39" fillId="5" borderId="918" xfId="0" applyNumberFormat="1" applyFont="1" applyFill="1" applyBorder="1" applyAlignment="1">
      <alignment horizontal="center"/>
    </xf>
    <xf numFmtId="1" fontId="40" fillId="5" borderId="918" xfId="0" applyNumberFormat="1" applyFont="1" applyFill="1" applyBorder="1" applyAlignment="1">
      <alignment horizontal="center"/>
    </xf>
    <xf numFmtId="45" fontId="39" fillId="5" borderId="918" xfId="0" applyNumberFormat="1" applyFont="1" applyFill="1" applyBorder="1" applyAlignment="1">
      <alignment horizontal="center"/>
    </xf>
    <xf numFmtId="1" fontId="43" fillId="5" borderId="927" xfId="0" applyNumberFormat="1" applyFont="1" applyFill="1" applyBorder="1" applyAlignment="1">
      <alignment horizontal="center"/>
    </xf>
    <xf numFmtId="1" fontId="43" fillId="5" borderId="934" xfId="0" applyNumberFormat="1" applyFont="1" applyFill="1" applyBorder="1" applyAlignment="1">
      <alignment horizontal="center"/>
    </xf>
    <xf numFmtId="2" fontId="39" fillId="0" borderId="918" xfId="0" applyNumberFormat="1" applyFont="1" applyBorder="1" applyAlignment="1">
      <alignment horizontal="center"/>
    </xf>
    <xf numFmtId="167" fontId="39" fillId="0" borderId="628" xfId="0" applyNumberFormat="1" applyFont="1" applyBorder="1" applyAlignment="1">
      <alignment horizontal="center"/>
    </xf>
    <xf numFmtId="21" fontId="39" fillId="5" borderId="628" xfId="0" applyNumberFormat="1" applyFont="1" applyFill="1" applyBorder="1" applyAlignment="1">
      <alignment horizontal="center"/>
    </xf>
    <xf numFmtId="169" fontId="39" fillId="5" borderId="628" xfId="0" applyNumberFormat="1" applyFont="1" applyFill="1" applyBorder="1" applyAlignment="1">
      <alignment horizontal="center"/>
    </xf>
    <xf numFmtId="45" fontId="39" fillId="0" borderId="628" xfId="0" applyNumberFormat="1" applyFont="1" applyBorder="1" applyAlignment="1">
      <alignment horizontal="center"/>
    </xf>
    <xf numFmtId="1" fontId="39" fillId="5" borderId="628" xfId="0" applyNumberFormat="1" applyFont="1" applyFill="1" applyBorder="1" applyAlignment="1">
      <alignment horizontal="center"/>
    </xf>
    <xf numFmtId="1" fontId="40" fillId="5" borderId="628" xfId="0" applyNumberFormat="1" applyFont="1" applyFill="1" applyBorder="1" applyAlignment="1">
      <alignment horizontal="center"/>
    </xf>
    <xf numFmtId="45" fontId="39" fillId="5" borderId="628" xfId="0" applyNumberFormat="1" applyFont="1" applyFill="1" applyBorder="1" applyAlignment="1">
      <alignment horizontal="center"/>
    </xf>
    <xf numFmtId="1" fontId="43" fillId="5" borderId="629" xfId="0" applyNumberFormat="1" applyFont="1" applyFill="1" applyBorder="1" applyAlignment="1">
      <alignment horizontal="center"/>
    </xf>
    <xf numFmtId="1" fontId="43" fillId="5" borderId="925" xfId="0" applyNumberFormat="1" applyFont="1" applyFill="1" applyBorder="1" applyAlignment="1">
      <alignment horizontal="center"/>
    </xf>
    <xf numFmtId="1" fontId="43" fillId="5" borderId="935" xfId="0" applyNumberFormat="1" applyFont="1" applyFill="1" applyBorder="1" applyAlignment="1">
      <alignment horizontal="center"/>
    </xf>
    <xf numFmtId="2" fontId="39" fillId="0" borderId="628" xfId="0" applyNumberFormat="1" applyFont="1" applyBorder="1" applyAlignment="1">
      <alignment horizontal="center"/>
    </xf>
    <xf numFmtId="167" fontId="39" fillId="0" borderId="932" xfId="0" applyNumberFormat="1" applyFont="1" applyBorder="1" applyAlignment="1">
      <alignment horizontal="center"/>
    </xf>
    <xf numFmtId="1" fontId="39" fillId="0" borderId="932" xfId="0" applyNumberFormat="1" applyFont="1" applyBorder="1" applyAlignment="1">
      <alignment horizontal="center"/>
    </xf>
    <xf numFmtId="1" fontId="39" fillId="0" borderId="932" xfId="0" applyNumberFormat="1" applyFont="1" applyBorder="1" applyAlignment="1">
      <alignment horizontal="center" vertical="center"/>
    </xf>
    <xf numFmtId="21" fontId="39" fillId="5" borderId="932" xfId="0" applyNumberFormat="1" applyFont="1" applyFill="1" applyBorder="1" applyAlignment="1">
      <alignment horizontal="center"/>
    </xf>
    <xf numFmtId="169" fontId="39" fillId="5" borderId="932" xfId="0" applyNumberFormat="1" applyFont="1" applyFill="1" applyBorder="1" applyAlignment="1">
      <alignment horizontal="center"/>
    </xf>
    <xf numFmtId="45" fontId="39" fillId="0" borderId="932" xfId="0" applyNumberFormat="1" applyFont="1" applyBorder="1" applyAlignment="1">
      <alignment horizontal="center"/>
    </xf>
    <xf numFmtId="1" fontId="39" fillId="5" borderId="932" xfId="0" applyNumberFormat="1" applyFont="1" applyFill="1" applyBorder="1" applyAlignment="1">
      <alignment horizontal="center"/>
    </xf>
    <xf numFmtId="1" fontId="40" fillId="5" borderId="932" xfId="0" applyNumberFormat="1" applyFont="1" applyFill="1" applyBorder="1" applyAlignment="1">
      <alignment horizontal="center"/>
    </xf>
    <xf numFmtId="45" fontId="39" fillId="5" borderId="932" xfId="0" applyNumberFormat="1" applyFont="1" applyFill="1" applyBorder="1" applyAlignment="1">
      <alignment horizontal="center"/>
    </xf>
    <xf numFmtId="1" fontId="43" fillId="5" borderId="939" xfId="0" applyNumberFormat="1" applyFont="1" applyFill="1" applyBorder="1" applyAlignment="1">
      <alignment horizontal="center"/>
    </xf>
    <xf numFmtId="1" fontId="43" fillId="5" borderId="938" xfId="0" applyNumberFormat="1" applyFont="1" applyFill="1" applyBorder="1" applyAlignment="1">
      <alignment horizontal="center"/>
    </xf>
    <xf numFmtId="2" fontId="39" fillId="0" borderId="932" xfId="0" applyNumberFormat="1" applyFont="1" applyBorder="1" applyAlignment="1">
      <alignment horizontal="center"/>
    </xf>
    <xf numFmtId="1" fontId="43" fillId="5" borderId="937" xfId="0" applyNumberFormat="1" applyFont="1" applyFill="1" applyBorder="1" applyAlignment="1">
      <alignment horizontal="center"/>
    </xf>
    <xf numFmtId="21" fontId="39" fillId="5" borderId="538" xfId="0" applyNumberFormat="1" applyFont="1" applyFill="1" applyBorder="1" applyAlignment="1">
      <alignment horizontal="center"/>
    </xf>
    <xf numFmtId="169" fontId="39" fillId="5" borderId="538" xfId="0" applyNumberFormat="1" applyFont="1" applyFill="1" applyBorder="1" applyAlignment="1">
      <alignment horizontal="center"/>
    </xf>
    <xf numFmtId="45" fontId="39" fillId="0" borderId="538" xfId="0" applyNumberFormat="1" applyFont="1" applyBorder="1" applyAlignment="1">
      <alignment horizontal="center"/>
    </xf>
    <xf numFmtId="1" fontId="40" fillId="5" borderId="538" xfId="0" applyNumberFormat="1" applyFont="1" applyFill="1" applyBorder="1" applyAlignment="1">
      <alignment horizontal="center"/>
    </xf>
    <xf numFmtId="45" fontId="39" fillId="5" borderId="538" xfId="0" applyNumberFormat="1" applyFont="1" applyFill="1" applyBorder="1" applyAlignment="1">
      <alignment horizontal="center"/>
    </xf>
    <xf numFmtId="1" fontId="43" fillId="5" borderId="926" xfId="0" applyNumberFormat="1" applyFont="1" applyFill="1" applyBorder="1" applyAlignment="1">
      <alignment horizontal="center"/>
    </xf>
    <xf numFmtId="1" fontId="43" fillId="5" borderId="936" xfId="0" applyNumberFormat="1" applyFont="1" applyFill="1" applyBorder="1" applyAlignment="1">
      <alignment horizontal="center"/>
    </xf>
    <xf numFmtId="2" fontId="39" fillId="0" borderId="538" xfId="0" applyNumberFormat="1" applyFont="1" applyBorder="1" applyAlignment="1">
      <alignment horizontal="center"/>
    </xf>
    <xf numFmtId="167" fontId="39" fillId="0" borderId="156" xfId="0" applyNumberFormat="1" applyFont="1" applyBorder="1" applyAlignment="1">
      <alignment horizontal="center"/>
    </xf>
    <xf numFmtId="21" fontId="39" fillId="5" borderId="156" xfId="0" applyNumberFormat="1" applyFont="1" applyFill="1" applyBorder="1" applyAlignment="1">
      <alignment horizontal="center"/>
    </xf>
    <xf numFmtId="169" fontId="39" fillId="5" borderId="156" xfId="0" applyNumberFormat="1" applyFont="1" applyFill="1" applyBorder="1" applyAlignment="1">
      <alignment horizontal="center"/>
    </xf>
    <xf numFmtId="45" fontId="39" fillId="0" borderId="156" xfId="0" applyNumberFormat="1" applyFont="1" applyBorder="1" applyAlignment="1">
      <alignment horizontal="center"/>
    </xf>
    <xf numFmtId="1" fontId="40" fillId="5" borderId="156" xfId="0" applyNumberFormat="1" applyFont="1" applyFill="1" applyBorder="1" applyAlignment="1">
      <alignment horizontal="center"/>
    </xf>
    <xf numFmtId="45" fontId="39" fillId="5" borderId="156" xfId="0" applyNumberFormat="1" applyFont="1" applyFill="1" applyBorder="1" applyAlignment="1">
      <alignment horizontal="center"/>
    </xf>
    <xf numFmtId="1" fontId="43" fillId="5" borderId="158" xfId="0" applyNumberFormat="1" applyFont="1" applyFill="1" applyBorder="1" applyAlignment="1">
      <alignment horizontal="center"/>
    </xf>
    <xf numFmtId="1" fontId="43" fillId="5" borderId="159" xfId="0" applyNumberFormat="1" applyFont="1" applyFill="1" applyBorder="1" applyAlignment="1">
      <alignment horizontal="center"/>
    </xf>
    <xf numFmtId="2" fontId="39" fillId="0" borderId="156" xfId="0" applyNumberFormat="1" applyFont="1" applyBorder="1" applyAlignment="1">
      <alignment horizontal="center"/>
    </xf>
    <xf numFmtId="169" fontId="39" fillId="0" borderId="0" xfId="0" applyNumberFormat="1" applyFont="1" applyAlignment="1">
      <alignment horizontal="left"/>
    </xf>
    <xf numFmtId="167" fontId="39" fillId="0" borderId="905" xfId="0" applyNumberFormat="1" applyFont="1" applyBorder="1" applyAlignment="1">
      <alignment horizontal="center"/>
    </xf>
    <xf numFmtId="21" fontId="39" fillId="5" borderId="905" xfId="0" applyNumberFormat="1" applyFont="1" applyFill="1" applyBorder="1" applyAlignment="1">
      <alignment horizontal="center"/>
    </xf>
    <xf numFmtId="169" fontId="39" fillId="5" borderId="905" xfId="0" applyNumberFormat="1" applyFont="1" applyFill="1" applyBorder="1" applyAlignment="1">
      <alignment horizontal="center"/>
    </xf>
    <xf numFmtId="45" fontId="39" fillId="0" borderId="905" xfId="0" applyNumberFormat="1" applyFont="1" applyBorder="1" applyAlignment="1">
      <alignment horizontal="center"/>
    </xf>
    <xf numFmtId="1" fontId="39" fillId="5" borderId="905" xfId="0" applyNumberFormat="1" applyFont="1" applyFill="1" applyBorder="1" applyAlignment="1">
      <alignment horizontal="center"/>
    </xf>
    <xf numFmtId="1" fontId="40" fillId="5" borderId="905" xfId="0" applyNumberFormat="1" applyFont="1" applyFill="1" applyBorder="1" applyAlignment="1">
      <alignment horizontal="center"/>
    </xf>
    <xf numFmtId="170" fontId="39" fillId="0" borderId="905" xfId="0" applyNumberFormat="1" applyFont="1" applyBorder="1" applyAlignment="1">
      <alignment horizontal="center"/>
    </xf>
    <xf numFmtId="45" fontId="39" fillId="5" borderId="905" xfId="0" applyNumberFormat="1" applyFont="1" applyFill="1" applyBorder="1" applyAlignment="1">
      <alignment horizontal="center"/>
    </xf>
    <xf numFmtId="1" fontId="43" fillId="5" borderId="857" xfId="0" applyNumberFormat="1" applyFont="1" applyFill="1" applyBorder="1" applyAlignment="1">
      <alignment horizontal="center"/>
    </xf>
    <xf numFmtId="1" fontId="43" fillId="5" borderId="944" xfId="0" applyNumberFormat="1" applyFont="1" applyFill="1" applyBorder="1" applyAlignment="1">
      <alignment horizontal="center"/>
    </xf>
    <xf numFmtId="1" fontId="43" fillId="5" borderId="945" xfId="0" applyNumberFormat="1" applyFont="1" applyFill="1" applyBorder="1" applyAlignment="1">
      <alignment horizontal="center"/>
    </xf>
    <xf numFmtId="1" fontId="43" fillId="5" borderId="946" xfId="0" applyNumberFormat="1" applyFont="1" applyFill="1" applyBorder="1" applyAlignment="1">
      <alignment horizontal="center"/>
    </xf>
    <xf numFmtId="167" fontId="39" fillId="0" borderId="941" xfId="0" applyNumberFormat="1" applyFont="1" applyBorder="1" applyAlignment="1">
      <alignment horizontal="center"/>
    </xf>
    <xf numFmtId="1" fontId="39" fillId="0" borderId="941" xfId="0" applyNumberFormat="1" applyFont="1" applyBorder="1" applyAlignment="1">
      <alignment horizontal="center"/>
    </xf>
    <xf numFmtId="1" fontId="39" fillId="0" borderId="941" xfId="0" applyNumberFormat="1" applyFont="1" applyBorder="1" applyAlignment="1">
      <alignment horizontal="center" vertical="center"/>
    </xf>
    <xf numFmtId="21" fontId="39" fillId="5" borderId="941" xfId="0" applyNumberFormat="1" applyFont="1" applyFill="1" applyBorder="1" applyAlignment="1">
      <alignment horizontal="center"/>
    </xf>
    <xf numFmtId="169" fontId="39" fillId="5" borderId="941" xfId="0" applyNumberFormat="1" applyFont="1" applyFill="1" applyBorder="1" applyAlignment="1">
      <alignment horizontal="center"/>
    </xf>
    <xf numFmtId="45" fontId="39" fillId="0" borderId="941" xfId="0" applyNumberFormat="1" applyFont="1" applyBorder="1" applyAlignment="1">
      <alignment horizontal="center"/>
    </xf>
    <xf numFmtId="1" fontId="39" fillId="5" borderId="941" xfId="0" applyNumberFormat="1" applyFont="1" applyFill="1" applyBorder="1" applyAlignment="1">
      <alignment horizontal="center"/>
    </xf>
    <xf numFmtId="1" fontId="40" fillId="5" borderId="941" xfId="0" applyNumberFormat="1" applyFont="1" applyFill="1" applyBorder="1" applyAlignment="1">
      <alignment horizontal="center"/>
    </xf>
    <xf numFmtId="170" fontId="39" fillId="0" borderId="941" xfId="0" applyNumberFormat="1" applyFont="1" applyBorder="1" applyAlignment="1">
      <alignment horizontal="center"/>
    </xf>
    <xf numFmtId="45" fontId="39" fillId="5" borderId="941" xfId="0" applyNumberFormat="1" applyFont="1" applyFill="1" applyBorder="1" applyAlignment="1">
      <alignment horizontal="center"/>
    </xf>
    <xf numFmtId="1" fontId="43" fillId="5" borderId="940" xfId="0" applyNumberFormat="1" applyFont="1" applyFill="1" applyBorder="1" applyAlignment="1">
      <alignment horizontal="center"/>
    </xf>
    <xf numFmtId="1" fontId="43" fillId="5" borderId="942" xfId="0" applyNumberFormat="1" applyFont="1" applyFill="1" applyBorder="1" applyAlignment="1">
      <alignment horizontal="center"/>
    </xf>
    <xf numFmtId="1" fontId="43" fillId="5" borderId="947" xfId="0" applyNumberFormat="1" applyFont="1" applyFill="1" applyBorder="1" applyAlignment="1">
      <alignment horizontal="center"/>
    </xf>
    <xf numFmtId="2" fontId="39" fillId="0" borderId="941" xfId="0" applyNumberFormat="1" applyFont="1" applyBorder="1" applyAlignment="1">
      <alignment horizontal="center"/>
    </xf>
    <xf numFmtId="1" fontId="43" fillId="5" borderId="943" xfId="0" applyNumberFormat="1" applyFont="1" applyFill="1" applyBorder="1" applyAlignment="1">
      <alignment horizontal="center"/>
    </xf>
    <xf numFmtId="167" fontId="39" fillId="0" borderId="468" xfId="0" applyNumberFormat="1" applyFont="1" applyBorder="1" applyAlignment="1">
      <alignment horizontal="center"/>
    </xf>
    <xf numFmtId="21" fontId="39" fillId="5" borderId="468" xfId="0" applyNumberFormat="1" applyFont="1" applyFill="1" applyBorder="1" applyAlignment="1">
      <alignment horizontal="center"/>
    </xf>
    <xf numFmtId="169" fontId="39" fillId="5" borderId="468" xfId="0" applyNumberFormat="1" applyFont="1" applyFill="1" applyBorder="1" applyAlignment="1">
      <alignment horizontal="center"/>
    </xf>
    <xf numFmtId="45" fontId="39" fillId="0" borderId="468" xfId="0" applyNumberFormat="1" applyFont="1" applyBorder="1" applyAlignment="1">
      <alignment horizontal="center"/>
    </xf>
    <xf numFmtId="1" fontId="39" fillId="5" borderId="468" xfId="0" applyNumberFormat="1" applyFont="1" applyFill="1" applyBorder="1" applyAlignment="1">
      <alignment horizontal="center"/>
    </xf>
    <xf numFmtId="1" fontId="40" fillId="5" borderId="468" xfId="0" applyNumberFormat="1" applyFont="1" applyFill="1" applyBorder="1" applyAlignment="1">
      <alignment horizontal="center"/>
    </xf>
    <xf numFmtId="170" fontId="39" fillId="0" borderId="468" xfId="0" applyNumberFormat="1" applyFont="1" applyBorder="1" applyAlignment="1">
      <alignment horizontal="center"/>
    </xf>
    <xf numFmtId="45" fontId="39" fillId="5" borderId="468" xfId="0" applyNumberFormat="1" applyFont="1" applyFill="1" applyBorder="1" applyAlignment="1">
      <alignment horizontal="center"/>
    </xf>
    <xf numFmtId="1" fontId="43" fillId="5" borderId="125" xfId="0" applyNumberFormat="1" applyFont="1" applyFill="1" applyBorder="1" applyAlignment="1">
      <alignment horizontal="center"/>
    </xf>
    <xf numFmtId="1" fontId="40" fillId="5" borderId="1039" xfId="0" applyNumberFormat="1" applyFont="1" applyFill="1" applyBorder="1" applyAlignment="1">
      <alignment horizontal="center"/>
    </xf>
    <xf numFmtId="167" fontId="39" fillId="0" borderId="949" xfId="0" applyNumberFormat="1" applyFont="1" applyBorder="1" applyAlignment="1">
      <alignment horizontal="center"/>
    </xf>
    <xf numFmtId="1" fontId="39" fillId="0" borderId="949" xfId="0" applyNumberFormat="1" applyFont="1" applyBorder="1" applyAlignment="1">
      <alignment horizontal="center"/>
    </xf>
    <xf numFmtId="1" fontId="39" fillId="0" borderId="949" xfId="0" applyNumberFormat="1" applyFont="1" applyBorder="1" applyAlignment="1">
      <alignment horizontal="center" vertical="center"/>
    </xf>
    <xf numFmtId="21" fontId="39" fillId="5" borderId="949" xfId="0" applyNumberFormat="1" applyFont="1" applyFill="1" applyBorder="1" applyAlignment="1">
      <alignment horizontal="center"/>
    </xf>
    <xf numFmtId="169" fontId="39" fillId="5" borderId="949" xfId="0" applyNumberFormat="1" applyFont="1" applyFill="1" applyBorder="1" applyAlignment="1">
      <alignment horizontal="center"/>
    </xf>
    <xf numFmtId="45" fontId="39" fillId="0" borderId="949" xfId="0" applyNumberFormat="1" applyFont="1" applyBorder="1" applyAlignment="1">
      <alignment horizontal="center"/>
    </xf>
    <xf numFmtId="1" fontId="39" fillId="5" borderId="949" xfId="0" applyNumberFormat="1" applyFont="1" applyFill="1" applyBorder="1" applyAlignment="1">
      <alignment horizontal="center"/>
    </xf>
    <xf numFmtId="1" fontId="40" fillId="5" borderId="949" xfId="0" applyNumberFormat="1" applyFont="1" applyFill="1" applyBorder="1" applyAlignment="1">
      <alignment horizontal="center"/>
    </xf>
    <xf numFmtId="170" fontId="39" fillId="0" borderId="949" xfId="0" applyNumberFormat="1" applyFont="1" applyBorder="1" applyAlignment="1">
      <alignment horizontal="center"/>
    </xf>
    <xf numFmtId="45" fontId="39" fillId="5" borderId="949" xfId="0" applyNumberFormat="1" applyFont="1" applyFill="1" applyBorder="1" applyAlignment="1">
      <alignment horizontal="center"/>
    </xf>
    <xf numFmtId="1" fontId="43" fillId="5" borderId="948" xfId="0" applyNumberFormat="1" applyFont="1" applyFill="1" applyBorder="1" applyAlignment="1">
      <alignment horizontal="center"/>
    </xf>
    <xf numFmtId="1" fontId="43" fillId="5" borderId="952" xfId="0" applyNumberFormat="1" applyFont="1" applyFill="1" applyBorder="1" applyAlignment="1">
      <alignment horizontal="center"/>
    </xf>
    <xf numFmtId="1" fontId="43" fillId="5" borderId="953" xfId="0" applyNumberFormat="1" applyFont="1" applyFill="1" applyBorder="1" applyAlignment="1">
      <alignment horizontal="center"/>
    </xf>
    <xf numFmtId="2" fontId="39" fillId="0" borderId="949" xfId="0" applyNumberFormat="1" applyFont="1" applyBorder="1" applyAlignment="1">
      <alignment horizontal="center"/>
    </xf>
    <xf numFmtId="167" fontId="39" fillId="0" borderId="950" xfId="0" applyNumberFormat="1" applyFont="1" applyBorder="1" applyAlignment="1">
      <alignment horizontal="center"/>
    </xf>
    <xf numFmtId="1" fontId="39" fillId="0" borderId="950" xfId="0" applyNumberFormat="1" applyFont="1" applyBorder="1" applyAlignment="1">
      <alignment horizontal="center" vertical="center"/>
    </xf>
    <xf numFmtId="21" fontId="39" fillId="5" borderId="950" xfId="0" applyNumberFormat="1" applyFont="1" applyFill="1" applyBorder="1" applyAlignment="1">
      <alignment horizontal="center"/>
    </xf>
    <xf numFmtId="169" fontId="39" fillId="5" borderId="950" xfId="0" applyNumberFormat="1" applyFont="1" applyFill="1" applyBorder="1" applyAlignment="1">
      <alignment horizontal="center"/>
    </xf>
    <xf numFmtId="45" fontId="39" fillId="0" borderId="950" xfId="0" applyNumberFormat="1" applyFont="1" applyBorder="1" applyAlignment="1">
      <alignment horizontal="center"/>
    </xf>
    <xf numFmtId="1" fontId="39" fillId="5" borderId="950" xfId="0" applyNumberFormat="1" applyFont="1" applyFill="1" applyBorder="1" applyAlignment="1">
      <alignment horizontal="center"/>
    </xf>
    <xf numFmtId="1" fontId="40" fillId="5" borderId="950" xfId="0" applyNumberFormat="1" applyFont="1" applyFill="1" applyBorder="1" applyAlignment="1">
      <alignment horizontal="center"/>
    </xf>
    <xf numFmtId="170" fontId="39" fillId="0" borderId="950" xfId="0" applyNumberFormat="1" applyFont="1" applyBorder="1" applyAlignment="1">
      <alignment horizontal="center"/>
    </xf>
    <xf numFmtId="45" fontId="39" fillId="5" borderId="950" xfId="0" applyNumberFormat="1" applyFont="1" applyFill="1" applyBorder="1" applyAlignment="1">
      <alignment horizontal="center"/>
    </xf>
    <xf numFmtId="1" fontId="43" fillId="5" borderId="951" xfId="0" applyNumberFormat="1" applyFont="1" applyFill="1" applyBorder="1" applyAlignment="1">
      <alignment horizontal="center"/>
    </xf>
    <xf numFmtId="1" fontId="43" fillId="5" borderId="954" xfId="0" applyNumberFormat="1" applyFont="1" applyFill="1" applyBorder="1" applyAlignment="1">
      <alignment horizontal="center"/>
    </xf>
    <xf numFmtId="1" fontId="43" fillId="5" borderId="955" xfId="0" applyNumberFormat="1" applyFont="1" applyFill="1" applyBorder="1" applyAlignment="1">
      <alignment horizontal="center"/>
    </xf>
    <xf numFmtId="1" fontId="43" fillId="5" borderId="956" xfId="0" applyNumberFormat="1" applyFont="1" applyFill="1" applyBorder="1" applyAlignment="1">
      <alignment horizontal="center"/>
    </xf>
    <xf numFmtId="1" fontId="43" fillId="5" borderId="957" xfId="0" applyNumberFormat="1" applyFont="1" applyFill="1" applyBorder="1" applyAlignment="1">
      <alignment horizontal="center"/>
    </xf>
    <xf numFmtId="1" fontId="43" fillId="5" borderId="958" xfId="0" applyNumberFormat="1" applyFont="1" applyFill="1" applyBorder="1" applyAlignment="1">
      <alignment horizontal="center"/>
    </xf>
    <xf numFmtId="167" fontId="39" fillId="0" borderId="959" xfId="0" applyNumberFormat="1" applyFont="1" applyBorder="1" applyAlignment="1">
      <alignment horizontal="center"/>
    </xf>
    <xf numFmtId="1" fontId="39" fillId="0" borderId="959" xfId="0" applyNumberFormat="1" applyFont="1" applyBorder="1" applyAlignment="1">
      <alignment horizontal="center"/>
    </xf>
    <xf numFmtId="21" fontId="39" fillId="5" borderId="944" xfId="0" applyNumberFormat="1" applyFont="1" applyFill="1" applyBorder="1" applyAlignment="1">
      <alignment horizontal="center"/>
    </xf>
    <xf numFmtId="169" fontId="39" fillId="5" borderId="959" xfId="0" applyNumberFormat="1" applyFont="1" applyFill="1" applyBorder="1" applyAlignment="1">
      <alignment horizontal="center"/>
    </xf>
    <xf numFmtId="45" fontId="39" fillId="0" borderId="959" xfId="0" applyNumberFormat="1" applyFont="1" applyBorder="1" applyAlignment="1">
      <alignment horizontal="center"/>
    </xf>
    <xf numFmtId="1" fontId="39" fillId="5" borderId="959" xfId="0" applyNumberFormat="1" applyFont="1" applyFill="1" applyBorder="1" applyAlignment="1">
      <alignment horizontal="center"/>
    </xf>
    <xf numFmtId="1" fontId="40" fillId="5" borderId="959" xfId="0" applyNumberFormat="1" applyFont="1" applyFill="1" applyBorder="1" applyAlignment="1">
      <alignment horizontal="center"/>
    </xf>
    <xf numFmtId="170" fontId="39" fillId="0" borderId="959" xfId="0" applyNumberFormat="1" applyFont="1" applyBorder="1" applyAlignment="1">
      <alignment horizontal="center"/>
    </xf>
    <xf numFmtId="45" fontId="39" fillId="5" borderId="959" xfId="0" applyNumberFormat="1" applyFont="1" applyFill="1" applyBorder="1" applyAlignment="1">
      <alignment horizontal="center"/>
    </xf>
    <xf numFmtId="1" fontId="43" fillId="5" borderId="960" xfId="0" applyNumberFormat="1" applyFont="1" applyFill="1" applyBorder="1" applyAlignment="1">
      <alignment horizontal="center"/>
    </xf>
    <xf numFmtId="1" fontId="43" fillId="5" borderId="961" xfId="0" applyNumberFormat="1" applyFont="1" applyFill="1" applyBorder="1" applyAlignment="1">
      <alignment horizontal="center"/>
    </xf>
    <xf numFmtId="1" fontId="43" fillId="5" borderId="962" xfId="0" applyNumberFormat="1" applyFont="1" applyFill="1" applyBorder="1" applyAlignment="1">
      <alignment horizontal="center"/>
    </xf>
    <xf numFmtId="2" fontId="39" fillId="0" borderId="959" xfId="0" applyNumberFormat="1" applyFont="1" applyBorder="1" applyAlignment="1">
      <alignment horizontal="center"/>
    </xf>
    <xf numFmtId="21" fontId="39" fillId="5" borderId="946" xfId="0" applyNumberFormat="1" applyFont="1" applyFill="1" applyBorder="1" applyAlignment="1">
      <alignment horizontal="center"/>
    </xf>
    <xf numFmtId="1" fontId="39" fillId="0" borderId="963" xfId="0" applyNumberFormat="1" applyFont="1" applyBorder="1" applyAlignment="1">
      <alignment horizontal="center" vertical="center"/>
    </xf>
    <xf numFmtId="21" fontId="39" fillId="5" borderId="965" xfId="0" applyNumberFormat="1" applyFont="1" applyFill="1" applyBorder="1" applyAlignment="1">
      <alignment horizontal="center"/>
    </xf>
    <xf numFmtId="21" fontId="39" fillId="5" borderId="936" xfId="0" applyNumberFormat="1" applyFont="1" applyFill="1" applyBorder="1" applyAlignment="1">
      <alignment horizontal="center"/>
    </xf>
    <xf numFmtId="21" fontId="39" fillId="5" borderId="159" xfId="0" applyNumberFormat="1" applyFont="1" applyFill="1" applyBorder="1" applyAlignment="1">
      <alignment horizontal="center"/>
    </xf>
    <xf numFmtId="1" fontId="39" fillId="0" borderId="964" xfId="0" applyNumberFormat="1" applyFont="1" applyBorder="1" applyAlignment="1">
      <alignment horizontal="center" vertical="center"/>
    </xf>
    <xf numFmtId="21" fontId="39" fillId="5" borderId="966" xfId="0" applyNumberFormat="1" applyFont="1" applyFill="1" applyBorder="1" applyAlignment="1">
      <alignment horizontal="center"/>
    </xf>
    <xf numFmtId="1" fontId="43" fillId="5" borderId="870" xfId="0" applyNumberFormat="1" applyFont="1" applyFill="1" applyBorder="1" applyAlignment="1">
      <alignment horizontal="center"/>
    </xf>
    <xf numFmtId="167" fontId="39" fillId="0" borderId="791" xfId="0" applyNumberFormat="1" applyFont="1" applyBorder="1" applyAlignment="1">
      <alignment horizontal="center"/>
    </xf>
    <xf numFmtId="21" fontId="39" fillId="5" borderId="791" xfId="0" applyNumberFormat="1" applyFont="1" applyFill="1" applyBorder="1" applyAlignment="1">
      <alignment horizontal="center"/>
    </xf>
    <xf numFmtId="169" fontId="39" fillId="5" borderId="791" xfId="0" applyNumberFormat="1" applyFont="1" applyFill="1" applyBorder="1" applyAlignment="1">
      <alignment horizontal="center"/>
    </xf>
    <xf numFmtId="45" fontId="39" fillId="0" borderId="791" xfId="0" applyNumberFormat="1" applyFont="1" applyBorder="1" applyAlignment="1">
      <alignment horizontal="center"/>
    </xf>
    <xf numFmtId="1" fontId="39" fillId="5" borderId="791" xfId="0" applyNumberFormat="1" applyFont="1" applyFill="1" applyBorder="1" applyAlignment="1">
      <alignment horizontal="center"/>
    </xf>
    <xf numFmtId="1" fontId="40" fillId="5" borderId="791" xfId="0" applyNumberFormat="1" applyFont="1" applyFill="1" applyBorder="1" applyAlignment="1">
      <alignment horizontal="center"/>
    </xf>
    <xf numFmtId="45" fontId="39" fillId="5" borderId="791" xfId="0" applyNumberFormat="1" applyFont="1" applyFill="1" applyBorder="1" applyAlignment="1">
      <alignment horizontal="center"/>
    </xf>
    <xf numFmtId="1" fontId="43" fillId="5" borderId="1031" xfId="0" applyNumberFormat="1" applyFont="1" applyFill="1" applyBorder="1" applyAlignment="1">
      <alignment horizontal="center"/>
    </xf>
    <xf numFmtId="1" fontId="43" fillId="5" borderId="1032" xfId="0" applyNumberFormat="1" applyFont="1" applyFill="1" applyBorder="1" applyAlignment="1">
      <alignment horizontal="center"/>
    </xf>
    <xf numFmtId="1" fontId="43" fillId="5" borderId="1033" xfId="0" applyNumberFormat="1" applyFont="1" applyFill="1" applyBorder="1" applyAlignment="1">
      <alignment horizontal="center"/>
    </xf>
    <xf numFmtId="0" fontId="51" fillId="0" borderId="0" xfId="0" applyFont="1" applyAlignment="1">
      <alignment horizontal="left"/>
    </xf>
    <xf numFmtId="167" fontId="39" fillId="0" borderId="1039" xfId="0" applyNumberFormat="1" applyFont="1" applyBorder="1" applyAlignment="1">
      <alignment horizontal="center"/>
    </xf>
    <xf numFmtId="1" fontId="39" fillId="0" borderId="1039" xfId="0" applyNumberFormat="1" applyFont="1" applyBorder="1" applyAlignment="1">
      <alignment horizontal="center"/>
    </xf>
    <xf numFmtId="1" fontId="39" fillId="0" borderId="1039" xfId="0" applyNumberFormat="1" applyFont="1" applyBorder="1" applyAlignment="1">
      <alignment horizontal="center" vertical="center"/>
    </xf>
    <xf numFmtId="21" fontId="39" fillId="5" borderId="1039" xfId="0" applyNumberFormat="1" applyFont="1" applyFill="1" applyBorder="1" applyAlignment="1">
      <alignment horizontal="center"/>
    </xf>
    <xf numFmtId="169" fontId="39" fillId="5" borderId="1039" xfId="0" applyNumberFormat="1" applyFont="1" applyFill="1" applyBorder="1" applyAlignment="1">
      <alignment horizontal="center"/>
    </xf>
    <xf numFmtId="45" fontId="39" fillId="0" borderId="1039" xfId="0" applyNumberFormat="1" applyFont="1" applyBorder="1" applyAlignment="1">
      <alignment horizontal="center"/>
    </xf>
    <xf numFmtId="1" fontId="39" fillId="5" borderId="1039" xfId="0" applyNumberFormat="1" applyFont="1" applyFill="1" applyBorder="1" applyAlignment="1">
      <alignment horizontal="center"/>
    </xf>
    <xf numFmtId="170" fontId="39" fillId="0" borderId="1039" xfId="0" applyNumberFormat="1" applyFont="1" applyBorder="1" applyAlignment="1">
      <alignment horizontal="center"/>
    </xf>
    <xf numFmtId="45" fontId="39" fillId="5" borderId="1039" xfId="0" applyNumberFormat="1" applyFont="1" applyFill="1" applyBorder="1" applyAlignment="1">
      <alignment horizontal="center"/>
    </xf>
    <xf numFmtId="1" fontId="43" fillId="5" borderId="1041" xfId="0" applyNumberFormat="1" applyFont="1" applyFill="1" applyBorder="1" applyAlignment="1">
      <alignment horizontal="center"/>
    </xf>
    <xf numFmtId="1" fontId="43" fillId="5" borderId="1042" xfId="0" applyNumberFormat="1" applyFont="1" applyFill="1" applyBorder="1" applyAlignment="1">
      <alignment horizontal="center"/>
    </xf>
    <xf numFmtId="1" fontId="43" fillId="5" borderId="1046" xfId="0" applyNumberFormat="1" applyFont="1" applyFill="1" applyBorder="1" applyAlignment="1">
      <alignment horizontal="center"/>
    </xf>
    <xf numFmtId="2" fontId="39" fillId="0" borderId="1039" xfId="0" applyNumberFormat="1" applyFont="1" applyBorder="1" applyAlignment="1">
      <alignment horizontal="center"/>
    </xf>
    <xf numFmtId="167" fontId="39" fillId="0" borderId="1043" xfId="0" applyNumberFormat="1" applyFont="1" applyBorder="1" applyAlignment="1">
      <alignment horizontal="center"/>
    </xf>
    <xf numFmtId="1" fontId="39" fillId="0" borderId="1043" xfId="0" applyNumberFormat="1" applyFont="1" applyBorder="1" applyAlignment="1">
      <alignment horizontal="center"/>
    </xf>
    <xf numFmtId="1" fontId="39" fillId="0" borderId="1043" xfId="0" applyNumberFormat="1" applyFont="1" applyBorder="1" applyAlignment="1">
      <alignment horizontal="center" vertical="center"/>
    </xf>
    <xf numFmtId="21" fontId="39" fillId="5" borderId="1043" xfId="0" applyNumberFormat="1" applyFont="1" applyFill="1" applyBorder="1" applyAlignment="1">
      <alignment horizontal="center"/>
    </xf>
    <xf numFmtId="169" fontId="39" fillId="5" borderId="1043" xfId="0" applyNumberFormat="1" applyFont="1" applyFill="1" applyBorder="1" applyAlignment="1">
      <alignment horizontal="center"/>
    </xf>
    <xf numFmtId="45" fontId="39" fillId="0" borderId="1043" xfId="0" applyNumberFormat="1" applyFont="1" applyBorder="1" applyAlignment="1">
      <alignment horizontal="center"/>
    </xf>
    <xf numFmtId="1" fontId="39" fillId="5" borderId="1043" xfId="0" applyNumberFormat="1" applyFont="1" applyFill="1" applyBorder="1" applyAlignment="1">
      <alignment horizontal="center"/>
    </xf>
    <xf numFmtId="1" fontId="40" fillId="5" borderId="1043" xfId="0" applyNumberFormat="1" applyFont="1" applyFill="1" applyBorder="1" applyAlignment="1">
      <alignment horizontal="center"/>
    </xf>
    <xf numFmtId="170" fontId="39" fillId="0" borderId="1043" xfId="0" applyNumberFormat="1" applyFont="1" applyBorder="1" applyAlignment="1">
      <alignment horizontal="center"/>
    </xf>
    <xf numFmtId="45" fontId="39" fillId="5" borderId="1043" xfId="0" applyNumberFormat="1" applyFont="1" applyFill="1" applyBorder="1" applyAlignment="1">
      <alignment horizontal="center"/>
    </xf>
    <xf numFmtId="1" fontId="43" fillId="5" borderId="1044" xfId="0" applyNumberFormat="1" applyFont="1" applyFill="1" applyBorder="1" applyAlignment="1">
      <alignment horizontal="center"/>
    </xf>
    <xf numFmtId="1" fontId="43" fillId="5" borderId="1045" xfId="0" applyNumberFormat="1" applyFont="1" applyFill="1" applyBorder="1" applyAlignment="1">
      <alignment horizontal="center"/>
    </xf>
    <xf numFmtId="1" fontId="43" fillId="5" borderId="1047" xfId="0" applyNumberFormat="1" applyFont="1" applyFill="1" applyBorder="1" applyAlignment="1">
      <alignment horizontal="center"/>
    </xf>
    <xf numFmtId="2" fontId="39" fillId="0" borderId="1043" xfId="0" applyNumberFormat="1" applyFont="1" applyBorder="1" applyAlignment="1">
      <alignment horizontal="center"/>
    </xf>
    <xf numFmtId="167" fontId="39" fillId="0" borderId="606" xfId="0" applyNumberFormat="1" applyFont="1" applyBorder="1" applyAlignment="1">
      <alignment horizontal="center"/>
    </xf>
    <xf numFmtId="21" fontId="39" fillId="5" borderId="606" xfId="0" applyNumberFormat="1" applyFont="1" applyFill="1" applyBorder="1" applyAlignment="1">
      <alignment horizontal="center"/>
    </xf>
    <xf numFmtId="169" fontId="39" fillId="5" borderId="606" xfId="0" applyNumberFormat="1" applyFont="1" applyFill="1" applyBorder="1" applyAlignment="1">
      <alignment horizontal="center"/>
    </xf>
    <xf numFmtId="45" fontId="39" fillId="0" borderId="606" xfId="0" applyNumberFormat="1" applyFont="1" applyBorder="1" applyAlignment="1">
      <alignment horizontal="center"/>
    </xf>
    <xf numFmtId="1" fontId="39" fillId="5" borderId="606" xfId="0" applyNumberFormat="1" applyFont="1" applyFill="1" applyBorder="1" applyAlignment="1">
      <alignment horizontal="center"/>
    </xf>
    <xf numFmtId="1" fontId="40" fillId="5" borderId="606" xfId="0" applyNumberFormat="1" applyFont="1" applyFill="1" applyBorder="1" applyAlignment="1">
      <alignment horizontal="center"/>
    </xf>
    <xf numFmtId="170" fontId="39" fillId="0" borderId="606" xfId="0" applyNumberFormat="1" applyFont="1" applyBorder="1" applyAlignment="1">
      <alignment horizontal="center"/>
    </xf>
    <xf numFmtId="45" fontId="39" fillId="5" borderId="606" xfId="0" applyNumberFormat="1" applyFont="1" applyFill="1" applyBorder="1" applyAlignment="1">
      <alignment horizontal="center"/>
    </xf>
    <xf numFmtId="1" fontId="43" fillId="5" borderId="1030" xfId="0" applyNumberFormat="1" applyFont="1" applyFill="1" applyBorder="1" applyAlignment="1">
      <alignment horizontal="center"/>
    </xf>
    <xf numFmtId="167" fontId="39" fillId="0" borderId="1040" xfId="0" applyNumberFormat="1" applyFont="1" applyBorder="1" applyAlignment="1">
      <alignment horizontal="center"/>
    </xf>
    <xf numFmtId="1" fontId="39" fillId="0" borderId="1040" xfId="0" applyNumberFormat="1" applyFont="1" applyBorder="1" applyAlignment="1">
      <alignment horizontal="center"/>
    </xf>
    <xf numFmtId="1" fontId="39" fillId="0" borderId="1040" xfId="0" applyNumberFormat="1" applyFont="1" applyBorder="1" applyAlignment="1">
      <alignment horizontal="center" vertical="center"/>
    </xf>
    <xf numFmtId="21" fontId="39" fillId="5" borderId="1040" xfId="0" applyNumberFormat="1" applyFont="1" applyFill="1" applyBorder="1" applyAlignment="1">
      <alignment horizontal="center"/>
    </xf>
    <xf numFmtId="169" fontId="39" fillId="5" borderId="1040" xfId="0" applyNumberFormat="1" applyFont="1" applyFill="1" applyBorder="1" applyAlignment="1">
      <alignment horizontal="center"/>
    </xf>
    <xf numFmtId="45" fontId="39" fillId="0" borderId="1040" xfId="0" applyNumberFormat="1" applyFont="1" applyBorder="1" applyAlignment="1">
      <alignment horizontal="center"/>
    </xf>
    <xf numFmtId="1" fontId="39" fillId="5" borderId="1040" xfId="0" applyNumberFormat="1" applyFont="1" applyFill="1" applyBorder="1" applyAlignment="1">
      <alignment horizontal="center"/>
    </xf>
    <xf numFmtId="1" fontId="40" fillId="5" borderId="1040" xfId="0" applyNumberFormat="1" applyFont="1" applyFill="1" applyBorder="1" applyAlignment="1">
      <alignment horizontal="center"/>
    </xf>
    <xf numFmtId="170" fontId="39" fillId="0" borderId="1040" xfId="0" applyNumberFormat="1" applyFont="1" applyBorder="1" applyAlignment="1">
      <alignment horizontal="center"/>
    </xf>
    <xf numFmtId="45" fontId="39" fillId="5" borderId="1040" xfId="0" applyNumberFormat="1" applyFont="1" applyFill="1" applyBorder="1" applyAlignment="1">
      <alignment horizontal="center"/>
    </xf>
    <xf numFmtId="2" fontId="39" fillId="0" borderId="1040" xfId="0" applyNumberFormat="1" applyFont="1" applyBorder="1" applyAlignment="1">
      <alignment horizontal="center"/>
    </xf>
    <xf numFmtId="167" fontId="39" fillId="0" borderId="1052" xfId="0" applyNumberFormat="1" applyFont="1" applyBorder="1" applyAlignment="1">
      <alignment horizontal="center"/>
    </xf>
    <xf numFmtId="1" fontId="39" fillId="0" borderId="1052" xfId="0" applyNumberFormat="1" applyFont="1" applyBorder="1" applyAlignment="1">
      <alignment horizontal="center"/>
    </xf>
    <xf numFmtId="1" fontId="39" fillId="0" borderId="1052" xfId="0" applyNumberFormat="1" applyFont="1" applyBorder="1" applyAlignment="1">
      <alignment horizontal="center" vertical="center"/>
    </xf>
    <xf numFmtId="21" fontId="39" fillId="5" borderId="1052" xfId="0" applyNumberFormat="1" applyFont="1" applyFill="1" applyBorder="1" applyAlignment="1">
      <alignment horizontal="center"/>
    </xf>
    <xf numFmtId="169" fontId="39" fillId="5" borderId="1052" xfId="0" applyNumberFormat="1" applyFont="1" applyFill="1" applyBorder="1" applyAlignment="1">
      <alignment horizontal="center"/>
    </xf>
    <xf numFmtId="45" fontId="39" fillId="0" borderId="1052" xfId="0" applyNumberFormat="1" applyFont="1" applyBorder="1" applyAlignment="1">
      <alignment horizontal="center"/>
    </xf>
    <xf numFmtId="1" fontId="39" fillId="5" borderId="1052" xfId="0" applyNumberFormat="1" applyFont="1" applyFill="1" applyBorder="1" applyAlignment="1">
      <alignment horizontal="center"/>
    </xf>
    <xf numFmtId="1" fontId="40" fillId="5" borderId="1052" xfId="0" applyNumberFormat="1" applyFont="1" applyFill="1" applyBorder="1" applyAlignment="1">
      <alignment horizontal="center"/>
    </xf>
    <xf numFmtId="170" fontId="39" fillId="0" borderId="1052" xfId="0" applyNumberFormat="1" applyFont="1" applyBorder="1" applyAlignment="1">
      <alignment horizontal="center"/>
    </xf>
    <xf numFmtId="45" fontId="39" fillId="5" borderId="1052" xfId="0" applyNumberFormat="1" applyFont="1" applyFill="1" applyBorder="1" applyAlignment="1">
      <alignment horizontal="center"/>
    </xf>
    <xf numFmtId="1" fontId="43" fillId="5" borderId="1053" xfId="0" applyNumberFormat="1" applyFont="1" applyFill="1" applyBorder="1" applyAlignment="1">
      <alignment horizontal="center"/>
    </xf>
    <xf numFmtId="1" fontId="43" fillId="5" borderId="1054" xfId="0" applyNumberFormat="1" applyFont="1" applyFill="1" applyBorder="1" applyAlignment="1">
      <alignment horizontal="center"/>
    </xf>
    <xf numFmtId="1" fontId="43" fillId="5" borderId="1055" xfId="0" applyNumberFormat="1" applyFont="1" applyFill="1" applyBorder="1" applyAlignment="1">
      <alignment horizontal="center"/>
    </xf>
    <xf numFmtId="2" fontId="39" fillId="0" borderId="1052" xfId="0" applyNumberFormat="1" applyFont="1" applyBorder="1" applyAlignment="1">
      <alignment horizontal="center"/>
    </xf>
    <xf numFmtId="0" fontId="52" fillId="0" borderId="0" xfId="0" applyFont="1" applyAlignment="1">
      <alignment horizontal="left"/>
    </xf>
    <xf numFmtId="1" fontId="34" fillId="0" borderId="861" xfId="0" applyNumberFormat="1" applyFont="1" applyBorder="1" applyAlignment="1">
      <alignment horizontal="center"/>
    </xf>
    <xf numFmtId="1" fontId="34" fillId="0" borderId="200" xfId="0" applyNumberFormat="1" applyFont="1" applyBorder="1" applyAlignment="1">
      <alignment horizontal="center"/>
    </xf>
    <xf numFmtId="1" fontId="34" fillId="0" borderId="170" xfId="0" applyNumberFormat="1" applyFont="1" applyBorder="1" applyAlignment="1">
      <alignment horizontal="center"/>
    </xf>
    <xf numFmtId="1" fontId="34" fillId="0" borderId="898" xfId="0" applyNumberFormat="1" applyFont="1" applyBorder="1" applyAlignment="1">
      <alignment horizontal="center"/>
    </xf>
    <xf numFmtId="0" fontId="40" fillId="0" borderId="488" xfId="0" applyFont="1" applyBorder="1" applyAlignment="1">
      <alignment horizontal="center" vertical="center"/>
    </xf>
    <xf numFmtId="0" fontId="40" fillId="0" borderId="296" xfId="0" applyFont="1" applyBorder="1" applyAlignment="1">
      <alignment horizontal="center" vertical="center"/>
    </xf>
    <xf numFmtId="0" fontId="40" fillId="0" borderId="496" xfId="0" applyFont="1" applyBorder="1" applyAlignment="1">
      <alignment horizontal="center" vertical="center"/>
    </xf>
    <xf numFmtId="0" fontId="40" fillId="0" borderId="429" xfId="0" applyFont="1" applyBorder="1" applyAlignment="1">
      <alignment horizontal="center" vertical="center"/>
    </xf>
    <xf numFmtId="0" fontId="40" fillId="0" borderId="12" xfId="0" applyFont="1" applyBorder="1" applyAlignment="1">
      <alignment horizontal="center" vertical="center"/>
    </xf>
    <xf numFmtId="0" fontId="40" fillId="0" borderId="23" xfId="0" applyFont="1" applyBorder="1" applyAlignment="1">
      <alignment horizontal="center" vertical="center"/>
    </xf>
    <xf numFmtId="0" fontId="40" fillId="0" borderId="502" xfId="0" applyFont="1" applyBorder="1" applyAlignment="1">
      <alignment horizontal="center" vertical="center"/>
    </xf>
    <xf numFmtId="0" fontId="40" fillId="0" borderId="508" xfId="0" applyFont="1" applyBorder="1" applyAlignment="1">
      <alignment horizontal="center" vertical="center"/>
    </xf>
    <xf numFmtId="0" fontId="40" fillId="10" borderId="515" xfId="0" applyFont="1" applyFill="1" applyBorder="1" applyAlignment="1">
      <alignment horizontal="center" vertical="center"/>
    </xf>
    <xf numFmtId="0" fontId="40" fillId="0" borderId="428" xfId="0" applyFont="1" applyBorder="1" applyAlignment="1">
      <alignment horizontal="center" vertical="center"/>
    </xf>
    <xf numFmtId="0" fontId="40" fillId="0" borderId="67" xfId="0" applyFont="1" applyBorder="1" applyAlignment="1">
      <alignment horizontal="center" vertical="center"/>
    </xf>
    <xf numFmtId="0" fontId="40" fillId="0" borderId="97" xfId="0" applyFont="1" applyBorder="1" applyAlignment="1">
      <alignment horizontal="center" vertical="center"/>
    </xf>
    <xf numFmtId="0" fontId="40" fillId="0" borderId="570" xfId="0" applyFont="1" applyBorder="1" applyAlignment="1">
      <alignment horizontal="center" vertical="center"/>
    </xf>
    <xf numFmtId="0" fontId="40" fillId="0" borderId="557" xfId="0" applyFont="1" applyBorder="1" applyAlignment="1">
      <alignment horizontal="center" vertical="center"/>
    </xf>
    <xf numFmtId="0" fontId="40" fillId="0" borderId="558" xfId="0" applyFont="1" applyBorder="1" applyAlignment="1">
      <alignment horizontal="center" vertical="center"/>
    </xf>
    <xf numFmtId="0" fontId="40" fillId="0" borderId="301" xfId="0" applyFont="1" applyBorder="1" applyAlignment="1">
      <alignment horizontal="center" vertical="center"/>
    </xf>
    <xf numFmtId="0" fontId="40" fillId="10" borderId="97" xfId="0" applyFont="1" applyFill="1" applyBorder="1" applyAlignment="1">
      <alignment horizontal="center" vertical="center"/>
    </xf>
    <xf numFmtId="0" fontId="40" fillId="0" borderId="129" xfId="0" applyFont="1" applyBorder="1" applyAlignment="1">
      <alignment horizontal="center" vertical="center"/>
    </xf>
    <xf numFmtId="0" fontId="40" fillId="10" borderId="23" xfId="0" applyFont="1" applyFill="1" applyBorder="1" applyAlignment="1">
      <alignment horizontal="center" vertical="center"/>
    </xf>
    <xf numFmtId="0" fontId="40" fillId="0" borderId="571" xfId="0" applyFont="1" applyBorder="1" applyAlignment="1">
      <alignment horizontal="center" vertical="center"/>
    </xf>
    <xf numFmtId="0" fontId="40" fillId="0" borderId="515" xfId="0" applyFont="1" applyBorder="1" applyAlignment="1">
      <alignment horizontal="center" vertical="center"/>
    </xf>
    <xf numFmtId="0" fontId="40" fillId="0" borderId="478" xfId="0" applyFont="1" applyBorder="1" applyAlignment="1">
      <alignment horizontal="center" vertical="center"/>
    </xf>
    <xf numFmtId="0" fontId="40" fillId="0" borderId="128" xfId="0" applyFont="1" applyBorder="1" applyAlignment="1">
      <alignment horizontal="center" vertical="center"/>
    </xf>
    <xf numFmtId="0" fontId="40" fillId="5" borderId="478" xfId="0" applyFont="1" applyFill="1" applyBorder="1" applyAlignment="1">
      <alignment horizontal="center" vertical="center"/>
    </xf>
    <xf numFmtId="0" fontId="40" fillId="5" borderId="558" xfId="0" applyFont="1" applyFill="1" applyBorder="1" applyAlignment="1">
      <alignment horizontal="center" vertical="center"/>
    </xf>
    <xf numFmtId="0" fontId="40" fillId="5" borderId="301" xfId="0" applyFont="1" applyFill="1" applyBorder="1" applyAlignment="1">
      <alignment horizontal="center" vertical="center"/>
    </xf>
    <xf numFmtId="0" fontId="40" fillId="5" borderId="128" xfId="0" applyFont="1" applyFill="1" applyBorder="1" applyAlignment="1">
      <alignment horizontal="center" vertical="center"/>
    </xf>
    <xf numFmtId="0" fontId="40" fillId="5" borderId="97" xfId="0" applyFont="1" applyFill="1" applyBorder="1" applyAlignment="1">
      <alignment horizontal="center" vertical="center"/>
    </xf>
    <xf numFmtId="0" fontId="40" fillId="5" borderId="570" xfId="0" applyFont="1" applyFill="1" applyBorder="1" applyAlignment="1">
      <alignment horizontal="center" vertical="center"/>
    </xf>
    <xf numFmtId="0" fontId="40" fillId="0" borderId="588" xfId="0" applyFont="1" applyBorder="1" applyAlignment="1">
      <alignment horizontal="center" vertical="center"/>
    </xf>
    <xf numFmtId="0" fontId="40" fillId="0" borderId="590" xfId="0" applyFont="1" applyBorder="1" applyAlignment="1">
      <alignment horizontal="center" vertical="center"/>
    </xf>
    <xf numFmtId="0" fontId="40" fillId="0" borderId="591" xfId="0" applyFont="1" applyBorder="1" applyAlignment="1">
      <alignment horizontal="center" vertical="center"/>
    </xf>
    <xf numFmtId="0" fontId="40" fillId="0" borderId="316" xfId="0" applyFont="1" applyBorder="1" applyAlignment="1">
      <alignment horizontal="center" vertical="center"/>
    </xf>
    <xf numFmtId="0" fontId="40" fillId="5" borderId="316" xfId="0" applyFont="1" applyFill="1" applyBorder="1" applyAlignment="1">
      <alignment horizontal="center" vertical="center"/>
    </xf>
    <xf numFmtId="0" fontId="40" fillId="0" borderId="567" xfId="0" applyFont="1" applyBorder="1" applyAlignment="1">
      <alignment horizontal="center" vertical="center"/>
    </xf>
    <xf numFmtId="0" fontId="40" fillId="0" borderId="539" xfId="0" applyFont="1" applyBorder="1" applyAlignment="1">
      <alignment horizontal="center" vertical="center"/>
    </xf>
    <xf numFmtId="0" fontId="40" fillId="0" borderId="541" xfId="0" applyFont="1" applyBorder="1" applyAlignment="1">
      <alignment horizontal="center" vertical="center"/>
    </xf>
    <xf numFmtId="0" fontId="40" fillId="0" borderId="540" xfId="0" applyFont="1" applyBorder="1" applyAlignment="1">
      <alignment horizontal="center" vertical="center"/>
    </xf>
    <xf numFmtId="0" fontId="40" fillId="0" borderId="538" xfId="0" applyFont="1" applyBorder="1" applyAlignment="1">
      <alignment horizontal="center" vertical="center"/>
    </xf>
    <xf numFmtId="0" fontId="40" fillId="0" borderId="156" xfId="0" applyFont="1" applyBorder="1" applyAlignment="1">
      <alignment horizontal="center" vertical="center"/>
    </xf>
    <xf numFmtId="0" fontId="40" fillId="0" borderId="303" xfId="0" applyFont="1" applyBorder="1" applyAlignment="1">
      <alignment horizontal="center" vertical="center"/>
    </xf>
    <xf numFmtId="0" fontId="40" fillId="0" borderId="294" xfId="0" applyFont="1" applyBorder="1" applyAlignment="1">
      <alignment horizontal="center" vertical="center"/>
    </xf>
    <xf numFmtId="0" fontId="40" fillId="5" borderId="571" xfId="0" applyFont="1" applyFill="1" applyBorder="1" applyAlignment="1">
      <alignment horizontal="center" vertical="center"/>
    </xf>
    <xf numFmtId="0" fontId="40" fillId="5" borderId="508" xfId="0" applyFont="1" applyFill="1" applyBorder="1" applyAlignment="1">
      <alignment horizontal="center" vertical="center"/>
    </xf>
    <xf numFmtId="0" fontId="40" fillId="5" borderId="515" xfId="0" applyFont="1" applyFill="1" applyBorder="1" applyAlignment="1">
      <alignment horizontal="center" vertical="center"/>
    </xf>
    <xf numFmtId="0" fontId="40" fillId="5" borderId="329" xfId="0" applyFont="1" applyFill="1" applyBorder="1" applyAlignment="1">
      <alignment horizontal="center" vertical="center"/>
    </xf>
    <xf numFmtId="0" fontId="40" fillId="5" borderId="336" xfId="0" applyFont="1" applyFill="1" applyBorder="1" applyAlignment="1">
      <alignment horizontal="center" vertical="center"/>
    </xf>
    <xf numFmtId="0" fontId="40" fillId="5" borderId="342" xfId="0" applyFont="1" applyFill="1" applyBorder="1" applyAlignment="1">
      <alignment horizontal="center" vertical="center"/>
    </xf>
    <xf numFmtId="0" fontId="40" fillId="5" borderId="348" xfId="0" applyFont="1" applyFill="1" applyBorder="1" applyAlignment="1">
      <alignment horizontal="center" vertical="center"/>
    </xf>
    <xf numFmtId="0" fontId="40" fillId="10" borderId="354" xfId="0" applyFont="1" applyFill="1" applyBorder="1" applyAlignment="1">
      <alignment horizontal="center" vertical="center"/>
    </xf>
    <xf numFmtId="0" fontId="40" fillId="0" borderId="360" xfId="0" applyFont="1" applyBorder="1" applyAlignment="1">
      <alignment horizontal="center" vertical="center"/>
    </xf>
    <xf numFmtId="0" fontId="40" fillId="0" borderId="364" xfId="0" applyFont="1" applyBorder="1" applyAlignment="1">
      <alignment horizontal="center" vertical="center"/>
    </xf>
    <xf numFmtId="0" fontId="40" fillId="5" borderId="592" xfId="0" applyFont="1" applyFill="1" applyBorder="1" applyAlignment="1">
      <alignment horizontal="center" vertical="center"/>
    </xf>
    <xf numFmtId="0" fontId="40" fillId="5" borderId="597" xfId="0" applyFont="1" applyFill="1" applyBorder="1" applyAlignment="1">
      <alignment horizontal="center" vertical="center"/>
    </xf>
    <xf numFmtId="0" fontId="40" fillId="0" borderId="368" xfId="0" applyFont="1" applyBorder="1" applyAlignment="1">
      <alignment horizontal="center" vertical="center"/>
    </xf>
    <xf numFmtId="0" fontId="40" fillId="0" borderId="373" xfId="0" applyFont="1" applyBorder="1" applyAlignment="1">
      <alignment horizontal="center" vertical="center"/>
    </xf>
    <xf numFmtId="0" fontId="40" fillId="0" borderId="378" xfId="0" applyFont="1" applyBorder="1" applyAlignment="1">
      <alignment horizontal="center" vertical="center"/>
    </xf>
    <xf numFmtId="0" fontId="40" fillId="0" borderId="383" xfId="0" applyFont="1" applyBorder="1" applyAlignment="1">
      <alignment horizontal="center" vertical="center"/>
    </xf>
    <xf numFmtId="0" fontId="40" fillId="0" borderId="388" xfId="0" applyFont="1" applyBorder="1" applyAlignment="1">
      <alignment horizontal="center" vertical="center"/>
    </xf>
    <xf numFmtId="0" fontId="40" fillId="0" borderId="393" xfId="0" applyFont="1" applyBorder="1" applyAlignment="1">
      <alignment horizontal="center" vertical="center"/>
    </xf>
    <xf numFmtId="0" fontId="40" fillId="0" borderId="398" xfId="0" applyFont="1" applyBorder="1" applyAlignment="1">
      <alignment horizontal="center" vertical="center"/>
    </xf>
    <xf numFmtId="0" fontId="40" fillId="0" borderId="403" xfId="0" applyFont="1" applyBorder="1" applyAlignment="1">
      <alignment horizontal="center" vertical="center"/>
    </xf>
    <xf numFmtId="0" fontId="40" fillId="0" borderId="408" xfId="0" applyFont="1" applyBorder="1" applyAlignment="1">
      <alignment horizontal="center" vertical="center"/>
    </xf>
    <xf numFmtId="0" fontId="40" fillId="0" borderId="413" xfId="0" applyFont="1" applyBorder="1" applyAlignment="1">
      <alignment horizontal="center" vertical="center"/>
    </xf>
    <xf numFmtId="0" fontId="40" fillId="0" borderId="418" xfId="0" applyFont="1" applyBorder="1" applyAlignment="1">
      <alignment horizontal="center" vertical="center"/>
    </xf>
    <xf numFmtId="0" fontId="40" fillId="0" borderId="423" xfId="0" applyFont="1" applyBorder="1" applyAlignment="1">
      <alignment horizontal="center" vertical="center"/>
    </xf>
    <xf numFmtId="0" fontId="40" fillId="0" borderId="433" xfId="0" applyFont="1" applyBorder="1" applyAlignment="1">
      <alignment horizontal="center" vertical="center"/>
    </xf>
    <xf numFmtId="0" fontId="40" fillId="0" borderId="438" xfId="0" applyFont="1" applyBorder="1" applyAlignment="1">
      <alignment horizontal="center" vertical="center"/>
    </xf>
    <xf numFmtId="0" fontId="40" fillId="0" borderId="446" xfId="0" applyFont="1" applyBorder="1" applyAlignment="1">
      <alignment horizontal="center" vertical="center"/>
    </xf>
    <xf numFmtId="0" fontId="40" fillId="0" borderId="800" xfId="0" applyFont="1" applyBorder="1" applyAlignment="1">
      <alignment horizontal="center" vertical="center"/>
    </xf>
    <xf numFmtId="0" fontId="40" fillId="0" borderId="430" xfId="0" applyFont="1" applyBorder="1" applyAlignment="1">
      <alignment horizontal="center" vertical="center"/>
    </xf>
    <xf numFmtId="0" fontId="40" fillId="0" borderId="440" xfId="0" applyFont="1" applyBorder="1" applyAlignment="1">
      <alignment horizontal="center" vertical="center"/>
    </xf>
    <xf numFmtId="0" fontId="40" fillId="5" borderId="567" xfId="0" applyFont="1" applyFill="1" applyBorder="1" applyAlignment="1">
      <alignment horizontal="center"/>
    </xf>
    <xf numFmtId="0" fontId="40" fillId="5" borderId="539" xfId="0" applyFont="1" applyFill="1" applyBorder="1" applyAlignment="1">
      <alignment horizontal="center"/>
    </xf>
    <xf numFmtId="0" fontId="40" fillId="5" borderId="543" xfId="0" applyFont="1" applyFill="1" applyBorder="1" applyAlignment="1">
      <alignment horizontal="center"/>
    </xf>
    <xf numFmtId="0" fontId="40" fillId="5" borderId="430" xfId="0" applyFont="1" applyFill="1" applyBorder="1" applyAlignment="1">
      <alignment horizontal="center"/>
    </xf>
    <xf numFmtId="0" fontId="40" fillId="5" borderId="293" xfId="0" applyFont="1" applyFill="1" applyBorder="1" applyAlignment="1">
      <alignment horizontal="center"/>
    </xf>
    <xf numFmtId="0" fontId="40" fillId="5" borderId="440" xfId="0" applyFont="1" applyFill="1" applyBorder="1" applyAlignment="1">
      <alignment horizontal="center"/>
    </xf>
    <xf numFmtId="0" fontId="40" fillId="16" borderId="541" xfId="0" applyFont="1" applyFill="1" applyBorder="1" applyAlignment="1">
      <alignment horizontal="center"/>
    </xf>
    <xf numFmtId="0" fontId="40" fillId="5" borderId="221" xfId="0" applyFont="1" applyFill="1" applyBorder="1" applyAlignment="1">
      <alignment horizontal="center"/>
    </xf>
    <xf numFmtId="0" fontId="40" fillId="5" borderId="444" xfId="0" applyFont="1" applyFill="1" applyBorder="1" applyAlignment="1">
      <alignment horizontal="center"/>
    </xf>
    <xf numFmtId="0" fontId="40" fillId="16" borderId="543" xfId="0" applyFont="1" applyFill="1" applyBorder="1" applyAlignment="1">
      <alignment horizontal="center"/>
    </xf>
    <xf numFmtId="0" fontId="50" fillId="5" borderId="221" xfId="0" applyFont="1" applyFill="1" applyBorder="1" applyAlignment="1">
      <alignment horizontal="center"/>
    </xf>
    <xf numFmtId="0" fontId="40" fillId="5" borderId="229" xfId="0" applyFont="1" applyFill="1" applyBorder="1" applyAlignment="1">
      <alignment horizontal="center"/>
    </xf>
    <xf numFmtId="0" fontId="40" fillId="0" borderId="229" xfId="0" applyFont="1" applyBorder="1" applyAlignment="1">
      <alignment horizontal="center"/>
    </xf>
    <xf numFmtId="0" fontId="40" fillId="0" borderId="444" xfId="0" applyFont="1" applyBorder="1" applyAlignment="1">
      <alignment horizontal="center"/>
    </xf>
    <xf numFmtId="0" fontId="40" fillId="0" borderId="567" xfId="0" applyFont="1" applyBorder="1" applyAlignment="1">
      <alignment horizontal="center"/>
    </xf>
    <xf numFmtId="0" fontId="40" fillId="0" borderId="539" xfId="0" applyFont="1" applyBorder="1" applyAlignment="1">
      <alignment horizontal="center"/>
    </xf>
    <xf numFmtId="0" fontId="40" fillId="0" borderId="543" xfId="0" applyFont="1" applyBorder="1" applyAlignment="1">
      <alignment horizontal="center"/>
    </xf>
    <xf numFmtId="0" fontId="40" fillId="0" borderId="430" xfId="0" applyFont="1" applyBorder="1" applyAlignment="1">
      <alignment horizontal="center"/>
    </xf>
    <xf numFmtId="21" fontId="40" fillId="0" borderId="539" xfId="0" applyNumberFormat="1" applyFont="1" applyBorder="1" applyAlignment="1">
      <alignment horizontal="center"/>
    </xf>
    <xf numFmtId="0" fontId="40" fillId="16" borderId="470" xfId="0" applyFont="1" applyFill="1" applyBorder="1" applyAlignment="1">
      <alignment horizontal="center"/>
    </xf>
    <xf numFmtId="0" fontId="40" fillId="0" borderId="243" xfId="0" applyFont="1" applyBorder="1" applyAlignment="1">
      <alignment horizontal="center" vertical="center"/>
    </xf>
    <xf numFmtId="0" fontId="40" fillId="0" borderId="155" xfId="0" applyFont="1" applyBorder="1" applyAlignment="1">
      <alignment horizontal="center" vertical="center"/>
    </xf>
    <xf numFmtId="0" fontId="40" fillId="0" borderId="242" xfId="0" applyFont="1" applyBorder="1" applyAlignment="1">
      <alignment horizontal="center" vertical="center"/>
    </xf>
    <xf numFmtId="0" fontId="40" fillId="0" borderId="275" xfId="0" applyFont="1" applyBorder="1" applyAlignment="1">
      <alignment horizontal="center" vertical="center"/>
    </xf>
    <xf numFmtId="0" fontId="40" fillId="0" borderId="621" xfId="0" applyFont="1" applyBorder="1" applyAlignment="1">
      <alignment horizontal="center" vertical="center"/>
    </xf>
    <xf numFmtId="0" fontId="40" fillId="0" borderId="792" xfId="0" applyFont="1" applyBorder="1" applyAlignment="1">
      <alignment horizontal="center" vertical="center"/>
    </xf>
    <xf numFmtId="0" fontId="40" fillId="0" borderId="679" xfId="0" applyFont="1" applyBorder="1" applyAlignment="1">
      <alignment horizontal="center" vertical="center"/>
    </xf>
    <xf numFmtId="0" fontId="40" fillId="0" borderId="680" xfId="0" applyFont="1" applyBorder="1" applyAlignment="1">
      <alignment horizontal="center" vertical="center"/>
    </xf>
    <xf numFmtId="0" fontId="40" fillId="0" borderId="663" xfId="0" applyFont="1" applyBorder="1" applyAlignment="1">
      <alignment horizontal="center" vertical="center"/>
    </xf>
    <xf numFmtId="0" fontId="40" fillId="0" borderId="672" xfId="0" applyFont="1" applyBorder="1" applyAlignment="1">
      <alignment horizontal="center" vertical="center"/>
    </xf>
    <xf numFmtId="0" fontId="40" fillId="0" borderId="696" xfId="0" applyFont="1" applyBorder="1" applyAlignment="1">
      <alignment horizontal="center" vertical="center"/>
    </xf>
    <xf numFmtId="0" fontId="40" fillId="0" borderId="743" xfId="0" applyFont="1" applyBorder="1" applyAlignment="1">
      <alignment horizontal="center" vertical="center"/>
    </xf>
    <xf numFmtId="0" fontId="40" fillId="0" borderId="803" xfId="0" applyFont="1" applyBorder="1" applyAlignment="1">
      <alignment horizontal="center" vertical="center"/>
    </xf>
    <xf numFmtId="0" fontId="40" fillId="0" borderId="838" xfId="0" applyFont="1" applyBorder="1" applyAlignment="1">
      <alignment horizontal="center" vertical="center"/>
    </xf>
    <xf numFmtId="0" fontId="40" fillId="0" borderId="841" xfId="0" applyFont="1" applyBorder="1" applyAlignment="1">
      <alignment horizontal="center" vertical="center"/>
    </xf>
    <xf numFmtId="0" fontId="40" fillId="0" borderId="835" xfId="0" applyFont="1" applyBorder="1" applyAlignment="1">
      <alignment horizontal="center" vertical="center"/>
    </xf>
    <xf numFmtId="0" fontId="40" fillId="0" borderId="836" xfId="0" applyFont="1" applyBorder="1" applyAlignment="1">
      <alignment horizontal="center" vertical="center"/>
    </xf>
    <xf numFmtId="0" fontId="40" fillId="0" borderId="824" xfId="0" applyFont="1" applyBorder="1" applyAlignment="1">
      <alignment horizontal="center" vertical="center"/>
    </xf>
    <xf numFmtId="0" fontId="40" fillId="0" borderId="839" xfId="0" applyFont="1" applyBorder="1" applyAlignment="1">
      <alignment horizontal="center" vertical="center"/>
    </xf>
    <xf numFmtId="0" fontId="40" fillId="0" borderId="850" xfId="0" applyFont="1" applyBorder="1" applyAlignment="1">
      <alignment horizontal="center" vertical="center"/>
    </xf>
    <xf numFmtId="0" fontId="40" fillId="0" borderId="896" xfId="0" applyFont="1" applyBorder="1" applyAlignment="1">
      <alignment horizontal="center" vertical="center"/>
    </xf>
    <xf numFmtId="0" fontId="40" fillId="0" borderId="628" xfId="0" applyFont="1" applyBorder="1" applyAlignment="1">
      <alignment horizontal="center" vertical="center"/>
    </xf>
    <xf numFmtId="0" fontId="40" fillId="0" borderId="897" xfId="0" applyFont="1" applyBorder="1" applyAlignment="1">
      <alignment horizontal="center" vertical="center"/>
    </xf>
    <xf numFmtId="0" fontId="40" fillId="0" borderId="918" xfId="0" applyFont="1" applyBorder="1" applyAlignment="1">
      <alignment horizontal="center" vertical="center"/>
    </xf>
    <xf numFmtId="0" fontId="40" fillId="10" borderId="919" xfId="0" applyFont="1" applyFill="1" applyBorder="1" applyAlignment="1">
      <alignment horizontal="center" vertical="center"/>
    </xf>
    <xf numFmtId="0" fontId="40" fillId="0" borderId="919" xfId="0" applyFont="1" applyBorder="1" applyAlignment="1">
      <alignment horizontal="center" vertical="center"/>
    </xf>
    <xf numFmtId="0" fontId="40" fillId="10" borderId="628" xfId="0" applyFont="1" applyFill="1" applyBorder="1" applyAlignment="1">
      <alignment horizontal="center" vertical="center"/>
    </xf>
    <xf numFmtId="0" fontId="40" fillId="0" borderId="468" xfId="0" applyFont="1" applyBorder="1" applyAlignment="1">
      <alignment horizontal="center" vertical="center"/>
    </xf>
    <xf numFmtId="0" fontId="40" fillId="0" borderId="894" xfId="0" applyFont="1" applyBorder="1" applyAlignment="1">
      <alignment horizontal="center" vertical="center"/>
    </xf>
    <xf numFmtId="0" fontId="40" fillId="0" borderId="882" xfId="0" applyFont="1" applyBorder="1" applyAlignment="1">
      <alignment horizontal="center" vertical="center"/>
    </xf>
    <xf numFmtId="0" fontId="40" fillId="0" borderId="890" xfId="0" applyFont="1" applyBorder="1" applyAlignment="1">
      <alignment horizontal="center" vertical="center"/>
    </xf>
    <xf numFmtId="0" fontId="40" fillId="0" borderId="891" xfId="0" applyFont="1" applyBorder="1" applyAlignment="1">
      <alignment horizontal="center" vertical="center"/>
    </xf>
    <xf numFmtId="0" fontId="40" fillId="0" borderId="824" xfId="0" applyFont="1" applyBorder="1" applyAlignment="1">
      <alignment horizontal="center"/>
    </xf>
    <xf numFmtId="0" fontId="40" fillId="0" borderId="894" xfId="0" applyFont="1" applyBorder="1" applyAlignment="1">
      <alignment horizontal="center"/>
    </xf>
    <xf numFmtId="0" fontId="40" fillId="0" borderId="882" xfId="0" applyFont="1" applyBorder="1" applyAlignment="1">
      <alignment horizontal="center"/>
    </xf>
    <xf numFmtId="0" fontId="40" fillId="17" borderId="606" xfId="0" applyFont="1" applyFill="1" applyBorder="1" applyAlignment="1">
      <alignment horizontal="center" vertical="center"/>
    </xf>
    <xf numFmtId="0" fontId="40" fillId="0" borderId="748" xfId="0" applyFont="1" applyBorder="1" applyAlignment="1">
      <alignment horizontal="center" vertical="center"/>
    </xf>
    <xf numFmtId="0" fontId="40" fillId="0" borderId="781" xfId="0" applyFont="1" applyBorder="1" applyAlignment="1">
      <alignment horizontal="center" vertical="center"/>
    </xf>
    <xf numFmtId="0" fontId="40" fillId="0" borderId="1007" xfId="0" applyFont="1" applyBorder="1" applyAlignment="1">
      <alignment horizontal="center" vertical="center"/>
    </xf>
    <xf numFmtId="0" fontId="40" fillId="0" borderId="847" xfId="0" applyFont="1" applyBorder="1" applyAlignment="1">
      <alignment horizontal="center" vertical="center"/>
    </xf>
    <xf numFmtId="0" fontId="40" fillId="0" borderId="1014" xfId="0" applyFont="1" applyBorder="1" applyAlignment="1">
      <alignment horizontal="center" vertical="center"/>
    </xf>
    <xf numFmtId="0" fontId="40" fillId="0" borderId="999" xfId="0" applyFont="1" applyBorder="1" applyAlignment="1">
      <alignment horizontal="center" vertical="center"/>
    </xf>
    <xf numFmtId="0" fontId="53" fillId="10" borderId="628" xfId="95" applyFont="1" applyFill="1" applyBorder="1" applyAlignment="1">
      <alignment horizontal="center" vertical="center"/>
    </xf>
    <xf numFmtId="0" fontId="40" fillId="0" borderId="1001" xfId="0" applyFont="1" applyBorder="1" applyAlignment="1">
      <alignment horizontal="center" vertical="center"/>
    </xf>
    <xf numFmtId="0" fontId="40" fillId="0" borderId="1024" xfId="0" applyFont="1" applyBorder="1" applyAlignment="1">
      <alignment horizontal="center" vertical="center"/>
    </xf>
    <xf numFmtId="0" fontId="40" fillId="0" borderId="627" xfId="0" applyFont="1" applyBorder="1" applyAlignment="1">
      <alignment horizontal="center" vertical="center"/>
    </xf>
    <xf numFmtId="0" fontId="40" fillId="0" borderId="904" xfId="0" applyFont="1" applyBorder="1" applyAlignment="1">
      <alignment horizontal="center" vertical="center"/>
    </xf>
    <xf numFmtId="0" fontId="40" fillId="0" borderId="929" xfId="0" applyFont="1" applyBorder="1" applyAlignment="1">
      <alignment horizontal="center" vertical="center"/>
    </xf>
    <xf numFmtId="0" fontId="40" fillId="0" borderId="932" xfId="0" applyFont="1" applyBorder="1" applyAlignment="1">
      <alignment horizontal="center" vertical="center"/>
    </xf>
    <xf numFmtId="0" fontId="40" fillId="0" borderId="941" xfId="0" applyFont="1" applyBorder="1" applyAlignment="1">
      <alignment horizontal="center" vertical="center"/>
    </xf>
    <xf numFmtId="0" fontId="40" fillId="0" borderId="905" xfId="0" applyFont="1" applyBorder="1" applyAlignment="1">
      <alignment horizontal="center" vertical="center"/>
    </xf>
    <xf numFmtId="0" fontId="40" fillId="0" borderId="468" xfId="0" applyFont="1" applyBorder="1" applyAlignment="1">
      <alignment horizontal="center"/>
    </xf>
    <xf numFmtId="0" fontId="40" fillId="0" borderId="628" xfId="0" applyFont="1" applyBorder="1" applyAlignment="1">
      <alignment horizontal="center"/>
    </xf>
    <xf numFmtId="0" fontId="40" fillId="0" borderId="905" xfId="0" applyFont="1" applyBorder="1" applyAlignment="1">
      <alignment horizontal="center"/>
    </xf>
    <xf numFmtId="0" fontId="40" fillId="0" borderId="918" xfId="0" applyFont="1" applyBorder="1" applyAlignment="1">
      <alignment horizontal="center"/>
    </xf>
    <xf numFmtId="0" fontId="40" fillId="0" borderId="941" xfId="0" applyFont="1" applyBorder="1" applyAlignment="1">
      <alignment horizontal="center"/>
    </xf>
    <xf numFmtId="0" fontId="40" fillId="0" borderId="606" xfId="0" applyFont="1" applyBorder="1" applyAlignment="1">
      <alignment horizontal="center" vertical="center"/>
    </xf>
    <xf numFmtId="0" fontId="40" fillId="17" borderId="949" xfId="0" applyFont="1" applyFill="1" applyBorder="1" applyAlignment="1">
      <alignment horizontal="center" vertical="center"/>
    </xf>
    <xf numFmtId="0" fontId="40" fillId="0" borderId="949" xfId="0" applyFont="1" applyBorder="1" applyAlignment="1">
      <alignment horizontal="center" vertical="center"/>
    </xf>
    <xf numFmtId="0" fontId="40" fillId="0" borderId="950" xfId="0" applyFont="1" applyBorder="1" applyAlignment="1">
      <alignment horizontal="center" vertical="center"/>
    </xf>
    <xf numFmtId="0" fontId="40" fillId="5" borderId="918" xfId="0" applyFont="1" applyFill="1" applyBorder="1" applyAlignment="1">
      <alignment horizontal="center" vertical="center"/>
    </xf>
    <xf numFmtId="0" fontId="40" fillId="5" borderId="949" xfId="0" applyFont="1" applyFill="1" applyBorder="1" applyAlignment="1">
      <alignment horizontal="center" vertical="center"/>
    </xf>
    <xf numFmtId="0" fontId="40" fillId="0" borderId="628" xfId="95" applyFont="1" applyFill="1" applyBorder="1" applyAlignment="1">
      <alignment horizontal="center" vertical="center"/>
    </xf>
    <xf numFmtId="21" fontId="40" fillId="0" borderId="628" xfId="0" applyNumberFormat="1" applyFont="1" applyBorder="1" applyAlignment="1">
      <alignment horizontal="center" vertical="center"/>
    </xf>
    <xf numFmtId="0" fontId="54" fillId="0" borderId="1040" xfId="0" applyFont="1" applyBorder="1" applyAlignment="1">
      <alignment horizontal="center" vertical="center"/>
    </xf>
    <xf numFmtId="0" fontId="54" fillId="0" borderId="156" xfId="0" applyFont="1" applyBorder="1" applyAlignment="1">
      <alignment horizontal="center" vertical="center"/>
    </xf>
    <xf numFmtId="0" fontId="40" fillId="0" borderId="791" xfId="0" applyFont="1" applyBorder="1" applyAlignment="1">
      <alignment horizontal="center"/>
    </xf>
    <xf numFmtId="0" fontId="40" fillId="0" borderId="156" xfId="0" applyFont="1" applyBorder="1" applyAlignment="1">
      <alignment horizontal="center"/>
    </xf>
    <xf numFmtId="0" fontId="40" fillId="0" borderId="1043" xfId="0" applyFont="1" applyBorder="1" applyAlignment="1">
      <alignment horizontal="center"/>
    </xf>
    <xf numFmtId="0" fontId="40" fillId="0" borderId="1040" xfId="0" applyFont="1" applyBorder="1" applyAlignment="1">
      <alignment horizontal="center" vertical="center"/>
    </xf>
    <xf numFmtId="0" fontId="40" fillId="0" borderId="1048" xfId="0" applyFont="1" applyBorder="1" applyAlignment="1">
      <alignment horizontal="center" vertical="center"/>
    </xf>
    <xf numFmtId="0" fontId="40" fillId="0" borderId="1002" xfId="0" applyFont="1" applyBorder="1" applyAlignment="1">
      <alignment horizontal="center" vertical="center"/>
    </xf>
    <xf numFmtId="167" fontId="28" fillId="0" borderId="1040" xfId="0" applyNumberFormat="1" applyFont="1" applyBorder="1" applyAlignment="1">
      <alignment horizontal="center"/>
    </xf>
    <xf numFmtId="171" fontId="0" fillId="0" borderId="0" xfId="0" applyNumberFormat="1"/>
    <xf numFmtId="167" fontId="39" fillId="0" borderId="1059" xfId="0" applyNumberFormat="1" applyFont="1" applyBorder="1" applyAlignment="1">
      <alignment horizontal="center"/>
    </xf>
    <xf numFmtId="173" fontId="0" fillId="0" borderId="1060" xfId="0" applyNumberFormat="1" applyBorder="1"/>
    <xf numFmtId="170" fontId="0" fillId="0" borderId="979" xfId="0" applyNumberFormat="1" applyBorder="1"/>
    <xf numFmtId="173" fontId="0" fillId="0" borderId="880" xfId="0" applyNumberFormat="1" applyBorder="1"/>
    <xf numFmtId="1" fontId="0" fillId="0" borderId="881" xfId="0" applyNumberFormat="1" applyBorder="1"/>
    <xf numFmtId="170" fontId="0" fillId="0" borderId="1057" xfId="0" applyNumberFormat="1" applyBorder="1"/>
    <xf numFmtId="1" fontId="0" fillId="0" borderId="1061" xfId="0" applyNumberFormat="1" applyBorder="1"/>
    <xf numFmtId="173" fontId="0" fillId="0" borderId="1057" xfId="0" applyNumberFormat="1" applyBorder="1"/>
    <xf numFmtId="0" fontId="40" fillId="5" borderId="1048" xfId="0" applyFont="1" applyFill="1" applyBorder="1" applyAlignment="1">
      <alignment horizontal="center" vertical="center"/>
    </xf>
    <xf numFmtId="0" fontId="40" fillId="5" borderId="853" xfId="0" applyFont="1" applyFill="1" applyBorder="1" applyAlignment="1">
      <alignment horizontal="center" vertical="center"/>
    </xf>
    <xf numFmtId="0" fontId="40" fillId="5" borderId="967" xfId="0" applyFont="1" applyFill="1" applyBorder="1" applyAlignment="1">
      <alignment horizontal="center" vertical="center"/>
    </xf>
    <xf numFmtId="0" fontId="40" fillId="5" borderId="569" xfId="0" applyFont="1" applyFill="1" applyBorder="1" applyAlignment="1">
      <alignment horizontal="center" vertical="center"/>
    </xf>
    <xf numFmtId="0" fontId="40" fillId="5" borderId="156" xfId="0" applyFont="1" applyFill="1" applyBorder="1" applyAlignment="1">
      <alignment horizontal="center" vertical="center"/>
    </xf>
    <xf numFmtId="0" fontId="40" fillId="5" borderId="606" xfId="0" applyFont="1" applyFill="1" applyBorder="1" applyAlignment="1">
      <alignment horizontal="center" vertical="center"/>
    </xf>
    <xf numFmtId="0" fontId="0" fillId="0" borderId="0" xfId="0" pivotButton="1" applyAlignment="1">
      <alignment horizontal="left"/>
    </xf>
    <xf numFmtId="173" fontId="0" fillId="0" borderId="0" xfId="0" applyNumberFormat="1" applyAlignment="1">
      <alignment horizontal="left"/>
    </xf>
    <xf numFmtId="1" fontId="39" fillId="5" borderId="1037" xfId="0" applyNumberFormat="1" applyFont="1" applyFill="1" applyBorder="1" applyAlignment="1">
      <alignment horizontal="center"/>
    </xf>
    <xf numFmtId="1" fontId="39" fillId="5" borderId="1002" xfId="0" applyNumberFormat="1" applyFont="1" applyFill="1" applyBorder="1" applyAlignment="1">
      <alignment horizontal="center"/>
    </xf>
    <xf numFmtId="1" fontId="40" fillId="8" borderId="975" xfId="0" applyNumberFormat="1" applyFont="1" applyFill="1" applyBorder="1" applyAlignment="1">
      <alignment horizontal="center"/>
    </xf>
    <xf numFmtId="1" fontId="39" fillId="0" borderId="622" xfId="0" applyNumberFormat="1" applyFont="1" applyBorder="1" applyAlignment="1">
      <alignment horizontal="center"/>
    </xf>
    <xf numFmtId="1" fontId="39" fillId="0" borderId="1066" xfId="0" applyNumberFormat="1" applyFont="1" applyBorder="1" applyAlignment="1">
      <alignment horizontal="center"/>
    </xf>
    <xf numFmtId="1" fontId="39" fillId="0" borderId="1067" xfId="0" applyNumberFormat="1" applyFont="1" applyBorder="1" applyAlignment="1">
      <alignment horizontal="center"/>
    </xf>
    <xf numFmtId="1" fontId="39" fillId="0" borderId="1068" xfId="0" applyNumberFormat="1" applyFont="1" applyBorder="1" applyAlignment="1">
      <alignment horizontal="center"/>
    </xf>
    <xf numFmtId="1" fontId="39" fillId="10" borderId="1067" xfId="0" applyNumberFormat="1" applyFont="1" applyFill="1" applyBorder="1" applyAlignment="1">
      <alignment horizontal="center"/>
    </xf>
    <xf numFmtId="1" fontId="39" fillId="10" borderId="1068" xfId="0" applyNumberFormat="1" applyFont="1" applyFill="1" applyBorder="1" applyAlignment="1">
      <alignment horizontal="center"/>
    </xf>
    <xf numFmtId="1" fontId="39" fillId="5" borderId="1066" xfId="0" applyNumberFormat="1" applyFont="1" applyFill="1" applyBorder="1" applyAlignment="1">
      <alignment horizontal="center"/>
    </xf>
    <xf numFmtId="1" fontId="39" fillId="5" borderId="1067" xfId="0" applyNumberFormat="1" applyFont="1" applyFill="1" applyBorder="1" applyAlignment="1">
      <alignment horizontal="center"/>
    </xf>
    <xf numFmtId="1" fontId="39" fillId="5" borderId="1068" xfId="0" applyNumberFormat="1" applyFont="1" applyFill="1" applyBorder="1" applyAlignment="1">
      <alignment horizontal="center"/>
    </xf>
    <xf numFmtId="1" fontId="39" fillId="10" borderId="1066" xfId="0" applyNumberFormat="1" applyFont="1" applyFill="1" applyBorder="1" applyAlignment="1">
      <alignment horizontal="center"/>
    </xf>
    <xf numFmtId="1" fontId="39" fillId="5" borderId="1069" xfId="0" applyNumberFormat="1" applyFont="1" applyFill="1" applyBorder="1" applyAlignment="1">
      <alignment horizontal="center"/>
    </xf>
    <xf numFmtId="1" fontId="39" fillId="16" borderId="1068" xfId="0" applyNumberFormat="1" applyFont="1" applyFill="1" applyBorder="1" applyAlignment="1">
      <alignment horizontal="center"/>
    </xf>
    <xf numFmtId="1" fontId="39" fillId="16" borderId="1067" xfId="0" applyNumberFormat="1" applyFont="1" applyFill="1" applyBorder="1" applyAlignment="1">
      <alignment horizontal="center"/>
    </xf>
    <xf numFmtId="1" fontId="39" fillId="5" borderId="1070" xfId="0" applyNumberFormat="1" applyFont="1" applyFill="1" applyBorder="1" applyAlignment="1">
      <alignment horizontal="center"/>
    </xf>
    <xf numFmtId="1" fontId="39" fillId="17" borderId="1067" xfId="0" applyNumberFormat="1" applyFont="1" applyFill="1" applyBorder="1" applyAlignment="1">
      <alignment horizontal="center"/>
    </xf>
    <xf numFmtId="1" fontId="39" fillId="5" borderId="619" xfId="0" applyNumberFormat="1" applyFont="1" applyFill="1" applyBorder="1" applyAlignment="1">
      <alignment horizontal="center"/>
    </xf>
    <xf numFmtId="1" fontId="39" fillId="5" borderId="1065" xfId="0" applyNumberFormat="1" applyFont="1" applyFill="1" applyBorder="1" applyAlignment="1">
      <alignment horizontal="center"/>
    </xf>
    <xf numFmtId="1" fontId="39" fillId="5" borderId="1071" xfId="0" applyNumberFormat="1" applyFont="1" applyFill="1" applyBorder="1" applyAlignment="1">
      <alignment horizontal="center"/>
    </xf>
    <xf numFmtId="1" fontId="39" fillId="5" borderId="1062" xfId="0" applyNumberFormat="1" applyFont="1" applyFill="1" applyBorder="1" applyAlignment="1">
      <alignment horizontal="center"/>
    </xf>
    <xf numFmtId="1" fontId="39" fillId="5" borderId="160" xfId="0" applyNumberFormat="1" applyFont="1" applyFill="1" applyBorder="1" applyAlignment="1">
      <alignment horizontal="center"/>
    </xf>
    <xf numFmtId="1" fontId="39" fillId="5" borderId="1031" xfId="0" applyNumberFormat="1" applyFont="1" applyFill="1" applyBorder="1" applyAlignment="1">
      <alignment horizontal="center"/>
    </xf>
    <xf numFmtId="1" fontId="39" fillId="5" borderId="1030" xfId="0" applyNumberFormat="1" applyFont="1" applyFill="1" applyBorder="1" applyAlignment="1">
      <alignment horizontal="center"/>
    </xf>
    <xf numFmtId="1" fontId="39" fillId="0" borderId="623" xfId="0" applyNumberFormat="1" applyFont="1" applyBorder="1" applyAlignment="1">
      <alignment horizontal="center"/>
    </xf>
    <xf numFmtId="1" fontId="39" fillId="0" borderId="1073" xfId="0" applyNumberFormat="1" applyFont="1" applyBorder="1" applyAlignment="1">
      <alignment horizontal="center"/>
    </xf>
    <xf numFmtId="1" fontId="39" fillId="0" borderId="1074" xfId="0" applyNumberFormat="1" applyFont="1" applyBorder="1" applyAlignment="1">
      <alignment horizontal="center"/>
    </xf>
    <xf numFmtId="1" fontId="39" fillId="0" borderId="1023" xfId="0" applyNumberFormat="1" applyFont="1" applyBorder="1" applyAlignment="1">
      <alignment horizontal="center"/>
    </xf>
    <xf numFmtId="1" fontId="39" fillId="0" borderId="1075" xfId="0" applyNumberFormat="1" applyFont="1" applyBorder="1" applyAlignment="1">
      <alignment horizontal="center"/>
    </xf>
    <xf numFmtId="1" fontId="39" fillId="10" borderId="1074" xfId="0" applyNumberFormat="1" applyFont="1" applyFill="1" applyBorder="1" applyAlignment="1">
      <alignment horizontal="center"/>
    </xf>
    <xf numFmtId="1" fontId="39" fillId="10" borderId="1075" xfId="0" applyNumberFormat="1" applyFont="1" applyFill="1" applyBorder="1" applyAlignment="1">
      <alignment horizontal="center"/>
    </xf>
    <xf numFmtId="1" fontId="39" fillId="5" borderId="1073" xfId="0" applyNumberFormat="1" applyFont="1" applyFill="1" applyBorder="1" applyAlignment="1">
      <alignment horizontal="center"/>
    </xf>
    <xf numFmtId="1" fontId="39" fillId="5" borderId="1074" xfId="0" applyNumberFormat="1" applyFont="1" applyFill="1" applyBorder="1" applyAlignment="1">
      <alignment horizontal="center"/>
    </xf>
    <xf numFmtId="1" fontId="39" fillId="5" borderId="1023" xfId="0" applyNumberFormat="1" applyFont="1" applyFill="1" applyBorder="1" applyAlignment="1">
      <alignment horizontal="center"/>
    </xf>
    <xf numFmtId="1" fontId="39" fillId="5" borderId="1075" xfId="0" applyNumberFormat="1" applyFont="1" applyFill="1" applyBorder="1" applyAlignment="1">
      <alignment horizontal="center"/>
    </xf>
    <xf numFmtId="1" fontId="39" fillId="5" borderId="623" xfId="0" applyNumberFormat="1" applyFont="1" applyFill="1" applyBorder="1" applyAlignment="1">
      <alignment horizontal="center"/>
    </xf>
    <xf numFmtId="1" fontId="39" fillId="10" borderId="1073" xfId="0" applyNumberFormat="1" applyFont="1" applyFill="1" applyBorder="1" applyAlignment="1">
      <alignment horizontal="center"/>
    </xf>
    <xf numFmtId="1" fontId="39" fillId="5" borderId="1076" xfId="0" applyNumberFormat="1" applyFont="1" applyFill="1" applyBorder="1" applyAlignment="1">
      <alignment horizontal="center"/>
    </xf>
    <xf numFmtId="1" fontId="39" fillId="16" borderId="1075" xfId="0" applyNumberFormat="1" applyFont="1" applyFill="1" applyBorder="1" applyAlignment="1">
      <alignment horizontal="center"/>
    </xf>
    <xf numFmtId="1" fontId="39" fillId="16" borderId="1074" xfId="0" applyNumberFormat="1" applyFont="1" applyFill="1" applyBorder="1" applyAlignment="1">
      <alignment horizontal="center"/>
    </xf>
    <xf numFmtId="1" fontId="39" fillId="5" borderId="1077" xfId="0" applyNumberFormat="1" applyFont="1" applyFill="1" applyBorder="1" applyAlignment="1">
      <alignment horizontal="center"/>
    </xf>
    <xf numFmtId="1" fontId="39" fillId="17" borderId="1074" xfId="0" applyNumberFormat="1" applyFont="1" applyFill="1" applyBorder="1" applyAlignment="1">
      <alignment horizontal="center"/>
    </xf>
    <xf numFmtId="1" fontId="39" fillId="5" borderId="1063" xfId="0" applyNumberFormat="1" applyFont="1" applyFill="1" applyBorder="1" applyAlignment="1">
      <alignment horizontal="center"/>
    </xf>
    <xf numFmtId="1" fontId="39" fillId="5" borderId="1064" xfId="0" applyNumberFormat="1" applyFont="1" applyFill="1" applyBorder="1" applyAlignment="1">
      <alignment horizontal="center"/>
    </xf>
    <xf numFmtId="1" fontId="28" fillId="0" borderId="60" xfId="0" applyNumberFormat="1" applyFont="1" applyBorder="1" applyAlignment="1">
      <alignment horizontal="center"/>
    </xf>
    <xf numFmtId="14" fontId="0" fillId="0" borderId="0" xfId="0" applyNumberFormat="1" applyAlignment="1">
      <alignment horizontal="left" indent="1"/>
    </xf>
    <xf numFmtId="0" fontId="52" fillId="0" borderId="0" xfId="0" applyFont="1" applyAlignment="1">
      <alignment vertical="center"/>
    </xf>
    <xf numFmtId="2" fontId="39" fillId="0" borderId="1079" xfId="0" applyNumberFormat="1" applyFont="1" applyBorder="1" applyAlignment="1">
      <alignment horizontal="center"/>
    </xf>
    <xf numFmtId="2" fontId="39" fillId="0" borderId="1080" xfId="0" applyNumberFormat="1" applyFont="1" applyBorder="1" applyAlignment="1">
      <alignment horizontal="center"/>
    </xf>
    <xf numFmtId="0" fontId="40" fillId="5" borderId="1040" xfId="0" applyFont="1" applyFill="1" applyBorder="1" applyAlignment="1">
      <alignment horizontal="center" vertical="center"/>
    </xf>
    <xf numFmtId="0" fontId="40" fillId="5" borderId="1002" xfId="0" applyFont="1" applyFill="1" applyBorder="1" applyAlignment="1">
      <alignment horizontal="center" vertical="center"/>
    </xf>
    <xf numFmtId="0" fontId="40" fillId="5" borderId="808" xfId="0" applyFont="1" applyFill="1" applyBorder="1" applyAlignment="1">
      <alignment horizontal="center" vertical="center"/>
    </xf>
    <xf numFmtId="45" fontId="39" fillId="5" borderId="0" xfId="0" applyNumberFormat="1" applyFont="1" applyFill="1" applyAlignment="1">
      <alignment horizontal="center" vertical="center"/>
    </xf>
    <xf numFmtId="45" fontId="39" fillId="5" borderId="1040" xfId="0" applyNumberFormat="1" applyFont="1" applyFill="1" applyBorder="1"/>
    <xf numFmtId="45" fontId="39" fillId="5" borderId="1079" xfId="0" applyNumberFormat="1" applyFont="1" applyFill="1" applyBorder="1"/>
    <xf numFmtId="45" fontId="39" fillId="5" borderId="1080" xfId="0" applyNumberFormat="1" applyFont="1" applyFill="1" applyBorder="1" applyAlignment="1">
      <alignment horizontal="center" vertical="center"/>
    </xf>
    <xf numFmtId="0" fontId="39" fillId="5" borderId="843" xfId="0" applyFont="1" applyFill="1" applyBorder="1" applyAlignment="1">
      <alignment horizontal="center"/>
    </xf>
    <xf numFmtId="0" fontId="40" fillId="0" borderId="569" xfId="0" applyFont="1" applyBorder="1" applyAlignment="1">
      <alignment horizontal="center" vertical="center"/>
    </xf>
    <xf numFmtId="0" fontId="40" fillId="5" borderId="156" xfId="0" applyFont="1" applyFill="1" applyBorder="1" applyAlignment="1">
      <alignment horizontal="center"/>
    </xf>
    <xf numFmtId="0" fontId="40" fillId="5" borderId="1048" xfId="0" applyFont="1" applyFill="1" applyBorder="1" applyAlignment="1">
      <alignment horizontal="center"/>
    </xf>
    <xf numFmtId="0" fontId="40" fillId="5" borderId="1002" xfId="0" applyFont="1" applyFill="1" applyBorder="1" applyAlignment="1">
      <alignment horizontal="center"/>
    </xf>
    <xf numFmtId="0" fontId="40" fillId="5" borderId="1040" xfId="0" applyFont="1" applyFill="1" applyBorder="1" applyAlignment="1">
      <alignment horizontal="center"/>
    </xf>
    <xf numFmtId="0" fontId="40" fillId="5" borderId="1079" xfId="0" applyFont="1" applyFill="1" applyBorder="1" applyAlignment="1">
      <alignment horizontal="center"/>
    </xf>
    <xf numFmtId="0" fontId="40" fillId="5" borderId="1080" xfId="0" applyFont="1" applyFill="1" applyBorder="1" applyAlignment="1">
      <alignment horizontal="center"/>
    </xf>
    <xf numFmtId="45" fontId="34" fillId="0" borderId="970" xfId="0" applyNumberFormat="1" applyFont="1" applyBorder="1" applyAlignment="1">
      <alignment horizontal="center"/>
    </xf>
    <xf numFmtId="45" fontId="34" fillId="0" borderId="988" xfId="0" applyNumberFormat="1" applyFont="1" applyBorder="1" applyAlignment="1">
      <alignment horizontal="center"/>
    </xf>
    <xf numFmtId="0" fontId="34" fillId="0" borderId="988" xfId="0" applyFont="1" applyBorder="1" applyAlignment="1">
      <alignment horizontal="center"/>
    </xf>
    <xf numFmtId="170" fontId="34" fillId="0" borderId="988" xfId="0" applyNumberFormat="1" applyFont="1" applyBorder="1" applyAlignment="1">
      <alignment horizontal="center"/>
    </xf>
    <xf numFmtId="1" fontId="34" fillId="0" borderId="989" xfId="0" applyNumberFormat="1" applyFont="1" applyBorder="1" applyAlignment="1">
      <alignment horizontal="center"/>
    </xf>
    <xf numFmtId="0" fontId="34" fillId="0" borderId="990" xfId="0" applyFont="1" applyBorder="1" applyAlignment="1">
      <alignment horizontal="center"/>
    </xf>
    <xf numFmtId="0" fontId="34" fillId="9" borderId="991" xfId="0" applyFont="1" applyFill="1" applyBorder="1" applyAlignment="1">
      <alignment horizontal="center"/>
    </xf>
    <xf numFmtId="45" fontId="34" fillId="9" borderId="988" xfId="0" applyNumberFormat="1" applyFont="1" applyFill="1" applyBorder="1" applyAlignment="1">
      <alignment horizontal="center"/>
    </xf>
    <xf numFmtId="45" fontId="34" fillId="9" borderId="990" xfId="0" applyNumberFormat="1" applyFont="1" applyFill="1" applyBorder="1" applyAlignment="1">
      <alignment horizontal="center"/>
    </xf>
    <xf numFmtId="45" fontId="34" fillId="0" borderId="921" xfId="0" applyNumberFormat="1" applyFont="1" applyBorder="1" applyAlignment="1">
      <alignment horizontal="center"/>
    </xf>
    <xf numFmtId="14" fontId="34" fillId="0" borderId="861" xfId="0" applyNumberFormat="1" applyFont="1" applyBorder="1" applyAlignment="1">
      <alignment horizontal="center"/>
    </xf>
    <xf numFmtId="0" fontId="46" fillId="0" borderId="846" xfId="0" applyFont="1" applyBorder="1" applyAlignment="1">
      <alignment horizontal="center"/>
    </xf>
    <xf numFmtId="0" fontId="40" fillId="0" borderId="1048" xfId="0" applyFont="1" applyBorder="1" applyAlignment="1">
      <alignment horizontal="center"/>
    </xf>
    <xf numFmtId="0" fontId="40" fillId="0" borderId="1002" xfId="0" applyFont="1" applyBorder="1" applyAlignment="1">
      <alignment horizontal="center"/>
    </xf>
    <xf numFmtId="0" fontId="40" fillId="0" borderId="1040" xfId="0" applyFont="1" applyBorder="1" applyAlignment="1">
      <alignment horizontal="center"/>
    </xf>
    <xf numFmtId="1" fontId="0" fillId="0" borderId="0" xfId="0" applyNumberFormat="1" applyAlignment="1">
      <alignment horizontal="center"/>
    </xf>
    <xf numFmtId="0" fontId="0" fillId="0" borderId="1072" xfId="0" applyBorder="1"/>
    <xf numFmtId="0" fontId="40" fillId="0" borderId="853" xfId="0" applyFont="1" applyBorder="1" applyAlignment="1">
      <alignment horizontal="center" vertical="center"/>
    </xf>
    <xf numFmtId="0" fontId="51" fillId="0" borderId="0" xfId="0" applyFont="1" applyAlignment="1">
      <alignment vertical="center"/>
    </xf>
    <xf numFmtId="21" fontId="39" fillId="0" borderId="156" xfId="0" applyNumberFormat="1" applyFont="1" applyBorder="1" applyAlignment="1">
      <alignment horizontal="center"/>
    </xf>
    <xf numFmtId="21" fontId="39" fillId="0" borderId="538" xfId="0" applyNumberFormat="1" applyFont="1" applyBorder="1" applyAlignment="1">
      <alignment horizontal="center"/>
    </xf>
    <xf numFmtId="21" fontId="39" fillId="0" borderId="918" xfId="0" applyNumberFormat="1" applyFont="1" applyBorder="1" applyAlignment="1">
      <alignment horizontal="center"/>
    </xf>
    <xf numFmtId="21" fontId="39" fillId="0" borderId="628" xfId="0" applyNumberFormat="1" applyFont="1" applyBorder="1" applyAlignment="1">
      <alignment horizontal="center"/>
    </xf>
    <xf numFmtId="21" fontId="39" fillId="0" borderId="1043" xfId="0" applyNumberFormat="1" applyFont="1" applyBorder="1" applyAlignment="1">
      <alignment horizontal="center"/>
    </xf>
    <xf numFmtId="167" fontId="39" fillId="0" borderId="1079" xfId="0" applyNumberFormat="1" applyFont="1" applyBorder="1" applyAlignment="1">
      <alignment horizontal="center"/>
    </xf>
    <xf numFmtId="1" fontId="39" fillId="0" borderId="1079" xfId="0" applyNumberFormat="1" applyFont="1" applyBorder="1" applyAlignment="1">
      <alignment horizontal="center"/>
    </xf>
    <xf numFmtId="1" fontId="39" fillId="0" borderId="1079" xfId="0" applyNumberFormat="1" applyFont="1" applyBorder="1" applyAlignment="1">
      <alignment horizontal="center" vertical="center"/>
    </xf>
    <xf numFmtId="0" fontId="40" fillId="0" borderId="1079" xfId="0" applyFont="1" applyBorder="1" applyAlignment="1">
      <alignment horizontal="center"/>
    </xf>
    <xf numFmtId="21" fontId="39" fillId="5" borderId="1079" xfId="0" applyNumberFormat="1" applyFont="1" applyFill="1" applyBorder="1" applyAlignment="1">
      <alignment horizontal="center"/>
    </xf>
    <xf numFmtId="169" fontId="39" fillId="5" borderId="1079" xfId="0" applyNumberFormat="1" applyFont="1" applyFill="1" applyBorder="1" applyAlignment="1">
      <alignment horizontal="center"/>
    </xf>
    <xf numFmtId="45" fontId="39" fillId="0" borderId="1079" xfId="0" applyNumberFormat="1" applyFont="1" applyBorder="1" applyAlignment="1">
      <alignment horizontal="center"/>
    </xf>
    <xf numFmtId="1" fontId="39" fillId="5" borderId="1079" xfId="0" applyNumberFormat="1" applyFont="1" applyFill="1" applyBorder="1" applyAlignment="1">
      <alignment horizontal="center"/>
    </xf>
    <xf numFmtId="1" fontId="40" fillId="5" borderId="1079" xfId="0" applyNumberFormat="1" applyFont="1" applyFill="1" applyBorder="1" applyAlignment="1">
      <alignment horizontal="center"/>
    </xf>
    <xf numFmtId="170" fontId="39" fillId="0" borderId="1079" xfId="0" applyNumberFormat="1" applyFont="1" applyBorder="1" applyAlignment="1">
      <alignment horizontal="center"/>
    </xf>
    <xf numFmtId="45" fontId="39" fillId="5" borderId="1079" xfId="0" applyNumberFormat="1" applyFont="1" applyFill="1" applyBorder="1" applyAlignment="1">
      <alignment horizontal="center"/>
    </xf>
    <xf numFmtId="1" fontId="43" fillId="5" borderId="1065" xfId="0" applyNumberFormat="1" applyFont="1" applyFill="1" applyBorder="1" applyAlignment="1">
      <alignment horizontal="center"/>
    </xf>
    <xf numFmtId="1" fontId="43" fillId="5" borderId="1086" xfId="0" applyNumberFormat="1" applyFont="1" applyFill="1" applyBorder="1" applyAlignment="1">
      <alignment horizontal="center"/>
    </xf>
    <xf numFmtId="1" fontId="43" fillId="5" borderId="1058" xfId="0" applyNumberFormat="1" applyFont="1" applyFill="1" applyBorder="1" applyAlignment="1">
      <alignment horizontal="center"/>
    </xf>
    <xf numFmtId="21" fontId="40" fillId="0" borderId="1048" xfId="0" applyNumberFormat="1" applyFont="1" applyBorder="1" applyAlignment="1">
      <alignment horizontal="center" vertical="center"/>
    </xf>
    <xf numFmtId="0" fontId="0" fillId="0" borderId="0" xfId="0" applyAlignment="1">
      <alignment horizontal="right"/>
    </xf>
    <xf numFmtId="0" fontId="34" fillId="0" borderId="0" xfId="0" pivotButton="1" applyFont="1"/>
    <xf numFmtId="0" fontId="34" fillId="0" borderId="0" xfId="0" applyFont="1" applyAlignment="1">
      <alignment horizontal="left"/>
    </xf>
    <xf numFmtId="173" fontId="34" fillId="0" borderId="0" xfId="0" applyNumberFormat="1" applyFont="1"/>
    <xf numFmtId="0" fontId="34" fillId="0" borderId="0" xfId="0" applyFont="1" applyAlignment="1">
      <alignment horizontal="left" indent="1"/>
    </xf>
    <xf numFmtId="0" fontId="54" fillId="0" borderId="1040" xfId="0" applyFont="1" applyBorder="1" applyAlignment="1">
      <alignment horizontal="center"/>
    </xf>
    <xf numFmtId="0" fontId="54" fillId="0" borderId="156" xfId="0" applyFont="1" applyBorder="1" applyAlignment="1">
      <alignment horizontal="center"/>
    </xf>
    <xf numFmtId="0" fontId="54" fillId="0" borderId="1079" xfId="0" applyFont="1" applyBorder="1" applyAlignment="1">
      <alignment horizontal="center"/>
    </xf>
    <xf numFmtId="0" fontId="54" fillId="0" borderId="606" xfId="0" applyFont="1" applyBorder="1" applyAlignment="1">
      <alignment horizontal="center" vertical="center"/>
    </xf>
    <xf numFmtId="0" fontId="39" fillId="8" borderId="1030" xfId="0" applyFont="1" applyFill="1" applyBorder="1" applyAlignment="1">
      <alignment horizontal="center"/>
    </xf>
    <xf numFmtId="169" fontId="39" fillId="8" borderId="1030" xfId="0" applyNumberFormat="1" applyFont="1" applyFill="1" applyBorder="1" applyAlignment="1">
      <alignment horizontal="center"/>
    </xf>
    <xf numFmtId="45" fontId="39" fillId="8" borderId="1037" xfId="0" applyNumberFormat="1" applyFont="1" applyFill="1" applyBorder="1" applyAlignment="1">
      <alignment horizontal="center"/>
    </xf>
    <xf numFmtId="0" fontId="39" fillId="8" borderId="1037" xfId="0" applyFont="1" applyFill="1" applyBorder="1" applyAlignment="1">
      <alignment horizontal="center"/>
    </xf>
    <xf numFmtId="169" fontId="39" fillId="8" borderId="973" xfId="0" applyNumberFormat="1" applyFont="1" applyFill="1" applyBorder="1" applyAlignment="1">
      <alignment horizontal="center"/>
    </xf>
    <xf numFmtId="45" fontId="39" fillId="8" borderId="975" xfId="0" applyNumberFormat="1" applyFont="1" applyFill="1" applyBorder="1" applyAlignment="1">
      <alignment horizontal="center"/>
    </xf>
    <xf numFmtId="0" fontId="39" fillId="8" borderId="975" xfId="0" applyFont="1" applyFill="1" applyBorder="1" applyAlignment="1">
      <alignment horizontal="center"/>
    </xf>
    <xf numFmtId="0" fontId="39" fillId="8" borderId="974" xfId="0" applyFont="1" applyFill="1" applyBorder="1" applyAlignment="1">
      <alignment horizontal="center"/>
    </xf>
    <xf numFmtId="169" fontId="39" fillId="8" borderId="1037" xfId="0" applyNumberFormat="1" applyFont="1" applyFill="1" applyBorder="1" applyAlignment="1">
      <alignment horizontal="center"/>
    </xf>
    <xf numFmtId="1" fontId="39" fillId="8" borderId="1038" xfId="0" applyNumberFormat="1" applyFont="1" applyFill="1" applyBorder="1" applyAlignment="1">
      <alignment horizontal="center"/>
    </xf>
    <xf numFmtId="1" fontId="43" fillId="8" borderId="973" xfId="0" applyNumberFormat="1" applyFont="1" applyFill="1" applyBorder="1" applyAlignment="1">
      <alignment horizontal="center"/>
    </xf>
    <xf numFmtId="1" fontId="43" fillId="8" borderId="975" xfId="0" applyNumberFormat="1" applyFont="1" applyFill="1" applyBorder="1" applyAlignment="1">
      <alignment horizontal="center"/>
    </xf>
    <xf numFmtId="1" fontId="43" fillId="8" borderId="974" xfId="0" applyNumberFormat="1" applyFont="1" applyFill="1" applyBorder="1" applyAlignment="1">
      <alignment horizontal="center"/>
    </xf>
    <xf numFmtId="0" fontId="54" fillId="23" borderId="606" xfId="0" applyFont="1" applyFill="1" applyBorder="1" applyAlignment="1">
      <alignment horizontal="center" vertical="center"/>
    </xf>
    <xf numFmtId="1" fontId="39" fillId="5" borderId="810" xfId="0" applyNumberFormat="1" applyFont="1" applyFill="1" applyBorder="1" applyAlignment="1">
      <alignment horizontal="center"/>
    </xf>
    <xf numFmtId="167" fontId="39" fillId="0" borderId="1058" xfId="0" applyNumberFormat="1" applyFont="1" applyBorder="1" applyAlignment="1">
      <alignment horizontal="center"/>
    </xf>
    <xf numFmtId="167" fontId="39" fillId="0" borderId="1038" xfId="0" applyNumberFormat="1" applyFont="1" applyBorder="1" applyAlignment="1">
      <alignment horizontal="center"/>
    </xf>
    <xf numFmtId="1" fontId="40" fillId="8" borderId="974" xfId="0" applyNumberFormat="1" applyFont="1" applyFill="1" applyBorder="1" applyAlignment="1">
      <alignment horizontal="center"/>
    </xf>
    <xf numFmtId="0" fontId="34" fillId="7" borderId="968" xfId="0" applyFont="1" applyFill="1" applyBorder="1" applyAlignment="1">
      <alignment horizontal="center"/>
    </xf>
    <xf numFmtId="0" fontId="34" fillId="17" borderId="968" xfId="0" applyFont="1" applyFill="1" applyBorder="1" applyAlignment="1">
      <alignment horizontal="center"/>
    </xf>
    <xf numFmtId="0" fontId="34" fillId="23" borderId="968" xfId="0" applyFont="1" applyFill="1" applyBorder="1" applyAlignment="1">
      <alignment horizontal="center"/>
    </xf>
    <xf numFmtId="1" fontId="34" fillId="0" borderId="1088" xfId="0" applyNumberFormat="1" applyFont="1" applyBorder="1" applyAlignment="1">
      <alignment horizontal="center"/>
    </xf>
    <xf numFmtId="1" fontId="34" fillId="0" borderId="1089" xfId="0" applyNumberFormat="1" applyFont="1" applyBorder="1" applyAlignment="1">
      <alignment horizontal="center"/>
    </xf>
    <xf numFmtId="167" fontId="39" fillId="0" borderId="1091" xfId="0" applyNumberFormat="1" applyFont="1" applyBorder="1" applyAlignment="1">
      <alignment horizontal="center"/>
    </xf>
    <xf numFmtId="0" fontId="10" fillId="5" borderId="1072" xfId="0" applyFont="1" applyFill="1" applyBorder="1" applyAlignment="1">
      <alignment horizontal="right"/>
    </xf>
    <xf numFmtId="0" fontId="10" fillId="5" borderId="60" xfId="0" applyFont="1" applyFill="1" applyBorder="1" applyAlignment="1">
      <alignment horizontal="right"/>
    </xf>
    <xf numFmtId="0" fontId="10" fillId="5" borderId="1030" xfId="0" applyFont="1" applyFill="1" applyBorder="1" applyAlignment="1">
      <alignment horizontal="right"/>
    </xf>
    <xf numFmtId="167" fontId="39" fillId="0" borderId="1090" xfId="0" applyNumberFormat="1" applyFont="1" applyBorder="1" applyAlignment="1">
      <alignment horizontal="center"/>
    </xf>
    <xf numFmtId="1" fontId="34" fillId="0" borderId="1093" xfId="0" applyNumberFormat="1" applyFont="1" applyBorder="1" applyAlignment="1">
      <alignment horizontal="center"/>
    </xf>
    <xf numFmtId="1" fontId="34" fillId="0" borderId="1092" xfId="0" applyNumberFormat="1" applyFont="1" applyBorder="1" applyAlignment="1">
      <alignment horizontal="center"/>
    </xf>
    <xf numFmtId="1" fontId="34" fillId="0" borderId="1097" xfId="0" applyNumberFormat="1" applyFont="1" applyBorder="1" applyAlignment="1">
      <alignment horizontal="center"/>
    </xf>
    <xf numFmtId="1" fontId="34" fillId="0" borderId="1098" xfId="0" applyNumberFormat="1" applyFont="1" applyBorder="1" applyAlignment="1">
      <alignment horizontal="center"/>
    </xf>
    <xf numFmtId="1" fontId="0" fillId="5" borderId="982" xfId="0" applyNumberFormat="1" applyFill="1" applyBorder="1" applyAlignment="1">
      <alignment horizontal="center"/>
    </xf>
    <xf numFmtId="170" fontId="34" fillId="5" borderId="1087" xfId="0" applyNumberFormat="1" applyFont="1" applyFill="1" applyBorder="1" applyAlignment="1">
      <alignment horizontal="center"/>
    </xf>
    <xf numFmtId="170" fontId="34" fillId="0" borderId="1093" xfId="0" applyNumberFormat="1" applyFont="1" applyBorder="1" applyAlignment="1">
      <alignment horizontal="center"/>
    </xf>
    <xf numFmtId="167" fontId="39" fillId="0" borderId="60" xfId="0" applyNumberFormat="1" applyFont="1" applyBorder="1" applyAlignment="1">
      <alignment horizontal="center"/>
    </xf>
    <xf numFmtId="1" fontId="39" fillId="0" borderId="569" xfId="0" applyNumberFormat="1" applyFont="1" applyBorder="1" applyAlignment="1">
      <alignment horizontal="center" vertical="center"/>
    </xf>
    <xf numFmtId="0" fontId="50" fillId="0" borderId="1099" xfId="0" applyFont="1" applyBorder="1" applyAlignment="1">
      <alignment horizontal="center" vertical="center"/>
    </xf>
    <xf numFmtId="21" fontId="49" fillId="0" borderId="1099" xfId="0" applyNumberFormat="1" applyFont="1" applyBorder="1" applyAlignment="1">
      <alignment horizontal="center"/>
    </xf>
    <xf numFmtId="169" fontId="49" fillId="0" borderId="1100" xfId="0" applyNumberFormat="1" applyFont="1" applyBorder="1" applyAlignment="1">
      <alignment horizontal="center"/>
    </xf>
    <xf numFmtId="45" fontId="39" fillId="0" borderId="1100" xfId="0" applyNumberFormat="1" applyFont="1" applyBorder="1" applyAlignment="1">
      <alignment horizontal="center"/>
    </xf>
    <xf numFmtId="1" fontId="49" fillId="0" borderId="1100" xfId="0" applyNumberFormat="1" applyFont="1" applyBorder="1" applyAlignment="1">
      <alignment horizontal="center"/>
    </xf>
    <xf numFmtId="1" fontId="50" fillId="0" borderId="1101" xfId="0" applyNumberFormat="1" applyFont="1" applyBorder="1" applyAlignment="1">
      <alignment horizontal="center"/>
    </xf>
    <xf numFmtId="1" fontId="39" fillId="0" borderId="0" xfId="0" applyNumberFormat="1" applyFont="1" applyAlignment="1">
      <alignment horizontal="center"/>
    </xf>
    <xf numFmtId="170" fontId="39" fillId="0" borderId="1101" xfId="0" applyNumberFormat="1" applyFont="1" applyBorder="1" applyAlignment="1">
      <alignment horizontal="center"/>
    </xf>
    <xf numFmtId="49" fontId="39" fillId="0" borderId="0" xfId="0" applyNumberFormat="1" applyFont="1" applyAlignment="1">
      <alignment horizontal="center"/>
    </xf>
    <xf numFmtId="49" fontId="39" fillId="5" borderId="60" xfId="0" applyNumberFormat="1" applyFont="1" applyFill="1" applyBorder="1" applyAlignment="1">
      <alignment horizontal="center"/>
    </xf>
    <xf numFmtId="49" fontId="39" fillId="5" borderId="0" xfId="0" applyNumberFormat="1" applyFont="1" applyFill="1" applyAlignment="1">
      <alignment horizontal="center"/>
    </xf>
    <xf numFmtId="49" fontId="39" fillId="5" borderId="110" xfId="0" applyNumberFormat="1" applyFont="1" applyFill="1" applyBorder="1" applyAlignment="1">
      <alignment horizontal="center"/>
    </xf>
    <xf numFmtId="1" fontId="39" fillId="0" borderId="1101" xfId="0" applyNumberFormat="1" applyFont="1" applyBorder="1" applyAlignment="1">
      <alignment horizontal="center"/>
    </xf>
    <xf numFmtId="165" fontId="40" fillId="8" borderId="973" xfId="0" applyNumberFormat="1" applyFont="1" applyFill="1" applyBorder="1" applyAlignment="1">
      <alignment horizontal="center"/>
    </xf>
    <xf numFmtId="1" fontId="40" fillId="8" borderId="843" xfId="0" applyNumberFormat="1" applyFont="1" applyFill="1" applyBorder="1" applyAlignment="1">
      <alignment horizontal="center"/>
    </xf>
    <xf numFmtId="1" fontId="40" fillId="8" borderId="843" xfId="0" applyNumberFormat="1" applyFont="1" applyFill="1" applyBorder="1" applyAlignment="1">
      <alignment horizontal="center" vertical="center"/>
    </xf>
    <xf numFmtId="0" fontId="40" fillId="8" borderId="1102" xfId="0" applyFont="1" applyFill="1" applyBorder="1" applyAlignment="1">
      <alignment horizontal="center" vertical="center"/>
    </xf>
    <xf numFmtId="21" fontId="40" fillId="8" borderId="975" xfId="0" applyNumberFormat="1" applyFont="1" applyFill="1" applyBorder="1" applyAlignment="1">
      <alignment horizontal="center"/>
    </xf>
    <xf numFmtId="169" fontId="40" fillId="8" borderId="1103" xfId="0" applyNumberFormat="1" applyFont="1" applyFill="1" applyBorder="1" applyAlignment="1">
      <alignment horizontal="center"/>
    </xf>
    <xf numFmtId="45" fontId="40" fillId="8" borderId="1104" xfId="0" applyNumberFormat="1" applyFont="1" applyFill="1" applyBorder="1" applyAlignment="1">
      <alignment horizontal="center"/>
    </xf>
    <xf numFmtId="1" fontId="40" fillId="8" borderId="1105" xfId="0" applyNumberFormat="1" applyFont="1" applyFill="1" applyBorder="1" applyAlignment="1">
      <alignment horizontal="center"/>
    </xf>
    <xf numFmtId="1" fontId="40" fillId="8" borderId="1104" xfId="0" applyNumberFormat="1" applyFont="1" applyFill="1" applyBorder="1" applyAlignment="1">
      <alignment horizontal="center"/>
    </xf>
    <xf numFmtId="45" fontId="40" fillId="8" borderId="975" xfId="0" applyNumberFormat="1" applyFont="1" applyFill="1" applyBorder="1" applyAlignment="1">
      <alignment horizontal="center"/>
    </xf>
    <xf numFmtId="0" fontId="40" fillId="8" borderId="1104" xfId="0" applyFont="1" applyFill="1" applyBorder="1" applyAlignment="1">
      <alignment horizontal="center"/>
    </xf>
    <xf numFmtId="0" fontId="40" fillId="8" borderId="1105" xfId="0" applyFont="1" applyFill="1" applyBorder="1" applyAlignment="1">
      <alignment horizontal="center"/>
    </xf>
    <xf numFmtId="0" fontId="40" fillId="8" borderId="975" xfId="0" applyFont="1" applyFill="1" applyBorder="1" applyAlignment="1">
      <alignment horizontal="center"/>
    </xf>
    <xf numFmtId="1" fontId="34" fillId="0" borderId="1096" xfId="0" applyNumberFormat="1" applyFont="1" applyBorder="1" applyAlignment="1">
      <alignment horizontal="center"/>
    </xf>
    <xf numFmtId="1" fontId="34" fillId="0" borderId="1087" xfId="0" applyNumberFormat="1" applyFont="1" applyBorder="1" applyAlignment="1">
      <alignment horizontal="center"/>
    </xf>
    <xf numFmtId="170" fontId="34" fillId="0" borderId="1098" xfId="0" applyNumberFormat="1" applyFont="1" applyBorder="1" applyAlignment="1">
      <alignment horizontal="center"/>
    </xf>
    <xf numFmtId="1" fontId="40" fillId="0" borderId="1030" xfId="0" applyNumberFormat="1" applyFont="1" applyBorder="1" applyAlignment="1">
      <alignment horizontal="left"/>
    </xf>
    <xf numFmtId="1" fontId="40" fillId="8" borderId="69" xfId="0" applyNumberFormat="1" applyFont="1" applyFill="1" applyBorder="1" applyAlignment="1">
      <alignment horizontal="left"/>
    </xf>
    <xf numFmtId="1" fontId="40" fillId="9" borderId="70" xfId="0" applyNumberFormat="1" applyFont="1" applyFill="1" applyBorder="1" applyAlignment="1">
      <alignment horizontal="left"/>
    </xf>
    <xf numFmtId="1" fontId="50" fillId="9" borderId="60" xfId="0" applyNumberFormat="1" applyFont="1" applyFill="1" applyBorder="1" applyAlignment="1">
      <alignment horizontal="left"/>
    </xf>
    <xf numFmtId="1" fontId="40" fillId="9" borderId="98" xfId="0" applyNumberFormat="1" applyFont="1" applyFill="1" applyBorder="1" applyAlignment="1">
      <alignment horizontal="left"/>
    </xf>
    <xf numFmtId="1" fontId="40" fillId="9" borderId="569" xfId="0" applyNumberFormat="1" applyFont="1" applyFill="1" applyBorder="1" applyAlignment="1">
      <alignment horizontal="left"/>
    </xf>
    <xf numFmtId="1" fontId="40" fillId="0" borderId="688" xfId="0" applyNumberFormat="1" applyFont="1" applyBorder="1" applyAlignment="1">
      <alignment horizontal="left"/>
    </xf>
    <xf numFmtId="2" fontId="40" fillId="0" borderId="606" xfId="0" applyNumberFormat="1" applyFont="1" applyBorder="1" applyAlignment="1">
      <alignment horizontal="left"/>
    </xf>
    <xf numFmtId="1" fontId="40" fillId="8" borderId="691" xfId="0" applyNumberFormat="1" applyFont="1" applyFill="1" applyBorder="1" applyAlignment="1">
      <alignment horizontal="left"/>
    </xf>
    <xf numFmtId="1" fontId="40" fillId="8" borderId="635" xfId="0" applyNumberFormat="1" applyFont="1" applyFill="1" applyBorder="1" applyAlignment="1">
      <alignment horizontal="left"/>
    </xf>
    <xf numFmtId="1" fontId="40" fillId="8" borderId="784" xfId="0" applyNumberFormat="1" applyFont="1" applyFill="1" applyBorder="1" applyAlignment="1">
      <alignment horizontal="left"/>
    </xf>
    <xf numFmtId="1" fontId="40" fillId="9" borderId="785" xfId="0" applyNumberFormat="1" applyFont="1" applyFill="1" applyBorder="1" applyAlignment="1">
      <alignment horizontal="left"/>
    </xf>
    <xf numFmtId="1" fontId="40" fillId="9" borderId="789" xfId="0" applyNumberFormat="1" applyFont="1" applyFill="1" applyBorder="1" applyAlignment="1">
      <alignment horizontal="left"/>
    </xf>
    <xf numFmtId="1" fontId="40" fillId="0" borderId="789" xfId="0" applyNumberFormat="1" applyFont="1" applyBorder="1" applyAlignment="1">
      <alignment horizontal="left"/>
    </xf>
    <xf numFmtId="1" fontId="40" fillId="8" borderId="701" xfId="0" applyNumberFormat="1" applyFont="1" applyFill="1" applyBorder="1" applyAlignment="1">
      <alignment horizontal="left"/>
    </xf>
    <xf numFmtId="1" fontId="40" fillId="9" borderId="928" xfId="0" applyNumberFormat="1" applyFont="1" applyFill="1" applyBorder="1" applyAlignment="1">
      <alignment horizontal="left"/>
    </xf>
    <xf numFmtId="1" fontId="40" fillId="9" borderId="865" xfId="0" applyNumberFormat="1" applyFont="1" applyFill="1" applyBorder="1" applyAlignment="1">
      <alignment horizontal="left"/>
    </xf>
    <xf numFmtId="1" fontId="40" fillId="9" borderId="60" xfId="0" applyNumberFormat="1" applyFont="1" applyFill="1" applyBorder="1" applyAlignment="1">
      <alignment horizontal="left"/>
    </xf>
    <xf numFmtId="1" fontId="40" fillId="0" borderId="865" xfId="0" applyNumberFormat="1" applyFont="1" applyBorder="1" applyAlignment="1">
      <alignment horizontal="left"/>
    </xf>
    <xf numFmtId="2" fontId="40" fillId="0" borderId="863" xfId="0" applyNumberFormat="1" applyFont="1" applyBorder="1" applyAlignment="1">
      <alignment horizontal="left"/>
    </xf>
    <xf numFmtId="2" fontId="40" fillId="0" borderId="538" xfId="0" applyNumberFormat="1" applyFont="1" applyBorder="1" applyAlignment="1">
      <alignment horizontal="left"/>
    </xf>
    <xf numFmtId="2" fontId="40" fillId="0" borderId="959" xfId="0" applyNumberFormat="1" applyFont="1" applyBorder="1" applyAlignment="1">
      <alignment horizontal="left"/>
    </xf>
    <xf numFmtId="1" fontId="40" fillId="9" borderId="1056" xfId="0" applyNumberFormat="1" applyFont="1" applyFill="1" applyBorder="1" applyAlignment="1">
      <alignment horizontal="left"/>
    </xf>
    <xf numFmtId="1" fontId="40" fillId="0" borderId="1056" xfId="0" applyNumberFormat="1" applyFont="1" applyBorder="1" applyAlignment="1">
      <alignment horizontal="left"/>
    </xf>
    <xf numFmtId="1" fontId="50" fillId="5" borderId="845" xfId="0" applyNumberFormat="1" applyFont="1" applyFill="1" applyBorder="1" applyAlignment="1">
      <alignment horizontal="left"/>
    </xf>
    <xf numFmtId="1" fontId="40" fillId="5" borderId="110" xfId="0" applyNumberFormat="1" applyFont="1" applyFill="1" applyBorder="1" applyAlignment="1">
      <alignment horizontal="left"/>
    </xf>
    <xf numFmtId="2" fontId="40" fillId="5" borderId="110" xfId="0" applyNumberFormat="1" applyFont="1" applyFill="1" applyBorder="1" applyAlignment="1">
      <alignment horizontal="left"/>
    </xf>
    <xf numFmtId="1" fontId="10" fillId="5" borderId="1038" xfId="0" applyNumberFormat="1" applyFont="1" applyFill="1" applyBorder="1" applyAlignment="1">
      <alignment horizontal="left"/>
    </xf>
    <xf numFmtId="1" fontId="50" fillId="5" borderId="846" xfId="0" applyNumberFormat="1" applyFont="1" applyFill="1" applyBorder="1" applyAlignment="1">
      <alignment horizontal="left"/>
    </xf>
    <xf numFmtId="1" fontId="40" fillId="5" borderId="0" xfId="0" applyNumberFormat="1" applyFont="1" applyFill="1" applyAlignment="1">
      <alignment horizontal="left"/>
    </xf>
    <xf numFmtId="2" fontId="40" fillId="5" borderId="0" xfId="0" applyNumberFormat="1" applyFont="1" applyFill="1" applyAlignment="1">
      <alignment horizontal="left"/>
    </xf>
    <xf numFmtId="1" fontId="10" fillId="0" borderId="0" xfId="0" applyNumberFormat="1" applyFont="1" applyAlignment="1">
      <alignment horizontal="left"/>
    </xf>
    <xf numFmtId="2" fontId="34" fillId="0" borderId="1093" xfId="0" applyNumberFormat="1" applyFont="1" applyBorder="1" applyAlignment="1">
      <alignment horizontal="center"/>
    </xf>
    <xf numFmtId="2" fontId="34" fillId="0" borderId="1087" xfId="0" applyNumberFormat="1" applyFont="1" applyBorder="1" applyAlignment="1">
      <alignment horizontal="center"/>
    </xf>
    <xf numFmtId="21" fontId="54" fillId="0" borderId="1079" xfId="0" applyNumberFormat="1" applyFont="1" applyBorder="1" applyAlignment="1">
      <alignment horizontal="center"/>
    </xf>
    <xf numFmtId="2" fontId="34" fillId="0" borderId="898" xfId="96" applyNumberFormat="1" applyFont="1" applyBorder="1" applyAlignment="1">
      <alignment horizontal="center"/>
    </xf>
    <xf numFmtId="2" fontId="34" fillId="0" borderId="988" xfId="96" applyNumberFormat="1" applyFont="1" applyBorder="1" applyAlignment="1">
      <alignment horizontal="center"/>
    </xf>
    <xf numFmtId="14" fontId="34" fillId="0" borderId="1096" xfId="0" applyNumberFormat="1" applyFont="1" applyBorder="1" applyAlignment="1">
      <alignment horizontal="center"/>
    </xf>
    <xf numFmtId="0" fontId="46" fillId="0" borderId="1107" xfId="0" applyFont="1" applyBorder="1" applyAlignment="1">
      <alignment horizontal="center"/>
    </xf>
    <xf numFmtId="45" fontId="34" fillId="0" borderId="1108" xfId="0" applyNumberFormat="1" applyFont="1" applyBorder="1" applyAlignment="1">
      <alignment horizontal="center"/>
    </xf>
    <xf numFmtId="45" fontId="34" fillId="0" borderId="1109" xfId="0" applyNumberFormat="1" applyFont="1" applyBorder="1" applyAlignment="1">
      <alignment horizontal="center"/>
    </xf>
    <xf numFmtId="0" fontId="34" fillId="0" borderId="1109" xfId="0" applyFont="1" applyBorder="1" applyAlignment="1">
      <alignment horizontal="center"/>
    </xf>
    <xf numFmtId="170" fontId="34" fillId="0" borderId="1109" xfId="0" applyNumberFormat="1" applyFont="1" applyBorder="1" applyAlignment="1">
      <alignment horizontal="center"/>
    </xf>
    <xf numFmtId="2" fontId="34" fillId="0" borderId="1109" xfId="96" applyNumberFormat="1" applyFont="1" applyBorder="1" applyAlignment="1">
      <alignment horizontal="center"/>
    </xf>
    <xf numFmtId="1" fontId="34" fillId="0" borderId="1106" xfId="0" applyNumberFormat="1" applyFont="1" applyBorder="1" applyAlignment="1">
      <alignment horizontal="center"/>
    </xf>
    <xf numFmtId="0" fontId="34" fillId="0" borderId="1107" xfId="0" applyFont="1" applyBorder="1" applyAlignment="1">
      <alignment horizontal="center"/>
    </xf>
    <xf numFmtId="0" fontId="34" fillId="9" borderId="1108" xfId="0" applyFont="1" applyFill="1" applyBorder="1" applyAlignment="1">
      <alignment horizontal="center"/>
    </xf>
    <xf numFmtId="45" fontId="34" fillId="9" borderId="1109" xfId="0" applyNumberFormat="1" applyFont="1" applyFill="1" applyBorder="1" applyAlignment="1">
      <alignment horizontal="center"/>
    </xf>
    <xf numFmtId="45" fontId="34" fillId="0" borderId="1107" xfId="0" applyNumberFormat="1" applyFont="1" applyBorder="1" applyAlignment="1">
      <alignment horizontal="center"/>
    </xf>
    <xf numFmtId="167" fontId="39" fillId="10" borderId="1052" xfId="0" applyNumberFormat="1" applyFont="1" applyFill="1" applyBorder="1" applyAlignment="1">
      <alignment horizontal="center"/>
    </xf>
    <xf numFmtId="167" fontId="39" fillId="10" borderId="1079" xfId="0" applyNumberFormat="1" applyFont="1" applyFill="1" applyBorder="1" applyAlignment="1">
      <alignment horizontal="center"/>
    </xf>
    <xf numFmtId="167" fontId="39" fillId="10" borderId="606" xfId="0" applyNumberFormat="1" applyFont="1" applyFill="1" applyBorder="1" applyAlignment="1">
      <alignment horizontal="center"/>
    </xf>
    <xf numFmtId="167" fontId="39" fillId="10" borderId="1040" xfId="0" applyNumberFormat="1" applyFont="1" applyFill="1" applyBorder="1" applyAlignment="1">
      <alignment horizontal="center"/>
    </xf>
    <xf numFmtId="0" fontId="34" fillId="17" borderId="1078" xfId="0" applyFont="1" applyFill="1" applyBorder="1" applyAlignment="1">
      <alignment horizontal="center" vertical="center"/>
    </xf>
    <xf numFmtId="0" fontId="34" fillId="25" borderId="606" xfId="0" applyFont="1" applyFill="1" applyBorder="1" applyAlignment="1">
      <alignment horizontal="center" vertical="center"/>
    </xf>
    <xf numFmtId="169" fontId="40" fillId="13" borderId="1072" xfId="0" applyNumberFormat="1" applyFont="1" applyFill="1" applyBorder="1" applyAlignment="1">
      <alignment horizontal="center"/>
    </xf>
    <xf numFmtId="169" fontId="39" fillId="13" borderId="1111" xfId="0" applyNumberFormat="1" applyFont="1" applyFill="1" applyBorder="1" applyAlignment="1">
      <alignment horizontal="center"/>
    </xf>
    <xf numFmtId="0" fontId="40" fillId="13" borderId="845" xfId="0" applyFont="1" applyFill="1" applyBorder="1" applyAlignment="1">
      <alignment horizontal="center"/>
    </xf>
    <xf numFmtId="1" fontId="39" fillId="7" borderId="1038" xfId="0" applyNumberFormat="1" applyFont="1" applyFill="1" applyBorder="1" applyAlignment="1">
      <alignment horizontal="center"/>
    </xf>
    <xf numFmtId="0" fontId="40" fillId="13" borderId="1072" xfId="0" applyFont="1" applyFill="1" applyBorder="1" applyAlignment="1">
      <alignment horizontal="center"/>
    </xf>
    <xf numFmtId="0" fontId="40" fillId="13" borderId="613" xfId="0" applyFont="1" applyFill="1" applyBorder="1" applyAlignment="1">
      <alignment horizontal="center"/>
    </xf>
    <xf numFmtId="0" fontId="39" fillId="13" borderId="1111" xfId="0" applyFont="1" applyFill="1" applyBorder="1" applyAlignment="1">
      <alignment horizontal="center"/>
    </xf>
    <xf numFmtId="20" fontId="39" fillId="13" borderId="1037" xfId="0" applyNumberFormat="1" applyFont="1" applyFill="1" applyBorder="1" applyAlignment="1">
      <alignment horizontal="center"/>
    </xf>
    <xf numFmtId="1" fontId="39" fillId="13" borderId="1037" xfId="0" applyNumberFormat="1" applyFont="1" applyFill="1" applyBorder="1" applyAlignment="1">
      <alignment horizontal="center"/>
    </xf>
    <xf numFmtId="0" fontId="39" fillId="13" borderId="1038" xfId="0" applyFont="1" applyFill="1" applyBorder="1" applyAlignment="1">
      <alignment horizontal="center"/>
    </xf>
    <xf numFmtId="169" fontId="39" fillId="13" borderId="1037" xfId="0" applyNumberFormat="1" applyFont="1" applyFill="1" applyBorder="1" applyAlignment="1">
      <alignment horizontal="center"/>
    </xf>
    <xf numFmtId="0" fontId="39" fillId="13" borderId="1037" xfId="0" applyFont="1" applyFill="1" applyBorder="1" applyAlignment="1">
      <alignment horizontal="center"/>
    </xf>
    <xf numFmtId="1" fontId="43" fillId="13" borderId="1037" xfId="0" applyNumberFormat="1" applyFont="1" applyFill="1" applyBorder="1" applyAlignment="1">
      <alignment horizontal="center"/>
    </xf>
    <xf numFmtId="1" fontId="43" fillId="13" borderId="1037" xfId="0" applyNumberFormat="1" applyFont="1" applyFill="1" applyBorder="1"/>
    <xf numFmtId="1" fontId="43" fillId="13" borderId="1038" xfId="0" applyNumberFormat="1" applyFont="1" applyFill="1" applyBorder="1" applyAlignment="1">
      <alignment horizontal="center"/>
    </xf>
    <xf numFmtId="0" fontId="39" fillId="13" borderId="1072" xfId="0" applyFont="1" applyFill="1" applyBorder="1" applyAlignment="1">
      <alignment horizontal="center"/>
    </xf>
    <xf numFmtId="20" fontId="39" fillId="13" borderId="613" xfId="0" applyNumberFormat="1" applyFont="1" applyFill="1" applyBorder="1" applyAlignment="1">
      <alignment horizontal="center"/>
    </xf>
    <xf numFmtId="1" fontId="39" fillId="13" borderId="613" xfId="0" applyNumberFormat="1" applyFont="1" applyFill="1" applyBorder="1" applyAlignment="1">
      <alignment horizontal="center"/>
    </xf>
    <xf numFmtId="1" fontId="43" fillId="13" borderId="613" xfId="0" applyNumberFormat="1" applyFont="1" applyFill="1" applyBorder="1" applyAlignment="1">
      <alignment horizontal="center"/>
    </xf>
    <xf numFmtId="1" fontId="43" fillId="13" borderId="613" xfId="0" applyNumberFormat="1" applyFont="1" applyFill="1" applyBorder="1"/>
    <xf numFmtId="1" fontId="43" fillId="13" borderId="845" xfId="0" applyNumberFormat="1" applyFont="1" applyFill="1" applyBorder="1" applyAlignment="1">
      <alignment horizontal="center"/>
    </xf>
    <xf numFmtId="169" fontId="39" fillId="13" borderId="1072" xfId="0" applyNumberFormat="1" applyFont="1" applyFill="1" applyBorder="1" applyAlignment="1">
      <alignment horizontal="center"/>
    </xf>
    <xf numFmtId="1" fontId="39" fillId="7" borderId="845" xfId="0" applyNumberFormat="1" applyFont="1" applyFill="1" applyBorder="1" applyAlignment="1">
      <alignment horizontal="center"/>
    </xf>
    <xf numFmtId="0" fontId="39" fillId="13" borderId="845" xfId="0" applyFont="1" applyFill="1" applyBorder="1" applyAlignment="1">
      <alignment horizontal="center"/>
    </xf>
    <xf numFmtId="0" fontId="46" fillId="17" borderId="967" xfId="0" applyFont="1" applyFill="1" applyBorder="1" applyAlignment="1">
      <alignment horizontal="center" vertical="center"/>
    </xf>
    <xf numFmtId="0" fontId="46" fillId="17" borderId="569" xfId="0" applyFont="1" applyFill="1" applyBorder="1" applyAlignment="1">
      <alignment horizontal="center" vertical="center"/>
    </xf>
    <xf numFmtId="0" fontId="46" fillId="17" borderId="156" xfId="0" applyFont="1" applyFill="1" applyBorder="1" applyAlignment="1">
      <alignment horizontal="center" vertical="center"/>
    </xf>
    <xf numFmtId="0" fontId="46" fillId="16" borderId="569" xfId="0" applyFont="1" applyFill="1" applyBorder="1" applyAlignment="1">
      <alignment horizontal="center" vertical="center"/>
    </xf>
    <xf numFmtId="0" fontId="46" fillId="16" borderId="156" xfId="0" applyFont="1" applyFill="1" applyBorder="1" applyAlignment="1">
      <alignment horizontal="center" vertical="center"/>
    </xf>
    <xf numFmtId="0" fontId="46" fillId="25" borderId="967" xfId="0" applyFont="1" applyFill="1" applyBorder="1" applyAlignment="1">
      <alignment horizontal="center" vertical="center"/>
    </xf>
    <xf numFmtId="0" fontId="46" fillId="25" borderId="569" xfId="0" applyFont="1" applyFill="1" applyBorder="1" applyAlignment="1">
      <alignment horizontal="center" vertical="center"/>
    </xf>
    <xf numFmtId="0" fontId="46" fillId="10" borderId="967" xfId="0" applyFont="1" applyFill="1" applyBorder="1" applyAlignment="1">
      <alignment horizontal="center" vertical="center"/>
    </xf>
    <xf numFmtId="0" fontId="46" fillId="10" borderId="569" xfId="0" applyFont="1" applyFill="1" applyBorder="1" applyAlignment="1">
      <alignment horizontal="center" vertical="center"/>
    </xf>
    <xf numFmtId="0" fontId="46" fillId="10" borderId="156" xfId="0" applyFont="1" applyFill="1" applyBorder="1" applyAlignment="1">
      <alignment horizontal="center" vertical="center"/>
    </xf>
    <xf numFmtId="0" fontId="46" fillId="10" borderId="606" xfId="0" applyFont="1" applyFill="1" applyBorder="1" applyAlignment="1">
      <alignment horizontal="center" vertical="center"/>
    </xf>
    <xf numFmtId="0" fontId="46" fillId="16" borderId="967" xfId="0" applyFont="1" applyFill="1" applyBorder="1" applyAlignment="1">
      <alignment horizontal="center" vertical="center"/>
    </xf>
    <xf numFmtId="0" fontId="46" fillId="16" borderId="606" xfId="0" applyFont="1" applyFill="1" applyBorder="1" applyAlignment="1">
      <alignment horizontal="center" vertical="center"/>
    </xf>
    <xf numFmtId="1" fontId="10" fillId="0" borderId="613" xfId="0" applyNumberFormat="1" applyFont="1" applyBorder="1" applyAlignment="1">
      <alignment horizontal="center"/>
    </xf>
    <xf numFmtId="1" fontId="10" fillId="0" borderId="845" xfId="0" applyNumberFormat="1" applyFont="1" applyBorder="1" applyAlignment="1">
      <alignment horizontal="center"/>
    </xf>
    <xf numFmtId="1" fontId="28" fillId="0" borderId="1094" xfId="0" applyNumberFormat="1" applyFont="1" applyBorder="1" applyAlignment="1">
      <alignment horizontal="center"/>
    </xf>
    <xf numFmtId="1" fontId="28" fillId="0" borderId="1108" xfId="0" applyNumberFormat="1" applyFont="1" applyBorder="1" applyAlignment="1">
      <alignment horizontal="center"/>
    </xf>
    <xf numFmtId="1" fontId="28" fillId="0" borderId="1109" xfId="0" applyNumberFormat="1" applyFont="1" applyBorder="1" applyAlignment="1">
      <alignment horizontal="center"/>
    </xf>
    <xf numFmtId="1" fontId="28" fillId="0" borderId="1107" xfId="0" applyNumberFormat="1" applyFont="1" applyBorder="1" applyAlignment="1">
      <alignment horizontal="center"/>
    </xf>
    <xf numFmtId="167" fontId="28" fillId="0" borderId="1090" xfId="0" applyNumberFormat="1" applyFont="1" applyBorder="1" applyAlignment="1">
      <alignment horizontal="center"/>
    </xf>
    <xf numFmtId="1" fontId="28" fillId="0" borderId="1095" xfId="0" applyNumberFormat="1" applyFont="1" applyBorder="1" applyAlignment="1">
      <alignment horizontal="center"/>
    </xf>
    <xf numFmtId="1" fontId="28" fillId="0" borderId="1093" xfId="0" applyNumberFormat="1" applyFont="1" applyBorder="1" applyAlignment="1">
      <alignment horizontal="center"/>
    </xf>
    <xf numFmtId="1" fontId="28" fillId="0" borderId="1098" xfId="0" applyNumberFormat="1" applyFont="1" applyBorder="1" applyAlignment="1">
      <alignment horizontal="center"/>
    </xf>
    <xf numFmtId="1" fontId="28" fillId="5" borderId="1093" xfId="0" applyNumberFormat="1" applyFont="1" applyFill="1" applyBorder="1" applyAlignment="1">
      <alignment horizontal="center"/>
    </xf>
    <xf numFmtId="1" fontId="28" fillId="5" borderId="1098" xfId="0" applyNumberFormat="1" applyFont="1" applyFill="1" applyBorder="1" applyAlignment="1">
      <alignment horizontal="center"/>
    </xf>
    <xf numFmtId="167" fontId="28" fillId="0" borderId="1080" xfId="0" applyNumberFormat="1" applyFont="1" applyBorder="1" applyAlignment="1">
      <alignment horizontal="center"/>
    </xf>
    <xf numFmtId="1" fontId="28" fillId="0" borderId="1088" xfId="0" applyNumberFormat="1" applyFont="1" applyBorder="1" applyAlignment="1">
      <alignment horizontal="center"/>
    </xf>
    <xf numFmtId="1" fontId="28" fillId="0" borderId="1089" xfId="0" applyNumberFormat="1" applyFont="1" applyBorder="1" applyAlignment="1">
      <alignment horizontal="center"/>
    </xf>
    <xf numFmtId="1" fontId="39" fillId="0" borderId="1111" xfId="0" applyNumberFormat="1" applyFont="1" applyBorder="1" applyAlignment="1">
      <alignment horizontal="center" vertical="center"/>
    </xf>
    <xf numFmtId="1" fontId="39" fillId="0" borderId="619" xfId="0" applyNumberFormat="1" applyFont="1" applyBorder="1" applyAlignment="1">
      <alignment horizontal="center" vertical="center"/>
    </xf>
    <xf numFmtId="1" fontId="39" fillId="0" borderId="1065" xfId="0" applyNumberFormat="1" applyFont="1" applyBorder="1" applyAlignment="1">
      <alignment horizontal="center" vertical="center"/>
    </xf>
    <xf numFmtId="21" fontId="39" fillId="5" borderId="1038" xfId="0" applyNumberFormat="1" applyFont="1" applyFill="1" applyBorder="1" applyAlignment="1">
      <alignment horizontal="center"/>
    </xf>
    <xf numFmtId="21" fontId="39" fillId="5" borderId="1094" xfId="0" applyNumberFormat="1" applyFont="1" applyFill="1" applyBorder="1" applyAlignment="1">
      <alignment horizontal="center"/>
    </xf>
    <xf numFmtId="21" fontId="39" fillId="5" borderId="1095" xfId="0" applyNumberFormat="1" applyFont="1" applyFill="1" applyBorder="1" applyAlignment="1">
      <alignment horizontal="center"/>
    </xf>
    <xf numFmtId="1" fontId="43" fillId="5" borderId="1094" xfId="0" applyNumberFormat="1" applyFont="1" applyFill="1" applyBorder="1" applyAlignment="1">
      <alignment horizontal="center"/>
    </xf>
    <xf numFmtId="1" fontId="39" fillId="0" borderId="1090" xfId="0" applyNumberFormat="1" applyFont="1" applyBorder="1" applyAlignment="1">
      <alignment horizontal="center"/>
    </xf>
    <xf numFmtId="1" fontId="39" fillId="0" borderId="1090" xfId="0" applyNumberFormat="1" applyFont="1" applyBorder="1" applyAlignment="1">
      <alignment horizontal="center" vertical="center"/>
    </xf>
    <xf numFmtId="21" fontId="39" fillId="5" borderId="1090" xfId="0" applyNumberFormat="1" applyFont="1" applyFill="1" applyBorder="1" applyAlignment="1">
      <alignment horizontal="center"/>
    </xf>
    <xf numFmtId="169" fontId="39" fillId="5" borderId="1090" xfId="0" applyNumberFormat="1" applyFont="1" applyFill="1" applyBorder="1" applyAlignment="1">
      <alignment horizontal="center"/>
    </xf>
    <xf numFmtId="45" fontId="39" fillId="0" borderId="1090" xfId="0" applyNumberFormat="1" applyFont="1" applyBorder="1" applyAlignment="1">
      <alignment horizontal="center"/>
    </xf>
    <xf numFmtId="1" fontId="39" fillId="5" borderId="1090" xfId="0" applyNumberFormat="1" applyFont="1" applyFill="1" applyBorder="1" applyAlignment="1">
      <alignment horizontal="center"/>
    </xf>
    <xf numFmtId="1" fontId="40" fillId="5" borderId="1090" xfId="0" applyNumberFormat="1" applyFont="1" applyFill="1" applyBorder="1" applyAlignment="1">
      <alignment horizontal="center"/>
    </xf>
    <xf numFmtId="170" fontId="39" fillId="0" borderId="1090" xfId="0" applyNumberFormat="1" applyFont="1" applyBorder="1" applyAlignment="1">
      <alignment horizontal="center"/>
    </xf>
    <xf numFmtId="45" fontId="39" fillId="5" borderId="1090" xfId="0" applyNumberFormat="1" applyFont="1" applyFill="1" applyBorder="1" applyAlignment="1">
      <alignment horizontal="center"/>
    </xf>
    <xf numFmtId="1" fontId="43" fillId="5" borderId="1095" xfId="0" applyNumberFormat="1" applyFont="1" applyFill="1" applyBorder="1" applyAlignment="1">
      <alignment horizontal="center"/>
    </xf>
    <xf numFmtId="2" fontId="39" fillId="0" borderId="1090" xfId="0" applyNumberFormat="1" applyFont="1" applyBorder="1" applyAlignment="1">
      <alignment horizontal="center"/>
    </xf>
    <xf numFmtId="1" fontId="39" fillId="5" borderId="1112" xfId="0" applyNumberFormat="1" applyFont="1" applyFill="1" applyBorder="1" applyAlignment="1">
      <alignment horizontal="center"/>
    </xf>
    <xf numFmtId="1" fontId="43" fillId="5" borderId="1112" xfId="0" applyNumberFormat="1" applyFont="1" applyFill="1" applyBorder="1" applyAlignment="1">
      <alignment horizontal="center"/>
    </xf>
    <xf numFmtId="1" fontId="43" fillId="5" borderId="1113" xfId="0" applyNumberFormat="1" applyFont="1" applyFill="1" applyBorder="1" applyAlignment="1">
      <alignment horizontal="center"/>
    </xf>
    <xf numFmtId="1" fontId="43" fillId="5" borderId="1114" xfId="0" applyNumberFormat="1" applyFont="1" applyFill="1" applyBorder="1" applyAlignment="1">
      <alignment horizontal="center"/>
    </xf>
    <xf numFmtId="167" fontId="0" fillId="0" borderId="0" xfId="0" applyNumberFormat="1" applyAlignment="1">
      <alignment horizontal="left"/>
    </xf>
    <xf numFmtId="1" fontId="34" fillId="5" borderId="1040" xfId="0" applyNumberFormat="1" applyFont="1" applyFill="1" applyBorder="1" applyAlignment="1">
      <alignment horizontal="center"/>
    </xf>
    <xf numFmtId="1" fontId="34" fillId="5" borderId="1090" xfId="0" applyNumberFormat="1" applyFont="1" applyFill="1" applyBorder="1" applyAlignment="1">
      <alignment horizontal="center"/>
    </xf>
    <xf numFmtId="1" fontId="34" fillId="0" borderId="1090" xfId="0" applyNumberFormat="1" applyFont="1" applyBorder="1" applyAlignment="1">
      <alignment horizontal="center"/>
    </xf>
    <xf numFmtId="1" fontId="34" fillId="0" borderId="1080" xfId="0" applyNumberFormat="1" applyFont="1" applyBorder="1" applyAlignment="1">
      <alignment horizontal="center"/>
    </xf>
    <xf numFmtId="0" fontId="46" fillId="0" borderId="1072" xfId="0" applyFont="1" applyBorder="1" applyAlignment="1">
      <alignment horizontal="center"/>
    </xf>
    <xf numFmtId="0" fontId="10" fillId="5" borderId="1116" xfId="0" applyFont="1" applyFill="1" applyBorder="1" applyAlignment="1">
      <alignment horizontal="right"/>
    </xf>
    <xf numFmtId="0" fontId="34" fillId="0" borderId="845" xfId="0" applyFont="1" applyBorder="1" applyAlignment="1">
      <alignment horizontal="center"/>
    </xf>
    <xf numFmtId="1" fontId="34" fillId="5" borderId="1094" xfId="0" applyNumberFormat="1" applyFont="1" applyFill="1" applyBorder="1" applyAlignment="1">
      <alignment horizontal="center"/>
    </xf>
    <xf numFmtId="1" fontId="34" fillId="5" borderId="966" xfId="0" applyNumberFormat="1" applyFont="1" applyFill="1" applyBorder="1" applyAlignment="1">
      <alignment horizontal="center"/>
    </xf>
    <xf numFmtId="1" fontId="34" fillId="0" borderId="966" xfId="0" applyNumberFormat="1" applyFont="1" applyBorder="1" applyAlignment="1">
      <alignment horizontal="center"/>
    </xf>
    <xf numFmtId="1" fontId="34" fillId="0" borderId="1117" xfId="0" applyNumberFormat="1" applyFont="1" applyBorder="1" applyAlignment="1">
      <alignment horizontal="center"/>
    </xf>
    <xf numFmtId="1" fontId="34" fillId="0" borderId="1109" xfId="0" applyNumberFormat="1" applyFont="1" applyBorder="1" applyAlignment="1">
      <alignment horizontal="center"/>
    </xf>
    <xf numFmtId="1" fontId="34" fillId="0" borderId="1107" xfId="0" applyNumberFormat="1" applyFont="1" applyBorder="1" applyAlignment="1">
      <alignment horizontal="center"/>
    </xf>
    <xf numFmtId="1" fontId="34" fillId="0" borderId="826" xfId="0" applyNumberFormat="1" applyFont="1" applyBorder="1" applyAlignment="1">
      <alignment horizontal="center"/>
    </xf>
    <xf numFmtId="1" fontId="34" fillId="0" borderId="872" xfId="0" applyNumberFormat="1" applyFont="1" applyBorder="1" applyAlignment="1">
      <alignment horizontal="center"/>
    </xf>
    <xf numFmtId="1" fontId="34" fillId="0" borderId="856" xfId="0" applyNumberFormat="1" applyFont="1" applyBorder="1" applyAlignment="1">
      <alignment horizontal="center"/>
    </xf>
    <xf numFmtId="170" fontId="34" fillId="0" borderId="826" xfId="0" applyNumberFormat="1" applyFont="1" applyBorder="1" applyAlignment="1">
      <alignment horizontal="center"/>
    </xf>
    <xf numFmtId="170" fontId="34" fillId="0" borderId="856" xfId="0" applyNumberFormat="1" applyFont="1" applyBorder="1" applyAlignment="1">
      <alignment horizontal="center"/>
    </xf>
    <xf numFmtId="1" fontId="34" fillId="0" borderId="982" xfId="0" applyNumberFormat="1" applyFont="1" applyBorder="1" applyAlignment="1">
      <alignment horizontal="center"/>
    </xf>
    <xf numFmtId="1" fontId="34" fillId="0" borderId="1115" xfId="0" applyNumberFormat="1" applyFont="1" applyBorder="1" applyAlignment="1">
      <alignment horizontal="center"/>
    </xf>
    <xf numFmtId="1" fontId="34" fillId="0" borderId="1118" xfId="0" applyNumberFormat="1" applyFont="1" applyBorder="1" applyAlignment="1">
      <alignment horizontal="center"/>
    </xf>
    <xf numFmtId="2" fontId="40" fillId="0" borderId="628" xfId="0" applyNumberFormat="1" applyFont="1" applyBorder="1" applyAlignment="1">
      <alignment horizontal="left"/>
    </xf>
    <xf numFmtId="2" fontId="40" fillId="0" borderId="156" xfId="0" applyNumberFormat="1" applyFont="1" applyBorder="1" applyAlignment="1">
      <alignment horizontal="left"/>
    </xf>
    <xf numFmtId="2" fontId="40" fillId="0" borderId="1002" xfId="0" applyNumberFormat="1" applyFont="1" applyBorder="1" applyAlignment="1">
      <alignment horizontal="left"/>
    </xf>
    <xf numFmtId="170" fontId="40" fillId="5" borderId="110" xfId="0" applyNumberFormat="1" applyFont="1" applyFill="1" applyBorder="1" applyAlignment="1">
      <alignment horizontal="left"/>
    </xf>
    <xf numFmtId="170" fontId="40" fillId="5" borderId="0" xfId="0" applyNumberFormat="1" applyFont="1" applyFill="1" applyAlignment="1">
      <alignment horizontal="left"/>
    </xf>
    <xf numFmtId="0" fontId="0" fillId="0" borderId="1093" xfId="0" applyBorder="1"/>
    <xf numFmtId="1" fontId="0" fillId="0" borderId="1093" xfId="0" applyNumberFormat="1" applyBorder="1" applyAlignment="1">
      <alignment horizontal="center"/>
    </xf>
    <xf numFmtId="1" fontId="0" fillId="0" borderId="1098" xfId="0" applyNumberFormat="1" applyBorder="1" applyAlignment="1">
      <alignment horizontal="center"/>
    </xf>
    <xf numFmtId="0" fontId="0" fillId="0" borderId="1115" xfId="0" applyBorder="1"/>
    <xf numFmtId="1" fontId="0" fillId="0" borderId="1118" xfId="0" applyNumberFormat="1" applyBorder="1" applyAlignment="1">
      <alignment horizontal="center"/>
    </xf>
    <xf numFmtId="0" fontId="0" fillId="29" borderId="1034" xfId="0" applyFill="1" applyBorder="1"/>
    <xf numFmtId="0" fontId="0" fillId="29" borderId="1034" xfId="0" applyFill="1" applyBorder="1" applyAlignment="1">
      <alignment horizontal="center"/>
    </xf>
    <xf numFmtId="1" fontId="0" fillId="29" borderId="1035" xfId="0" applyNumberFormat="1" applyFill="1" applyBorder="1" applyAlignment="1">
      <alignment horizontal="center"/>
    </xf>
    <xf numFmtId="0" fontId="0" fillId="0" borderId="1110" xfId="0" applyBorder="1"/>
    <xf numFmtId="0" fontId="0" fillId="0" borderId="988" xfId="0" applyBorder="1"/>
    <xf numFmtId="0" fontId="0" fillId="0" borderId="988" xfId="0" applyBorder="1" applyAlignment="1">
      <alignment horizontal="center"/>
    </xf>
    <xf numFmtId="0" fontId="0" fillId="0" borderId="990" xfId="0" applyBorder="1" applyAlignment="1">
      <alignment horizontal="center"/>
    </xf>
    <xf numFmtId="0" fontId="46" fillId="0" borderId="1040" xfId="0" applyFont="1" applyBorder="1" applyAlignment="1">
      <alignment horizontal="center"/>
    </xf>
    <xf numFmtId="0" fontId="46" fillId="0" borderId="1048" xfId="0" applyFont="1" applyBorder="1" applyAlignment="1">
      <alignment horizontal="center"/>
    </xf>
    <xf numFmtId="0" fontId="46" fillId="0" borderId="606" xfId="0" applyFont="1" applyBorder="1" applyAlignment="1">
      <alignment horizontal="center" vertical="center"/>
    </xf>
    <xf numFmtId="0" fontId="7" fillId="0" borderId="0" xfId="99" applyFont="1"/>
    <xf numFmtId="0" fontId="7" fillId="7" borderId="975" xfId="99" applyFont="1" applyFill="1" applyBorder="1" applyAlignment="1">
      <alignment horizontal="center"/>
    </xf>
    <xf numFmtId="0" fontId="7" fillId="0" borderId="1109" xfId="99" applyFont="1" applyBorder="1"/>
    <xf numFmtId="3" fontId="7" fillId="0" borderId="1109" xfId="99" applyNumberFormat="1" applyFont="1" applyBorder="1"/>
    <xf numFmtId="0" fontId="7" fillId="7" borderId="1088" xfId="99" applyFont="1" applyFill="1" applyBorder="1"/>
    <xf numFmtId="3" fontId="7" fillId="7" borderId="1088" xfId="99" applyNumberFormat="1" applyFont="1" applyFill="1" applyBorder="1"/>
    <xf numFmtId="0" fontId="7" fillId="0" borderId="898" xfId="99" applyFont="1" applyBorder="1"/>
    <xf numFmtId="3" fontId="7" fillId="0" borderId="898" xfId="99" applyNumberFormat="1" applyFont="1" applyBorder="1"/>
    <xf numFmtId="0" fontId="7" fillId="0" borderId="1093" xfId="99" applyFont="1" applyBorder="1"/>
    <xf numFmtId="3" fontId="7" fillId="0" borderId="1093" xfId="99" applyNumberFormat="1" applyFont="1" applyBorder="1"/>
    <xf numFmtId="0" fontId="7" fillId="7" borderId="1093" xfId="99" applyFont="1" applyFill="1" applyBorder="1"/>
    <xf numFmtId="3" fontId="7" fillId="7" borderId="1093" xfId="99" applyNumberFormat="1" applyFont="1" applyFill="1" applyBorder="1"/>
    <xf numFmtId="0" fontId="7" fillId="0" borderId="1088" xfId="99" applyFont="1" applyBorder="1"/>
    <xf numFmtId="3" fontId="7" fillId="0" borderId="1088" xfId="99" applyNumberFormat="1" applyFont="1" applyBorder="1"/>
    <xf numFmtId="0" fontId="7" fillId="0" borderId="1034" xfId="99" applyFont="1" applyBorder="1"/>
    <xf numFmtId="3" fontId="7" fillId="0" borderId="1034" xfId="99" applyNumberFormat="1" applyFont="1" applyBorder="1"/>
    <xf numFmtId="0" fontId="7" fillId="0" borderId="1084" xfId="99" applyFont="1" applyBorder="1"/>
    <xf numFmtId="3" fontId="7" fillId="0" borderId="1084" xfId="99" applyNumberFormat="1" applyFont="1" applyBorder="1"/>
    <xf numFmtId="0" fontId="7" fillId="0" borderId="988" xfId="99" applyFont="1" applyBorder="1"/>
    <xf numFmtId="3" fontId="7" fillId="0" borderId="988" xfId="99" applyNumberFormat="1" applyFont="1" applyBorder="1"/>
    <xf numFmtId="1" fontId="7" fillId="0" borderId="0" xfId="99" applyNumberFormat="1" applyFont="1"/>
    <xf numFmtId="0" fontId="7" fillId="0" borderId="0" xfId="99" applyFont="1" applyAlignment="1">
      <alignment horizontal="center"/>
    </xf>
    <xf numFmtId="0" fontId="6" fillId="0" borderId="0" xfId="0" applyFont="1" applyAlignment="1">
      <alignment horizontal="left"/>
    </xf>
    <xf numFmtId="0" fontId="35" fillId="0" borderId="0" xfId="0" applyFont="1" applyAlignment="1">
      <alignment horizontal="left"/>
    </xf>
    <xf numFmtId="1" fontId="0" fillId="10" borderId="1093" xfId="0" applyNumberFormat="1" applyFill="1" applyBorder="1" applyAlignment="1">
      <alignment horizontal="center"/>
    </xf>
    <xf numFmtId="1" fontId="0" fillId="10" borderId="1115" xfId="0" applyNumberFormat="1" applyFill="1" applyBorder="1" applyAlignment="1">
      <alignment horizontal="center"/>
    </xf>
    <xf numFmtId="20" fontId="0" fillId="0" borderId="0" xfId="0" applyNumberFormat="1" applyAlignment="1">
      <alignment horizontal="center"/>
    </xf>
    <xf numFmtId="0" fontId="0" fillId="29" borderId="0" xfId="0" applyFill="1" applyAlignment="1">
      <alignment horizontal="center"/>
    </xf>
    <xf numFmtId="174" fontId="0" fillId="0" borderId="1121" xfId="0" applyNumberFormat="1" applyBorder="1" applyAlignment="1">
      <alignment horizontal="center"/>
    </xf>
    <xf numFmtId="1" fontId="0" fillId="0" borderId="1122" xfId="0" applyNumberFormat="1" applyBorder="1" applyAlignment="1">
      <alignment horizontal="center"/>
    </xf>
    <xf numFmtId="174" fontId="0" fillId="29" borderId="1121" xfId="0" applyNumberFormat="1" applyFill="1" applyBorder="1" applyAlignment="1">
      <alignment horizontal="center"/>
    </xf>
    <xf numFmtId="1" fontId="0" fillId="29" borderId="1122" xfId="0" applyNumberFormat="1" applyFill="1" applyBorder="1" applyAlignment="1">
      <alignment horizontal="center"/>
    </xf>
    <xf numFmtId="174" fontId="0" fillId="0" borderId="1116" xfId="0" applyNumberFormat="1" applyBorder="1" applyAlignment="1">
      <alignment horizontal="center"/>
    </xf>
    <xf numFmtId="0" fontId="0" fillId="0" borderId="1113" xfId="0" applyBorder="1" applyAlignment="1">
      <alignment horizontal="center"/>
    </xf>
    <xf numFmtId="1" fontId="0" fillId="0" borderId="1114" xfId="0" applyNumberFormat="1" applyBorder="1" applyAlignment="1">
      <alignment horizontal="center"/>
    </xf>
    <xf numFmtId="20" fontId="0" fillId="0" borderId="1121" xfId="0" applyNumberFormat="1" applyBorder="1" applyAlignment="1">
      <alignment horizontal="center"/>
    </xf>
    <xf numFmtId="20" fontId="0" fillId="29" borderId="1121" xfId="0" applyNumberFormat="1" applyFill="1" applyBorder="1" applyAlignment="1">
      <alignment horizontal="center"/>
    </xf>
    <xf numFmtId="20" fontId="0" fillId="0" borderId="1116" xfId="0" applyNumberFormat="1" applyBorder="1" applyAlignment="1">
      <alignment horizontal="center"/>
    </xf>
    <xf numFmtId="0" fontId="10" fillId="0" borderId="1116" xfId="0" applyFont="1" applyBorder="1" applyAlignment="1">
      <alignment horizontal="center"/>
    </xf>
    <xf numFmtId="0" fontId="10" fillId="0" borderId="1113" xfId="0" applyFont="1" applyBorder="1" applyAlignment="1">
      <alignment horizontal="center"/>
    </xf>
    <xf numFmtId="0" fontId="10" fillId="0" borderId="1114" xfId="0" applyFont="1" applyBorder="1" applyAlignment="1">
      <alignment horizontal="center"/>
    </xf>
    <xf numFmtId="1" fontId="39" fillId="0" borderId="1116" xfId="0" applyNumberFormat="1" applyFont="1" applyBorder="1" applyAlignment="1">
      <alignment horizontal="center" vertical="center"/>
    </xf>
    <xf numFmtId="21" fontId="39" fillId="5" borderId="1114" xfId="0" applyNumberFormat="1" applyFont="1" applyFill="1" applyBorder="1" applyAlignment="1">
      <alignment horizontal="center"/>
    </xf>
    <xf numFmtId="0" fontId="46" fillId="30" borderId="967" xfId="0" applyFont="1" applyFill="1" applyBorder="1" applyAlignment="1">
      <alignment horizontal="center"/>
    </xf>
    <xf numFmtId="0" fontId="46" fillId="30" borderId="569" xfId="0" applyFont="1" applyFill="1" applyBorder="1" applyAlignment="1">
      <alignment horizontal="center"/>
    </xf>
    <xf numFmtId="0" fontId="46" fillId="23" borderId="843" xfId="0" applyFont="1" applyFill="1" applyBorder="1" applyAlignment="1">
      <alignment horizontal="center" vertical="center"/>
    </xf>
    <xf numFmtId="0" fontId="39" fillId="7" borderId="1121" xfId="0" applyFont="1" applyFill="1" applyBorder="1" applyAlignment="1">
      <alignment horizontal="center"/>
    </xf>
    <xf numFmtId="169" fontId="39" fillId="5" borderId="996" xfId="0" applyNumberFormat="1" applyFont="1" applyFill="1" applyBorder="1" applyAlignment="1">
      <alignment horizontal="center"/>
    </xf>
    <xf numFmtId="0" fontId="0" fillId="10" borderId="0" xfId="0" applyFill="1" applyAlignment="1">
      <alignment horizontal="left"/>
    </xf>
    <xf numFmtId="167" fontId="39" fillId="16" borderId="1052" xfId="0" applyNumberFormat="1" applyFont="1" applyFill="1" applyBorder="1" applyAlignment="1">
      <alignment horizontal="center"/>
    </xf>
    <xf numFmtId="167" fontId="39" fillId="16" borderId="1079" xfId="0" applyNumberFormat="1" applyFont="1" applyFill="1" applyBorder="1" applyAlignment="1">
      <alignment horizontal="center"/>
    </xf>
    <xf numFmtId="1" fontId="39" fillId="0" borderId="1124" xfId="0" applyNumberFormat="1" applyFont="1" applyBorder="1" applyAlignment="1">
      <alignment horizontal="center" vertical="center"/>
    </xf>
    <xf numFmtId="45" fontId="39" fillId="16" borderId="1125" xfId="0" applyNumberFormat="1" applyFont="1" applyFill="1" applyBorder="1" applyAlignment="1">
      <alignment horizontal="center"/>
    </xf>
    <xf numFmtId="0" fontId="39" fillId="16" borderId="1125" xfId="0" applyFont="1" applyFill="1" applyBorder="1" applyAlignment="1">
      <alignment horizontal="center"/>
    </xf>
    <xf numFmtId="1" fontId="39" fillId="16" borderId="159" xfId="0" applyNumberFormat="1" applyFont="1" applyFill="1" applyBorder="1" applyAlignment="1">
      <alignment horizontal="center"/>
    </xf>
    <xf numFmtId="1" fontId="43" fillId="16" borderId="1125" xfId="0" applyNumberFormat="1" applyFont="1" applyFill="1" applyBorder="1" applyAlignment="1">
      <alignment horizontal="center"/>
    </xf>
    <xf numFmtId="1" fontId="43" fillId="16" borderId="159" xfId="0" applyNumberFormat="1" applyFont="1" applyFill="1" applyBorder="1" applyAlignment="1">
      <alignment horizontal="center"/>
    </xf>
    <xf numFmtId="0" fontId="39" fillId="16" borderId="160" xfId="0" applyFont="1" applyFill="1" applyBorder="1" applyAlignment="1">
      <alignment horizontal="center"/>
    </xf>
    <xf numFmtId="169" fontId="39" fillId="16" borderId="1125" xfId="0" applyNumberFormat="1" applyFont="1" applyFill="1" applyBorder="1" applyAlignment="1">
      <alignment horizontal="center"/>
    </xf>
    <xf numFmtId="0" fontId="55" fillId="10" borderId="569" xfId="95" applyFont="1" applyFill="1" applyBorder="1" applyAlignment="1">
      <alignment horizontal="center" vertical="center"/>
    </xf>
    <xf numFmtId="175" fontId="35" fillId="7" borderId="974" xfId="100" applyNumberFormat="1" applyFont="1" applyFill="1" applyBorder="1" applyAlignment="1">
      <alignment horizontal="center"/>
    </xf>
    <xf numFmtId="21" fontId="21" fillId="5" borderId="606" xfId="95" applyNumberFormat="1" applyFont="1" applyFill="1" applyBorder="1" applyAlignment="1">
      <alignment horizontal="center"/>
    </xf>
    <xf numFmtId="0" fontId="4" fillId="0" borderId="1093" xfId="99" applyFont="1" applyBorder="1"/>
    <xf numFmtId="1" fontId="7" fillId="0" borderId="1108" xfId="99" applyNumberFormat="1" applyFont="1" applyBorder="1"/>
    <xf numFmtId="1" fontId="7" fillId="7" borderId="1123" xfId="99" applyNumberFormat="1" applyFont="1" applyFill="1" applyBorder="1"/>
    <xf numFmtId="1" fontId="7" fillId="0" borderId="921" xfId="99" applyNumberFormat="1" applyFont="1" applyBorder="1"/>
    <xf numFmtId="1" fontId="7" fillId="0" borderId="1036" xfId="99" applyNumberFormat="1" applyFont="1" applyBorder="1"/>
    <xf numFmtId="1" fontId="7" fillId="7" borderId="1036" xfId="99" applyNumberFormat="1" applyFont="1" applyFill="1" applyBorder="1"/>
    <xf numFmtId="1" fontId="7" fillId="0" borderId="1123" xfId="99" applyNumberFormat="1" applyFont="1" applyBorder="1"/>
    <xf numFmtId="1" fontId="7" fillId="0" borderId="1126" xfId="99" applyNumberFormat="1" applyFont="1" applyBorder="1"/>
    <xf numFmtId="1" fontId="7" fillId="0" borderId="1083" xfId="99" applyNumberFormat="1" applyFont="1" applyBorder="1"/>
    <xf numFmtId="1" fontId="7" fillId="0" borderId="991" xfId="99" applyNumberFormat="1" applyFont="1" applyBorder="1"/>
    <xf numFmtId="0" fontId="7" fillId="0" borderId="1040" xfId="99" applyFont="1" applyBorder="1" applyAlignment="1">
      <alignment horizontal="center"/>
    </xf>
    <xf numFmtId="0" fontId="7" fillId="0" borderId="1090" xfId="99" applyFont="1" applyBorder="1" applyAlignment="1">
      <alignment horizontal="center"/>
    </xf>
    <xf numFmtId="0" fontId="7" fillId="0" borderId="1080" xfId="99" applyFont="1" applyBorder="1" applyAlignment="1">
      <alignment horizontal="center"/>
    </xf>
    <xf numFmtId="0" fontId="7" fillId="0" borderId="156" xfId="99" applyFont="1" applyBorder="1" applyAlignment="1">
      <alignment horizontal="center"/>
    </xf>
    <xf numFmtId="0" fontId="7" fillId="0" borderId="1078" xfId="99" applyFont="1" applyBorder="1" applyAlignment="1">
      <alignment horizontal="center"/>
    </xf>
    <xf numFmtId="0" fontId="7" fillId="0" borderId="843" xfId="99" applyFont="1" applyBorder="1" applyAlignment="1">
      <alignment horizontal="center"/>
    </xf>
    <xf numFmtId="0" fontId="46" fillId="23" borderId="569" xfId="0" applyFont="1" applyFill="1" applyBorder="1" applyAlignment="1">
      <alignment horizontal="center" vertical="center"/>
    </xf>
    <xf numFmtId="14" fontId="34" fillId="0" borderId="169" xfId="0" applyNumberFormat="1" applyFont="1" applyBorder="1" applyAlignment="1">
      <alignment horizontal="center"/>
    </xf>
    <xf numFmtId="0" fontId="46" fillId="0" borderId="1120" xfId="0" applyFont="1" applyBorder="1" applyAlignment="1">
      <alignment horizontal="center"/>
    </xf>
    <xf numFmtId="170" fontId="34" fillId="0" borderId="1119" xfId="0" applyNumberFormat="1" applyFont="1" applyBorder="1" applyAlignment="1">
      <alignment horizontal="center"/>
    </xf>
    <xf numFmtId="49" fontId="46" fillId="0" borderId="829" xfId="0" applyNumberFormat="1" applyFont="1" applyBorder="1" applyAlignment="1">
      <alignment horizontal="center"/>
    </xf>
    <xf numFmtId="175" fontId="34" fillId="0" borderId="0" xfId="96" applyNumberFormat="1" applyFont="1" applyFill="1" applyAlignment="1">
      <alignment horizontal="center"/>
    </xf>
    <xf numFmtId="49" fontId="46" fillId="0" borderId="0" xfId="0" applyNumberFormat="1" applyFont="1" applyAlignment="1">
      <alignment horizontal="center"/>
    </xf>
    <xf numFmtId="45" fontId="34" fillId="9" borderId="1120" xfId="0" applyNumberFormat="1" applyFont="1" applyFill="1" applyBorder="1" applyAlignment="1">
      <alignment horizontal="center"/>
    </xf>
    <xf numFmtId="174" fontId="34" fillId="9" borderId="856" xfId="0" applyNumberFormat="1" applyFont="1" applyFill="1" applyBorder="1" applyAlignment="1">
      <alignment horizontal="center"/>
    </xf>
    <xf numFmtId="45" fontId="34" fillId="0" borderId="987" xfId="0" applyNumberFormat="1" applyFont="1" applyBorder="1" applyAlignment="1">
      <alignment horizontal="center"/>
    </xf>
    <xf numFmtId="49" fontId="46" fillId="0" borderId="991" xfId="0" applyNumberFormat="1" applyFont="1" applyBorder="1" applyAlignment="1">
      <alignment horizontal="center"/>
    </xf>
    <xf numFmtId="0" fontId="46" fillId="0" borderId="1104" xfId="0" applyFont="1" applyBorder="1" applyAlignment="1">
      <alignment horizontal="center"/>
    </xf>
    <xf numFmtId="49" fontId="46" fillId="0" borderId="989" xfId="0" applyNumberFormat="1" applyFont="1" applyBorder="1" applyAlignment="1">
      <alignment horizontal="center"/>
    </xf>
    <xf numFmtId="0" fontId="39" fillId="10" borderId="1121" xfId="0" applyFont="1" applyFill="1" applyBorder="1" applyAlignment="1">
      <alignment horizontal="center"/>
    </xf>
    <xf numFmtId="0" fontId="39" fillId="10" borderId="1122" xfId="0" applyFont="1" applyFill="1" applyBorder="1" applyAlignment="1">
      <alignment horizontal="center"/>
    </xf>
    <xf numFmtId="0" fontId="39" fillId="16" borderId="1000" xfId="0" applyFont="1" applyFill="1" applyBorder="1" applyAlignment="1">
      <alignment horizontal="center"/>
    </xf>
    <xf numFmtId="169" fontId="39" fillId="16" borderId="1000" xfId="0" applyNumberFormat="1" applyFont="1" applyFill="1" applyBorder="1" applyAlignment="1">
      <alignment horizontal="center"/>
    </xf>
    <xf numFmtId="45" fontId="39" fillId="16" borderId="995" xfId="0" applyNumberFormat="1" applyFont="1" applyFill="1" applyBorder="1" applyAlignment="1">
      <alignment horizontal="center"/>
    </xf>
    <xf numFmtId="0" fontId="39" fillId="16" borderId="995" xfId="0" applyFont="1" applyFill="1" applyBorder="1" applyAlignment="1">
      <alignment horizontal="center"/>
    </xf>
    <xf numFmtId="0" fontId="39" fillId="16" borderId="966" xfId="0" applyFont="1" applyFill="1" applyBorder="1" applyAlignment="1">
      <alignment horizontal="center"/>
    </xf>
    <xf numFmtId="169" fontId="39" fillId="16" borderId="995" xfId="0" applyNumberFormat="1" applyFont="1" applyFill="1" applyBorder="1" applyAlignment="1">
      <alignment horizontal="center"/>
    </xf>
    <xf numFmtId="1" fontId="39" fillId="16" borderId="966" xfId="0" applyNumberFormat="1" applyFont="1" applyFill="1" applyBorder="1" applyAlignment="1">
      <alignment horizontal="center"/>
    </xf>
    <xf numFmtId="1" fontId="43" fillId="16" borderId="1000" xfId="0" applyNumberFormat="1" applyFont="1" applyFill="1" applyBorder="1" applyAlignment="1">
      <alignment horizontal="center"/>
    </xf>
    <xf numFmtId="1" fontId="43" fillId="16" borderId="995" xfId="0" applyNumberFormat="1" applyFont="1" applyFill="1" applyBorder="1" applyAlignment="1">
      <alignment horizontal="center"/>
    </xf>
    <xf numFmtId="1" fontId="43" fillId="16" borderId="966" xfId="0" applyNumberFormat="1" applyFont="1" applyFill="1" applyBorder="1" applyAlignment="1">
      <alignment horizontal="center"/>
    </xf>
    <xf numFmtId="1" fontId="39" fillId="0" borderId="1127" xfId="0" applyNumberFormat="1" applyFont="1" applyBorder="1" applyAlignment="1">
      <alignment horizontal="center" vertical="center"/>
    </xf>
    <xf numFmtId="21" fontId="39" fillId="5" borderId="1128" xfId="0" applyNumberFormat="1" applyFont="1" applyFill="1" applyBorder="1" applyAlignment="1">
      <alignment horizontal="center"/>
    </xf>
    <xf numFmtId="167" fontId="39" fillId="10" borderId="1090" xfId="0" applyNumberFormat="1" applyFont="1" applyFill="1" applyBorder="1" applyAlignment="1">
      <alignment horizontal="center"/>
    </xf>
    <xf numFmtId="0" fontId="46" fillId="0" borderId="0" xfId="0" applyFont="1"/>
    <xf numFmtId="45" fontId="34" fillId="0" borderId="879" xfId="0" applyNumberFormat="1" applyFont="1" applyBorder="1" applyAlignment="1">
      <alignment horizontal="center"/>
    </xf>
    <xf numFmtId="45" fontId="34" fillId="0" borderId="1119" xfId="0" applyNumberFormat="1" applyFont="1" applyBorder="1" applyAlignment="1">
      <alignment horizontal="center"/>
    </xf>
    <xf numFmtId="0" fontId="34" fillId="0" borderId="1119" xfId="0" applyFont="1" applyBorder="1" applyAlignment="1">
      <alignment horizontal="center"/>
    </xf>
    <xf numFmtId="2" fontId="34" fillId="0" borderId="1119" xfId="96" applyNumberFormat="1" applyFont="1" applyBorder="1" applyAlignment="1">
      <alignment horizontal="center"/>
    </xf>
    <xf numFmtId="0" fontId="34" fillId="0" borderId="1120" xfId="0" applyFont="1" applyBorder="1" applyAlignment="1">
      <alignment horizontal="center"/>
    </xf>
    <xf numFmtId="0" fontId="34" fillId="9" borderId="879" xfId="0" applyFont="1" applyFill="1" applyBorder="1" applyAlignment="1">
      <alignment horizontal="center"/>
    </xf>
    <xf numFmtId="45" fontId="34" fillId="9" borderId="1119" xfId="0" applyNumberFormat="1" applyFont="1" applyFill="1" applyBorder="1" applyAlignment="1">
      <alignment horizontal="center"/>
    </xf>
    <xf numFmtId="45" fontId="34" fillId="5" borderId="1120" xfId="0" applyNumberFormat="1" applyFont="1" applyFill="1" applyBorder="1" applyAlignment="1">
      <alignment horizontal="center"/>
    </xf>
    <xf numFmtId="0" fontId="0" fillId="29" borderId="1093" xfId="0" applyFill="1" applyBorder="1"/>
    <xf numFmtId="1" fontId="0" fillId="29" borderId="1093" xfId="0" applyNumberFormat="1" applyFill="1" applyBorder="1" applyAlignment="1">
      <alignment horizontal="center"/>
    </xf>
    <xf numFmtId="1" fontId="0" fillId="29" borderId="1098" xfId="0" applyNumberFormat="1" applyFill="1" applyBorder="1" applyAlignment="1">
      <alignment horizontal="center"/>
    </xf>
    <xf numFmtId="0" fontId="34" fillId="0" borderId="1096" xfId="0" applyFont="1" applyBorder="1" applyAlignment="1">
      <alignment horizontal="center"/>
    </xf>
    <xf numFmtId="0" fontId="34" fillId="0" borderId="1087" xfId="0" applyFont="1" applyBorder="1" applyAlignment="1">
      <alignment horizontal="center"/>
    </xf>
    <xf numFmtId="0" fontId="34" fillId="0" borderId="1129" xfId="0" applyFont="1" applyBorder="1" applyAlignment="1">
      <alignment horizontal="center"/>
    </xf>
    <xf numFmtId="170" fontId="34" fillId="0" borderId="1087" xfId="0" applyNumberFormat="1" applyFont="1" applyBorder="1" applyAlignment="1">
      <alignment horizontal="center"/>
    </xf>
    <xf numFmtId="1" fontId="0" fillId="0" borderId="982" xfId="0" applyNumberFormat="1" applyBorder="1" applyAlignment="1">
      <alignment horizontal="center"/>
    </xf>
    <xf numFmtId="0" fontId="46" fillId="0" borderId="789" xfId="0" applyFont="1" applyBorder="1" applyAlignment="1">
      <alignment horizontal="center"/>
    </xf>
    <xf numFmtId="0" fontId="46" fillId="0" borderId="569" xfId="0" applyFont="1" applyBorder="1" applyAlignment="1">
      <alignment horizontal="center"/>
    </xf>
    <xf numFmtId="1" fontId="46" fillId="0" borderId="967" xfId="0" applyNumberFormat="1" applyFont="1" applyBorder="1" applyAlignment="1">
      <alignment horizontal="center"/>
    </xf>
    <xf numFmtId="1" fontId="46" fillId="0" borderId="970" xfId="0" applyNumberFormat="1" applyFont="1" applyBorder="1" applyAlignment="1">
      <alignment horizontal="center"/>
    </xf>
    <xf numFmtId="1" fontId="46" fillId="0" borderId="843" xfId="0" applyNumberFormat="1" applyFont="1" applyBorder="1" applyAlignment="1">
      <alignment horizontal="center"/>
    </xf>
    <xf numFmtId="0" fontId="46" fillId="0" borderId="808" xfId="0" applyFont="1" applyBorder="1" applyAlignment="1">
      <alignment horizontal="center"/>
    </xf>
    <xf numFmtId="0" fontId="40" fillId="31" borderId="606" xfId="0" applyFont="1" applyFill="1" applyBorder="1" applyAlignment="1">
      <alignment horizontal="center" vertical="center"/>
    </xf>
    <xf numFmtId="167" fontId="39" fillId="32" borderId="1090" xfId="0" applyNumberFormat="1" applyFont="1" applyFill="1" applyBorder="1" applyAlignment="1">
      <alignment horizontal="center"/>
    </xf>
    <xf numFmtId="45" fontId="34" fillId="5" borderId="1107" xfId="0" applyNumberFormat="1" applyFont="1" applyFill="1" applyBorder="1" applyAlignment="1">
      <alignment horizontal="center"/>
    </xf>
    <xf numFmtId="1" fontId="44" fillId="5" borderId="1127" xfId="0" applyNumberFormat="1" applyFont="1" applyFill="1" applyBorder="1"/>
    <xf numFmtId="2" fontId="34" fillId="0" borderId="1098" xfId="0" applyNumberFormat="1" applyFont="1" applyBorder="1" applyAlignment="1">
      <alignment horizontal="center"/>
    </xf>
    <xf numFmtId="0" fontId="1" fillId="0" borderId="0" xfId="0" applyFont="1" applyAlignment="1">
      <alignment horizontal="left"/>
    </xf>
    <xf numFmtId="2" fontId="39" fillId="0" borderId="1121" xfId="0" applyNumberFormat="1" applyFont="1" applyBorder="1" applyAlignment="1">
      <alignment horizontal="center"/>
    </xf>
    <xf numFmtId="2" fontId="39" fillId="0" borderId="619" xfId="0" applyNumberFormat="1" applyFont="1" applyBorder="1" applyAlignment="1">
      <alignment horizontal="center"/>
    </xf>
    <xf numFmtId="2" fontId="39" fillId="0" borderId="1138" xfId="0" applyNumberFormat="1" applyFont="1" applyBorder="1" applyAlignment="1">
      <alignment horizontal="center"/>
    </xf>
    <xf numFmtId="2" fontId="39" fillId="0" borderId="1136" xfId="0" applyNumberFormat="1" applyFont="1" applyBorder="1" applyAlignment="1">
      <alignment horizontal="center"/>
    </xf>
    <xf numFmtId="2" fontId="39" fillId="0" borderId="160" xfId="0" applyNumberFormat="1" applyFont="1" applyBorder="1" applyAlignment="1">
      <alignment horizontal="center"/>
    </xf>
    <xf numFmtId="2" fontId="39" fillId="0" borderId="1139" xfId="0" applyNumberFormat="1" applyFont="1" applyBorder="1" applyAlignment="1">
      <alignment horizontal="center"/>
    </xf>
    <xf numFmtId="2" fontId="39" fillId="0" borderId="802" xfId="0" applyNumberFormat="1" applyFont="1" applyBorder="1" applyAlignment="1">
      <alignment horizontal="center"/>
    </xf>
    <xf numFmtId="2" fontId="39" fillId="0" borderId="1031" xfId="0" applyNumberFormat="1" applyFont="1" applyBorder="1" applyAlignment="1">
      <alignment horizontal="center"/>
    </xf>
    <xf numFmtId="2" fontId="39" fillId="5" borderId="1139" xfId="0" applyNumberFormat="1" applyFont="1" applyFill="1" applyBorder="1" applyAlignment="1">
      <alignment horizontal="center"/>
    </xf>
    <xf numFmtId="2" fontId="39" fillId="5" borderId="619" xfId="0" applyNumberFormat="1" applyFont="1" applyFill="1" applyBorder="1" applyAlignment="1">
      <alignment horizontal="center"/>
    </xf>
    <xf numFmtId="2" fontId="39" fillId="5" borderId="1138" xfId="0" applyNumberFormat="1" applyFont="1" applyFill="1" applyBorder="1" applyAlignment="1">
      <alignment horizontal="center"/>
    </xf>
    <xf numFmtId="2" fontId="39" fillId="0" borderId="1127" xfId="0" applyNumberFormat="1" applyFont="1" applyBorder="1" applyAlignment="1">
      <alignment horizontal="center"/>
    </xf>
    <xf numFmtId="0" fontId="39" fillId="0" borderId="0" xfId="0" applyFont="1" applyAlignment="1">
      <alignment horizontal="left" vertical="center"/>
    </xf>
    <xf numFmtId="0" fontId="0" fillId="0" borderId="1138" xfId="0" applyBorder="1" applyAlignment="1">
      <alignment horizontal="center" vertical="center"/>
    </xf>
    <xf numFmtId="0" fontId="39" fillId="0" borderId="1138" xfId="0" applyFont="1" applyBorder="1" applyAlignment="1">
      <alignment horizontal="center" vertical="center"/>
    </xf>
    <xf numFmtId="0" fontId="39" fillId="0" borderId="1138" xfId="0" applyFont="1" applyBorder="1" applyAlignment="1">
      <alignment horizontal="center"/>
    </xf>
    <xf numFmtId="0" fontId="28" fillId="0" borderId="160" xfId="0" applyFont="1" applyBorder="1" applyAlignment="1">
      <alignment horizontal="center"/>
    </xf>
    <xf numFmtId="0" fontId="28" fillId="0" borderId="156" xfId="0" applyFont="1" applyBorder="1" applyAlignment="1">
      <alignment horizontal="center"/>
    </xf>
    <xf numFmtId="0" fontId="28" fillId="0" borderId="1138" xfId="0" applyFont="1" applyBorder="1" applyAlignment="1">
      <alignment horizontal="center"/>
    </xf>
    <xf numFmtId="0" fontId="28" fillId="0" borderId="1137" xfId="0" applyFont="1" applyBorder="1" applyAlignment="1">
      <alignment horizontal="center"/>
    </xf>
    <xf numFmtId="0" fontId="0" fillId="0" borderId="1138" xfId="0" applyBorder="1" applyAlignment="1">
      <alignment horizontal="center"/>
    </xf>
    <xf numFmtId="0" fontId="0" fillId="0" borderId="1137" xfId="0" applyBorder="1" applyAlignment="1">
      <alignment horizontal="center"/>
    </xf>
    <xf numFmtId="170" fontId="28" fillId="0" borderId="1138" xfId="0" applyNumberFormat="1" applyFont="1" applyBorder="1" applyAlignment="1">
      <alignment horizontal="center"/>
    </xf>
    <xf numFmtId="0" fontId="10" fillId="0" borderId="1138" xfId="0" applyFont="1" applyBorder="1" applyAlignment="1">
      <alignment horizontal="center" vertical="center"/>
    </xf>
    <xf numFmtId="167" fontId="28" fillId="0" borderId="1138" xfId="0" applyNumberFormat="1" applyFont="1" applyBorder="1" applyAlignment="1">
      <alignment horizontal="center"/>
    </xf>
    <xf numFmtId="0" fontId="28" fillId="0" borderId="1139" xfId="0" applyFont="1" applyBorder="1" applyAlignment="1">
      <alignment horizontal="center"/>
    </xf>
    <xf numFmtId="0" fontId="28" fillId="0" borderId="619" xfId="0" applyFont="1" applyBorder="1" applyAlignment="1">
      <alignment horizontal="center"/>
    </xf>
    <xf numFmtId="0" fontId="28" fillId="0" borderId="1136" xfId="0" applyFont="1" applyBorder="1" applyAlignment="1">
      <alignment horizontal="center"/>
    </xf>
    <xf numFmtId="0" fontId="28" fillId="0" borderId="818" xfId="0" applyFont="1" applyBorder="1" applyAlignment="1">
      <alignment horizontal="center"/>
    </xf>
    <xf numFmtId="0" fontId="28" fillId="0" borderId="1133" xfId="0" applyFont="1" applyBorder="1" applyAlignment="1">
      <alignment horizontal="center"/>
    </xf>
    <xf numFmtId="1" fontId="39" fillId="0" borderId="1135" xfId="0" applyNumberFormat="1" applyFont="1" applyBorder="1" applyAlignment="1">
      <alignment horizontal="center"/>
    </xf>
    <xf numFmtId="0" fontId="28" fillId="0" borderId="1134" xfId="0" applyFont="1" applyBorder="1" applyAlignment="1">
      <alignment horizontal="center"/>
    </xf>
    <xf numFmtId="1" fontId="39" fillId="0" borderId="1080" xfId="0" applyNumberFormat="1" applyFont="1" applyBorder="1" applyAlignment="1">
      <alignment horizontal="center"/>
    </xf>
    <xf numFmtId="2" fontId="28" fillId="0" borderId="160" xfId="0" applyNumberFormat="1" applyFont="1" applyBorder="1" applyAlignment="1">
      <alignment horizontal="center"/>
    </xf>
    <xf numFmtId="2" fontId="28" fillId="0" borderId="1138" xfId="0" applyNumberFormat="1" applyFont="1" applyBorder="1" applyAlignment="1">
      <alignment horizontal="center"/>
    </xf>
    <xf numFmtId="2" fontId="0" fillId="0" borderId="1138" xfId="0" applyNumberFormat="1" applyBorder="1" applyAlignment="1">
      <alignment horizontal="center"/>
    </xf>
    <xf numFmtId="2" fontId="0" fillId="0" borderId="1138" xfId="0" applyNumberFormat="1" applyBorder="1" applyAlignment="1">
      <alignment horizontal="center" vertical="center"/>
    </xf>
    <xf numFmtId="2" fontId="10" fillId="0" borderId="1138" xfId="0" applyNumberFormat="1" applyFont="1" applyBorder="1" applyAlignment="1">
      <alignment horizontal="center" vertical="center"/>
    </xf>
    <xf numFmtId="2" fontId="39" fillId="0" borderId="1138" xfId="0" applyNumberFormat="1" applyFont="1" applyBorder="1" applyAlignment="1">
      <alignment horizontal="center" vertical="center"/>
    </xf>
    <xf numFmtId="2" fontId="28" fillId="0" borderId="1133" xfId="0" applyNumberFormat="1" applyFont="1" applyBorder="1" applyAlignment="1">
      <alignment horizontal="center"/>
    </xf>
    <xf numFmtId="2" fontId="28" fillId="0" borderId="1134" xfId="0" applyNumberFormat="1" applyFont="1" applyBorder="1" applyAlignment="1">
      <alignment horizontal="center"/>
    </xf>
    <xf numFmtId="2" fontId="28" fillId="0" borderId="818" xfId="0" applyNumberFormat="1" applyFont="1" applyBorder="1" applyAlignment="1">
      <alignment horizontal="center"/>
    </xf>
    <xf numFmtId="0" fontId="28" fillId="0" borderId="851" xfId="0" applyFont="1" applyBorder="1" applyAlignment="1">
      <alignment horizontal="center"/>
    </xf>
    <xf numFmtId="2" fontId="39" fillId="0" borderId="1135" xfId="0" applyNumberFormat="1" applyFont="1" applyBorder="1" applyAlignment="1">
      <alignment horizontal="center"/>
    </xf>
    <xf numFmtId="2" fontId="28" fillId="0" borderId="1140" xfId="0" applyNumberFormat="1" applyFont="1" applyBorder="1" applyAlignment="1">
      <alignment horizontal="center"/>
    </xf>
    <xf numFmtId="1" fontId="39" fillId="0" borderId="1141" xfId="0" applyNumberFormat="1" applyFont="1" applyBorder="1" applyAlignment="1">
      <alignment horizontal="center"/>
    </xf>
    <xf numFmtId="2" fontId="39" fillId="0" borderId="1141" xfId="0" applyNumberFormat="1" applyFont="1" applyBorder="1" applyAlignment="1">
      <alignment horizontal="center"/>
    </xf>
    <xf numFmtId="1" fontId="39" fillId="0" borderId="1133" xfId="0" applyNumberFormat="1" applyFont="1" applyBorder="1" applyAlignment="1">
      <alignment horizontal="center"/>
    </xf>
    <xf numFmtId="1" fontId="39" fillId="0" borderId="1134" xfId="0" applyNumberFormat="1" applyFont="1" applyBorder="1" applyAlignment="1">
      <alignment horizontal="center"/>
    </xf>
    <xf numFmtId="2" fontId="40" fillId="8" borderId="1105" xfId="0" applyNumberFormat="1" applyFont="1" applyFill="1" applyBorder="1" applyAlignment="1">
      <alignment horizontal="center"/>
    </xf>
    <xf numFmtId="0" fontId="10" fillId="8" borderId="843" xfId="0" applyFont="1" applyFill="1" applyBorder="1" applyAlignment="1">
      <alignment horizontal="center"/>
    </xf>
    <xf numFmtId="1" fontId="40" fillId="8" borderId="1052" xfId="0" applyNumberFormat="1" applyFont="1" applyFill="1" applyBorder="1" applyAlignment="1">
      <alignment horizontal="center"/>
    </xf>
    <xf numFmtId="2" fontId="40" fillId="8" borderId="843" xfId="0" applyNumberFormat="1" applyFont="1" applyFill="1" applyBorder="1" applyAlignment="1">
      <alignment horizontal="center"/>
    </xf>
    <xf numFmtId="0" fontId="10" fillId="0" borderId="0" xfId="0" applyFont="1" applyAlignment="1">
      <alignment horizontal="left"/>
    </xf>
    <xf numFmtId="0" fontId="28" fillId="0" borderId="1140" xfId="0" applyFont="1" applyBorder="1" applyAlignment="1">
      <alignment horizontal="center"/>
    </xf>
    <xf numFmtId="2" fontId="28" fillId="0" borderId="619" xfId="0" applyNumberFormat="1" applyFont="1" applyBorder="1" applyAlignment="1">
      <alignment horizontal="center"/>
    </xf>
    <xf numFmtId="1" fontId="39" fillId="0" borderId="1137" xfId="0" applyNumberFormat="1" applyFont="1" applyBorder="1" applyAlignment="1">
      <alignment horizontal="center"/>
    </xf>
    <xf numFmtId="2" fontId="39" fillId="0" borderId="1137" xfId="0" applyNumberFormat="1" applyFont="1" applyBorder="1" applyAlignment="1">
      <alignment horizontal="center"/>
    </xf>
    <xf numFmtId="2" fontId="28" fillId="0" borderId="1136" xfId="0" applyNumberFormat="1" applyFont="1" applyBorder="1" applyAlignment="1">
      <alignment horizontal="center"/>
    </xf>
    <xf numFmtId="0" fontId="48" fillId="24" borderId="1137" xfId="0" applyFont="1" applyFill="1" applyBorder="1" applyAlignment="1">
      <alignment horizontal="center" vertical="center"/>
    </xf>
    <xf numFmtId="0" fontId="54" fillId="0" borderId="1137" xfId="0" applyFont="1" applyBorder="1" applyAlignment="1">
      <alignment horizontal="center"/>
    </xf>
    <xf numFmtId="0" fontId="46" fillId="10" borderId="918" xfId="0" applyFont="1" applyFill="1" applyBorder="1" applyAlignment="1">
      <alignment horizontal="center" vertical="center"/>
    </xf>
    <xf numFmtId="0" fontId="46" fillId="10" borderId="628" xfId="0" applyFont="1" applyFill="1" applyBorder="1" applyAlignment="1">
      <alignment horizontal="center" vertical="center"/>
    </xf>
    <xf numFmtId="0" fontId="46" fillId="10" borderId="538" xfId="0" applyFont="1" applyFill="1" applyBorder="1" applyAlignment="1">
      <alignment horizontal="center" vertical="center"/>
    </xf>
    <xf numFmtId="0" fontId="56" fillId="24" borderId="1040" xfId="0" applyFont="1" applyFill="1" applyBorder="1" applyAlignment="1">
      <alignment horizontal="center" vertical="center"/>
    </xf>
    <xf numFmtId="0" fontId="56" fillId="24" borderId="156" xfId="0" applyFont="1" applyFill="1" applyBorder="1" applyAlignment="1">
      <alignment horizontal="center" vertical="center"/>
    </xf>
    <xf numFmtId="0" fontId="46" fillId="15" borderId="918" xfId="0" applyFont="1" applyFill="1" applyBorder="1" applyAlignment="1">
      <alignment horizontal="center" vertical="center"/>
    </xf>
    <xf numFmtId="0" fontId="46" fillId="15" borderId="628" xfId="0" applyFont="1" applyFill="1" applyBorder="1" applyAlignment="1">
      <alignment horizontal="center" vertical="center"/>
    </xf>
    <xf numFmtId="0" fontId="46" fillId="15" borderId="1039" xfId="0" applyFont="1" applyFill="1" applyBorder="1" applyAlignment="1">
      <alignment horizontal="center" vertical="center"/>
    </xf>
    <xf numFmtId="0" fontId="46" fillId="15" borderId="606" xfId="0" applyFont="1" applyFill="1" applyBorder="1" applyAlignment="1">
      <alignment horizontal="center" vertical="center"/>
    </xf>
    <xf numFmtId="0" fontId="56" fillId="24" borderId="1137" xfId="0" applyFont="1" applyFill="1" applyBorder="1" applyAlignment="1">
      <alignment horizontal="center" vertical="center"/>
    </xf>
    <xf numFmtId="0" fontId="56" fillId="24" borderId="606" xfId="0" applyFont="1" applyFill="1" applyBorder="1" applyAlignment="1">
      <alignment horizontal="center" vertical="center"/>
    </xf>
    <xf numFmtId="0" fontId="46" fillId="15" borderId="538" xfId="0" applyFont="1" applyFill="1" applyBorder="1" applyAlignment="1">
      <alignment horizontal="center" vertical="center"/>
    </xf>
    <xf numFmtId="0" fontId="46" fillId="27" borderId="538" xfId="0" applyFont="1" applyFill="1" applyBorder="1" applyAlignment="1">
      <alignment horizontal="center" vertical="center"/>
    </xf>
    <xf numFmtId="2" fontId="28" fillId="0" borderId="851" xfId="0" applyNumberFormat="1" applyFont="1" applyBorder="1" applyAlignment="1">
      <alignment horizontal="center"/>
    </xf>
    <xf numFmtId="1" fontId="39" fillId="0" borderId="853" xfId="0" applyNumberFormat="1" applyFont="1" applyBorder="1" applyAlignment="1">
      <alignment horizontal="center"/>
    </xf>
    <xf numFmtId="2" fontId="39" fillId="0" borderId="853" xfId="0" applyNumberFormat="1" applyFont="1" applyBorder="1" applyAlignment="1">
      <alignment horizontal="center"/>
    </xf>
    <xf numFmtId="0" fontId="44" fillId="0" borderId="970" xfId="99" applyFont="1" applyBorder="1" applyAlignment="1">
      <alignment horizontal="center"/>
    </xf>
    <xf numFmtId="3" fontId="7" fillId="0" borderId="1106" xfId="99" applyNumberFormat="1" applyFont="1" applyBorder="1" applyAlignment="1">
      <alignment horizontal="center"/>
    </xf>
    <xf numFmtId="3" fontId="7" fillId="7" borderId="1142" xfId="99" applyNumberFormat="1" applyFont="1" applyFill="1" applyBorder="1" applyAlignment="1">
      <alignment horizontal="center"/>
    </xf>
    <xf numFmtId="3" fontId="5" fillId="0" borderId="924" xfId="99" applyNumberFormat="1" applyFont="1" applyBorder="1" applyAlignment="1">
      <alignment horizontal="center"/>
    </xf>
    <xf numFmtId="3" fontId="5" fillId="0" borderId="1106" xfId="99" applyNumberFormat="1" applyFont="1" applyBorder="1" applyAlignment="1">
      <alignment horizontal="center"/>
    </xf>
    <xf numFmtId="3" fontId="7" fillId="0" borderId="1143" xfId="99" applyNumberFormat="1" applyFont="1" applyBorder="1" applyAlignment="1">
      <alignment horizontal="center"/>
    </xf>
    <xf numFmtId="3" fontId="5" fillId="0" borderId="1143" xfId="99" applyNumberFormat="1" applyFont="1" applyBorder="1" applyAlignment="1">
      <alignment horizontal="center"/>
    </xf>
    <xf numFmtId="3" fontId="7" fillId="7" borderId="1143" xfId="99" applyNumberFormat="1" applyFont="1" applyFill="1" applyBorder="1" applyAlignment="1">
      <alignment horizontal="center"/>
    </xf>
    <xf numFmtId="3" fontId="7" fillId="0" borderId="1142" xfId="99" applyNumberFormat="1" applyFont="1" applyBorder="1" applyAlignment="1">
      <alignment horizontal="center"/>
    </xf>
    <xf numFmtId="3" fontId="7" fillId="0" borderId="1144" xfId="99" applyNumberFormat="1" applyFont="1" applyBorder="1" applyAlignment="1">
      <alignment horizontal="center"/>
    </xf>
    <xf numFmtId="3" fontId="7" fillId="0" borderId="1145" xfId="99" applyNumberFormat="1" applyFont="1" applyBorder="1" applyAlignment="1">
      <alignment horizontal="center"/>
    </xf>
    <xf numFmtId="3" fontId="2" fillId="0" borderId="1143" xfId="99" applyNumberFormat="1" applyFont="1" applyBorder="1" applyAlignment="1">
      <alignment horizontal="center"/>
    </xf>
    <xf numFmtId="3" fontId="7" fillId="0" borderId="989" xfId="99" applyNumberFormat="1" applyFont="1" applyBorder="1" applyAlignment="1">
      <alignment horizontal="center"/>
    </xf>
    <xf numFmtId="0" fontId="44" fillId="0" borderId="990" xfId="99" applyFont="1" applyBorder="1" applyAlignment="1">
      <alignment horizontal="center"/>
    </xf>
    <xf numFmtId="0" fontId="3" fillId="0" borderId="1105" xfId="99" applyFont="1" applyBorder="1" applyAlignment="1">
      <alignment horizontal="center"/>
    </xf>
    <xf numFmtId="1" fontId="44" fillId="0" borderId="970" xfId="99" applyNumberFormat="1" applyFont="1" applyBorder="1" applyAlignment="1">
      <alignment horizontal="center"/>
    </xf>
    <xf numFmtId="0" fontId="44" fillId="0" borderId="988" xfId="99" applyFont="1" applyBorder="1" applyAlignment="1">
      <alignment horizontal="center"/>
    </xf>
    <xf numFmtId="14" fontId="0" fillId="0" borderId="0" xfId="0" applyNumberFormat="1"/>
    <xf numFmtId="169" fontId="0" fillId="0" borderId="0" xfId="0" applyNumberFormat="1"/>
    <xf numFmtId="0" fontId="44" fillId="0" borderId="977" xfId="99" applyFont="1" applyBorder="1" applyAlignment="1">
      <alignment horizontal="center"/>
    </xf>
    <xf numFmtId="0" fontId="7" fillId="0" borderId="1040" xfId="99" applyFont="1" applyBorder="1"/>
    <xf numFmtId="0" fontId="7" fillId="0" borderId="1137" xfId="99" applyFont="1" applyBorder="1"/>
    <xf numFmtId="0" fontId="7" fillId="0" borderId="1080" xfId="99" applyFont="1" applyBorder="1"/>
    <xf numFmtId="0" fontId="7" fillId="0" borderId="619" xfId="99" applyFont="1" applyBorder="1"/>
    <xf numFmtId="0" fontId="7" fillId="0" borderId="1138" xfId="99" applyFont="1" applyBorder="1"/>
    <xf numFmtId="0" fontId="7" fillId="0" borderId="1136" xfId="99" applyFont="1" applyBorder="1"/>
    <xf numFmtId="0" fontId="44" fillId="0" borderId="978" xfId="99" applyFont="1" applyBorder="1" applyAlignment="1">
      <alignment horizontal="center"/>
    </xf>
    <xf numFmtId="14" fontId="34" fillId="0" borderId="1150" xfId="0" applyNumberFormat="1" applyFont="1" applyBorder="1" applyAlignment="1">
      <alignment horizontal="center"/>
    </xf>
    <xf numFmtId="0" fontId="46" fillId="0" borderId="1146" xfId="0" applyFont="1" applyBorder="1" applyAlignment="1">
      <alignment horizontal="center"/>
    </xf>
    <xf numFmtId="45" fontId="34" fillId="0" borderId="1147" xfId="0" applyNumberFormat="1" applyFont="1" applyBorder="1" applyAlignment="1">
      <alignment horizontal="center"/>
    </xf>
    <xf numFmtId="45" fontId="34" fillId="0" borderId="1148" xfId="0" applyNumberFormat="1" applyFont="1" applyBorder="1" applyAlignment="1">
      <alignment horizontal="center"/>
    </xf>
    <xf numFmtId="0" fontId="34" fillId="0" borderId="1148" xfId="0" applyFont="1" applyBorder="1" applyAlignment="1">
      <alignment horizontal="center"/>
    </xf>
    <xf numFmtId="170" fontId="34" fillId="0" borderId="1148" xfId="0" applyNumberFormat="1" applyFont="1" applyBorder="1" applyAlignment="1">
      <alignment horizontal="center"/>
    </xf>
    <xf numFmtId="2" fontId="34" fillId="0" borderId="1148" xfId="96" applyNumberFormat="1" applyFont="1" applyBorder="1" applyAlignment="1">
      <alignment horizontal="center"/>
    </xf>
    <xf numFmtId="1" fontId="34" fillId="0" borderId="1149" xfId="0" applyNumberFormat="1" applyFont="1" applyBorder="1" applyAlignment="1">
      <alignment horizontal="center"/>
    </xf>
    <xf numFmtId="0" fontId="34" fillId="0" borderId="1146" xfId="0" applyFont="1" applyBorder="1" applyAlignment="1">
      <alignment horizontal="center"/>
    </xf>
    <xf numFmtId="0" fontId="34" fillId="9" borderId="1147" xfId="0" applyFont="1" applyFill="1" applyBorder="1" applyAlignment="1">
      <alignment horizontal="center"/>
    </xf>
    <xf numFmtId="45" fontId="34" fillId="9" borderId="1148" xfId="0" applyNumberFormat="1" applyFont="1" applyFill="1" applyBorder="1" applyAlignment="1">
      <alignment horizontal="center"/>
    </xf>
    <xf numFmtId="45" fontId="34" fillId="5" borderId="1146" xfId="0" applyNumberFormat="1" applyFont="1" applyFill="1" applyBorder="1" applyAlignment="1">
      <alignment horizontal="center"/>
    </xf>
    <xf numFmtId="0" fontId="7" fillId="0" borderId="960" xfId="99" applyFont="1" applyBorder="1"/>
    <xf numFmtId="0" fontId="7" fillId="0" borderId="959" xfId="99" applyFont="1" applyBorder="1"/>
    <xf numFmtId="0" fontId="7" fillId="0" borderId="160" xfId="99" applyFont="1" applyBorder="1"/>
    <xf numFmtId="0" fontId="7" fillId="0" borderId="156" xfId="99" applyFont="1" applyBorder="1"/>
    <xf numFmtId="0" fontId="7" fillId="0" borderId="1105" xfId="99" applyFont="1" applyBorder="1"/>
    <xf numFmtId="0" fontId="7" fillId="0" borderId="843" xfId="99" applyFont="1" applyBorder="1"/>
    <xf numFmtId="0" fontId="40" fillId="15" borderId="918" xfId="0" applyFont="1" applyFill="1" applyBorder="1" applyAlignment="1">
      <alignment horizontal="center"/>
    </xf>
    <xf numFmtId="0" fontId="40" fillId="15" borderId="628" xfId="0" applyFont="1" applyFill="1" applyBorder="1" applyAlignment="1">
      <alignment horizontal="center"/>
    </xf>
    <xf numFmtId="0" fontId="40" fillId="15" borderId="1043" xfId="0" applyFont="1" applyFill="1" applyBorder="1" applyAlignment="1">
      <alignment horizontal="center"/>
    </xf>
    <xf numFmtId="0" fontId="40" fillId="15" borderId="1079" xfId="0" applyFont="1" applyFill="1" applyBorder="1" applyAlignment="1">
      <alignment horizontal="center"/>
    </xf>
    <xf numFmtId="0" fontId="40" fillId="15" borderId="606" xfId="0" applyFont="1" applyFill="1" applyBorder="1" applyAlignment="1">
      <alignment horizontal="center" vertical="center"/>
    </xf>
    <xf numFmtId="2" fontId="39" fillId="0" borderId="1151" xfId="0" applyNumberFormat="1" applyFont="1" applyBorder="1" applyAlignment="1">
      <alignment horizontal="center"/>
    </xf>
    <xf numFmtId="0" fontId="0" fillId="0" borderId="10" xfId="0" applyBorder="1" applyAlignment="1">
      <alignment horizontal="center"/>
    </xf>
    <xf numFmtId="0" fontId="10" fillId="0" borderId="10" xfId="0" applyFont="1" applyBorder="1" applyAlignment="1">
      <alignment horizontal="center"/>
    </xf>
    <xf numFmtId="0" fontId="15" fillId="0" borderId="14" xfId="0" applyFont="1" applyBorder="1" applyAlignment="1">
      <alignment horizontal="center"/>
    </xf>
    <xf numFmtId="0" fontId="11" fillId="0" borderId="0" xfId="0" applyFont="1" applyAlignment="1">
      <alignment horizontal="center"/>
    </xf>
    <xf numFmtId="0" fontId="0" fillId="0" borderId="11" xfId="0" applyBorder="1" applyAlignment="1">
      <alignment horizontal="center" vertical="center"/>
    </xf>
    <xf numFmtId="0" fontId="10" fillId="0" borderId="14" xfId="0" applyFont="1" applyBorder="1" applyAlignment="1">
      <alignment horizontal="center"/>
    </xf>
    <xf numFmtId="0" fontId="14" fillId="0" borderId="9" xfId="0" applyFont="1" applyBorder="1" applyAlignment="1">
      <alignment horizontal="center" vertical="center" wrapText="1"/>
    </xf>
    <xf numFmtId="0" fontId="14" fillId="0" borderId="13" xfId="0" applyFont="1" applyBorder="1" applyAlignment="1">
      <alignment horizontal="center" vertical="center" wrapText="1"/>
    </xf>
    <xf numFmtId="0" fontId="0" fillId="3" borderId="0" xfId="0" applyFill="1" applyAlignment="1">
      <alignment horizontal="center" vertical="center"/>
    </xf>
    <xf numFmtId="0" fontId="11" fillId="0" borderId="0" xfId="0" applyFont="1" applyAlignment="1">
      <alignment horizontal="center" vertical="center"/>
    </xf>
    <xf numFmtId="21" fontId="10" fillId="2" borderId="12" xfId="0" applyNumberFormat="1" applyFont="1" applyFill="1" applyBorder="1" applyAlignment="1">
      <alignment horizontal="center"/>
    </xf>
    <xf numFmtId="0" fontId="10" fillId="0" borderId="2" xfId="0" applyFont="1" applyBorder="1" applyAlignment="1">
      <alignment horizontal="center" vertical="center"/>
    </xf>
    <xf numFmtId="0" fontId="10" fillId="0" borderId="45" xfId="0" applyFont="1" applyBorder="1" applyAlignment="1">
      <alignment horizontal="center" vertical="center"/>
    </xf>
    <xf numFmtId="9" fontId="0" fillId="0" borderId="30" xfId="0" applyNumberFormat="1" applyBorder="1" applyAlignment="1">
      <alignment horizontal="center" vertical="center"/>
    </xf>
    <xf numFmtId="0" fontId="0" fillId="0" borderId="46" xfId="0" applyBorder="1" applyAlignment="1">
      <alignment horizontal="center" vertical="center"/>
    </xf>
    <xf numFmtId="0" fontId="0" fillId="0" borderId="0" xfId="0"/>
    <xf numFmtId="0" fontId="28" fillId="0" borderId="0" xfId="0" applyFont="1"/>
    <xf numFmtId="0" fontId="27" fillId="0" borderId="0" xfId="0" applyFont="1" applyAlignment="1">
      <alignment horizontal="center" vertical="center"/>
    </xf>
    <xf numFmtId="0" fontId="29" fillId="0" borderId="83" xfId="0" applyFont="1" applyBorder="1" applyAlignment="1">
      <alignment horizontal="center" vertical="center"/>
    </xf>
    <xf numFmtId="0" fontId="29" fillId="0" borderId="84" xfId="0" applyFont="1" applyBorder="1" applyAlignment="1">
      <alignment horizontal="center" vertical="center"/>
    </xf>
    <xf numFmtId="0" fontId="29" fillId="0" borderId="85" xfId="0" applyFont="1" applyBorder="1" applyAlignment="1">
      <alignment horizontal="center" vertical="center"/>
    </xf>
    <xf numFmtId="9" fontId="28" fillId="0" borderId="91" xfId="0" applyNumberFormat="1" applyFont="1" applyBorder="1" applyAlignment="1">
      <alignment horizontal="center" vertical="center"/>
    </xf>
    <xf numFmtId="0" fontId="28" fillId="0" borderId="92" xfId="0" applyFont="1" applyBorder="1" applyAlignment="1">
      <alignment horizontal="center" vertical="center"/>
    </xf>
    <xf numFmtId="0" fontId="28" fillId="0" borderId="93" xfId="0" applyFont="1" applyBorder="1" applyAlignment="1">
      <alignment horizontal="center" vertical="center"/>
    </xf>
    <xf numFmtId="0" fontId="10" fillId="0" borderId="1131" xfId="0" applyFont="1" applyBorder="1" applyAlignment="1">
      <alignment horizontal="center" vertical="center"/>
    </xf>
    <xf numFmtId="0" fontId="10" fillId="0" borderId="1122" xfId="0" applyFont="1" applyBorder="1" applyAlignment="1">
      <alignment horizontal="center" vertical="center"/>
    </xf>
    <xf numFmtId="0" fontId="10" fillId="0" borderId="1128" xfId="0" applyFont="1" applyBorder="1" applyAlignment="1">
      <alignment horizontal="center" vertical="center"/>
    </xf>
    <xf numFmtId="0" fontId="0" fillId="10" borderId="0" xfId="0" applyFill="1" applyAlignment="1">
      <alignment horizontal="center" vertical="center"/>
    </xf>
    <xf numFmtId="0" fontId="10" fillId="16" borderId="0" xfId="0" applyFont="1" applyFill="1" applyAlignment="1">
      <alignment horizontal="center" vertical="center"/>
    </xf>
    <xf numFmtId="1" fontId="40" fillId="8" borderId="973" xfId="0" applyNumberFormat="1" applyFont="1" applyFill="1" applyBorder="1" applyAlignment="1">
      <alignment horizontal="center"/>
    </xf>
    <xf numFmtId="1" fontId="40" fillId="8" borderId="974" xfId="0" applyNumberFormat="1" applyFont="1" applyFill="1" applyBorder="1" applyAlignment="1">
      <alignment horizontal="center"/>
    </xf>
    <xf numFmtId="0" fontId="10" fillId="0" borderId="967" xfId="0" applyFont="1" applyBorder="1" applyAlignment="1">
      <alignment horizontal="center" vertical="center"/>
    </xf>
    <xf numFmtId="0" fontId="10" fillId="0" borderId="569" xfId="0" applyFont="1" applyBorder="1" applyAlignment="1">
      <alignment horizontal="center" vertical="center"/>
    </xf>
    <xf numFmtId="0" fontId="10" fillId="0" borderId="606" xfId="0" applyFont="1" applyBorder="1" applyAlignment="1">
      <alignment horizontal="center" vertical="center"/>
    </xf>
    <xf numFmtId="0" fontId="0" fillId="0" borderId="967" xfId="0" applyBorder="1" applyAlignment="1">
      <alignment horizontal="center" vertical="center"/>
    </xf>
    <xf numFmtId="0" fontId="0" fillId="0" borderId="569" xfId="0" applyBorder="1" applyAlignment="1">
      <alignment horizontal="center" vertical="center"/>
    </xf>
    <xf numFmtId="0" fontId="0" fillId="0" borderId="606" xfId="0" applyBorder="1" applyAlignment="1">
      <alignment horizontal="center" vertical="center"/>
    </xf>
    <xf numFmtId="0" fontId="36" fillId="5" borderId="864" xfId="0" applyFont="1" applyFill="1" applyBorder="1" applyAlignment="1">
      <alignment horizontal="center" vertical="center"/>
    </xf>
    <xf numFmtId="0" fontId="36" fillId="5" borderId="846" xfId="0" applyFont="1" applyFill="1" applyBorder="1" applyAlignment="1">
      <alignment horizontal="center" vertical="center"/>
    </xf>
    <xf numFmtId="0" fontId="36" fillId="5" borderId="845" xfId="0" applyFont="1" applyFill="1" applyBorder="1" applyAlignment="1">
      <alignment horizontal="center" vertical="center"/>
    </xf>
    <xf numFmtId="0" fontId="36" fillId="5" borderId="143" xfId="0" applyFont="1" applyFill="1" applyBorder="1" applyAlignment="1">
      <alignment horizontal="center" vertical="center"/>
    </xf>
    <xf numFmtId="0" fontId="36" fillId="5" borderId="145" xfId="0" applyFont="1" applyFill="1" applyBorder="1" applyAlignment="1">
      <alignment horizontal="center" vertical="center"/>
    </xf>
    <xf numFmtId="0" fontId="36" fillId="5" borderId="144" xfId="0" applyFont="1" applyFill="1" applyBorder="1" applyAlignment="1">
      <alignment horizontal="center" vertical="center"/>
    </xf>
    <xf numFmtId="9" fontId="35" fillId="5" borderId="111" xfId="0" applyNumberFormat="1" applyFont="1" applyFill="1" applyBorder="1" applyAlignment="1">
      <alignment horizontal="center" vertical="center"/>
    </xf>
    <xf numFmtId="1" fontId="36" fillId="5" borderId="118" xfId="0" applyNumberFormat="1" applyFont="1" applyFill="1" applyBorder="1" applyAlignment="1">
      <alignment horizontal="center" vertical="center"/>
    </xf>
    <xf numFmtId="1" fontId="36" fillId="5" borderId="111" xfId="0" applyNumberFormat="1" applyFont="1" applyFill="1" applyBorder="1" applyAlignment="1">
      <alignment horizontal="center" vertical="center"/>
    </xf>
    <xf numFmtId="1" fontId="36" fillId="5" borderId="114" xfId="0" applyNumberFormat="1" applyFont="1" applyFill="1" applyBorder="1" applyAlignment="1">
      <alignment horizontal="center" vertical="center"/>
    </xf>
    <xf numFmtId="0" fontId="37" fillId="5" borderId="0" xfId="0" applyFont="1" applyFill="1" applyAlignment="1">
      <alignment horizontal="center" vertical="center"/>
    </xf>
    <xf numFmtId="0" fontId="36" fillId="5" borderId="146" xfId="0" applyFont="1" applyFill="1" applyBorder="1" applyAlignment="1">
      <alignment horizontal="center" vertical="center"/>
    </xf>
    <xf numFmtId="0" fontId="36" fillId="5" borderId="865" xfId="0" applyFont="1" applyFill="1" applyBorder="1" applyAlignment="1">
      <alignment horizontal="center" vertical="center"/>
    </xf>
    <xf numFmtId="49" fontId="36" fillId="5" borderId="60" xfId="0" applyNumberFormat="1" applyFont="1" applyFill="1" applyBorder="1" applyAlignment="1">
      <alignment horizontal="right" vertical="center"/>
    </xf>
    <xf numFmtId="49" fontId="36" fillId="5" borderId="0" xfId="0" applyNumberFormat="1" applyFont="1" applyFill="1" applyAlignment="1">
      <alignment horizontal="right" vertical="center"/>
    </xf>
    <xf numFmtId="49" fontId="36" fillId="5" borderId="921" xfId="0" applyNumberFormat="1" applyFont="1" applyFill="1" applyBorder="1" applyAlignment="1">
      <alignment horizontal="right" vertical="center"/>
    </xf>
    <xf numFmtId="1" fontId="35" fillId="5" borderId="0" xfId="0" applyNumberFormat="1" applyFont="1" applyFill="1" applyAlignment="1">
      <alignment horizontal="center" vertical="center"/>
    </xf>
    <xf numFmtId="1" fontId="35" fillId="5" borderId="110" xfId="0" applyNumberFormat="1" applyFont="1" applyFill="1" applyBorder="1" applyAlignment="1">
      <alignment horizontal="center" vertical="center"/>
    </xf>
    <xf numFmtId="2" fontId="35" fillId="5" borderId="880" xfId="0" applyNumberFormat="1" applyFont="1" applyFill="1" applyBorder="1" applyAlignment="1">
      <alignment horizontal="center" vertical="center"/>
    </xf>
    <xf numFmtId="2" fontId="35" fillId="5" borderId="881" xfId="0" applyNumberFormat="1" applyFont="1" applyFill="1" applyBorder="1" applyAlignment="1">
      <alignment horizontal="center" vertical="center"/>
    </xf>
    <xf numFmtId="49" fontId="36" fillId="5" borderId="979" xfId="0" applyNumberFormat="1" applyFont="1" applyFill="1" applyBorder="1" applyAlignment="1">
      <alignment horizontal="right" vertical="center"/>
    </xf>
    <xf numFmtId="49" fontId="36" fillId="5" borderId="880" xfId="0" applyNumberFormat="1" applyFont="1" applyFill="1" applyBorder="1" applyAlignment="1">
      <alignment horizontal="right" vertical="center"/>
    </xf>
    <xf numFmtId="49" fontId="36" fillId="5" borderId="970" xfId="0" applyNumberFormat="1" applyFont="1" applyFill="1" applyBorder="1" applyAlignment="1">
      <alignment horizontal="right" vertical="center"/>
    </xf>
    <xf numFmtId="49" fontId="36" fillId="5" borderId="988" xfId="0" applyNumberFormat="1" applyFont="1" applyFill="1" applyBorder="1" applyAlignment="1">
      <alignment horizontal="right" vertical="center"/>
    </xf>
    <xf numFmtId="1" fontId="36" fillId="28" borderId="988" xfId="96" applyNumberFormat="1" applyFont="1" applyFill="1" applyBorder="1" applyAlignment="1">
      <alignment horizontal="center" vertical="center"/>
    </xf>
    <xf numFmtId="1" fontId="36" fillId="28" borderId="990" xfId="96" applyNumberFormat="1" applyFont="1" applyFill="1" applyBorder="1" applyAlignment="1">
      <alignment horizontal="center" vertical="center"/>
    </xf>
    <xf numFmtId="2" fontId="36" fillId="5" borderId="865" xfId="0" applyNumberFormat="1" applyFont="1" applyFill="1" applyBorder="1" applyAlignment="1">
      <alignment horizontal="right" vertical="center"/>
    </xf>
    <xf numFmtId="2" fontId="36" fillId="5" borderId="613" xfId="0" applyNumberFormat="1" applyFont="1" applyFill="1" applyBorder="1" applyAlignment="1">
      <alignment horizontal="right" vertical="center"/>
    </xf>
    <xf numFmtId="2" fontId="36" fillId="5" borderId="199" xfId="0" applyNumberFormat="1" applyFont="1" applyFill="1" applyBorder="1" applyAlignment="1">
      <alignment horizontal="right" vertical="center"/>
    </xf>
    <xf numFmtId="0" fontId="44" fillId="5" borderId="1121" xfId="0" applyFont="1" applyFill="1" applyBorder="1" applyAlignment="1">
      <alignment horizontal="right" vertical="center"/>
    </xf>
    <xf numFmtId="0" fontId="44" fillId="5" borderId="0" xfId="0" applyFont="1" applyFill="1" applyAlignment="1">
      <alignment horizontal="right" vertical="center"/>
    </xf>
    <xf numFmtId="0" fontId="36" fillId="5" borderId="107" xfId="0" applyFont="1" applyFill="1" applyBorder="1" applyAlignment="1">
      <alignment horizontal="center" vertical="center"/>
    </xf>
    <xf numFmtId="0" fontId="36" fillId="5" borderId="125" xfId="0" applyFont="1" applyFill="1" applyBorder="1" applyAlignment="1">
      <alignment horizontal="center" vertical="center"/>
    </xf>
    <xf numFmtId="0" fontId="44" fillId="5" borderId="1130" xfId="0" applyFont="1" applyFill="1" applyBorder="1" applyAlignment="1">
      <alignment horizontal="right" vertical="center"/>
    </xf>
    <xf numFmtId="0" fontId="44" fillId="5" borderId="1132" xfId="0" applyFont="1" applyFill="1" applyBorder="1" applyAlignment="1">
      <alignment horizontal="right" vertical="center"/>
    </xf>
    <xf numFmtId="1" fontId="35" fillId="5" borderId="1132" xfId="0" applyNumberFormat="1" applyFont="1" applyFill="1" applyBorder="1" applyAlignment="1">
      <alignment horizontal="center" vertical="center"/>
    </xf>
    <xf numFmtId="1" fontId="35" fillId="5" borderId="1131" xfId="0" applyNumberFormat="1" applyFont="1" applyFill="1" applyBorder="1" applyAlignment="1">
      <alignment horizontal="center" vertical="center"/>
    </xf>
    <xf numFmtId="1" fontId="35" fillId="5" borderId="1122" xfId="0" applyNumberFormat="1" applyFont="1" applyFill="1" applyBorder="1" applyAlignment="1">
      <alignment horizontal="center" vertical="center"/>
    </xf>
    <xf numFmtId="1" fontId="35" fillId="0" borderId="0" xfId="0" applyNumberFormat="1" applyFont="1" applyAlignment="1">
      <alignment horizontal="center" vertical="center"/>
    </xf>
    <xf numFmtId="1" fontId="35" fillId="0" borderId="1122" xfId="0" applyNumberFormat="1" applyFont="1" applyBorder="1" applyAlignment="1">
      <alignment horizontal="center" vertical="center"/>
    </xf>
    <xf numFmtId="49" fontId="37" fillId="8" borderId="865" xfId="0" applyNumberFormat="1" applyFont="1" applyFill="1" applyBorder="1" applyAlignment="1">
      <alignment horizontal="center" vertical="center"/>
    </xf>
    <xf numFmtId="49" fontId="37" fillId="8" borderId="613" xfId="0" applyNumberFormat="1" applyFont="1" applyFill="1" applyBorder="1" applyAlignment="1">
      <alignment horizontal="center" vertical="center"/>
    </xf>
    <xf numFmtId="49" fontId="37" fillId="8" borderId="845" xfId="0" applyNumberFormat="1" applyFont="1" applyFill="1" applyBorder="1" applyAlignment="1">
      <alignment horizontal="center" vertical="center"/>
    </xf>
    <xf numFmtId="170" fontId="36" fillId="12" borderId="160" xfId="0" applyNumberFormat="1" applyFont="1" applyFill="1" applyBorder="1" applyAlignment="1">
      <alignment horizontal="center" vertical="center"/>
    </xf>
    <xf numFmtId="170" fontId="36" fillId="12" borderId="159" xfId="0" applyNumberFormat="1" applyFont="1" applyFill="1" applyBorder="1" applyAlignment="1">
      <alignment horizontal="center" vertical="center"/>
    </xf>
    <xf numFmtId="170" fontId="36" fillId="11" borderId="197" xfId="0" applyNumberFormat="1" applyFont="1" applyFill="1" applyBorder="1" applyAlignment="1">
      <alignment horizontal="center" vertical="center"/>
    </xf>
    <xf numFmtId="170" fontId="36" fillId="11" borderId="196" xfId="0" applyNumberFormat="1" applyFont="1" applyFill="1" applyBorder="1" applyAlignment="1">
      <alignment horizontal="center" vertical="center"/>
    </xf>
    <xf numFmtId="170" fontId="36" fillId="13" borderId="871" xfId="0" applyNumberFormat="1" applyFont="1" applyFill="1" applyBorder="1" applyAlignment="1">
      <alignment horizontal="center" vertical="center"/>
    </xf>
    <xf numFmtId="170" fontId="36" fillId="13" borderId="870" xfId="0" applyNumberFormat="1" applyFont="1" applyFill="1" applyBorder="1" applyAlignment="1">
      <alignment horizontal="center" vertical="center"/>
    </xf>
    <xf numFmtId="169" fontId="36" fillId="5" borderId="973" xfId="0" applyNumberFormat="1" applyFont="1" applyFill="1" applyBorder="1" applyAlignment="1">
      <alignment horizontal="center" vertical="center"/>
    </xf>
    <xf numFmtId="169" fontId="36" fillId="5" borderId="975" xfId="0" applyNumberFormat="1" applyFont="1" applyFill="1" applyBorder="1" applyAlignment="1">
      <alignment horizontal="center" vertical="center"/>
    </xf>
    <xf numFmtId="1" fontId="42" fillId="5" borderId="1072" xfId="0" applyNumberFormat="1" applyFont="1" applyFill="1" applyBorder="1" applyAlignment="1">
      <alignment horizontal="center" vertical="center"/>
    </xf>
    <xf numFmtId="1" fontId="42" fillId="5" borderId="613" xfId="0" applyNumberFormat="1" applyFont="1" applyFill="1" applyBorder="1" applyAlignment="1">
      <alignment horizontal="center" vertical="center"/>
    </xf>
    <xf numFmtId="1" fontId="42" fillId="5" borderId="845" xfId="0" applyNumberFormat="1" applyFont="1" applyFill="1" applyBorder="1" applyAlignment="1">
      <alignment horizontal="center" vertical="center"/>
    </xf>
    <xf numFmtId="1" fontId="42" fillId="5" borderId="60" xfId="0" applyNumberFormat="1" applyFont="1" applyFill="1" applyBorder="1" applyAlignment="1">
      <alignment horizontal="center" vertical="center"/>
    </xf>
    <xf numFmtId="1" fontId="42" fillId="5" borderId="0" xfId="0" applyNumberFormat="1" applyFont="1" applyFill="1" applyAlignment="1">
      <alignment horizontal="center" vertical="center"/>
    </xf>
    <xf numFmtId="1" fontId="42" fillId="5" borderId="110" xfId="0" applyNumberFormat="1" applyFont="1" applyFill="1" applyBorder="1" applyAlignment="1">
      <alignment horizontal="center" vertical="center"/>
    </xf>
    <xf numFmtId="1" fontId="42" fillId="5" borderId="1030" xfId="0" applyNumberFormat="1" applyFont="1" applyFill="1" applyBorder="1" applyAlignment="1">
      <alignment horizontal="center" vertical="center"/>
    </xf>
    <xf numFmtId="1" fontId="42" fillId="5" borderId="1037" xfId="0" applyNumberFormat="1" applyFont="1" applyFill="1" applyBorder="1" applyAlignment="1">
      <alignment horizontal="center" vertical="center"/>
    </xf>
    <xf numFmtId="1" fontId="42" fillId="5" borderId="1038" xfId="0" applyNumberFormat="1" applyFont="1" applyFill="1" applyBorder="1" applyAlignment="1">
      <alignment horizontal="center" vertical="center"/>
    </xf>
    <xf numFmtId="49" fontId="40" fillId="8" borderId="973" xfId="0" applyNumberFormat="1" applyFont="1" applyFill="1" applyBorder="1" applyAlignment="1">
      <alignment horizontal="center" vertical="center"/>
    </xf>
    <xf numFmtId="49" fontId="40" fillId="8" borderId="975" xfId="0" applyNumberFormat="1" applyFont="1" applyFill="1" applyBorder="1" applyAlignment="1">
      <alignment horizontal="center" vertical="center"/>
    </xf>
    <xf numFmtId="49" fontId="40" fillId="8" borderId="974" xfId="0" applyNumberFormat="1" applyFont="1" applyFill="1" applyBorder="1" applyAlignment="1">
      <alignment horizontal="center" vertical="center"/>
    </xf>
    <xf numFmtId="170" fontId="36" fillId="17" borderId="195" xfId="0" applyNumberFormat="1" applyFont="1" applyFill="1" applyBorder="1" applyAlignment="1">
      <alignment horizontal="center" vertical="center"/>
    </xf>
    <xf numFmtId="170" fontId="36" fillId="17" borderId="114" xfId="0" applyNumberFormat="1" applyFont="1" applyFill="1" applyBorder="1" applyAlignment="1">
      <alignment horizontal="center" vertical="center"/>
    </xf>
    <xf numFmtId="170" fontId="36" fillId="16" borderId="60" xfId="0" applyNumberFormat="1" applyFont="1" applyFill="1" applyBorder="1" applyAlignment="1">
      <alignment horizontal="center" vertical="center"/>
    </xf>
    <xf numFmtId="170" fontId="36" fillId="16" borderId="110" xfId="0" applyNumberFormat="1" applyFont="1" applyFill="1" applyBorder="1" applyAlignment="1">
      <alignment horizontal="center" vertical="center"/>
    </xf>
    <xf numFmtId="170" fontId="36" fillId="14" borderId="60" xfId="0" applyNumberFormat="1" applyFont="1" applyFill="1" applyBorder="1" applyAlignment="1">
      <alignment horizontal="center" vertical="center"/>
    </xf>
    <xf numFmtId="170" fontId="36" fillId="14" borderId="110" xfId="0" applyNumberFormat="1" applyFont="1" applyFill="1" applyBorder="1" applyAlignment="1">
      <alignment horizontal="center" vertical="center"/>
    </xf>
    <xf numFmtId="49" fontId="36" fillId="5" borderId="432" xfId="0" applyNumberFormat="1" applyFont="1" applyFill="1" applyBorder="1" applyAlignment="1">
      <alignment horizontal="right" vertical="center"/>
    </xf>
    <xf numFmtId="49" fontId="36" fillId="5" borderId="107" xfId="0" applyNumberFormat="1" applyFont="1" applyFill="1" applyBorder="1" applyAlignment="1">
      <alignment horizontal="right" vertical="center"/>
    </xf>
    <xf numFmtId="49" fontId="36" fillId="5" borderId="920" xfId="0" applyNumberFormat="1" applyFont="1" applyFill="1" applyBorder="1" applyAlignment="1">
      <alignment horizontal="right" vertical="center"/>
    </xf>
    <xf numFmtId="2" fontId="35" fillId="0" borderId="158" xfId="0" applyNumberFormat="1" applyFont="1" applyBorder="1" applyAlignment="1">
      <alignment horizontal="center" vertical="center"/>
    </xf>
    <xf numFmtId="2" fontId="35" fillId="0" borderId="159" xfId="0" applyNumberFormat="1" applyFont="1" applyBorder="1" applyAlignment="1">
      <alignment horizontal="center" vertical="center"/>
    </xf>
    <xf numFmtId="49" fontId="36" fillId="5" borderId="1081" xfId="0" applyNumberFormat="1" applyFont="1" applyFill="1" applyBorder="1" applyAlignment="1">
      <alignment horizontal="right" vertical="center"/>
    </xf>
    <xf numFmtId="49" fontId="36" fillId="5" borderId="1082" xfId="0" applyNumberFormat="1" applyFont="1" applyFill="1" applyBorder="1" applyAlignment="1">
      <alignment horizontal="right" vertical="center"/>
    </xf>
    <xf numFmtId="49" fontId="36" fillId="5" borderId="1083" xfId="0" applyNumberFormat="1" applyFont="1" applyFill="1" applyBorder="1" applyAlignment="1">
      <alignment horizontal="right" vertical="center"/>
    </xf>
    <xf numFmtId="10" fontId="35" fillId="5" borderId="1084" xfId="96" applyNumberFormat="1" applyFont="1" applyFill="1" applyBorder="1" applyAlignment="1">
      <alignment horizontal="center" vertical="center"/>
    </xf>
    <xf numFmtId="10" fontId="35" fillId="5" borderId="1085" xfId="96" applyNumberFormat="1" applyFont="1" applyFill="1" applyBorder="1" applyAlignment="1">
      <alignment horizontal="center" vertical="center"/>
    </xf>
    <xf numFmtId="49" fontId="36" fillId="5" borderId="1050" xfId="0" applyNumberFormat="1" applyFont="1" applyFill="1" applyBorder="1" applyAlignment="1">
      <alignment horizontal="right" vertical="center"/>
    </xf>
    <xf numFmtId="49" fontId="36" fillId="5" borderId="1049" xfId="0" applyNumberFormat="1" applyFont="1" applyFill="1" applyBorder="1" applyAlignment="1">
      <alignment horizontal="right" vertical="center"/>
    </xf>
    <xf numFmtId="2" fontId="35" fillId="5" borderId="1049" xfId="0" applyNumberFormat="1" applyFont="1" applyFill="1" applyBorder="1" applyAlignment="1">
      <alignment horizontal="center" vertical="center"/>
    </xf>
    <xf numFmtId="2" fontId="35" fillId="5" borderId="1051" xfId="0" applyNumberFormat="1" applyFont="1" applyFill="1" applyBorder="1" applyAlignment="1">
      <alignment horizontal="center" vertical="center"/>
    </xf>
    <xf numFmtId="49" fontId="36" fillId="8" borderId="1072" xfId="0" applyNumberFormat="1" applyFont="1" applyFill="1" applyBorder="1" applyAlignment="1">
      <alignment horizontal="center" vertical="center"/>
    </xf>
    <xf numFmtId="49" fontId="36" fillId="8" borderId="613" xfId="0" applyNumberFormat="1" applyFont="1" applyFill="1" applyBorder="1" applyAlignment="1">
      <alignment horizontal="center" vertical="center"/>
    </xf>
    <xf numFmtId="49" fontId="36" fillId="8" borderId="845" xfId="0" applyNumberFormat="1" applyFont="1" applyFill="1" applyBorder="1" applyAlignment="1">
      <alignment horizontal="center" vertical="center"/>
    </xf>
    <xf numFmtId="2" fontId="35" fillId="0" borderId="0" xfId="0" applyNumberFormat="1" applyFont="1" applyAlignment="1">
      <alignment horizontal="center" vertical="center"/>
    </xf>
    <xf numFmtId="2" fontId="35" fillId="0" borderId="110" xfId="0" applyNumberFormat="1" applyFont="1" applyBorder="1" applyAlignment="1">
      <alignment horizontal="center" vertical="center"/>
    </xf>
    <xf numFmtId="49" fontId="40" fillId="8" borderId="1105" xfId="0" applyNumberFormat="1" applyFont="1" applyFill="1" applyBorder="1" applyAlignment="1">
      <alignment horizontal="center" vertical="center"/>
    </xf>
    <xf numFmtId="0" fontId="36" fillId="5" borderId="1121" xfId="0" applyFont="1" applyFill="1" applyBorder="1" applyAlignment="1">
      <alignment horizontal="right" vertical="center"/>
    </xf>
    <xf numFmtId="0" fontId="36" fillId="5" borderId="0" xfId="0" applyFont="1" applyFill="1" applyAlignment="1">
      <alignment horizontal="right" vertical="center"/>
    </xf>
    <xf numFmtId="1" fontId="42" fillId="5" borderId="1130" xfId="0" applyNumberFormat="1" applyFont="1" applyFill="1" applyBorder="1" applyAlignment="1">
      <alignment horizontal="center" vertical="center"/>
    </xf>
    <xf numFmtId="1" fontId="42" fillId="5" borderId="1132" xfId="0" applyNumberFormat="1" applyFont="1" applyFill="1" applyBorder="1" applyAlignment="1">
      <alignment horizontal="center" vertical="center"/>
    </xf>
    <xf numFmtId="1" fontId="42" fillId="5" borderId="1131" xfId="0" applyNumberFormat="1" applyFont="1" applyFill="1" applyBorder="1" applyAlignment="1">
      <alignment horizontal="center" vertical="center"/>
    </xf>
    <xf numFmtId="1" fontId="42" fillId="5" borderId="1121" xfId="0" applyNumberFormat="1" applyFont="1" applyFill="1" applyBorder="1" applyAlignment="1">
      <alignment horizontal="center" vertical="center"/>
    </xf>
    <xf numFmtId="1" fontId="42" fillId="5" borderId="1122" xfId="0" applyNumberFormat="1" applyFont="1" applyFill="1" applyBorder="1" applyAlignment="1">
      <alignment horizontal="center" vertical="center"/>
    </xf>
    <xf numFmtId="1" fontId="42" fillId="5" borderId="1127" xfId="0" applyNumberFormat="1" applyFont="1" applyFill="1" applyBorder="1" applyAlignment="1">
      <alignment horizontal="center" vertical="center"/>
    </xf>
    <xf numFmtId="1" fontId="42" fillId="5" borderId="1113" xfId="0" applyNumberFormat="1" applyFont="1" applyFill="1" applyBorder="1" applyAlignment="1">
      <alignment horizontal="center" vertical="center"/>
    </xf>
    <xf numFmtId="1" fontId="42" fillId="5" borderId="1128" xfId="0" applyNumberFormat="1" applyFont="1" applyFill="1" applyBorder="1" applyAlignment="1">
      <alignment horizontal="center" vertical="center"/>
    </xf>
    <xf numFmtId="0" fontId="36" fillId="5" borderId="1127" xfId="0" applyFont="1" applyFill="1" applyBorder="1" applyAlignment="1">
      <alignment horizontal="right" vertical="center"/>
    </xf>
    <xf numFmtId="0" fontId="36" fillId="5" borderId="1113" xfId="0" applyFont="1" applyFill="1" applyBorder="1" applyAlignment="1">
      <alignment horizontal="right" vertical="center"/>
    </xf>
    <xf numFmtId="1" fontId="35" fillId="5" borderId="1113" xfId="0" applyNumberFormat="1" applyFont="1" applyFill="1" applyBorder="1" applyAlignment="1">
      <alignment horizontal="center" vertical="center"/>
    </xf>
    <xf numFmtId="1" fontId="35" fillId="5" borderId="1128" xfId="0" applyNumberFormat="1" applyFont="1" applyFill="1" applyBorder="1" applyAlignment="1">
      <alignment horizontal="center" vertical="center"/>
    </xf>
    <xf numFmtId="1" fontId="42" fillId="5" borderId="160" xfId="0" applyNumberFormat="1" applyFont="1" applyFill="1" applyBorder="1" applyAlignment="1">
      <alignment horizontal="center" vertical="center"/>
    </xf>
    <xf numFmtId="1" fontId="42" fillId="5" borderId="1125" xfId="0" applyNumberFormat="1" applyFont="1" applyFill="1" applyBorder="1" applyAlignment="1">
      <alignment horizontal="center" vertical="center"/>
    </xf>
    <xf numFmtId="1" fontId="42" fillId="5" borderId="159" xfId="0" applyNumberFormat="1" applyFont="1" applyFill="1" applyBorder="1" applyAlignment="1">
      <alignment horizontal="center" vertical="center"/>
    </xf>
    <xf numFmtId="1" fontId="44" fillId="5" borderId="1113" xfId="0" applyNumberFormat="1" applyFont="1" applyFill="1" applyBorder="1" applyAlignment="1">
      <alignment horizontal="left"/>
    </xf>
    <xf numFmtId="1" fontId="44" fillId="5" borderId="1128" xfId="0" applyNumberFormat="1" applyFont="1" applyFill="1" applyBorder="1" applyAlignment="1">
      <alignment horizontal="left"/>
    </xf>
    <xf numFmtId="1" fontId="39" fillId="17" borderId="886" xfId="0" applyNumberFormat="1" applyFont="1" applyFill="1" applyBorder="1" applyAlignment="1">
      <alignment horizontal="center" vertical="center"/>
    </xf>
    <xf numFmtId="1" fontId="39" fillId="17" borderId="827" xfId="0" applyNumberFormat="1" applyFont="1" applyFill="1" applyBorder="1" applyAlignment="1">
      <alignment horizontal="center" vertical="center"/>
    </xf>
    <xf numFmtId="1" fontId="39" fillId="17" borderId="828" xfId="0" applyNumberFormat="1" applyFont="1" applyFill="1" applyBorder="1" applyAlignment="1">
      <alignment horizontal="center" vertical="center"/>
    </xf>
    <xf numFmtId="1" fontId="39" fillId="13" borderId="886" xfId="0" applyNumberFormat="1" applyFont="1" applyFill="1" applyBorder="1" applyAlignment="1">
      <alignment horizontal="center" vertical="center"/>
    </xf>
    <xf numFmtId="1" fontId="39" fillId="13" borderId="827" xfId="0" applyNumberFormat="1" applyFont="1" applyFill="1" applyBorder="1" applyAlignment="1">
      <alignment horizontal="center" vertical="center"/>
    </xf>
    <xf numFmtId="1" fontId="39" fillId="13" borderId="828" xfId="0" applyNumberFormat="1" applyFont="1" applyFill="1" applyBorder="1" applyAlignment="1">
      <alignment horizontal="center" vertical="center"/>
    </xf>
    <xf numFmtId="0" fontId="40" fillId="6" borderId="716" xfId="0" applyFont="1" applyFill="1" applyBorder="1" applyAlignment="1">
      <alignment horizontal="center" vertical="center"/>
    </xf>
    <xf numFmtId="0" fontId="40" fillId="6" borderId="717" xfId="0" applyFont="1" applyFill="1" applyBorder="1" applyAlignment="1">
      <alignment horizontal="center" vertical="center"/>
    </xf>
    <xf numFmtId="0" fontId="40" fillId="6" borderId="715" xfId="0" applyFont="1" applyFill="1" applyBorder="1" applyAlignment="1">
      <alignment horizontal="center" vertical="center"/>
    </xf>
    <xf numFmtId="0" fontId="39" fillId="11" borderId="884" xfId="0" applyFont="1" applyFill="1" applyBorder="1" applyAlignment="1">
      <alignment horizontal="center" vertical="center"/>
    </xf>
    <xf numFmtId="0" fontId="39" fillId="11" borderId="880" xfId="0" applyFont="1" applyFill="1" applyBorder="1" applyAlignment="1">
      <alignment horizontal="center" vertical="center"/>
    </xf>
    <xf numFmtId="0" fontId="39" fillId="11" borderId="881" xfId="0" applyFont="1" applyFill="1" applyBorder="1" applyAlignment="1">
      <alignment horizontal="center" vertical="center"/>
    </xf>
    <xf numFmtId="0" fontId="39" fillId="12" borderId="885" xfId="0" applyFont="1" applyFill="1" applyBorder="1" applyAlignment="1">
      <alignment horizontal="center" vertical="center"/>
    </xf>
    <xf numFmtId="0" fontId="39" fillId="12" borderId="872" xfId="0" applyFont="1" applyFill="1" applyBorder="1" applyAlignment="1">
      <alignment horizontal="center" vertical="center"/>
    </xf>
    <xf numFmtId="0" fontId="39" fillId="12" borderId="856" xfId="0" applyFont="1" applyFill="1" applyBorder="1" applyAlignment="1">
      <alignment horizontal="center" vertical="center"/>
    </xf>
    <xf numFmtId="1" fontId="39" fillId="10" borderId="860" xfId="0" applyNumberFormat="1" applyFont="1" applyFill="1" applyBorder="1" applyAlignment="1">
      <alignment horizontal="center" vertical="center"/>
    </xf>
    <xf numFmtId="1" fontId="39" fillId="10" borderId="829" xfId="0" applyNumberFormat="1" applyFont="1" applyFill="1" applyBorder="1" applyAlignment="1">
      <alignment horizontal="center" vertical="center"/>
    </xf>
    <xf numFmtId="1" fontId="39" fillId="10" borderId="830" xfId="0" applyNumberFormat="1" applyFont="1" applyFill="1" applyBorder="1" applyAlignment="1">
      <alignment horizontal="center" vertical="center"/>
    </xf>
    <xf numFmtId="1" fontId="39" fillId="16" borderId="887" xfId="0" applyNumberFormat="1" applyFont="1" applyFill="1" applyBorder="1" applyAlignment="1">
      <alignment horizontal="center" vertical="center"/>
    </xf>
    <xf numFmtId="1" fontId="39" fillId="16" borderId="877" xfId="0" applyNumberFormat="1" applyFont="1" applyFill="1" applyBorder="1" applyAlignment="1">
      <alignment horizontal="center" vertical="center"/>
    </xf>
    <xf numFmtId="1" fontId="39" fillId="16" borderId="844" xfId="0" applyNumberFormat="1" applyFont="1" applyFill="1" applyBorder="1" applyAlignment="1">
      <alignment horizontal="center" vertical="center"/>
    </xf>
    <xf numFmtId="0" fontId="40" fillId="6" borderId="973" xfId="0" applyFont="1" applyFill="1" applyBorder="1" applyAlignment="1">
      <alignment horizontal="center"/>
    </xf>
    <xf numFmtId="0" fontId="40" fillId="6" borderId="975" xfId="0" applyFont="1" applyFill="1" applyBorder="1" applyAlignment="1">
      <alignment horizontal="center"/>
    </xf>
    <xf numFmtId="0" fontId="40" fillId="6" borderId="974" xfId="0" applyFont="1" applyFill="1" applyBorder="1" applyAlignment="1">
      <alignment horizontal="center"/>
    </xf>
    <xf numFmtId="0" fontId="40" fillId="6" borderId="120" xfId="0" applyFont="1" applyFill="1" applyBorder="1" applyAlignment="1">
      <alignment horizontal="center"/>
    </xf>
    <xf numFmtId="0" fontId="40" fillId="6" borderId="112" xfId="0" applyFont="1" applyFill="1" applyBorder="1" applyAlignment="1">
      <alignment horizontal="center"/>
    </xf>
    <xf numFmtId="0" fontId="40" fillId="6" borderId="121" xfId="0" applyFont="1" applyFill="1" applyBorder="1" applyAlignment="1">
      <alignment horizontal="center"/>
    </xf>
    <xf numFmtId="0" fontId="40" fillId="6" borderId="206" xfId="0" applyFont="1" applyFill="1" applyBorder="1" applyAlignment="1">
      <alignment horizontal="center"/>
    </xf>
    <xf numFmtId="0" fontId="40" fillId="6" borderId="207" xfId="0" applyFont="1" applyFill="1" applyBorder="1" applyAlignment="1">
      <alignment horizontal="center"/>
    </xf>
    <xf numFmtId="1" fontId="40" fillId="11" borderId="865" xfId="0" applyNumberFormat="1" applyFont="1" applyFill="1" applyBorder="1" applyAlignment="1">
      <alignment horizontal="center"/>
    </xf>
    <xf numFmtId="1" fontId="40" fillId="11" borderId="613" xfId="0" applyNumberFormat="1" applyFont="1" applyFill="1" applyBorder="1" applyAlignment="1">
      <alignment horizontal="center"/>
    </xf>
    <xf numFmtId="1" fontId="40" fillId="11" borderId="845" xfId="0" applyNumberFormat="1" applyFont="1" applyFill="1" applyBorder="1" applyAlignment="1">
      <alignment horizontal="center"/>
    </xf>
    <xf numFmtId="1" fontId="39" fillId="5" borderId="0" xfId="0" applyNumberFormat="1" applyFont="1" applyFill="1" applyAlignment="1">
      <alignment horizontal="center"/>
    </xf>
    <xf numFmtId="0" fontId="40" fillId="5" borderId="0" xfId="0" applyFont="1" applyFill="1" applyAlignment="1">
      <alignment horizontal="center" vertical="center"/>
    </xf>
    <xf numFmtId="1" fontId="40" fillId="15" borderId="204" xfId="0" applyNumberFormat="1" applyFont="1" applyFill="1" applyBorder="1" applyAlignment="1">
      <alignment horizontal="center"/>
    </xf>
    <xf numFmtId="1" fontId="40" fillId="15" borderId="151" xfId="0" applyNumberFormat="1" applyFont="1" applyFill="1" applyBorder="1" applyAlignment="1">
      <alignment horizontal="center"/>
    </xf>
    <xf numFmtId="1" fontId="40" fillId="15" borderId="152" xfId="0" applyNumberFormat="1" applyFont="1" applyFill="1" applyBorder="1" applyAlignment="1">
      <alignment horizontal="center"/>
    </xf>
    <xf numFmtId="1" fontId="40" fillId="7" borderId="716" xfId="0" applyNumberFormat="1" applyFont="1" applyFill="1" applyBorder="1" applyAlignment="1">
      <alignment horizontal="center"/>
    </xf>
    <xf numFmtId="1" fontId="40" fillId="7" borderId="717" xfId="0" applyNumberFormat="1" applyFont="1" applyFill="1" applyBorder="1" applyAlignment="1">
      <alignment horizontal="center"/>
    </xf>
    <xf numFmtId="1" fontId="40" fillId="7" borderId="715" xfId="0" applyNumberFormat="1" applyFont="1" applyFill="1" applyBorder="1" applyAlignment="1">
      <alignment horizontal="center"/>
    </xf>
    <xf numFmtId="1" fontId="40" fillId="10" borderId="975" xfId="0" applyNumberFormat="1" applyFont="1" applyFill="1" applyBorder="1" applyAlignment="1">
      <alignment horizontal="center"/>
    </xf>
    <xf numFmtId="1" fontId="40" fillId="10" borderId="974" xfId="0" applyNumberFormat="1" applyFont="1" applyFill="1" applyBorder="1" applyAlignment="1">
      <alignment horizontal="center"/>
    </xf>
    <xf numFmtId="1" fontId="40" fillId="16" borderId="0" xfId="0" applyNumberFormat="1" applyFont="1" applyFill="1" applyAlignment="1">
      <alignment horizontal="center"/>
    </xf>
    <xf numFmtId="1" fontId="40" fillId="16" borderId="110" xfId="0" applyNumberFormat="1" applyFont="1" applyFill="1" applyBorder="1" applyAlignment="1">
      <alignment horizontal="center"/>
    </xf>
    <xf numFmtId="1" fontId="40" fillId="17" borderId="204" xfId="0" applyNumberFormat="1" applyFont="1" applyFill="1" applyBorder="1" applyAlignment="1">
      <alignment horizontal="center"/>
    </xf>
    <xf numFmtId="1" fontId="40" fillId="17" borderId="186" xfId="0" applyNumberFormat="1" applyFont="1" applyFill="1" applyBorder="1" applyAlignment="1">
      <alignment horizontal="center"/>
    </xf>
    <xf numFmtId="1" fontId="40" fillId="17" borderId="187" xfId="0" applyNumberFormat="1" applyFont="1" applyFill="1" applyBorder="1" applyAlignment="1">
      <alignment horizontal="center"/>
    </xf>
    <xf numFmtId="1" fontId="40" fillId="13" borderId="613" xfId="0" applyNumberFormat="1" applyFont="1" applyFill="1" applyBorder="1" applyAlignment="1">
      <alignment horizontal="center"/>
    </xf>
    <xf numFmtId="1" fontId="40" fillId="13" borderId="845" xfId="0" applyNumberFormat="1" applyFont="1" applyFill="1" applyBorder="1" applyAlignment="1">
      <alignment horizontal="center"/>
    </xf>
    <xf numFmtId="0" fontId="47" fillId="0" borderId="0" xfId="0" applyFont="1" applyAlignment="1">
      <alignment horizontal="center"/>
    </xf>
    <xf numFmtId="0" fontId="47" fillId="0" borderId="0" xfId="0" applyFont="1" applyAlignment="1">
      <alignment horizontal="center" vertical="center"/>
    </xf>
    <xf numFmtId="0" fontId="46" fillId="6" borderId="973" xfId="0" applyFont="1" applyFill="1" applyBorder="1" applyAlignment="1">
      <alignment horizontal="center"/>
    </xf>
    <xf numFmtId="0" fontId="46" fillId="6" borderId="974" xfId="0" applyFont="1" applyFill="1" applyBorder="1" applyAlignment="1">
      <alignment horizontal="center"/>
    </xf>
    <xf numFmtId="0" fontId="46" fillId="0" borderId="973" xfId="0" applyFont="1" applyBorder="1" applyAlignment="1">
      <alignment horizontal="left"/>
    </xf>
    <xf numFmtId="0" fontId="46" fillId="0" borderId="974" xfId="0" applyFont="1" applyBorder="1" applyAlignment="1">
      <alignment horizontal="left"/>
    </xf>
    <xf numFmtId="0" fontId="46" fillId="0" borderId="973" xfId="0" applyFont="1" applyBorder="1" applyAlignment="1">
      <alignment horizontal="center"/>
    </xf>
    <xf numFmtId="0" fontId="46" fillId="0" borderId="975" xfId="0" applyFont="1" applyBorder="1" applyAlignment="1">
      <alignment horizontal="center"/>
    </xf>
    <xf numFmtId="0" fontId="46" fillId="0" borderId="974" xfId="0" applyFont="1" applyBorder="1" applyAlignment="1">
      <alignment horizontal="center"/>
    </xf>
    <xf numFmtId="0" fontId="46" fillId="9" borderId="976" xfId="0" applyFont="1" applyFill="1" applyBorder="1" applyAlignment="1">
      <alignment horizontal="center"/>
    </xf>
    <xf numFmtId="0" fontId="46" fillId="9" borderId="613" xfId="0" applyFont="1" applyFill="1" applyBorder="1" applyAlignment="1">
      <alignment horizontal="center"/>
    </xf>
    <xf numFmtId="0" fontId="46" fillId="9" borderId="845" xfId="0" applyFont="1" applyFill="1" applyBorder="1" applyAlignment="1">
      <alignment horizontal="center"/>
    </xf>
    <xf numFmtId="0" fontId="46" fillId="6" borderId="1030" xfId="0" applyFont="1" applyFill="1" applyBorder="1" applyAlignment="1">
      <alignment horizontal="center"/>
    </xf>
    <xf numFmtId="0" fontId="46" fillId="6" borderId="1038" xfId="0" applyFont="1" applyFill="1" applyBorder="1" applyAlignment="1">
      <alignment horizontal="center"/>
    </xf>
    <xf numFmtId="0" fontId="34" fillId="26" borderId="569" xfId="0" applyFont="1" applyFill="1" applyBorder="1" applyAlignment="1">
      <alignment horizontal="center" vertical="center"/>
    </xf>
    <xf numFmtId="0" fontId="34" fillId="26" borderId="156" xfId="0" applyFont="1" applyFill="1" applyBorder="1" applyAlignment="1">
      <alignment horizontal="center" vertical="center"/>
    </xf>
    <xf numFmtId="0" fontId="34" fillId="27" borderId="569" xfId="0" applyFont="1" applyFill="1" applyBorder="1" applyAlignment="1">
      <alignment horizontal="center" vertical="center"/>
    </xf>
    <xf numFmtId="0" fontId="34" fillId="27" borderId="156" xfId="0" applyFont="1" applyFill="1" applyBorder="1" applyAlignment="1">
      <alignment horizontal="center" vertical="center"/>
    </xf>
    <xf numFmtId="0" fontId="34" fillId="27" borderId="967" xfId="0" applyFont="1" applyFill="1" applyBorder="1" applyAlignment="1">
      <alignment horizontal="center" vertical="center"/>
    </xf>
    <xf numFmtId="0" fontId="34" fillId="27" borderId="606" xfId="0" applyFont="1" applyFill="1" applyBorder="1" applyAlignment="1">
      <alignment horizontal="center" vertical="center"/>
    </xf>
    <xf numFmtId="0" fontId="34" fillId="17" borderId="1078" xfId="0" applyFont="1" applyFill="1" applyBorder="1" applyAlignment="1">
      <alignment horizontal="center" vertical="center"/>
    </xf>
    <xf numFmtId="0" fontId="34" fillId="17" borderId="569" xfId="0" applyFont="1" applyFill="1" applyBorder="1" applyAlignment="1">
      <alignment horizontal="center" vertical="center"/>
    </xf>
    <xf numFmtId="0" fontId="34" fillId="16" borderId="569" xfId="0" applyFont="1" applyFill="1" applyBorder="1" applyAlignment="1">
      <alignment horizontal="center" vertical="center"/>
    </xf>
    <xf numFmtId="0" fontId="34" fillId="16" borderId="156" xfId="0" applyFont="1" applyFill="1" applyBorder="1" applyAlignment="1">
      <alignment horizontal="center" vertical="center"/>
    </xf>
    <xf numFmtId="0" fontId="0" fillId="0" borderId="1065" xfId="0" applyBorder="1" applyAlignment="1">
      <alignment horizontal="center"/>
    </xf>
    <xf numFmtId="0" fontId="0" fillId="0" borderId="1036" xfId="0" applyBorder="1" applyAlignment="1">
      <alignment horizontal="center"/>
    </xf>
    <xf numFmtId="0" fontId="0" fillId="0" borderId="1062" xfId="0" applyBorder="1" applyAlignment="1">
      <alignment horizontal="center"/>
    </xf>
    <xf numFmtId="0" fontId="0" fillId="0" borderId="1123" xfId="0" applyBorder="1" applyAlignment="1">
      <alignment horizontal="center"/>
    </xf>
    <xf numFmtId="0" fontId="10" fillId="0" borderId="1072" xfId="0" applyFont="1" applyBorder="1" applyAlignment="1">
      <alignment horizontal="center" vertical="center"/>
    </xf>
    <xf numFmtId="0" fontId="10" fillId="0" borderId="613" xfId="0" applyFont="1" applyBorder="1" applyAlignment="1">
      <alignment horizontal="center" vertical="center"/>
    </xf>
    <xf numFmtId="0" fontId="10" fillId="0" borderId="845" xfId="0" applyFont="1" applyBorder="1" applyAlignment="1">
      <alignment horizontal="center" vertical="center"/>
    </xf>
    <xf numFmtId="0" fontId="10" fillId="0" borderId="1116" xfId="0" applyFont="1" applyBorder="1" applyAlignment="1">
      <alignment horizontal="center" vertical="center"/>
    </xf>
    <xf numFmtId="0" fontId="10" fillId="0" borderId="1113" xfId="0" applyFont="1" applyBorder="1" applyAlignment="1">
      <alignment horizontal="center" vertical="center"/>
    </xf>
    <xf numFmtId="0" fontId="10" fillId="0" borderId="1114" xfId="0" applyFont="1" applyBorder="1" applyAlignment="1">
      <alignment horizontal="center" vertical="center"/>
    </xf>
    <xf numFmtId="0" fontId="0" fillId="29" borderId="619" xfId="0" applyFill="1" applyBorder="1" applyAlignment="1">
      <alignment horizontal="center"/>
    </xf>
    <xf numFmtId="0" fontId="0" fillId="29" borderId="1108" xfId="0" applyFill="1" applyBorder="1" applyAlignment="1">
      <alignment horizontal="center"/>
    </xf>
    <xf numFmtId="0" fontId="0" fillId="29" borderId="1065" xfId="0" applyFill="1" applyBorder="1" applyAlignment="1">
      <alignment horizontal="center"/>
    </xf>
    <xf numFmtId="0" fontId="0" fillId="29" borderId="1036" xfId="0" applyFill="1" applyBorder="1" applyAlignment="1">
      <alignment horizontal="center"/>
    </xf>
    <xf numFmtId="0" fontId="0" fillId="0" borderId="0" xfId="0" applyNumberFormat="1"/>
    <xf numFmtId="2" fontId="40" fillId="8" borderId="0" xfId="0" applyNumberFormat="1" applyFont="1" applyFill="1" applyBorder="1" applyAlignment="1">
      <alignment horizontal="center"/>
    </xf>
    <xf numFmtId="2" fontId="39" fillId="0" borderId="0" xfId="0" applyNumberFormat="1" applyFont="1" applyBorder="1" applyAlignment="1">
      <alignment horizontal="center"/>
    </xf>
    <xf numFmtId="2" fontId="39" fillId="0" borderId="1122" xfId="0" applyNumberFormat="1" applyFont="1" applyBorder="1" applyAlignment="1">
      <alignment horizontal="center"/>
    </xf>
    <xf numFmtId="2" fontId="39" fillId="0" borderId="569" xfId="0" applyNumberFormat="1" applyFont="1" applyBorder="1" applyAlignment="1">
      <alignment horizontal="center"/>
    </xf>
  </cellXfs>
  <cellStyles count="101">
    <cellStyle name="DataPilot Category" xfId="1" xr:uid="{00000000-0005-0000-0000-000000000000}"/>
    <cellStyle name="DataPilot Corner" xfId="2" xr:uid="{00000000-0005-0000-0000-000001000000}"/>
    <cellStyle name="DataPilot Field" xfId="3" xr:uid="{00000000-0005-0000-0000-000002000000}"/>
    <cellStyle name="DataPilot Result" xfId="4" xr:uid="{00000000-0005-0000-0000-000003000000}"/>
    <cellStyle name="DataPilot Title" xfId="5" xr:uid="{00000000-0005-0000-0000-000004000000}"/>
    <cellStyle name="DataPilot Value" xfId="6" xr:uid="{00000000-0005-0000-0000-000005000000}"/>
    <cellStyle name="Datenpilot Ecke" xfId="7" xr:uid="{00000000-0005-0000-0000-000006000000}"/>
    <cellStyle name="Datenpilot Ergebnis" xfId="8" xr:uid="{00000000-0005-0000-0000-000007000000}"/>
    <cellStyle name="Datenpilot Feld" xfId="9" xr:uid="{00000000-0005-0000-0000-000008000000}"/>
    <cellStyle name="Datenpilot Kategorie" xfId="10" xr:uid="{00000000-0005-0000-0000-000009000000}"/>
    <cellStyle name="Datenpilot Titel" xfId="11" xr:uid="{00000000-0005-0000-0000-00000A000000}"/>
    <cellStyle name="Datenpilot Wert" xfId="12" xr:uid="{00000000-0005-0000-0000-00000B000000}"/>
    <cellStyle name="Followed Hyperlink" xfId="68" builtinId="9" hidden="1"/>
    <cellStyle name="Followed Hyperlink" xfId="50" builtinId="9" hidden="1"/>
    <cellStyle name="Followed Hyperlink" xfId="78" builtinId="9" hidden="1"/>
    <cellStyle name="Followed Hyperlink" xfId="52" builtinId="9" hidden="1"/>
    <cellStyle name="Followed Hyperlink" xfId="88" builtinId="9" hidden="1"/>
    <cellStyle name="Followed Hyperlink" xfId="48" builtinId="9" hidden="1"/>
    <cellStyle name="Followed Hyperlink" xfId="36" builtinId="9" hidden="1"/>
    <cellStyle name="Followed Hyperlink" xfId="72" builtinId="9" hidden="1"/>
    <cellStyle name="Followed Hyperlink" xfId="70" builtinId="9" hidden="1"/>
    <cellStyle name="Followed Hyperlink" xfId="64" builtinId="9" hidden="1"/>
    <cellStyle name="Followed Hyperlink" xfId="86" builtinId="9" hidden="1"/>
    <cellStyle name="Followed Hyperlink" xfId="46" builtinId="9" hidden="1"/>
    <cellStyle name="Followed Hyperlink" xfId="80" builtinId="9" hidden="1"/>
    <cellStyle name="Followed Hyperlink" xfId="90" builtinId="9" hidden="1"/>
    <cellStyle name="Followed Hyperlink" xfId="58" builtinId="9" hidden="1"/>
    <cellStyle name="Followed Hyperlink" xfId="92" builtinId="9" hidden="1"/>
    <cellStyle name="Followed Hyperlink" xfId="60" builtinId="9" hidden="1"/>
    <cellStyle name="Followed Hyperlink" xfId="74" builtinId="9" hidden="1"/>
    <cellStyle name="Followed Hyperlink" xfId="62" builtinId="9" hidden="1"/>
    <cellStyle name="Followed Hyperlink" xfId="44" builtinId="9" hidden="1"/>
    <cellStyle name="Followed Hyperlink" xfId="32" builtinId="9" hidden="1"/>
    <cellStyle name="Followed Hyperlink" xfId="82" builtinId="9" hidden="1"/>
    <cellStyle name="Followed Hyperlink" xfId="38" builtinId="9" hidden="1"/>
    <cellStyle name="Followed Hyperlink" xfId="56" builtinId="9" hidden="1"/>
    <cellStyle name="Followed Hyperlink" xfId="42" builtinId="9" hidden="1"/>
    <cellStyle name="Followed Hyperlink" xfId="84" builtinId="9" hidden="1"/>
    <cellStyle name="Followed Hyperlink" xfId="94" builtinId="9" hidden="1"/>
    <cellStyle name="Followed Hyperlink" xfId="76" builtinId="9" hidden="1"/>
    <cellStyle name="Followed Hyperlink" xfId="34" builtinId="9" hidden="1"/>
    <cellStyle name="Followed Hyperlink" xfId="54" builtinId="9" hidden="1"/>
    <cellStyle name="Followed Hyperlink" xfId="39" builtinId="9" hidden="1"/>
    <cellStyle name="Followed Hyperlink" xfId="66" builtinId="9" hidden="1"/>
    <cellStyle name="Hyperlink" xfId="93" builtinId="8" hidden="1"/>
    <cellStyle name="Hyperlink" xfId="89" builtinId="8" hidden="1"/>
    <cellStyle name="Hyperlink" xfId="85" builtinId="8" hidden="1"/>
    <cellStyle name="Hyperlink" xfId="87" builtinId="8" hidden="1"/>
    <cellStyle name="Hyperlink" xfId="91" builtinId="8" hidden="1"/>
    <cellStyle name="Hyperlink" xfId="47" builtinId="8" hidden="1"/>
    <cellStyle name="Hyperlink" xfId="49" builtinId="8" hidden="1"/>
    <cellStyle name="Hyperlink" xfId="59" builtinId="8" hidden="1"/>
    <cellStyle name="Hyperlink" xfId="53" builtinId="8" hidden="1"/>
    <cellStyle name="Hyperlink" xfId="51" builtinId="8" hidden="1"/>
    <cellStyle name="Hyperlink" xfId="43" builtinId="8" hidden="1"/>
    <cellStyle name="Hyperlink" xfId="75" builtinId="8" hidden="1"/>
    <cellStyle name="Hyperlink" xfId="35" builtinId="8" hidden="1"/>
    <cellStyle name="Hyperlink" xfId="79" builtinId="8" hidden="1"/>
    <cellStyle name="Hyperlink" xfId="69" builtinId="8" hidden="1"/>
    <cellStyle name="Hyperlink" xfId="37" builtinId="8" hidden="1"/>
    <cellStyle name="Hyperlink" xfId="33" builtinId="8" hidden="1"/>
    <cellStyle name="Hyperlink" xfId="31" builtinId="8" hidden="1"/>
    <cellStyle name="Hyperlink" xfId="67" builtinId="8" hidden="1"/>
    <cellStyle name="Hyperlink" xfId="77" builtinId="8" hidden="1"/>
    <cellStyle name="Hyperlink" xfId="45" builtinId="8" hidden="1"/>
    <cellStyle name="Hyperlink" xfId="55" builtinId="8" hidden="1"/>
    <cellStyle name="Hyperlink" xfId="57" builtinId="8" hidden="1"/>
    <cellStyle name="Hyperlink" xfId="73" builtinId="8" hidden="1"/>
    <cellStyle name="Hyperlink" xfId="63" builtinId="8" hidden="1"/>
    <cellStyle name="Hyperlink" xfId="65" builtinId="8" hidden="1"/>
    <cellStyle name="Hyperlink" xfId="71" builtinId="8" hidden="1"/>
    <cellStyle name="Hyperlink" xfId="81" builtinId="8" hidden="1"/>
    <cellStyle name="Hyperlink" xfId="83" builtinId="8" hidden="1"/>
    <cellStyle name="Hyperlink" xfId="61" builtinId="8" hidden="1"/>
    <cellStyle name="Hyperlink" xfId="41" builtinId="8" hidden="1"/>
    <cellStyle name="Hyperlink" xfId="40" builtinId="8" hidden="1"/>
    <cellStyle name="Hyperlink" xfId="95" builtinId="8"/>
    <cellStyle name="Normal" xfId="0" builtinId="0"/>
    <cellStyle name="Per cent" xfId="96" builtinId="5"/>
    <cellStyle name="Pivot Tabelle Ecke" xfId="13" xr:uid="{00000000-0005-0000-0000-00004E000000}"/>
    <cellStyle name="Pivot Tabelle Ergebnis" xfId="14" xr:uid="{00000000-0005-0000-0000-00004F000000}"/>
    <cellStyle name="Pivot Tabelle Feld" xfId="15" xr:uid="{00000000-0005-0000-0000-000050000000}"/>
    <cellStyle name="Pivot Tabelle Kategorie" xfId="16" xr:uid="{00000000-0005-0000-0000-000051000000}"/>
    <cellStyle name="Pivot Tabelle Titel" xfId="17" xr:uid="{00000000-0005-0000-0000-000052000000}"/>
    <cellStyle name="Pivot Tabelle Wert" xfId="18" xr:uid="{00000000-0005-0000-0000-000053000000}"/>
    <cellStyle name="Pivot Table Category" xfId="19" xr:uid="{00000000-0005-0000-0000-000054000000}"/>
    <cellStyle name="Pivot Table Corner" xfId="20" xr:uid="{00000000-0005-0000-0000-000055000000}"/>
    <cellStyle name="Pivot Table Field" xfId="21" xr:uid="{00000000-0005-0000-0000-000056000000}"/>
    <cellStyle name="Pivot Table Result" xfId="22" xr:uid="{00000000-0005-0000-0000-000057000000}"/>
    <cellStyle name="Pivot Table Title" xfId="23" xr:uid="{00000000-0005-0000-0000-000058000000}"/>
    <cellStyle name="Pivot Table Value" xfId="24" xr:uid="{00000000-0005-0000-0000-000059000000}"/>
    <cellStyle name="Pivot-Tabelle Ecke" xfId="25" xr:uid="{00000000-0005-0000-0000-00005A000000}"/>
    <cellStyle name="Pivot-Tabelle Ergebnis" xfId="26" xr:uid="{00000000-0005-0000-0000-00005B000000}"/>
    <cellStyle name="Pivot-Tabelle Feld" xfId="27" xr:uid="{00000000-0005-0000-0000-00005C000000}"/>
    <cellStyle name="Pivot-Tabelle Kategorie" xfId="28" xr:uid="{00000000-0005-0000-0000-00005D000000}"/>
    <cellStyle name="Pivot-Tabelle Titel" xfId="29" xr:uid="{00000000-0005-0000-0000-00005E000000}"/>
    <cellStyle name="Pivot-Tabelle Wert" xfId="30" xr:uid="{00000000-0005-0000-0000-00005F000000}"/>
    <cellStyle name="Prozent 2" xfId="98" xr:uid="{665D4A00-8A32-9041-A7B3-EA0CA44C5518}"/>
    <cellStyle name="Prozent 2 2" xfId="100" xr:uid="{69B483D8-B090-4D44-A9D6-2F963B365739}"/>
    <cellStyle name="Standard 2" xfId="97" xr:uid="{0A1DEB72-10AA-784F-ADB8-6170C0AECE10}"/>
    <cellStyle name="Standard 2 2" xfId="99" xr:uid="{6301AE1B-287F-F843-8A5F-51CB2C03B420}"/>
  </cellStyles>
  <dxfs count="4374">
    <dxf>
      <fill>
        <patternFill>
          <bgColor theme="9" tint="0.59996337778862885"/>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9C0006"/>
      </font>
      <fill>
        <patternFill>
          <bgColor rgb="FFFFC7CE"/>
        </patternFill>
      </fill>
    </dxf>
    <dxf>
      <font>
        <color rgb="FF006100"/>
      </font>
      <fill>
        <patternFill>
          <bgColor rgb="FFC6EFCE"/>
        </patternFill>
      </fill>
    </dxf>
    <dxf>
      <font>
        <b/>
        <i val="0"/>
      </font>
      <fill>
        <patternFill>
          <bgColor theme="4"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numFmt numFmtId="173" formatCode="0.0000"/>
    </dxf>
    <dxf>
      <alignment horizontal="right"/>
    </dxf>
    <dxf>
      <alignment horizontal="right"/>
    </dxf>
    <dxf>
      <numFmt numFmtId="1" formatCode="0"/>
    </dxf>
    <dxf>
      <numFmt numFmtId="173" formatCode="0.0000"/>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right"/>
    </dxf>
    <dxf>
      <numFmt numFmtId="1" formatCode="0"/>
    </dxf>
    <dxf>
      <numFmt numFmtId="173" formatCode="0.0000"/>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numFmt numFmtId="173" formatCode="0.0000"/>
    </dxf>
    <dxf>
      <numFmt numFmtId="1" formatCode="0"/>
    </dxf>
  </dxfs>
  <tableStyles count="0" defaultTableStyle="TableStyleMedium9" defaultPivotStyle="PivotStyleMedium7"/>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C5000B"/>
      <rgbColor rgb="00008000"/>
      <rgbColor rgb="00000080"/>
      <rgbColor rgb="00808000"/>
      <rgbColor rgb="00800080"/>
      <rgbColor rgb="00008080"/>
      <rgbColor rgb="00CCCCCC"/>
      <rgbColor rgb="00808080"/>
      <rgbColor rgb="009999FF"/>
      <rgbColor rgb="00FF3333"/>
      <rgbColor rgb="00FFFFCC"/>
      <rgbColor rgb="00CCFFFF"/>
      <rgbColor rgb="00660066"/>
      <rgbColor rgb="00FF8080"/>
      <rgbColor rgb="000084D1"/>
      <rgbColor rgb="00B3B3B3"/>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66"/>
      <rgbColor rgb="0099CC00"/>
      <rgbColor rgb="00FFCC00"/>
      <rgbColor rgb="00FF950E"/>
      <rgbColor rgb="00FF6633"/>
      <rgbColor rgb="00666699"/>
      <rgbColor rgb="00999999"/>
      <rgbColor rgb="00004586"/>
      <rgbColor rgb="00339966"/>
      <rgbColor rgb="00003300"/>
      <rgbColor rgb="00333300"/>
      <rgbColor rgb="00993300"/>
      <rgbColor rgb="00EB613D"/>
      <rgbColor rgb="00333399"/>
      <rgbColor rgb="00333333"/>
    </indexedColors>
    <mruColors>
      <color rgb="FFC6EFCE"/>
      <color rgb="FFFF3333"/>
      <color rgb="FF7D9782"/>
      <color rgb="FFE171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[training_data.xlsx]Jahrestabellen!PivotTable1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Jahrestabellen!$H$332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Jahrestabellen!$G$333:$G$346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2024</c:v>
                  </c:pt>
                </c:lvl>
              </c:multiLvlStrCache>
            </c:multiLvlStrRef>
          </c:cat>
          <c:val>
            <c:numRef>
              <c:f>Jahrestabellen!$H$333:$H$346</c:f>
              <c:numCache>
                <c:formatCode>0</c:formatCode>
                <c:ptCount val="12"/>
                <c:pt idx="0">
                  <c:v>107.49686422416863</c:v>
                </c:pt>
                <c:pt idx="1">
                  <c:v>152.65533517398129</c:v>
                </c:pt>
                <c:pt idx="2">
                  <c:v>186.74086869137938</c:v>
                </c:pt>
                <c:pt idx="3">
                  <c:v>115.74213406959254</c:v>
                </c:pt>
                <c:pt idx="4">
                  <c:v>125.44316009582057</c:v>
                </c:pt>
                <c:pt idx="5">
                  <c:v>139.00458280888228</c:v>
                </c:pt>
                <c:pt idx="6">
                  <c:v>172.77668671388662</c:v>
                </c:pt>
                <c:pt idx="7">
                  <c:v>234.21364605758893</c:v>
                </c:pt>
                <c:pt idx="8">
                  <c:v>220.75280603296056</c:v>
                </c:pt>
                <c:pt idx="9">
                  <c:v>157.09769432839317</c:v>
                </c:pt>
                <c:pt idx="10">
                  <c:v>127.1383379349533</c:v>
                </c:pt>
                <c:pt idx="11">
                  <c:v>142.3949384871477</c:v>
                </c:pt>
              </c:numCache>
            </c:numRef>
          </c:val>
          <c:extLst>
            <c:ext xmlns:c16="http://schemas.microsoft.com/office/drawing/2014/chart" uri="{C3380CC4-5D6E-409C-BE32-E72D297353CC}">
              <c16:uniqueId val="{00000000-C193-494F-A346-6C409E52C9C1}"/>
            </c:ext>
          </c:extLst>
        </c:ser>
        <c:dLbls>
          <c:showLegendKey val="0"/>
          <c:showVal val="0"/>
          <c:showCatName val="0"/>
          <c:showSerName val="0"/>
          <c:showPercent val="0"/>
          <c:showBubbleSize val="0"/>
        </c:dLbls>
        <c:gapWidth val="100"/>
        <c:overlap val="-24"/>
        <c:axId val="1757663408"/>
        <c:axId val="1760147872"/>
      </c:barChart>
      <c:catAx>
        <c:axId val="17576634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1760147872"/>
        <c:crosses val="autoZero"/>
        <c:auto val="1"/>
        <c:lblAlgn val="ctr"/>
        <c:lblOffset val="100"/>
        <c:tickLblSkip val="2"/>
        <c:noMultiLvlLbl val="1"/>
      </c:catAx>
      <c:valAx>
        <c:axId val="17601478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1757663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invertIfNegative val="0"/>
          <c:val>
            <c:numRef>
              <c:f>Periodisierung!$B$48:$BA$48</c:f>
              <c:numCache>
                <c:formatCode>0</c:formatCode>
                <c:ptCount val="52"/>
                <c:pt idx="0">
                  <c:v>14.05</c:v>
                </c:pt>
                <c:pt idx="1">
                  <c:v>18.599999999999998</c:v>
                </c:pt>
              </c:numCache>
            </c:numRef>
          </c:val>
          <c:extLst>
            <c:ext xmlns:c16="http://schemas.microsoft.com/office/drawing/2014/chart" uri="{C3380CC4-5D6E-409C-BE32-E72D297353CC}">
              <c16:uniqueId val="{00000000-2E7B-474E-A233-1A096062C220}"/>
            </c:ext>
          </c:extLst>
        </c:ser>
        <c:dLbls>
          <c:showLegendKey val="0"/>
          <c:showVal val="0"/>
          <c:showCatName val="0"/>
          <c:showSerName val="0"/>
          <c:showPercent val="0"/>
          <c:showBubbleSize val="0"/>
        </c:dLbls>
        <c:gapWidth val="150"/>
        <c:axId val="348208896"/>
        <c:axId val="348210576"/>
      </c:barChart>
      <c:lineChart>
        <c:grouping val="stacked"/>
        <c:varyColors val="0"/>
        <c:ser>
          <c:idx val="1"/>
          <c:order val="1"/>
          <c:spPr>
            <a:ln w="34925" cap="rnd">
              <a:solidFill>
                <a:schemeClr val="accent2"/>
              </a:solidFill>
              <a:round/>
            </a:ln>
            <a:effectLst>
              <a:outerShdw blurRad="57150" dist="19050" dir="5400000" algn="ctr" rotWithShape="0">
                <a:srgbClr val="000000">
                  <a:alpha val="63000"/>
                </a:srgbClr>
              </a:outerShdw>
            </a:effectLst>
          </c:spPr>
          <c:marker>
            <c:symbol val="none"/>
          </c:marker>
          <c:val>
            <c:numRef>
              <c:f>Periodisierung!$B$49:$BA$49</c:f>
              <c:numCache>
                <c:formatCode>0</c:formatCode>
                <c:ptCount val="52"/>
                <c:pt idx="0">
                  <c:v>82</c:v>
                </c:pt>
                <c:pt idx="1">
                  <c:v>105</c:v>
                </c:pt>
              </c:numCache>
            </c:numRef>
          </c:val>
          <c:smooth val="0"/>
          <c:extLst>
            <c:ext xmlns:c16="http://schemas.microsoft.com/office/drawing/2014/chart" uri="{C3380CC4-5D6E-409C-BE32-E72D297353CC}">
              <c16:uniqueId val="{00000000-C3A9-CB4C-9AC0-E864FBB48A8A}"/>
            </c:ext>
          </c:extLst>
        </c:ser>
        <c:dLbls>
          <c:showLegendKey val="0"/>
          <c:showVal val="0"/>
          <c:showCatName val="0"/>
          <c:showSerName val="0"/>
          <c:showPercent val="0"/>
          <c:showBubbleSize val="0"/>
        </c:dLbls>
        <c:marker val="1"/>
        <c:smooth val="0"/>
        <c:axId val="139864384"/>
        <c:axId val="139861248"/>
      </c:lineChart>
      <c:catAx>
        <c:axId val="348208896"/>
        <c:scaling>
          <c:orientation val="minMax"/>
        </c:scaling>
        <c:delete val="0"/>
        <c:axPos val="b"/>
        <c:numFmt formatCode="0"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348210576"/>
        <c:crosses val="autoZero"/>
        <c:auto val="1"/>
        <c:lblAlgn val="ctr"/>
        <c:lblOffset val="100"/>
        <c:noMultiLvlLbl val="0"/>
      </c:catAx>
      <c:valAx>
        <c:axId val="34821057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348208896"/>
        <c:crosses val="autoZero"/>
        <c:crossBetween val="between"/>
      </c:valAx>
      <c:valAx>
        <c:axId val="13986124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139864384"/>
        <c:crosses val="max"/>
        <c:crossBetween val="between"/>
      </c:valAx>
      <c:catAx>
        <c:axId val="139864384"/>
        <c:scaling>
          <c:orientation val="minMax"/>
        </c:scaling>
        <c:delete val="1"/>
        <c:axPos val="b"/>
        <c:majorTickMark val="out"/>
        <c:minorTickMark val="none"/>
        <c:tickLblPos val="nextTo"/>
        <c:crossAx val="139861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lineChart>
        <c:grouping val="standard"/>
        <c:varyColors val="0"/>
        <c:ser>
          <c:idx val="0"/>
          <c:order val="0"/>
          <c:tx>
            <c:strRef>
              <c:f>'TSS vs RSS'!$B$5</c:f>
              <c:strCache>
                <c:ptCount val="1"/>
                <c:pt idx="0">
                  <c:v>TSS CTL</c:v>
                </c:pt>
              </c:strCache>
            </c:strRef>
          </c:tx>
          <c:spPr>
            <a:ln w="28575" cap="rnd">
              <a:solidFill>
                <a:schemeClr val="accent1"/>
              </a:solidFill>
              <a:round/>
            </a:ln>
            <a:effectLst/>
          </c:spPr>
          <c:marker>
            <c:symbol val="none"/>
          </c:marker>
          <c:val>
            <c:numRef>
              <c:f>'TSS vs RSS'!$B$6:$B$28</c:f>
              <c:numCache>
                <c:formatCode>0.0</c:formatCode>
                <c:ptCount val="23"/>
                <c:pt idx="0">
                  <c:v>9.6881288039183442</c:v>
                </c:pt>
                <c:pt idx="1">
                  <c:v>9.4574590704917174</c:v>
                </c:pt>
                <c:pt idx="2">
                  <c:v>9.8037100450038199</c:v>
                </c:pt>
                <c:pt idx="3">
                  <c:v>9.5702883772656335</c:v>
                </c:pt>
                <c:pt idx="4">
                  <c:v>10.318614844473595</c:v>
                </c:pt>
                <c:pt idx="5">
                  <c:v>10.072933538652796</c:v>
                </c:pt>
                <c:pt idx="6">
                  <c:v>9.8331017877324918</c:v>
                </c:pt>
                <c:pt idx="7">
                  <c:v>10.741837459453146</c:v>
                </c:pt>
                <c:pt idx="8">
                  <c:v>10.486079424704261</c:v>
                </c:pt>
                <c:pt idx="9">
                  <c:v>10.236410866973207</c:v>
                </c:pt>
                <c:pt idx="10">
                  <c:v>10.80221060823575</c:v>
                </c:pt>
                <c:pt idx="11">
                  <c:v>10.545015117563471</c:v>
                </c:pt>
                <c:pt idx="12">
                  <c:v>11.222514757621484</c:v>
                </c:pt>
                <c:pt idx="13">
                  <c:v>10.955312025297163</c:v>
                </c:pt>
                <c:pt idx="14">
                  <c:v>11.503995072313897</c:v>
                </c:pt>
                <c:pt idx="15">
                  <c:v>11.230090427734995</c:v>
                </c:pt>
                <c:pt idx="16">
                  <c:v>10.962707322312733</c:v>
                </c:pt>
                <c:pt idx="17">
                  <c:v>10.701690481305286</c:v>
                </c:pt>
                <c:pt idx="18">
                  <c:v>11.208793088893255</c:v>
                </c:pt>
                <c:pt idx="19">
                  <c:v>11.65620277725294</c:v>
                </c:pt>
                <c:pt idx="20">
                  <c:v>11.378674139699298</c:v>
                </c:pt>
                <c:pt idx="21">
                  <c:v>11.869658088754075</c:v>
                </c:pt>
                <c:pt idx="22">
                  <c:v>12.182285277117074</c:v>
                </c:pt>
              </c:numCache>
            </c:numRef>
          </c:val>
          <c:smooth val="0"/>
          <c:extLst>
            <c:ext xmlns:c16="http://schemas.microsoft.com/office/drawing/2014/chart" uri="{C3380CC4-5D6E-409C-BE32-E72D297353CC}">
              <c16:uniqueId val="{00000000-361B-D348-8AE3-79E8DF32B65B}"/>
            </c:ext>
          </c:extLst>
        </c:ser>
        <c:ser>
          <c:idx val="1"/>
          <c:order val="1"/>
          <c:tx>
            <c:strRef>
              <c:f>'TSS vs RSS'!$C$5</c:f>
              <c:strCache>
                <c:ptCount val="1"/>
                <c:pt idx="0">
                  <c:v>RSS CTL</c:v>
                </c:pt>
              </c:strCache>
            </c:strRef>
          </c:tx>
          <c:spPr>
            <a:ln w="28575" cap="rnd">
              <a:solidFill>
                <a:schemeClr val="accent2"/>
              </a:solidFill>
              <a:round/>
            </a:ln>
            <a:effectLst/>
          </c:spPr>
          <c:marker>
            <c:symbol val="none"/>
          </c:marker>
          <c:val>
            <c:numRef>
              <c:f>'TSS vs RSS'!$C$6:$C$28</c:f>
              <c:numCache>
                <c:formatCode>0.0</c:formatCode>
                <c:ptCount val="23"/>
                <c:pt idx="0">
                  <c:v>9.2371910758636471</c:v>
                </c:pt>
                <c:pt idx="1">
                  <c:v>9.0172579550097502</c:v>
                </c:pt>
                <c:pt idx="2">
                  <c:v>9.2073232417952315</c:v>
                </c:pt>
                <c:pt idx="3">
                  <c:v>8.9881012598477259</c:v>
                </c:pt>
                <c:pt idx="4">
                  <c:v>9.5121940869942083</c:v>
                </c:pt>
                <c:pt idx="5">
                  <c:v>9.2857132753991074</c:v>
                </c:pt>
                <c:pt idx="6">
                  <c:v>9.0646248640800806</c:v>
                </c:pt>
                <c:pt idx="7">
                  <c:v>9.9678480816019839</c:v>
                </c:pt>
                <c:pt idx="8">
                  <c:v>9.7305183653733653</c:v>
                </c:pt>
                <c:pt idx="9">
                  <c:v>9.498839356673999</c:v>
                </c:pt>
                <c:pt idx="10">
                  <c:v>10.058390800562714</c:v>
                </c:pt>
                <c:pt idx="11">
                  <c:v>9.8189053053112207</c:v>
                </c:pt>
                <c:pt idx="12">
                  <c:v>10.466074226613335</c:v>
                </c:pt>
                <c:pt idx="13">
                  <c:v>10.216881983122541</c:v>
                </c:pt>
                <c:pt idx="14">
                  <c:v>10.735527650191052</c:v>
                </c:pt>
                <c:pt idx="15">
                  <c:v>10.479919848996028</c:v>
                </c:pt>
                <c:pt idx="16">
                  <c:v>10.230397947829456</c:v>
                </c:pt>
                <c:pt idx="17">
                  <c:v>9.9868170443097064</c:v>
                </c:pt>
                <c:pt idx="18">
                  <c:v>10.368083305159475</c:v>
                </c:pt>
                <c:pt idx="19">
                  <c:v>10.764081321703298</c:v>
                </c:pt>
                <c:pt idx="20">
                  <c:v>10.507793671186553</c:v>
                </c:pt>
                <c:pt idx="21">
                  <c:v>11.11475096472973</c:v>
                </c:pt>
                <c:pt idx="22">
                  <c:v>11.469161656045689</c:v>
                </c:pt>
              </c:numCache>
            </c:numRef>
          </c:val>
          <c:smooth val="0"/>
          <c:extLst>
            <c:ext xmlns:c16="http://schemas.microsoft.com/office/drawing/2014/chart" uri="{C3380CC4-5D6E-409C-BE32-E72D297353CC}">
              <c16:uniqueId val="{00000001-361B-D348-8AE3-79E8DF32B65B}"/>
            </c:ext>
          </c:extLst>
        </c:ser>
        <c:dLbls>
          <c:showLegendKey val="0"/>
          <c:showVal val="0"/>
          <c:showCatName val="0"/>
          <c:showSerName val="0"/>
          <c:showPercent val="0"/>
          <c:showBubbleSize val="0"/>
        </c:dLbls>
        <c:smooth val="0"/>
        <c:axId val="281239520"/>
        <c:axId val="281241792"/>
      </c:lineChart>
      <c:catAx>
        <c:axId val="2812395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81241792"/>
        <c:crosses val="autoZero"/>
        <c:auto val="1"/>
        <c:lblAlgn val="ctr"/>
        <c:lblOffset val="100"/>
        <c:noMultiLvlLbl val="0"/>
      </c:catAx>
      <c:valAx>
        <c:axId val="281241792"/>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81239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lineChart>
        <c:grouping val="standard"/>
        <c:varyColors val="0"/>
        <c:ser>
          <c:idx val="0"/>
          <c:order val="0"/>
          <c:tx>
            <c:strRef>
              <c:f>'TSS vs RSS'!$D$5</c:f>
              <c:strCache>
                <c:ptCount val="1"/>
                <c:pt idx="0">
                  <c:v>TSS load</c:v>
                </c:pt>
              </c:strCache>
            </c:strRef>
          </c:tx>
          <c:spPr>
            <a:ln w="28575" cap="rnd">
              <a:solidFill>
                <a:schemeClr val="accent1"/>
              </a:solidFill>
              <a:round/>
            </a:ln>
            <a:effectLst/>
          </c:spPr>
          <c:marker>
            <c:symbol val="none"/>
          </c:marker>
          <c:val>
            <c:numRef>
              <c:f>'TSS vs RSS'!$D$6:$D$29</c:f>
              <c:numCache>
                <c:formatCode>0.00</c:formatCode>
                <c:ptCount val="24"/>
                <c:pt idx="0">
                  <c:v>0.47250386408426082</c:v>
                </c:pt>
                <c:pt idx="1">
                  <c:v>0.41488144163496071</c:v>
                </c:pt>
                <c:pt idx="2">
                  <c:v>0.69277483876691048</c:v>
                </c:pt>
                <c:pt idx="3">
                  <c:v>0.60829010233192149</c:v>
                </c:pt>
                <c:pt idx="4">
                  <c:v>1.0512079565848658</c:v>
                </c:pt>
                <c:pt idx="5">
                  <c:v>0.92301186431841875</c:v>
                </c:pt>
                <c:pt idx="6">
                  <c:v>0.81044944184056278</c:v>
                </c:pt>
                <c:pt idx="7">
                  <c:v>1.2742617890660377</c:v>
                </c:pt>
                <c:pt idx="8">
                  <c:v>1.1188640099116431</c:v>
                </c:pt>
                <c:pt idx="9">
                  <c:v>0.98241717943461337</c:v>
                </c:pt>
                <c:pt idx="10">
                  <c:v>1.2476091206853648</c:v>
                </c:pt>
                <c:pt idx="11">
                  <c:v>1.0954616669432471</c:v>
                </c:pt>
                <c:pt idx="12">
                  <c:v>1.3787329867171194</c:v>
                </c:pt>
                <c:pt idx="13">
                  <c:v>1.2105948176052757</c:v>
                </c:pt>
                <c:pt idx="14">
                  <c:v>1.4103754275240012</c:v>
                </c:pt>
                <c:pt idx="15">
                  <c:v>1.2383784241674158</c:v>
                </c:pt>
                <c:pt idx="16">
                  <c:v>1.087356665122609</c:v>
                </c:pt>
                <c:pt idx="17">
                  <c:v>0.95475219376619325</c:v>
                </c:pt>
                <c:pt idx="18">
                  <c:v>1.1891783026852036</c:v>
                </c:pt>
                <c:pt idx="19">
                  <c:v>1.347847926920511</c:v>
                </c:pt>
                <c:pt idx="20">
                  <c:v>1.1834762285155707</c:v>
                </c:pt>
                <c:pt idx="21">
                  <c:v>1.3575832392464955</c:v>
                </c:pt>
                <c:pt idx="22">
                  <c:v>1.4269465925698772</c:v>
                </c:pt>
                <c:pt idx="23">
                  <c:v>1.2529287154272091</c:v>
                </c:pt>
              </c:numCache>
            </c:numRef>
          </c:val>
          <c:smooth val="0"/>
          <c:extLst>
            <c:ext xmlns:c16="http://schemas.microsoft.com/office/drawing/2014/chart" uri="{C3380CC4-5D6E-409C-BE32-E72D297353CC}">
              <c16:uniqueId val="{00000000-D5AD-A94F-8ECA-ED11C175ECB3}"/>
            </c:ext>
          </c:extLst>
        </c:ser>
        <c:ser>
          <c:idx val="1"/>
          <c:order val="1"/>
          <c:tx>
            <c:strRef>
              <c:f>'TSS vs RSS'!$E$5</c:f>
              <c:strCache>
                <c:ptCount val="1"/>
                <c:pt idx="0">
                  <c:v>RSS load</c:v>
                </c:pt>
              </c:strCache>
            </c:strRef>
          </c:tx>
          <c:spPr>
            <a:ln w="28575" cap="rnd">
              <a:solidFill>
                <a:schemeClr val="accent2"/>
              </a:solidFill>
              <a:round/>
            </a:ln>
            <a:effectLst/>
          </c:spPr>
          <c:marker>
            <c:symbol val="none"/>
          </c:marker>
          <c:val>
            <c:numRef>
              <c:f>'TSS vs RSS'!$E$6:$E$29</c:f>
              <c:numCache>
                <c:formatCode>0.00</c:formatCode>
                <c:ptCount val="24"/>
                <c:pt idx="0">
                  <c:v>0.4086833448036869</c:v>
                </c:pt>
                <c:pt idx="1">
                  <c:v>0.35884391251055436</c:v>
                </c:pt>
                <c:pt idx="2">
                  <c:v>0.56499635890540201</c:v>
                </c:pt>
                <c:pt idx="3">
                  <c:v>0.49609436391693834</c:v>
                </c:pt>
                <c:pt idx="4">
                  <c:v>0.86736302800628062</c:v>
                </c:pt>
                <c:pt idx="5">
                  <c:v>0.7615870489811245</c:v>
                </c:pt>
                <c:pt idx="6">
                  <c:v>0.66871057959318247</c:v>
                </c:pt>
                <c:pt idx="7">
                  <c:v>1.194836819304502</c:v>
                </c:pt>
                <c:pt idx="8">
                  <c:v>1.0491250120722457</c:v>
                </c:pt>
                <c:pt idx="9">
                  <c:v>0.92118293742928903</c:v>
                </c:pt>
                <c:pt idx="10">
                  <c:v>1.2143523344241964</c:v>
                </c:pt>
                <c:pt idx="11">
                  <c:v>1.0662605863236847</c:v>
                </c:pt>
                <c:pt idx="12">
                  <c:v>1.3624575148526834</c:v>
                </c:pt>
                <c:pt idx="13">
                  <c:v>1.1963041593828438</c:v>
                </c:pt>
                <c:pt idx="14">
                  <c:v>1.4016875809296652</c:v>
                </c:pt>
                <c:pt idx="15">
                  <c:v>1.2307500710601937</c:v>
                </c:pt>
                <c:pt idx="16">
                  <c:v>1.0806585989796824</c:v>
                </c:pt>
                <c:pt idx="17">
                  <c:v>0.94887096495776979</c:v>
                </c:pt>
                <c:pt idx="18">
                  <c:v>1.1416520422123986</c:v>
                </c:pt>
                <c:pt idx="19">
                  <c:v>1.3008934588692247</c:v>
                </c:pt>
                <c:pt idx="20">
                  <c:v>1.1422479151046849</c:v>
                </c:pt>
                <c:pt idx="21">
                  <c:v>1.3883099112719757</c:v>
                </c:pt>
                <c:pt idx="22">
                  <c:v>1.4770579341393573</c:v>
                </c:pt>
                <c:pt idx="23">
                  <c:v>1.2969289177808991</c:v>
                </c:pt>
              </c:numCache>
            </c:numRef>
          </c:val>
          <c:smooth val="0"/>
          <c:extLst>
            <c:ext xmlns:c16="http://schemas.microsoft.com/office/drawing/2014/chart" uri="{C3380CC4-5D6E-409C-BE32-E72D297353CC}">
              <c16:uniqueId val="{00000001-D5AD-A94F-8ECA-ED11C175ECB3}"/>
            </c:ext>
          </c:extLst>
        </c:ser>
        <c:dLbls>
          <c:showLegendKey val="0"/>
          <c:showVal val="0"/>
          <c:showCatName val="0"/>
          <c:showSerName val="0"/>
          <c:showPercent val="0"/>
          <c:showBubbleSize val="0"/>
        </c:dLbls>
        <c:smooth val="0"/>
        <c:axId val="281210672"/>
        <c:axId val="281212944"/>
      </c:lineChart>
      <c:catAx>
        <c:axId val="2812106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81212944"/>
        <c:crosses val="autoZero"/>
        <c:auto val="1"/>
        <c:lblAlgn val="ctr"/>
        <c:lblOffset val="100"/>
        <c:noMultiLvlLbl val="0"/>
      </c:catAx>
      <c:valAx>
        <c:axId val="2812129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81210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FTP vs CP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lineChart>
        <c:grouping val="standard"/>
        <c:varyColors val="0"/>
        <c:ser>
          <c:idx val="0"/>
          <c:order val="0"/>
          <c:tx>
            <c:strRef>
              <c:f>'TSS vs RSS'!$F$5</c:f>
              <c:strCache>
                <c:ptCount val="1"/>
                <c:pt idx="0">
                  <c:v>FTP</c:v>
                </c:pt>
              </c:strCache>
            </c:strRef>
          </c:tx>
          <c:spPr>
            <a:ln w="28575" cap="rnd">
              <a:solidFill>
                <a:schemeClr val="accent1"/>
              </a:solidFill>
              <a:round/>
            </a:ln>
            <a:effectLst/>
          </c:spPr>
          <c:marker>
            <c:symbol val="none"/>
          </c:marker>
          <c:val>
            <c:numRef>
              <c:f>'TSS vs RSS'!$F$6:$F$28</c:f>
              <c:numCache>
                <c:formatCode>General</c:formatCode>
                <c:ptCount val="23"/>
                <c:pt idx="0">
                  <c:v>261</c:v>
                </c:pt>
                <c:pt idx="1">
                  <c:v>261</c:v>
                </c:pt>
                <c:pt idx="2">
                  <c:v>261</c:v>
                </c:pt>
                <c:pt idx="3">
                  <c:v>261</c:v>
                </c:pt>
                <c:pt idx="4">
                  <c:v>261</c:v>
                </c:pt>
                <c:pt idx="5">
                  <c:v>261</c:v>
                </c:pt>
                <c:pt idx="6">
                  <c:v>261</c:v>
                </c:pt>
                <c:pt idx="7">
                  <c:v>261</c:v>
                </c:pt>
                <c:pt idx="8">
                  <c:v>261</c:v>
                </c:pt>
                <c:pt idx="9">
                  <c:v>261</c:v>
                </c:pt>
                <c:pt idx="10">
                  <c:v>261</c:v>
                </c:pt>
                <c:pt idx="11">
                  <c:v>261</c:v>
                </c:pt>
                <c:pt idx="12">
                  <c:v>261</c:v>
                </c:pt>
                <c:pt idx="13">
                  <c:v>261</c:v>
                </c:pt>
                <c:pt idx="14">
                  <c:v>261</c:v>
                </c:pt>
                <c:pt idx="15">
                  <c:v>261</c:v>
                </c:pt>
                <c:pt idx="16">
                  <c:v>261</c:v>
                </c:pt>
                <c:pt idx="17">
                  <c:v>261</c:v>
                </c:pt>
                <c:pt idx="18">
                  <c:v>261</c:v>
                </c:pt>
                <c:pt idx="19">
                  <c:v>261</c:v>
                </c:pt>
                <c:pt idx="20">
                  <c:v>261</c:v>
                </c:pt>
                <c:pt idx="21">
                  <c:v>261</c:v>
                </c:pt>
                <c:pt idx="22">
                  <c:v>261</c:v>
                </c:pt>
              </c:numCache>
            </c:numRef>
          </c:val>
          <c:smooth val="0"/>
          <c:extLst>
            <c:ext xmlns:c16="http://schemas.microsoft.com/office/drawing/2014/chart" uri="{C3380CC4-5D6E-409C-BE32-E72D297353CC}">
              <c16:uniqueId val="{00000000-03A5-A94C-B8F5-30B1E4A2482C}"/>
            </c:ext>
          </c:extLst>
        </c:ser>
        <c:ser>
          <c:idx val="1"/>
          <c:order val="1"/>
          <c:tx>
            <c:strRef>
              <c:f>'TSS vs RSS'!$G$5</c:f>
              <c:strCache>
                <c:ptCount val="1"/>
                <c:pt idx="0">
                  <c:v>CP</c:v>
                </c:pt>
              </c:strCache>
            </c:strRef>
          </c:tx>
          <c:spPr>
            <a:ln w="28575" cap="rnd">
              <a:solidFill>
                <a:schemeClr val="accent2"/>
              </a:solidFill>
              <a:round/>
            </a:ln>
            <a:effectLst/>
          </c:spPr>
          <c:marker>
            <c:symbol val="none"/>
          </c:marker>
          <c:val>
            <c:numRef>
              <c:f>'TSS vs RSS'!$G$6:$G$28</c:f>
              <c:numCache>
                <c:formatCode>General</c:formatCode>
                <c:ptCount val="23"/>
                <c:pt idx="0">
                  <c:v>241</c:v>
                </c:pt>
                <c:pt idx="1">
                  <c:v>241</c:v>
                </c:pt>
                <c:pt idx="2">
                  <c:v>241</c:v>
                </c:pt>
                <c:pt idx="3">
                  <c:v>241</c:v>
                </c:pt>
                <c:pt idx="4">
                  <c:v>241</c:v>
                </c:pt>
                <c:pt idx="5">
                  <c:v>241</c:v>
                </c:pt>
                <c:pt idx="6">
                  <c:v>241</c:v>
                </c:pt>
                <c:pt idx="7">
                  <c:v>241</c:v>
                </c:pt>
                <c:pt idx="8">
                  <c:v>241</c:v>
                </c:pt>
                <c:pt idx="9">
                  <c:v>241</c:v>
                </c:pt>
                <c:pt idx="10">
                  <c:v>241</c:v>
                </c:pt>
                <c:pt idx="11">
                  <c:v>241</c:v>
                </c:pt>
                <c:pt idx="12">
                  <c:v>241</c:v>
                </c:pt>
                <c:pt idx="13">
                  <c:v>241</c:v>
                </c:pt>
                <c:pt idx="14">
                  <c:v>241</c:v>
                </c:pt>
                <c:pt idx="15">
                  <c:v>241</c:v>
                </c:pt>
                <c:pt idx="16">
                  <c:v>241</c:v>
                </c:pt>
                <c:pt idx="17">
                  <c:v>241</c:v>
                </c:pt>
                <c:pt idx="18">
                  <c:v>241</c:v>
                </c:pt>
                <c:pt idx="19">
                  <c:v>241</c:v>
                </c:pt>
                <c:pt idx="20">
                  <c:v>241</c:v>
                </c:pt>
                <c:pt idx="21">
                  <c:v>231</c:v>
                </c:pt>
                <c:pt idx="22">
                  <c:v>231</c:v>
                </c:pt>
              </c:numCache>
            </c:numRef>
          </c:val>
          <c:smooth val="0"/>
          <c:extLst>
            <c:ext xmlns:c16="http://schemas.microsoft.com/office/drawing/2014/chart" uri="{C3380CC4-5D6E-409C-BE32-E72D297353CC}">
              <c16:uniqueId val="{00000001-03A5-A94C-B8F5-30B1E4A2482C}"/>
            </c:ext>
          </c:extLst>
        </c:ser>
        <c:dLbls>
          <c:showLegendKey val="0"/>
          <c:showVal val="0"/>
          <c:showCatName val="0"/>
          <c:showSerName val="0"/>
          <c:showPercent val="0"/>
          <c:showBubbleSize val="0"/>
        </c:dLbls>
        <c:smooth val="0"/>
        <c:axId val="71471184"/>
        <c:axId val="71473456"/>
      </c:lineChart>
      <c:catAx>
        <c:axId val="71471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1473456"/>
        <c:crosses val="autoZero"/>
        <c:auto val="1"/>
        <c:lblAlgn val="ctr"/>
        <c:lblOffset val="100"/>
        <c:noMultiLvlLbl val="0"/>
      </c:catAx>
      <c:valAx>
        <c:axId val="7147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147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599123079504798E-2"/>
          <c:y val="0.101067151998687"/>
          <c:w val="0.87933912998376895"/>
          <c:h val="0.73938600672723698"/>
        </c:manualLayout>
      </c:layout>
      <c:barChart>
        <c:barDir val="col"/>
        <c:grouping val="clustered"/>
        <c:varyColors val="0"/>
        <c:ser>
          <c:idx val="0"/>
          <c:order val="0"/>
          <c:tx>
            <c:strRef>
              <c:f>Jahrestabellen!$B$21</c:f>
              <c:strCache>
                <c:ptCount val="1"/>
                <c:pt idx="0">
                  <c:v>Kilometer</c:v>
                </c:pt>
              </c:strCache>
            </c:strRef>
          </c:tx>
          <c:spPr>
            <a:solidFill>
              <a:schemeClr val="accent1"/>
            </a:solidFill>
            <a:ln>
              <a:noFill/>
            </a:ln>
            <a:effectLst/>
          </c:spPr>
          <c:invertIfNegative val="0"/>
          <c:cat>
            <c:strRef>
              <c:f>Jahrestabellen!$A$22:$A$33</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Jahrestabellen!$B$22:$B$33</c:f>
              <c:numCache>
                <c:formatCode>0</c:formatCode>
                <c:ptCount val="12"/>
                <c:pt idx="0">
                  <c:v>0</c:v>
                </c:pt>
                <c:pt idx="1">
                  <c:v>0</c:v>
                </c:pt>
                <c:pt idx="2">
                  <c:v>10</c:v>
                </c:pt>
                <c:pt idx="3">
                  <c:v>52.4</c:v>
                </c:pt>
                <c:pt idx="4">
                  <c:v>40.4</c:v>
                </c:pt>
                <c:pt idx="5">
                  <c:v>20</c:v>
                </c:pt>
                <c:pt idx="6">
                  <c:v>70</c:v>
                </c:pt>
                <c:pt idx="7">
                  <c:v>50</c:v>
                </c:pt>
                <c:pt idx="8">
                  <c:v>95.95</c:v>
                </c:pt>
                <c:pt idx="9">
                  <c:v>79.5</c:v>
                </c:pt>
                <c:pt idx="10">
                  <c:v>66.150000000000006</c:v>
                </c:pt>
                <c:pt idx="11">
                  <c:v>21.71</c:v>
                </c:pt>
              </c:numCache>
            </c:numRef>
          </c:val>
          <c:extLst>
            <c:ext xmlns:c16="http://schemas.microsoft.com/office/drawing/2014/chart" uri="{C3380CC4-5D6E-409C-BE32-E72D297353CC}">
              <c16:uniqueId val="{00000000-D479-AA40-BB89-2E222E00AD47}"/>
            </c:ext>
          </c:extLst>
        </c:ser>
        <c:dLbls>
          <c:showLegendKey val="0"/>
          <c:showVal val="0"/>
          <c:showCatName val="0"/>
          <c:showSerName val="0"/>
          <c:showPercent val="0"/>
          <c:showBubbleSize val="0"/>
        </c:dLbls>
        <c:gapWidth val="219"/>
        <c:overlap val="-27"/>
        <c:axId val="-1058565504"/>
        <c:axId val="-1058563728"/>
      </c:barChart>
      <c:catAx>
        <c:axId val="-105856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8563728"/>
        <c:crossesAt val="0"/>
        <c:auto val="0"/>
        <c:lblAlgn val="ctr"/>
        <c:lblOffset val="100"/>
        <c:tickLblSkip val="2"/>
        <c:tickMarkSkip val="1"/>
        <c:noMultiLvlLbl val="0"/>
      </c:catAx>
      <c:valAx>
        <c:axId val="-1058563728"/>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8565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51180555555555596" footer="0.5118055555555559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995734696675197E-2"/>
          <c:y val="0.10160749496280801"/>
          <c:w val="0.88527336093008502"/>
          <c:h val="0.73799127920355401"/>
        </c:manualLayout>
      </c:layout>
      <c:barChart>
        <c:barDir val="col"/>
        <c:grouping val="clustered"/>
        <c:varyColors val="0"/>
        <c:ser>
          <c:idx val="0"/>
          <c:order val="0"/>
          <c:tx>
            <c:strRef>
              <c:f>Jahrestabellen!$B$3</c:f>
              <c:strCache>
                <c:ptCount val="1"/>
                <c:pt idx="0">
                  <c:v>Kilometer</c:v>
                </c:pt>
              </c:strCache>
            </c:strRef>
          </c:tx>
          <c:spPr>
            <a:solidFill>
              <a:schemeClr val="accent1"/>
            </a:solidFill>
            <a:ln>
              <a:noFill/>
            </a:ln>
            <a:effectLst/>
          </c:spPr>
          <c:invertIfNegative val="0"/>
          <c:cat>
            <c:strRef>
              <c:f>Jahrestabellen!$A$4:$A$15</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Jahrestabellen!$B$4:$B$15</c:f>
              <c:numCache>
                <c:formatCode>0</c:formatCode>
                <c:ptCount val="12"/>
                <c:pt idx="0">
                  <c:v>0</c:v>
                </c:pt>
                <c:pt idx="1">
                  <c:v>0</c:v>
                </c:pt>
                <c:pt idx="2">
                  <c:v>14</c:v>
                </c:pt>
                <c:pt idx="3">
                  <c:v>120.5</c:v>
                </c:pt>
                <c:pt idx="4">
                  <c:v>96</c:v>
                </c:pt>
                <c:pt idx="5">
                  <c:v>137.5</c:v>
                </c:pt>
                <c:pt idx="6">
                  <c:v>181</c:v>
                </c:pt>
                <c:pt idx="7">
                  <c:v>202</c:v>
                </c:pt>
                <c:pt idx="8">
                  <c:v>160</c:v>
                </c:pt>
                <c:pt idx="9">
                  <c:v>0</c:v>
                </c:pt>
                <c:pt idx="10">
                  <c:v>0</c:v>
                </c:pt>
                <c:pt idx="11">
                  <c:v>0</c:v>
                </c:pt>
              </c:numCache>
            </c:numRef>
          </c:val>
          <c:extLst>
            <c:ext xmlns:c16="http://schemas.microsoft.com/office/drawing/2014/chart" uri="{C3380CC4-5D6E-409C-BE32-E72D297353CC}">
              <c16:uniqueId val="{00000000-AFB4-F147-8DCC-45C0ABC1AC1D}"/>
            </c:ext>
          </c:extLst>
        </c:ser>
        <c:dLbls>
          <c:showLegendKey val="0"/>
          <c:showVal val="0"/>
          <c:showCatName val="0"/>
          <c:showSerName val="0"/>
          <c:showPercent val="0"/>
          <c:showBubbleSize val="0"/>
        </c:dLbls>
        <c:gapWidth val="219"/>
        <c:overlap val="-27"/>
        <c:axId val="-1057699632"/>
        <c:axId val="-1057696880"/>
      </c:barChart>
      <c:catAx>
        <c:axId val="-105769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7696880"/>
        <c:crossesAt val="0"/>
        <c:auto val="0"/>
        <c:lblAlgn val="ctr"/>
        <c:lblOffset val="100"/>
        <c:tickMarkSkip val="1"/>
        <c:noMultiLvlLbl val="0"/>
      </c:catAx>
      <c:valAx>
        <c:axId val="-1057696880"/>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7699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51180555555555596" footer="0.5118055555555559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Jahrestabellen!$A$166:$A$177</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Jahrestabellen!$B$166:$B$177</c:f>
              <c:numCache>
                <c:formatCode>0</c:formatCode>
                <c:ptCount val="12"/>
                <c:pt idx="0">
                  <c:v>43.019999999999996</c:v>
                </c:pt>
                <c:pt idx="1">
                  <c:v>32.35</c:v>
                </c:pt>
                <c:pt idx="2">
                  <c:v>62.46</c:v>
                </c:pt>
                <c:pt idx="3">
                  <c:v>124.56</c:v>
                </c:pt>
                <c:pt idx="4">
                  <c:v>85.95</c:v>
                </c:pt>
                <c:pt idx="5">
                  <c:v>106.52</c:v>
                </c:pt>
                <c:pt idx="6">
                  <c:v>60.23</c:v>
                </c:pt>
                <c:pt idx="7">
                  <c:v>49.900000000000006</c:v>
                </c:pt>
                <c:pt idx="8">
                  <c:v>48.06</c:v>
                </c:pt>
                <c:pt idx="9">
                  <c:v>62.82</c:v>
                </c:pt>
                <c:pt idx="10">
                  <c:v>41.78</c:v>
                </c:pt>
                <c:pt idx="11">
                  <c:v>10.7</c:v>
                </c:pt>
              </c:numCache>
            </c:numRef>
          </c:val>
          <c:extLst>
            <c:ext xmlns:c16="http://schemas.microsoft.com/office/drawing/2014/chart" uri="{C3380CC4-5D6E-409C-BE32-E72D297353CC}">
              <c16:uniqueId val="{00000000-DED5-E74C-B683-662546598590}"/>
            </c:ext>
          </c:extLst>
        </c:ser>
        <c:dLbls>
          <c:showLegendKey val="0"/>
          <c:showVal val="0"/>
          <c:showCatName val="0"/>
          <c:showSerName val="0"/>
          <c:showPercent val="0"/>
          <c:showBubbleSize val="0"/>
        </c:dLbls>
        <c:gapWidth val="219"/>
        <c:overlap val="-27"/>
        <c:axId val="-1057686064"/>
        <c:axId val="-1057683312"/>
      </c:barChart>
      <c:catAx>
        <c:axId val="-105768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7683312"/>
        <c:crosses val="autoZero"/>
        <c:auto val="1"/>
        <c:lblAlgn val="ctr"/>
        <c:lblOffset val="100"/>
        <c:noMultiLvlLbl val="0"/>
      </c:catAx>
      <c:valAx>
        <c:axId val="-1057683312"/>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7686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Jahrestabellen!$A$148:$A$159</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Jahrestabellen!$B$148:$B$159</c:f>
              <c:numCache>
                <c:formatCode>0</c:formatCode>
                <c:ptCount val="12"/>
                <c:pt idx="0">
                  <c:v>128.68</c:v>
                </c:pt>
                <c:pt idx="1">
                  <c:v>185.71</c:v>
                </c:pt>
                <c:pt idx="2">
                  <c:v>266.02000000000004</c:v>
                </c:pt>
                <c:pt idx="3">
                  <c:v>221.36199999999999</c:v>
                </c:pt>
                <c:pt idx="4">
                  <c:v>96.230000000000018</c:v>
                </c:pt>
                <c:pt idx="5">
                  <c:v>196.79000000000002</c:v>
                </c:pt>
                <c:pt idx="6">
                  <c:v>139.64000000000001</c:v>
                </c:pt>
                <c:pt idx="7">
                  <c:v>267.2</c:v>
                </c:pt>
                <c:pt idx="8">
                  <c:v>222.48499999999999</c:v>
                </c:pt>
                <c:pt idx="9">
                  <c:v>10.5</c:v>
                </c:pt>
                <c:pt idx="10">
                  <c:v>64.070000000000007</c:v>
                </c:pt>
                <c:pt idx="11">
                  <c:v>73.92</c:v>
                </c:pt>
              </c:numCache>
            </c:numRef>
          </c:val>
          <c:extLst>
            <c:ext xmlns:c16="http://schemas.microsoft.com/office/drawing/2014/chart" uri="{C3380CC4-5D6E-409C-BE32-E72D297353CC}">
              <c16:uniqueId val="{00000000-CD58-BD4E-B5FA-95C841C61018}"/>
            </c:ext>
          </c:extLst>
        </c:ser>
        <c:dLbls>
          <c:showLegendKey val="0"/>
          <c:showVal val="0"/>
          <c:showCatName val="0"/>
          <c:showSerName val="0"/>
          <c:showPercent val="0"/>
          <c:showBubbleSize val="0"/>
        </c:dLbls>
        <c:gapWidth val="219"/>
        <c:overlap val="-27"/>
        <c:axId val="-1057660080"/>
        <c:axId val="-1057657328"/>
      </c:barChart>
      <c:catAx>
        <c:axId val="-105766008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7657328"/>
        <c:crosses val="autoZero"/>
        <c:auto val="1"/>
        <c:lblAlgn val="ctr"/>
        <c:lblOffset val="100"/>
        <c:noMultiLvlLbl val="0"/>
      </c:catAx>
      <c:valAx>
        <c:axId val="-10576573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7660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Jahrestabellen!$A$130:$A$141</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Jahrestabellen!$B$130:$B$141</c:f>
              <c:numCache>
                <c:formatCode>0</c:formatCode>
                <c:ptCount val="12"/>
                <c:pt idx="0">
                  <c:v>88.190000000000012</c:v>
                </c:pt>
                <c:pt idx="1">
                  <c:v>153.19999999999999</c:v>
                </c:pt>
                <c:pt idx="2">
                  <c:v>239.17</c:v>
                </c:pt>
                <c:pt idx="3">
                  <c:v>194.69</c:v>
                </c:pt>
                <c:pt idx="4">
                  <c:v>103.595</c:v>
                </c:pt>
                <c:pt idx="5">
                  <c:v>101.83000000000001</c:v>
                </c:pt>
                <c:pt idx="6">
                  <c:v>165.26</c:v>
                </c:pt>
                <c:pt idx="7">
                  <c:v>208.23999999999998</c:v>
                </c:pt>
                <c:pt idx="8">
                  <c:v>236.13000000000002</c:v>
                </c:pt>
                <c:pt idx="9">
                  <c:v>249.63000000000005</c:v>
                </c:pt>
                <c:pt idx="10">
                  <c:v>137.33500000000001</c:v>
                </c:pt>
                <c:pt idx="11">
                  <c:v>73.23</c:v>
                </c:pt>
              </c:numCache>
            </c:numRef>
          </c:val>
          <c:extLst>
            <c:ext xmlns:c16="http://schemas.microsoft.com/office/drawing/2014/chart" uri="{C3380CC4-5D6E-409C-BE32-E72D297353CC}">
              <c16:uniqueId val="{00000000-E4F3-6A4E-B239-8CF4F19331EF}"/>
            </c:ext>
          </c:extLst>
        </c:ser>
        <c:dLbls>
          <c:showLegendKey val="0"/>
          <c:showVal val="0"/>
          <c:showCatName val="0"/>
          <c:showSerName val="0"/>
          <c:showPercent val="0"/>
          <c:showBubbleSize val="0"/>
        </c:dLbls>
        <c:gapWidth val="219"/>
        <c:overlap val="-27"/>
        <c:axId val="-1159103552"/>
        <c:axId val="-1158755952"/>
      </c:barChart>
      <c:catAx>
        <c:axId val="-11591035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8755952"/>
        <c:crosses val="autoZero"/>
        <c:auto val="1"/>
        <c:lblAlgn val="ctr"/>
        <c:lblOffset val="100"/>
        <c:noMultiLvlLbl val="0"/>
      </c:catAx>
      <c:valAx>
        <c:axId val="-1158755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9103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Jahrestabellen!$A$112:$A$123</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Jahrestabellen!$B$112:$B$123</c:f>
              <c:numCache>
                <c:formatCode>0</c:formatCode>
                <c:ptCount val="12"/>
                <c:pt idx="0">
                  <c:v>32.6</c:v>
                </c:pt>
                <c:pt idx="1">
                  <c:v>20.990000000000002</c:v>
                </c:pt>
                <c:pt idx="2">
                  <c:v>18.829999999999998</c:v>
                </c:pt>
                <c:pt idx="3">
                  <c:v>31.509999999999998</c:v>
                </c:pt>
                <c:pt idx="4">
                  <c:v>73.81</c:v>
                </c:pt>
                <c:pt idx="5">
                  <c:v>32.86</c:v>
                </c:pt>
                <c:pt idx="6">
                  <c:v>62.91</c:v>
                </c:pt>
                <c:pt idx="7">
                  <c:v>75.760000000000005</c:v>
                </c:pt>
                <c:pt idx="8">
                  <c:v>43.29</c:v>
                </c:pt>
                <c:pt idx="9">
                  <c:v>107.41999999999999</c:v>
                </c:pt>
                <c:pt idx="10">
                  <c:v>63.019999999999996</c:v>
                </c:pt>
                <c:pt idx="11">
                  <c:v>0</c:v>
                </c:pt>
              </c:numCache>
            </c:numRef>
          </c:val>
          <c:extLst>
            <c:ext xmlns:c16="http://schemas.microsoft.com/office/drawing/2014/chart" uri="{C3380CC4-5D6E-409C-BE32-E72D297353CC}">
              <c16:uniqueId val="{00000000-9D38-DA46-B2DE-67C417A6E153}"/>
            </c:ext>
          </c:extLst>
        </c:ser>
        <c:dLbls>
          <c:showLegendKey val="0"/>
          <c:showVal val="0"/>
          <c:showCatName val="0"/>
          <c:showSerName val="0"/>
          <c:showPercent val="0"/>
          <c:showBubbleSize val="0"/>
        </c:dLbls>
        <c:gapWidth val="219"/>
        <c:overlap val="-27"/>
        <c:axId val="-1058528624"/>
        <c:axId val="-1058526304"/>
      </c:barChart>
      <c:catAx>
        <c:axId val="-105852862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8526304"/>
        <c:crosses val="autoZero"/>
        <c:auto val="1"/>
        <c:lblAlgn val="ctr"/>
        <c:lblOffset val="100"/>
        <c:noMultiLvlLbl val="0"/>
      </c:catAx>
      <c:valAx>
        <c:axId val="-1058526304"/>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8528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Jahrestabellen!$A$94:$A$105</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Jahrestabellen!$B$94:$B$105</c:f>
              <c:numCache>
                <c:formatCode>0</c:formatCode>
                <c:ptCount val="12"/>
                <c:pt idx="0">
                  <c:v>28.09</c:v>
                </c:pt>
                <c:pt idx="1">
                  <c:v>51.42</c:v>
                </c:pt>
                <c:pt idx="2">
                  <c:v>147.94999999999999</c:v>
                </c:pt>
                <c:pt idx="3">
                  <c:v>134.30000000000001</c:v>
                </c:pt>
                <c:pt idx="4">
                  <c:v>154.69999999999999</c:v>
                </c:pt>
                <c:pt idx="5">
                  <c:v>221.4</c:v>
                </c:pt>
                <c:pt idx="6">
                  <c:v>221.28999999999996</c:v>
                </c:pt>
                <c:pt idx="7">
                  <c:v>232.70000000000002</c:v>
                </c:pt>
                <c:pt idx="8">
                  <c:v>247.36000000000004</c:v>
                </c:pt>
                <c:pt idx="9">
                  <c:v>228.93999999999997</c:v>
                </c:pt>
                <c:pt idx="10">
                  <c:v>10.67</c:v>
                </c:pt>
                <c:pt idx="11">
                  <c:v>22.09</c:v>
                </c:pt>
              </c:numCache>
            </c:numRef>
          </c:val>
          <c:extLst>
            <c:ext xmlns:c16="http://schemas.microsoft.com/office/drawing/2014/chart" uri="{C3380CC4-5D6E-409C-BE32-E72D297353CC}">
              <c16:uniqueId val="{00000000-2302-FF49-9C7D-36B7286CA97D}"/>
            </c:ext>
          </c:extLst>
        </c:ser>
        <c:dLbls>
          <c:showLegendKey val="0"/>
          <c:showVal val="0"/>
          <c:showCatName val="0"/>
          <c:showSerName val="0"/>
          <c:showPercent val="0"/>
          <c:showBubbleSize val="0"/>
        </c:dLbls>
        <c:gapWidth val="219"/>
        <c:overlap val="-27"/>
        <c:axId val="-1060006608"/>
        <c:axId val="-1059494688"/>
      </c:barChart>
      <c:catAx>
        <c:axId val="-106000660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9494688"/>
        <c:crosses val="autoZero"/>
        <c:auto val="1"/>
        <c:lblAlgn val="ctr"/>
        <c:lblOffset val="100"/>
        <c:noMultiLvlLbl val="0"/>
      </c:catAx>
      <c:valAx>
        <c:axId val="-1059494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60006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Jahrestabellen!$A$76:$A$87</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Jahrestabellen!$B$76:$B$87</c:f>
              <c:numCache>
                <c:formatCode>0</c:formatCode>
                <c:ptCount val="12"/>
                <c:pt idx="0">
                  <c:v>17.600000000000001</c:v>
                </c:pt>
                <c:pt idx="1">
                  <c:v>22.3</c:v>
                </c:pt>
                <c:pt idx="2">
                  <c:v>71.760000000000005</c:v>
                </c:pt>
                <c:pt idx="3">
                  <c:v>154.05000000000001</c:v>
                </c:pt>
                <c:pt idx="4">
                  <c:v>175.36</c:v>
                </c:pt>
                <c:pt idx="5">
                  <c:v>125.80000000000001</c:v>
                </c:pt>
                <c:pt idx="6">
                  <c:v>193.73</c:v>
                </c:pt>
                <c:pt idx="7">
                  <c:v>202.35999999999999</c:v>
                </c:pt>
                <c:pt idx="8">
                  <c:v>150.82999999999998</c:v>
                </c:pt>
                <c:pt idx="9">
                  <c:v>70.559999999999988</c:v>
                </c:pt>
                <c:pt idx="10">
                  <c:v>37.42</c:v>
                </c:pt>
                <c:pt idx="11">
                  <c:v>72.11</c:v>
                </c:pt>
              </c:numCache>
            </c:numRef>
          </c:val>
          <c:extLst>
            <c:ext xmlns:c16="http://schemas.microsoft.com/office/drawing/2014/chart" uri="{C3380CC4-5D6E-409C-BE32-E72D297353CC}">
              <c16:uniqueId val="{00000000-79A8-2D4B-A8CD-6144B1AE1EB8}"/>
            </c:ext>
          </c:extLst>
        </c:ser>
        <c:dLbls>
          <c:showLegendKey val="0"/>
          <c:showVal val="0"/>
          <c:showCatName val="0"/>
          <c:showSerName val="0"/>
          <c:showPercent val="0"/>
          <c:showBubbleSize val="0"/>
        </c:dLbls>
        <c:gapWidth val="219"/>
        <c:overlap val="-27"/>
        <c:axId val="-1059467776"/>
        <c:axId val="-1059465024"/>
      </c:barChart>
      <c:catAx>
        <c:axId val="-105946777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9465024"/>
        <c:crosses val="autoZero"/>
        <c:auto val="1"/>
        <c:lblAlgn val="ctr"/>
        <c:lblOffset val="100"/>
        <c:noMultiLvlLbl val="0"/>
      </c:catAx>
      <c:valAx>
        <c:axId val="-1059465024"/>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9467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Jahrestabellen!$A$58:$A$69</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Jahrestabellen!$B$58:$B$69</c:f>
              <c:numCache>
                <c:formatCode>0</c:formatCode>
                <c:ptCount val="12"/>
                <c:pt idx="0">
                  <c:v>20</c:v>
                </c:pt>
                <c:pt idx="1">
                  <c:v>47.6</c:v>
                </c:pt>
                <c:pt idx="2">
                  <c:v>119.08</c:v>
                </c:pt>
                <c:pt idx="3">
                  <c:v>128.4</c:v>
                </c:pt>
                <c:pt idx="4">
                  <c:v>54.57</c:v>
                </c:pt>
                <c:pt idx="5">
                  <c:v>66.930000000000007</c:v>
                </c:pt>
                <c:pt idx="6">
                  <c:v>55.1</c:v>
                </c:pt>
                <c:pt idx="7">
                  <c:v>76.790000000000006</c:v>
                </c:pt>
                <c:pt idx="8">
                  <c:v>36.89</c:v>
                </c:pt>
                <c:pt idx="9">
                  <c:v>60.8</c:v>
                </c:pt>
                <c:pt idx="10">
                  <c:v>10.28</c:v>
                </c:pt>
                <c:pt idx="11">
                  <c:v>24.54</c:v>
                </c:pt>
              </c:numCache>
            </c:numRef>
          </c:val>
          <c:extLst>
            <c:ext xmlns:c16="http://schemas.microsoft.com/office/drawing/2014/chart" uri="{C3380CC4-5D6E-409C-BE32-E72D297353CC}">
              <c16:uniqueId val="{00000000-7527-F44E-B372-3DB7B98DB660}"/>
            </c:ext>
          </c:extLst>
        </c:ser>
        <c:dLbls>
          <c:showLegendKey val="0"/>
          <c:showVal val="0"/>
          <c:showCatName val="0"/>
          <c:showSerName val="0"/>
          <c:showPercent val="0"/>
          <c:showBubbleSize val="0"/>
        </c:dLbls>
        <c:gapWidth val="219"/>
        <c:overlap val="-27"/>
        <c:axId val="-1059455536"/>
        <c:axId val="-1059452784"/>
      </c:barChart>
      <c:catAx>
        <c:axId val="-105945553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9452784"/>
        <c:crosses val="autoZero"/>
        <c:auto val="1"/>
        <c:lblAlgn val="ctr"/>
        <c:lblOffset val="100"/>
        <c:noMultiLvlLbl val="0"/>
      </c:catAx>
      <c:valAx>
        <c:axId val="-1059452784"/>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9455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Jahrestabellen!$A$40:$A$51</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Jahrestabellen!$B$40:$B$51</c:f>
              <c:numCache>
                <c:formatCode>0</c:formatCode>
                <c:ptCount val="12"/>
                <c:pt idx="0">
                  <c:v>28.8</c:v>
                </c:pt>
                <c:pt idx="1">
                  <c:v>20.83</c:v>
                </c:pt>
                <c:pt idx="2">
                  <c:v>131.63</c:v>
                </c:pt>
                <c:pt idx="3">
                  <c:v>140.88999999999999</c:v>
                </c:pt>
                <c:pt idx="4">
                  <c:v>135.38999999999999</c:v>
                </c:pt>
                <c:pt idx="5">
                  <c:v>105.4</c:v>
                </c:pt>
                <c:pt idx="6">
                  <c:v>117.75</c:v>
                </c:pt>
                <c:pt idx="7">
                  <c:v>219.2</c:v>
                </c:pt>
                <c:pt idx="8">
                  <c:v>54</c:v>
                </c:pt>
                <c:pt idx="9">
                  <c:v>82.2</c:v>
                </c:pt>
                <c:pt idx="10">
                  <c:v>40</c:v>
                </c:pt>
                <c:pt idx="11">
                  <c:v>30.76</c:v>
                </c:pt>
              </c:numCache>
            </c:numRef>
          </c:val>
          <c:extLst>
            <c:ext xmlns:c16="http://schemas.microsoft.com/office/drawing/2014/chart" uri="{C3380CC4-5D6E-409C-BE32-E72D297353CC}">
              <c16:uniqueId val="{00000000-B208-BC42-83EC-B30AE1C6CEC8}"/>
            </c:ext>
          </c:extLst>
        </c:ser>
        <c:dLbls>
          <c:showLegendKey val="0"/>
          <c:showVal val="0"/>
          <c:showCatName val="0"/>
          <c:showSerName val="0"/>
          <c:showPercent val="0"/>
          <c:showBubbleSize val="0"/>
        </c:dLbls>
        <c:gapWidth val="219"/>
        <c:overlap val="-27"/>
        <c:axId val="-1058479872"/>
        <c:axId val="-1058477120"/>
      </c:barChart>
      <c:catAx>
        <c:axId val="-105847987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8477120"/>
        <c:crosses val="autoZero"/>
        <c:auto val="1"/>
        <c:lblAlgn val="ctr"/>
        <c:lblOffset val="100"/>
        <c:noMultiLvlLbl val="0"/>
      </c:catAx>
      <c:valAx>
        <c:axId val="-1058477120"/>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8479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Jahrestabellen!$K$330:$K$347</c:f>
              <c:numCache>
                <c:formatCode>General</c:formatCod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numCache>
            </c:numRef>
          </c:cat>
          <c:val>
            <c:numRef>
              <c:f>Jahrestabellen!$L$330:$L$347</c:f>
              <c:numCache>
                <c:formatCode>0</c:formatCode>
                <c:ptCount val="18"/>
                <c:pt idx="0">
                  <c:v>911</c:v>
                </c:pt>
                <c:pt idx="1">
                  <c:v>506.10999999999996</c:v>
                </c:pt>
                <c:pt idx="2">
                  <c:v>1106.8499999999999</c:v>
                </c:pt>
                <c:pt idx="3">
                  <c:v>700.9799999999999</c:v>
                </c:pt>
                <c:pt idx="4">
                  <c:v>1293.8800000000001</c:v>
                </c:pt>
                <c:pt idx="5">
                  <c:v>1700.91</c:v>
                </c:pt>
                <c:pt idx="6">
                  <c:v>563</c:v>
                </c:pt>
                <c:pt idx="7">
                  <c:v>1950.5000000000002</c:v>
                </c:pt>
                <c:pt idx="8">
                  <c:v>1872.6070000000002</c:v>
                </c:pt>
                <c:pt idx="9">
                  <c:v>728.35</c:v>
                </c:pt>
                <c:pt idx="10">
                  <c:v>1378.2349999999999</c:v>
                </c:pt>
                <c:pt idx="11">
                  <c:v>2230.54</c:v>
                </c:pt>
                <c:pt idx="12">
                  <c:v>1848.82</c:v>
                </c:pt>
                <c:pt idx="13">
                  <c:v>2045.68</c:v>
                </c:pt>
                <c:pt idx="14">
                  <c:v>1320.4299999999998</c:v>
                </c:pt>
                <c:pt idx="15">
                  <c:v>1548.2599999999995</c:v>
                </c:pt>
                <c:pt idx="16">
                  <c:v>1445.0570000000002</c:v>
                </c:pt>
                <c:pt idx="17">
                  <c:v>107.49686422416866</c:v>
                </c:pt>
              </c:numCache>
            </c:numRef>
          </c:val>
          <c:extLst>
            <c:ext xmlns:c16="http://schemas.microsoft.com/office/drawing/2014/chart" uri="{C3380CC4-5D6E-409C-BE32-E72D297353CC}">
              <c16:uniqueId val="{00000001-432B-DA49-9F2D-F59E5B245D09}"/>
            </c:ext>
          </c:extLst>
        </c:ser>
        <c:dLbls>
          <c:showLegendKey val="0"/>
          <c:showVal val="0"/>
          <c:showCatName val="0"/>
          <c:showSerName val="0"/>
          <c:showPercent val="0"/>
          <c:showBubbleSize val="0"/>
        </c:dLbls>
        <c:gapWidth val="100"/>
        <c:overlap val="-27"/>
        <c:axId val="-1058449744"/>
        <c:axId val="-1058447264"/>
      </c:barChart>
      <c:catAx>
        <c:axId val="-105844974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8447264"/>
        <c:crosses val="autoZero"/>
        <c:auto val="0"/>
        <c:lblAlgn val="ctr"/>
        <c:lblOffset val="100"/>
        <c:noMultiLvlLbl val="0"/>
      </c:catAx>
      <c:valAx>
        <c:axId val="-105844726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8449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Jahrestabellen!$A$184:$A$195</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Jahrestabellen!$B$184:$B$195</c:f>
              <c:numCache>
                <c:formatCode>0</c:formatCode>
                <c:ptCount val="12"/>
                <c:pt idx="0">
                  <c:v>67.850000000000009</c:v>
                </c:pt>
                <c:pt idx="1">
                  <c:v>71.91</c:v>
                </c:pt>
                <c:pt idx="2">
                  <c:v>183.2</c:v>
                </c:pt>
                <c:pt idx="3">
                  <c:v>230.10999999999999</c:v>
                </c:pt>
                <c:pt idx="4">
                  <c:v>188.86</c:v>
                </c:pt>
                <c:pt idx="5">
                  <c:v>50.9</c:v>
                </c:pt>
                <c:pt idx="6">
                  <c:v>88.39</c:v>
                </c:pt>
                <c:pt idx="7">
                  <c:v>86.989999999999981</c:v>
                </c:pt>
                <c:pt idx="8">
                  <c:v>100.38999999999999</c:v>
                </c:pt>
                <c:pt idx="9">
                  <c:v>131.53</c:v>
                </c:pt>
                <c:pt idx="10">
                  <c:v>106.27000000000001</c:v>
                </c:pt>
                <c:pt idx="11">
                  <c:v>71.835000000000008</c:v>
                </c:pt>
              </c:numCache>
            </c:numRef>
          </c:val>
          <c:extLst>
            <c:ext xmlns:c16="http://schemas.microsoft.com/office/drawing/2014/chart" uri="{C3380CC4-5D6E-409C-BE32-E72D297353CC}">
              <c16:uniqueId val="{00000000-F5BD-2444-B7C7-CF02C0D890A7}"/>
            </c:ext>
          </c:extLst>
        </c:ser>
        <c:dLbls>
          <c:showLegendKey val="0"/>
          <c:showVal val="0"/>
          <c:showCatName val="0"/>
          <c:showSerName val="0"/>
          <c:showPercent val="0"/>
          <c:showBubbleSize val="0"/>
        </c:dLbls>
        <c:gapWidth val="219"/>
        <c:overlap val="-27"/>
        <c:axId val="-1059419296"/>
        <c:axId val="-1059416544"/>
      </c:barChart>
      <c:catAx>
        <c:axId val="-105941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9416544"/>
        <c:crosses val="autoZero"/>
        <c:auto val="1"/>
        <c:lblAlgn val="ctr"/>
        <c:lblOffset val="100"/>
        <c:noMultiLvlLbl val="0"/>
      </c:catAx>
      <c:valAx>
        <c:axId val="-1059416544"/>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9419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Jahrestabellen!$A$202:$A$213</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Jahrestabellen!$B$202:$B$213</c:f>
              <c:numCache>
                <c:formatCode>0</c:formatCode>
                <c:ptCount val="12"/>
                <c:pt idx="0">
                  <c:v>170.48999999999998</c:v>
                </c:pt>
                <c:pt idx="1">
                  <c:v>222.57999999999998</c:v>
                </c:pt>
                <c:pt idx="2">
                  <c:v>218.86500000000001</c:v>
                </c:pt>
                <c:pt idx="3">
                  <c:v>145.39000000000001</c:v>
                </c:pt>
                <c:pt idx="4">
                  <c:v>132.16</c:v>
                </c:pt>
                <c:pt idx="5">
                  <c:v>213.27000000000004</c:v>
                </c:pt>
                <c:pt idx="6">
                  <c:v>288</c:v>
                </c:pt>
                <c:pt idx="7">
                  <c:v>275.89</c:v>
                </c:pt>
                <c:pt idx="8">
                  <c:v>141.83500000000001</c:v>
                </c:pt>
                <c:pt idx="9">
                  <c:v>138.28</c:v>
                </c:pt>
                <c:pt idx="10">
                  <c:v>151.99999999999997</c:v>
                </c:pt>
                <c:pt idx="11">
                  <c:v>131.78</c:v>
                </c:pt>
              </c:numCache>
            </c:numRef>
          </c:val>
          <c:extLst>
            <c:ext xmlns:c16="http://schemas.microsoft.com/office/drawing/2014/chart" uri="{C3380CC4-5D6E-409C-BE32-E72D297353CC}">
              <c16:uniqueId val="{00000000-52EC-5D40-A2EE-19A60D28C4FB}"/>
            </c:ext>
          </c:extLst>
        </c:ser>
        <c:dLbls>
          <c:showLegendKey val="0"/>
          <c:showVal val="0"/>
          <c:showCatName val="0"/>
          <c:showSerName val="0"/>
          <c:showPercent val="0"/>
          <c:showBubbleSize val="0"/>
        </c:dLbls>
        <c:gapWidth val="100"/>
        <c:axId val="-1059396768"/>
        <c:axId val="-1059394016"/>
      </c:barChart>
      <c:catAx>
        <c:axId val="-105939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9394016"/>
        <c:crosses val="autoZero"/>
        <c:auto val="1"/>
        <c:lblAlgn val="ctr"/>
        <c:lblOffset val="100"/>
        <c:noMultiLvlLbl val="0"/>
      </c:catAx>
      <c:valAx>
        <c:axId val="-1059394016"/>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9396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Jahrestabellen!$A$220:$A$231</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Jahrestabellen!$B$220:$B$231</c:f>
              <c:numCache>
                <c:formatCode>0</c:formatCode>
                <c:ptCount val="12"/>
                <c:pt idx="0">
                  <c:v>166.29999999999998</c:v>
                </c:pt>
                <c:pt idx="1">
                  <c:v>176.93000000000004</c:v>
                </c:pt>
                <c:pt idx="2">
                  <c:v>233.71</c:v>
                </c:pt>
                <c:pt idx="3">
                  <c:v>275.64999999999998</c:v>
                </c:pt>
                <c:pt idx="4">
                  <c:v>239.25999999999996</c:v>
                </c:pt>
                <c:pt idx="5">
                  <c:v>61.019999999999996</c:v>
                </c:pt>
                <c:pt idx="6">
                  <c:v>73.179999999999993</c:v>
                </c:pt>
                <c:pt idx="7">
                  <c:v>149.70999999999998</c:v>
                </c:pt>
                <c:pt idx="8">
                  <c:v>146.72</c:v>
                </c:pt>
                <c:pt idx="9">
                  <c:v>118.36999999999998</c:v>
                </c:pt>
                <c:pt idx="10">
                  <c:v>120.52</c:v>
                </c:pt>
                <c:pt idx="11">
                  <c:v>87.45</c:v>
                </c:pt>
              </c:numCache>
            </c:numRef>
          </c:val>
          <c:extLst>
            <c:ext xmlns:c16="http://schemas.microsoft.com/office/drawing/2014/chart" uri="{C3380CC4-5D6E-409C-BE32-E72D297353CC}">
              <c16:uniqueId val="{00000000-AE53-9340-8573-1C17B180EDFD}"/>
            </c:ext>
          </c:extLst>
        </c:ser>
        <c:dLbls>
          <c:showLegendKey val="0"/>
          <c:showVal val="0"/>
          <c:showCatName val="0"/>
          <c:showSerName val="0"/>
          <c:showPercent val="0"/>
          <c:showBubbleSize val="0"/>
        </c:dLbls>
        <c:gapWidth val="100"/>
        <c:axId val="479243968"/>
        <c:axId val="479246592"/>
      </c:barChart>
      <c:catAx>
        <c:axId val="47924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79246592"/>
        <c:crosses val="autoZero"/>
        <c:auto val="1"/>
        <c:lblAlgn val="ctr"/>
        <c:lblOffset val="100"/>
        <c:noMultiLvlLbl val="0"/>
      </c:catAx>
      <c:valAx>
        <c:axId val="479246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7924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Jahrestabellen!$A$238:$A$249</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Jahrestabellen!$B$238:$B$249</c:f>
              <c:numCache>
                <c:formatCode>0</c:formatCode>
                <c:ptCount val="12"/>
                <c:pt idx="0">
                  <c:v>129.49</c:v>
                </c:pt>
                <c:pt idx="1">
                  <c:v>110.81</c:v>
                </c:pt>
                <c:pt idx="2">
                  <c:v>181.26999999999998</c:v>
                </c:pt>
                <c:pt idx="3">
                  <c:v>186.31</c:v>
                </c:pt>
                <c:pt idx="4">
                  <c:v>216.57999999999996</c:v>
                </c:pt>
                <c:pt idx="5">
                  <c:v>207.57000000000002</c:v>
                </c:pt>
                <c:pt idx="6">
                  <c:v>169.23000000000002</c:v>
                </c:pt>
                <c:pt idx="7">
                  <c:v>199.79000000000002</c:v>
                </c:pt>
                <c:pt idx="8">
                  <c:v>186.67</c:v>
                </c:pt>
                <c:pt idx="9">
                  <c:v>158.44</c:v>
                </c:pt>
                <c:pt idx="10">
                  <c:v>145.69</c:v>
                </c:pt>
                <c:pt idx="11">
                  <c:v>153.82999999999998</c:v>
                </c:pt>
              </c:numCache>
            </c:numRef>
          </c:val>
          <c:extLst>
            <c:ext xmlns:c16="http://schemas.microsoft.com/office/drawing/2014/chart" uri="{C3380CC4-5D6E-409C-BE32-E72D297353CC}">
              <c16:uniqueId val="{00000000-6ABA-6443-8838-74ABA6E8BF7E}"/>
            </c:ext>
          </c:extLst>
        </c:ser>
        <c:dLbls>
          <c:showLegendKey val="0"/>
          <c:showVal val="0"/>
          <c:showCatName val="0"/>
          <c:showSerName val="0"/>
          <c:showPercent val="0"/>
          <c:showBubbleSize val="0"/>
        </c:dLbls>
        <c:gapWidth val="100"/>
        <c:overlap val="-27"/>
        <c:axId val="600492655"/>
        <c:axId val="600466879"/>
      </c:barChart>
      <c:catAx>
        <c:axId val="60049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00466879"/>
        <c:crosses val="autoZero"/>
        <c:auto val="1"/>
        <c:lblAlgn val="ctr"/>
        <c:lblOffset val="100"/>
        <c:noMultiLvlLbl val="0"/>
      </c:catAx>
      <c:valAx>
        <c:axId val="6004668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0049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Jahrestabellen!$A$256:$A$267</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Jahrestabellen!$B$256:$B$267</c:f>
              <c:numCache>
                <c:formatCode>0</c:formatCode>
                <c:ptCount val="12"/>
                <c:pt idx="0">
                  <c:v>179.34000000000003</c:v>
                </c:pt>
                <c:pt idx="1">
                  <c:v>178.46999999999997</c:v>
                </c:pt>
                <c:pt idx="2">
                  <c:v>164.11999999999998</c:v>
                </c:pt>
                <c:pt idx="3">
                  <c:v>89.72999999999999</c:v>
                </c:pt>
                <c:pt idx="4">
                  <c:v>99.15</c:v>
                </c:pt>
                <c:pt idx="5">
                  <c:v>86.089999999999989</c:v>
                </c:pt>
                <c:pt idx="6">
                  <c:v>34.57</c:v>
                </c:pt>
                <c:pt idx="7">
                  <c:v>114.77</c:v>
                </c:pt>
                <c:pt idx="8">
                  <c:v>123.85999999999999</c:v>
                </c:pt>
                <c:pt idx="9">
                  <c:v>51.68</c:v>
                </c:pt>
                <c:pt idx="10">
                  <c:v>93.27</c:v>
                </c:pt>
                <c:pt idx="11">
                  <c:v>105.37999999999998</c:v>
                </c:pt>
              </c:numCache>
            </c:numRef>
          </c:val>
          <c:extLst>
            <c:ext xmlns:c16="http://schemas.microsoft.com/office/drawing/2014/chart" uri="{C3380CC4-5D6E-409C-BE32-E72D297353CC}">
              <c16:uniqueId val="{00000000-2514-154F-ABEE-76D3E78DC648}"/>
            </c:ext>
          </c:extLst>
        </c:ser>
        <c:dLbls>
          <c:showLegendKey val="0"/>
          <c:showVal val="0"/>
          <c:showCatName val="0"/>
          <c:showSerName val="0"/>
          <c:showPercent val="0"/>
          <c:showBubbleSize val="0"/>
        </c:dLbls>
        <c:gapWidth val="219"/>
        <c:overlap val="-27"/>
        <c:axId val="145326048"/>
        <c:axId val="145605296"/>
      </c:barChart>
      <c:catAx>
        <c:axId val="14532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605296"/>
        <c:crosses val="autoZero"/>
        <c:auto val="1"/>
        <c:lblAlgn val="ctr"/>
        <c:lblOffset val="100"/>
        <c:noMultiLvlLbl val="0"/>
      </c:catAx>
      <c:valAx>
        <c:axId val="145605296"/>
        <c:scaling>
          <c:orientation val="minMax"/>
          <c:max val="2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32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Jahrestabellen!$A$274:$A$285</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Jahrestabellen!$B$274:$B$285</c:f>
              <c:numCache>
                <c:formatCode>0</c:formatCode>
                <c:ptCount val="12"/>
                <c:pt idx="0">
                  <c:v>180.66</c:v>
                </c:pt>
                <c:pt idx="1">
                  <c:v>200.89</c:v>
                </c:pt>
                <c:pt idx="2">
                  <c:v>204.95</c:v>
                </c:pt>
                <c:pt idx="3">
                  <c:v>194.09999999999997</c:v>
                </c:pt>
                <c:pt idx="4">
                  <c:v>111.07</c:v>
                </c:pt>
                <c:pt idx="5">
                  <c:v>148.60999999999999</c:v>
                </c:pt>
                <c:pt idx="6">
                  <c:v>123.79000000000002</c:v>
                </c:pt>
                <c:pt idx="7">
                  <c:v>121.01</c:v>
                </c:pt>
                <c:pt idx="8">
                  <c:v>84.06</c:v>
                </c:pt>
                <c:pt idx="9">
                  <c:v>31.950000000000003</c:v>
                </c:pt>
                <c:pt idx="10">
                  <c:v>66.08</c:v>
                </c:pt>
                <c:pt idx="11">
                  <c:v>81.090000000000018</c:v>
                </c:pt>
              </c:numCache>
            </c:numRef>
          </c:val>
          <c:extLst>
            <c:ext xmlns:c16="http://schemas.microsoft.com/office/drawing/2014/chart" uri="{C3380CC4-5D6E-409C-BE32-E72D297353CC}">
              <c16:uniqueId val="{00000000-6BED-204A-9A9E-BC57D5F71EFE}"/>
            </c:ext>
          </c:extLst>
        </c:ser>
        <c:dLbls>
          <c:showLegendKey val="0"/>
          <c:showVal val="0"/>
          <c:showCatName val="0"/>
          <c:showSerName val="0"/>
          <c:showPercent val="0"/>
          <c:showBubbleSize val="0"/>
        </c:dLbls>
        <c:gapWidth val="219"/>
        <c:overlap val="-27"/>
        <c:axId val="1759308432"/>
        <c:axId val="1759451264"/>
      </c:barChart>
      <c:catAx>
        <c:axId val="175930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59451264"/>
        <c:crosses val="autoZero"/>
        <c:auto val="1"/>
        <c:lblAlgn val="ctr"/>
        <c:lblOffset val="100"/>
        <c:noMultiLvlLbl val="0"/>
      </c:catAx>
      <c:valAx>
        <c:axId val="1759451264"/>
        <c:scaling>
          <c:orientation val="minMax"/>
          <c:max val="2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5930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Jahrestabellen!$A$292:$A$303</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Jahrestabellen!$B$292:$B$303</c:f>
              <c:numCache>
                <c:formatCode>0</c:formatCode>
                <c:ptCount val="12"/>
                <c:pt idx="0">
                  <c:v>82.35</c:v>
                </c:pt>
                <c:pt idx="1">
                  <c:v>143.94</c:v>
                </c:pt>
                <c:pt idx="2">
                  <c:v>89.250000000000014</c:v>
                </c:pt>
                <c:pt idx="3">
                  <c:v>148.69</c:v>
                </c:pt>
                <c:pt idx="4">
                  <c:v>88.21</c:v>
                </c:pt>
                <c:pt idx="5">
                  <c:v>164.20000000000005</c:v>
                </c:pt>
                <c:pt idx="6">
                  <c:v>181.96</c:v>
                </c:pt>
                <c:pt idx="7">
                  <c:v>172.29</c:v>
                </c:pt>
                <c:pt idx="8">
                  <c:v>169.26700000000002</c:v>
                </c:pt>
                <c:pt idx="9">
                  <c:v>170.9</c:v>
                </c:pt>
                <c:pt idx="10">
                  <c:v>11.92</c:v>
                </c:pt>
                <c:pt idx="11">
                  <c:v>22.08</c:v>
                </c:pt>
              </c:numCache>
            </c:numRef>
          </c:val>
          <c:extLst>
            <c:ext xmlns:c16="http://schemas.microsoft.com/office/drawing/2014/chart" uri="{C3380CC4-5D6E-409C-BE32-E72D297353CC}">
              <c16:uniqueId val="{00000000-EEAD-AC42-B916-ECEC6DEE0228}"/>
            </c:ext>
          </c:extLst>
        </c:ser>
        <c:dLbls>
          <c:showLegendKey val="0"/>
          <c:showVal val="0"/>
          <c:showCatName val="0"/>
          <c:showSerName val="0"/>
          <c:showPercent val="0"/>
          <c:showBubbleSize val="0"/>
        </c:dLbls>
        <c:gapWidth val="219"/>
        <c:overlap val="-27"/>
        <c:axId val="1184188383"/>
        <c:axId val="1184190031"/>
      </c:barChart>
      <c:catAx>
        <c:axId val="118418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84190031"/>
        <c:crosses val="autoZero"/>
        <c:auto val="1"/>
        <c:lblAlgn val="ctr"/>
        <c:lblOffset val="100"/>
        <c:noMultiLvlLbl val="0"/>
      </c:catAx>
      <c:valAx>
        <c:axId val="1184190031"/>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8418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Jahrestabellen!$A$310:$A$321</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Jahrestabellen!$B$310:$B$321</c:f>
              <c:numCache>
                <c:formatCode>0</c:formatCode>
                <c:ptCount val="12"/>
                <c:pt idx="0">
                  <c:v>107.49686422416866</c:v>
                </c:pt>
              </c:numCache>
            </c:numRef>
          </c:val>
          <c:extLst>
            <c:ext xmlns:c16="http://schemas.microsoft.com/office/drawing/2014/chart" uri="{C3380CC4-5D6E-409C-BE32-E72D297353CC}">
              <c16:uniqueId val="{00000000-88B4-9249-AF17-30A0355CA340}"/>
            </c:ext>
          </c:extLst>
        </c:ser>
        <c:dLbls>
          <c:showLegendKey val="0"/>
          <c:showVal val="0"/>
          <c:showCatName val="0"/>
          <c:showSerName val="0"/>
          <c:showPercent val="0"/>
          <c:showBubbleSize val="0"/>
        </c:dLbls>
        <c:gapWidth val="219"/>
        <c:overlap val="-27"/>
        <c:axId val="92544736"/>
        <c:axId val="92546384"/>
      </c:barChart>
      <c:catAx>
        <c:axId val="9254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2546384"/>
        <c:crosses val="autoZero"/>
        <c:auto val="1"/>
        <c:lblAlgn val="ctr"/>
        <c:lblOffset val="100"/>
        <c:noMultiLvlLbl val="0"/>
      </c:catAx>
      <c:valAx>
        <c:axId val="92546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254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[training_data.xlsx]HM!PivotTable1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HM!$C$3:$C$4</c:f>
              <c:strCache>
                <c:ptCount val="1"/>
                <c:pt idx="0">
                  <c:v>2021</c:v>
                </c:pt>
              </c:strCache>
            </c:strRef>
          </c:tx>
          <c:spPr>
            <a:solidFill>
              <a:schemeClr val="accent1"/>
            </a:solidFill>
            <a:ln>
              <a:noFill/>
            </a:ln>
            <a:effectLst/>
          </c:spPr>
          <c:invertIfNegative val="0"/>
          <c:cat>
            <c:strRef>
              <c:f>HM!$B$5:$B$17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HM!$C$5:$C$17</c:f>
              <c:numCache>
                <c:formatCode>General</c:formatCode>
                <c:ptCount val="12"/>
                <c:pt idx="0">
                  <c:v>620</c:v>
                </c:pt>
                <c:pt idx="1">
                  <c:v>542</c:v>
                </c:pt>
                <c:pt idx="2">
                  <c:v>584</c:v>
                </c:pt>
                <c:pt idx="3">
                  <c:v>360</c:v>
                </c:pt>
                <c:pt idx="4">
                  <c:v>748</c:v>
                </c:pt>
                <c:pt idx="5">
                  <c:v>203</c:v>
                </c:pt>
                <c:pt idx="6">
                  <c:v>84</c:v>
                </c:pt>
                <c:pt idx="7">
                  <c:v>339</c:v>
                </c:pt>
                <c:pt idx="8">
                  <c:v>1011</c:v>
                </c:pt>
                <c:pt idx="9">
                  <c:v>143</c:v>
                </c:pt>
                <c:pt idx="10">
                  <c:v>302</c:v>
                </c:pt>
                <c:pt idx="11">
                  <c:v>364</c:v>
                </c:pt>
              </c:numCache>
            </c:numRef>
          </c:val>
          <c:extLst>
            <c:ext xmlns:c16="http://schemas.microsoft.com/office/drawing/2014/chart" uri="{C3380CC4-5D6E-409C-BE32-E72D297353CC}">
              <c16:uniqueId val="{00000000-9A12-BE4C-88CD-2EC2473FD43B}"/>
            </c:ext>
          </c:extLst>
        </c:ser>
        <c:ser>
          <c:idx val="1"/>
          <c:order val="1"/>
          <c:tx>
            <c:strRef>
              <c:f>HM!$D$3:$D$4</c:f>
              <c:strCache>
                <c:ptCount val="1"/>
                <c:pt idx="0">
                  <c:v>2022</c:v>
                </c:pt>
              </c:strCache>
            </c:strRef>
          </c:tx>
          <c:spPr>
            <a:solidFill>
              <a:schemeClr val="accent2"/>
            </a:solidFill>
            <a:ln>
              <a:noFill/>
            </a:ln>
            <a:effectLst/>
          </c:spPr>
          <c:invertIfNegative val="0"/>
          <c:cat>
            <c:strRef>
              <c:f>HM!$B$5:$B$17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HM!$D$5:$D$17</c:f>
              <c:numCache>
                <c:formatCode>General</c:formatCode>
                <c:ptCount val="12"/>
                <c:pt idx="0">
                  <c:v>694</c:v>
                </c:pt>
                <c:pt idx="1">
                  <c:v>865</c:v>
                </c:pt>
                <c:pt idx="2">
                  <c:v>1708</c:v>
                </c:pt>
                <c:pt idx="3">
                  <c:v>735</c:v>
                </c:pt>
                <c:pt idx="4">
                  <c:v>495</c:v>
                </c:pt>
                <c:pt idx="5">
                  <c:v>1102</c:v>
                </c:pt>
                <c:pt idx="6">
                  <c:v>807</c:v>
                </c:pt>
                <c:pt idx="7">
                  <c:v>1073</c:v>
                </c:pt>
                <c:pt idx="8">
                  <c:v>268</c:v>
                </c:pt>
                <c:pt idx="9">
                  <c:v>108</c:v>
                </c:pt>
                <c:pt idx="10">
                  <c:v>173</c:v>
                </c:pt>
                <c:pt idx="11">
                  <c:v>271</c:v>
                </c:pt>
              </c:numCache>
            </c:numRef>
          </c:val>
          <c:extLst>
            <c:ext xmlns:c16="http://schemas.microsoft.com/office/drawing/2014/chart" uri="{C3380CC4-5D6E-409C-BE32-E72D297353CC}">
              <c16:uniqueId val="{00000001-9A12-BE4C-88CD-2EC2473FD43B}"/>
            </c:ext>
          </c:extLst>
        </c:ser>
        <c:ser>
          <c:idx val="2"/>
          <c:order val="2"/>
          <c:tx>
            <c:strRef>
              <c:f>HM!$E$3:$E$4</c:f>
              <c:strCache>
                <c:ptCount val="1"/>
                <c:pt idx="0">
                  <c:v>2023</c:v>
                </c:pt>
              </c:strCache>
            </c:strRef>
          </c:tx>
          <c:spPr>
            <a:solidFill>
              <a:schemeClr val="accent3"/>
            </a:solidFill>
            <a:ln>
              <a:noFill/>
            </a:ln>
            <a:effectLst/>
          </c:spPr>
          <c:invertIfNegative val="0"/>
          <c:cat>
            <c:strRef>
              <c:f>HM!$B$5:$B$17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HM!$E$5:$E$17</c:f>
              <c:numCache>
                <c:formatCode>General</c:formatCode>
                <c:ptCount val="12"/>
                <c:pt idx="0">
                  <c:v>285</c:v>
                </c:pt>
                <c:pt idx="1">
                  <c:v>404</c:v>
                </c:pt>
                <c:pt idx="2">
                  <c:v>255</c:v>
                </c:pt>
                <c:pt idx="3">
                  <c:v>488</c:v>
                </c:pt>
                <c:pt idx="4">
                  <c:v>573</c:v>
                </c:pt>
                <c:pt idx="5">
                  <c:v>822</c:v>
                </c:pt>
                <c:pt idx="6">
                  <c:v>447</c:v>
                </c:pt>
                <c:pt idx="7">
                  <c:v>675</c:v>
                </c:pt>
                <c:pt idx="8">
                  <c:v>1021</c:v>
                </c:pt>
                <c:pt idx="9">
                  <c:v>469</c:v>
                </c:pt>
                <c:pt idx="10">
                  <c:v>32</c:v>
                </c:pt>
                <c:pt idx="11">
                  <c:v>61</c:v>
                </c:pt>
              </c:numCache>
            </c:numRef>
          </c:val>
          <c:extLst>
            <c:ext xmlns:c16="http://schemas.microsoft.com/office/drawing/2014/chart" uri="{C3380CC4-5D6E-409C-BE32-E72D297353CC}">
              <c16:uniqueId val="{00000001-CB9A-B842-B6D4-7DAE327A3C1C}"/>
            </c:ext>
          </c:extLst>
        </c:ser>
        <c:ser>
          <c:idx val="3"/>
          <c:order val="3"/>
          <c:tx>
            <c:strRef>
              <c:f>HM!$F$3:$F$4</c:f>
              <c:strCache>
                <c:ptCount val="1"/>
                <c:pt idx="0">
                  <c:v>2024</c:v>
                </c:pt>
              </c:strCache>
            </c:strRef>
          </c:tx>
          <c:spPr>
            <a:solidFill>
              <a:schemeClr val="accent4"/>
            </a:solidFill>
            <a:ln>
              <a:noFill/>
            </a:ln>
            <a:effectLst/>
          </c:spPr>
          <c:invertIfNegative val="0"/>
          <c:cat>
            <c:strRef>
              <c:f>HM!$B$5:$B$17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HM!$F$5:$F$17</c:f>
              <c:numCache>
                <c:formatCode>General</c:formatCode>
                <c:ptCount val="12"/>
                <c:pt idx="0">
                  <c:v>148</c:v>
                </c:pt>
              </c:numCache>
            </c:numRef>
          </c:val>
          <c:extLst>
            <c:ext xmlns:c16="http://schemas.microsoft.com/office/drawing/2014/chart" uri="{C3380CC4-5D6E-409C-BE32-E72D297353CC}">
              <c16:uniqueId val="{00000001-B989-204A-8137-0F90B9A6B543}"/>
            </c:ext>
          </c:extLst>
        </c:ser>
        <c:dLbls>
          <c:showLegendKey val="0"/>
          <c:showVal val="0"/>
          <c:showCatName val="0"/>
          <c:showSerName val="0"/>
          <c:showPercent val="0"/>
          <c:showBubbleSize val="0"/>
        </c:dLbls>
        <c:gapWidth val="219"/>
        <c:overlap val="-27"/>
        <c:axId val="1473949520"/>
        <c:axId val="1473896176"/>
      </c:barChart>
      <c:catAx>
        <c:axId val="147394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3896176"/>
        <c:crosses val="autoZero"/>
        <c:auto val="1"/>
        <c:lblAlgn val="ctr"/>
        <c:lblOffset val="100"/>
        <c:noMultiLvlLbl val="0"/>
      </c:catAx>
      <c:valAx>
        <c:axId val="147389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394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'PWR HR'!$B$1</c:f>
              <c:strCache>
                <c:ptCount val="1"/>
                <c:pt idx="0">
                  <c:v>PWR/HR</c:v>
                </c:pt>
              </c:strCache>
            </c:strRef>
          </c:tx>
          <c:spPr>
            <a:ln w="28575" cap="rnd">
              <a:solidFill>
                <a:schemeClr val="accent1"/>
              </a:solidFill>
              <a:round/>
            </a:ln>
            <a:effectLst/>
          </c:spPr>
          <c:marker>
            <c:symbol val="none"/>
          </c:marker>
          <c:cat>
            <c:numRef>
              <c:f>'PWR HR'!$A$1432:$A$1449</c:f>
              <c:numCache>
                <c:formatCode>ddd\ dd\.mm</c:formatCode>
                <c:ptCount val="18"/>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numCache>
            </c:numRef>
          </c:cat>
          <c:val>
            <c:numRef>
              <c:f>'PWR HR'!$B$1432:$B$1449</c:f>
              <c:numCache>
                <c:formatCode>0.0000</c:formatCode>
                <c:ptCount val="18"/>
                <c:pt idx="0">
                  <c:v>1.4526462322326661</c:v>
                </c:pt>
                <c:pt idx="1">
                  <c:v>1.4526462322326661</c:v>
                </c:pt>
                <c:pt idx="2">
                  <c:v>1.4772248994551975</c:v>
                </c:pt>
                <c:pt idx="3">
                  <c:v>1.4772248994551975</c:v>
                </c:pt>
                <c:pt idx="4">
                  <c:v>1.4772248994551975</c:v>
                </c:pt>
                <c:pt idx="5">
                  <c:v>1.479112352599433</c:v>
                </c:pt>
                <c:pt idx="6">
                  <c:v>1.479112352599433</c:v>
                </c:pt>
                <c:pt idx="7">
                  <c:v>1.4936170395552744</c:v>
                </c:pt>
                <c:pt idx="8">
                  <c:v>1.4936170395552744</c:v>
                </c:pt>
                <c:pt idx="9">
                  <c:v>1.482446824504482</c:v>
                </c:pt>
                <c:pt idx="10">
                  <c:v>1.482446824504482</c:v>
                </c:pt>
                <c:pt idx="11">
                  <c:v>1.482446824504482</c:v>
                </c:pt>
                <c:pt idx="12">
                  <c:v>1.482446824504482</c:v>
                </c:pt>
                <c:pt idx="13">
                  <c:v>1.4715766645168045</c:v>
                </c:pt>
                <c:pt idx="14">
                  <c:v>1.4814437914535539</c:v>
                </c:pt>
                <c:pt idx="15">
                  <c:v>1.4814437914535539</c:v>
                </c:pt>
                <c:pt idx="16">
                  <c:v>1.4852286216011328</c:v>
                </c:pt>
                <c:pt idx="17">
                  <c:v>1.4716193871526366</c:v>
                </c:pt>
              </c:numCache>
            </c:numRef>
          </c:val>
          <c:smooth val="0"/>
          <c:extLst>
            <c:ext xmlns:c16="http://schemas.microsoft.com/office/drawing/2014/chart" uri="{C3380CC4-5D6E-409C-BE32-E72D297353CC}">
              <c16:uniqueId val="{00000000-438C-456B-BF7C-8B1EA7FDF434}"/>
            </c:ext>
          </c:extLst>
        </c:ser>
        <c:dLbls>
          <c:showLegendKey val="0"/>
          <c:showVal val="0"/>
          <c:showCatName val="0"/>
          <c:showSerName val="0"/>
          <c:showPercent val="0"/>
          <c:showBubbleSize val="0"/>
        </c:dLbls>
        <c:marker val="1"/>
        <c:smooth val="0"/>
        <c:axId val="649745976"/>
        <c:axId val="649749584"/>
      </c:lineChart>
      <c:lineChart>
        <c:grouping val="standard"/>
        <c:varyColors val="0"/>
        <c:ser>
          <c:idx val="1"/>
          <c:order val="1"/>
          <c:tx>
            <c:strRef>
              <c:f>'PWR HR'!$C$1</c:f>
              <c:strCache>
                <c:ptCount val="1"/>
                <c:pt idx="0">
                  <c:v>ECOR</c:v>
                </c:pt>
              </c:strCache>
            </c:strRef>
          </c:tx>
          <c:spPr>
            <a:ln w="28575" cap="rnd">
              <a:solidFill>
                <a:schemeClr val="accent2"/>
              </a:solidFill>
              <a:round/>
            </a:ln>
            <a:effectLst/>
          </c:spPr>
          <c:marker>
            <c:symbol val="none"/>
          </c:marker>
          <c:cat>
            <c:numRef>
              <c:f>'PWR HR'!$A$1432:$A$1449</c:f>
              <c:numCache>
                <c:formatCode>ddd\ dd\.mm</c:formatCode>
                <c:ptCount val="18"/>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numCache>
            </c:numRef>
          </c:cat>
          <c:val>
            <c:numRef>
              <c:f>'PWR HR'!$C$1432:$C$1449</c:f>
              <c:numCache>
                <c:formatCode>0.0000</c:formatCode>
                <c:ptCount val="18"/>
                <c:pt idx="0">
                  <c:v>1.064912127521348</c:v>
                </c:pt>
                <c:pt idx="1">
                  <c:v>1.064912127521348</c:v>
                </c:pt>
                <c:pt idx="2">
                  <c:v>1.0703243952177417</c:v>
                </c:pt>
                <c:pt idx="3">
                  <c:v>1.0703243952177417</c:v>
                </c:pt>
                <c:pt idx="4">
                  <c:v>1.0703243952177417</c:v>
                </c:pt>
                <c:pt idx="5">
                  <c:v>1.0678682640443846</c:v>
                </c:pt>
                <c:pt idx="6">
                  <c:v>1.0678682640443846</c:v>
                </c:pt>
                <c:pt idx="7">
                  <c:v>1.0653424990914717</c:v>
                </c:pt>
                <c:pt idx="8">
                  <c:v>1.0653424990914717</c:v>
                </c:pt>
                <c:pt idx="9">
                  <c:v>1.064362399070697</c:v>
                </c:pt>
                <c:pt idx="10">
                  <c:v>1.064362399070697</c:v>
                </c:pt>
                <c:pt idx="11">
                  <c:v>1.064362399070697</c:v>
                </c:pt>
                <c:pt idx="12">
                  <c:v>1.064362399070697</c:v>
                </c:pt>
                <c:pt idx="13">
                  <c:v>1.0661813214112512</c:v>
                </c:pt>
                <c:pt idx="14">
                  <c:v>1.0657206044414607</c:v>
                </c:pt>
                <c:pt idx="15">
                  <c:v>1.0657206044414607</c:v>
                </c:pt>
                <c:pt idx="16">
                  <c:v>1.0670338844762419</c:v>
                </c:pt>
                <c:pt idx="17">
                  <c:v>1.0649537085030096</c:v>
                </c:pt>
              </c:numCache>
            </c:numRef>
          </c:val>
          <c:smooth val="0"/>
          <c:extLst>
            <c:ext xmlns:c16="http://schemas.microsoft.com/office/drawing/2014/chart" uri="{C3380CC4-5D6E-409C-BE32-E72D297353CC}">
              <c16:uniqueId val="{00000001-438C-456B-BF7C-8B1EA7FDF434}"/>
            </c:ext>
          </c:extLst>
        </c:ser>
        <c:dLbls>
          <c:showLegendKey val="0"/>
          <c:showVal val="0"/>
          <c:showCatName val="0"/>
          <c:showSerName val="0"/>
          <c:showPercent val="0"/>
          <c:showBubbleSize val="0"/>
        </c:dLbls>
        <c:marker val="1"/>
        <c:smooth val="0"/>
        <c:axId val="646362528"/>
        <c:axId val="646361544"/>
      </c:lineChart>
      <c:dateAx>
        <c:axId val="649745976"/>
        <c:scaling>
          <c:orientation val="minMax"/>
        </c:scaling>
        <c:delete val="0"/>
        <c:axPos val="b"/>
        <c:numFmt formatCode="ddd\ 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49749584"/>
        <c:crosses val="autoZero"/>
        <c:auto val="1"/>
        <c:lblOffset val="100"/>
        <c:baseTimeUnit val="days"/>
      </c:dateAx>
      <c:valAx>
        <c:axId val="649749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Pwr/Hr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49745976"/>
        <c:crosses val="autoZero"/>
        <c:crossBetween val="between"/>
      </c:valAx>
      <c:valAx>
        <c:axId val="646361544"/>
        <c:scaling>
          <c:orientation val="maxMin"/>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ECOR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46362528"/>
        <c:crosses val="max"/>
        <c:crossBetween val="between"/>
      </c:valAx>
      <c:dateAx>
        <c:axId val="646362528"/>
        <c:scaling>
          <c:orientation val="minMax"/>
        </c:scaling>
        <c:delete val="1"/>
        <c:axPos val="t"/>
        <c:numFmt formatCode="ddd\ dd\.mm" sourceLinked="1"/>
        <c:majorTickMark val="out"/>
        <c:minorTickMark val="none"/>
        <c:tickLblPos val="nextTo"/>
        <c:crossAx val="646361544"/>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'trailing 90d'!$B$1</c:f>
              <c:strCache>
                <c:ptCount val="1"/>
                <c:pt idx="0">
                  <c:v>90d</c:v>
                </c:pt>
              </c:strCache>
            </c:strRef>
          </c:tx>
          <c:spPr>
            <a:ln w="28575" cap="rnd">
              <a:solidFill>
                <a:schemeClr val="accent1"/>
              </a:solidFill>
              <a:round/>
            </a:ln>
            <a:effectLst/>
          </c:spPr>
          <c:marker>
            <c:symbol val="none"/>
          </c:marker>
          <c:cat>
            <c:numRef>
              <c:f>'trailing 90d'!$A$395:$A$777</c:f>
              <c:numCache>
                <c:formatCode>ddd\ dd\.mm</c:formatCode>
                <c:ptCount val="383"/>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numCache>
            </c:numRef>
          </c:cat>
          <c:val>
            <c:numRef>
              <c:f>'trailing 90d'!$B$395:$B$777</c:f>
              <c:numCache>
                <c:formatCode>0</c:formatCode>
                <c:ptCount val="383"/>
                <c:pt idx="0">
                  <c:v>164.82</c:v>
                </c:pt>
                <c:pt idx="1">
                  <c:v>164.82</c:v>
                </c:pt>
                <c:pt idx="2">
                  <c:v>165.27999999999997</c:v>
                </c:pt>
                <c:pt idx="3">
                  <c:v>165.27999999999997</c:v>
                </c:pt>
                <c:pt idx="4">
                  <c:v>174.58999999999997</c:v>
                </c:pt>
                <c:pt idx="5">
                  <c:v>174.58999999999997</c:v>
                </c:pt>
                <c:pt idx="6">
                  <c:v>177.08999999999995</c:v>
                </c:pt>
                <c:pt idx="7">
                  <c:v>177.08999999999995</c:v>
                </c:pt>
                <c:pt idx="8">
                  <c:v>177.08999999999995</c:v>
                </c:pt>
                <c:pt idx="9">
                  <c:v>177.08999999999995</c:v>
                </c:pt>
                <c:pt idx="10">
                  <c:v>187.38999999999996</c:v>
                </c:pt>
                <c:pt idx="11">
                  <c:v>187.38999999999996</c:v>
                </c:pt>
                <c:pt idx="12">
                  <c:v>187.38999999999996</c:v>
                </c:pt>
                <c:pt idx="13">
                  <c:v>187.38999999999996</c:v>
                </c:pt>
                <c:pt idx="14">
                  <c:v>187.38999999999996</c:v>
                </c:pt>
                <c:pt idx="15">
                  <c:v>187.38999999999996</c:v>
                </c:pt>
                <c:pt idx="16">
                  <c:v>187.38999999999996</c:v>
                </c:pt>
                <c:pt idx="17">
                  <c:v>187.38999999999996</c:v>
                </c:pt>
                <c:pt idx="18">
                  <c:v>187.38999999999996</c:v>
                </c:pt>
                <c:pt idx="19">
                  <c:v>187.38999999999996</c:v>
                </c:pt>
                <c:pt idx="20">
                  <c:v>194.92999999999995</c:v>
                </c:pt>
                <c:pt idx="21">
                  <c:v>194.92999999999995</c:v>
                </c:pt>
                <c:pt idx="22">
                  <c:v>201.84999999999994</c:v>
                </c:pt>
                <c:pt idx="23">
                  <c:v>201.84999999999994</c:v>
                </c:pt>
                <c:pt idx="24">
                  <c:v>210.52999999999994</c:v>
                </c:pt>
                <c:pt idx="25">
                  <c:v>216.10999999999996</c:v>
                </c:pt>
                <c:pt idx="26">
                  <c:v>216.10999999999996</c:v>
                </c:pt>
                <c:pt idx="27">
                  <c:v>223.18999999999997</c:v>
                </c:pt>
                <c:pt idx="28">
                  <c:v>223.18999999999997</c:v>
                </c:pt>
                <c:pt idx="29">
                  <c:v>223.18999999999997</c:v>
                </c:pt>
                <c:pt idx="30">
                  <c:v>229.51999999999998</c:v>
                </c:pt>
                <c:pt idx="31">
                  <c:v>229.51999999999998</c:v>
                </c:pt>
                <c:pt idx="32">
                  <c:v>235.35999999999999</c:v>
                </c:pt>
                <c:pt idx="33">
                  <c:v>240.89</c:v>
                </c:pt>
                <c:pt idx="34">
                  <c:v>240.89</c:v>
                </c:pt>
                <c:pt idx="35">
                  <c:v>250.67999999999998</c:v>
                </c:pt>
                <c:pt idx="36">
                  <c:v>252.11999999999998</c:v>
                </c:pt>
                <c:pt idx="37">
                  <c:v>259.39</c:v>
                </c:pt>
                <c:pt idx="38">
                  <c:v>253.41000000000003</c:v>
                </c:pt>
                <c:pt idx="39">
                  <c:v>259.40000000000003</c:v>
                </c:pt>
                <c:pt idx="40">
                  <c:v>265.74</c:v>
                </c:pt>
                <c:pt idx="41">
                  <c:v>260.24</c:v>
                </c:pt>
                <c:pt idx="42">
                  <c:v>267.23</c:v>
                </c:pt>
                <c:pt idx="43">
                  <c:v>273.79000000000002</c:v>
                </c:pt>
                <c:pt idx="44">
                  <c:v>277.30000000000007</c:v>
                </c:pt>
                <c:pt idx="45">
                  <c:v>277.30000000000007</c:v>
                </c:pt>
                <c:pt idx="46">
                  <c:v>277.15000000000003</c:v>
                </c:pt>
                <c:pt idx="47">
                  <c:v>277.15000000000003</c:v>
                </c:pt>
                <c:pt idx="48">
                  <c:v>280.26000000000005</c:v>
                </c:pt>
                <c:pt idx="49">
                  <c:v>280.26000000000005</c:v>
                </c:pt>
                <c:pt idx="50">
                  <c:v>279.71000000000004</c:v>
                </c:pt>
                <c:pt idx="51">
                  <c:v>288.93000000000006</c:v>
                </c:pt>
                <c:pt idx="52">
                  <c:v>281.7600000000001</c:v>
                </c:pt>
                <c:pt idx="53">
                  <c:v>287.96000000000009</c:v>
                </c:pt>
                <c:pt idx="54">
                  <c:v>285.94000000000011</c:v>
                </c:pt>
                <c:pt idx="55">
                  <c:v>297.6400000000001</c:v>
                </c:pt>
                <c:pt idx="56">
                  <c:v>297.6400000000001</c:v>
                </c:pt>
                <c:pt idx="57">
                  <c:v>298.34000000000015</c:v>
                </c:pt>
                <c:pt idx="58">
                  <c:v>307.38000000000017</c:v>
                </c:pt>
                <c:pt idx="59">
                  <c:v>301.14000000000016</c:v>
                </c:pt>
                <c:pt idx="60">
                  <c:v>308.60000000000014</c:v>
                </c:pt>
                <c:pt idx="61">
                  <c:v>315.74000000000012</c:v>
                </c:pt>
                <c:pt idx="62">
                  <c:v>315.74000000000012</c:v>
                </c:pt>
                <c:pt idx="63">
                  <c:v>325.61000000000013</c:v>
                </c:pt>
                <c:pt idx="64">
                  <c:v>325.61000000000013</c:v>
                </c:pt>
                <c:pt idx="65">
                  <c:v>324.19000000000011</c:v>
                </c:pt>
                <c:pt idx="66">
                  <c:v>332.11000000000013</c:v>
                </c:pt>
                <c:pt idx="67">
                  <c:v>332.11000000000013</c:v>
                </c:pt>
                <c:pt idx="68">
                  <c:v>332.11000000000013</c:v>
                </c:pt>
                <c:pt idx="69">
                  <c:v>326.5200000000001</c:v>
                </c:pt>
                <c:pt idx="70">
                  <c:v>326.5200000000001</c:v>
                </c:pt>
                <c:pt idx="71">
                  <c:v>326.5200000000001</c:v>
                </c:pt>
                <c:pt idx="72">
                  <c:v>326.5200000000001</c:v>
                </c:pt>
                <c:pt idx="73">
                  <c:v>326.5200000000001</c:v>
                </c:pt>
                <c:pt idx="74">
                  <c:v>326.5200000000001</c:v>
                </c:pt>
                <c:pt idx="75">
                  <c:v>326.5200000000001</c:v>
                </c:pt>
                <c:pt idx="76">
                  <c:v>326.5200000000001</c:v>
                </c:pt>
                <c:pt idx="77">
                  <c:v>319.81000000000006</c:v>
                </c:pt>
                <c:pt idx="78">
                  <c:v>319.81000000000006</c:v>
                </c:pt>
                <c:pt idx="79">
                  <c:v>316.47999999999996</c:v>
                </c:pt>
                <c:pt idx="80">
                  <c:v>316.47999999999996</c:v>
                </c:pt>
                <c:pt idx="81">
                  <c:v>323.42999999999995</c:v>
                </c:pt>
                <c:pt idx="82">
                  <c:v>313.13</c:v>
                </c:pt>
                <c:pt idx="83">
                  <c:v>319.31</c:v>
                </c:pt>
                <c:pt idx="84">
                  <c:v>319.31</c:v>
                </c:pt>
                <c:pt idx="85">
                  <c:v>313.45000000000005</c:v>
                </c:pt>
                <c:pt idx="86">
                  <c:v>313.45000000000005</c:v>
                </c:pt>
                <c:pt idx="87">
                  <c:v>312.15000000000003</c:v>
                </c:pt>
                <c:pt idx="88">
                  <c:v>318.59000000000003</c:v>
                </c:pt>
                <c:pt idx="89">
                  <c:v>315.53999999999996</c:v>
                </c:pt>
                <c:pt idx="90">
                  <c:v>315.53999999999996</c:v>
                </c:pt>
                <c:pt idx="91">
                  <c:v>328.23999999999995</c:v>
                </c:pt>
                <c:pt idx="92">
                  <c:v>320.22999999999996</c:v>
                </c:pt>
                <c:pt idx="93">
                  <c:v>326.87999999999994</c:v>
                </c:pt>
                <c:pt idx="94">
                  <c:v>326.76999999999992</c:v>
                </c:pt>
                <c:pt idx="95">
                  <c:v>333.83999999999992</c:v>
                </c:pt>
                <c:pt idx="96">
                  <c:v>327.76999999999987</c:v>
                </c:pt>
                <c:pt idx="97">
                  <c:v>345.66999999999985</c:v>
                </c:pt>
                <c:pt idx="98">
                  <c:v>345.66999999999985</c:v>
                </c:pt>
                <c:pt idx="99">
                  <c:v>345.66999999999985</c:v>
                </c:pt>
                <c:pt idx="100">
                  <c:v>342.85999999999979</c:v>
                </c:pt>
                <c:pt idx="101">
                  <c:v>342.85999999999979</c:v>
                </c:pt>
                <c:pt idx="102">
                  <c:v>342.85999999999979</c:v>
                </c:pt>
                <c:pt idx="103">
                  <c:v>342.85999999999979</c:v>
                </c:pt>
                <c:pt idx="104">
                  <c:v>352.36999999999978</c:v>
                </c:pt>
                <c:pt idx="105">
                  <c:v>358.63999999999976</c:v>
                </c:pt>
                <c:pt idx="106">
                  <c:v>364.55999999999977</c:v>
                </c:pt>
                <c:pt idx="107">
                  <c:v>373.16999999999979</c:v>
                </c:pt>
                <c:pt idx="108">
                  <c:v>373.16999999999979</c:v>
                </c:pt>
                <c:pt idx="109">
                  <c:v>380.19999999999976</c:v>
                </c:pt>
                <c:pt idx="110">
                  <c:v>378.86999999999983</c:v>
                </c:pt>
                <c:pt idx="111">
                  <c:v>378.86999999999983</c:v>
                </c:pt>
                <c:pt idx="112">
                  <c:v>381.18999999999983</c:v>
                </c:pt>
                <c:pt idx="113">
                  <c:v>387.10999999999984</c:v>
                </c:pt>
                <c:pt idx="114">
                  <c:v>383.93999999999988</c:v>
                </c:pt>
                <c:pt idx="115">
                  <c:v>378.3599999999999</c:v>
                </c:pt>
                <c:pt idx="116">
                  <c:v>384.9899999999999</c:v>
                </c:pt>
                <c:pt idx="117">
                  <c:v>383.20999999999987</c:v>
                </c:pt>
                <c:pt idx="118">
                  <c:v>383.20999999999987</c:v>
                </c:pt>
                <c:pt idx="119">
                  <c:v>388.20999999999987</c:v>
                </c:pt>
                <c:pt idx="120">
                  <c:v>381.87999999999994</c:v>
                </c:pt>
                <c:pt idx="121">
                  <c:v>381.87999999999994</c:v>
                </c:pt>
                <c:pt idx="122">
                  <c:v>380.7299999999999</c:v>
                </c:pt>
                <c:pt idx="123">
                  <c:v>380.64999999999992</c:v>
                </c:pt>
                <c:pt idx="124">
                  <c:v>386.37999999999994</c:v>
                </c:pt>
                <c:pt idx="125">
                  <c:v>376.59</c:v>
                </c:pt>
                <c:pt idx="126">
                  <c:v>369.78</c:v>
                </c:pt>
                <c:pt idx="127">
                  <c:v>368.18999999999994</c:v>
                </c:pt>
                <c:pt idx="128">
                  <c:v>374.89999999999992</c:v>
                </c:pt>
                <c:pt idx="129">
                  <c:v>368.90999999999997</c:v>
                </c:pt>
                <c:pt idx="130">
                  <c:v>369.51</c:v>
                </c:pt>
                <c:pt idx="131">
                  <c:v>369.51</c:v>
                </c:pt>
                <c:pt idx="132">
                  <c:v>362.52</c:v>
                </c:pt>
                <c:pt idx="133">
                  <c:v>355.96</c:v>
                </c:pt>
                <c:pt idx="134">
                  <c:v>346.21999999999991</c:v>
                </c:pt>
                <c:pt idx="135">
                  <c:v>353.90999999999991</c:v>
                </c:pt>
                <c:pt idx="136">
                  <c:v>347.38999999999993</c:v>
                </c:pt>
                <c:pt idx="137">
                  <c:v>347.38999999999993</c:v>
                </c:pt>
                <c:pt idx="138">
                  <c:v>337.35999999999996</c:v>
                </c:pt>
                <c:pt idx="139">
                  <c:v>337.35999999999996</c:v>
                </c:pt>
                <c:pt idx="140">
                  <c:v>337.53999999999996</c:v>
                </c:pt>
                <c:pt idx="141">
                  <c:v>334.41999999999996</c:v>
                </c:pt>
                <c:pt idx="142">
                  <c:v>334.41999999999996</c:v>
                </c:pt>
                <c:pt idx="143">
                  <c:v>334.23</c:v>
                </c:pt>
                <c:pt idx="144">
                  <c:v>334.77999999999992</c:v>
                </c:pt>
                <c:pt idx="145">
                  <c:v>329.82</c:v>
                </c:pt>
                <c:pt idx="146">
                  <c:v>329.82</c:v>
                </c:pt>
                <c:pt idx="147">
                  <c:v>322.58000000000004</c:v>
                </c:pt>
                <c:pt idx="148">
                  <c:v>313.53999999999996</c:v>
                </c:pt>
                <c:pt idx="149">
                  <c:v>319.08999999999997</c:v>
                </c:pt>
                <c:pt idx="150">
                  <c:v>318.69</c:v>
                </c:pt>
                <c:pt idx="151">
                  <c:v>318.54000000000002</c:v>
                </c:pt>
                <c:pt idx="152">
                  <c:v>324.65000000000003</c:v>
                </c:pt>
                <c:pt idx="153">
                  <c:v>314.78000000000003</c:v>
                </c:pt>
                <c:pt idx="154">
                  <c:v>327.18</c:v>
                </c:pt>
                <c:pt idx="155">
                  <c:v>319.86</c:v>
                </c:pt>
                <c:pt idx="156">
                  <c:v>320.05</c:v>
                </c:pt>
                <c:pt idx="157">
                  <c:v>320.05</c:v>
                </c:pt>
                <c:pt idx="158">
                  <c:v>320.05</c:v>
                </c:pt>
                <c:pt idx="159">
                  <c:v>329.40000000000003</c:v>
                </c:pt>
                <c:pt idx="160">
                  <c:v>329.40000000000003</c:v>
                </c:pt>
                <c:pt idx="161">
                  <c:v>341.1</c:v>
                </c:pt>
                <c:pt idx="162">
                  <c:v>347.32000000000005</c:v>
                </c:pt>
                <c:pt idx="163">
                  <c:v>353.99000000000007</c:v>
                </c:pt>
                <c:pt idx="164">
                  <c:v>353.99000000000007</c:v>
                </c:pt>
                <c:pt idx="165">
                  <c:v>361.05000000000007</c:v>
                </c:pt>
                <c:pt idx="166">
                  <c:v>368.56000000000006</c:v>
                </c:pt>
                <c:pt idx="167">
                  <c:v>368.56000000000006</c:v>
                </c:pt>
                <c:pt idx="168">
                  <c:v>381.54000000000008</c:v>
                </c:pt>
                <c:pt idx="169">
                  <c:v>382.53000000000009</c:v>
                </c:pt>
                <c:pt idx="170">
                  <c:v>390.55000000000007</c:v>
                </c:pt>
                <c:pt idx="171">
                  <c:v>383.60000000000008</c:v>
                </c:pt>
                <c:pt idx="172">
                  <c:v>389.44000000000005</c:v>
                </c:pt>
                <c:pt idx="173">
                  <c:v>390.48000000000008</c:v>
                </c:pt>
                <c:pt idx="174">
                  <c:v>390.48000000000008</c:v>
                </c:pt>
                <c:pt idx="175">
                  <c:v>397.21000000000004</c:v>
                </c:pt>
                <c:pt idx="176">
                  <c:v>403.18000000000006</c:v>
                </c:pt>
                <c:pt idx="177">
                  <c:v>403.05000000000007</c:v>
                </c:pt>
                <c:pt idx="178">
                  <c:v>396.61000000000007</c:v>
                </c:pt>
                <c:pt idx="179">
                  <c:v>393.17000000000013</c:v>
                </c:pt>
                <c:pt idx="180">
                  <c:v>401.10000000000014</c:v>
                </c:pt>
                <c:pt idx="181">
                  <c:v>388.40000000000015</c:v>
                </c:pt>
                <c:pt idx="182">
                  <c:v>400.39000000000016</c:v>
                </c:pt>
                <c:pt idx="183">
                  <c:v>399.86000000000013</c:v>
                </c:pt>
                <c:pt idx="184">
                  <c:v>390.66000000000014</c:v>
                </c:pt>
                <c:pt idx="185">
                  <c:v>383.59000000000009</c:v>
                </c:pt>
                <c:pt idx="186">
                  <c:v>387.37000000000012</c:v>
                </c:pt>
                <c:pt idx="187">
                  <c:v>375.71000000000009</c:v>
                </c:pt>
                <c:pt idx="188">
                  <c:v>375.71000000000009</c:v>
                </c:pt>
                <c:pt idx="189">
                  <c:v>390.92000000000007</c:v>
                </c:pt>
                <c:pt idx="190">
                  <c:v>390.86</c:v>
                </c:pt>
                <c:pt idx="191">
                  <c:v>397.82</c:v>
                </c:pt>
                <c:pt idx="192">
                  <c:v>397.82</c:v>
                </c:pt>
                <c:pt idx="193">
                  <c:v>405.88</c:v>
                </c:pt>
                <c:pt idx="194">
                  <c:v>402.98</c:v>
                </c:pt>
                <c:pt idx="195">
                  <c:v>396.71000000000004</c:v>
                </c:pt>
                <c:pt idx="196">
                  <c:v>406.09000000000003</c:v>
                </c:pt>
                <c:pt idx="197">
                  <c:v>404.03000000000009</c:v>
                </c:pt>
                <c:pt idx="198">
                  <c:v>404.03000000000009</c:v>
                </c:pt>
                <c:pt idx="199">
                  <c:v>397</c:v>
                </c:pt>
                <c:pt idx="200">
                  <c:v>396.77000000000004</c:v>
                </c:pt>
                <c:pt idx="201">
                  <c:v>405.36</c:v>
                </c:pt>
                <c:pt idx="202">
                  <c:v>396.12</c:v>
                </c:pt>
                <c:pt idx="203">
                  <c:v>404.18999999999994</c:v>
                </c:pt>
                <c:pt idx="204">
                  <c:v>405.40000000000003</c:v>
                </c:pt>
                <c:pt idx="205">
                  <c:v>405.40000000000003</c:v>
                </c:pt>
                <c:pt idx="206">
                  <c:v>407.55</c:v>
                </c:pt>
                <c:pt idx="207">
                  <c:v>409.31</c:v>
                </c:pt>
                <c:pt idx="208">
                  <c:v>416.97</c:v>
                </c:pt>
                <c:pt idx="209">
                  <c:v>411.97</c:v>
                </c:pt>
                <c:pt idx="210">
                  <c:v>426.35</c:v>
                </c:pt>
                <c:pt idx="211">
                  <c:v>434.37</c:v>
                </c:pt>
                <c:pt idx="212">
                  <c:v>429.68</c:v>
                </c:pt>
                <c:pt idx="213">
                  <c:v>433.39000000000004</c:v>
                </c:pt>
                <c:pt idx="214">
                  <c:v>434.90000000000003</c:v>
                </c:pt>
                <c:pt idx="215">
                  <c:v>446.02000000000004</c:v>
                </c:pt>
                <c:pt idx="216">
                  <c:v>446.02000000000004</c:v>
                </c:pt>
                <c:pt idx="217">
                  <c:v>456.17</c:v>
                </c:pt>
                <c:pt idx="218">
                  <c:v>449.46000000000004</c:v>
                </c:pt>
                <c:pt idx="219">
                  <c:v>457.13000000000005</c:v>
                </c:pt>
                <c:pt idx="220">
                  <c:v>450.19000000000011</c:v>
                </c:pt>
                <c:pt idx="221">
                  <c:v>450.19000000000011</c:v>
                </c:pt>
                <c:pt idx="222">
                  <c:v>459.06000000000012</c:v>
                </c:pt>
                <c:pt idx="223">
                  <c:v>467.96000000000009</c:v>
                </c:pt>
                <c:pt idx="224">
                  <c:v>485.16000000000008</c:v>
                </c:pt>
                <c:pt idx="225">
                  <c:v>477.47000000000008</c:v>
                </c:pt>
                <c:pt idx="226">
                  <c:v>486.35000000000008</c:v>
                </c:pt>
                <c:pt idx="227">
                  <c:v>486.35000000000008</c:v>
                </c:pt>
                <c:pt idx="228">
                  <c:v>494.74000000000007</c:v>
                </c:pt>
                <c:pt idx="229">
                  <c:v>494.74000000000007</c:v>
                </c:pt>
                <c:pt idx="230">
                  <c:v>487.84000000000009</c:v>
                </c:pt>
                <c:pt idx="231">
                  <c:v>493.60000000000014</c:v>
                </c:pt>
                <c:pt idx="232">
                  <c:v>493.60000000000014</c:v>
                </c:pt>
                <c:pt idx="233">
                  <c:v>494.80000000000013</c:v>
                </c:pt>
                <c:pt idx="234">
                  <c:v>487.84000000000009</c:v>
                </c:pt>
                <c:pt idx="235">
                  <c:v>489.03000000000009</c:v>
                </c:pt>
                <c:pt idx="236">
                  <c:v>497.59000000000009</c:v>
                </c:pt>
                <c:pt idx="237">
                  <c:v>497.59000000000009</c:v>
                </c:pt>
                <c:pt idx="238">
                  <c:v>511.11000000000007</c:v>
                </c:pt>
                <c:pt idx="239">
                  <c:v>505.56000000000012</c:v>
                </c:pt>
                <c:pt idx="240">
                  <c:v>506.7000000000001</c:v>
                </c:pt>
                <c:pt idx="241">
                  <c:v>499.71000000000009</c:v>
                </c:pt>
                <c:pt idx="242">
                  <c:v>505.35000000000008</c:v>
                </c:pt>
                <c:pt idx="243">
                  <c:v>512.15000000000009</c:v>
                </c:pt>
                <c:pt idx="244">
                  <c:v>499.75000000000006</c:v>
                </c:pt>
                <c:pt idx="245">
                  <c:v>514.18000000000006</c:v>
                </c:pt>
                <c:pt idx="246">
                  <c:v>514.2700000000001</c:v>
                </c:pt>
                <c:pt idx="247">
                  <c:v>525.82000000000005</c:v>
                </c:pt>
                <c:pt idx="248">
                  <c:v>534.28000000000009</c:v>
                </c:pt>
                <c:pt idx="249">
                  <c:v>524.93000000000006</c:v>
                </c:pt>
                <c:pt idx="250">
                  <c:v>533.18000000000006</c:v>
                </c:pt>
                <c:pt idx="251">
                  <c:v>535.26</c:v>
                </c:pt>
                <c:pt idx="252">
                  <c:v>529.04</c:v>
                </c:pt>
                <c:pt idx="253">
                  <c:v>532.52</c:v>
                </c:pt>
                <c:pt idx="254">
                  <c:v>532.52</c:v>
                </c:pt>
                <c:pt idx="255">
                  <c:v>534.75999999999988</c:v>
                </c:pt>
                <c:pt idx="256">
                  <c:v>527.24999999999989</c:v>
                </c:pt>
                <c:pt idx="257">
                  <c:v>527.24999999999989</c:v>
                </c:pt>
                <c:pt idx="258">
                  <c:v>514.27</c:v>
                </c:pt>
                <c:pt idx="259">
                  <c:v>525.11999999999989</c:v>
                </c:pt>
                <c:pt idx="260">
                  <c:v>525.80999999999995</c:v>
                </c:pt>
                <c:pt idx="261">
                  <c:v>525.80999999999995</c:v>
                </c:pt>
                <c:pt idx="262">
                  <c:v>531.07699999999988</c:v>
                </c:pt>
                <c:pt idx="263">
                  <c:v>532.31700000000001</c:v>
                </c:pt>
                <c:pt idx="264">
                  <c:v>532.31700000000001</c:v>
                </c:pt>
                <c:pt idx="265">
                  <c:v>519.34699999999998</c:v>
                </c:pt>
                <c:pt idx="266">
                  <c:v>529.1869999999999</c:v>
                </c:pt>
                <c:pt idx="267">
                  <c:v>527.09699999999987</c:v>
                </c:pt>
                <c:pt idx="268">
                  <c:v>527.09699999999987</c:v>
                </c:pt>
                <c:pt idx="269">
                  <c:v>527.22699999999998</c:v>
                </c:pt>
                <c:pt idx="270">
                  <c:v>519.29700000000003</c:v>
                </c:pt>
                <c:pt idx="271">
                  <c:v>523.51700000000005</c:v>
                </c:pt>
                <c:pt idx="272">
                  <c:v>511.52699999999993</c:v>
                </c:pt>
                <c:pt idx="273">
                  <c:v>505.40699999999993</c:v>
                </c:pt>
                <c:pt idx="274">
                  <c:v>516.21699999999987</c:v>
                </c:pt>
                <c:pt idx="275">
                  <c:v>526.33699999999988</c:v>
                </c:pt>
                <c:pt idx="276">
                  <c:v>516.02699999999982</c:v>
                </c:pt>
                <c:pt idx="277">
                  <c:v>518.01699999999983</c:v>
                </c:pt>
                <c:pt idx="278">
                  <c:v>518.01699999999983</c:v>
                </c:pt>
                <c:pt idx="279">
                  <c:v>507.80699999999996</c:v>
                </c:pt>
                <c:pt idx="280">
                  <c:v>500.3769999999999</c:v>
                </c:pt>
                <c:pt idx="281">
                  <c:v>500.72699999999986</c:v>
                </c:pt>
                <c:pt idx="282">
                  <c:v>509.29699999999985</c:v>
                </c:pt>
                <c:pt idx="283">
                  <c:v>514.45699999999988</c:v>
                </c:pt>
                <c:pt idx="284">
                  <c:v>515.3069999999999</c:v>
                </c:pt>
                <c:pt idx="285">
                  <c:v>523.48699999999985</c:v>
                </c:pt>
                <c:pt idx="286">
                  <c:v>525.51699999999994</c:v>
                </c:pt>
                <c:pt idx="287">
                  <c:v>518.96699999999998</c:v>
                </c:pt>
                <c:pt idx="288">
                  <c:v>527.03700000000003</c:v>
                </c:pt>
                <c:pt idx="289">
                  <c:v>527.03700000000003</c:v>
                </c:pt>
                <c:pt idx="290">
                  <c:v>534.60699999999997</c:v>
                </c:pt>
                <c:pt idx="291">
                  <c:v>532.85699999999997</c:v>
                </c:pt>
                <c:pt idx="292">
                  <c:v>541.20699999999999</c:v>
                </c:pt>
                <c:pt idx="293">
                  <c:v>527.21699999999998</c:v>
                </c:pt>
                <c:pt idx="294">
                  <c:v>540.03700000000003</c:v>
                </c:pt>
                <c:pt idx="295">
                  <c:v>546.34699999999998</c:v>
                </c:pt>
                <c:pt idx="296">
                  <c:v>537.56699999999989</c:v>
                </c:pt>
                <c:pt idx="297">
                  <c:v>542.51699999999994</c:v>
                </c:pt>
                <c:pt idx="298">
                  <c:v>534.85699999999997</c:v>
                </c:pt>
                <c:pt idx="299">
                  <c:v>534.85699999999997</c:v>
                </c:pt>
                <c:pt idx="300">
                  <c:v>520.47700000000009</c:v>
                </c:pt>
                <c:pt idx="301">
                  <c:v>512.45700000000011</c:v>
                </c:pt>
                <c:pt idx="302">
                  <c:v>512.45700000000011</c:v>
                </c:pt>
                <c:pt idx="303">
                  <c:v>503.29699999999997</c:v>
                </c:pt>
                <c:pt idx="304">
                  <c:v>496.05699999999996</c:v>
                </c:pt>
                <c:pt idx="305">
                  <c:v>484.93699999999995</c:v>
                </c:pt>
                <c:pt idx="306">
                  <c:v>484.93699999999995</c:v>
                </c:pt>
                <c:pt idx="307">
                  <c:v>469.10700000000003</c:v>
                </c:pt>
                <c:pt idx="308">
                  <c:v>469.10700000000003</c:v>
                </c:pt>
                <c:pt idx="309">
                  <c:v>461.43700000000001</c:v>
                </c:pt>
                <c:pt idx="310">
                  <c:v>467.28700000000003</c:v>
                </c:pt>
                <c:pt idx="311">
                  <c:v>467.28700000000003</c:v>
                </c:pt>
                <c:pt idx="312">
                  <c:v>458.41700000000003</c:v>
                </c:pt>
                <c:pt idx="313">
                  <c:v>449.51700000000011</c:v>
                </c:pt>
                <c:pt idx="314">
                  <c:v>432.31700000000012</c:v>
                </c:pt>
                <c:pt idx="315">
                  <c:v>438.38700000000011</c:v>
                </c:pt>
                <c:pt idx="316">
                  <c:v>429.50700000000012</c:v>
                </c:pt>
                <c:pt idx="317">
                  <c:v>429.50700000000012</c:v>
                </c:pt>
                <c:pt idx="318">
                  <c:v>421.11700000000008</c:v>
                </c:pt>
                <c:pt idx="319">
                  <c:v>421.11700000000008</c:v>
                </c:pt>
                <c:pt idx="320">
                  <c:v>421.11700000000008</c:v>
                </c:pt>
                <c:pt idx="321">
                  <c:v>409.25700000000012</c:v>
                </c:pt>
                <c:pt idx="322">
                  <c:v>409.25700000000012</c:v>
                </c:pt>
                <c:pt idx="323">
                  <c:v>402.04700000000003</c:v>
                </c:pt>
                <c:pt idx="324">
                  <c:v>402.04700000000003</c:v>
                </c:pt>
                <c:pt idx="325">
                  <c:v>394.11700000000008</c:v>
                </c:pt>
                <c:pt idx="326">
                  <c:v>385.55700000000002</c:v>
                </c:pt>
                <c:pt idx="327">
                  <c:v>385.55700000000002</c:v>
                </c:pt>
                <c:pt idx="328">
                  <c:v>372.03700000000003</c:v>
                </c:pt>
                <c:pt idx="329">
                  <c:v>372.03700000000003</c:v>
                </c:pt>
                <c:pt idx="330">
                  <c:v>363.83700000000005</c:v>
                </c:pt>
                <c:pt idx="331">
                  <c:v>363.83700000000005</c:v>
                </c:pt>
                <c:pt idx="332">
                  <c:v>352.08700000000005</c:v>
                </c:pt>
                <c:pt idx="333">
                  <c:v>345.28700000000003</c:v>
                </c:pt>
                <c:pt idx="334">
                  <c:v>345.28700000000003</c:v>
                </c:pt>
                <c:pt idx="335">
                  <c:v>330.85700000000003</c:v>
                </c:pt>
                <c:pt idx="336">
                  <c:v>322.65700000000004</c:v>
                </c:pt>
                <c:pt idx="337">
                  <c:v>311.10700000000003</c:v>
                </c:pt>
                <c:pt idx="338">
                  <c:v>302.64700000000005</c:v>
                </c:pt>
                <c:pt idx="339">
                  <c:v>302.64700000000005</c:v>
                </c:pt>
                <c:pt idx="340">
                  <c:v>294.39700000000005</c:v>
                </c:pt>
                <c:pt idx="341">
                  <c:v>280.61700000000002</c:v>
                </c:pt>
                <c:pt idx="342">
                  <c:v>280.61700000000002</c:v>
                </c:pt>
                <c:pt idx="343">
                  <c:v>270.46700000000004</c:v>
                </c:pt>
                <c:pt idx="344">
                  <c:v>270.46700000000004</c:v>
                </c:pt>
                <c:pt idx="345">
                  <c:v>265.15700000000004</c:v>
                </c:pt>
                <c:pt idx="346">
                  <c:v>265.15700000000004</c:v>
                </c:pt>
                <c:pt idx="347">
                  <c:v>265.15700000000004</c:v>
                </c:pt>
                <c:pt idx="348">
                  <c:v>265.15700000000004</c:v>
                </c:pt>
                <c:pt idx="349">
                  <c:v>247.79700000000003</c:v>
                </c:pt>
                <c:pt idx="350">
                  <c:v>239.08699999999999</c:v>
                </c:pt>
                <c:pt idx="351">
                  <c:v>239.08699999999999</c:v>
                </c:pt>
                <c:pt idx="352">
                  <c:v>227.97999999999996</c:v>
                </c:pt>
                <c:pt idx="353">
                  <c:v>219.51999999999998</c:v>
                </c:pt>
                <c:pt idx="354">
                  <c:v>219.51999999999998</c:v>
                </c:pt>
                <c:pt idx="355">
                  <c:v>219.51999999999998</c:v>
                </c:pt>
                <c:pt idx="356">
                  <c:v>203.70999999999998</c:v>
                </c:pt>
                <c:pt idx="357">
                  <c:v>197.87</c:v>
                </c:pt>
                <c:pt idx="358">
                  <c:v>197.87</c:v>
                </c:pt>
                <c:pt idx="359">
                  <c:v>191.02999999999997</c:v>
                </c:pt>
                <c:pt idx="360">
                  <c:v>196.39999999999998</c:v>
                </c:pt>
                <c:pt idx="361">
                  <c:v>192.18</c:v>
                </c:pt>
                <c:pt idx="362">
                  <c:v>197.04000000000002</c:v>
                </c:pt>
                <c:pt idx="363">
                  <c:v>197.04000000000002</c:v>
                </c:pt>
                <c:pt idx="364">
                  <c:v>194.09000000000003</c:v>
                </c:pt>
                <c:pt idx="365">
                  <c:v>183.97000000000003</c:v>
                </c:pt>
                <c:pt idx="366">
                  <c:v>183.97000000000003</c:v>
                </c:pt>
                <c:pt idx="367">
                  <c:v>183.84</c:v>
                </c:pt>
                <c:pt idx="368">
                  <c:v>183.84</c:v>
                </c:pt>
                <c:pt idx="369">
                  <c:v>178.84</c:v>
                </c:pt>
                <c:pt idx="370">
                  <c:v>184.79</c:v>
                </c:pt>
                <c:pt idx="371">
                  <c:v>177.48</c:v>
                </c:pt>
                <c:pt idx="372">
                  <c:v>175.86</c:v>
                </c:pt>
                <c:pt idx="373">
                  <c:v>162.63999999999999</c:v>
                </c:pt>
                <c:pt idx="374">
                  <c:v>161.10999999999999</c:v>
                </c:pt>
                <c:pt idx="375">
                  <c:v>152.93</c:v>
                </c:pt>
                <c:pt idx="376">
                  <c:v>135.6</c:v>
                </c:pt>
                <c:pt idx="377">
                  <c:v>135.6</c:v>
                </c:pt>
                <c:pt idx="378">
                  <c:v>133.25</c:v>
                </c:pt>
                <c:pt idx="379">
                  <c:v>138.59</c:v>
                </c:pt>
                <c:pt idx="380">
                  <c:v>125.03999999999999</c:v>
                </c:pt>
                <c:pt idx="381">
                  <c:v>123.68000000000002</c:v>
                </c:pt>
                <c:pt idx="382">
                  <c:v>118.52</c:v>
                </c:pt>
              </c:numCache>
            </c:numRef>
          </c:val>
          <c:smooth val="0"/>
          <c:extLst>
            <c:ext xmlns:c16="http://schemas.microsoft.com/office/drawing/2014/chart" uri="{C3380CC4-5D6E-409C-BE32-E72D297353CC}">
              <c16:uniqueId val="{00000000-1858-6A49-A64F-23AFA1C64F17}"/>
            </c:ext>
          </c:extLst>
        </c:ser>
        <c:dLbls>
          <c:showLegendKey val="0"/>
          <c:showVal val="0"/>
          <c:showCatName val="0"/>
          <c:showSerName val="0"/>
          <c:showPercent val="0"/>
          <c:showBubbleSize val="0"/>
        </c:dLbls>
        <c:marker val="1"/>
        <c:smooth val="0"/>
        <c:axId val="501449632"/>
        <c:axId val="502599136"/>
      </c:lineChart>
      <c:lineChart>
        <c:grouping val="standard"/>
        <c:varyColors val="0"/>
        <c:ser>
          <c:idx val="1"/>
          <c:order val="1"/>
          <c:tx>
            <c:strRef>
              <c:f>'trailing 90d'!$C$1</c:f>
              <c:strCache>
                <c:ptCount val="1"/>
                <c:pt idx="0">
                  <c:v>365d</c:v>
                </c:pt>
              </c:strCache>
            </c:strRef>
          </c:tx>
          <c:spPr>
            <a:ln w="28575" cap="rnd">
              <a:solidFill>
                <a:schemeClr val="accent2"/>
              </a:solidFill>
              <a:round/>
            </a:ln>
            <a:effectLst/>
          </c:spPr>
          <c:marker>
            <c:symbol val="none"/>
          </c:marker>
          <c:cat>
            <c:numRef>
              <c:f>'trailing 90d'!$A$395:$A$777</c:f>
              <c:numCache>
                <c:formatCode>ddd\ dd\.mm</c:formatCode>
                <c:ptCount val="383"/>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numCache>
            </c:numRef>
          </c:cat>
          <c:val>
            <c:numRef>
              <c:f>'trailing 90d'!$C$395:$C$777</c:f>
              <c:numCache>
                <c:formatCode>0</c:formatCode>
                <c:ptCount val="383"/>
                <c:pt idx="0">
                  <c:v>1548.2599999999998</c:v>
                </c:pt>
                <c:pt idx="1">
                  <c:v>1548.2599999999998</c:v>
                </c:pt>
                <c:pt idx="2">
                  <c:v>1545.5699999999995</c:v>
                </c:pt>
                <c:pt idx="3">
                  <c:v>1545.5699999999995</c:v>
                </c:pt>
                <c:pt idx="4">
                  <c:v>1544.0499999999995</c:v>
                </c:pt>
                <c:pt idx="5">
                  <c:v>1544.0499999999995</c:v>
                </c:pt>
                <c:pt idx="6">
                  <c:v>1546.0099999999993</c:v>
                </c:pt>
                <c:pt idx="7">
                  <c:v>1546.0099999999993</c:v>
                </c:pt>
                <c:pt idx="8">
                  <c:v>1537.0699999999995</c:v>
                </c:pt>
                <c:pt idx="9">
                  <c:v>1537.0699999999995</c:v>
                </c:pt>
                <c:pt idx="10">
                  <c:v>1539.0599999999993</c:v>
                </c:pt>
                <c:pt idx="11">
                  <c:v>1528.9199999999996</c:v>
                </c:pt>
                <c:pt idx="12">
                  <c:v>1528.9199999999996</c:v>
                </c:pt>
                <c:pt idx="13">
                  <c:v>1518.7899999999995</c:v>
                </c:pt>
                <c:pt idx="14">
                  <c:v>1518.7899999999995</c:v>
                </c:pt>
                <c:pt idx="15">
                  <c:v>1507.3499999999995</c:v>
                </c:pt>
                <c:pt idx="16">
                  <c:v>1507.3499999999995</c:v>
                </c:pt>
                <c:pt idx="17">
                  <c:v>1497.2099999999996</c:v>
                </c:pt>
                <c:pt idx="18">
                  <c:v>1486.7699999999995</c:v>
                </c:pt>
                <c:pt idx="19">
                  <c:v>1486.7699999999995</c:v>
                </c:pt>
                <c:pt idx="20">
                  <c:v>1483.6599999999994</c:v>
                </c:pt>
                <c:pt idx="21">
                  <c:v>1483.6599999999994</c:v>
                </c:pt>
                <c:pt idx="22">
                  <c:v>1478.1599999999996</c:v>
                </c:pt>
                <c:pt idx="23">
                  <c:v>1478.1599999999996</c:v>
                </c:pt>
                <c:pt idx="24">
                  <c:v>1476.2099999999996</c:v>
                </c:pt>
                <c:pt idx="25">
                  <c:v>1473.2799999999993</c:v>
                </c:pt>
                <c:pt idx="26">
                  <c:v>1473.2799999999993</c:v>
                </c:pt>
                <c:pt idx="27">
                  <c:v>1467.6199999999994</c:v>
                </c:pt>
                <c:pt idx="28">
                  <c:v>1467.6199999999994</c:v>
                </c:pt>
                <c:pt idx="29">
                  <c:v>1451.4599999999991</c:v>
                </c:pt>
                <c:pt idx="30">
                  <c:v>1457.7899999999991</c:v>
                </c:pt>
                <c:pt idx="31">
                  <c:v>1449.9499999999991</c:v>
                </c:pt>
                <c:pt idx="32">
                  <c:v>1455.7899999999991</c:v>
                </c:pt>
                <c:pt idx="33">
                  <c:v>1452.0699999999988</c:v>
                </c:pt>
                <c:pt idx="34">
                  <c:v>1452.0699999999988</c:v>
                </c:pt>
                <c:pt idx="35">
                  <c:v>1452.7899999999988</c:v>
                </c:pt>
                <c:pt idx="36">
                  <c:v>1459.5999999999988</c:v>
                </c:pt>
                <c:pt idx="37">
                  <c:v>1466.8699999999988</c:v>
                </c:pt>
                <c:pt idx="38">
                  <c:v>1456.7399999999989</c:v>
                </c:pt>
                <c:pt idx="39">
                  <c:v>1454.7899999999988</c:v>
                </c:pt>
                <c:pt idx="40">
                  <c:v>1451.0599999999988</c:v>
                </c:pt>
                <c:pt idx="41">
                  <c:v>1438.3399999999988</c:v>
                </c:pt>
                <c:pt idx="42">
                  <c:v>1445.3299999999988</c:v>
                </c:pt>
                <c:pt idx="43">
                  <c:v>1433.7499999999986</c:v>
                </c:pt>
                <c:pt idx="44">
                  <c:v>1443.4899999999986</c:v>
                </c:pt>
                <c:pt idx="45">
                  <c:v>1433.3499999999985</c:v>
                </c:pt>
                <c:pt idx="46">
                  <c:v>1431.7099999999984</c:v>
                </c:pt>
                <c:pt idx="47">
                  <c:v>1423.8599999999985</c:v>
                </c:pt>
                <c:pt idx="48">
                  <c:v>1433.8899999999985</c:v>
                </c:pt>
                <c:pt idx="49">
                  <c:v>1420.6499999999985</c:v>
                </c:pt>
                <c:pt idx="50">
                  <c:v>1407.3699999999988</c:v>
                </c:pt>
                <c:pt idx="51">
                  <c:v>1416.5899999999988</c:v>
                </c:pt>
                <c:pt idx="52">
                  <c:v>1416.5899999999988</c:v>
                </c:pt>
                <c:pt idx="53">
                  <c:v>1410.2199999999989</c:v>
                </c:pt>
                <c:pt idx="54">
                  <c:v>1406.4299999999992</c:v>
                </c:pt>
                <c:pt idx="55">
                  <c:v>1405.8299999999992</c:v>
                </c:pt>
                <c:pt idx="56">
                  <c:v>1397.8999999999992</c:v>
                </c:pt>
                <c:pt idx="57">
                  <c:v>1405.1399999999992</c:v>
                </c:pt>
                <c:pt idx="58">
                  <c:v>1392.9999999999991</c:v>
                </c:pt>
                <c:pt idx="59">
                  <c:v>1392.9999999999991</c:v>
                </c:pt>
                <c:pt idx="60">
                  <c:v>1387.9599999999994</c:v>
                </c:pt>
                <c:pt idx="61">
                  <c:v>1387.0099999999993</c:v>
                </c:pt>
                <c:pt idx="62">
                  <c:v>1387.0099999999993</c:v>
                </c:pt>
                <c:pt idx="63">
                  <c:v>1387.9099999999992</c:v>
                </c:pt>
                <c:pt idx="64">
                  <c:v>1387.9099999999992</c:v>
                </c:pt>
                <c:pt idx="65">
                  <c:v>1389.7699999999991</c:v>
                </c:pt>
                <c:pt idx="66">
                  <c:v>1397.6899999999991</c:v>
                </c:pt>
                <c:pt idx="67">
                  <c:v>1387.569999999999</c:v>
                </c:pt>
                <c:pt idx="68">
                  <c:v>1387.569999999999</c:v>
                </c:pt>
                <c:pt idx="69">
                  <c:v>1377.4499999999989</c:v>
                </c:pt>
                <c:pt idx="70">
                  <c:v>1377.4499999999989</c:v>
                </c:pt>
                <c:pt idx="71">
                  <c:v>1361.9099999999989</c:v>
                </c:pt>
                <c:pt idx="72">
                  <c:v>1361.9099999999989</c:v>
                </c:pt>
                <c:pt idx="73">
                  <c:v>1352.1699999999992</c:v>
                </c:pt>
                <c:pt idx="74">
                  <c:v>1344.059999999999</c:v>
                </c:pt>
                <c:pt idx="75">
                  <c:v>1344.059999999999</c:v>
                </c:pt>
                <c:pt idx="76">
                  <c:v>1334.3099999999993</c:v>
                </c:pt>
                <c:pt idx="77">
                  <c:v>1326.2199999999993</c:v>
                </c:pt>
                <c:pt idx="78">
                  <c:v>1326.2199999999993</c:v>
                </c:pt>
                <c:pt idx="79">
                  <c:v>1314.1599999999994</c:v>
                </c:pt>
                <c:pt idx="80">
                  <c:v>1314.1599999999994</c:v>
                </c:pt>
                <c:pt idx="81">
                  <c:v>1308.3999999999996</c:v>
                </c:pt>
                <c:pt idx="82">
                  <c:v>1296.0199999999995</c:v>
                </c:pt>
                <c:pt idx="83">
                  <c:v>1291.4999999999995</c:v>
                </c:pt>
                <c:pt idx="84">
                  <c:v>1291.4999999999995</c:v>
                </c:pt>
                <c:pt idx="85">
                  <c:v>1282.6499999999996</c:v>
                </c:pt>
                <c:pt idx="86">
                  <c:v>1282.6499999999996</c:v>
                </c:pt>
                <c:pt idx="87">
                  <c:v>1280.5899999999995</c:v>
                </c:pt>
                <c:pt idx="88">
                  <c:v>1287.0299999999995</c:v>
                </c:pt>
                <c:pt idx="89">
                  <c:v>1284.5499999999993</c:v>
                </c:pt>
                <c:pt idx="90">
                  <c:v>1277.2999999999995</c:v>
                </c:pt>
                <c:pt idx="91">
                  <c:v>1277.7699999999995</c:v>
                </c:pt>
                <c:pt idx="92">
                  <c:v>1277.7699999999995</c:v>
                </c:pt>
                <c:pt idx="93">
                  <c:v>1263.0200000000002</c:v>
                </c:pt>
                <c:pt idx="94">
                  <c:v>1272.2200000000003</c:v>
                </c:pt>
                <c:pt idx="95">
                  <c:v>1269.19</c:v>
                </c:pt>
                <c:pt idx="96">
                  <c:v>1263.31</c:v>
                </c:pt>
                <c:pt idx="97">
                  <c:v>1281.21</c:v>
                </c:pt>
                <c:pt idx="98">
                  <c:v>1271.1300000000003</c:v>
                </c:pt>
                <c:pt idx="99">
                  <c:v>1271.1300000000003</c:v>
                </c:pt>
                <c:pt idx="100">
                  <c:v>1268.1800000000003</c:v>
                </c:pt>
                <c:pt idx="101">
                  <c:v>1268.1800000000003</c:v>
                </c:pt>
                <c:pt idx="102">
                  <c:v>1257.8500000000001</c:v>
                </c:pt>
                <c:pt idx="103">
                  <c:v>1257.8500000000001</c:v>
                </c:pt>
                <c:pt idx="104">
                  <c:v>1257.2700000000004</c:v>
                </c:pt>
                <c:pt idx="105">
                  <c:v>1263.5400000000004</c:v>
                </c:pt>
                <c:pt idx="106">
                  <c:v>1259.8600000000004</c:v>
                </c:pt>
                <c:pt idx="107">
                  <c:v>1268.4700000000003</c:v>
                </c:pt>
                <c:pt idx="108">
                  <c:v>1268.4700000000003</c:v>
                </c:pt>
                <c:pt idx="109">
                  <c:v>1264.73</c:v>
                </c:pt>
                <c:pt idx="110">
                  <c:v>1270.94</c:v>
                </c:pt>
                <c:pt idx="111">
                  <c:v>1260.6400000000001</c:v>
                </c:pt>
                <c:pt idx="112">
                  <c:v>1269.8800000000001</c:v>
                </c:pt>
                <c:pt idx="113">
                  <c:v>1258.45</c:v>
                </c:pt>
                <c:pt idx="114">
                  <c:v>1263.96</c:v>
                </c:pt>
                <c:pt idx="115">
                  <c:v>1252.6700000000003</c:v>
                </c:pt>
                <c:pt idx="116">
                  <c:v>1259.3000000000004</c:v>
                </c:pt>
                <c:pt idx="117">
                  <c:v>1254.9200000000003</c:v>
                </c:pt>
                <c:pt idx="118">
                  <c:v>1247.4700000000003</c:v>
                </c:pt>
                <c:pt idx="119">
                  <c:v>1252.4700000000003</c:v>
                </c:pt>
                <c:pt idx="120">
                  <c:v>1231.8900000000003</c:v>
                </c:pt>
                <c:pt idx="121">
                  <c:v>1231.8900000000003</c:v>
                </c:pt>
                <c:pt idx="122">
                  <c:v>1223.7900000000002</c:v>
                </c:pt>
                <c:pt idx="123">
                  <c:v>1229.2400000000002</c:v>
                </c:pt>
                <c:pt idx="124">
                  <c:v>1222.8700000000003</c:v>
                </c:pt>
                <c:pt idx="125">
                  <c:v>1215.4000000000001</c:v>
                </c:pt>
                <c:pt idx="126">
                  <c:v>1215.4000000000001</c:v>
                </c:pt>
                <c:pt idx="127">
                  <c:v>1221.0800000000002</c:v>
                </c:pt>
                <c:pt idx="128">
                  <c:v>1227.7900000000002</c:v>
                </c:pt>
                <c:pt idx="129">
                  <c:v>1227.7900000000002</c:v>
                </c:pt>
                <c:pt idx="130">
                  <c:v>1234.7300000000002</c:v>
                </c:pt>
                <c:pt idx="131">
                  <c:v>1234.7300000000002</c:v>
                </c:pt>
                <c:pt idx="132">
                  <c:v>1234.7300000000002</c:v>
                </c:pt>
                <c:pt idx="133">
                  <c:v>1234.7300000000002</c:v>
                </c:pt>
                <c:pt idx="134">
                  <c:v>1234.7300000000002</c:v>
                </c:pt>
                <c:pt idx="135">
                  <c:v>1235.0600000000004</c:v>
                </c:pt>
                <c:pt idx="136">
                  <c:v>1235.0600000000004</c:v>
                </c:pt>
                <c:pt idx="137">
                  <c:v>1226.4000000000003</c:v>
                </c:pt>
                <c:pt idx="138">
                  <c:v>1226.4000000000003</c:v>
                </c:pt>
                <c:pt idx="139">
                  <c:v>1218.0200000000004</c:v>
                </c:pt>
                <c:pt idx="140">
                  <c:v>1224.9200000000005</c:v>
                </c:pt>
                <c:pt idx="141">
                  <c:v>1222.5900000000001</c:v>
                </c:pt>
                <c:pt idx="142">
                  <c:v>1222.5900000000001</c:v>
                </c:pt>
                <c:pt idx="143">
                  <c:v>1219.8100000000002</c:v>
                </c:pt>
                <c:pt idx="144">
                  <c:v>1226.7700000000002</c:v>
                </c:pt>
                <c:pt idx="145">
                  <c:v>1223.0800000000002</c:v>
                </c:pt>
                <c:pt idx="146">
                  <c:v>1223.0800000000002</c:v>
                </c:pt>
                <c:pt idx="147">
                  <c:v>1215.0300000000004</c:v>
                </c:pt>
                <c:pt idx="148">
                  <c:v>1215.0300000000004</c:v>
                </c:pt>
                <c:pt idx="149">
                  <c:v>1209.5000000000002</c:v>
                </c:pt>
                <c:pt idx="150">
                  <c:v>1209.0300000000002</c:v>
                </c:pt>
                <c:pt idx="151">
                  <c:v>1216.0200000000002</c:v>
                </c:pt>
                <c:pt idx="152">
                  <c:v>1215.0200000000002</c:v>
                </c:pt>
                <c:pt idx="153">
                  <c:v>1204.8800000000001</c:v>
                </c:pt>
                <c:pt idx="154">
                  <c:v>1217.2800000000002</c:v>
                </c:pt>
                <c:pt idx="155">
                  <c:v>1206.1800000000003</c:v>
                </c:pt>
                <c:pt idx="156">
                  <c:v>1214.2900000000002</c:v>
                </c:pt>
                <c:pt idx="157">
                  <c:v>1200.7400000000002</c:v>
                </c:pt>
                <c:pt idx="158">
                  <c:v>1200.7400000000002</c:v>
                </c:pt>
                <c:pt idx="159">
                  <c:v>1199.8900000000003</c:v>
                </c:pt>
                <c:pt idx="160">
                  <c:v>1191.1600000000001</c:v>
                </c:pt>
                <c:pt idx="161">
                  <c:v>1202.8600000000001</c:v>
                </c:pt>
                <c:pt idx="162">
                  <c:v>1194.5400000000002</c:v>
                </c:pt>
                <c:pt idx="163">
                  <c:v>1201.2100000000003</c:v>
                </c:pt>
                <c:pt idx="164">
                  <c:v>1192.4000000000001</c:v>
                </c:pt>
                <c:pt idx="165">
                  <c:v>1199.46</c:v>
                </c:pt>
                <c:pt idx="166">
                  <c:v>1206.97</c:v>
                </c:pt>
                <c:pt idx="167">
                  <c:v>1194.04</c:v>
                </c:pt>
                <c:pt idx="168">
                  <c:v>1207.02</c:v>
                </c:pt>
                <c:pt idx="169">
                  <c:v>1213.53</c:v>
                </c:pt>
                <c:pt idx="170">
                  <c:v>1221.55</c:v>
                </c:pt>
                <c:pt idx="171">
                  <c:v>1221.55</c:v>
                </c:pt>
                <c:pt idx="172">
                  <c:v>1217.82</c:v>
                </c:pt>
                <c:pt idx="173">
                  <c:v>1225.04</c:v>
                </c:pt>
                <c:pt idx="174">
                  <c:v>1215.53</c:v>
                </c:pt>
                <c:pt idx="175">
                  <c:v>1228.5</c:v>
                </c:pt>
                <c:pt idx="176">
                  <c:v>1221.4699999999998</c:v>
                </c:pt>
                <c:pt idx="177">
                  <c:v>1229.3999999999999</c:v>
                </c:pt>
                <c:pt idx="178">
                  <c:v>1220.8600000000001</c:v>
                </c:pt>
                <c:pt idx="179">
                  <c:v>1227.5700000000002</c:v>
                </c:pt>
                <c:pt idx="180">
                  <c:v>1224.6200000000001</c:v>
                </c:pt>
                <c:pt idx="181">
                  <c:v>1224.6200000000001</c:v>
                </c:pt>
                <c:pt idx="182">
                  <c:v>1236.6100000000001</c:v>
                </c:pt>
                <c:pt idx="183">
                  <c:v>1234.9000000000001</c:v>
                </c:pt>
                <c:pt idx="184">
                  <c:v>1234.9000000000001</c:v>
                </c:pt>
                <c:pt idx="185">
                  <c:v>1225.8200000000002</c:v>
                </c:pt>
                <c:pt idx="186">
                  <c:v>1236.1300000000001</c:v>
                </c:pt>
                <c:pt idx="187">
                  <c:v>1232.5000000000002</c:v>
                </c:pt>
                <c:pt idx="188">
                  <c:v>1224.0200000000002</c:v>
                </c:pt>
                <c:pt idx="189">
                  <c:v>1239.2300000000002</c:v>
                </c:pt>
                <c:pt idx="190">
                  <c:v>1235.6500000000003</c:v>
                </c:pt>
                <c:pt idx="191">
                  <c:v>1242.6100000000004</c:v>
                </c:pt>
                <c:pt idx="192">
                  <c:v>1242.6100000000004</c:v>
                </c:pt>
                <c:pt idx="193">
                  <c:v>1241.7000000000005</c:v>
                </c:pt>
                <c:pt idx="194">
                  <c:v>1241.0000000000002</c:v>
                </c:pt>
                <c:pt idx="195">
                  <c:v>1232.7000000000003</c:v>
                </c:pt>
                <c:pt idx="196">
                  <c:v>1248.0000000000002</c:v>
                </c:pt>
                <c:pt idx="197">
                  <c:v>1245.69</c:v>
                </c:pt>
                <c:pt idx="198">
                  <c:v>1245.69</c:v>
                </c:pt>
                <c:pt idx="199">
                  <c:v>1237.8000000000002</c:v>
                </c:pt>
                <c:pt idx="200">
                  <c:v>1237.7700000000002</c:v>
                </c:pt>
                <c:pt idx="201">
                  <c:v>1234.8600000000001</c:v>
                </c:pt>
                <c:pt idx="202">
                  <c:v>1234.8600000000001</c:v>
                </c:pt>
                <c:pt idx="203">
                  <c:v>1248.8500000000001</c:v>
                </c:pt>
                <c:pt idx="204">
                  <c:v>1246.8100000000002</c:v>
                </c:pt>
                <c:pt idx="205">
                  <c:v>1246.8100000000002</c:v>
                </c:pt>
                <c:pt idx="206">
                  <c:v>1255.5900000000001</c:v>
                </c:pt>
                <c:pt idx="207">
                  <c:v>1262.6500000000001</c:v>
                </c:pt>
                <c:pt idx="208">
                  <c:v>1270.3100000000002</c:v>
                </c:pt>
                <c:pt idx="209">
                  <c:v>1270.3100000000002</c:v>
                </c:pt>
                <c:pt idx="210">
                  <c:v>1284.6900000000003</c:v>
                </c:pt>
                <c:pt idx="211">
                  <c:v>1292.7100000000003</c:v>
                </c:pt>
                <c:pt idx="212">
                  <c:v>1282.79</c:v>
                </c:pt>
                <c:pt idx="213">
                  <c:v>1291.95</c:v>
                </c:pt>
                <c:pt idx="214">
                  <c:v>1289.1900000000003</c:v>
                </c:pt>
                <c:pt idx="215">
                  <c:v>1300.3100000000002</c:v>
                </c:pt>
                <c:pt idx="216">
                  <c:v>1290.5600000000002</c:v>
                </c:pt>
                <c:pt idx="217">
                  <c:v>1306.3900000000001</c:v>
                </c:pt>
                <c:pt idx="218">
                  <c:v>1293.19</c:v>
                </c:pt>
                <c:pt idx="219">
                  <c:v>1300.8600000000001</c:v>
                </c:pt>
                <c:pt idx="220">
                  <c:v>1291.8500000000001</c:v>
                </c:pt>
                <c:pt idx="221">
                  <c:v>1291.8500000000001</c:v>
                </c:pt>
                <c:pt idx="222">
                  <c:v>1294.56</c:v>
                </c:pt>
                <c:pt idx="223">
                  <c:v>1303.46</c:v>
                </c:pt>
                <c:pt idx="224">
                  <c:v>1320.66</c:v>
                </c:pt>
                <c:pt idx="225">
                  <c:v>1320.66</c:v>
                </c:pt>
                <c:pt idx="226">
                  <c:v>1329.5400000000002</c:v>
                </c:pt>
                <c:pt idx="227">
                  <c:v>1329.5400000000002</c:v>
                </c:pt>
                <c:pt idx="228">
                  <c:v>1326.7300000000002</c:v>
                </c:pt>
                <c:pt idx="229">
                  <c:v>1326.7300000000002</c:v>
                </c:pt>
                <c:pt idx="230">
                  <c:v>1316.2300000000002</c:v>
                </c:pt>
                <c:pt idx="231">
                  <c:v>1328.0900000000001</c:v>
                </c:pt>
                <c:pt idx="232">
                  <c:v>1317.5900000000001</c:v>
                </c:pt>
                <c:pt idx="233">
                  <c:v>1324.8000000000002</c:v>
                </c:pt>
                <c:pt idx="234">
                  <c:v>1317.12</c:v>
                </c:pt>
                <c:pt idx="235">
                  <c:v>1325.05</c:v>
                </c:pt>
                <c:pt idx="236">
                  <c:v>1324.5500000000002</c:v>
                </c:pt>
                <c:pt idx="237">
                  <c:v>1317.2700000000002</c:v>
                </c:pt>
                <c:pt idx="238">
                  <c:v>1330.7900000000002</c:v>
                </c:pt>
                <c:pt idx="239">
                  <c:v>1321.02</c:v>
                </c:pt>
                <c:pt idx="240">
                  <c:v>1329.22</c:v>
                </c:pt>
                <c:pt idx="241">
                  <c:v>1329.22</c:v>
                </c:pt>
                <c:pt idx="242">
                  <c:v>1340.97</c:v>
                </c:pt>
                <c:pt idx="243">
                  <c:v>1340.8700000000001</c:v>
                </c:pt>
                <c:pt idx="244">
                  <c:v>1340.8700000000001</c:v>
                </c:pt>
                <c:pt idx="245">
                  <c:v>1355.3000000000002</c:v>
                </c:pt>
                <c:pt idx="246">
                  <c:v>1355.3500000000001</c:v>
                </c:pt>
                <c:pt idx="247">
                  <c:v>1366.9</c:v>
                </c:pt>
                <c:pt idx="248">
                  <c:v>1365.16</c:v>
                </c:pt>
                <c:pt idx="249">
                  <c:v>1365.16</c:v>
                </c:pt>
                <c:pt idx="250">
                  <c:v>1363.3100000000002</c:v>
                </c:pt>
                <c:pt idx="251">
                  <c:v>1377.0900000000001</c:v>
                </c:pt>
                <c:pt idx="252">
                  <c:v>1367.4900000000002</c:v>
                </c:pt>
                <c:pt idx="253">
                  <c:v>1377.6400000000003</c:v>
                </c:pt>
                <c:pt idx="254">
                  <c:v>1377.6400000000003</c:v>
                </c:pt>
                <c:pt idx="255">
                  <c:v>1374.5400000000004</c:v>
                </c:pt>
                <c:pt idx="256">
                  <c:v>1374.5400000000004</c:v>
                </c:pt>
                <c:pt idx="257">
                  <c:v>1367.1000000000001</c:v>
                </c:pt>
                <c:pt idx="258">
                  <c:v>1367.1000000000001</c:v>
                </c:pt>
                <c:pt idx="259">
                  <c:v>1384.46</c:v>
                </c:pt>
                <c:pt idx="260">
                  <c:v>1383.8600000000001</c:v>
                </c:pt>
                <c:pt idx="261">
                  <c:v>1383.8600000000001</c:v>
                </c:pt>
                <c:pt idx="262">
                  <c:v>1394.9670000000001</c:v>
                </c:pt>
                <c:pt idx="263">
                  <c:v>1403.4270000000001</c:v>
                </c:pt>
                <c:pt idx="264">
                  <c:v>1403.4270000000001</c:v>
                </c:pt>
                <c:pt idx="265">
                  <c:v>1403.4270000000001</c:v>
                </c:pt>
                <c:pt idx="266">
                  <c:v>1419.2370000000001</c:v>
                </c:pt>
                <c:pt idx="267">
                  <c:v>1425.077</c:v>
                </c:pt>
                <c:pt idx="268">
                  <c:v>1414.4770000000001</c:v>
                </c:pt>
                <c:pt idx="269">
                  <c:v>1421.317</c:v>
                </c:pt>
                <c:pt idx="270">
                  <c:v>1415.057</c:v>
                </c:pt>
                <c:pt idx="271">
                  <c:v>1419.277</c:v>
                </c:pt>
                <c:pt idx="272">
                  <c:v>1419.277</c:v>
                </c:pt>
                <c:pt idx="273">
                  <c:v>1419.277</c:v>
                </c:pt>
                <c:pt idx="274">
                  <c:v>1415.787</c:v>
                </c:pt>
                <c:pt idx="275">
                  <c:v>1425.9069999999999</c:v>
                </c:pt>
                <c:pt idx="276">
                  <c:v>1425.9069999999999</c:v>
                </c:pt>
                <c:pt idx="277">
                  <c:v>1434.1369999999999</c:v>
                </c:pt>
                <c:pt idx="278">
                  <c:v>1426.587</c:v>
                </c:pt>
                <c:pt idx="279">
                  <c:v>1431.587</c:v>
                </c:pt>
                <c:pt idx="280">
                  <c:v>1431.587</c:v>
                </c:pt>
                <c:pt idx="281">
                  <c:v>1438.8969999999999</c:v>
                </c:pt>
                <c:pt idx="282">
                  <c:v>1437.3669999999995</c:v>
                </c:pt>
                <c:pt idx="283">
                  <c:v>1450.5869999999995</c:v>
                </c:pt>
                <c:pt idx="284">
                  <c:v>1458.0469999999996</c:v>
                </c:pt>
                <c:pt idx="285">
                  <c:v>1466.2269999999996</c:v>
                </c:pt>
                <c:pt idx="286">
                  <c:v>1483.5569999999996</c:v>
                </c:pt>
                <c:pt idx="287">
                  <c:v>1483.5569999999996</c:v>
                </c:pt>
                <c:pt idx="288">
                  <c:v>1491.6269999999995</c:v>
                </c:pt>
                <c:pt idx="289">
                  <c:v>1491.6269999999995</c:v>
                </c:pt>
                <c:pt idx="290">
                  <c:v>1505.1769999999995</c:v>
                </c:pt>
                <c:pt idx="291">
                  <c:v>1512.0169999999994</c:v>
                </c:pt>
                <c:pt idx="292">
                  <c:v>1520.3669999999993</c:v>
                </c:pt>
                <c:pt idx="293">
                  <c:v>1520.3669999999993</c:v>
                </c:pt>
                <c:pt idx="294">
                  <c:v>1539.9069999999992</c:v>
                </c:pt>
                <c:pt idx="295">
                  <c:v>1546.2169999999992</c:v>
                </c:pt>
                <c:pt idx="296">
                  <c:v>1546.2169999999992</c:v>
                </c:pt>
                <c:pt idx="297">
                  <c:v>1558.2269999999992</c:v>
                </c:pt>
                <c:pt idx="298">
                  <c:v>1558.2269999999992</c:v>
                </c:pt>
                <c:pt idx="299">
                  <c:v>1558.2269999999992</c:v>
                </c:pt>
                <c:pt idx="300">
                  <c:v>1558.2269999999992</c:v>
                </c:pt>
                <c:pt idx="301">
                  <c:v>1558.2269999999992</c:v>
                </c:pt>
                <c:pt idx="302">
                  <c:v>1558.2269999999992</c:v>
                </c:pt>
                <c:pt idx="303">
                  <c:v>1558.2269999999992</c:v>
                </c:pt>
                <c:pt idx="304">
                  <c:v>1558.2269999999992</c:v>
                </c:pt>
                <c:pt idx="305">
                  <c:v>1558.2269999999992</c:v>
                </c:pt>
                <c:pt idx="306">
                  <c:v>1558.2269999999992</c:v>
                </c:pt>
                <c:pt idx="307">
                  <c:v>1558.2269999999992</c:v>
                </c:pt>
                <c:pt idx="308">
                  <c:v>1558.2269999999992</c:v>
                </c:pt>
                <c:pt idx="309">
                  <c:v>1558.2269999999992</c:v>
                </c:pt>
                <c:pt idx="310">
                  <c:v>1564.0769999999991</c:v>
                </c:pt>
                <c:pt idx="311">
                  <c:v>1564.0769999999991</c:v>
                </c:pt>
                <c:pt idx="312">
                  <c:v>1558.7069999999992</c:v>
                </c:pt>
                <c:pt idx="313">
                  <c:v>1558.7069999999992</c:v>
                </c:pt>
                <c:pt idx="314">
                  <c:v>1552.7269999999992</c:v>
                </c:pt>
                <c:pt idx="315">
                  <c:v>1558.7969999999991</c:v>
                </c:pt>
                <c:pt idx="316">
                  <c:v>1558.7969999999991</c:v>
                </c:pt>
                <c:pt idx="317">
                  <c:v>1553.2969999999991</c:v>
                </c:pt>
                <c:pt idx="318">
                  <c:v>1553.2969999999991</c:v>
                </c:pt>
                <c:pt idx="319">
                  <c:v>1553.2969999999991</c:v>
                </c:pt>
                <c:pt idx="320">
                  <c:v>1547.0669999999991</c:v>
                </c:pt>
                <c:pt idx="321">
                  <c:v>1547.0669999999991</c:v>
                </c:pt>
                <c:pt idx="322">
                  <c:v>1540.396999999999</c:v>
                </c:pt>
                <c:pt idx="323">
                  <c:v>1540.396999999999</c:v>
                </c:pt>
                <c:pt idx="324">
                  <c:v>1533.476999999999</c:v>
                </c:pt>
                <c:pt idx="325">
                  <c:v>1533.476999999999</c:v>
                </c:pt>
                <c:pt idx="326">
                  <c:v>1526.206999999999</c:v>
                </c:pt>
                <c:pt idx="327">
                  <c:v>1526.206999999999</c:v>
                </c:pt>
                <c:pt idx="328">
                  <c:v>1519.0369999999994</c:v>
                </c:pt>
                <c:pt idx="329">
                  <c:v>1519.0369999999994</c:v>
                </c:pt>
                <c:pt idx="330">
                  <c:v>1510.6069999999993</c:v>
                </c:pt>
                <c:pt idx="331">
                  <c:v>1510.6069999999993</c:v>
                </c:pt>
                <c:pt idx="332">
                  <c:v>1510.6069999999993</c:v>
                </c:pt>
                <c:pt idx="333">
                  <c:v>1504.0669999999991</c:v>
                </c:pt>
                <c:pt idx="334">
                  <c:v>1504.0669999999991</c:v>
                </c:pt>
                <c:pt idx="335">
                  <c:v>1497.8269999999993</c:v>
                </c:pt>
                <c:pt idx="336">
                  <c:v>1497.8269999999993</c:v>
                </c:pt>
                <c:pt idx="337">
                  <c:v>1497.8269999999993</c:v>
                </c:pt>
                <c:pt idx="338">
                  <c:v>1497.8269999999993</c:v>
                </c:pt>
                <c:pt idx="339">
                  <c:v>1497.8269999999993</c:v>
                </c:pt>
                <c:pt idx="340">
                  <c:v>1497.8269999999993</c:v>
                </c:pt>
                <c:pt idx="341">
                  <c:v>1489.0869999999993</c:v>
                </c:pt>
                <c:pt idx="342">
                  <c:v>1489.0869999999993</c:v>
                </c:pt>
                <c:pt idx="343">
                  <c:v>1489.0869999999993</c:v>
                </c:pt>
                <c:pt idx="344">
                  <c:v>1489.0869999999993</c:v>
                </c:pt>
                <c:pt idx="345">
                  <c:v>1487.4869999999992</c:v>
                </c:pt>
                <c:pt idx="346">
                  <c:v>1487.4869999999992</c:v>
                </c:pt>
                <c:pt idx="347">
                  <c:v>1487.4869999999992</c:v>
                </c:pt>
                <c:pt idx="348">
                  <c:v>1487.4869999999992</c:v>
                </c:pt>
                <c:pt idx="349">
                  <c:v>1487.4869999999992</c:v>
                </c:pt>
                <c:pt idx="350">
                  <c:v>1487.4869999999992</c:v>
                </c:pt>
                <c:pt idx="351">
                  <c:v>1487.4869999999992</c:v>
                </c:pt>
                <c:pt idx="352">
                  <c:v>1487.4869999999992</c:v>
                </c:pt>
                <c:pt idx="353">
                  <c:v>1480.7769999999991</c:v>
                </c:pt>
                <c:pt idx="354">
                  <c:v>1480.7769999999991</c:v>
                </c:pt>
                <c:pt idx="355">
                  <c:v>1471.926999999999</c:v>
                </c:pt>
                <c:pt idx="356">
                  <c:v>1471.926999999999</c:v>
                </c:pt>
                <c:pt idx="357">
                  <c:v>1471.926999999999</c:v>
                </c:pt>
                <c:pt idx="358">
                  <c:v>1461.626999999999</c:v>
                </c:pt>
                <c:pt idx="359">
                  <c:v>1461.626999999999</c:v>
                </c:pt>
                <c:pt idx="360">
                  <c:v>1466.9969999999989</c:v>
                </c:pt>
                <c:pt idx="361">
                  <c:v>1454.8969999999988</c:v>
                </c:pt>
                <c:pt idx="362">
                  <c:v>1459.7569999999987</c:v>
                </c:pt>
                <c:pt idx="363">
                  <c:v>1450.3969999999986</c:v>
                </c:pt>
                <c:pt idx="364">
                  <c:v>1458.2569999999985</c:v>
                </c:pt>
                <c:pt idx="365">
                  <c:v>1445.0569999999984</c:v>
                </c:pt>
                <c:pt idx="366">
                  <c:v>1445.0569999999984</c:v>
                </c:pt>
                <c:pt idx="367">
                  <c:v>1453.1569999999983</c:v>
                </c:pt>
                <c:pt idx="368">
                  <c:v>1445.1469999999983</c:v>
                </c:pt>
                <c:pt idx="369">
                  <c:v>1445.1469999999983</c:v>
                </c:pt>
                <c:pt idx="370">
                  <c:v>1441.7869999999984</c:v>
                </c:pt>
                <c:pt idx="371">
                  <c:v>1441.7869999999984</c:v>
                </c:pt>
                <c:pt idx="372">
                  <c:v>1436.1369999999984</c:v>
                </c:pt>
                <c:pt idx="373">
                  <c:v>1436.1369999999984</c:v>
                </c:pt>
                <c:pt idx="374">
                  <c:v>1442.0669999999984</c:v>
                </c:pt>
                <c:pt idx="375">
                  <c:v>1442.0669999999984</c:v>
                </c:pt>
                <c:pt idx="376">
                  <c:v>1431.7669999999985</c:v>
                </c:pt>
                <c:pt idx="377">
                  <c:v>1431.7669999999985</c:v>
                </c:pt>
                <c:pt idx="378">
                  <c:v>1437.4869999999985</c:v>
                </c:pt>
                <c:pt idx="379">
                  <c:v>1442.8269999999984</c:v>
                </c:pt>
                <c:pt idx="380">
                  <c:v>1442.8269999999984</c:v>
                </c:pt>
                <c:pt idx="381">
                  <c:v>1448.3069999999984</c:v>
                </c:pt>
                <c:pt idx="382">
                  <c:v>1451.4969999999985</c:v>
                </c:pt>
              </c:numCache>
            </c:numRef>
          </c:val>
          <c:smooth val="0"/>
          <c:extLst>
            <c:ext xmlns:c16="http://schemas.microsoft.com/office/drawing/2014/chart" uri="{C3380CC4-5D6E-409C-BE32-E72D297353CC}">
              <c16:uniqueId val="{00000001-1858-6A49-A64F-23AFA1C64F17}"/>
            </c:ext>
          </c:extLst>
        </c:ser>
        <c:dLbls>
          <c:showLegendKey val="0"/>
          <c:showVal val="0"/>
          <c:showCatName val="0"/>
          <c:showSerName val="0"/>
          <c:showPercent val="0"/>
          <c:showBubbleSize val="0"/>
        </c:dLbls>
        <c:marker val="1"/>
        <c:smooth val="0"/>
        <c:axId val="502772912"/>
        <c:axId val="502769392"/>
      </c:lineChart>
      <c:dateAx>
        <c:axId val="501449632"/>
        <c:scaling>
          <c:orientation val="minMax"/>
        </c:scaling>
        <c:delete val="0"/>
        <c:axPos val="b"/>
        <c:numFmt formatCode="ddd\ 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02599136"/>
        <c:crosses val="autoZero"/>
        <c:auto val="1"/>
        <c:lblOffset val="100"/>
        <c:baseTimeUnit val="days"/>
      </c:dateAx>
      <c:valAx>
        <c:axId val="502599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01449632"/>
        <c:crosses val="autoZero"/>
        <c:crossBetween val="between"/>
      </c:valAx>
      <c:valAx>
        <c:axId val="502769392"/>
        <c:scaling>
          <c:orientation val="minMax"/>
          <c:min val="100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02772912"/>
        <c:crosses val="max"/>
        <c:crossBetween val="between"/>
      </c:valAx>
      <c:dateAx>
        <c:axId val="502772912"/>
        <c:scaling>
          <c:orientation val="minMax"/>
        </c:scaling>
        <c:delete val="1"/>
        <c:axPos val="b"/>
        <c:numFmt formatCode="ddd\ dd\.mm" sourceLinked="1"/>
        <c:majorTickMark val="out"/>
        <c:minorTickMark val="none"/>
        <c:tickLblPos val="nextTo"/>
        <c:crossAx val="502769392"/>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[training_data.xlsx]ECOR!PivotTable2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ECOR!$D$5</c:f>
              <c:strCache>
                <c:ptCount val="1"/>
                <c:pt idx="0">
                  <c:v>Total</c:v>
                </c:pt>
              </c:strCache>
            </c:strRef>
          </c:tx>
          <c:spPr>
            <a:solidFill>
              <a:schemeClr val="accent1"/>
            </a:solidFill>
            <a:ln>
              <a:noFill/>
            </a:ln>
            <a:effectLst/>
          </c:spPr>
          <c:invertIfNegative val="0"/>
          <c:cat>
            <c:strRef>
              <c:f>ECOR!$C$6:$C$18</c:f>
              <c:strCache>
                <c:ptCount val="12"/>
                <c:pt idx="0">
                  <c:v>Z2.30'</c:v>
                </c:pt>
                <c:pt idx="1">
                  <c:v>Z2.40'</c:v>
                </c:pt>
                <c:pt idx="2">
                  <c:v>Z2.6</c:v>
                </c:pt>
                <c:pt idx="3">
                  <c:v>Z2.90'</c:v>
                </c:pt>
                <c:pt idx="4">
                  <c:v>Z2.100'</c:v>
                </c:pt>
                <c:pt idx="5">
                  <c:v>Z2.45'</c:v>
                </c:pt>
                <c:pt idx="6">
                  <c:v>Z2.80'</c:v>
                </c:pt>
                <c:pt idx="7">
                  <c:v>Z2.70'</c:v>
                </c:pt>
                <c:pt idx="8">
                  <c:v>Z2.60'</c:v>
                </c:pt>
                <c:pt idx="9">
                  <c:v>Z2.8</c:v>
                </c:pt>
                <c:pt idx="10">
                  <c:v>Z2.110'</c:v>
                </c:pt>
                <c:pt idx="11">
                  <c:v>Z2.2h</c:v>
                </c:pt>
              </c:strCache>
            </c:strRef>
          </c:cat>
          <c:val>
            <c:numRef>
              <c:f>ECOR!$D$6:$D$18</c:f>
              <c:numCache>
                <c:formatCode>0.0000</c:formatCode>
                <c:ptCount val="12"/>
                <c:pt idx="0">
                  <c:v>1.0639026664749811</c:v>
                </c:pt>
                <c:pt idx="1">
                  <c:v>1.0647303449843915</c:v>
                </c:pt>
                <c:pt idx="2">
                  <c:v>1.067054046462752</c:v>
                </c:pt>
                <c:pt idx="3">
                  <c:v>1.072752508143948</c:v>
                </c:pt>
                <c:pt idx="4">
                  <c:v>1.0741619170696746</c:v>
                </c:pt>
                <c:pt idx="5">
                  <c:v>1.0743644986773457</c:v>
                </c:pt>
                <c:pt idx="6">
                  <c:v>1.0778477557867536</c:v>
                </c:pt>
                <c:pt idx="7">
                  <c:v>1.0782812694260235</c:v>
                </c:pt>
                <c:pt idx="8">
                  <c:v>1.0786699741051373</c:v>
                </c:pt>
                <c:pt idx="9">
                  <c:v>1.083982416557165</c:v>
                </c:pt>
                <c:pt idx="10">
                  <c:v>1.0847604738952266</c:v>
                </c:pt>
                <c:pt idx="11">
                  <c:v>1.0852063871160729</c:v>
                </c:pt>
              </c:numCache>
            </c:numRef>
          </c:val>
          <c:extLst>
            <c:ext xmlns:c16="http://schemas.microsoft.com/office/drawing/2014/chart" uri="{C3380CC4-5D6E-409C-BE32-E72D297353CC}">
              <c16:uniqueId val="{00000000-14B7-A043-900C-0DC1C8B15BCE}"/>
            </c:ext>
          </c:extLst>
        </c:ser>
        <c:dLbls>
          <c:showLegendKey val="0"/>
          <c:showVal val="0"/>
          <c:showCatName val="0"/>
          <c:showSerName val="0"/>
          <c:showPercent val="0"/>
          <c:showBubbleSize val="0"/>
        </c:dLbls>
        <c:gapWidth val="219"/>
        <c:overlap val="-27"/>
        <c:axId val="849951952"/>
        <c:axId val="849953632"/>
      </c:barChart>
      <c:catAx>
        <c:axId val="84995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849953632"/>
        <c:crosses val="autoZero"/>
        <c:auto val="1"/>
        <c:lblAlgn val="ctr"/>
        <c:lblOffset val="100"/>
        <c:noMultiLvlLbl val="0"/>
      </c:catAx>
      <c:valAx>
        <c:axId val="849953632"/>
        <c:scaling>
          <c:orientation val="minMax"/>
          <c:min val="1.05"/>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84995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[training_data.xlsx]Kinderwagen!PivotTable2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Kinderwagen!$B$3:$B$4</c:f>
              <c:strCache>
                <c:ptCount val="1"/>
                <c:pt idx="0">
                  <c:v>2020</c:v>
                </c:pt>
              </c:strCache>
            </c:strRef>
          </c:tx>
          <c:spPr>
            <a:solidFill>
              <a:schemeClr val="accent1"/>
            </a:solidFill>
            <a:ln>
              <a:noFill/>
            </a:ln>
            <a:effectLst/>
          </c:spPr>
          <c:invertIfNegative val="0"/>
          <c:cat>
            <c:multiLvlStrRef>
              <c:f>Kinderwagen!$A$5:$A$18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j</c:v>
                  </c:pt>
                </c:lvl>
              </c:multiLvlStrCache>
            </c:multiLvlStrRef>
          </c:cat>
          <c:val>
            <c:numRef>
              <c:f>Kinderwagen!$B$5:$B$18</c:f>
              <c:numCache>
                <c:formatCode>0</c:formatCode>
                <c:ptCount val="12"/>
                <c:pt idx="2">
                  <c:v>97.11</c:v>
                </c:pt>
                <c:pt idx="3">
                  <c:v>125.96000000000001</c:v>
                </c:pt>
                <c:pt idx="4">
                  <c:v>119.56</c:v>
                </c:pt>
                <c:pt idx="5">
                  <c:v>102.60000000000001</c:v>
                </c:pt>
                <c:pt idx="6">
                  <c:v>55.660000000000004</c:v>
                </c:pt>
                <c:pt idx="7">
                  <c:v>30.590000000000003</c:v>
                </c:pt>
                <c:pt idx="8">
                  <c:v>36.42</c:v>
                </c:pt>
                <c:pt idx="9">
                  <c:v>9.31</c:v>
                </c:pt>
                <c:pt idx="10">
                  <c:v>11.13</c:v>
                </c:pt>
                <c:pt idx="11">
                  <c:v>68.05</c:v>
                </c:pt>
              </c:numCache>
            </c:numRef>
          </c:val>
          <c:extLst>
            <c:ext xmlns:c16="http://schemas.microsoft.com/office/drawing/2014/chart" uri="{C3380CC4-5D6E-409C-BE32-E72D297353CC}">
              <c16:uniqueId val="{00000000-FCE4-1F42-A3D2-F9E6FE01F90D}"/>
            </c:ext>
          </c:extLst>
        </c:ser>
        <c:ser>
          <c:idx val="1"/>
          <c:order val="1"/>
          <c:tx>
            <c:strRef>
              <c:f>Kinderwagen!$C$3:$C$4</c:f>
              <c:strCache>
                <c:ptCount val="1"/>
                <c:pt idx="0">
                  <c:v>2021</c:v>
                </c:pt>
              </c:strCache>
            </c:strRef>
          </c:tx>
          <c:spPr>
            <a:solidFill>
              <a:schemeClr val="accent2"/>
            </a:solidFill>
            <a:ln>
              <a:noFill/>
            </a:ln>
            <a:effectLst/>
          </c:spPr>
          <c:invertIfNegative val="0"/>
          <c:cat>
            <c:multiLvlStrRef>
              <c:f>Kinderwagen!$A$5:$A$18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j</c:v>
                  </c:pt>
                </c:lvl>
              </c:multiLvlStrCache>
            </c:multiLvlStrRef>
          </c:cat>
          <c:val>
            <c:numRef>
              <c:f>Kinderwagen!$C$5:$C$18</c:f>
              <c:numCache>
                <c:formatCode>0</c:formatCode>
                <c:ptCount val="12"/>
                <c:pt idx="0">
                  <c:v>38.53</c:v>
                </c:pt>
                <c:pt idx="1">
                  <c:v>36.9</c:v>
                </c:pt>
                <c:pt idx="2">
                  <c:v>6.23</c:v>
                </c:pt>
                <c:pt idx="3">
                  <c:v>22.299999999999997</c:v>
                </c:pt>
                <c:pt idx="4">
                  <c:v>52.330000000000005</c:v>
                </c:pt>
                <c:pt idx="5">
                  <c:v>29.92</c:v>
                </c:pt>
                <c:pt idx="6">
                  <c:v>14.96</c:v>
                </c:pt>
                <c:pt idx="7">
                  <c:v>42.43</c:v>
                </c:pt>
                <c:pt idx="8">
                  <c:v>31.04</c:v>
                </c:pt>
                <c:pt idx="9">
                  <c:v>23.61</c:v>
                </c:pt>
                <c:pt idx="10">
                  <c:v>22.200000000000003</c:v>
                </c:pt>
                <c:pt idx="11">
                  <c:v>35.9</c:v>
                </c:pt>
              </c:numCache>
            </c:numRef>
          </c:val>
          <c:extLst>
            <c:ext xmlns:c16="http://schemas.microsoft.com/office/drawing/2014/chart" uri="{C3380CC4-5D6E-409C-BE32-E72D297353CC}">
              <c16:uniqueId val="{00000001-FCE4-1F42-A3D2-F9E6FE01F90D}"/>
            </c:ext>
          </c:extLst>
        </c:ser>
        <c:ser>
          <c:idx val="2"/>
          <c:order val="2"/>
          <c:tx>
            <c:strRef>
              <c:f>Kinderwagen!$D$3:$D$4</c:f>
              <c:strCache>
                <c:ptCount val="1"/>
                <c:pt idx="0">
                  <c:v>2022</c:v>
                </c:pt>
              </c:strCache>
            </c:strRef>
          </c:tx>
          <c:spPr>
            <a:solidFill>
              <a:schemeClr val="accent3"/>
            </a:solidFill>
            <a:ln>
              <a:noFill/>
            </a:ln>
            <a:effectLst/>
          </c:spPr>
          <c:invertIfNegative val="0"/>
          <c:cat>
            <c:multiLvlStrRef>
              <c:f>Kinderwagen!$A$5:$A$18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j</c:v>
                  </c:pt>
                </c:lvl>
              </c:multiLvlStrCache>
            </c:multiLvlStrRef>
          </c:cat>
          <c:val>
            <c:numRef>
              <c:f>Kinderwagen!$D$5:$D$18</c:f>
              <c:numCache>
                <c:formatCode>0</c:formatCode>
                <c:ptCount val="12"/>
                <c:pt idx="0">
                  <c:v>23.86</c:v>
                </c:pt>
                <c:pt idx="1">
                  <c:v>30.25</c:v>
                </c:pt>
                <c:pt idx="2">
                  <c:v>5.46</c:v>
                </c:pt>
                <c:pt idx="5">
                  <c:v>24.65</c:v>
                </c:pt>
                <c:pt idx="6">
                  <c:v>28.65</c:v>
                </c:pt>
                <c:pt idx="7">
                  <c:v>49.61</c:v>
                </c:pt>
                <c:pt idx="8">
                  <c:v>28.949999999999996</c:v>
                </c:pt>
                <c:pt idx="10">
                  <c:v>8.43</c:v>
                </c:pt>
                <c:pt idx="11">
                  <c:v>35.599999999999994</c:v>
                </c:pt>
              </c:numCache>
            </c:numRef>
          </c:val>
          <c:extLst>
            <c:ext xmlns:c16="http://schemas.microsoft.com/office/drawing/2014/chart" uri="{C3380CC4-5D6E-409C-BE32-E72D297353CC}">
              <c16:uniqueId val="{00000002-FCE4-1F42-A3D2-F9E6FE01F90D}"/>
            </c:ext>
          </c:extLst>
        </c:ser>
        <c:ser>
          <c:idx val="3"/>
          <c:order val="3"/>
          <c:tx>
            <c:strRef>
              <c:f>Kinderwagen!$E$3:$E$4</c:f>
              <c:strCache>
                <c:ptCount val="1"/>
                <c:pt idx="0">
                  <c:v>2023</c:v>
                </c:pt>
              </c:strCache>
            </c:strRef>
          </c:tx>
          <c:spPr>
            <a:solidFill>
              <a:schemeClr val="accent4"/>
            </a:solidFill>
            <a:ln>
              <a:noFill/>
            </a:ln>
            <a:effectLst/>
          </c:spPr>
          <c:invertIfNegative val="0"/>
          <c:cat>
            <c:multiLvlStrRef>
              <c:f>Kinderwagen!$A$5:$A$18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j</c:v>
                  </c:pt>
                </c:lvl>
              </c:multiLvlStrCache>
            </c:multiLvlStrRef>
          </c:cat>
          <c:val>
            <c:numRef>
              <c:f>Kinderwagen!$E$5:$E$18</c:f>
              <c:numCache>
                <c:formatCode>0</c:formatCode>
                <c:ptCount val="12"/>
                <c:pt idx="0">
                  <c:v>58.78</c:v>
                </c:pt>
                <c:pt idx="1">
                  <c:v>63.100000000000009</c:v>
                </c:pt>
                <c:pt idx="2">
                  <c:v>14.24</c:v>
                </c:pt>
                <c:pt idx="3">
                  <c:v>53.599999999999994</c:v>
                </c:pt>
                <c:pt idx="4">
                  <c:v>13.84</c:v>
                </c:pt>
                <c:pt idx="5">
                  <c:v>63.03</c:v>
                </c:pt>
                <c:pt idx="6">
                  <c:v>76.850000000000009</c:v>
                </c:pt>
                <c:pt idx="7">
                  <c:v>99.690000000000012</c:v>
                </c:pt>
                <c:pt idx="8">
                  <c:v>69.240000000000009</c:v>
                </c:pt>
                <c:pt idx="9">
                  <c:v>72.339999999999989</c:v>
                </c:pt>
                <c:pt idx="10">
                  <c:v>6.07</c:v>
                </c:pt>
                <c:pt idx="11">
                  <c:v>4.8600000000000003</c:v>
                </c:pt>
              </c:numCache>
            </c:numRef>
          </c:val>
          <c:extLst>
            <c:ext xmlns:c16="http://schemas.microsoft.com/office/drawing/2014/chart" uri="{C3380CC4-5D6E-409C-BE32-E72D297353CC}">
              <c16:uniqueId val="{00000003-FCE4-1F42-A3D2-F9E6FE01F90D}"/>
            </c:ext>
          </c:extLst>
        </c:ser>
        <c:ser>
          <c:idx val="4"/>
          <c:order val="4"/>
          <c:tx>
            <c:strRef>
              <c:f>Kinderwagen!$F$3:$F$4</c:f>
              <c:strCache>
                <c:ptCount val="1"/>
                <c:pt idx="0">
                  <c:v>2024</c:v>
                </c:pt>
              </c:strCache>
            </c:strRef>
          </c:tx>
          <c:spPr>
            <a:solidFill>
              <a:schemeClr val="accent5"/>
            </a:solidFill>
            <a:ln>
              <a:noFill/>
            </a:ln>
            <a:effectLst/>
          </c:spPr>
          <c:invertIfNegative val="0"/>
          <c:cat>
            <c:multiLvlStrRef>
              <c:f>Kinderwagen!$A$5:$A$18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j</c:v>
                  </c:pt>
                </c:lvl>
              </c:multiLvlStrCache>
            </c:multiLvlStrRef>
          </c:cat>
          <c:val>
            <c:numRef>
              <c:f>Kinderwagen!$F$5:$F$18</c:f>
              <c:numCache>
                <c:formatCode>0</c:formatCode>
                <c:ptCount val="12"/>
                <c:pt idx="0">
                  <c:v>11.67</c:v>
                </c:pt>
              </c:numCache>
            </c:numRef>
          </c:val>
          <c:extLst>
            <c:ext xmlns:c16="http://schemas.microsoft.com/office/drawing/2014/chart" uri="{C3380CC4-5D6E-409C-BE32-E72D297353CC}">
              <c16:uniqueId val="{00000000-665E-1945-87F0-537776247536}"/>
            </c:ext>
          </c:extLst>
        </c:ser>
        <c:dLbls>
          <c:showLegendKey val="0"/>
          <c:showVal val="0"/>
          <c:showCatName val="0"/>
          <c:showSerName val="0"/>
          <c:showPercent val="0"/>
          <c:showBubbleSize val="0"/>
        </c:dLbls>
        <c:gapWidth val="219"/>
        <c:overlap val="-27"/>
        <c:axId val="466740752"/>
        <c:axId val="466742432"/>
      </c:barChart>
      <c:catAx>
        <c:axId val="46674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66742432"/>
        <c:crosses val="autoZero"/>
        <c:auto val="1"/>
        <c:lblAlgn val="ctr"/>
        <c:lblOffset val="100"/>
        <c:noMultiLvlLbl val="0"/>
      </c:catAx>
      <c:valAx>
        <c:axId val="4667424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6674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1"/>
          <c:order val="1"/>
          <c:tx>
            <c:strRef>
              <c:f>'Year progression'!$C$1</c:f>
              <c:strCache>
                <c:ptCount val="1"/>
                <c:pt idx="0">
                  <c:v>goal</c:v>
                </c:pt>
              </c:strCache>
            </c:strRef>
          </c:tx>
          <c:spPr>
            <a:noFill/>
            <a:ln>
              <a:noFill/>
            </a:ln>
            <a:effectLst>
              <a:outerShdw blurRad="57150" dist="19050" dir="5400000" algn="ctr" rotWithShape="0">
                <a:srgbClr val="000000">
                  <a:alpha val="63000"/>
                </a:srgbClr>
              </a:outerShdw>
            </a:effectLst>
          </c:spPr>
          <c:cat>
            <c:numRef>
              <c:f>'Year progression'!$A$2:$A$182</c:f>
              <c:numCache>
                <c:formatCode>ddd\ dd\.mm</c:formatCode>
                <c:ptCount val="181"/>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numCache>
            </c:numRef>
          </c:cat>
          <c:val>
            <c:numRef>
              <c:f>'Year progression'!$C$2:$C$367</c:f>
              <c:numCache>
                <c:formatCode>0</c:formatCode>
                <c:ptCount val="366"/>
                <c:pt idx="0">
                  <c:v>4.4986301369863018</c:v>
                </c:pt>
                <c:pt idx="1">
                  <c:v>8.9972602739726035</c:v>
                </c:pt>
                <c:pt idx="2">
                  <c:v>13.495890410958905</c:v>
                </c:pt>
                <c:pt idx="3">
                  <c:v>17.994520547945207</c:v>
                </c:pt>
                <c:pt idx="4">
                  <c:v>22.493150684931507</c:v>
                </c:pt>
                <c:pt idx="5">
                  <c:v>26.991780821917807</c:v>
                </c:pt>
                <c:pt idx="6">
                  <c:v>31.490410958904107</c:v>
                </c:pt>
                <c:pt idx="7">
                  <c:v>35.989041095890407</c:v>
                </c:pt>
                <c:pt idx="8">
                  <c:v>40.487671232876707</c:v>
                </c:pt>
                <c:pt idx="9">
                  <c:v>44.986301369863007</c:v>
                </c:pt>
                <c:pt idx="10">
                  <c:v>49.484931506849307</c:v>
                </c:pt>
                <c:pt idx="11">
                  <c:v>53.983561643835607</c:v>
                </c:pt>
                <c:pt idx="12">
                  <c:v>58.482191780821907</c:v>
                </c:pt>
                <c:pt idx="13">
                  <c:v>62.980821917808207</c:v>
                </c:pt>
                <c:pt idx="14">
                  <c:v>67.479452054794507</c:v>
                </c:pt>
                <c:pt idx="15">
                  <c:v>71.978082191780814</c:v>
                </c:pt>
                <c:pt idx="16">
                  <c:v>76.476712328767121</c:v>
                </c:pt>
                <c:pt idx="17">
                  <c:v>80.975342465753428</c:v>
                </c:pt>
                <c:pt idx="18">
                  <c:v>85.473972602739735</c:v>
                </c:pt>
                <c:pt idx="19">
                  <c:v>89.972602739726042</c:v>
                </c:pt>
                <c:pt idx="20">
                  <c:v>94.471232876712349</c:v>
                </c:pt>
                <c:pt idx="21">
                  <c:v>98.969863013698657</c:v>
                </c:pt>
                <c:pt idx="22">
                  <c:v>103.46849315068496</c:v>
                </c:pt>
                <c:pt idx="23">
                  <c:v>107.96712328767127</c:v>
                </c:pt>
                <c:pt idx="24">
                  <c:v>112.46575342465758</c:v>
                </c:pt>
                <c:pt idx="25">
                  <c:v>116.96438356164388</c:v>
                </c:pt>
                <c:pt idx="26">
                  <c:v>121.46301369863019</c:v>
                </c:pt>
                <c:pt idx="27">
                  <c:v>125.9616438356165</c:v>
                </c:pt>
                <c:pt idx="28">
                  <c:v>130.46027397260281</c:v>
                </c:pt>
                <c:pt idx="29">
                  <c:v>134.9589041095891</c:v>
                </c:pt>
                <c:pt idx="30">
                  <c:v>139.45753424657539</c:v>
                </c:pt>
                <c:pt idx="31">
                  <c:v>143.95616438356168</c:v>
                </c:pt>
                <c:pt idx="32">
                  <c:v>148.45479452054798</c:v>
                </c:pt>
                <c:pt idx="33">
                  <c:v>152.95342465753427</c:v>
                </c:pt>
                <c:pt idx="34">
                  <c:v>157.45205479452056</c:v>
                </c:pt>
                <c:pt idx="35">
                  <c:v>161.95068493150686</c:v>
                </c:pt>
                <c:pt idx="36">
                  <c:v>166.44931506849315</c:v>
                </c:pt>
                <c:pt idx="37">
                  <c:v>170.94794520547944</c:v>
                </c:pt>
                <c:pt idx="38">
                  <c:v>175.44657534246574</c:v>
                </c:pt>
                <c:pt idx="39">
                  <c:v>179.94520547945203</c:v>
                </c:pt>
                <c:pt idx="40">
                  <c:v>184.44383561643832</c:v>
                </c:pt>
                <c:pt idx="41">
                  <c:v>188.94246575342461</c:v>
                </c:pt>
                <c:pt idx="42">
                  <c:v>193.44109589041091</c:v>
                </c:pt>
                <c:pt idx="43">
                  <c:v>197.9397260273972</c:v>
                </c:pt>
                <c:pt idx="44">
                  <c:v>202.43835616438349</c:v>
                </c:pt>
                <c:pt idx="45">
                  <c:v>206.93698630136979</c:v>
                </c:pt>
                <c:pt idx="46">
                  <c:v>211.43561643835608</c:v>
                </c:pt>
                <c:pt idx="47">
                  <c:v>215.93424657534237</c:v>
                </c:pt>
                <c:pt idx="48">
                  <c:v>220.43287671232866</c:v>
                </c:pt>
                <c:pt idx="49">
                  <c:v>224.93150684931496</c:v>
                </c:pt>
                <c:pt idx="50">
                  <c:v>229.43013698630125</c:v>
                </c:pt>
                <c:pt idx="51">
                  <c:v>233.92876712328754</c:v>
                </c:pt>
                <c:pt idx="52">
                  <c:v>238.42739726027384</c:v>
                </c:pt>
                <c:pt idx="53">
                  <c:v>242.92602739726013</c:v>
                </c:pt>
                <c:pt idx="54">
                  <c:v>247.42465753424642</c:v>
                </c:pt>
                <c:pt idx="55">
                  <c:v>251.92328767123271</c:v>
                </c:pt>
                <c:pt idx="56">
                  <c:v>256.42191780821901</c:v>
                </c:pt>
                <c:pt idx="57">
                  <c:v>260.92054794520533</c:v>
                </c:pt>
                <c:pt idx="58">
                  <c:v>265.41917808219165</c:v>
                </c:pt>
                <c:pt idx="59">
                  <c:v>269.91780821917797</c:v>
                </c:pt>
                <c:pt idx="60">
                  <c:v>274.41643835616429</c:v>
                </c:pt>
                <c:pt idx="61">
                  <c:v>278.91506849315061</c:v>
                </c:pt>
                <c:pt idx="62">
                  <c:v>283.41369863013693</c:v>
                </c:pt>
                <c:pt idx="63">
                  <c:v>287.91232876712326</c:v>
                </c:pt>
                <c:pt idx="64">
                  <c:v>292.41095890410958</c:v>
                </c:pt>
                <c:pt idx="65">
                  <c:v>296.9095890410959</c:v>
                </c:pt>
                <c:pt idx="66">
                  <c:v>301.40821917808222</c:v>
                </c:pt>
                <c:pt idx="67">
                  <c:v>305.90684931506854</c:v>
                </c:pt>
                <c:pt idx="68">
                  <c:v>310.40547945205486</c:v>
                </c:pt>
                <c:pt idx="69">
                  <c:v>314.90410958904118</c:v>
                </c:pt>
                <c:pt idx="70">
                  <c:v>319.40273972602751</c:v>
                </c:pt>
                <c:pt idx="71">
                  <c:v>323.90136986301383</c:v>
                </c:pt>
                <c:pt idx="72">
                  <c:v>328.40000000000015</c:v>
                </c:pt>
                <c:pt idx="73">
                  <c:v>332.89863013698647</c:v>
                </c:pt>
                <c:pt idx="74">
                  <c:v>337.39726027397279</c:v>
                </c:pt>
                <c:pt idx="75">
                  <c:v>341.89589041095911</c:v>
                </c:pt>
                <c:pt idx="76">
                  <c:v>346.39452054794543</c:v>
                </c:pt>
                <c:pt idx="77">
                  <c:v>350.89315068493175</c:v>
                </c:pt>
                <c:pt idx="78">
                  <c:v>355.39178082191808</c:v>
                </c:pt>
                <c:pt idx="79">
                  <c:v>359.8904109589044</c:v>
                </c:pt>
                <c:pt idx="80">
                  <c:v>364.38904109589072</c:v>
                </c:pt>
                <c:pt idx="81">
                  <c:v>368.88767123287704</c:v>
                </c:pt>
                <c:pt idx="82">
                  <c:v>373.38630136986336</c:v>
                </c:pt>
                <c:pt idx="83">
                  <c:v>377.88493150684968</c:v>
                </c:pt>
                <c:pt idx="84">
                  <c:v>382.383561643836</c:v>
                </c:pt>
                <c:pt idx="85">
                  <c:v>386.88219178082232</c:v>
                </c:pt>
                <c:pt idx="86">
                  <c:v>391.38082191780865</c:v>
                </c:pt>
                <c:pt idx="87">
                  <c:v>395.87945205479497</c:v>
                </c:pt>
                <c:pt idx="88">
                  <c:v>400.37808219178129</c:v>
                </c:pt>
                <c:pt idx="89">
                  <c:v>404.87671232876761</c:v>
                </c:pt>
                <c:pt idx="90">
                  <c:v>409.37534246575393</c:v>
                </c:pt>
                <c:pt idx="91">
                  <c:v>413.87397260274025</c:v>
                </c:pt>
                <c:pt idx="92">
                  <c:v>418.37260273972657</c:v>
                </c:pt>
                <c:pt idx="93">
                  <c:v>422.8712328767129</c:v>
                </c:pt>
                <c:pt idx="94">
                  <c:v>427.36986301369922</c:v>
                </c:pt>
                <c:pt idx="95">
                  <c:v>431.86849315068554</c:v>
                </c:pt>
                <c:pt idx="96">
                  <c:v>436.36712328767186</c:v>
                </c:pt>
                <c:pt idx="97">
                  <c:v>440.86575342465818</c:v>
                </c:pt>
                <c:pt idx="98">
                  <c:v>445.3643835616445</c:v>
                </c:pt>
                <c:pt idx="99">
                  <c:v>449.86301369863082</c:v>
                </c:pt>
                <c:pt idx="100">
                  <c:v>454.36164383561714</c:v>
                </c:pt>
                <c:pt idx="101">
                  <c:v>458.86027397260347</c:v>
                </c:pt>
                <c:pt idx="102">
                  <c:v>463.35890410958979</c:v>
                </c:pt>
                <c:pt idx="103">
                  <c:v>467.85753424657611</c:v>
                </c:pt>
                <c:pt idx="104">
                  <c:v>472.35616438356243</c:v>
                </c:pt>
                <c:pt idx="105">
                  <c:v>476.85479452054875</c:v>
                </c:pt>
                <c:pt idx="106">
                  <c:v>481.35342465753507</c:v>
                </c:pt>
                <c:pt idx="107">
                  <c:v>485.85205479452139</c:v>
                </c:pt>
                <c:pt idx="108">
                  <c:v>490.35068493150771</c:v>
                </c:pt>
                <c:pt idx="109">
                  <c:v>494.84931506849404</c:v>
                </c:pt>
                <c:pt idx="110">
                  <c:v>499.34794520548036</c:v>
                </c:pt>
                <c:pt idx="111">
                  <c:v>503.84657534246668</c:v>
                </c:pt>
                <c:pt idx="112">
                  <c:v>508.345205479453</c:v>
                </c:pt>
                <c:pt idx="113">
                  <c:v>512.84383561643926</c:v>
                </c:pt>
                <c:pt idx="114">
                  <c:v>517.34246575342559</c:v>
                </c:pt>
                <c:pt idx="115">
                  <c:v>521.84109589041191</c:v>
                </c:pt>
                <c:pt idx="116">
                  <c:v>526.33972602739823</c:v>
                </c:pt>
                <c:pt idx="117">
                  <c:v>530.83835616438455</c:v>
                </c:pt>
                <c:pt idx="118">
                  <c:v>535.33698630137087</c:v>
                </c:pt>
                <c:pt idx="119">
                  <c:v>539.83561643835719</c:v>
                </c:pt>
                <c:pt idx="120">
                  <c:v>544.33424657534351</c:v>
                </c:pt>
                <c:pt idx="121">
                  <c:v>548.83287671232983</c:v>
                </c:pt>
                <c:pt idx="122">
                  <c:v>553.33150684931616</c:v>
                </c:pt>
                <c:pt idx="123">
                  <c:v>557.83013698630248</c:v>
                </c:pt>
                <c:pt idx="124">
                  <c:v>562.3287671232888</c:v>
                </c:pt>
                <c:pt idx="125">
                  <c:v>566.82739726027512</c:v>
                </c:pt>
                <c:pt idx="126">
                  <c:v>571.32602739726144</c:v>
                </c:pt>
                <c:pt idx="127">
                  <c:v>575.82465753424776</c:v>
                </c:pt>
                <c:pt idx="128">
                  <c:v>580.32328767123408</c:v>
                </c:pt>
                <c:pt idx="129">
                  <c:v>584.82191780822041</c:v>
                </c:pt>
                <c:pt idx="130">
                  <c:v>589.32054794520673</c:v>
                </c:pt>
                <c:pt idx="131">
                  <c:v>593.81917808219305</c:v>
                </c:pt>
                <c:pt idx="132">
                  <c:v>598.31780821917937</c:v>
                </c:pt>
                <c:pt idx="133">
                  <c:v>602.81643835616569</c:v>
                </c:pt>
                <c:pt idx="134">
                  <c:v>607.31506849315201</c:v>
                </c:pt>
                <c:pt idx="135">
                  <c:v>611.81369863013833</c:v>
                </c:pt>
                <c:pt idx="136">
                  <c:v>616.31232876712465</c:v>
                </c:pt>
                <c:pt idx="137">
                  <c:v>620.81095890411098</c:v>
                </c:pt>
                <c:pt idx="138">
                  <c:v>625.3095890410973</c:v>
                </c:pt>
                <c:pt idx="139">
                  <c:v>629.80821917808362</c:v>
                </c:pt>
                <c:pt idx="140">
                  <c:v>634.30684931506994</c:v>
                </c:pt>
                <c:pt idx="141">
                  <c:v>638.80547945205626</c:v>
                </c:pt>
                <c:pt idx="142">
                  <c:v>643.30410958904258</c:v>
                </c:pt>
                <c:pt idx="143">
                  <c:v>647.8027397260289</c:v>
                </c:pt>
                <c:pt idx="144">
                  <c:v>652.30136986301522</c:v>
                </c:pt>
                <c:pt idx="145">
                  <c:v>656.80000000000155</c:v>
                </c:pt>
                <c:pt idx="146">
                  <c:v>661.29863013698787</c:v>
                </c:pt>
                <c:pt idx="147">
                  <c:v>665.79726027397419</c:v>
                </c:pt>
                <c:pt idx="148">
                  <c:v>670.29589041096051</c:v>
                </c:pt>
                <c:pt idx="149">
                  <c:v>674.79452054794683</c:v>
                </c:pt>
                <c:pt idx="150">
                  <c:v>679.29315068493315</c:v>
                </c:pt>
                <c:pt idx="151">
                  <c:v>683.79178082191947</c:v>
                </c:pt>
                <c:pt idx="152">
                  <c:v>688.2904109589058</c:v>
                </c:pt>
                <c:pt idx="153">
                  <c:v>692.78904109589212</c:v>
                </c:pt>
                <c:pt idx="154">
                  <c:v>697.28767123287844</c:v>
                </c:pt>
                <c:pt idx="155">
                  <c:v>701.78630136986476</c:v>
                </c:pt>
                <c:pt idx="156">
                  <c:v>706.28493150685108</c:v>
                </c:pt>
                <c:pt idx="157">
                  <c:v>710.7835616438374</c:v>
                </c:pt>
                <c:pt idx="158">
                  <c:v>715.28219178082372</c:v>
                </c:pt>
                <c:pt idx="159">
                  <c:v>719.78082191781004</c:v>
                </c:pt>
                <c:pt idx="160">
                  <c:v>724.27945205479637</c:v>
                </c:pt>
                <c:pt idx="161">
                  <c:v>728.77808219178269</c:v>
                </c:pt>
                <c:pt idx="162">
                  <c:v>733.27671232876901</c:v>
                </c:pt>
                <c:pt idx="163">
                  <c:v>737.77534246575533</c:v>
                </c:pt>
                <c:pt idx="164">
                  <c:v>742.27397260274165</c:v>
                </c:pt>
                <c:pt idx="165">
                  <c:v>746.77260273972797</c:v>
                </c:pt>
                <c:pt idx="166">
                  <c:v>751.27123287671429</c:v>
                </c:pt>
                <c:pt idx="167">
                  <c:v>755.76986301370061</c:v>
                </c:pt>
                <c:pt idx="168">
                  <c:v>760.26849315068694</c:v>
                </c:pt>
                <c:pt idx="169">
                  <c:v>764.76712328767326</c:v>
                </c:pt>
                <c:pt idx="170">
                  <c:v>769.26575342465958</c:v>
                </c:pt>
                <c:pt idx="171">
                  <c:v>773.7643835616459</c:v>
                </c:pt>
                <c:pt idx="172">
                  <c:v>778.26301369863222</c:v>
                </c:pt>
                <c:pt idx="173">
                  <c:v>782.76164383561854</c:v>
                </c:pt>
                <c:pt idx="174">
                  <c:v>787.26027397260486</c:v>
                </c:pt>
                <c:pt idx="175">
                  <c:v>791.75890410959119</c:v>
                </c:pt>
                <c:pt idx="176">
                  <c:v>796.25753424657751</c:v>
                </c:pt>
                <c:pt idx="177">
                  <c:v>800.75616438356383</c:v>
                </c:pt>
                <c:pt idx="178">
                  <c:v>805.25479452055015</c:v>
                </c:pt>
                <c:pt idx="179">
                  <c:v>809.75342465753647</c:v>
                </c:pt>
                <c:pt idx="180">
                  <c:v>814.25205479452279</c:v>
                </c:pt>
                <c:pt idx="181">
                  <c:v>818.75068493150911</c:v>
                </c:pt>
                <c:pt idx="182">
                  <c:v>823.24931506849543</c:v>
                </c:pt>
                <c:pt idx="183">
                  <c:v>827.74794520548176</c:v>
                </c:pt>
                <c:pt idx="184">
                  <c:v>832.24657534246808</c:v>
                </c:pt>
                <c:pt idx="185">
                  <c:v>836.7452054794544</c:v>
                </c:pt>
                <c:pt idx="186">
                  <c:v>841.24383561644072</c:v>
                </c:pt>
                <c:pt idx="187">
                  <c:v>845.74246575342704</c:v>
                </c:pt>
                <c:pt idx="188">
                  <c:v>850.24109589041336</c:v>
                </c:pt>
                <c:pt idx="189">
                  <c:v>854.73972602739968</c:v>
                </c:pt>
                <c:pt idx="190">
                  <c:v>859.238356164386</c:v>
                </c:pt>
                <c:pt idx="191">
                  <c:v>863.73698630137233</c:v>
                </c:pt>
                <c:pt idx="192">
                  <c:v>868.23561643835865</c:v>
                </c:pt>
                <c:pt idx="193">
                  <c:v>872.73424657534497</c:v>
                </c:pt>
                <c:pt idx="194">
                  <c:v>877.23287671233129</c:v>
                </c:pt>
                <c:pt idx="195">
                  <c:v>881.73150684931761</c:v>
                </c:pt>
                <c:pt idx="196">
                  <c:v>886.23013698630393</c:v>
                </c:pt>
                <c:pt idx="197">
                  <c:v>890.72876712329025</c:v>
                </c:pt>
                <c:pt idx="198">
                  <c:v>895.22739726027658</c:v>
                </c:pt>
                <c:pt idx="199">
                  <c:v>899.7260273972629</c:v>
                </c:pt>
                <c:pt idx="200">
                  <c:v>904.22465753424922</c:v>
                </c:pt>
                <c:pt idx="201">
                  <c:v>908.72328767123554</c:v>
                </c:pt>
                <c:pt idx="202">
                  <c:v>913.22191780822186</c:v>
                </c:pt>
                <c:pt idx="203">
                  <c:v>917.72054794520818</c:v>
                </c:pt>
                <c:pt idx="204">
                  <c:v>922.2191780821945</c:v>
                </c:pt>
                <c:pt idx="205">
                  <c:v>926.71780821918082</c:v>
                </c:pt>
                <c:pt idx="206">
                  <c:v>931.21643835616715</c:v>
                </c:pt>
                <c:pt idx="207">
                  <c:v>935.71506849315347</c:v>
                </c:pt>
                <c:pt idx="208">
                  <c:v>940.21369863013979</c:v>
                </c:pt>
                <c:pt idx="209">
                  <c:v>944.71232876712611</c:v>
                </c:pt>
                <c:pt idx="210">
                  <c:v>949.21095890411243</c:v>
                </c:pt>
                <c:pt idx="211">
                  <c:v>953.70958904109875</c:v>
                </c:pt>
                <c:pt idx="212">
                  <c:v>958.20821917808507</c:v>
                </c:pt>
                <c:pt idx="213">
                  <c:v>962.70684931507139</c:v>
                </c:pt>
                <c:pt idx="214">
                  <c:v>967.20547945205772</c:v>
                </c:pt>
                <c:pt idx="215">
                  <c:v>971.70410958904404</c:v>
                </c:pt>
                <c:pt idx="216">
                  <c:v>976.20273972603036</c:v>
                </c:pt>
                <c:pt idx="217">
                  <c:v>980.70136986301668</c:v>
                </c:pt>
                <c:pt idx="218">
                  <c:v>985.200000000003</c:v>
                </c:pt>
                <c:pt idx="219">
                  <c:v>989.69863013698932</c:v>
                </c:pt>
                <c:pt idx="220">
                  <c:v>994.19726027397564</c:v>
                </c:pt>
                <c:pt idx="221">
                  <c:v>998.69589041096197</c:v>
                </c:pt>
                <c:pt idx="222">
                  <c:v>1003.1945205479483</c:v>
                </c:pt>
                <c:pt idx="223">
                  <c:v>1007.6931506849346</c:v>
                </c:pt>
                <c:pt idx="224">
                  <c:v>1012.1917808219209</c:v>
                </c:pt>
                <c:pt idx="225">
                  <c:v>1016.6904109589073</c:v>
                </c:pt>
                <c:pt idx="226">
                  <c:v>1021.1890410958936</c:v>
                </c:pt>
                <c:pt idx="227">
                  <c:v>1025.6876712328799</c:v>
                </c:pt>
                <c:pt idx="228">
                  <c:v>1030.1863013698662</c:v>
                </c:pt>
                <c:pt idx="229">
                  <c:v>1034.6849315068525</c:v>
                </c:pt>
                <c:pt idx="230">
                  <c:v>1039.1835616438389</c:v>
                </c:pt>
                <c:pt idx="231">
                  <c:v>1043.6821917808252</c:v>
                </c:pt>
                <c:pt idx="232">
                  <c:v>1048.1808219178115</c:v>
                </c:pt>
                <c:pt idx="233">
                  <c:v>1052.6794520547978</c:v>
                </c:pt>
                <c:pt idx="234">
                  <c:v>1057.1780821917841</c:v>
                </c:pt>
                <c:pt idx="235">
                  <c:v>1061.6767123287705</c:v>
                </c:pt>
                <c:pt idx="236">
                  <c:v>1066.1753424657568</c:v>
                </c:pt>
                <c:pt idx="237">
                  <c:v>1070.6739726027431</c:v>
                </c:pt>
                <c:pt idx="238">
                  <c:v>1075.1726027397294</c:v>
                </c:pt>
                <c:pt idx="239">
                  <c:v>1079.6712328767157</c:v>
                </c:pt>
                <c:pt idx="240">
                  <c:v>1084.1698630137021</c:v>
                </c:pt>
                <c:pt idx="241">
                  <c:v>1088.6684931506884</c:v>
                </c:pt>
                <c:pt idx="242">
                  <c:v>1093.1671232876747</c:v>
                </c:pt>
                <c:pt idx="243">
                  <c:v>1097.665753424661</c:v>
                </c:pt>
                <c:pt idx="244">
                  <c:v>1102.1643835616474</c:v>
                </c:pt>
                <c:pt idx="245">
                  <c:v>1106.6630136986337</c:v>
                </c:pt>
                <c:pt idx="246">
                  <c:v>1111.16164383562</c:v>
                </c:pt>
                <c:pt idx="247">
                  <c:v>1115.6602739726063</c:v>
                </c:pt>
                <c:pt idx="248">
                  <c:v>1120.1589041095926</c:v>
                </c:pt>
                <c:pt idx="249">
                  <c:v>1124.657534246579</c:v>
                </c:pt>
                <c:pt idx="250">
                  <c:v>1129.1561643835653</c:v>
                </c:pt>
                <c:pt idx="251">
                  <c:v>1133.6547945205516</c:v>
                </c:pt>
                <c:pt idx="252">
                  <c:v>1138.1534246575379</c:v>
                </c:pt>
                <c:pt idx="253">
                  <c:v>1142.6520547945242</c:v>
                </c:pt>
                <c:pt idx="254">
                  <c:v>1147.1506849315106</c:v>
                </c:pt>
                <c:pt idx="255">
                  <c:v>1151.6493150684969</c:v>
                </c:pt>
                <c:pt idx="256">
                  <c:v>1156.1479452054832</c:v>
                </c:pt>
                <c:pt idx="257">
                  <c:v>1160.6465753424695</c:v>
                </c:pt>
                <c:pt idx="258">
                  <c:v>1165.1452054794559</c:v>
                </c:pt>
                <c:pt idx="259">
                  <c:v>1169.6438356164422</c:v>
                </c:pt>
                <c:pt idx="260">
                  <c:v>1174.1424657534285</c:v>
                </c:pt>
                <c:pt idx="261">
                  <c:v>1178.6410958904148</c:v>
                </c:pt>
                <c:pt idx="262">
                  <c:v>1183.1397260274011</c:v>
                </c:pt>
                <c:pt idx="263">
                  <c:v>1187.6383561643875</c:v>
                </c:pt>
                <c:pt idx="264">
                  <c:v>1192.1369863013738</c:v>
                </c:pt>
                <c:pt idx="265">
                  <c:v>1196.6356164383601</c:v>
                </c:pt>
                <c:pt idx="266">
                  <c:v>1201.1342465753464</c:v>
                </c:pt>
                <c:pt idx="267">
                  <c:v>1205.6328767123327</c:v>
                </c:pt>
                <c:pt idx="268">
                  <c:v>1210.1315068493191</c:v>
                </c:pt>
                <c:pt idx="269">
                  <c:v>1214.6301369863054</c:v>
                </c:pt>
                <c:pt idx="270">
                  <c:v>1219.1287671232917</c:v>
                </c:pt>
                <c:pt idx="271">
                  <c:v>1223.627397260278</c:v>
                </c:pt>
                <c:pt idx="272">
                  <c:v>1228.1260273972644</c:v>
                </c:pt>
                <c:pt idx="273">
                  <c:v>1232.6246575342507</c:v>
                </c:pt>
                <c:pt idx="274">
                  <c:v>1237.123287671237</c:v>
                </c:pt>
                <c:pt idx="275">
                  <c:v>1241.6219178082233</c:v>
                </c:pt>
                <c:pt idx="276">
                  <c:v>1246.1205479452096</c:v>
                </c:pt>
                <c:pt idx="277">
                  <c:v>1250.619178082196</c:v>
                </c:pt>
                <c:pt idx="278">
                  <c:v>1255.1178082191823</c:v>
                </c:pt>
                <c:pt idx="279">
                  <c:v>1259.6164383561686</c:v>
                </c:pt>
                <c:pt idx="280">
                  <c:v>1264.1150684931549</c:v>
                </c:pt>
                <c:pt idx="281">
                  <c:v>1268.6136986301412</c:v>
                </c:pt>
                <c:pt idx="282">
                  <c:v>1273.1123287671276</c:v>
                </c:pt>
                <c:pt idx="283">
                  <c:v>1277.6109589041139</c:v>
                </c:pt>
                <c:pt idx="284">
                  <c:v>1282.1095890411002</c:v>
                </c:pt>
                <c:pt idx="285">
                  <c:v>1286.6082191780865</c:v>
                </c:pt>
                <c:pt idx="286">
                  <c:v>1291.1068493150729</c:v>
                </c:pt>
                <c:pt idx="287">
                  <c:v>1295.6054794520592</c:v>
                </c:pt>
                <c:pt idx="288">
                  <c:v>1300.1041095890455</c:v>
                </c:pt>
                <c:pt idx="289">
                  <c:v>1304.6027397260318</c:v>
                </c:pt>
                <c:pt idx="290">
                  <c:v>1309.1013698630181</c:v>
                </c:pt>
                <c:pt idx="291">
                  <c:v>1313.6000000000045</c:v>
                </c:pt>
                <c:pt idx="292">
                  <c:v>1318.0986301369908</c:v>
                </c:pt>
                <c:pt idx="293">
                  <c:v>1322.5972602739771</c:v>
                </c:pt>
                <c:pt idx="294">
                  <c:v>1327.0958904109634</c:v>
                </c:pt>
                <c:pt idx="295">
                  <c:v>1331.5945205479497</c:v>
                </c:pt>
                <c:pt idx="296">
                  <c:v>1336.0931506849361</c:v>
                </c:pt>
                <c:pt idx="297">
                  <c:v>1340.5917808219224</c:v>
                </c:pt>
                <c:pt idx="298">
                  <c:v>1345.0904109589087</c:v>
                </c:pt>
                <c:pt idx="299">
                  <c:v>1349.589041095895</c:v>
                </c:pt>
                <c:pt idx="300">
                  <c:v>1354.0876712328813</c:v>
                </c:pt>
                <c:pt idx="301">
                  <c:v>1358.5863013698677</c:v>
                </c:pt>
                <c:pt idx="302">
                  <c:v>1363.084931506854</c:v>
                </c:pt>
                <c:pt idx="303">
                  <c:v>1367.5835616438403</c:v>
                </c:pt>
                <c:pt idx="304">
                  <c:v>1372.0821917808266</c:v>
                </c:pt>
                <c:pt idx="305">
                  <c:v>1376.580821917813</c:v>
                </c:pt>
                <c:pt idx="306">
                  <c:v>1381.0794520547993</c:v>
                </c:pt>
                <c:pt idx="307">
                  <c:v>1385.5780821917856</c:v>
                </c:pt>
                <c:pt idx="308">
                  <c:v>1390.0767123287719</c:v>
                </c:pt>
                <c:pt idx="309">
                  <c:v>1394.5753424657582</c:v>
                </c:pt>
                <c:pt idx="310">
                  <c:v>1399.0739726027446</c:v>
                </c:pt>
                <c:pt idx="311">
                  <c:v>1403.5726027397309</c:v>
                </c:pt>
                <c:pt idx="312">
                  <c:v>1408.0712328767172</c:v>
                </c:pt>
                <c:pt idx="313">
                  <c:v>1412.5698630137035</c:v>
                </c:pt>
                <c:pt idx="314">
                  <c:v>1417.0684931506898</c:v>
                </c:pt>
                <c:pt idx="315">
                  <c:v>1421.5671232876762</c:v>
                </c:pt>
                <c:pt idx="316">
                  <c:v>1426.0657534246625</c:v>
                </c:pt>
                <c:pt idx="317">
                  <c:v>1430.5643835616488</c:v>
                </c:pt>
                <c:pt idx="318">
                  <c:v>1435.0630136986351</c:v>
                </c:pt>
                <c:pt idx="319">
                  <c:v>1439.5616438356215</c:v>
                </c:pt>
                <c:pt idx="320">
                  <c:v>1444.0602739726078</c:v>
                </c:pt>
                <c:pt idx="321">
                  <c:v>1448.5589041095941</c:v>
                </c:pt>
                <c:pt idx="322">
                  <c:v>1453.0575342465804</c:v>
                </c:pt>
                <c:pt idx="323">
                  <c:v>1457.5561643835667</c:v>
                </c:pt>
                <c:pt idx="324">
                  <c:v>1462.0547945205531</c:v>
                </c:pt>
                <c:pt idx="325">
                  <c:v>1466.5534246575394</c:v>
                </c:pt>
                <c:pt idx="326">
                  <c:v>1471.0520547945257</c:v>
                </c:pt>
                <c:pt idx="327">
                  <c:v>1475.550684931512</c:v>
                </c:pt>
                <c:pt idx="328">
                  <c:v>1480.0493150684983</c:v>
                </c:pt>
                <c:pt idx="329">
                  <c:v>1484.5479452054847</c:v>
                </c:pt>
                <c:pt idx="330">
                  <c:v>1489.046575342471</c:v>
                </c:pt>
                <c:pt idx="331">
                  <c:v>1493.5452054794573</c:v>
                </c:pt>
                <c:pt idx="332">
                  <c:v>1498.0438356164436</c:v>
                </c:pt>
                <c:pt idx="333">
                  <c:v>1502.54246575343</c:v>
                </c:pt>
                <c:pt idx="334">
                  <c:v>1507.0410958904163</c:v>
                </c:pt>
                <c:pt idx="335">
                  <c:v>1511.5397260274026</c:v>
                </c:pt>
                <c:pt idx="336">
                  <c:v>1516.0383561643889</c:v>
                </c:pt>
                <c:pt idx="337">
                  <c:v>1520.5369863013752</c:v>
                </c:pt>
                <c:pt idx="338">
                  <c:v>1525.0356164383616</c:v>
                </c:pt>
                <c:pt idx="339">
                  <c:v>1529.5342465753479</c:v>
                </c:pt>
                <c:pt idx="340">
                  <c:v>1534.0328767123342</c:v>
                </c:pt>
                <c:pt idx="341">
                  <c:v>1538.5315068493205</c:v>
                </c:pt>
                <c:pt idx="342">
                  <c:v>1543.0301369863068</c:v>
                </c:pt>
                <c:pt idx="343">
                  <c:v>1547.5287671232932</c:v>
                </c:pt>
                <c:pt idx="344">
                  <c:v>1552.0273972602795</c:v>
                </c:pt>
                <c:pt idx="345">
                  <c:v>1556.5260273972658</c:v>
                </c:pt>
                <c:pt idx="346">
                  <c:v>1561.0246575342521</c:v>
                </c:pt>
                <c:pt idx="347">
                  <c:v>1565.5232876712384</c:v>
                </c:pt>
                <c:pt idx="348">
                  <c:v>1570.0219178082248</c:v>
                </c:pt>
                <c:pt idx="349">
                  <c:v>1574.5205479452111</c:v>
                </c:pt>
                <c:pt idx="350">
                  <c:v>1579.0191780821974</c:v>
                </c:pt>
                <c:pt idx="351">
                  <c:v>1583.5178082191837</c:v>
                </c:pt>
                <c:pt idx="352">
                  <c:v>1588.0164383561701</c:v>
                </c:pt>
                <c:pt idx="353">
                  <c:v>1592.5150684931564</c:v>
                </c:pt>
                <c:pt idx="354">
                  <c:v>1597.0136986301427</c:v>
                </c:pt>
                <c:pt idx="355">
                  <c:v>1601.512328767129</c:v>
                </c:pt>
                <c:pt idx="356">
                  <c:v>1606.0109589041153</c:v>
                </c:pt>
                <c:pt idx="357">
                  <c:v>1610.5095890411017</c:v>
                </c:pt>
                <c:pt idx="358">
                  <c:v>1615.008219178088</c:v>
                </c:pt>
                <c:pt idx="359">
                  <c:v>1619.5068493150743</c:v>
                </c:pt>
                <c:pt idx="360">
                  <c:v>1624.0054794520606</c:v>
                </c:pt>
                <c:pt idx="361">
                  <c:v>1628.5041095890469</c:v>
                </c:pt>
                <c:pt idx="362">
                  <c:v>1633.0027397260333</c:v>
                </c:pt>
                <c:pt idx="363">
                  <c:v>1637.5013698630196</c:v>
                </c:pt>
                <c:pt idx="364">
                  <c:v>1642.0000000000059</c:v>
                </c:pt>
                <c:pt idx="365">
                  <c:v>1646.4986301369922</c:v>
                </c:pt>
              </c:numCache>
            </c:numRef>
          </c:val>
          <c:extLst>
            <c:ext xmlns:c16="http://schemas.microsoft.com/office/drawing/2014/chart" uri="{C3380CC4-5D6E-409C-BE32-E72D297353CC}">
              <c16:uniqueId val="{00000001-9662-47DB-BFB0-23CD2C2C8B23}"/>
            </c:ext>
          </c:extLst>
        </c:ser>
        <c:ser>
          <c:idx val="2"/>
          <c:order val="2"/>
          <c:tx>
            <c:strRef>
              <c:f>'Year progression'!$D$1</c:f>
              <c:strCache>
                <c:ptCount val="1"/>
                <c:pt idx="0">
                  <c:v>pos</c:v>
                </c:pt>
              </c:strCache>
            </c:strRef>
          </c:tx>
          <c:spPr>
            <a:solidFill>
              <a:schemeClr val="accent6">
                <a:lumMod val="75000"/>
                <a:alpha val="60000"/>
              </a:schemeClr>
            </a:solidFill>
            <a:ln w="12700">
              <a:solidFill>
                <a:schemeClr val="tx1"/>
              </a:solidFill>
            </a:ln>
            <a:effectLst>
              <a:outerShdw blurRad="57150" dist="19050" dir="5400000" algn="ctr" rotWithShape="0">
                <a:srgbClr val="000000">
                  <a:alpha val="63000"/>
                </a:srgbClr>
              </a:outerShdw>
            </a:effectLst>
          </c:spPr>
          <c:cat>
            <c:numRef>
              <c:f>'Year progression'!$A$2:$A$182</c:f>
              <c:numCache>
                <c:formatCode>ddd\ dd\.mm</c:formatCode>
                <c:ptCount val="181"/>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numCache>
            </c:numRef>
          </c:cat>
          <c:val>
            <c:numRef>
              <c:f>'Year progression'!$D$2:$D$367</c:f>
              <c:numCache>
                <c:formatCode>0</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2.5226644223973835</c:v>
                </c:pt>
                <c:pt idx="62">
                  <c:v>0</c:v>
                </c:pt>
                <c:pt idx="63">
                  <c:v>0</c:v>
                </c:pt>
                <c:pt idx="64">
                  <c:v>0</c:v>
                </c:pt>
                <c:pt idx="65">
                  <c:v>3.1992109092483361</c:v>
                </c:pt>
                <c:pt idx="66">
                  <c:v>0</c:v>
                </c:pt>
                <c:pt idx="67">
                  <c:v>0</c:v>
                </c:pt>
                <c:pt idx="68">
                  <c:v>11.788854015687491</c:v>
                </c:pt>
                <c:pt idx="69">
                  <c:v>7.2902238787011697</c:v>
                </c:pt>
                <c:pt idx="70">
                  <c:v>11.791593741714848</c:v>
                </c:pt>
                <c:pt idx="71">
                  <c:v>12.378497122126646</c:v>
                </c:pt>
                <c:pt idx="72">
                  <c:v>16.579866985140313</c:v>
                </c:pt>
                <c:pt idx="73">
                  <c:v>12.081236848153992</c:v>
                </c:pt>
                <c:pt idx="74">
                  <c:v>12.66814022856579</c:v>
                </c:pt>
                <c:pt idx="75">
                  <c:v>26.069510091579446</c:v>
                </c:pt>
                <c:pt idx="76">
                  <c:v>21.570879954593124</c:v>
                </c:pt>
                <c:pt idx="77">
                  <c:v>22.157783335004922</c:v>
                </c:pt>
                <c:pt idx="78">
                  <c:v>22.744686715416719</c:v>
                </c:pt>
                <c:pt idx="79">
                  <c:v>24.946056578430387</c:v>
                </c:pt>
                <c:pt idx="80">
                  <c:v>20.447426441444065</c:v>
                </c:pt>
                <c:pt idx="81">
                  <c:v>21.034329821855863</c:v>
                </c:pt>
                <c:pt idx="82">
                  <c:v>26.835699684869553</c:v>
                </c:pt>
                <c:pt idx="83">
                  <c:v>22.337069547883232</c:v>
                </c:pt>
                <c:pt idx="84">
                  <c:v>25.938439410896933</c:v>
                </c:pt>
                <c:pt idx="85">
                  <c:v>26.525342791308731</c:v>
                </c:pt>
                <c:pt idx="86">
                  <c:v>31.526712654322409</c:v>
                </c:pt>
                <c:pt idx="87">
                  <c:v>27.028082517336088</c:v>
                </c:pt>
                <c:pt idx="88">
                  <c:v>27.614985897747886</c:v>
                </c:pt>
                <c:pt idx="89">
                  <c:v>42.016355760761542</c:v>
                </c:pt>
                <c:pt idx="90">
                  <c:v>37.51772562377522</c:v>
                </c:pt>
                <c:pt idx="91">
                  <c:v>38.104629004187018</c:v>
                </c:pt>
                <c:pt idx="92">
                  <c:v>38.691532384598815</c:v>
                </c:pt>
                <c:pt idx="93">
                  <c:v>42.492902247612506</c:v>
                </c:pt>
                <c:pt idx="94">
                  <c:v>37.994272110626184</c:v>
                </c:pt>
                <c:pt idx="95">
                  <c:v>38.581175491037982</c:v>
                </c:pt>
                <c:pt idx="96">
                  <c:v>53.682545354051683</c:v>
                </c:pt>
                <c:pt idx="97">
                  <c:v>54.183915217065362</c:v>
                </c:pt>
                <c:pt idx="98">
                  <c:v>54.485285080079052</c:v>
                </c:pt>
                <c:pt idx="99">
                  <c:v>54.886654943092708</c:v>
                </c:pt>
                <c:pt idx="100">
                  <c:v>58.088024806106375</c:v>
                </c:pt>
                <c:pt idx="101">
                  <c:v>53.589394669120054</c:v>
                </c:pt>
                <c:pt idx="102">
                  <c:v>53.99076453213371</c:v>
                </c:pt>
                <c:pt idx="103">
                  <c:v>63.092134395147411</c:v>
                </c:pt>
                <c:pt idx="104">
                  <c:v>58.59350425816109</c:v>
                </c:pt>
                <c:pt idx="105">
                  <c:v>59.094874121174769</c:v>
                </c:pt>
                <c:pt idx="106">
                  <c:v>57.896243984188402</c:v>
                </c:pt>
                <c:pt idx="107">
                  <c:v>58.397613847202081</c:v>
                </c:pt>
                <c:pt idx="108">
                  <c:v>53.898983710215759</c:v>
                </c:pt>
                <c:pt idx="109">
                  <c:v>52.700353573229393</c:v>
                </c:pt>
                <c:pt idx="110">
                  <c:v>48.201723436243071</c:v>
                </c:pt>
                <c:pt idx="111">
                  <c:v>53.70309329925675</c:v>
                </c:pt>
                <c:pt idx="112">
                  <c:v>49.204463162270429</c:v>
                </c:pt>
                <c:pt idx="113">
                  <c:v>44.705833025284164</c:v>
                </c:pt>
                <c:pt idx="114">
                  <c:v>40.207202888297843</c:v>
                </c:pt>
                <c:pt idx="115">
                  <c:v>35.708572751311522</c:v>
                </c:pt>
                <c:pt idx="116">
                  <c:v>31.2099426143252</c:v>
                </c:pt>
                <c:pt idx="117">
                  <c:v>26.711312477338879</c:v>
                </c:pt>
                <c:pt idx="118">
                  <c:v>22.212682340352558</c:v>
                </c:pt>
                <c:pt idx="119">
                  <c:v>22.799585720764412</c:v>
                </c:pt>
                <c:pt idx="120">
                  <c:v>18.300955583778091</c:v>
                </c:pt>
                <c:pt idx="121">
                  <c:v>20.583036803322557</c:v>
                </c:pt>
                <c:pt idx="122">
                  <c:v>16.084406666336236</c:v>
                </c:pt>
                <c:pt idx="123">
                  <c:v>16.67131004674809</c:v>
                </c:pt>
                <c:pt idx="124">
                  <c:v>12.172679909761769</c:v>
                </c:pt>
                <c:pt idx="125">
                  <c:v>17.845116807571685</c:v>
                </c:pt>
                <c:pt idx="126">
                  <c:v>18.432020187983539</c:v>
                </c:pt>
                <c:pt idx="127">
                  <c:v>13.933390050997218</c:v>
                </c:pt>
                <c:pt idx="128">
                  <c:v>16.215471270541684</c:v>
                </c:pt>
                <c:pt idx="129">
                  <c:v>11.716841133555363</c:v>
                </c:pt>
                <c:pt idx="130">
                  <c:v>12.303744513967217</c:v>
                </c:pt>
                <c:pt idx="131">
                  <c:v>7.8051143769808959</c:v>
                </c:pt>
                <c:pt idx="132">
                  <c:v>13.477551274790812</c:v>
                </c:pt>
                <c:pt idx="133">
                  <c:v>14.064454655202667</c:v>
                </c:pt>
                <c:pt idx="134">
                  <c:v>9.5658245182163455</c:v>
                </c:pt>
                <c:pt idx="135">
                  <c:v>11.847905737760811</c:v>
                </c:pt>
                <c:pt idx="136">
                  <c:v>7.3492756007744902</c:v>
                </c:pt>
                <c:pt idx="137">
                  <c:v>7.9361789811863446</c:v>
                </c:pt>
                <c:pt idx="138">
                  <c:v>3.4375488442000233</c:v>
                </c:pt>
                <c:pt idx="139">
                  <c:v>9.1099857420099397</c:v>
                </c:pt>
                <c:pt idx="140">
                  <c:v>9.6968891224217941</c:v>
                </c:pt>
                <c:pt idx="141">
                  <c:v>5.1982589854354728</c:v>
                </c:pt>
                <c:pt idx="142">
                  <c:v>7.4803402049799388</c:v>
                </c:pt>
                <c:pt idx="143">
                  <c:v>2.9817100679936175</c:v>
                </c:pt>
                <c:pt idx="144">
                  <c:v>3.5686134484054719</c:v>
                </c:pt>
                <c:pt idx="145">
                  <c:v>0</c:v>
                </c:pt>
                <c:pt idx="146">
                  <c:v>4.742420209229067</c:v>
                </c:pt>
                <c:pt idx="147">
                  <c:v>5.3293235896409215</c:v>
                </c:pt>
                <c:pt idx="148">
                  <c:v>5.9162269700527759</c:v>
                </c:pt>
                <c:pt idx="149">
                  <c:v>1.4175968330664546</c:v>
                </c:pt>
                <c:pt idx="150">
                  <c:v>3.6996780526109205</c:v>
                </c:pt>
                <c:pt idx="151">
                  <c:v>4.2865814330227749</c:v>
                </c:pt>
                <c:pt idx="152">
                  <c:v>0</c:v>
                </c:pt>
                <c:pt idx="153">
                  <c:v>5.4603881938463701</c:v>
                </c:pt>
                <c:pt idx="154">
                  <c:v>6.0472915742582245</c:v>
                </c:pt>
                <c:pt idx="155">
                  <c:v>6.6341949546700789</c:v>
                </c:pt>
                <c:pt idx="156">
                  <c:v>2.1355648176837576</c:v>
                </c:pt>
                <c:pt idx="157">
                  <c:v>4.4176460372282236</c:v>
                </c:pt>
                <c:pt idx="158">
                  <c:v>5.004549417640078</c:v>
                </c:pt>
                <c:pt idx="159">
                  <c:v>0.50591928065375669</c:v>
                </c:pt>
                <c:pt idx="160">
                  <c:v>6.1783561784636731</c:v>
                </c:pt>
                <c:pt idx="161">
                  <c:v>6.7652595588755275</c:v>
                </c:pt>
                <c:pt idx="162">
                  <c:v>7.352162939287382</c:v>
                </c:pt>
                <c:pt idx="163">
                  <c:v>2.8535328023010607</c:v>
                </c:pt>
                <c:pt idx="164">
                  <c:v>5.1356140218455266</c:v>
                </c:pt>
                <c:pt idx="165">
                  <c:v>5.722517402257381</c:v>
                </c:pt>
                <c:pt idx="166">
                  <c:v>1.2238872652710597</c:v>
                </c:pt>
                <c:pt idx="167">
                  <c:v>6.8963241630809762</c:v>
                </c:pt>
                <c:pt idx="168">
                  <c:v>7.4832275434928306</c:v>
                </c:pt>
                <c:pt idx="169">
                  <c:v>8.070130923904685</c:v>
                </c:pt>
                <c:pt idx="170">
                  <c:v>3.5715007869183637</c:v>
                </c:pt>
                <c:pt idx="171">
                  <c:v>5.8535820064628297</c:v>
                </c:pt>
                <c:pt idx="172">
                  <c:v>6.4404853868746841</c:v>
                </c:pt>
                <c:pt idx="173">
                  <c:v>1.9418552498883628</c:v>
                </c:pt>
                <c:pt idx="174">
                  <c:v>7.6142921476982792</c:v>
                </c:pt>
                <c:pt idx="175">
                  <c:v>8.2011955281101336</c:v>
                </c:pt>
                <c:pt idx="176">
                  <c:v>8.7880989085219881</c:v>
                </c:pt>
                <c:pt idx="177">
                  <c:v>4.2894687715356667</c:v>
                </c:pt>
                <c:pt idx="178">
                  <c:v>6.5715499910801327</c:v>
                </c:pt>
                <c:pt idx="179">
                  <c:v>7.1584533714919871</c:v>
                </c:pt>
                <c:pt idx="180">
                  <c:v>2.6598232345056658</c:v>
                </c:pt>
                <c:pt idx="181">
                  <c:v>8.3322601323155823</c:v>
                </c:pt>
                <c:pt idx="182">
                  <c:v>8.9191635127274367</c:v>
                </c:pt>
                <c:pt idx="183">
                  <c:v>9.5060668931392911</c:v>
                </c:pt>
                <c:pt idx="184">
                  <c:v>5.0074367561529698</c:v>
                </c:pt>
                <c:pt idx="185">
                  <c:v>7.2895179756974358</c:v>
                </c:pt>
                <c:pt idx="186">
                  <c:v>7.8764213561092902</c:v>
                </c:pt>
                <c:pt idx="187">
                  <c:v>3.3777912191229689</c:v>
                </c:pt>
                <c:pt idx="188">
                  <c:v>9.0502281169328853</c:v>
                </c:pt>
                <c:pt idx="189">
                  <c:v>9.6371314973447397</c:v>
                </c:pt>
                <c:pt idx="190">
                  <c:v>10.224034877756594</c:v>
                </c:pt>
                <c:pt idx="191">
                  <c:v>5.7254047407702728</c:v>
                </c:pt>
                <c:pt idx="192">
                  <c:v>8.0074859603147388</c:v>
                </c:pt>
                <c:pt idx="193">
                  <c:v>8.5943893407265932</c:v>
                </c:pt>
                <c:pt idx="194">
                  <c:v>4.0957592037402719</c:v>
                </c:pt>
                <c:pt idx="195">
                  <c:v>9.7681961015501884</c:v>
                </c:pt>
                <c:pt idx="196">
                  <c:v>10.355099481962043</c:v>
                </c:pt>
                <c:pt idx="197">
                  <c:v>10.942002862373897</c:v>
                </c:pt>
                <c:pt idx="198">
                  <c:v>6.4433727253875759</c:v>
                </c:pt>
                <c:pt idx="199">
                  <c:v>8.7254539449320418</c:v>
                </c:pt>
                <c:pt idx="200">
                  <c:v>9.3123573253438963</c:v>
                </c:pt>
                <c:pt idx="201">
                  <c:v>4.813727188357575</c:v>
                </c:pt>
                <c:pt idx="202">
                  <c:v>10.486164086167491</c:v>
                </c:pt>
                <c:pt idx="203">
                  <c:v>13.615834225278377</c:v>
                </c:pt>
                <c:pt idx="204">
                  <c:v>16.745504364389262</c:v>
                </c:pt>
                <c:pt idx="205">
                  <c:v>19.80944806467528</c:v>
                </c:pt>
                <c:pt idx="206">
                  <c:v>22.939118203786165</c:v>
                </c:pt>
                <c:pt idx="207">
                  <c:v>26.068788342897051</c:v>
                </c:pt>
                <c:pt idx="208">
                  <c:v>36.826758758105143</c:v>
                </c:pt>
                <c:pt idx="209">
                  <c:v>32.328128621118822</c:v>
                </c:pt>
                <c:pt idx="210">
                  <c:v>35.457798760229707</c:v>
                </c:pt>
                <c:pt idx="211">
                  <c:v>38.587468899340593</c:v>
                </c:pt>
                <c:pt idx="212">
                  <c:v>41.65141259962661</c:v>
                </c:pt>
                <c:pt idx="213">
                  <c:v>44.781082738737496</c:v>
                </c:pt>
                <c:pt idx="214">
                  <c:v>47.910752877848381</c:v>
                </c:pt>
                <c:pt idx="215">
                  <c:v>60.363901132189085</c:v>
                </c:pt>
                <c:pt idx="216">
                  <c:v>55.865270995202764</c:v>
                </c:pt>
                <c:pt idx="217">
                  <c:v>58.994941134313649</c:v>
                </c:pt>
                <c:pt idx="218">
                  <c:v>63.24640944702378</c:v>
                </c:pt>
                <c:pt idx="219">
                  <c:v>66.376079586134665</c:v>
                </c:pt>
                <c:pt idx="220">
                  <c:v>71.211754850611214</c:v>
                </c:pt>
                <c:pt idx="221">
                  <c:v>74.3414249897221</c:v>
                </c:pt>
                <c:pt idx="222">
                  <c:v>88.489751083195642</c:v>
                </c:pt>
                <c:pt idx="223">
                  <c:v>83.991120946209321</c:v>
                </c:pt>
                <c:pt idx="224">
                  <c:v>79.492490809223</c:v>
                </c:pt>
                <c:pt idx="225">
                  <c:v>82.622160948333885</c:v>
                </c:pt>
                <c:pt idx="226">
                  <c:v>78.123530811347564</c:v>
                </c:pt>
                <c:pt idx="227">
                  <c:v>81.253200950458449</c:v>
                </c:pt>
                <c:pt idx="228">
                  <c:v>76.754570813472128</c:v>
                </c:pt>
                <c:pt idx="229">
                  <c:v>82.427007711282158</c:v>
                </c:pt>
                <c:pt idx="230">
                  <c:v>77.928377574295837</c:v>
                </c:pt>
                <c:pt idx="231">
                  <c:v>81.058047713406722</c:v>
                </c:pt>
                <c:pt idx="232">
                  <c:v>84.187717852517608</c:v>
                </c:pt>
                <c:pt idx="233">
                  <c:v>89.857188608832075</c:v>
                </c:pt>
                <c:pt idx="234">
                  <c:v>92.986858747942961</c:v>
                </c:pt>
                <c:pt idx="235">
                  <c:v>96.116528887053846</c:v>
                </c:pt>
                <c:pt idx="236">
                  <c:v>108.56967714139455</c:v>
                </c:pt>
                <c:pt idx="237">
                  <c:v>104.07104700440823</c:v>
                </c:pt>
                <c:pt idx="238">
                  <c:v>107.20071714351911</c:v>
                </c:pt>
                <c:pt idx="239">
                  <c:v>110.33038728263</c:v>
                </c:pt>
                <c:pt idx="240">
                  <c:v>115.99985803894447</c:v>
                </c:pt>
                <c:pt idx="241">
                  <c:v>119.12952817805535</c:v>
                </c:pt>
                <c:pt idx="242">
                  <c:v>122.25919831716624</c:v>
                </c:pt>
                <c:pt idx="243">
                  <c:v>136.40752441063978</c:v>
                </c:pt>
                <c:pt idx="244">
                  <c:v>131.90889427365346</c:v>
                </c:pt>
                <c:pt idx="245">
                  <c:v>135.03856441276434</c:v>
                </c:pt>
                <c:pt idx="246">
                  <c:v>142.90244947106589</c:v>
                </c:pt>
                <c:pt idx="247">
                  <c:v>146.03211961017678</c:v>
                </c:pt>
                <c:pt idx="248">
                  <c:v>151.68557074734986</c:v>
                </c:pt>
                <c:pt idx="249">
                  <c:v>154.81524088646074</c:v>
                </c:pt>
                <c:pt idx="250">
                  <c:v>170.6587448190669</c:v>
                </c:pt>
                <c:pt idx="251">
                  <c:v>166.16011468208058</c:v>
                </c:pt>
                <c:pt idx="252">
                  <c:v>161.66148454509425</c:v>
                </c:pt>
                <c:pt idx="253">
                  <c:v>164.79115468420514</c:v>
                </c:pt>
                <c:pt idx="254">
                  <c:v>160.29252454721882</c:v>
                </c:pt>
                <c:pt idx="255">
                  <c:v>163.4221946863297</c:v>
                </c:pt>
                <c:pt idx="256">
                  <c:v>158.92356454934338</c:v>
                </c:pt>
                <c:pt idx="257">
                  <c:v>164.59600144715341</c:v>
                </c:pt>
                <c:pt idx="258">
                  <c:v>160.09737131016709</c:v>
                </c:pt>
                <c:pt idx="259">
                  <c:v>163.22704144927798</c:v>
                </c:pt>
                <c:pt idx="260">
                  <c:v>166.35671158838886</c:v>
                </c:pt>
                <c:pt idx="261">
                  <c:v>172.01016272556194</c:v>
                </c:pt>
                <c:pt idx="262">
                  <c:v>175.13983286467283</c:v>
                </c:pt>
                <c:pt idx="263">
                  <c:v>178.26950300378371</c:v>
                </c:pt>
                <c:pt idx="264">
                  <c:v>192.41782909725725</c:v>
                </c:pt>
                <c:pt idx="265">
                  <c:v>187.91919896027093</c:v>
                </c:pt>
                <c:pt idx="266">
                  <c:v>191.04886909938182</c:v>
                </c:pt>
                <c:pt idx="267">
                  <c:v>194.1785392384927</c:v>
                </c:pt>
                <c:pt idx="268">
                  <c:v>201.46754212105861</c:v>
                </c:pt>
                <c:pt idx="269">
                  <c:v>204.5972122601695</c:v>
                </c:pt>
                <c:pt idx="270">
                  <c:v>207.72688239928038</c:v>
                </c:pt>
                <c:pt idx="271">
                  <c:v>223.57038633188654</c:v>
                </c:pt>
                <c:pt idx="272">
                  <c:v>219.07175619490022</c:v>
                </c:pt>
                <c:pt idx="273">
                  <c:v>222.2014263340111</c:v>
                </c:pt>
                <c:pt idx="274">
                  <c:v>225.33109647312199</c:v>
                </c:pt>
                <c:pt idx="275">
                  <c:v>234.25565110108073</c:v>
                </c:pt>
                <c:pt idx="276">
                  <c:v>237.38532124019162</c:v>
                </c:pt>
                <c:pt idx="277">
                  <c:v>240.5149913793025</c:v>
                </c:pt>
                <c:pt idx="278">
                  <c:v>261.01636124231618</c:v>
                </c:pt>
                <c:pt idx="279">
                  <c:v>256.51773110532986</c:v>
                </c:pt>
                <c:pt idx="280">
                  <c:v>259.64740124444074</c:v>
                </c:pt>
                <c:pt idx="281">
                  <c:v>255.14877110745442</c:v>
                </c:pt>
                <c:pt idx="282">
                  <c:v>260.82120800526445</c:v>
                </c:pt>
                <c:pt idx="283">
                  <c:v>256.32257786827813</c:v>
                </c:pt>
                <c:pt idx="284">
                  <c:v>259.38652156856415</c:v>
                </c:pt>
                <c:pt idx="285">
                  <c:v>254.88789143157783</c:v>
                </c:pt>
                <c:pt idx="286">
                  <c:v>264.38926129459151</c:v>
                </c:pt>
                <c:pt idx="287">
                  <c:v>259.89063115760518</c:v>
                </c:pt>
                <c:pt idx="288">
                  <c:v>265.56306805541521</c:v>
                </c:pt>
                <c:pt idx="289">
                  <c:v>261.06443791842889</c:v>
                </c:pt>
                <c:pt idx="290">
                  <c:v>262.56580778144257</c:v>
                </c:pt>
                <c:pt idx="291">
                  <c:v>258.06717764445625</c:v>
                </c:pt>
                <c:pt idx="292">
                  <c:v>257.56854750746993</c:v>
                </c:pt>
                <c:pt idx="293">
                  <c:v>274.06991737048361</c:v>
                </c:pt>
                <c:pt idx="294">
                  <c:v>269.57128723349729</c:v>
                </c:pt>
                <c:pt idx="295">
                  <c:v>265.07265709651097</c:v>
                </c:pt>
                <c:pt idx="296">
                  <c:v>260.57402695952464</c:v>
                </c:pt>
                <c:pt idx="297">
                  <c:v>256.07539682253832</c:v>
                </c:pt>
                <c:pt idx="298">
                  <c:v>251.576766685552</c:v>
                </c:pt>
                <c:pt idx="299">
                  <c:v>247.07813654856568</c:v>
                </c:pt>
                <c:pt idx="300">
                  <c:v>242.57950641157936</c:v>
                </c:pt>
                <c:pt idx="301">
                  <c:v>243.1664097919911</c:v>
                </c:pt>
                <c:pt idx="302">
                  <c:v>243.75331317240284</c:v>
                </c:pt>
                <c:pt idx="303">
                  <c:v>239.25468303541652</c:v>
                </c:pt>
                <c:pt idx="304">
                  <c:v>239.84158641582826</c:v>
                </c:pt>
                <c:pt idx="305">
                  <c:v>240.42848979624</c:v>
                </c:pt>
                <c:pt idx="306">
                  <c:v>235.92985965925368</c:v>
                </c:pt>
                <c:pt idx="307">
                  <c:v>241.60229655706371</c:v>
                </c:pt>
                <c:pt idx="308">
                  <c:v>242.18919993747545</c:v>
                </c:pt>
                <c:pt idx="309">
                  <c:v>242.77610331788719</c:v>
                </c:pt>
                <c:pt idx="310">
                  <c:v>238.27747318090087</c:v>
                </c:pt>
                <c:pt idx="311">
                  <c:v>238.86437656131261</c:v>
                </c:pt>
                <c:pt idx="312">
                  <c:v>239.45127994172435</c:v>
                </c:pt>
                <c:pt idx="313">
                  <c:v>234.95264980473803</c:v>
                </c:pt>
                <c:pt idx="314">
                  <c:v>240.62508670254806</c:v>
                </c:pt>
                <c:pt idx="315">
                  <c:v>241.2119900829598</c:v>
                </c:pt>
                <c:pt idx="316">
                  <c:v>241.79889346337154</c:v>
                </c:pt>
                <c:pt idx="317">
                  <c:v>237.30026332638522</c:v>
                </c:pt>
                <c:pt idx="318">
                  <c:v>237.88716670679696</c:v>
                </c:pt>
                <c:pt idx="319">
                  <c:v>238.4740700872087</c:v>
                </c:pt>
                <c:pt idx="320">
                  <c:v>233.97543995022238</c:v>
                </c:pt>
                <c:pt idx="321">
                  <c:v>239.64787684803241</c:v>
                </c:pt>
                <c:pt idx="322">
                  <c:v>240.23478022844415</c:v>
                </c:pt>
                <c:pt idx="323">
                  <c:v>240.82168360885589</c:v>
                </c:pt>
                <c:pt idx="324">
                  <c:v>236.32305347186957</c:v>
                </c:pt>
                <c:pt idx="325">
                  <c:v>236.90995685228131</c:v>
                </c:pt>
                <c:pt idx="326">
                  <c:v>237.49686023269305</c:v>
                </c:pt>
                <c:pt idx="327">
                  <c:v>232.99823009570673</c:v>
                </c:pt>
                <c:pt idx="328">
                  <c:v>238.67066699351676</c:v>
                </c:pt>
                <c:pt idx="329">
                  <c:v>239.2575703739285</c:v>
                </c:pt>
                <c:pt idx="330">
                  <c:v>239.84447375434024</c:v>
                </c:pt>
                <c:pt idx="331">
                  <c:v>235.34584361735392</c:v>
                </c:pt>
                <c:pt idx="332">
                  <c:v>235.93274699776566</c:v>
                </c:pt>
                <c:pt idx="333">
                  <c:v>236.5196503781774</c:v>
                </c:pt>
                <c:pt idx="334">
                  <c:v>232.02102024119108</c:v>
                </c:pt>
                <c:pt idx="335">
                  <c:v>237.69345713900111</c:v>
                </c:pt>
                <c:pt idx="336">
                  <c:v>238.28036051941285</c:v>
                </c:pt>
                <c:pt idx="337">
                  <c:v>238.86726389982459</c:v>
                </c:pt>
                <c:pt idx="338">
                  <c:v>234.36863376283827</c:v>
                </c:pt>
                <c:pt idx="339">
                  <c:v>234.95553714325001</c:v>
                </c:pt>
                <c:pt idx="340">
                  <c:v>235.54244052366175</c:v>
                </c:pt>
                <c:pt idx="341">
                  <c:v>231.04381038667543</c:v>
                </c:pt>
                <c:pt idx="342">
                  <c:v>236.71624728448546</c:v>
                </c:pt>
                <c:pt idx="343">
                  <c:v>237.3031506648972</c:v>
                </c:pt>
                <c:pt idx="344">
                  <c:v>237.89005404530894</c:v>
                </c:pt>
                <c:pt idx="345">
                  <c:v>233.39142390832262</c:v>
                </c:pt>
                <c:pt idx="346">
                  <c:v>233.97832728873436</c:v>
                </c:pt>
                <c:pt idx="347">
                  <c:v>234.5652306691461</c:v>
                </c:pt>
                <c:pt idx="348">
                  <c:v>230.06660053215978</c:v>
                </c:pt>
                <c:pt idx="349">
                  <c:v>235.73903742996981</c:v>
                </c:pt>
                <c:pt idx="350">
                  <c:v>236.32594081038155</c:v>
                </c:pt>
                <c:pt idx="351">
                  <c:v>236.91284419079329</c:v>
                </c:pt>
                <c:pt idx="352">
                  <c:v>232.41421405380697</c:v>
                </c:pt>
                <c:pt idx="353">
                  <c:v>233.00111743421871</c:v>
                </c:pt>
                <c:pt idx="354">
                  <c:v>233.58802081463045</c:v>
                </c:pt>
                <c:pt idx="355">
                  <c:v>229.08939067764413</c:v>
                </c:pt>
                <c:pt idx="356">
                  <c:v>234.76182757545416</c:v>
                </c:pt>
                <c:pt idx="357">
                  <c:v>235.3487309558659</c:v>
                </c:pt>
                <c:pt idx="358">
                  <c:v>235.93563433627764</c:v>
                </c:pt>
                <c:pt idx="359">
                  <c:v>231.43700419929132</c:v>
                </c:pt>
                <c:pt idx="360">
                  <c:v>232.02390757970306</c:v>
                </c:pt>
                <c:pt idx="361">
                  <c:v>232.6108109601148</c:v>
                </c:pt>
                <c:pt idx="362">
                  <c:v>228.11218082312848</c:v>
                </c:pt>
                <c:pt idx="363">
                  <c:v>233.78461772093851</c:v>
                </c:pt>
                <c:pt idx="364">
                  <c:v>229.28598758395219</c:v>
                </c:pt>
                <c:pt idx="365">
                  <c:v>234.95842448176222</c:v>
                </c:pt>
              </c:numCache>
            </c:numRef>
          </c:val>
          <c:extLst>
            <c:ext xmlns:c16="http://schemas.microsoft.com/office/drawing/2014/chart" uri="{C3380CC4-5D6E-409C-BE32-E72D297353CC}">
              <c16:uniqueId val="{00000002-9662-47DB-BFB0-23CD2C2C8B23}"/>
            </c:ext>
          </c:extLst>
        </c:ser>
        <c:ser>
          <c:idx val="3"/>
          <c:order val="3"/>
          <c:tx>
            <c:strRef>
              <c:f>'Year progression'!$E$1</c:f>
              <c:strCache>
                <c:ptCount val="1"/>
                <c:pt idx="0">
                  <c:v>neg</c:v>
                </c:pt>
              </c:strCache>
            </c:strRef>
          </c:tx>
          <c:spPr>
            <a:solidFill>
              <a:srgbClr val="FF3333">
                <a:alpha val="60000"/>
              </a:srgbClr>
            </a:solidFill>
            <a:ln>
              <a:solidFill>
                <a:schemeClr val="tx1"/>
              </a:solidFill>
            </a:ln>
            <a:effectLst>
              <a:outerShdw blurRad="57150" dist="19050" dir="5400000" algn="ctr" rotWithShape="0">
                <a:srgbClr val="000000">
                  <a:alpha val="63000"/>
                </a:srgbClr>
              </a:outerShdw>
            </a:effectLst>
          </c:spPr>
          <c:cat>
            <c:numRef>
              <c:f>'Year progression'!$A$2:$A$182</c:f>
              <c:numCache>
                <c:formatCode>ddd\ dd\.mm</c:formatCode>
                <c:ptCount val="181"/>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numCache>
            </c:numRef>
          </c:cat>
          <c:val>
            <c:numRef>
              <c:f>'Year progression'!$E$2:$E$367</c:f>
              <c:numCache>
                <c:formatCode>0</c:formatCode>
                <c:ptCount val="366"/>
                <c:pt idx="0">
                  <c:v>0</c:v>
                </c:pt>
                <c:pt idx="1">
                  <c:v>-8.9972602739726035</c:v>
                </c:pt>
                <c:pt idx="2">
                  <c:v>-5.3958904109589056</c:v>
                </c:pt>
                <c:pt idx="3">
                  <c:v>-9.8945205479452074</c:v>
                </c:pt>
                <c:pt idx="4">
                  <c:v>-14.393150684931507</c:v>
                </c:pt>
                <c:pt idx="5">
                  <c:v>-12.941780821917806</c:v>
                </c:pt>
                <c:pt idx="6">
                  <c:v>-17.440410958904106</c:v>
                </c:pt>
                <c:pt idx="7">
                  <c:v>-14.989041095890407</c:v>
                </c:pt>
                <c:pt idx="8">
                  <c:v>-19.487671232876707</c:v>
                </c:pt>
                <c:pt idx="9">
                  <c:v>-18.056301369863007</c:v>
                </c:pt>
                <c:pt idx="10">
                  <c:v>-22.554931506849307</c:v>
                </c:pt>
                <c:pt idx="11">
                  <c:v>-27.053561643835607</c:v>
                </c:pt>
                <c:pt idx="12">
                  <c:v>-31.552191780821907</c:v>
                </c:pt>
                <c:pt idx="13">
                  <c:v>-30.330821917808208</c:v>
                </c:pt>
                <c:pt idx="14">
                  <c:v>-29.489452054794512</c:v>
                </c:pt>
                <c:pt idx="15">
                  <c:v>-33.988082191780819</c:v>
                </c:pt>
                <c:pt idx="16">
                  <c:v>-33.006712328767122</c:v>
                </c:pt>
                <c:pt idx="17">
                  <c:v>-34.315342465753432</c:v>
                </c:pt>
                <c:pt idx="18">
                  <c:v>-38.813972602739739</c:v>
                </c:pt>
                <c:pt idx="19">
                  <c:v>-36.531891383195202</c:v>
                </c:pt>
                <c:pt idx="20">
                  <c:v>-41.030521520181509</c:v>
                </c:pt>
                <c:pt idx="21">
                  <c:v>-40.443618139769683</c:v>
                </c:pt>
                <c:pt idx="22">
                  <c:v>-34.709624819765708</c:v>
                </c:pt>
                <c:pt idx="23">
                  <c:v>-39.208254956752015</c:v>
                </c:pt>
                <c:pt idx="24">
                  <c:v>-38.621351576340189</c:v>
                </c:pt>
                <c:pt idx="25">
                  <c:v>-43.119981713326496</c:v>
                </c:pt>
                <c:pt idx="26">
                  <c:v>-37.385988393322521</c:v>
                </c:pt>
                <c:pt idx="27">
                  <c:v>-41.884618530308828</c:v>
                </c:pt>
                <c:pt idx="28">
                  <c:v>-37.048943265832278</c:v>
                </c:pt>
                <c:pt idx="29">
                  <c:v>-36.462039885420438</c:v>
                </c:pt>
                <c:pt idx="30">
                  <c:v>-31.960670022406731</c:v>
                </c:pt>
                <c:pt idx="31">
                  <c:v>-36.459300159393024</c:v>
                </c:pt>
                <c:pt idx="32">
                  <c:v>-35.872396778981184</c:v>
                </c:pt>
                <c:pt idx="33">
                  <c:v>-26.771026915967482</c:v>
                </c:pt>
                <c:pt idx="34">
                  <c:v>-31.269657052953775</c:v>
                </c:pt>
                <c:pt idx="35">
                  <c:v>-30.682753672541935</c:v>
                </c:pt>
                <c:pt idx="36">
                  <c:v>-30.095850292130109</c:v>
                </c:pt>
                <c:pt idx="37">
                  <c:v>-26.594480429116402</c:v>
                </c:pt>
                <c:pt idx="38">
                  <c:v>-31.093110566102695</c:v>
                </c:pt>
                <c:pt idx="39">
                  <c:v>-30.506207185690869</c:v>
                </c:pt>
                <c:pt idx="40">
                  <c:v>-20.504837322677162</c:v>
                </c:pt>
                <c:pt idx="41">
                  <c:v>-25.003467459663455</c:v>
                </c:pt>
                <c:pt idx="42">
                  <c:v>-21.102097596649742</c:v>
                </c:pt>
                <c:pt idx="43">
                  <c:v>-20.515194216237916</c:v>
                </c:pt>
                <c:pt idx="44">
                  <c:v>-16.413824353224214</c:v>
                </c:pt>
                <c:pt idx="45">
                  <c:v>-20.912454490210507</c:v>
                </c:pt>
                <c:pt idx="46">
                  <c:v>-20.325551109798681</c:v>
                </c:pt>
                <c:pt idx="47">
                  <c:v>-9.5241812467849627</c:v>
                </c:pt>
                <c:pt idx="48">
                  <c:v>-14.022811383771256</c:v>
                </c:pt>
                <c:pt idx="49">
                  <c:v>-13.43590800335943</c:v>
                </c:pt>
                <c:pt idx="50">
                  <c:v>-12.849004622947604</c:v>
                </c:pt>
                <c:pt idx="51">
                  <c:v>-10.447634759933891</c:v>
                </c:pt>
                <c:pt idx="52">
                  <c:v>-14.946264896920184</c:v>
                </c:pt>
                <c:pt idx="53">
                  <c:v>-14.359361516508358</c:v>
                </c:pt>
                <c:pt idx="54">
                  <c:v>-10.857991653494651</c:v>
                </c:pt>
                <c:pt idx="55">
                  <c:v>-15.356621790480943</c:v>
                </c:pt>
                <c:pt idx="56">
                  <c:v>-10.855251927467236</c:v>
                </c:pt>
                <c:pt idx="57">
                  <c:v>-10.268348547055439</c:v>
                </c:pt>
                <c:pt idx="58">
                  <c:v>-5.2669786840417601</c:v>
                </c:pt>
                <c:pt idx="59">
                  <c:v>-9.7656088210280814</c:v>
                </c:pt>
                <c:pt idx="60">
                  <c:v>-9.1787054406162838</c:v>
                </c:pt>
                <c:pt idx="61">
                  <c:v>0</c:v>
                </c:pt>
                <c:pt idx="62">
                  <c:v>-1.9759657145889378</c:v>
                </c:pt>
                <c:pt idx="63">
                  <c:v>-1.3890623341771402</c:v>
                </c:pt>
                <c:pt idx="64">
                  <c:v>-0.80215895376534263</c:v>
                </c:pt>
                <c:pt idx="65">
                  <c:v>0</c:v>
                </c:pt>
                <c:pt idx="66">
                  <c:v>-1.2994192277379852</c:v>
                </c:pt>
                <c:pt idx="67">
                  <c:v>-0.71251584732618767</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-0.9300166885808494</c:v>
                </c:pt>
                <c:pt idx="146">
                  <c:v>0</c:v>
                </c:pt>
                <c:pt idx="147">
                  <c:v>0</c:v>
                </c:pt>
                <c:pt idx="148">
                  <c:v>0</c:v>
                </c:pt>
                <c:pt idx="149">
                  <c:v>0</c:v>
                </c:pt>
                <c:pt idx="150">
                  <c:v>0</c:v>
                </c:pt>
                <c:pt idx="151">
                  <c:v>0</c:v>
                </c:pt>
                <c:pt idx="152">
                  <c:v>-0.21204870396354636</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3-9662-47DB-BFB0-23CD2C2C8B23}"/>
            </c:ext>
          </c:extLst>
        </c:ser>
        <c:dLbls>
          <c:showLegendKey val="0"/>
          <c:showVal val="0"/>
          <c:showCatName val="0"/>
          <c:showSerName val="0"/>
          <c:showPercent val="0"/>
          <c:showBubbleSize val="0"/>
        </c:dLbls>
        <c:axId val="661043448"/>
        <c:axId val="661043776"/>
      </c:areaChart>
      <c:lineChart>
        <c:grouping val="standard"/>
        <c:varyColors val="0"/>
        <c:ser>
          <c:idx val="0"/>
          <c:order val="0"/>
          <c:tx>
            <c:strRef>
              <c:f>'Year progression'!$B$1</c:f>
              <c:strCache>
                <c:ptCount val="1"/>
                <c:pt idx="0">
                  <c:v>actual</c:v>
                </c:pt>
              </c:strCache>
            </c:strRef>
          </c:tx>
          <c:spPr>
            <a:ln w="19050" cap="rnd">
              <a:solidFill>
                <a:srgbClr val="FF0000"/>
              </a:solidFill>
              <a:round/>
            </a:ln>
            <a:effectLst>
              <a:outerShdw blurRad="57150" dist="19050" dir="5400000" algn="ctr" rotWithShape="0">
                <a:srgbClr val="000000">
                  <a:alpha val="63000"/>
                </a:srgbClr>
              </a:outerShdw>
            </a:effectLst>
          </c:spPr>
          <c:marker>
            <c:symbol val="none"/>
          </c:marker>
          <c:dPt>
            <c:idx val="69"/>
            <c:marker>
              <c:symbol val="none"/>
            </c:marker>
            <c:bubble3D val="0"/>
            <c:extLst>
              <c:ext xmlns:c16="http://schemas.microsoft.com/office/drawing/2014/chart" uri="{C3380CC4-5D6E-409C-BE32-E72D297353CC}">
                <c16:uniqueId val="{00000000-1782-4CC2-ADE5-BE6390BC68D1}"/>
              </c:ext>
            </c:extLst>
          </c:dPt>
          <c:cat>
            <c:numRef>
              <c:f>'Year progression'!$A$2:$A$367</c:f>
              <c:numCache>
                <c:formatCode>ddd\ dd\.mm</c:formatCode>
                <c:ptCount val="366"/>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pt idx="181">
                  <c:v>45473</c:v>
                </c:pt>
                <c:pt idx="182">
                  <c:v>45474</c:v>
                </c:pt>
                <c:pt idx="183">
                  <c:v>45475</c:v>
                </c:pt>
                <c:pt idx="184">
                  <c:v>45476</c:v>
                </c:pt>
                <c:pt idx="185">
                  <c:v>45477</c:v>
                </c:pt>
                <c:pt idx="186">
                  <c:v>45478</c:v>
                </c:pt>
                <c:pt idx="187">
                  <c:v>45479</c:v>
                </c:pt>
                <c:pt idx="188">
                  <c:v>45480</c:v>
                </c:pt>
                <c:pt idx="189">
                  <c:v>45481</c:v>
                </c:pt>
                <c:pt idx="190">
                  <c:v>45482</c:v>
                </c:pt>
                <c:pt idx="191">
                  <c:v>45483</c:v>
                </c:pt>
                <c:pt idx="192">
                  <c:v>45484</c:v>
                </c:pt>
                <c:pt idx="193">
                  <c:v>45485</c:v>
                </c:pt>
                <c:pt idx="194">
                  <c:v>45486</c:v>
                </c:pt>
                <c:pt idx="195">
                  <c:v>45487</c:v>
                </c:pt>
                <c:pt idx="196">
                  <c:v>45488</c:v>
                </c:pt>
                <c:pt idx="197">
                  <c:v>45489</c:v>
                </c:pt>
                <c:pt idx="198">
                  <c:v>45490</c:v>
                </c:pt>
                <c:pt idx="199">
                  <c:v>45491</c:v>
                </c:pt>
                <c:pt idx="200">
                  <c:v>45492</c:v>
                </c:pt>
                <c:pt idx="201">
                  <c:v>45493</c:v>
                </c:pt>
                <c:pt idx="202">
                  <c:v>45494</c:v>
                </c:pt>
                <c:pt idx="203">
                  <c:v>45495</c:v>
                </c:pt>
                <c:pt idx="204">
                  <c:v>45496</c:v>
                </c:pt>
                <c:pt idx="205">
                  <c:v>45497</c:v>
                </c:pt>
                <c:pt idx="206">
                  <c:v>45498</c:v>
                </c:pt>
                <c:pt idx="207">
                  <c:v>45499</c:v>
                </c:pt>
                <c:pt idx="208">
                  <c:v>45500</c:v>
                </c:pt>
                <c:pt idx="209">
                  <c:v>45501</c:v>
                </c:pt>
                <c:pt idx="210">
                  <c:v>45502</c:v>
                </c:pt>
                <c:pt idx="211">
                  <c:v>45503</c:v>
                </c:pt>
                <c:pt idx="212">
                  <c:v>45504</c:v>
                </c:pt>
                <c:pt idx="213">
                  <c:v>45505</c:v>
                </c:pt>
                <c:pt idx="214">
                  <c:v>45506</c:v>
                </c:pt>
                <c:pt idx="215">
                  <c:v>45507</c:v>
                </c:pt>
                <c:pt idx="216">
                  <c:v>45508</c:v>
                </c:pt>
                <c:pt idx="217">
                  <c:v>45509</c:v>
                </c:pt>
                <c:pt idx="218">
                  <c:v>45510</c:v>
                </c:pt>
                <c:pt idx="219">
                  <c:v>45511</c:v>
                </c:pt>
                <c:pt idx="220">
                  <c:v>45512</c:v>
                </c:pt>
                <c:pt idx="221">
                  <c:v>45513</c:v>
                </c:pt>
                <c:pt idx="222">
                  <c:v>45514</c:v>
                </c:pt>
                <c:pt idx="223">
                  <c:v>45515</c:v>
                </c:pt>
                <c:pt idx="224">
                  <c:v>45516</c:v>
                </c:pt>
                <c:pt idx="225">
                  <c:v>45517</c:v>
                </c:pt>
                <c:pt idx="226">
                  <c:v>45518</c:v>
                </c:pt>
                <c:pt idx="227">
                  <c:v>45519</c:v>
                </c:pt>
                <c:pt idx="228">
                  <c:v>45520</c:v>
                </c:pt>
                <c:pt idx="229">
                  <c:v>45521</c:v>
                </c:pt>
                <c:pt idx="230">
                  <c:v>45522</c:v>
                </c:pt>
                <c:pt idx="231">
                  <c:v>45523</c:v>
                </c:pt>
                <c:pt idx="232">
                  <c:v>45524</c:v>
                </c:pt>
                <c:pt idx="233">
                  <c:v>45525</c:v>
                </c:pt>
                <c:pt idx="234">
                  <c:v>45526</c:v>
                </c:pt>
                <c:pt idx="235">
                  <c:v>45527</c:v>
                </c:pt>
                <c:pt idx="236">
                  <c:v>45528</c:v>
                </c:pt>
                <c:pt idx="237">
                  <c:v>45529</c:v>
                </c:pt>
                <c:pt idx="238">
                  <c:v>45530</c:v>
                </c:pt>
                <c:pt idx="239">
                  <c:v>45531</c:v>
                </c:pt>
                <c:pt idx="240">
                  <c:v>45532</c:v>
                </c:pt>
                <c:pt idx="241">
                  <c:v>45533</c:v>
                </c:pt>
                <c:pt idx="242">
                  <c:v>45534</c:v>
                </c:pt>
                <c:pt idx="243">
                  <c:v>45535</c:v>
                </c:pt>
                <c:pt idx="244">
                  <c:v>45536</c:v>
                </c:pt>
                <c:pt idx="245">
                  <c:v>45537</c:v>
                </c:pt>
                <c:pt idx="246">
                  <c:v>45538</c:v>
                </c:pt>
                <c:pt idx="247">
                  <c:v>45539</c:v>
                </c:pt>
                <c:pt idx="248">
                  <c:v>45540</c:v>
                </c:pt>
                <c:pt idx="249">
                  <c:v>45541</c:v>
                </c:pt>
                <c:pt idx="250">
                  <c:v>45542</c:v>
                </c:pt>
                <c:pt idx="251">
                  <c:v>45543</c:v>
                </c:pt>
                <c:pt idx="252">
                  <c:v>45544</c:v>
                </c:pt>
                <c:pt idx="253">
                  <c:v>45545</c:v>
                </c:pt>
                <c:pt idx="254">
                  <c:v>45546</c:v>
                </c:pt>
                <c:pt idx="255">
                  <c:v>45547</c:v>
                </c:pt>
                <c:pt idx="256">
                  <c:v>45548</c:v>
                </c:pt>
                <c:pt idx="257">
                  <c:v>45549</c:v>
                </c:pt>
                <c:pt idx="258">
                  <c:v>45550</c:v>
                </c:pt>
                <c:pt idx="259">
                  <c:v>45551</c:v>
                </c:pt>
                <c:pt idx="260">
                  <c:v>45552</c:v>
                </c:pt>
                <c:pt idx="261">
                  <c:v>45553</c:v>
                </c:pt>
                <c:pt idx="262">
                  <c:v>45554</c:v>
                </c:pt>
                <c:pt idx="263">
                  <c:v>45555</c:v>
                </c:pt>
                <c:pt idx="264">
                  <c:v>45556</c:v>
                </c:pt>
                <c:pt idx="265">
                  <c:v>45557</c:v>
                </c:pt>
                <c:pt idx="266">
                  <c:v>45558</c:v>
                </c:pt>
                <c:pt idx="267">
                  <c:v>45559</c:v>
                </c:pt>
                <c:pt idx="268">
                  <c:v>45560</c:v>
                </c:pt>
                <c:pt idx="269">
                  <c:v>45561</c:v>
                </c:pt>
                <c:pt idx="270">
                  <c:v>45562</c:v>
                </c:pt>
                <c:pt idx="271">
                  <c:v>45563</c:v>
                </c:pt>
                <c:pt idx="272">
                  <c:v>45564</c:v>
                </c:pt>
                <c:pt idx="273">
                  <c:v>45565</c:v>
                </c:pt>
                <c:pt idx="274">
                  <c:v>45566</c:v>
                </c:pt>
                <c:pt idx="275">
                  <c:v>45567</c:v>
                </c:pt>
                <c:pt idx="276">
                  <c:v>45568</c:v>
                </c:pt>
                <c:pt idx="277">
                  <c:v>45569</c:v>
                </c:pt>
                <c:pt idx="278">
                  <c:v>45570</c:v>
                </c:pt>
                <c:pt idx="279">
                  <c:v>45571</c:v>
                </c:pt>
                <c:pt idx="280">
                  <c:v>45572</c:v>
                </c:pt>
                <c:pt idx="281">
                  <c:v>45573</c:v>
                </c:pt>
                <c:pt idx="282">
                  <c:v>45574</c:v>
                </c:pt>
                <c:pt idx="283">
                  <c:v>45575</c:v>
                </c:pt>
                <c:pt idx="284">
                  <c:v>45576</c:v>
                </c:pt>
                <c:pt idx="285">
                  <c:v>45577</c:v>
                </c:pt>
                <c:pt idx="286">
                  <c:v>45578</c:v>
                </c:pt>
                <c:pt idx="287">
                  <c:v>45579</c:v>
                </c:pt>
                <c:pt idx="288">
                  <c:v>45580</c:v>
                </c:pt>
                <c:pt idx="289">
                  <c:v>45581</c:v>
                </c:pt>
                <c:pt idx="290">
                  <c:v>45582</c:v>
                </c:pt>
                <c:pt idx="291">
                  <c:v>45583</c:v>
                </c:pt>
                <c:pt idx="292">
                  <c:v>45584</c:v>
                </c:pt>
                <c:pt idx="293">
                  <c:v>45585</c:v>
                </c:pt>
                <c:pt idx="294">
                  <c:v>45586</c:v>
                </c:pt>
                <c:pt idx="295">
                  <c:v>45587</c:v>
                </c:pt>
                <c:pt idx="296">
                  <c:v>45588</c:v>
                </c:pt>
                <c:pt idx="297">
                  <c:v>45589</c:v>
                </c:pt>
                <c:pt idx="298">
                  <c:v>45590</c:v>
                </c:pt>
                <c:pt idx="299">
                  <c:v>45591</c:v>
                </c:pt>
                <c:pt idx="300">
                  <c:v>45592</c:v>
                </c:pt>
                <c:pt idx="301">
                  <c:v>45593</c:v>
                </c:pt>
                <c:pt idx="302">
                  <c:v>45594</c:v>
                </c:pt>
                <c:pt idx="303">
                  <c:v>45595</c:v>
                </c:pt>
                <c:pt idx="304">
                  <c:v>45596</c:v>
                </c:pt>
                <c:pt idx="305">
                  <c:v>45597</c:v>
                </c:pt>
                <c:pt idx="306">
                  <c:v>45598</c:v>
                </c:pt>
                <c:pt idx="307">
                  <c:v>45599</c:v>
                </c:pt>
                <c:pt idx="308">
                  <c:v>45600</c:v>
                </c:pt>
                <c:pt idx="309">
                  <c:v>45601</c:v>
                </c:pt>
                <c:pt idx="310">
                  <c:v>45602</c:v>
                </c:pt>
                <c:pt idx="311">
                  <c:v>45603</c:v>
                </c:pt>
                <c:pt idx="312">
                  <c:v>45604</c:v>
                </c:pt>
                <c:pt idx="313">
                  <c:v>45605</c:v>
                </c:pt>
                <c:pt idx="314">
                  <c:v>45606</c:v>
                </c:pt>
                <c:pt idx="315">
                  <c:v>45607</c:v>
                </c:pt>
                <c:pt idx="316">
                  <c:v>45608</c:v>
                </c:pt>
                <c:pt idx="317">
                  <c:v>45609</c:v>
                </c:pt>
                <c:pt idx="318">
                  <c:v>45610</c:v>
                </c:pt>
                <c:pt idx="319">
                  <c:v>45611</c:v>
                </c:pt>
                <c:pt idx="320">
                  <c:v>45612</c:v>
                </c:pt>
                <c:pt idx="321">
                  <c:v>45613</c:v>
                </c:pt>
                <c:pt idx="322">
                  <c:v>45614</c:v>
                </c:pt>
                <c:pt idx="323">
                  <c:v>45615</c:v>
                </c:pt>
                <c:pt idx="324">
                  <c:v>45616</c:v>
                </c:pt>
                <c:pt idx="325">
                  <c:v>45617</c:v>
                </c:pt>
                <c:pt idx="326">
                  <c:v>45618</c:v>
                </c:pt>
                <c:pt idx="327">
                  <c:v>45619</c:v>
                </c:pt>
                <c:pt idx="328">
                  <c:v>45620</c:v>
                </c:pt>
                <c:pt idx="329">
                  <c:v>45621</c:v>
                </c:pt>
                <c:pt idx="330">
                  <c:v>45622</c:v>
                </c:pt>
                <c:pt idx="331">
                  <c:v>45623</c:v>
                </c:pt>
                <c:pt idx="332">
                  <c:v>45624</c:v>
                </c:pt>
                <c:pt idx="333">
                  <c:v>45625</c:v>
                </c:pt>
                <c:pt idx="334">
                  <c:v>45626</c:v>
                </c:pt>
                <c:pt idx="335">
                  <c:v>45627</c:v>
                </c:pt>
                <c:pt idx="336">
                  <c:v>45628</c:v>
                </c:pt>
                <c:pt idx="337">
                  <c:v>45629</c:v>
                </c:pt>
                <c:pt idx="338">
                  <c:v>45630</c:v>
                </c:pt>
                <c:pt idx="339">
                  <c:v>45631</c:v>
                </c:pt>
                <c:pt idx="340">
                  <c:v>45632</c:v>
                </c:pt>
                <c:pt idx="341">
                  <c:v>45633</c:v>
                </c:pt>
                <c:pt idx="342">
                  <c:v>45634</c:v>
                </c:pt>
                <c:pt idx="343">
                  <c:v>45635</c:v>
                </c:pt>
                <c:pt idx="344">
                  <c:v>45636</c:v>
                </c:pt>
                <c:pt idx="345">
                  <c:v>45637</c:v>
                </c:pt>
                <c:pt idx="346">
                  <c:v>45638</c:v>
                </c:pt>
                <c:pt idx="347">
                  <c:v>45639</c:v>
                </c:pt>
                <c:pt idx="348">
                  <c:v>45640</c:v>
                </c:pt>
                <c:pt idx="349">
                  <c:v>45641</c:v>
                </c:pt>
                <c:pt idx="350">
                  <c:v>45642</c:v>
                </c:pt>
                <c:pt idx="351">
                  <c:v>45643</c:v>
                </c:pt>
                <c:pt idx="352">
                  <c:v>45644</c:v>
                </c:pt>
                <c:pt idx="353">
                  <c:v>45645</c:v>
                </c:pt>
                <c:pt idx="354">
                  <c:v>45646</c:v>
                </c:pt>
                <c:pt idx="355">
                  <c:v>45647</c:v>
                </c:pt>
                <c:pt idx="356">
                  <c:v>45648</c:v>
                </c:pt>
                <c:pt idx="357">
                  <c:v>45649</c:v>
                </c:pt>
                <c:pt idx="358">
                  <c:v>45650</c:v>
                </c:pt>
                <c:pt idx="359">
                  <c:v>45651</c:v>
                </c:pt>
                <c:pt idx="360">
                  <c:v>45652</c:v>
                </c:pt>
                <c:pt idx="361">
                  <c:v>45653</c:v>
                </c:pt>
                <c:pt idx="362">
                  <c:v>45654</c:v>
                </c:pt>
                <c:pt idx="363">
                  <c:v>45655</c:v>
                </c:pt>
                <c:pt idx="364">
                  <c:v>45656</c:v>
                </c:pt>
                <c:pt idx="365">
                  <c:v>45657</c:v>
                </c:pt>
              </c:numCache>
            </c:numRef>
          </c:cat>
          <c:val>
            <c:numRef>
              <c:f>'Year progression'!$B$2:$B$17</c:f>
              <c:numCache>
                <c:formatCode>0</c:formatCode>
                <c:ptCount val="16"/>
                <c:pt idx="0">
                  <c:v>0</c:v>
                </c:pt>
                <c:pt idx="1">
                  <c:v>0</c:v>
                </c:pt>
                <c:pt idx="2">
                  <c:v>8.1</c:v>
                </c:pt>
                <c:pt idx="3">
                  <c:v>8.1</c:v>
                </c:pt>
                <c:pt idx="4">
                  <c:v>8.1</c:v>
                </c:pt>
                <c:pt idx="5">
                  <c:v>14.05</c:v>
                </c:pt>
                <c:pt idx="6">
                  <c:v>14.05</c:v>
                </c:pt>
                <c:pt idx="7">
                  <c:v>21</c:v>
                </c:pt>
                <c:pt idx="8">
                  <c:v>21</c:v>
                </c:pt>
                <c:pt idx="9">
                  <c:v>26.93</c:v>
                </c:pt>
                <c:pt idx="10">
                  <c:v>26.93</c:v>
                </c:pt>
                <c:pt idx="11">
                  <c:v>26.93</c:v>
                </c:pt>
                <c:pt idx="12">
                  <c:v>26.93</c:v>
                </c:pt>
                <c:pt idx="13">
                  <c:v>32.65</c:v>
                </c:pt>
                <c:pt idx="14">
                  <c:v>37.989999999999995</c:v>
                </c:pt>
                <c:pt idx="15">
                  <c:v>37.989999999999995</c:v>
                </c:pt>
              </c:numCache>
            </c:numRef>
          </c:val>
          <c:smooth val="0"/>
          <c:extLst>
            <c:ext xmlns:c16="http://schemas.microsoft.com/office/drawing/2014/chart" uri="{C3380CC4-5D6E-409C-BE32-E72D297353CC}">
              <c16:uniqueId val="{00000000-9662-47DB-BFB0-23CD2C2C8B23}"/>
            </c:ext>
          </c:extLst>
        </c:ser>
        <c:dLbls>
          <c:showLegendKey val="0"/>
          <c:showVal val="0"/>
          <c:showCatName val="0"/>
          <c:showSerName val="0"/>
          <c:showPercent val="0"/>
          <c:showBubbleSize val="0"/>
        </c:dLbls>
        <c:marker val="1"/>
        <c:smooth val="0"/>
        <c:axId val="661043448"/>
        <c:axId val="661043776"/>
      </c:lineChart>
      <c:dateAx>
        <c:axId val="661043448"/>
        <c:scaling>
          <c:orientation val="minMax"/>
        </c:scaling>
        <c:delete val="0"/>
        <c:axPos val="b"/>
        <c:numFmt formatCode="ddd\ dd\.mm"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661043776"/>
        <c:crosses val="autoZero"/>
        <c:auto val="1"/>
        <c:lblOffset val="100"/>
        <c:baseTimeUnit val="days"/>
      </c:dateAx>
      <c:valAx>
        <c:axId val="661043776"/>
        <c:scaling>
          <c:orientation val="minMax"/>
          <c:min val="0"/>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661043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scatterChart>
        <c:scatterStyle val="lineMarker"/>
        <c:varyColors val="0"/>
        <c:ser>
          <c:idx val="0"/>
          <c:order val="0"/>
          <c:tx>
            <c:strRef>
              <c:f>Volumes!$B$3</c:f>
              <c:strCache>
                <c:ptCount val="1"/>
                <c:pt idx="0">
                  <c:v>(km/Wo)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Volumes!$A$4:$A$19</c:f>
              <c:numCache>
                <c:formatCode>[$-F400]h:mm:ss\ AM/PM</c:formatCode>
                <c:ptCount val="16"/>
                <c:pt idx="0">
                  <c:v>4.4444444444444446E-2</c:v>
                </c:pt>
                <c:pt idx="1">
                  <c:v>4.027777777777778E-2</c:v>
                </c:pt>
                <c:pt idx="2">
                  <c:v>3.5416666666666666E-2</c:v>
                </c:pt>
                <c:pt idx="3">
                  <c:v>3.3333333333333333E-2</c:v>
                </c:pt>
                <c:pt idx="4">
                  <c:v>3.125E-2</c:v>
                </c:pt>
                <c:pt idx="5">
                  <c:v>2.9166666666666664E-2</c:v>
                </c:pt>
                <c:pt idx="6">
                  <c:v>2.6388888888888889E-2</c:v>
                </c:pt>
                <c:pt idx="7">
                  <c:v>2.6041666666666668E-2</c:v>
                </c:pt>
                <c:pt idx="8">
                  <c:v>2.5347222222222219E-2</c:v>
                </c:pt>
                <c:pt idx="9">
                  <c:v>2.4537037037037038E-2</c:v>
                </c:pt>
                <c:pt idx="10">
                  <c:v>2.3842592592592596E-2</c:v>
                </c:pt>
                <c:pt idx="11">
                  <c:v>2.314814814814815E-2</c:v>
                </c:pt>
                <c:pt idx="12">
                  <c:v>2.2222222222222223E-2</c:v>
                </c:pt>
                <c:pt idx="13">
                  <c:v>2.1527777777777781E-2</c:v>
                </c:pt>
                <c:pt idx="14">
                  <c:v>2.0833333333333332E-2</c:v>
                </c:pt>
                <c:pt idx="15">
                  <c:v>2.013888888888889E-2</c:v>
                </c:pt>
              </c:numCache>
            </c:numRef>
          </c:xVal>
          <c:yVal>
            <c:numRef>
              <c:f>Volumes!$B$4:$B$19</c:f>
              <c:numCache>
                <c:formatCode>General</c:formatCode>
                <c:ptCount val="16"/>
                <c:pt idx="0">
                  <c:v>36</c:v>
                </c:pt>
                <c:pt idx="1">
                  <c:v>39</c:v>
                </c:pt>
                <c:pt idx="2">
                  <c:v>42</c:v>
                </c:pt>
                <c:pt idx="3">
                  <c:v>46</c:v>
                </c:pt>
                <c:pt idx="4">
                  <c:v>50</c:v>
                </c:pt>
                <c:pt idx="5">
                  <c:v>59</c:v>
                </c:pt>
                <c:pt idx="6">
                  <c:v>67</c:v>
                </c:pt>
                <c:pt idx="7">
                  <c:v>71</c:v>
                </c:pt>
                <c:pt idx="8">
                  <c:v>76</c:v>
                </c:pt>
                <c:pt idx="9">
                  <c:v>88</c:v>
                </c:pt>
                <c:pt idx="10">
                  <c:v>99</c:v>
                </c:pt>
                <c:pt idx="11">
                  <c:v>113</c:v>
                </c:pt>
                <c:pt idx="12">
                  <c:v>127</c:v>
                </c:pt>
                <c:pt idx="13">
                  <c:v>137</c:v>
                </c:pt>
                <c:pt idx="14">
                  <c:v>144</c:v>
                </c:pt>
                <c:pt idx="15">
                  <c:v>153</c:v>
                </c:pt>
              </c:numCache>
            </c:numRef>
          </c:yVal>
          <c:smooth val="0"/>
          <c:extLst>
            <c:ext xmlns:c16="http://schemas.microsoft.com/office/drawing/2014/chart" uri="{C3380CC4-5D6E-409C-BE32-E72D297353CC}">
              <c16:uniqueId val="{00000000-D6DE-B84F-A0D0-EA85A57781A0}"/>
            </c:ext>
          </c:extLst>
        </c:ser>
        <c:dLbls>
          <c:showLegendKey val="0"/>
          <c:showVal val="0"/>
          <c:showCatName val="0"/>
          <c:showSerName val="0"/>
          <c:showPercent val="0"/>
          <c:showBubbleSize val="0"/>
        </c:dLbls>
        <c:axId val="175172032"/>
        <c:axId val="175147120"/>
      </c:scatterChart>
      <c:valAx>
        <c:axId val="175172032"/>
        <c:scaling>
          <c:orientation val="minMax"/>
          <c:max val="4.5000000000000012E-2"/>
          <c:min val="1.5000000000000003E-2"/>
        </c:scaling>
        <c:delete val="0"/>
        <c:axPos val="b"/>
        <c:majorGridlines>
          <c:spPr>
            <a:ln w="9525" cap="flat" cmpd="sng" algn="ctr">
              <a:solidFill>
                <a:schemeClr val="tx1">
                  <a:lumMod val="15000"/>
                  <a:lumOff val="85000"/>
                </a:schemeClr>
              </a:solidFill>
              <a:round/>
            </a:ln>
            <a:effectLst/>
          </c:spPr>
        </c:majorGridlines>
        <c:numFmt formatCode="[$-F400]h:mm:ss\ AM/P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5147120"/>
        <c:crosses val="autoZero"/>
        <c:crossBetween val="midCat"/>
      </c:valAx>
      <c:valAx>
        <c:axId val="17514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51720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scatterChart>
        <c:scatterStyle val="lineMarker"/>
        <c:varyColors val="0"/>
        <c:ser>
          <c:idx val="0"/>
          <c:order val="0"/>
          <c:tx>
            <c:strRef>
              <c:f>Volumes!$E$3</c:f>
              <c:strCache>
                <c:ptCount val="1"/>
                <c:pt idx="0">
                  <c:v>(km/Wo)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Volumes!$D$4:$D$19</c:f>
              <c:numCache>
                <c:formatCode>h:mm</c:formatCode>
                <c:ptCount val="16"/>
                <c:pt idx="0">
                  <c:v>9.930555555555555E-2</c:v>
                </c:pt>
                <c:pt idx="1">
                  <c:v>9.0277777777777776E-2</c:v>
                </c:pt>
                <c:pt idx="2">
                  <c:v>7.9861111111111105E-2</c:v>
                </c:pt>
                <c:pt idx="3">
                  <c:v>7.4305555555555555E-2</c:v>
                </c:pt>
                <c:pt idx="4">
                  <c:v>6.9444444444444434E-2</c:v>
                </c:pt>
                <c:pt idx="5">
                  <c:v>6.458333333333334E-2</c:v>
                </c:pt>
                <c:pt idx="6">
                  <c:v>5.9722222222222225E-2</c:v>
                </c:pt>
                <c:pt idx="7">
                  <c:v>5.6250000000000001E-2</c:v>
                </c:pt>
                <c:pt idx="8">
                  <c:v>5.4166666666666669E-2</c:v>
                </c:pt>
                <c:pt idx="9">
                  <c:v>5.2777777777777778E-2</c:v>
                </c:pt>
                <c:pt idx="10">
                  <c:v>5.1388888888888894E-2</c:v>
                </c:pt>
                <c:pt idx="11">
                  <c:v>4.9305555555555554E-2</c:v>
                </c:pt>
                <c:pt idx="12">
                  <c:v>4.7916666666666663E-2</c:v>
                </c:pt>
                <c:pt idx="13">
                  <c:v>4.6527777777777779E-2</c:v>
                </c:pt>
                <c:pt idx="14">
                  <c:v>4.4444444444444446E-2</c:v>
                </c:pt>
                <c:pt idx="15">
                  <c:v>4.3055555555555562E-2</c:v>
                </c:pt>
              </c:numCache>
            </c:numRef>
          </c:xVal>
          <c:yVal>
            <c:numRef>
              <c:f>Volumes!$E$4:$E$19</c:f>
              <c:numCache>
                <c:formatCode>General</c:formatCode>
                <c:ptCount val="16"/>
                <c:pt idx="0">
                  <c:v>41</c:v>
                </c:pt>
                <c:pt idx="1">
                  <c:v>44</c:v>
                </c:pt>
                <c:pt idx="2">
                  <c:v>48</c:v>
                </c:pt>
                <c:pt idx="3">
                  <c:v>52</c:v>
                </c:pt>
                <c:pt idx="4">
                  <c:v>58</c:v>
                </c:pt>
                <c:pt idx="5">
                  <c:v>67</c:v>
                </c:pt>
                <c:pt idx="6">
                  <c:v>77</c:v>
                </c:pt>
                <c:pt idx="7">
                  <c:v>86</c:v>
                </c:pt>
                <c:pt idx="8">
                  <c:v>100</c:v>
                </c:pt>
                <c:pt idx="9">
                  <c:v>114</c:v>
                </c:pt>
                <c:pt idx="10">
                  <c:v>130</c:v>
                </c:pt>
                <c:pt idx="11">
                  <c:v>146</c:v>
                </c:pt>
                <c:pt idx="12">
                  <c:v>158</c:v>
                </c:pt>
                <c:pt idx="13">
                  <c:v>164</c:v>
                </c:pt>
                <c:pt idx="14">
                  <c:v>174</c:v>
                </c:pt>
                <c:pt idx="15">
                  <c:v>192</c:v>
                </c:pt>
              </c:numCache>
            </c:numRef>
          </c:yVal>
          <c:smooth val="0"/>
          <c:extLst>
            <c:ext xmlns:c16="http://schemas.microsoft.com/office/drawing/2014/chart" uri="{C3380CC4-5D6E-409C-BE32-E72D297353CC}">
              <c16:uniqueId val="{00000000-1F41-8B45-A011-3B400BF0792D}"/>
            </c:ext>
          </c:extLst>
        </c:ser>
        <c:dLbls>
          <c:showLegendKey val="0"/>
          <c:showVal val="0"/>
          <c:showCatName val="0"/>
          <c:showSerName val="0"/>
          <c:showPercent val="0"/>
          <c:showBubbleSize val="0"/>
        </c:dLbls>
        <c:axId val="140461568"/>
        <c:axId val="175191648"/>
      </c:scatterChart>
      <c:valAx>
        <c:axId val="140461568"/>
        <c:scaling>
          <c:orientation val="minMax"/>
          <c:min val="4.0000000000000008E-2"/>
        </c:scaling>
        <c:delete val="0"/>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5191648"/>
        <c:crosses val="autoZero"/>
        <c:crossBetween val="midCat"/>
      </c:valAx>
      <c:valAx>
        <c:axId val="17519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04615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scatterChart>
        <c:scatterStyle val="lineMarker"/>
        <c:varyColors val="0"/>
        <c:ser>
          <c:idx val="0"/>
          <c:order val="0"/>
          <c:tx>
            <c:strRef>
              <c:f>Volumes!$H$3</c:f>
              <c:strCache>
                <c:ptCount val="1"/>
                <c:pt idx="0">
                  <c:v>(km/Wo)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Volumes!$G$4:$G$20</c:f>
              <c:numCache>
                <c:formatCode>h:mm</c:formatCode>
                <c:ptCount val="17"/>
                <c:pt idx="0">
                  <c:v>0.20833333333333334</c:v>
                </c:pt>
                <c:pt idx="1">
                  <c:v>0.1875</c:v>
                </c:pt>
                <c:pt idx="2">
                  <c:v>0.16666666666666666</c:v>
                </c:pt>
                <c:pt idx="3">
                  <c:v>0.15625</c:v>
                </c:pt>
                <c:pt idx="4">
                  <c:v>0.14583333333333334</c:v>
                </c:pt>
                <c:pt idx="5">
                  <c:v>0.13541666666666666</c:v>
                </c:pt>
                <c:pt idx="6">
                  <c:v>0.125</c:v>
                </c:pt>
                <c:pt idx="7">
                  <c:v>0.11805555555555557</c:v>
                </c:pt>
                <c:pt idx="8">
                  <c:v>0.11458333333333333</c:v>
                </c:pt>
                <c:pt idx="9">
                  <c:v>0.1111111111111111</c:v>
                </c:pt>
                <c:pt idx="10">
                  <c:v>0.1076388888888889</c:v>
                </c:pt>
                <c:pt idx="11">
                  <c:v>0.10416666666666667</c:v>
                </c:pt>
                <c:pt idx="12">
                  <c:v>0.10069444444444443</c:v>
                </c:pt>
                <c:pt idx="13">
                  <c:v>9.7222222222222224E-2</c:v>
                </c:pt>
                <c:pt idx="14">
                  <c:v>9.375E-2</c:v>
                </c:pt>
                <c:pt idx="15">
                  <c:v>9.0277777777777776E-2</c:v>
                </c:pt>
              </c:numCache>
            </c:numRef>
          </c:xVal>
          <c:yVal>
            <c:numRef>
              <c:f>Volumes!$H$4:$H$20</c:f>
              <c:numCache>
                <c:formatCode>General</c:formatCode>
                <c:ptCount val="17"/>
                <c:pt idx="0">
                  <c:v>51</c:v>
                </c:pt>
                <c:pt idx="1">
                  <c:v>55</c:v>
                </c:pt>
                <c:pt idx="2">
                  <c:v>60</c:v>
                </c:pt>
                <c:pt idx="3">
                  <c:v>65</c:v>
                </c:pt>
                <c:pt idx="4">
                  <c:v>72</c:v>
                </c:pt>
                <c:pt idx="5">
                  <c:v>84</c:v>
                </c:pt>
                <c:pt idx="6">
                  <c:v>96</c:v>
                </c:pt>
                <c:pt idx="7">
                  <c:v>108</c:v>
                </c:pt>
                <c:pt idx="8">
                  <c:v>125</c:v>
                </c:pt>
                <c:pt idx="9">
                  <c:v>142</c:v>
                </c:pt>
                <c:pt idx="10">
                  <c:v>162</c:v>
                </c:pt>
                <c:pt idx="11">
                  <c:v>182</c:v>
                </c:pt>
                <c:pt idx="12">
                  <c:v>195</c:v>
                </c:pt>
                <c:pt idx="13">
                  <c:v>205</c:v>
                </c:pt>
                <c:pt idx="14">
                  <c:v>218</c:v>
                </c:pt>
                <c:pt idx="15">
                  <c:v>240</c:v>
                </c:pt>
              </c:numCache>
            </c:numRef>
          </c:yVal>
          <c:smooth val="0"/>
          <c:extLst>
            <c:ext xmlns:c16="http://schemas.microsoft.com/office/drawing/2014/chart" uri="{C3380CC4-5D6E-409C-BE32-E72D297353CC}">
              <c16:uniqueId val="{00000000-CE3E-9247-BF2F-B5198FB3EE0B}"/>
            </c:ext>
          </c:extLst>
        </c:ser>
        <c:dLbls>
          <c:showLegendKey val="0"/>
          <c:showVal val="0"/>
          <c:showCatName val="0"/>
          <c:showSerName val="0"/>
          <c:showPercent val="0"/>
          <c:showBubbleSize val="0"/>
        </c:dLbls>
        <c:axId val="134453408"/>
        <c:axId val="134530496"/>
      </c:scatterChart>
      <c:valAx>
        <c:axId val="134453408"/>
        <c:scaling>
          <c:orientation val="minMax"/>
          <c:min val="8.0000000000000016E-2"/>
        </c:scaling>
        <c:delete val="0"/>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4530496"/>
        <c:crosses val="autoZero"/>
        <c:crossBetween val="midCat"/>
      </c:valAx>
      <c:valAx>
        <c:axId val="13453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44534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chart" Target="../charts/chart23.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19" Type="http://schemas.openxmlformats.org/officeDocument/2006/relationships/chart" Target="../charts/chart24.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21</xdr:col>
      <xdr:colOff>190500</xdr:colOff>
      <xdr:row>1</xdr:row>
      <xdr:rowOff>123823</xdr:rowOff>
    </xdr:from>
    <xdr:to>
      <xdr:col>26</xdr:col>
      <xdr:colOff>901700</xdr:colOff>
      <xdr:row>12</xdr:row>
      <xdr:rowOff>139700</xdr:rowOff>
    </xdr:to>
    <xdr:graphicFrame macro="">
      <xdr:nvGraphicFramePr>
        <xdr:cNvPr id="2" name="Diagramm 1">
          <a:extLst>
            <a:ext uri="{FF2B5EF4-FFF2-40B4-BE49-F238E27FC236}">
              <a16:creationId xmlns:a16="http://schemas.microsoft.com/office/drawing/2014/main" id="{F4BC0035-D3FE-D843-B5F1-815D8D9E4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12700</xdr:colOff>
      <xdr:row>14</xdr:row>
      <xdr:rowOff>88900</xdr:rowOff>
    </xdr:from>
    <xdr:to>
      <xdr:col>26</xdr:col>
      <xdr:colOff>901700</xdr:colOff>
      <xdr:row>28</xdr:row>
      <xdr:rowOff>101600</xdr:rowOff>
    </xdr:to>
    <xdr:graphicFrame macro="">
      <xdr:nvGraphicFramePr>
        <xdr:cNvPr id="5" name="Diagramm 4">
          <a:extLst>
            <a:ext uri="{FF2B5EF4-FFF2-40B4-BE49-F238E27FC236}">
              <a16:creationId xmlns:a16="http://schemas.microsoft.com/office/drawing/2014/main" id="{86EA51F9-5572-5749-8231-5101BD472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76200</xdr:colOff>
      <xdr:row>5</xdr:row>
      <xdr:rowOff>12700</xdr:rowOff>
    </xdr:from>
    <xdr:to>
      <xdr:col>14</xdr:col>
      <xdr:colOff>520700</xdr:colOff>
      <xdr:row>21</xdr:row>
      <xdr:rowOff>114300</xdr:rowOff>
    </xdr:to>
    <xdr:graphicFrame macro="">
      <xdr:nvGraphicFramePr>
        <xdr:cNvPr id="3" name="Chart 2">
          <a:extLst>
            <a:ext uri="{FF2B5EF4-FFF2-40B4-BE49-F238E27FC236}">
              <a16:creationId xmlns:a16="http://schemas.microsoft.com/office/drawing/2014/main" id="{01648E91-8506-1FF5-26AA-E9BA793616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63500</xdr:colOff>
      <xdr:row>22</xdr:row>
      <xdr:rowOff>88900</xdr:rowOff>
    </xdr:from>
    <xdr:to>
      <xdr:col>14</xdr:col>
      <xdr:colOff>508000</xdr:colOff>
      <xdr:row>39</xdr:row>
      <xdr:rowOff>25400</xdr:rowOff>
    </xdr:to>
    <xdr:graphicFrame macro="">
      <xdr:nvGraphicFramePr>
        <xdr:cNvPr id="4" name="Chart 3">
          <a:extLst>
            <a:ext uri="{FF2B5EF4-FFF2-40B4-BE49-F238E27FC236}">
              <a16:creationId xmlns:a16="http://schemas.microsoft.com/office/drawing/2014/main" id="{8E5C639A-BBA3-67E7-7F83-A77B0E41A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44450</xdr:colOff>
      <xdr:row>39</xdr:row>
      <xdr:rowOff>152400</xdr:rowOff>
    </xdr:from>
    <xdr:to>
      <xdr:col>14</xdr:col>
      <xdr:colOff>488950</xdr:colOff>
      <xdr:row>56</xdr:row>
      <xdr:rowOff>88900</xdr:rowOff>
    </xdr:to>
    <xdr:graphicFrame macro="">
      <xdr:nvGraphicFramePr>
        <xdr:cNvPr id="2" name="Chart 1">
          <a:extLst>
            <a:ext uri="{FF2B5EF4-FFF2-40B4-BE49-F238E27FC236}">
              <a16:creationId xmlns:a16="http://schemas.microsoft.com/office/drawing/2014/main" id="{0A9C97E6-9FB1-0299-A82A-4425B664B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584199</xdr:colOff>
      <xdr:row>20</xdr:row>
      <xdr:rowOff>50800</xdr:rowOff>
    </xdr:from>
    <xdr:to>
      <xdr:col>8</xdr:col>
      <xdr:colOff>719472</xdr:colOff>
      <xdr:row>34</xdr:row>
      <xdr:rowOff>86436</xdr:rowOff>
    </xdr:to>
    <xdr:graphicFrame macro="">
      <xdr:nvGraphicFramePr>
        <xdr:cNvPr id="2" name="Chart 1">
          <a:extLst>
            <a:ext uri="{FF2B5EF4-FFF2-40B4-BE49-F238E27FC236}">
              <a16:creationId xmlns:a16="http://schemas.microsoft.com/office/drawing/2014/main" id="{E31D0089-F9C2-3842-8EF8-638AD3FC9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431800</xdr:colOff>
      <xdr:row>2</xdr:row>
      <xdr:rowOff>63500</xdr:rowOff>
    </xdr:from>
    <xdr:to>
      <xdr:col>8</xdr:col>
      <xdr:colOff>567073</xdr:colOff>
      <xdr:row>16</xdr:row>
      <xdr:rowOff>99136</xdr:rowOff>
    </xdr:to>
    <xdr:graphicFrame macro="">
      <xdr:nvGraphicFramePr>
        <xdr:cNvPr id="3" name="Chart 4">
          <a:extLst>
            <a:ext uri="{FF2B5EF4-FFF2-40B4-BE49-F238E27FC236}">
              <a16:creationId xmlns:a16="http://schemas.microsoft.com/office/drawing/2014/main" id="{31B881AE-DFF3-E247-B1FA-16DE15A18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599208</xdr:colOff>
      <xdr:row>162</xdr:row>
      <xdr:rowOff>129308</xdr:rowOff>
    </xdr:from>
    <xdr:to>
      <xdr:col>8</xdr:col>
      <xdr:colOff>795481</xdr:colOff>
      <xdr:row>179</xdr:row>
      <xdr:rowOff>46180</xdr:rowOff>
    </xdr:to>
    <xdr:graphicFrame macro="">
      <xdr:nvGraphicFramePr>
        <xdr:cNvPr id="4" name="Chart 3">
          <a:extLst>
            <a:ext uri="{FF2B5EF4-FFF2-40B4-BE49-F238E27FC236}">
              <a16:creationId xmlns:a16="http://schemas.microsoft.com/office/drawing/2014/main" id="{7E589894-4AFA-A545-95C5-FE872ABE1136}"/>
            </a:ext>
            <a:ext uri="{147F2762-F138-4A5C-976F-8EAC2B608ADB}">
              <a16:predDERef xmlns:a16="http://schemas.microsoft.com/office/drawing/2014/main" pred="{00000000-0008-0000-0C00-000036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629227</xdr:colOff>
      <xdr:row>144</xdr:row>
      <xdr:rowOff>129310</xdr:rowOff>
    </xdr:from>
    <xdr:to>
      <xdr:col>8</xdr:col>
      <xdr:colOff>850900</xdr:colOff>
      <xdr:row>161</xdr:row>
      <xdr:rowOff>78510</xdr:rowOff>
    </xdr:to>
    <xdr:graphicFrame macro="">
      <xdr:nvGraphicFramePr>
        <xdr:cNvPr id="5" name="Chart 4">
          <a:extLst>
            <a:ext uri="{FF2B5EF4-FFF2-40B4-BE49-F238E27FC236}">
              <a16:creationId xmlns:a16="http://schemas.microsoft.com/office/drawing/2014/main" id="{E0FBCBB3-FFF7-7C43-93A2-243C8D2E8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634999</xdr:colOff>
      <xdr:row>126</xdr:row>
      <xdr:rowOff>117764</xdr:rowOff>
    </xdr:from>
    <xdr:to>
      <xdr:col>8</xdr:col>
      <xdr:colOff>856672</xdr:colOff>
      <xdr:row>143</xdr:row>
      <xdr:rowOff>66964</xdr:rowOff>
    </xdr:to>
    <xdr:graphicFrame macro="">
      <xdr:nvGraphicFramePr>
        <xdr:cNvPr id="6" name="Chart 5">
          <a:extLst>
            <a:ext uri="{FF2B5EF4-FFF2-40B4-BE49-F238E27FC236}">
              <a16:creationId xmlns:a16="http://schemas.microsoft.com/office/drawing/2014/main" id="{D9DB3DEA-284F-B344-9062-D728C25B3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600363</xdr:colOff>
      <xdr:row>108</xdr:row>
      <xdr:rowOff>83129</xdr:rowOff>
    </xdr:from>
    <xdr:to>
      <xdr:col>8</xdr:col>
      <xdr:colOff>822036</xdr:colOff>
      <xdr:row>125</xdr:row>
      <xdr:rowOff>32329</xdr:rowOff>
    </xdr:to>
    <xdr:graphicFrame macro="">
      <xdr:nvGraphicFramePr>
        <xdr:cNvPr id="7" name="Chart 6">
          <a:extLst>
            <a:ext uri="{FF2B5EF4-FFF2-40B4-BE49-F238E27FC236}">
              <a16:creationId xmlns:a16="http://schemas.microsoft.com/office/drawing/2014/main" id="{1F78C171-C9B5-104B-B7A1-649F90516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577272</xdr:colOff>
      <xdr:row>90</xdr:row>
      <xdr:rowOff>60037</xdr:rowOff>
    </xdr:from>
    <xdr:to>
      <xdr:col>8</xdr:col>
      <xdr:colOff>798945</xdr:colOff>
      <xdr:row>107</xdr:row>
      <xdr:rowOff>9237</xdr:rowOff>
    </xdr:to>
    <xdr:graphicFrame macro="">
      <xdr:nvGraphicFramePr>
        <xdr:cNvPr id="8" name="Chart 7">
          <a:extLst>
            <a:ext uri="{FF2B5EF4-FFF2-40B4-BE49-F238E27FC236}">
              <a16:creationId xmlns:a16="http://schemas.microsoft.com/office/drawing/2014/main" id="{088976CC-DFFC-B847-9B92-C853E7D35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565727</xdr:colOff>
      <xdr:row>72</xdr:row>
      <xdr:rowOff>71582</xdr:rowOff>
    </xdr:from>
    <xdr:to>
      <xdr:col>8</xdr:col>
      <xdr:colOff>787400</xdr:colOff>
      <xdr:row>89</xdr:row>
      <xdr:rowOff>20782</xdr:rowOff>
    </xdr:to>
    <xdr:graphicFrame macro="">
      <xdr:nvGraphicFramePr>
        <xdr:cNvPr id="9" name="Chart 8">
          <a:extLst>
            <a:ext uri="{FF2B5EF4-FFF2-40B4-BE49-F238E27FC236}">
              <a16:creationId xmlns:a16="http://schemas.microsoft.com/office/drawing/2014/main" id="{B6167829-22BF-A24F-BFF5-432D5B5E8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554182</xdr:colOff>
      <xdr:row>54</xdr:row>
      <xdr:rowOff>36946</xdr:rowOff>
    </xdr:from>
    <xdr:to>
      <xdr:col>8</xdr:col>
      <xdr:colOff>775855</xdr:colOff>
      <xdr:row>70</xdr:row>
      <xdr:rowOff>159328</xdr:rowOff>
    </xdr:to>
    <xdr:graphicFrame macro="">
      <xdr:nvGraphicFramePr>
        <xdr:cNvPr id="10" name="Chart 9">
          <a:extLst>
            <a:ext uri="{FF2B5EF4-FFF2-40B4-BE49-F238E27FC236}">
              <a16:creationId xmlns:a16="http://schemas.microsoft.com/office/drawing/2014/main" id="{8D070E8B-EC4D-3C49-8B81-DCD41E7F1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554181</xdr:colOff>
      <xdr:row>36</xdr:row>
      <xdr:rowOff>60036</xdr:rowOff>
    </xdr:from>
    <xdr:to>
      <xdr:col>8</xdr:col>
      <xdr:colOff>775854</xdr:colOff>
      <xdr:row>53</xdr:row>
      <xdr:rowOff>9236</xdr:rowOff>
    </xdr:to>
    <xdr:graphicFrame macro="">
      <xdr:nvGraphicFramePr>
        <xdr:cNvPr id="11" name="Chart 10">
          <a:extLst>
            <a:ext uri="{FF2B5EF4-FFF2-40B4-BE49-F238E27FC236}">
              <a16:creationId xmlns:a16="http://schemas.microsoft.com/office/drawing/2014/main" id="{366EB1B6-9B37-D84E-A65D-682E9CBD7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2598</xdr:colOff>
      <xdr:row>306</xdr:row>
      <xdr:rowOff>5770</xdr:rowOff>
    </xdr:from>
    <xdr:to>
      <xdr:col>16</xdr:col>
      <xdr:colOff>495299</xdr:colOff>
      <xdr:row>323</xdr:row>
      <xdr:rowOff>38099</xdr:rowOff>
    </xdr:to>
    <xdr:graphicFrame macro="">
      <xdr:nvGraphicFramePr>
        <xdr:cNvPr id="12" name="Chart 11">
          <a:extLst>
            <a:ext uri="{FF2B5EF4-FFF2-40B4-BE49-F238E27FC236}">
              <a16:creationId xmlns:a16="http://schemas.microsoft.com/office/drawing/2014/main" id="{CEA19467-ED08-954E-BBD3-8F4AA6A81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549564</xdr:colOff>
      <xdr:row>180</xdr:row>
      <xdr:rowOff>32810</xdr:rowOff>
    </xdr:from>
    <xdr:to>
      <xdr:col>8</xdr:col>
      <xdr:colOff>709757</xdr:colOff>
      <xdr:row>197</xdr:row>
      <xdr:rowOff>6254</xdr:rowOff>
    </xdr:to>
    <xdr:graphicFrame macro="">
      <xdr:nvGraphicFramePr>
        <xdr:cNvPr id="13" name="Chart 12">
          <a:extLst>
            <a:ext uri="{FF2B5EF4-FFF2-40B4-BE49-F238E27FC236}">
              <a16:creationId xmlns:a16="http://schemas.microsoft.com/office/drawing/2014/main" id="{7F882D3B-9C18-8E49-9D39-2002C86BE381}"/>
            </a:ext>
            <a:ext uri="{147F2762-F138-4A5C-976F-8EAC2B608ADB}">
              <a16:predDERef xmlns:a16="http://schemas.microsoft.com/office/drawing/2014/main" pre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523875</xdr:colOff>
      <xdr:row>198</xdr:row>
      <xdr:rowOff>32808</xdr:rowOff>
    </xdr:from>
    <xdr:to>
      <xdr:col>8</xdr:col>
      <xdr:colOff>688467</xdr:colOff>
      <xdr:row>215</xdr:row>
      <xdr:rowOff>12361</xdr:rowOff>
    </xdr:to>
    <xdr:graphicFrame macro="">
      <xdr:nvGraphicFramePr>
        <xdr:cNvPr id="14" name="Chart 13">
          <a:extLst>
            <a:ext uri="{FF2B5EF4-FFF2-40B4-BE49-F238E27FC236}">
              <a16:creationId xmlns:a16="http://schemas.microsoft.com/office/drawing/2014/main" id="{815A548B-A819-DC46-9550-4A1C4BCF417A}"/>
            </a:ext>
            <a:ext uri="{147F2762-F138-4A5C-976F-8EAC2B608ADB}">
              <a16:predDERef xmlns:a16="http://schemas.microsoft.com/office/drawing/2014/main" pred="{00000000-0008-0000-0C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581024</xdr:colOff>
      <xdr:row>216</xdr:row>
      <xdr:rowOff>85725</xdr:rowOff>
    </xdr:from>
    <xdr:to>
      <xdr:col>8</xdr:col>
      <xdr:colOff>666749</xdr:colOff>
      <xdr:row>233</xdr:row>
      <xdr:rowOff>95250</xdr:rowOff>
    </xdr:to>
    <xdr:graphicFrame macro="">
      <xdr:nvGraphicFramePr>
        <xdr:cNvPr id="15" name="Chart 14">
          <a:extLst>
            <a:ext uri="{FF2B5EF4-FFF2-40B4-BE49-F238E27FC236}">
              <a16:creationId xmlns:a16="http://schemas.microsoft.com/office/drawing/2014/main" id="{676592C4-4FB8-3D46-97BC-CC987F017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584200</xdr:colOff>
      <xdr:row>234</xdr:row>
      <xdr:rowOff>101600</xdr:rowOff>
    </xdr:from>
    <xdr:to>
      <xdr:col>8</xdr:col>
      <xdr:colOff>635000</xdr:colOff>
      <xdr:row>251</xdr:row>
      <xdr:rowOff>63500</xdr:rowOff>
    </xdr:to>
    <xdr:graphicFrame macro="">
      <xdr:nvGraphicFramePr>
        <xdr:cNvPr id="16" name="Diagramm 15">
          <a:extLst>
            <a:ext uri="{FF2B5EF4-FFF2-40B4-BE49-F238E27FC236}">
              <a16:creationId xmlns:a16="http://schemas.microsoft.com/office/drawing/2014/main" id="{9C1D4180-F626-0743-85DA-147507031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584200</xdr:colOff>
      <xdr:row>253</xdr:row>
      <xdr:rowOff>38100</xdr:rowOff>
    </xdr:from>
    <xdr:to>
      <xdr:col>8</xdr:col>
      <xdr:colOff>571500</xdr:colOff>
      <xdr:row>269</xdr:row>
      <xdr:rowOff>76200</xdr:rowOff>
    </xdr:to>
    <xdr:graphicFrame macro="">
      <xdr:nvGraphicFramePr>
        <xdr:cNvPr id="17" name="Diagramm 16">
          <a:extLst>
            <a:ext uri="{FF2B5EF4-FFF2-40B4-BE49-F238E27FC236}">
              <a16:creationId xmlns:a16="http://schemas.microsoft.com/office/drawing/2014/main" id="{696C75F0-EC29-F448-B01C-DA48DA25E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482600</xdr:colOff>
      <xdr:row>272</xdr:row>
      <xdr:rowOff>0</xdr:rowOff>
    </xdr:from>
    <xdr:to>
      <xdr:col>8</xdr:col>
      <xdr:colOff>622300</xdr:colOff>
      <xdr:row>287</xdr:row>
      <xdr:rowOff>0</xdr:rowOff>
    </xdr:to>
    <xdr:graphicFrame macro="">
      <xdr:nvGraphicFramePr>
        <xdr:cNvPr id="18" name="Diagramm 17">
          <a:extLst>
            <a:ext uri="{FF2B5EF4-FFF2-40B4-BE49-F238E27FC236}">
              <a16:creationId xmlns:a16="http://schemas.microsoft.com/office/drawing/2014/main" id="{9F899C19-5F8F-3A43-A321-9D3D1DCC5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495300</xdr:colOff>
      <xdr:row>290</xdr:row>
      <xdr:rowOff>0</xdr:rowOff>
    </xdr:from>
    <xdr:to>
      <xdr:col>8</xdr:col>
      <xdr:colOff>533400</xdr:colOff>
      <xdr:row>305</xdr:row>
      <xdr:rowOff>0</xdr:rowOff>
    </xdr:to>
    <xdr:graphicFrame macro="">
      <xdr:nvGraphicFramePr>
        <xdr:cNvPr id="19" name="Diagramm 18">
          <a:extLst>
            <a:ext uri="{FF2B5EF4-FFF2-40B4-BE49-F238E27FC236}">
              <a16:creationId xmlns:a16="http://schemas.microsoft.com/office/drawing/2014/main" id="{097EB0FC-C7AC-BA23-1405-7521902819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508000</xdr:colOff>
      <xdr:row>308</xdr:row>
      <xdr:rowOff>0</xdr:rowOff>
    </xdr:from>
    <xdr:to>
      <xdr:col>7</xdr:col>
      <xdr:colOff>444500</xdr:colOff>
      <xdr:row>323</xdr:row>
      <xdr:rowOff>38100</xdr:rowOff>
    </xdr:to>
    <xdr:graphicFrame macro="">
      <xdr:nvGraphicFramePr>
        <xdr:cNvPr id="20" name="Diagramm 19">
          <a:extLst>
            <a:ext uri="{FF2B5EF4-FFF2-40B4-BE49-F238E27FC236}">
              <a16:creationId xmlns:a16="http://schemas.microsoft.com/office/drawing/2014/main" id="{DB3B634A-A681-B6A3-19FB-1C1274CEB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177800</xdr:colOff>
      <xdr:row>2</xdr:row>
      <xdr:rowOff>0</xdr:rowOff>
    </xdr:from>
    <xdr:to>
      <xdr:col>12</xdr:col>
      <xdr:colOff>495300</xdr:colOff>
      <xdr:row>28</xdr:row>
      <xdr:rowOff>19050</xdr:rowOff>
    </xdr:to>
    <xdr:graphicFrame macro="">
      <xdr:nvGraphicFramePr>
        <xdr:cNvPr id="2" name="Diagramm 1">
          <a:extLst>
            <a:ext uri="{FF2B5EF4-FFF2-40B4-BE49-F238E27FC236}">
              <a16:creationId xmlns:a16="http://schemas.microsoft.com/office/drawing/2014/main" id="{82932097-819D-E446-A3A5-55745586D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7936</xdr:colOff>
      <xdr:row>1431</xdr:row>
      <xdr:rowOff>12698</xdr:rowOff>
    </xdr:from>
    <xdr:to>
      <xdr:col>13</xdr:col>
      <xdr:colOff>330200</xdr:colOff>
      <xdr:row>1459</xdr:row>
      <xdr:rowOff>139700</xdr:rowOff>
    </xdr:to>
    <xdr:graphicFrame macro="">
      <xdr:nvGraphicFramePr>
        <xdr:cNvPr id="2" name="Chart 1">
          <a:extLst>
            <a:ext uri="{FF2B5EF4-FFF2-40B4-BE49-F238E27FC236}">
              <a16:creationId xmlns:a16="http://schemas.microsoft.com/office/drawing/2014/main" id="{869900E0-A2F6-48A6-81BB-5D827021E7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6350</xdr:colOff>
      <xdr:row>759</xdr:row>
      <xdr:rowOff>6350</xdr:rowOff>
    </xdr:from>
    <xdr:to>
      <xdr:col>13</xdr:col>
      <xdr:colOff>25400</xdr:colOff>
      <xdr:row>786</xdr:row>
      <xdr:rowOff>88900</xdr:rowOff>
    </xdr:to>
    <xdr:graphicFrame macro="">
      <xdr:nvGraphicFramePr>
        <xdr:cNvPr id="3" name="Chart 2">
          <a:extLst>
            <a:ext uri="{FF2B5EF4-FFF2-40B4-BE49-F238E27FC236}">
              <a16:creationId xmlns:a16="http://schemas.microsoft.com/office/drawing/2014/main" id="{04886D86-AB3E-96A8-B52A-59F760CA2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857250</xdr:colOff>
      <xdr:row>6</xdr:row>
      <xdr:rowOff>0</xdr:rowOff>
    </xdr:from>
    <xdr:to>
      <xdr:col>11</xdr:col>
      <xdr:colOff>304800</xdr:colOff>
      <xdr:row>25</xdr:row>
      <xdr:rowOff>88900</xdr:rowOff>
    </xdr:to>
    <xdr:graphicFrame macro="">
      <xdr:nvGraphicFramePr>
        <xdr:cNvPr id="3" name="Diagramm 2">
          <a:extLst>
            <a:ext uri="{FF2B5EF4-FFF2-40B4-BE49-F238E27FC236}">
              <a16:creationId xmlns:a16="http://schemas.microsoft.com/office/drawing/2014/main" id="{48365161-D771-7F4B-B129-3A27A71E0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781050</xdr:colOff>
      <xdr:row>6</xdr:row>
      <xdr:rowOff>0</xdr:rowOff>
    </xdr:from>
    <xdr:to>
      <xdr:col>17</xdr:col>
      <xdr:colOff>88900</xdr:colOff>
      <xdr:row>34</xdr:row>
      <xdr:rowOff>12700</xdr:rowOff>
    </xdr:to>
    <xdr:graphicFrame macro="">
      <xdr:nvGraphicFramePr>
        <xdr:cNvPr id="3" name="Chart 2">
          <a:extLst>
            <a:ext uri="{FF2B5EF4-FFF2-40B4-BE49-F238E27FC236}">
              <a16:creationId xmlns:a16="http://schemas.microsoft.com/office/drawing/2014/main" id="{8F6D6F82-4607-9DA2-331B-3CA522B81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668336</xdr:colOff>
      <xdr:row>1</xdr:row>
      <xdr:rowOff>155575</xdr:rowOff>
    </xdr:from>
    <xdr:to>
      <xdr:col>17</xdr:col>
      <xdr:colOff>536575</xdr:colOff>
      <xdr:row>28</xdr:row>
      <xdr:rowOff>3175</xdr:rowOff>
    </xdr:to>
    <xdr:graphicFrame macro="">
      <xdr:nvGraphicFramePr>
        <xdr:cNvPr id="3" name="Chart 2">
          <a:extLst>
            <a:ext uri="{FF2B5EF4-FFF2-40B4-BE49-F238E27FC236}">
              <a16:creationId xmlns:a16="http://schemas.microsoft.com/office/drawing/2014/main" id="{9195D4E3-E1AD-4B04-A34F-455B1080B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9</xdr:col>
      <xdr:colOff>685800</xdr:colOff>
      <xdr:row>1</xdr:row>
      <xdr:rowOff>38100</xdr:rowOff>
    </xdr:from>
    <xdr:to>
      <xdr:col>15</xdr:col>
      <xdr:colOff>0</xdr:colOff>
      <xdr:row>17</xdr:row>
      <xdr:rowOff>139700</xdr:rowOff>
    </xdr:to>
    <xdr:graphicFrame macro="">
      <xdr:nvGraphicFramePr>
        <xdr:cNvPr id="3" name="Diagramm 2">
          <a:extLst>
            <a:ext uri="{FF2B5EF4-FFF2-40B4-BE49-F238E27FC236}">
              <a16:creationId xmlns:a16="http://schemas.microsoft.com/office/drawing/2014/main" id="{3ED8F36E-CA59-A443-B03F-6D3A0CF41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673100</xdr:colOff>
      <xdr:row>18</xdr:row>
      <xdr:rowOff>101600</xdr:rowOff>
    </xdr:from>
    <xdr:to>
      <xdr:col>15</xdr:col>
      <xdr:colOff>0</xdr:colOff>
      <xdr:row>35</xdr:row>
      <xdr:rowOff>38100</xdr:rowOff>
    </xdr:to>
    <xdr:graphicFrame macro="">
      <xdr:nvGraphicFramePr>
        <xdr:cNvPr id="4" name="Diagramm 3">
          <a:extLst>
            <a:ext uri="{FF2B5EF4-FFF2-40B4-BE49-F238E27FC236}">
              <a16:creationId xmlns:a16="http://schemas.microsoft.com/office/drawing/2014/main" id="{0471CEE5-EA42-9E4E-B723-1EFB1EF25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622300</xdr:colOff>
      <xdr:row>36</xdr:row>
      <xdr:rowOff>88900</xdr:rowOff>
    </xdr:from>
    <xdr:to>
      <xdr:col>14</xdr:col>
      <xdr:colOff>850900</xdr:colOff>
      <xdr:row>53</xdr:row>
      <xdr:rowOff>25400</xdr:rowOff>
    </xdr:to>
    <xdr:graphicFrame macro="">
      <xdr:nvGraphicFramePr>
        <xdr:cNvPr id="5" name="Diagramm 4">
          <a:extLst>
            <a:ext uri="{FF2B5EF4-FFF2-40B4-BE49-F238E27FC236}">
              <a16:creationId xmlns:a16="http://schemas.microsoft.com/office/drawing/2014/main" id="{D4FBC33E-E0AB-104B-877E-488F5D208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dillinger/Nextcloud/Daten/Training/training_Analys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one4 ECOR"/>
      <sheetName val="Zone5 ECOR"/>
      <sheetName val="Zone6 ECOR"/>
      <sheetName val="IV Analyse Stockholm"/>
      <sheetName val="IV Analyse preseason"/>
      <sheetName val="IV Analyse HM RGBG"/>
      <sheetName val="training_Analysen"/>
    </sheetNames>
    <sheetDataSet>
      <sheetData sheetId="0">
        <row r="1">
          <cell r="D1">
            <v>1.0597880077766115</v>
          </cell>
        </row>
      </sheetData>
      <sheetData sheetId="1">
        <row r="1">
          <cell r="D1">
            <v>1.0485098125336099</v>
          </cell>
        </row>
      </sheetData>
      <sheetData sheetId="2">
        <row r="1">
          <cell r="D1">
            <v>1.0292278879723893</v>
          </cell>
        </row>
      </sheetData>
      <sheetData sheetId="3"/>
      <sheetData sheetId="4"/>
      <sheetData sheetId="5"/>
      <sheetData sheetId="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09.609317592593" createdVersion="6" refreshedVersion="8" minRefreshableVersion="3" recordCount="2565" xr:uid="{54C5C2FB-7F9D-4795-8ADD-2AA2853EF2FD}">
  <cacheSource type="worksheet">
    <worksheetSource ref="C1:O1048576" sheet="2018+"/>
  </cacheSource>
  <cacheFields count="15">
    <cacheField name="Datum" numFmtId="0">
      <sharedItems containsNonDate="0" containsDate="1" containsString="0" containsBlank="1" minDate="2017-12-31T00:00:00" maxDate="2025-01-06T00:00:00" count="2564">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m/>
      </sharedItems>
      <fieldGroup par="14" base="0">
        <rangePr groupBy="months" startDate="2017-12-31T00:00:00" endDate="2025-01-06T00:00:00"/>
        <groupItems count="14">
          <s v="(blank)"/>
          <s v="Jan"/>
          <s v="Feb"/>
          <s v="Mar"/>
          <s v="Apr"/>
          <s v="May"/>
          <s v="Jun"/>
          <s v="Jul"/>
          <s v="Aug"/>
          <s v="Sep"/>
          <s v="Oct"/>
          <s v="Nov"/>
          <s v="Dec"/>
          <s v="&gt;06.01.25"/>
        </groupItems>
      </fieldGroup>
    </cacheField>
    <cacheField name="#" numFmtId="1">
      <sharedItems containsBlank="1" containsMixedTypes="1" containsNumber="1" containsInteger="1" minValue="1" maxValue="193"/>
    </cacheField>
    <cacheField name="k" numFmtId="1">
      <sharedItems containsBlank="1" count="4">
        <m/>
        <s v="n"/>
        <s v="j"/>
        <s v="k" u="1"/>
      </sharedItems>
    </cacheField>
    <cacheField name="Art" numFmtId="0">
      <sharedItems containsBlank="1"/>
    </cacheField>
    <cacheField name="Zeit" numFmtId="21">
      <sharedItems containsNonDate="0" containsDate="1" containsString="0" containsBlank="1" minDate="1899-12-30T00:19:14" maxDate="1899-12-30T02:22:40"/>
    </cacheField>
    <cacheField name="KM" numFmtId="169">
      <sharedItems containsBlank="1" containsMixedTypes="1" containsNumber="1" minValue="3.19" maxValue="25.51"/>
    </cacheField>
    <cacheField name="Pace" numFmtId="45">
      <sharedItems containsDate="1" containsBlank="1" containsMixedTypes="1" minDate="1899-12-30T00:00:00" maxDate="1899-12-30T00:09:11"/>
    </cacheField>
    <cacheField name="HFQ" numFmtId="1">
      <sharedItems containsString="0" containsBlank="1" containsNumber="1" containsInteger="1" minValue="108" maxValue="170"/>
    </cacheField>
    <cacheField name="TSS" numFmtId="1">
      <sharedItems containsBlank="1" containsMixedTypes="1" containsNumber="1" minValue="17" maxValue="177.58707064073354"/>
    </cacheField>
    <cacheField name="Watt" numFmtId="1">
      <sharedItems containsBlank="1" containsMixedTypes="1" containsNumber="1" minValue="153" maxValue="279"/>
    </cacheField>
    <cacheField name="HM" numFmtId="1">
      <sharedItems containsString="0" containsBlank="1" containsNumber="1" containsInteger="1" minValue="0" maxValue="676"/>
    </cacheField>
    <cacheField name="ECOR" numFmtId="0">
      <sharedItems containsBlank="1" containsMixedTypes="1" containsNumber="1" minValue="0.98858676760264197" maxValue="1.1412427155818925"/>
    </cacheField>
    <cacheField name="Schuh" numFmtId="0">
      <sharedItems containsBlank="1"/>
    </cacheField>
    <cacheField name="Quarters" numFmtId="0" databaseField="0">
      <fieldGroup base="0">
        <rangePr groupBy="quarters" startDate="2017-12-31T00:00:00" endDate="2025-01-06T00:00:00"/>
        <groupItems count="6">
          <s v="&lt;31.12.17"/>
          <s v="Qtr1"/>
          <s v="Qtr2"/>
          <s v="Qtr3"/>
          <s v="Qtr4"/>
          <s v="&gt;06.01.25"/>
        </groupItems>
      </fieldGroup>
    </cacheField>
    <cacheField name="Years" numFmtId="0" databaseField="0">
      <fieldGroup base="0">
        <rangePr groupBy="years" startDate="2017-12-31T00:00:00" endDate="2025-01-06T00:00:00"/>
        <groupItems count="11">
          <s v="&lt;31.12.17"/>
          <s v="2017"/>
          <s v="2018"/>
          <s v="2019"/>
          <s v="2020"/>
          <s v="2021"/>
          <s v="2022"/>
          <s v="2023"/>
          <s v="2024"/>
          <s v="2025"/>
          <s v="&gt;06.01.2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5310.511371064815" createdVersion="6" refreshedVersion="8" minRefreshableVersion="3" recordCount="2565" xr:uid="{31029506-8963-1C48-8D21-EAB056B6AA6D}">
  <cacheSource type="worksheet">
    <worksheetSource ref="D1:O1048576" sheet="2018+"/>
  </cacheSource>
  <cacheFields count="12">
    <cacheField name="#" numFmtId="1">
      <sharedItems containsBlank="1" containsMixedTypes="1" containsNumber="1" containsInteger="1" minValue="1" maxValue="193"/>
    </cacheField>
    <cacheField name="k" numFmtId="1">
      <sharedItems containsBlank="1"/>
    </cacheField>
    <cacheField name="Art" numFmtId="0">
      <sharedItems containsBlank="1" count="165">
        <s v="GA2"/>
        <m/>
        <s v="GA1"/>
        <s v="REP"/>
        <s v="WK"/>
        <s v="INT"/>
        <s v="SL"/>
        <s v="CP"/>
        <s v="HMRT"/>
        <s v="INT8"/>
        <s v="GA1.20"/>
        <s v="GA1.8"/>
        <s v="HMRT4"/>
        <s v="REP6"/>
        <s v="GA1.6"/>
        <s v="GA1.4"/>
        <s v="rec"/>
        <s v="GA1.12"/>
        <s v="SL10"/>
        <s v="GA1.16"/>
        <s v="SL12"/>
        <s v="GA1.14"/>
        <s v="REP4"/>
        <s v="PYR600"/>
        <s v="GA1.18"/>
        <s v="REP8"/>
        <s v="PYR800"/>
        <s v="REP10"/>
        <s v="INT4"/>
        <s v="GA1.22"/>
        <s v="INT6"/>
        <s v="4INT2k"/>
        <s v="FS"/>
        <s v="INT10"/>
        <s v="PYR3"/>
        <s v="SL14"/>
        <s v="GA2.10"/>
        <s v="GA1.10"/>
        <s v="GA2.12"/>
        <s v="GA2.14"/>
        <s v="Z4.40"/>
        <s v="GA1.16s"/>
        <s v="Z4.30"/>
        <s v="GA1.20s"/>
        <s v="REP12"/>
        <s v="Z4.50"/>
        <s v="Z4.60"/>
        <s v="HMRT6"/>
        <s v="rec60"/>
        <s v="Z2.mHR"/>
        <s v="Z2.HR"/>
        <s v="Z2.10"/>
        <s v="Z1.sHR"/>
        <s v="Z1.12"/>
        <s v="Z2.8"/>
        <s v="Z2.60'"/>
        <s v="Z2.12"/>
        <s v="Z2.14"/>
        <s v="Z1.mHR"/>
        <s v="Z2.sHR"/>
        <s v="FS.10"/>
        <s v="Z2.16"/>
        <s v="Z2.90'"/>
        <s v="Z2.110'"/>
        <s v="Z2.2h"/>
        <s v="Z1.HR"/>
        <s v="Z2.25"/>
        <s v="nct-lauf"/>
        <s v="trail"/>
        <s v="MON"/>
        <s v="INT5"/>
        <s v="Z4.10k"/>
        <s v="hills"/>
        <s v="trails"/>
        <s v="Z2.70'"/>
        <s v="Z4.20"/>
        <s v="Z2.80'"/>
        <s v="Z4.4x6'"/>
        <s v="Z4.4x8'"/>
        <s v="Z5.8x3'"/>
        <s v="Z2.100'"/>
        <s v="Z4.4x10'"/>
        <s v="Z4.3x12'"/>
        <s v="Z3.20"/>
        <s v="Z5.5x3'"/>
        <s v="5k-wk"/>
        <s v="bb"/>
        <s v="Z2.6"/>
        <s v="Z2.45'"/>
        <s v="Z3.10'"/>
        <s v="Z3.20'"/>
        <s v="Z4.4x5'"/>
        <s v="Z1.45'"/>
        <s v="Z3.60'"/>
        <s v="Z6.6x90''"/>
        <s v="Z6.8x90''"/>
        <s v="Z5.6x3'"/>
        <s v=" "/>
        <s v="str"/>
        <s v="6x1'"/>
        <s v="8x1'/1'"/>
        <s v="wo"/>
        <s v="Z2.30'"/>
        <s v="Z2.40'"/>
        <s v="5k"/>
        <s v="FS45"/>
        <s v="Z2.4"/>
        <s v="FSB12" u="1"/>
        <s v="Z2.40''" u="1"/>
        <s v="FSB10" u="1"/>
        <s v="rec45" u="1"/>
        <s v="Z4.3x8'" u="1"/>
        <s v="FSB" u="1"/>
        <s v="Z1.60'" u="1"/>
        <s v="HLR1" u="1"/>
        <s v="Z4.30'" u="1"/>
        <s v="4x10'" u="1"/>
        <s v="5x5min" u="1"/>
        <s v="Z2.6'" u="1"/>
        <s v="Z2.15" u="1"/>
        <s v="GA1.2h" u="1"/>
        <s v="Z3.30'" u="1"/>
        <s v="HLR2" u="1"/>
        <s v="3x15'" u="1"/>
        <s v="GA1.90'" u="1"/>
        <s v="wk / 10" u="1"/>
        <s v="FSB6" u="1"/>
        <s v="race ?" u="1"/>
        <s v="HR" u="1"/>
        <s v="4x5min" u="1"/>
        <s v="HLR3" u="1"/>
        <s v="GA1.15" u="1"/>
        <s v="Z4.10" u="1"/>
        <s v="Z2.40'0'" u="1"/>
        <s v="4x6'" u="1"/>
        <s v="Z4.4x7'" u="1"/>
        <s v="trail ?" u="1"/>
        <s v="trail?" u="1"/>
        <s v="GA1.110'" u="1"/>
        <s v="Z2mHR" u="1"/>
        <s v="Z4.3x10'" u="1"/>
        <s v="FSB8" u="1"/>
        <s v="4x2k" u="1"/>
        <s v="Z4.3x15'" u="1"/>
        <s v="Z6.10x90''" u="1"/>
        <s v="wk / HM" u="1"/>
        <s v="Z2.120'" u="1"/>
        <s v="GA2.8" u="1"/>
        <s v="Z4.4x11'" u="1"/>
        <s v="Z4.4x12'" u="1"/>
        <s v="4x1mi" u="1"/>
        <s v="Z5.10x3'" u="1"/>
        <s v="GA1.100'" u="1"/>
        <s v="Z4.4x15'" u="1"/>
        <s v="Z4.2x8'" u="1"/>
        <s v="Z3.45'" u="1"/>
        <s v="Z4.4x9'" u="1"/>
        <s v="traio" u="1"/>
        <s v="3x2k" u="1"/>
        <s v="Z2.20" u="1"/>
        <s v="SL30" u="1"/>
        <s v="SL40" u="1"/>
        <s v="SL50" u="1"/>
        <s v="SL60" u="1"/>
        <s v="FSB4" u="1"/>
      </sharedItems>
    </cacheField>
    <cacheField name="Zeit" numFmtId="21">
      <sharedItems containsNonDate="0" containsDate="1" containsString="0" containsBlank="1" minDate="1899-12-30T00:19:14" maxDate="1899-12-30T02:22:40"/>
    </cacheField>
    <cacheField name="KM" numFmtId="169">
      <sharedItems containsBlank="1" containsMixedTypes="1" containsNumber="1" minValue="3.19" maxValue="25.51"/>
    </cacheField>
    <cacheField name="Pace" numFmtId="45">
      <sharedItems containsDate="1" containsBlank="1" containsMixedTypes="1" minDate="1899-12-30T00:00:00" maxDate="1899-12-30T00:09:11"/>
    </cacheField>
    <cacheField name="HFQ" numFmtId="1">
      <sharedItems containsString="0" containsBlank="1" containsNumber="1" containsInteger="1" minValue="108" maxValue="170"/>
    </cacheField>
    <cacheField name="TSS" numFmtId="1">
      <sharedItems containsBlank="1" containsMixedTypes="1" containsNumber="1" minValue="17" maxValue="177.58707064073354"/>
    </cacheField>
    <cacheField name="Watt" numFmtId="1">
      <sharedItems containsBlank="1" containsMixedTypes="1" containsNumber="1" minValue="153" maxValue="279"/>
    </cacheField>
    <cacheField name="HM" numFmtId="1">
      <sharedItems containsString="0" containsBlank="1" containsNumber="1" containsInteger="1" minValue="0" maxValue="676"/>
    </cacheField>
    <cacheField name="ECOR" numFmtId="0">
      <sharedItems containsBlank="1" containsMixedTypes="1" containsNumber="1" minValue="0.98858676760264197" maxValue="1.1412427155818925"/>
    </cacheField>
    <cacheField name="Schuh" numFmtId="0">
      <sharedItems containsBlank="1" count="24">
        <m/>
        <s v="New Balance"/>
        <s v="ASICS DynaFlite"/>
        <s v="ASICS GEL-Kayano 20"/>
        <s v="Saucony München 3"/>
        <s v="Adizero Boston"/>
        <s v="New Balance 860 v9"/>
        <s v="Saucony Guide ISO 2"/>
        <s v="New Balance 1080 v9"/>
        <s v="Brooks Defyance 10"/>
        <s v="Adizero Boston 8"/>
        <s v="New Balance 1080 v10"/>
        <s v="Innov-8 Terraultra"/>
        <s v="HOKA Clifton 7"/>
        <s v="Brooks Defyance 11"/>
        <s v="HOKA Carbon X"/>
        <s v="Mizuno"/>
        <s v="Adidas Solarglide 5"/>
        <s v="HOKA Rincon 3"/>
        <s v="HOKA Clifton 8"/>
        <s v="HOKA Rincon 3 II"/>
        <s v="Innov-8 Trailfly"/>
        <s v="HOKA Mach 5"/>
        <s v="Saucony Triumph 2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5310.511371180553" createdVersion="6" refreshedVersion="8" minRefreshableVersion="3" recordCount="2565" xr:uid="{98A07959-4974-456A-B39E-B3AAB3C5D361}">
  <cacheSource type="worksheet">
    <worksheetSource ref="C1:S1048576" sheet="2018+"/>
  </cacheSource>
  <cacheFields count="21">
    <cacheField name="Datum" numFmtId="0">
      <sharedItems containsNonDate="0" containsDate="1" containsString="0" containsBlank="1" minDate="2017-12-31T00:00:00" maxDate="2025-01-06T00:00:00" count="2564">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m/>
      </sharedItems>
      <fieldGroup par="19" base="0">
        <rangePr groupBy="months" startDate="2017-12-31T00:00:00" endDate="2025-01-06T00:00:00"/>
        <groupItems count="14">
          <s v="(blank)"/>
          <s v="Jan"/>
          <s v="Feb"/>
          <s v="Mar"/>
          <s v="Apr"/>
          <s v="May"/>
          <s v="Jun"/>
          <s v="Jul"/>
          <s v="Aug"/>
          <s v="Sep"/>
          <s v="Oct"/>
          <s v="Nov"/>
          <s v="Dec"/>
          <s v="&gt;06.01.25"/>
        </groupItems>
      </fieldGroup>
    </cacheField>
    <cacheField name="#" numFmtId="1">
      <sharedItems containsBlank="1" containsMixedTypes="1" containsNumber="1" containsInteger="1" minValue="1" maxValue="193"/>
    </cacheField>
    <cacheField name="k" numFmtId="1">
      <sharedItems containsBlank="1"/>
    </cacheField>
    <cacheField name="Art" numFmtId="0">
      <sharedItems containsBlank="1" count="156">
        <s v="GA2"/>
        <m/>
        <s v="GA1"/>
        <s v="REP"/>
        <s v="WK"/>
        <s v="INT"/>
        <s v="SL"/>
        <s v="CP"/>
        <s v="HMRT"/>
        <s v="INT8"/>
        <s v="GA1.20"/>
        <s v="GA1.8"/>
        <s v="HMRT4"/>
        <s v="REP6"/>
        <s v="GA1.6"/>
        <s v="GA1.4"/>
        <s v="rec"/>
        <s v="GA1.12"/>
        <s v="SL10"/>
        <s v="GA1.16"/>
        <s v="SL12"/>
        <s v="GA1.14"/>
        <s v="REP4"/>
        <s v="PYR600"/>
        <s v="GA1.18"/>
        <s v="REP8"/>
        <s v="PYR800"/>
        <s v="REP10"/>
        <s v="INT4"/>
        <s v="GA1.22"/>
        <s v="INT6"/>
        <s v="4INT2k"/>
        <s v="FS"/>
        <s v="INT10"/>
        <s v="PYR3"/>
        <s v="SL14"/>
        <s v="GA2.10"/>
        <s v="GA1.10"/>
        <s v="GA2.12"/>
        <s v="GA2.14"/>
        <s v="Z4.40"/>
        <s v="GA1.16s"/>
        <s v="Z4.30"/>
        <s v="GA1.20s"/>
        <s v="REP12"/>
        <s v="Z4.50"/>
        <s v="Z4.60"/>
        <s v="HMRT6"/>
        <s v="rec60"/>
        <s v="Z2.mHR"/>
        <s v="Z2.HR"/>
        <s v="Z2.10"/>
        <s v="Z1.sHR"/>
        <s v="Z1.12"/>
        <s v="Z2.8"/>
        <s v="Z2.60'"/>
        <s v="Z2.12"/>
        <s v="Z2.14"/>
        <s v="Z1.mHR"/>
        <s v="Z2.sHR"/>
        <s v="FS.10"/>
        <s v="Z2.16"/>
        <s v="Z2.90'"/>
        <s v="Z2.110'"/>
        <s v="Z2.2h"/>
        <s v="Z1.HR"/>
        <s v="Z2.25"/>
        <s v="nct-lauf"/>
        <s v="trail"/>
        <s v="MON"/>
        <s v="INT5"/>
        <s v="Z4.10k"/>
        <s v="hills"/>
        <s v="trails"/>
        <s v="Z2.70'"/>
        <s v="Z4.20"/>
        <s v="Z2.80'"/>
        <s v="Z4.4x6'"/>
        <s v="Z4.4x8'"/>
        <s v="Z5.8x3'"/>
        <s v="Z2.100'"/>
        <s v="Z4.4x10'"/>
        <s v="Z4.3x12'"/>
        <s v="Z3.20"/>
        <s v="Z5.5x3'"/>
        <s v="5k-wk"/>
        <s v="bb"/>
        <s v="Z2.6"/>
        <s v="Z2.45'"/>
        <s v="Z3.10'"/>
        <s v="Z3.20'"/>
        <s v="Z4.4x5'"/>
        <s v="Z1.45'"/>
        <s v="Z3.60'"/>
        <s v="Z6.6x90''"/>
        <s v="Z6.8x90''"/>
        <s v="Z5.6x3'"/>
        <s v=" "/>
        <s v="str"/>
        <s v="6x1'"/>
        <s v="8x1'/1'"/>
        <s v="wo"/>
        <s v="Z2.30'"/>
        <s v="Z2.40'"/>
        <s v="5k"/>
        <s v="FS45"/>
        <s v="Z2.4"/>
        <s v="Z2.40''" u="1"/>
        <s v="Z6.60" u="1"/>
        <s v="Z4.3x8'" u="1"/>
        <s v="Z1.60'" u="1"/>
        <s v="HLR1" u="1"/>
        <s v="Z4.30'" u="1"/>
        <s v="4x10'" u="1"/>
        <s v="5x5min" u="1"/>
        <s v="Z2.6'" u="1"/>
        <s v="Z2.15" u="1"/>
        <s v="Z3.30'" u="1"/>
        <s v="HLR2" u="1"/>
        <s v="3x15'" u="1"/>
        <s v="wk / 10" u="1"/>
        <s v="race ?" u="1"/>
        <s v="HR" u="1"/>
        <s v="4x5min" u="1"/>
        <s v="HLR3" u="1"/>
        <s v="Z4.10" u="1"/>
        <s v="Z2.40'0'" u="1"/>
        <s v="4x6'" u="1"/>
        <s v="Z4.4x7'" u="1"/>
        <s v="trail ?" u="1"/>
        <s v="trail?" u="1"/>
        <s v="Z2mHR" u="1"/>
        <s v="Z4.3x10'" u="1"/>
        <s v="4x2k" u="1"/>
        <s v="Z4.3x15'" u="1"/>
        <s v="Z6.10x90''" u="1"/>
        <s v="Z2.18" u="1"/>
        <s v="wk / HM" u="1"/>
        <s v="Z2.120'" u="1"/>
        <s v="GA2.8" u="1"/>
        <s v="Z4.4x11'" u="1"/>
        <s v="Z4.4x12'" u="1"/>
        <s v="4x1mi" u="1"/>
        <s v="Z5.10x3'" u="1"/>
        <s v="Z4.4x15'" u="1"/>
        <s v="Z4.2x8'" u="1"/>
        <s v="Z3.45'" u="1"/>
        <s v="Z4.4x9'" u="1"/>
        <s v="traio" u="1"/>
        <s v="Z2.22" u="1"/>
        <s v="3x2k" u="1"/>
        <s v="Z2.20" u="1"/>
        <s v="SL30" u="1"/>
        <s v="SL40" u="1"/>
        <s v="SL50" u="1"/>
        <s v="SL60" u="1"/>
      </sharedItems>
      <fieldGroup par="17"/>
    </cacheField>
    <cacheField name="Zeit" numFmtId="21">
      <sharedItems containsNonDate="0" containsDate="1" containsString="0" containsBlank="1" minDate="1899-12-30T00:19:14" maxDate="1899-12-30T02:22:40"/>
    </cacheField>
    <cacheField name="KM" numFmtId="169">
      <sharedItems containsBlank="1" containsMixedTypes="1" containsNumber="1" minValue="3.19" maxValue="25.51"/>
    </cacheField>
    <cacheField name="Pace" numFmtId="45">
      <sharedItems containsDate="1" containsBlank="1" containsMixedTypes="1" minDate="1899-12-30T00:00:00" maxDate="1899-12-30T00:09:11"/>
    </cacheField>
    <cacheField name="HFQ" numFmtId="1">
      <sharedItems containsString="0" containsBlank="1" containsNumber="1" containsInteger="1" minValue="108" maxValue="170"/>
    </cacheField>
    <cacheField name="TSS" numFmtId="1">
      <sharedItems containsBlank="1" containsMixedTypes="1" containsNumber="1" minValue="17" maxValue="177.58707064073354"/>
    </cacheField>
    <cacheField name="Watt" numFmtId="1">
      <sharedItems containsBlank="1" containsMixedTypes="1" containsNumber="1" minValue="153" maxValue="279"/>
    </cacheField>
    <cacheField name="HM" numFmtId="1">
      <sharedItems containsString="0" containsBlank="1" containsNumber="1" containsInteger="1" minValue="0" maxValue="676"/>
    </cacheField>
    <cacheField name="ECOR" numFmtId="0">
      <sharedItems containsBlank="1" containsMixedTypes="1" containsNumber="1" minValue="0.98858676760264197" maxValue="1.1412427155818925"/>
    </cacheField>
    <cacheField name="Schuh" numFmtId="0">
      <sharedItems containsBlank="1"/>
    </cacheField>
    <cacheField name="W" numFmtId="0">
      <sharedItems containsBlank="1" containsMixedTypes="1" containsNumber="1" minValue="169.39999999999998" maxValue="279.53100000000006"/>
    </cacheField>
    <cacheField name="-" numFmtId="0">
      <sharedItems containsBlank="1"/>
    </cacheField>
    <cacheField name="W2" numFmtId="0">
      <sharedItems containsBlank="1" containsMixedTypes="1" containsNumber="1" minValue="193.60000000000002" maxValue="314.60000000000002"/>
    </cacheField>
    <cacheField name="pwr/hr" numFmtId="0">
      <sharedItems containsBlank="1" containsMixedTypes="1" containsNumber="1" minValue="1.3061224489795917" maxValue="1.7881355932203389"/>
    </cacheField>
    <cacheField name="Art2" numFmtId="0" databaseField="0">
      <fieldGroup par="20" base="3">
        <discretePr count="156">
          <x v="0"/>
          <x v="1"/>
          <x v="84"/>
          <x v="16"/>
          <x v="2"/>
          <x v="17"/>
          <x v="24"/>
          <x v="17"/>
          <x v="3"/>
          <x v="17"/>
          <x v="91"/>
          <x v="96"/>
          <x v="4"/>
          <x v="16"/>
          <x v="95"/>
          <x v="94"/>
          <x v="77"/>
          <x v="86"/>
          <x v="24"/>
          <x v="88"/>
          <x v="24"/>
          <x v="87"/>
          <x v="16"/>
          <x v="5"/>
          <x v="90"/>
          <x v="16"/>
          <x v="6"/>
          <x v="16"/>
          <x v="17"/>
          <x v="93"/>
          <x v="17"/>
          <x v="7"/>
          <x v="8"/>
          <x v="17"/>
          <x v="9"/>
          <x v="24"/>
          <x v="10"/>
          <x v="85"/>
          <x v="11"/>
          <x v="12"/>
          <x v="24"/>
          <x v="89"/>
          <x v="24"/>
          <x v="92"/>
          <x v="16"/>
          <x v="24"/>
          <x v="24"/>
          <x v="13"/>
          <x v="77"/>
          <x v="110"/>
          <x v="109"/>
          <x v="97"/>
          <x v="77"/>
          <x v="77"/>
          <x v="107"/>
          <x v="106"/>
          <x v="100"/>
          <x v="101"/>
          <x v="77"/>
          <x v="111"/>
          <x v="19"/>
          <x v="112"/>
          <x v="108"/>
          <x v="99"/>
          <x v="102"/>
          <x v="77"/>
          <x v="113"/>
          <x v="27"/>
          <x v="28"/>
          <x v="35"/>
          <x v="17"/>
          <x v="39"/>
          <x v="50"/>
          <x v="52"/>
          <x v="114"/>
          <x v="53"/>
          <x v="115"/>
          <x v="45"/>
          <x v="46"/>
          <x v="55"/>
          <x v="98"/>
          <x v="47"/>
          <x v="61"/>
          <x v="66"/>
          <x v="58"/>
          <x v="65"/>
          <x v="51"/>
          <x v="105"/>
          <x v="104"/>
          <x v="73"/>
          <x v="74"/>
          <x v="62"/>
          <x v="77"/>
          <x v="67"/>
          <x v="56"/>
          <x v="57"/>
          <x v="59"/>
          <x v="78"/>
          <x v="79"/>
          <x v="81"/>
          <x v="117"/>
          <x v="116"/>
          <x v="80"/>
          <x v="122"/>
          <x v="119"/>
          <x v="125"/>
          <x v="103"/>
          <x v="124"/>
          <x v="18"/>
          <x v="63"/>
          <x v="76"/>
          <x v="68"/>
          <x v="25"/>
          <x v="42"/>
          <x v="37"/>
          <x v="120"/>
          <x v="29"/>
          <x v="75"/>
          <x v="69"/>
          <x v="43"/>
          <x v="126"/>
          <x v="26"/>
          <x v="15"/>
          <x v="36"/>
          <x v="70"/>
          <x v="38"/>
          <x v="123"/>
          <x v="44"/>
          <x v="128"/>
          <x v="72"/>
          <x v="34"/>
          <x v="30"/>
          <x v="64"/>
          <x v="41"/>
          <x v="49"/>
          <x v="54"/>
          <x v="31"/>
          <x v="127"/>
          <x v="131"/>
          <x v="14"/>
          <x v="130"/>
          <x v="48"/>
          <x v="40"/>
          <x v="83"/>
          <x v="60"/>
          <x v="71"/>
          <x v="118"/>
          <x v="129"/>
          <x v="121"/>
          <x v="33"/>
          <x v="82"/>
          <x v="32"/>
          <x v="20"/>
          <x v="21"/>
          <x v="22"/>
          <x v="23"/>
        </discretePr>
        <groupItems count="132">
          <s v="GA2"/>
          <m/>
          <s v="WK"/>
          <s v="HMRT"/>
          <s v="HMRT4"/>
          <s v="PYR600"/>
          <s v="PYR800"/>
          <s v="4INT2k"/>
          <s v="FS"/>
          <s v="PYR3"/>
          <s v="GA2.10"/>
          <s v="GA2.12"/>
          <s v="GA2.14"/>
          <s v="HMRT6"/>
          <s v="GA2.8"/>
          <s v="HR"/>
          <s v="Gruppe4"/>
          <s v="Gruppe5"/>
          <s v="Z6.60"/>
          <s v="FS.10"/>
          <s v="SL30"/>
          <s v="SL40"/>
          <s v="SL50"/>
          <s v="SL60"/>
          <s v="Group3"/>
          <s v="Z4.30'"/>
          <s v="race ?"/>
          <s v="nct-lauf"/>
          <s v="trail"/>
          <s v="Z2.15"/>
          <s v="Z2mHR"/>
          <s v="Z2.18"/>
          <s v="Z2.20"/>
          <s v="Z2.22"/>
          <s v="trail?"/>
          <s v="MON"/>
          <s v="4x5min"/>
          <s v="5x5min"/>
          <s v="Z4.10"/>
          <s v="Z4.10k"/>
          <s v="4x1mi"/>
          <s v="4x2k"/>
          <s v="4x10'"/>
          <s v="3x15'"/>
          <s v="4x6'"/>
          <s v="Z4.4x6'"/>
          <s v="Z4.4x8'"/>
          <s v="Z4.4x10'"/>
          <s v="Z4.4x12'"/>
          <s v="Z4.3x15'"/>
          <s v="hills"/>
          <s v="bb"/>
          <s v="trails"/>
          <s v="Z4.20"/>
          <s v="Z6.10x90''"/>
          <s v="Z5.8x3'"/>
          <s v="Z6.6x90''"/>
          <s v="Z6.8x90''"/>
          <s v="Z5.5x3'"/>
          <s v="Z5.6x3'"/>
          <s v="Z4.4x15'"/>
          <s v="Z4.3x12'"/>
          <s v="Z4.4x5'"/>
          <s v="Z4.3x8'"/>
          <s v="Z4.3x10'"/>
          <s v="5k-wk"/>
          <s v="Z3.20"/>
          <s v="Z3.60'"/>
          <s v="HLR1"/>
          <s v="HLR2"/>
          <s v="HLR3"/>
          <s v="Z4.2x8'"/>
          <s v="trail ?"/>
          <s v="Z3.10'"/>
          <s v="Z3.20'"/>
          <s v="Z3.30'"/>
          <s v="Z1.60'"/>
          <s v="Gruppe2"/>
          <s v=" "/>
          <s v="str"/>
          <s v="Z2.30'"/>
          <s v="6x1'"/>
          <s v="3x2k"/>
          <s v="Z5.10x3'"/>
          <s v="GA1"/>
          <s v="GA1.10"/>
          <s v="GA1.12"/>
          <s v="GA1.14"/>
          <s v="GA1.16"/>
          <s v="GA1.16s"/>
          <s v="GA1.18"/>
          <s v="GA1.20"/>
          <s v="GA1.20s"/>
          <s v="GA1.22"/>
          <s v="GA1.4"/>
          <s v="GA1.6"/>
          <s v="GA1.8"/>
          <s v="Z2.10"/>
          <s v="Z2.100'"/>
          <s v="Z2.110'"/>
          <s v="Z2.12"/>
          <s v="Z2.14"/>
          <s v="Z2.2h"/>
          <s v="Z2.4"/>
          <s v="Z2.45'"/>
          <s v="Z2.6"/>
          <s v="Z2.60'"/>
          <s v="Z2.8"/>
          <s v="Z2.90'"/>
          <s v="Z2.HR"/>
          <s v="Z2.mHR"/>
          <s v="Z2.sHR"/>
          <s v="Z2.16"/>
          <s v="Z2.25"/>
          <s v="Z2.70'"/>
          <s v="Z2.80'"/>
          <s v="wo"/>
          <s v="8x1'/1'"/>
          <s v="Z3.45'"/>
          <s v="5k"/>
          <s v="Z2.6'"/>
          <s v="traio"/>
          <s v="Z2.40'"/>
          <s v="Z2.40'0'"/>
          <s v="Z2.40''"/>
          <s v="FS45"/>
          <s v="wk / 10"/>
          <s v="wk / HM"/>
          <s v="Z4.4x7'"/>
          <s v="Z4.4x9'"/>
          <s v="Z4.4x11'"/>
          <s v="Z2.120'"/>
        </groupItems>
      </fieldGroup>
    </cacheField>
    <cacheField name="Quarters" numFmtId="0" databaseField="0">
      <fieldGroup base="0">
        <rangePr groupBy="quarters" startDate="2017-12-31T00:00:00" endDate="2025-01-06T00:00:00"/>
        <groupItems count="6">
          <s v="&lt;31.12.17"/>
          <s v="Qtr1"/>
          <s v="Qtr2"/>
          <s v="Qtr3"/>
          <s v="Qtr4"/>
          <s v="&gt;06.01.25"/>
        </groupItems>
      </fieldGroup>
    </cacheField>
    <cacheField name="Years" numFmtId="0" databaseField="0">
      <fieldGroup base="0">
        <rangePr groupBy="years" startDate="2017-12-31T00:00:00" endDate="2025-01-06T00:00:00"/>
        <groupItems count="11">
          <s v="&lt;31.12.17"/>
          <s v="2017"/>
          <s v="2018"/>
          <s v="2019"/>
          <s v="2020"/>
          <s v="2021"/>
          <s v="2022"/>
          <s v="2023"/>
          <s v="2024"/>
          <s v="2025"/>
          <s v="&gt;06.01.25"/>
        </groupItems>
      </fieldGroup>
    </cacheField>
    <cacheField name="Art3" numFmtId="0" databaseField="0">
      <fieldGroup base="3">
        <discretePr count="156">
          <x v="0"/>
          <x v="1"/>
          <x v="77"/>
          <x v="16"/>
          <x v="2"/>
          <x v="17"/>
          <x v="24"/>
          <x v="17"/>
          <x v="3"/>
          <x v="17"/>
          <x v="77"/>
          <x v="77"/>
          <x v="4"/>
          <x v="16"/>
          <x v="77"/>
          <x v="77"/>
          <x v="78"/>
          <x v="77"/>
          <x v="24"/>
          <x v="77"/>
          <x v="24"/>
          <x v="77"/>
          <x v="16"/>
          <x v="5"/>
          <x v="77"/>
          <x v="16"/>
          <x v="6"/>
          <x v="16"/>
          <x v="17"/>
          <x v="77"/>
          <x v="17"/>
          <x v="7"/>
          <x v="8"/>
          <x v="17"/>
          <x v="9"/>
          <x v="24"/>
          <x v="10"/>
          <x v="77"/>
          <x v="11"/>
          <x v="12"/>
          <x v="24"/>
          <x v="77"/>
          <x v="24"/>
          <x v="77"/>
          <x v="16"/>
          <x v="24"/>
          <x v="24"/>
          <x v="13"/>
          <x v="78"/>
          <x v="77"/>
          <x v="77"/>
          <x v="77"/>
          <x v="78"/>
          <x v="78"/>
          <x v="77"/>
          <x v="77"/>
          <x v="77"/>
          <x v="77"/>
          <x v="78"/>
          <x v="78"/>
          <x v="19"/>
          <x v="77"/>
          <x v="77"/>
          <x v="77"/>
          <x v="77"/>
          <x v="78"/>
          <x v="77"/>
          <x v="27"/>
          <x v="28"/>
          <x v="35"/>
          <x v="17"/>
          <x v="39"/>
          <x v="50"/>
          <x v="52"/>
          <x v="77"/>
          <x v="53"/>
          <x v="77"/>
          <x v="45"/>
          <x v="46"/>
          <x v="55"/>
          <x v="77"/>
          <x v="47"/>
          <x v="61"/>
          <x v="66"/>
          <x v="58"/>
          <x v="65"/>
          <x v="51"/>
          <x v="77"/>
          <x v="77"/>
          <x v="73"/>
          <x v="74"/>
          <x v="62"/>
          <x v="78"/>
          <x v="67"/>
          <x v="56"/>
          <x v="57"/>
          <x v="59"/>
          <x v="79"/>
          <x v="80"/>
          <x v="82"/>
          <x v="86"/>
          <x v="85"/>
          <x v="81"/>
          <x v="91"/>
          <x v="88"/>
          <x v="94"/>
          <x v="77"/>
          <x v="93"/>
          <x v="18"/>
          <x v="63"/>
          <x v="76"/>
          <x v="68"/>
          <x v="25"/>
          <x v="42"/>
          <x v="37"/>
          <x v="89"/>
          <x v="29"/>
          <x v="75"/>
          <x v="69"/>
          <x v="43"/>
          <x v="95"/>
          <x v="26"/>
          <x v="15"/>
          <x v="36"/>
          <x v="70"/>
          <x v="38"/>
          <x v="92"/>
          <x v="44"/>
          <x v="97"/>
          <x v="72"/>
          <x v="34"/>
          <x v="30"/>
          <x v="64"/>
          <x v="41"/>
          <x v="49"/>
          <x v="54"/>
          <x v="31"/>
          <x v="96"/>
          <x v="100"/>
          <x v="14"/>
          <x v="99"/>
          <x v="48"/>
          <x v="40"/>
          <x v="84"/>
          <x v="60"/>
          <x v="71"/>
          <x v="87"/>
          <x v="98"/>
          <x v="90"/>
          <x v="33"/>
          <x v="83"/>
          <x v="32"/>
          <x v="20"/>
          <x v="21"/>
          <x v="22"/>
          <x v="23"/>
        </discretePr>
        <groupItems count="101">
          <s v="GA2"/>
          <m/>
          <s v="WK"/>
          <s v="HMRT"/>
          <s v="HMRT4"/>
          <s v="PYR600"/>
          <s v="PYR800"/>
          <s v="4INT2k"/>
          <s v="FS"/>
          <s v="PYR3"/>
          <s v="GA2.10"/>
          <s v="GA2.12"/>
          <s v="GA2.14"/>
          <s v="HMRT6"/>
          <s v="GA2.8"/>
          <s v="HR"/>
          <s v="Gruppe4"/>
          <s v="Gruppe5"/>
          <s v="Z6.60"/>
          <s v="FS.10"/>
          <s v="SL30"/>
          <s v="SL40"/>
          <s v="SL50"/>
          <s v="SL60"/>
          <s v="Group3"/>
          <s v="Z4.30'"/>
          <s v="race ?"/>
          <s v="nct-lauf"/>
          <s v="trail"/>
          <s v="Z2.15"/>
          <s v="Z2mHR"/>
          <s v="Z2.18"/>
          <s v="Z2.20"/>
          <s v="Z2.22"/>
          <s v="trail?"/>
          <s v="MON"/>
          <s v="4x5min"/>
          <s v="5x5min"/>
          <s v="Z4.10"/>
          <s v="Z4.10k"/>
          <s v="4x1mi"/>
          <s v="4x2k"/>
          <s v="4x10'"/>
          <s v="3x15'"/>
          <s v="4x6'"/>
          <s v="Z4.4x6'"/>
          <s v="Z4.4x8'"/>
          <s v="Z4.4x10'"/>
          <s v="Z4.4x12'"/>
          <s v="Z4.3x15'"/>
          <s v="hills"/>
          <s v="bb"/>
          <s v="trails"/>
          <s v="Z4.20"/>
          <s v="Z6.10x90''"/>
          <s v="Z5.8x3'"/>
          <s v="Z6.6x90''"/>
          <s v="Z6.8x90''"/>
          <s v="Z5.5x3'"/>
          <s v="Z5.6x3'"/>
          <s v="Z4.4x15'"/>
          <s v="Z4.3x12'"/>
          <s v="Z4.4x5'"/>
          <s v="Z4.3x8'"/>
          <s v="Z4.3x10'"/>
          <s v="5k-wk"/>
          <s v="Z3.20"/>
          <s v="Z3.60'"/>
          <s v="HLR1"/>
          <s v="HLR2"/>
          <s v="HLR3"/>
          <s v="Z4.2x8'"/>
          <s v="trail ?"/>
          <s v="Z3.10'"/>
          <s v="Z3.20'"/>
          <s v="Z3.30'"/>
          <s v="Z1.60'"/>
          <s v="Gruppe2"/>
          <s v="Gruppe1"/>
          <s v=" "/>
          <s v="str"/>
          <s v="Z2.30'"/>
          <s v="6x1'"/>
          <s v="3x2k"/>
          <s v="Z5.10x3'"/>
          <s v="wo"/>
          <s v="8x1'/1'"/>
          <s v="Z3.45'"/>
          <s v="5k"/>
          <s v="Z2.6'"/>
          <s v="traio"/>
          <s v="Z2.40'"/>
          <s v="Z2.40'0'"/>
          <s v="Z2.40''"/>
          <s v="FS45"/>
          <s v="wk / 10"/>
          <s v="wk / HM"/>
          <s v="Z4.4x7'"/>
          <s v="Z4.4x9'"/>
          <s v="Z4.4x11'"/>
          <s v="Z2.1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5">
  <r>
    <x v="0"/>
    <m/>
    <x v="0"/>
    <s v="GA2"/>
    <d v="1899-12-30T00:56:09"/>
    <n v="10.9"/>
    <d v="1899-12-30T00:05:09"/>
    <n v="159"/>
    <m/>
    <n v="231"/>
    <m/>
    <n v="1.0499716675661088"/>
    <m/>
  </r>
  <r>
    <x v="1"/>
    <m/>
    <x v="0"/>
    <m/>
    <m/>
    <m/>
    <m/>
    <m/>
    <m/>
    <m/>
    <m/>
    <s v=""/>
    <m/>
  </r>
  <r>
    <x v="2"/>
    <m/>
    <x v="0"/>
    <m/>
    <m/>
    <m/>
    <m/>
    <m/>
    <m/>
    <m/>
    <m/>
    <s v=""/>
    <m/>
  </r>
  <r>
    <x v="3"/>
    <m/>
    <x v="0"/>
    <m/>
    <m/>
    <m/>
    <m/>
    <m/>
    <m/>
    <m/>
    <m/>
    <s v=""/>
    <m/>
  </r>
  <r>
    <x v="4"/>
    <m/>
    <x v="0"/>
    <m/>
    <m/>
    <m/>
    <m/>
    <m/>
    <m/>
    <m/>
    <m/>
    <s v=""/>
    <m/>
  </r>
  <r>
    <x v="5"/>
    <m/>
    <x v="0"/>
    <m/>
    <m/>
    <m/>
    <m/>
    <m/>
    <m/>
    <m/>
    <m/>
    <s v=""/>
    <m/>
  </r>
  <r>
    <x v="6"/>
    <s v="001"/>
    <x v="0"/>
    <s v="GA1"/>
    <d v="1899-12-30T00:40:46"/>
    <n v="7.18"/>
    <d v="1899-12-30T00:05:41"/>
    <n v="140"/>
    <n v="42"/>
    <n v="210"/>
    <m/>
    <n v="1.0520645584138948"/>
    <s v="New Balance"/>
  </r>
  <r>
    <x v="7"/>
    <m/>
    <x v="0"/>
    <m/>
    <m/>
    <m/>
    <m/>
    <m/>
    <m/>
    <m/>
    <m/>
    <s v=""/>
    <m/>
  </r>
  <r>
    <x v="8"/>
    <s v="002"/>
    <x v="0"/>
    <s v="GA1"/>
    <d v="1899-12-30T00:43:26"/>
    <n v="7.72"/>
    <d v="1899-12-30T00:05:38"/>
    <n v="141"/>
    <n v="46"/>
    <n v="215"/>
    <m/>
    <n v="1.0673003657421514"/>
    <s v="New Balance"/>
  </r>
  <r>
    <x v="9"/>
    <m/>
    <x v="0"/>
    <m/>
    <m/>
    <m/>
    <m/>
    <m/>
    <m/>
    <m/>
    <m/>
    <s v=""/>
    <m/>
  </r>
  <r>
    <x v="10"/>
    <m/>
    <x v="0"/>
    <m/>
    <m/>
    <m/>
    <m/>
    <m/>
    <m/>
    <m/>
    <m/>
    <s v=""/>
    <m/>
  </r>
  <r>
    <x v="11"/>
    <m/>
    <x v="0"/>
    <m/>
    <m/>
    <m/>
    <m/>
    <m/>
    <m/>
    <m/>
    <m/>
    <s v=""/>
    <m/>
  </r>
  <r>
    <x v="12"/>
    <m/>
    <x v="0"/>
    <m/>
    <m/>
    <m/>
    <m/>
    <m/>
    <m/>
    <m/>
    <m/>
    <s v=""/>
    <m/>
  </r>
  <r>
    <x v="13"/>
    <s v="003"/>
    <x v="0"/>
    <s v="GA2"/>
    <d v="1899-12-30T00:51:42"/>
    <n v="10.02"/>
    <d v="1899-12-30T00:05:10"/>
    <n v="152"/>
    <n v="66"/>
    <n v="235"/>
    <m/>
    <n v="1.0698749559704122"/>
    <s v="ASICS DynaFlite"/>
  </r>
  <r>
    <x v="14"/>
    <s v="004"/>
    <x v="0"/>
    <s v="GA1"/>
    <d v="1899-12-30T01:26:33"/>
    <n v="15.15"/>
    <d v="1899-12-30T00:05:43"/>
    <n v="141"/>
    <n v="91"/>
    <n v="213"/>
    <m/>
    <n v="1.0736837507280139"/>
    <s v="ASICS DynaFlite"/>
  </r>
  <r>
    <x v="15"/>
    <m/>
    <x v="0"/>
    <m/>
    <m/>
    <m/>
    <m/>
    <m/>
    <m/>
    <m/>
    <m/>
    <s v=""/>
    <m/>
  </r>
  <r>
    <x v="16"/>
    <s v="005"/>
    <x v="0"/>
    <s v="GA1"/>
    <d v="1899-12-30T01:01:49"/>
    <n v="9.9"/>
    <d v="1899-12-30T00:06:15"/>
    <n v="134"/>
    <n v="56"/>
    <n v="195"/>
    <m/>
    <n v="1.0743538324420676"/>
    <s v="ASICS DynaFlite"/>
  </r>
  <r>
    <x v="17"/>
    <m/>
    <x v="0"/>
    <m/>
    <m/>
    <m/>
    <m/>
    <m/>
    <m/>
    <m/>
    <m/>
    <s v=""/>
    <m/>
  </r>
  <r>
    <x v="18"/>
    <s v="006"/>
    <x v="0"/>
    <s v="REP"/>
    <d v="1899-12-30T01:00:15"/>
    <n v="10.88"/>
    <d v="1899-12-30T00:05:32"/>
    <n v="147"/>
    <n v="71"/>
    <n v="214"/>
    <m/>
    <n v="1.0456450043252594"/>
    <s v="New Balance"/>
  </r>
  <r>
    <x v="19"/>
    <s v="007"/>
    <x v="0"/>
    <s v="GA1"/>
    <d v="1899-12-30T01:09:03"/>
    <n v="12.2"/>
    <d v="1899-12-30T00:05:40"/>
    <n v="137"/>
    <n v="70"/>
    <n v="210"/>
    <m/>
    <n v="1.0487343297974927"/>
    <s v="ASICS DynaFlite"/>
  </r>
  <r>
    <x v="20"/>
    <m/>
    <x v="0"/>
    <m/>
    <m/>
    <m/>
    <m/>
    <m/>
    <m/>
    <m/>
    <m/>
    <s v=""/>
    <m/>
  </r>
  <r>
    <x v="21"/>
    <s v="008"/>
    <x v="1"/>
    <s v="WK"/>
    <d v="1899-12-30T00:44:14"/>
    <n v="10"/>
    <d v="1899-12-30T00:04:25"/>
    <n v="161"/>
    <n v="66"/>
    <n v="255"/>
    <m/>
    <n v="0.99524999999999986"/>
    <s v="New Balance"/>
  </r>
  <r>
    <x v="22"/>
    <m/>
    <x v="0"/>
    <m/>
    <m/>
    <m/>
    <m/>
    <m/>
    <m/>
    <m/>
    <m/>
    <s v=""/>
    <m/>
  </r>
  <r>
    <x v="23"/>
    <s v="009"/>
    <x v="0"/>
    <s v="GA1"/>
    <d v="1899-12-30T01:25:35"/>
    <n v="15.01"/>
    <d v="1899-12-30T00:05:42"/>
    <n v="137"/>
    <n v="84"/>
    <n v="208"/>
    <m/>
    <n v="1.0464396284829722"/>
    <s v="ASICS DynaFlite"/>
  </r>
  <r>
    <x v="24"/>
    <s v="010"/>
    <x v="0"/>
    <s v="INT"/>
    <d v="1899-12-30T00:59:49"/>
    <n v="11.57"/>
    <d v="1899-12-30T00:05:10"/>
    <n v="153"/>
    <n v="74"/>
    <n v="223"/>
    <m/>
    <n v="1.0172695612384972"/>
    <s v="New Balance"/>
  </r>
  <r>
    <x v="25"/>
    <s v="011"/>
    <x v="0"/>
    <s v="GA2"/>
    <d v="1899-12-30T01:04:01"/>
    <n v="12.07"/>
    <d v="1899-12-30T00:05:18"/>
    <n v="145"/>
    <n v="73"/>
    <n v="223"/>
    <m/>
    <n v="1.0435973975339929"/>
    <s v="ASICS GEL-Kayano 20"/>
  </r>
  <r>
    <x v="26"/>
    <m/>
    <x v="0"/>
    <m/>
    <m/>
    <m/>
    <m/>
    <m/>
    <m/>
    <m/>
    <m/>
    <s v=""/>
    <m/>
  </r>
  <r>
    <x v="27"/>
    <s v="012"/>
    <x v="0"/>
    <s v="SL"/>
    <d v="1899-12-30T00:46:28"/>
    <n v="10.07"/>
    <d v="1899-12-30T00:04:37"/>
    <n v="151"/>
    <n v="64"/>
    <n v="247"/>
    <m/>
    <n v="1.0056603773584907"/>
    <s v="New Balance"/>
  </r>
  <r>
    <x v="28"/>
    <s v="013"/>
    <x v="0"/>
    <s v="GA1"/>
    <d v="1899-12-30T01:13:41"/>
    <n v="12.06"/>
    <d v="1899-12-30T00:06:07"/>
    <n v="123"/>
    <n v="65"/>
    <n v="193"/>
    <m/>
    <n v="1.0404509316164279"/>
    <s v="ASICS DynaFlite"/>
  </r>
  <r>
    <x v="29"/>
    <m/>
    <x v="0"/>
    <m/>
    <m/>
    <m/>
    <m/>
    <m/>
    <m/>
    <m/>
    <m/>
    <s v=""/>
    <m/>
  </r>
  <r>
    <x v="30"/>
    <s v="014"/>
    <x v="0"/>
    <s v="GA1"/>
    <d v="1899-12-30T01:24:34"/>
    <n v="15.21"/>
    <d v="1899-12-30T00:05:34"/>
    <n v="138"/>
    <n v="87"/>
    <n v="212"/>
    <m/>
    <n v="1.0400355803070735"/>
    <s v="ASICS DynaFlite"/>
  </r>
  <r>
    <x v="31"/>
    <s v="015"/>
    <x v="0"/>
    <s v="GA2"/>
    <d v="1899-12-30T01:00:03"/>
    <n v="11.45"/>
    <d v="1899-12-30T00:05:15"/>
    <n v="146"/>
    <n v="72"/>
    <n v="230"/>
    <m/>
    <n v="1.0643334189571023"/>
    <s v="ASICS GEL-Kayano 20"/>
  </r>
  <r>
    <x v="32"/>
    <m/>
    <x v="0"/>
    <m/>
    <m/>
    <m/>
    <m/>
    <m/>
    <m/>
    <m/>
    <m/>
    <s v=""/>
    <m/>
  </r>
  <r>
    <x v="33"/>
    <s v="016"/>
    <x v="0"/>
    <s v="GA2"/>
    <d v="1899-12-30T01:05:17"/>
    <n v="13.3"/>
    <d v="1899-12-30T00:04:55"/>
    <n v="148"/>
    <n v="83"/>
    <n v="236"/>
    <m/>
    <n v="1.0221273772666961"/>
    <s v="ASICS GEL-Kayano 20"/>
  </r>
  <r>
    <x v="34"/>
    <s v="017"/>
    <x v="0"/>
    <s v="GA1"/>
    <d v="1899-12-30T02:08:09"/>
    <n v="22.07"/>
    <d v="1899-12-30T00:05:48"/>
    <n v="130"/>
    <n v="123"/>
    <n v="202"/>
    <m/>
    <n v="1.03492763666409"/>
    <s v="ASICS DynaFlite"/>
  </r>
  <r>
    <x v="35"/>
    <s v="018"/>
    <x v="0"/>
    <s v="GA1"/>
    <d v="1899-12-30T01:01:51"/>
    <n v="8.01"/>
    <d v="1899-12-30T00:07:43"/>
    <n v="108"/>
    <n v="33"/>
    <n v="153"/>
    <m/>
    <n v="1.0424157303370787"/>
    <s v="ASICS DynaFlite"/>
  </r>
  <r>
    <x v="36"/>
    <s v="019"/>
    <x v="0"/>
    <s v="CP"/>
    <d v="1899-12-30T00:50:04"/>
    <n v="9.1999999999999993"/>
    <d v="1899-12-30T00:05:27"/>
    <n v="139"/>
    <n v="61"/>
    <n v="206"/>
    <m/>
    <n v="0.98916879795396451"/>
    <s v="New Balance"/>
  </r>
  <r>
    <x v="37"/>
    <m/>
    <x v="0"/>
    <m/>
    <m/>
    <m/>
    <m/>
    <m/>
    <m/>
    <m/>
    <m/>
    <s v=""/>
    <m/>
  </r>
  <r>
    <x v="38"/>
    <s v="020"/>
    <x v="0"/>
    <s v="GA1"/>
    <d v="1899-12-30T00:56:09"/>
    <n v="10.06"/>
    <d v="1899-12-30T00:05:35"/>
    <n v="135"/>
    <n v="57"/>
    <n v="211"/>
    <m/>
    <n v="1.0391460063150506"/>
    <s v="ASICS DynaFlite"/>
  </r>
  <r>
    <x v="39"/>
    <s v="021"/>
    <x v="0"/>
    <s v="GA2"/>
    <d v="1899-12-30T01:07:28"/>
    <n v="11.91"/>
    <d v="1899-12-30T00:05:40"/>
    <n v="135"/>
    <n v="74"/>
    <n v="212"/>
    <m/>
    <n v="1.0596335259544623"/>
    <s v="ASICS GEL-Kayano 20"/>
  </r>
  <r>
    <x v="40"/>
    <m/>
    <x v="0"/>
    <m/>
    <m/>
    <m/>
    <m/>
    <m/>
    <m/>
    <m/>
    <m/>
    <s v=""/>
    <m/>
  </r>
  <r>
    <x v="41"/>
    <s v="022"/>
    <x v="0"/>
    <s v="SL"/>
    <d v="1899-12-30T00:44:30"/>
    <n v="10.199999999999999"/>
    <d v="1899-12-30T00:04:22"/>
    <n v="159"/>
    <n v="68"/>
    <n v="259"/>
    <m/>
    <n v="0.99701557093425597"/>
    <s v="New Balance"/>
  </r>
  <r>
    <x v="42"/>
    <m/>
    <x v="0"/>
    <m/>
    <m/>
    <m/>
    <m/>
    <m/>
    <m/>
    <m/>
    <m/>
    <s v=""/>
    <m/>
  </r>
  <r>
    <x v="43"/>
    <s v="023"/>
    <x v="0"/>
    <s v="GA2"/>
    <d v="1899-12-30T01:24:25"/>
    <n v="16.2"/>
    <d v="1899-12-30T00:05:13"/>
    <n v="142"/>
    <n v="104"/>
    <n v="232"/>
    <m/>
    <n v="1.0667029774872914"/>
    <s v="ASICS GEL-Kayano 20"/>
  </r>
  <r>
    <x v="44"/>
    <m/>
    <x v="0"/>
    <m/>
    <m/>
    <m/>
    <m/>
    <m/>
    <m/>
    <m/>
    <m/>
    <s v=""/>
    <m/>
  </r>
  <r>
    <x v="45"/>
    <s v="024"/>
    <x v="0"/>
    <s v="REP"/>
    <d v="1899-12-30T01:22:50"/>
    <n v="15.23"/>
    <d v="1899-12-30T00:05:26"/>
    <n v="143"/>
    <n v="98"/>
    <n v="206"/>
    <m/>
    <n v="0.98858676760264197"/>
    <s v="New Balance"/>
  </r>
  <r>
    <x v="46"/>
    <s v="025"/>
    <x v="0"/>
    <s v="GA1"/>
    <d v="1899-12-30T01:01:33"/>
    <n v="9.77"/>
    <d v="1899-12-30T00:06:18"/>
    <n v="125"/>
    <n v="53"/>
    <n v="192"/>
    <m/>
    <n v="1.0672767776506715"/>
    <s v="ASICS DynaFlite"/>
  </r>
  <r>
    <x v="47"/>
    <m/>
    <x v="0"/>
    <m/>
    <m/>
    <m/>
    <m/>
    <m/>
    <m/>
    <m/>
    <m/>
    <s v=""/>
    <m/>
  </r>
  <r>
    <x v="48"/>
    <s v="026"/>
    <x v="0"/>
    <s v="GA2"/>
    <d v="1899-12-30T01:04:29"/>
    <n v="12.1"/>
    <d v="1899-12-30T00:05:20"/>
    <n v="138"/>
    <n v="75"/>
    <n v="225"/>
    <m/>
    <n v="1.0580031599416626"/>
    <s v="ASICS GEL-Kayano 20"/>
  </r>
  <r>
    <x v="49"/>
    <s v="027"/>
    <x v="0"/>
    <s v="GA1"/>
    <d v="1899-12-30T02:09:25"/>
    <n v="22.81"/>
    <d v="1899-12-30T00:05:40"/>
    <n v="134"/>
    <n v="134"/>
    <n v="209"/>
    <m/>
    <n v="1.046293550300436"/>
    <s v="ASICS DynaFlite"/>
  </r>
  <r>
    <x v="50"/>
    <s v="028"/>
    <x v="0"/>
    <s v="GA1"/>
    <d v="1899-12-30T00:57:29"/>
    <n v="9.92"/>
    <d v="1899-12-30T00:05:48"/>
    <n v="128"/>
    <n v="57"/>
    <n v="208"/>
    <m/>
    <n v="1.0634962049335861"/>
    <s v="ASICS DynaFlite"/>
  </r>
  <r>
    <x v="51"/>
    <m/>
    <x v="0"/>
    <m/>
    <m/>
    <m/>
    <m/>
    <m/>
    <m/>
    <m/>
    <m/>
    <s v=""/>
    <m/>
  </r>
  <r>
    <x v="52"/>
    <m/>
    <x v="0"/>
    <m/>
    <m/>
    <m/>
    <m/>
    <m/>
    <m/>
    <m/>
    <m/>
    <s v=""/>
    <m/>
  </r>
  <r>
    <x v="53"/>
    <s v="029"/>
    <x v="0"/>
    <s v="INT"/>
    <d v="1899-12-30T00:58:44"/>
    <n v="11.3"/>
    <d v="1899-12-30T00:05:12"/>
    <n v="146"/>
    <n v="75"/>
    <n v="231"/>
    <m/>
    <n v="1.0594013534617386"/>
    <s v="ASICS GEL-Kayano 20"/>
  </r>
  <r>
    <x v="54"/>
    <s v="030"/>
    <x v="0"/>
    <s v="GA1"/>
    <d v="1899-12-30T00:53:28"/>
    <n v="9.1300000000000008"/>
    <d v="1899-12-30T00:05:51"/>
    <n v="127"/>
    <n v="54"/>
    <n v="206"/>
    <m/>
    <n v="1.064441724115714"/>
    <s v="ASICS DynaFlite"/>
  </r>
  <r>
    <x v="55"/>
    <m/>
    <x v="0"/>
    <m/>
    <m/>
    <m/>
    <m/>
    <m/>
    <m/>
    <m/>
    <m/>
    <s v=""/>
    <m/>
  </r>
  <r>
    <x v="56"/>
    <s v="031"/>
    <x v="1"/>
    <s v="WK"/>
    <d v="1899-12-30T00:58:58"/>
    <n v="13.61"/>
    <d v="1899-12-30T00:04:20"/>
    <n v="164"/>
    <n v="98"/>
    <n v="266"/>
    <m/>
    <n v="1.0168863724769848"/>
    <s v="New Balance"/>
  </r>
  <r>
    <x v="57"/>
    <m/>
    <x v="0"/>
    <m/>
    <m/>
    <m/>
    <m/>
    <m/>
    <m/>
    <m/>
    <m/>
    <s v=""/>
    <m/>
  </r>
  <r>
    <x v="58"/>
    <s v="032"/>
    <x v="0"/>
    <s v="GA1"/>
    <d v="1899-12-30T00:55:19"/>
    <n v="9.6199999999999992"/>
    <d v="1899-12-30T00:05:45"/>
    <n v="129"/>
    <n v="55"/>
    <n v="210"/>
    <m/>
    <n v="1.065473278708573"/>
    <s v="ASICS DynaFlite"/>
  </r>
  <r>
    <x v="59"/>
    <s v="033"/>
    <x v="0"/>
    <s v="HMRT"/>
    <d v="1899-12-30T00:39:39"/>
    <n v="8.14"/>
    <d v="1899-12-30T00:04:52"/>
    <n v="145"/>
    <n v="56"/>
    <n v="231"/>
    <m/>
    <n v="0.99282591414944332"/>
    <s v="New Balance"/>
  </r>
  <r>
    <x v="60"/>
    <s v="034"/>
    <x v="0"/>
    <s v="GA1"/>
    <d v="1899-12-30T01:07:28"/>
    <n v="11.6"/>
    <d v="1899-12-30T00:05:49"/>
    <n v="128"/>
    <n v="70"/>
    <n v="213"/>
    <m/>
    <n v="1.0930831643002028"/>
    <s v="ASICS GEL-Kayano 20"/>
  </r>
  <r>
    <x v="61"/>
    <s v="035"/>
    <x v="0"/>
    <s v="INT"/>
    <d v="1899-12-30T01:03:23"/>
    <n v="13.8"/>
    <d v="1899-12-30T00:04:36"/>
    <n v="152"/>
    <n v="92"/>
    <n v="245"/>
    <m/>
    <n v="0.99289748508098896"/>
    <s v="New Balance"/>
  </r>
  <r>
    <x v="62"/>
    <s v="036"/>
    <x v="0"/>
    <s v="GA1"/>
    <d v="1899-12-30T00:46:44"/>
    <n v="8.32"/>
    <d v="1899-12-30T00:05:37"/>
    <n v="131"/>
    <n v="48"/>
    <n v="214"/>
    <m/>
    <n v="1.0606193438914024"/>
    <s v="ASICS GEL-Kayano 20"/>
  </r>
  <r>
    <x v="63"/>
    <s v="037"/>
    <x v="0"/>
    <s v="GA1"/>
    <d v="1899-12-30T02:21:44"/>
    <n v="23.67"/>
    <d v="1899-12-30T00:05:59"/>
    <n v="136"/>
    <n v="132"/>
    <n v="200"/>
    <m/>
    <n v="1.056686299361316"/>
    <s v="ASICS DynaFlite"/>
  </r>
  <r>
    <x v="64"/>
    <m/>
    <x v="0"/>
    <m/>
    <m/>
    <m/>
    <m/>
    <m/>
    <m/>
    <m/>
    <m/>
    <s v=""/>
    <m/>
  </r>
  <r>
    <x v="65"/>
    <s v="038"/>
    <x v="0"/>
    <s v="INT8"/>
    <d v="1899-12-30T00:56:30"/>
    <n v="12.6"/>
    <d v="1899-12-30T00:04:29"/>
    <n v="155"/>
    <n v="87"/>
    <n v="252"/>
    <m/>
    <n v="0.99705882352941189"/>
    <s v="New Balance"/>
  </r>
  <r>
    <x v="66"/>
    <s v="039"/>
    <x v="0"/>
    <s v="GA1"/>
    <d v="1899-12-30T01:04:43"/>
    <n v="11.42"/>
    <d v="1899-12-30T00:05:40"/>
    <n v="134"/>
    <n v="67"/>
    <n v="216"/>
    <m/>
    <n v="1.0800556299577622"/>
    <s v="ASICS DynaFlite"/>
  </r>
  <r>
    <x v="67"/>
    <s v="040"/>
    <x v="0"/>
    <s v="GA2"/>
    <d v="1899-12-30T01:05:58"/>
    <n v="12.46"/>
    <d v="1899-12-30T00:05:18"/>
    <n v="135"/>
    <n v="80"/>
    <n v="232"/>
    <m/>
    <n v="1.0837692380322914"/>
    <s v="ASICS GEL-Kayano 20"/>
  </r>
  <r>
    <x v="68"/>
    <m/>
    <x v="0"/>
    <m/>
    <m/>
    <m/>
    <m/>
    <m/>
    <m/>
    <m/>
    <m/>
    <s v=""/>
    <m/>
  </r>
  <r>
    <x v="69"/>
    <s v="041"/>
    <x v="0"/>
    <s v="SL"/>
    <d v="1899-12-30T01:00:29"/>
    <n v="14.03"/>
    <d v="1899-12-30T00:04:19"/>
    <n v="159"/>
    <n v="96"/>
    <n v="267"/>
    <m/>
    <n v="1.0156209383254369"/>
    <s v="New Balance"/>
  </r>
  <r>
    <x v="70"/>
    <m/>
    <x v="0"/>
    <m/>
    <m/>
    <m/>
    <m/>
    <m/>
    <m/>
    <m/>
    <m/>
    <s v=""/>
    <m/>
  </r>
  <r>
    <x v="71"/>
    <s v="042"/>
    <x v="0"/>
    <s v="GA1.20"/>
    <d v="1899-12-30T01:58:11"/>
    <n v="20.91"/>
    <d v="1899-12-30T00:05:39"/>
    <n v="137"/>
    <n v="120"/>
    <n v="213"/>
    <m/>
    <n v="1.0622436492531016"/>
    <s v="ASICS DynaFlite"/>
  </r>
  <r>
    <x v="72"/>
    <m/>
    <x v="0"/>
    <m/>
    <m/>
    <s v=""/>
    <m/>
    <m/>
    <m/>
    <m/>
    <m/>
    <s v=""/>
    <m/>
  </r>
  <r>
    <x v="73"/>
    <s v="043"/>
    <x v="0"/>
    <s v="GA1.8"/>
    <d v="1899-12-30T00:42:18"/>
    <n v="7.46"/>
    <d v="1899-12-30T00:05:40"/>
    <n v="128"/>
    <n v="42"/>
    <n v="210"/>
    <m/>
    <n v="1.0506623560952533"/>
    <s v="ASICS GEL-Kayano 20"/>
  </r>
  <r>
    <x v="74"/>
    <m/>
    <x v="0"/>
    <m/>
    <m/>
    <s v=""/>
    <m/>
    <m/>
    <m/>
    <m/>
    <m/>
    <s v=""/>
    <m/>
  </r>
  <r>
    <x v="75"/>
    <s v="044"/>
    <x v="0"/>
    <s v="HMRT4"/>
    <d v="1899-12-30T00:42:34"/>
    <n v="8.15"/>
    <d v="1899-12-30T00:05:13"/>
    <n v="140"/>
    <n v="56"/>
    <n v="223"/>
    <m/>
    <n v="1.0276831468783831"/>
    <s v="New Balance"/>
  </r>
  <r>
    <x v="76"/>
    <m/>
    <x v="0"/>
    <m/>
    <m/>
    <s v=""/>
    <m/>
    <m/>
    <m/>
    <m/>
    <m/>
    <s v=""/>
    <m/>
  </r>
  <r>
    <x v="77"/>
    <s v="045"/>
    <x v="0"/>
    <s v="REP6"/>
    <d v="1899-12-30T00:39:47"/>
    <n v="7.28"/>
    <d v="1899-12-30T00:05:28"/>
    <n v="135"/>
    <n v="46"/>
    <n v="219"/>
    <m/>
    <n v="1.0559813348416289"/>
    <s v="ASICS GEL-Kayano 20"/>
  </r>
  <r>
    <x v="78"/>
    <m/>
    <x v="0"/>
    <m/>
    <m/>
    <s v=""/>
    <m/>
    <m/>
    <m/>
    <m/>
    <m/>
    <s v=""/>
    <m/>
  </r>
  <r>
    <x v="79"/>
    <s v="046"/>
    <x v="0"/>
    <s v="HMRT4"/>
    <d v="1899-12-30T00:41:27"/>
    <n v="8.1300000000000008"/>
    <d v="1899-12-30T00:05:06"/>
    <n v="143"/>
    <n v="52"/>
    <n v="232"/>
    <m/>
    <n v="1.0436726720208378"/>
    <s v="ASICS GEL-Kayano 20"/>
  </r>
  <r>
    <x v="80"/>
    <m/>
    <x v="0"/>
    <m/>
    <m/>
    <s v=""/>
    <m/>
    <m/>
    <m/>
    <m/>
    <m/>
    <s v=""/>
    <m/>
  </r>
  <r>
    <x v="81"/>
    <s v="047"/>
    <x v="0"/>
    <s v="GA1.6"/>
    <d v="1899-12-30T00:38:42"/>
    <n v="6.66"/>
    <d v="1899-12-30T00:05:49"/>
    <n v="124"/>
    <n v="38"/>
    <n v="209"/>
    <m/>
    <n v="1.0715818759936409"/>
    <s v="ASICS GEL-Kayano 20"/>
  </r>
  <r>
    <x v="82"/>
    <m/>
    <x v="0"/>
    <m/>
    <m/>
    <s v=""/>
    <m/>
    <m/>
    <m/>
    <m/>
    <m/>
    <s v=""/>
    <m/>
  </r>
  <r>
    <x v="83"/>
    <s v="048"/>
    <x v="0"/>
    <s v="GA1.4"/>
    <d v="1899-12-30T00:33:16"/>
    <n v="4.51"/>
    <d v="1899-12-30T00:07:23"/>
    <n v="113"/>
    <n v="20"/>
    <n v="161"/>
    <m/>
    <n v="1.047854441111256"/>
    <s v="ASICS GEL-Kayano 20"/>
  </r>
  <r>
    <x v="84"/>
    <s v="049"/>
    <x v="1"/>
    <s v="WK"/>
    <d v="1899-12-30T01:32:38"/>
    <n v="21.094999999999999"/>
    <d v="1899-12-30T00:04:23"/>
    <n v="157"/>
    <n v="149"/>
    <n v="267"/>
    <m/>
    <n v="1.0345258843048952"/>
    <s v="New Balance"/>
  </r>
  <r>
    <x v="85"/>
    <m/>
    <x v="0"/>
    <m/>
    <m/>
    <s v=""/>
    <m/>
    <m/>
    <m/>
    <m/>
    <m/>
    <s v=""/>
    <m/>
  </r>
  <r>
    <x v="86"/>
    <s v="050"/>
    <x v="0"/>
    <s v="GA1.4"/>
    <d v="1899-12-30T00:29:29"/>
    <n v="4.7"/>
    <d v="1899-12-30T00:06:16"/>
    <m/>
    <n v="17"/>
    <n v="192"/>
    <m/>
    <n v="1.0627284105131416"/>
    <s v="ASICS GEL-Kayano 20"/>
  </r>
  <r>
    <x v="87"/>
    <m/>
    <x v="0"/>
    <m/>
    <m/>
    <m/>
    <m/>
    <m/>
    <m/>
    <m/>
    <m/>
    <s v=""/>
    <m/>
  </r>
  <r>
    <x v="88"/>
    <m/>
    <x v="0"/>
    <m/>
    <m/>
    <s v=""/>
    <m/>
    <m/>
    <m/>
    <m/>
    <m/>
    <s v=""/>
    <m/>
  </r>
  <r>
    <x v="89"/>
    <s v="051"/>
    <x v="0"/>
    <s v="GA2"/>
    <d v="1899-12-30T01:06:54"/>
    <n v="12.3"/>
    <d v="1899-12-30T00:05:26"/>
    <m/>
    <n v="74"/>
    <n v="222"/>
    <m/>
    <n v="1.065408895265423"/>
    <s v="ASICS GEL-Kayano 20"/>
  </r>
  <r>
    <x v="90"/>
    <s v="052"/>
    <x v="0"/>
    <s v="rec"/>
    <d v="1899-12-30T00:51:46"/>
    <n v="9.77"/>
    <d v="1899-12-30T00:05:18"/>
    <m/>
    <n v="56"/>
    <n v="221"/>
    <m/>
    <n v="1.0332139201637665"/>
    <s v="ASICS GEL-Kayano 20"/>
  </r>
  <r>
    <x v="91"/>
    <m/>
    <x v="0"/>
    <m/>
    <m/>
    <m/>
    <m/>
    <m/>
    <m/>
    <m/>
    <m/>
    <s v=""/>
    <m/>
  </r>
  <r>
    <x v="92"/>
    <s v="053"/>
    <x v="0"/>
    <s v="GA2"/>
    <d v="1899-12-30T00:54:08"/>
    <n v="10.4"/>
    <d v="1899-12-30T00:05:12"/>
    <m/>
    <n v="63"/>
    <n v="230"/>
    <m/>
    <n v="1.0563348416289593"/>
    <s v="ASICS GEL-Kayano 20"/>
  </r>
  <r>
    <x v="93"/>
    <s v="054"/>
    <x v="0"/>
    <s v="GA1.4"/>
    <d v="1899-12-30T00:29:30"/>
    <n v="3.97"/>
    <d v="1899-12-30T00:07:26"/>
    <n v="113"/>
    <n v="17"/>
    <n v="161"/>
    <m/>
    <n v="1.0556008297525556"/>
    <s v="ASICS GEL-Kayano 20"/>
  </r>
  <r>
    <x v="94"/>
    <s v="055"/>
    <x v="0"/>
    <s v="rec"/>
    <d v="1899-12-30T00:45:04"/>
    <n v="8.27"/>
    <d v="1899-12-30T00:05:27"/>
    <n v="136"/>
    <n v="48"/>
    <n v="219"/>
    <m/>
    <n v="1.0530194181662995"/>
    <s v="ASICS GEL-Kayano 20"/>
  </r>
  <r>
    <x v="95"/>
    <m/>
    <x v="0"/>
    <m/>
    <m/>
    <s v=""/>
    <m/>
    <m/>
    <m/>
    <m/>
    <m/>
    <s v=""/>
    <m/>
  </r>
  <r>
    <x v="96"/>
    <m/>
    <x v="0"/>
    <m/>
    <m/>
    <s v=""/>
    <m/>
    <m/>
    <m/>
    <m/>
    <m/>
    <s v=""/>
    <m/>
  </r>
  <r>
    <x v="97"/>
    <s v="056"/>
    <x v="0"/>
    <s v="GA2"/>
    <d v="1899-12-30T01:00:22"/>
    <n v="11.4"/>
    <d v="1899-12-30T00:05:18"/>
    <n v="141"/>
    <n v="72"/>
    <n v="229"/>
    <m/>
    <n v="1.0699664602683179"/>
    <s v="ASICS GEL-Kayano 20"/>
  </r>
  <r>
    <x v="98"/>
    <s v="057"/>
    <x v="0"/>
    <s v="rec"/>
    <d v="1899-12-30T01:03:15"/>
    <n v="10.3"/>
    <d v="1899-12-30T00:06:08"/>
    <n v="127"/>
    <n v="56"/>
    <m/>
    <m/>
    <m/>
    <s v="ASICS GEL-Kayano 20"/>
  </r>
  <r>
    <x v="99"/>
    <m/>
    <x v="0"/>
    <m/>
    <m/>
    <s v=""/>
    <m/>
    <m/>
    <m/>
    <m/>
    <m/>
    <s v=""/>
    <m/>
  </r>
  <r>
    <x v="100"/>
    <s v="058"/>
    <x v="0"/>
    <s v="rec"/>
    <d v="1899-12-30T01:02:34"/>
    <n v="10.199999999999999"/>
    <d v="1899-12-30T00:06:08"/>
    <n v="124"/>
    <n v="56"/>
    <n v="194"/>
    <m/>
    <n v="1.0499942329873129"/>
    <s v="ASICS GEL-Kayano 20"/>
  </r>
  <r>
    <x v="101"/>
    <s v="059"/>
    <x v="0"/>
    <s v="GA2"/>
    <d v="1899-12-30T00:38:09"/>
    <n v="7.22"/>
    <d v="1899-12-30T00:05:17"/>
    <n v="139"/>
    <n v="45"/>
    <n v="225"/>
    <m/>
    <n v="1.0490162131334531"/>
    <s v="ASICS GEL-Kayano 20"/>
  </r>
  <r>
    <x v="102"/>
    <m/>
    <x v="0"/>
    <m/>
    <m/>
    <s v=""/>
    <m/>
    <m/>
    <m/>
    <m/>
    <m/>
    <s v=""/>
    <m/>
  </r>
  <r>
    <x v="103"/>
    <s v="060"/>
    <x v="0"/>
    <s v="rec"/>
    <d v="1899-12-30T01:04:24"/>
    <n v="11.39"/>
    <d v="1899-12-30T00:05:39"/>
    <n v="129"/>
    <n v="65"/>
    <n v="213"/>
    <m/>
    <n v="1.0626349222744409"/>
    <s v="ASICS GEL-Kayano 20"/>
  </r>
  <r>
    <x v="104"/>
    <m/>
    <x v="0"/>
    <m/>
    <m/>
    <s v=""/>
    <m/>
    <m/>
    <m/>
    <m/>
    <m/>
    <s v=""/>
    <m/>
  </r>
  <r>
    <x v="105"/>
    <s v="061"/>
    <x v="0"/>
    <s v="GA1.12"/>
    <d v="1899-12-30T00:59:58"/>
    <n v="9.39"/>
    <d v="1899-12-30T00:06:23"/>
    <n v="135"/>
    <n v="49"/>
    <n v="189"/>
    <m/>
    <n v="1.0649971809810186"/>
    <s v="ASICS GEL-Kayano 20"/>
  </r>
  <r>
    <x v="106"/>
    <m/>
    <x v="0"/>
    <m/>
    <m/>
    <s v=""/>
    <m/>
    <m/>
    <m/>
    <m/>
    <m/>
    <s v=""/>
    <m/>
  </r>
  <r>
    <x v="107"/>
    <m/>
    <x v="0"/>
    <m/>
    <m/>
    <s v=""/>
    <m/>
    <m/>
    <m/>
    <m/>
    <m/>
    <s v=""/>
    <m/>
  </r>
  <r>
    <x v="108"/>
    <s v="062"/>
    <x v="0"/>
    <s v="GA1.12"/>
    <d v="1899-12-30T01:06:50"/>
    <n v="11.92"/>
    <d v="1899-12-30T00:05:36"/>
    <n v="133"/>
    <n v="67"/>
    <n v="213"/>
    <m/>
    <n v="1.0537529609159102"/>
    <s v="Saucony München 3"/>
  </r>
  <r>
    <x v="109"/>
    <s v="063"/>
    <x v="0"/>
    <s v="GA1.6"/>
    <d v="1899-12-30T00:37:59"/>
    <n v="6.01"/>
    <d v="1899-12-30T00:06:19"/>
    <n v="122"/>
    <n v="30"/>
    <m/>
    <m/>
    <m/>
    <s v="Saucony München 3"/>
  </r>
  <r>
    <x v="110"/>
    <m/>
    <x v="0"/>
    <m/>
    <m/>
    <s v=""/>
    <m/>
    <m/>
    <m/>
    <m/>
    <m/>
    <s v=""/>
    <m/>
  </r>
  <r>
    <x v="111"/>
    <m/>
    <x v="0"/>
    <m/>
    <m/>
    <s v=""/>
    <m/>
    <m/>
    <m/>
    <m/>
    <m/>
    <s v=""/>
    <m/>
  </r>
  <r>
    <x v="112"/>
    <s v="064"/>
    <x v="0"/>
    <s v="rec"/>
    <d v="1899-12-30T00:55:53"/>
    <n v="10.44"/>
    <d v="1899-12-30T00:05:21"/>
    <n v="146"/>
    <n v="62"/>
    <m/>
    <m/>
    <m/>
    <s v="ASICS GEL-Kayano 20"/>
  </r>
  <r>
    <x v="113"/>
    <m/>
    <x v="0"/>
    <m/>
    <m/>
    <s v=""/>
    <m/>
    <m/>
    <m/>
    <m/>
    <m/>
    <s v=""/>
    <m/>
  </r>
  <r>
    <x v="114"/>
    <m/>
    <x v="0"/>
    <m/>
    <m/>
    <s v=""/>
    <m/>
    <m/>
    <m/>
    <m/>
    <m/>
    <s v=""/>
    <m/>
  </r>
  <r>
    <x v="115"/>
    <s v="065"/>
    <x v="0"/>
    <s v="rec"/>
    <d v="1899-12-30T01:02:33"/>
    <n v="11.46"/>
    <d v="1899-12-30T00:05:27"/>
    <n v="134"/>
    <n v="65"/>
    <n v="216"/>
    <m/>
    <n v="1.0402525408068986"/>
    <s v="ASICS GEL-Kayano 20"/>
  </r>
  <r>
    <x v="116"/>
    <s v="066"/>
    <x v="0"/>
    <s v="GA1.6"/>
    <d v="1899-12-30T00:21:54"/>
    <n v="4.01"/>
    <d v="1899-12-30T00:05:28"/>
    <n v="124"/>
    <n v="23"/>
    <n v="218"/>
    <m/>
    <n v="1.0505060877218717"/>
    <s v="ASICS GEL-Kayano 20"/>
  </r>
  <r>
    <x v="117"/>
    <s v="067"/>
    <x v="0"/>
    <s v="SL10"/>
    <d v="1899-12-30T00:38:49"/>
    <n v="9.18"/>
    <d v="1899-12-30T00:04:14"/>
    <n v="163"/>
    <n v="63"/>
    <n v="279"/>
    <m/>
    <n v="1.0409313725490197"/>
    <s v="ASICS GEL-Kayano 20"/>
  </r>
  <r>
    <x v="118"/>
    <s v="068"/>
    <x v="0"/>
    <s v="rec"/>
    <d v="1899-12-30T00:56:33"/>
    <n v="9.83"/>
    <d v="1899-12-30T00:05:45"/>
    <n v="127"/>
    <n v="55"/>
    <n v="209"/>
    <m/>
    <n v="1.0608835497576445"/>
    <s v="ASICS GEL-Kayano 20"/>
  </r>
  <r>
    <x v="119"/>
    <m/>
    <x v="0"/>
    <m/>
    <m/>
    <s v=""/>
    <m/>
    <m/>
    <m/>
    <m/>
    <m/>
    <s v=""/>
    <m/>
  </r>
  <r>
    <x v="120"/>
    <m/>
    <x v="0"/>
    <m/>
    <m/>
    <s v=""/>
    <m/>
    <m/>
    <m/>
    <m/>
    <m/>
    <s v=""/>
    <m/>
  </r>
  <r>
    <x v="121"/>
    <s v="069"/>
    <x v="0"/>
    <s v="rec"/>
    <d v="1899-12-30T01:03:32"/>
    <n v="11.4"/>
    <d v="1899-12-30T00:05:34"/>
    <n v="129"/>
    <n v="66"/>
    <n v="216"/>
    <m/>
    <n v="1.0621671826625385"/>
    <s v="Saucony München 3"/>
  </r>
  <r>
    <x v="122"/>
    <s v="070"/>
    <x v="0"/>
    <s v="rec"/>
    <d v="1899-12-30T00:51:39"/>
    <n v="8.91"/>
    <d v="1899-12-30T00:05:48"/>
    <n v="127"/>
    <n v="51"/>
    <n v="211"/>
    <m/>
    <n v="1.0792384630619927"/>
    <s v="ASICS GEL-Kayano 20"/>
  </r>
  <r>
    <x v="123"/>
    <m/>
    <x v="0"/>
    <m/>
    <m/>
    <s v=""/>
    <m/>
    <m/>
    <m/>
    <m/>
    <m/>
    <s v=""/>
    <m/>
  </r>
  <r>
    <x v="124"/>
    <s v="071"/>
    <x v="0"/>
    <s v="rec"/>
    <d v="1899-12-30T01:02:21"/>
    <n v="11.2"/>
    <d v="1899-12-30T00:05:34"/>
    <n v="135"/>
    <n v="72"/>
    <m/>
    <m/>
    <m/>
    <s v="ASICS GEL-Kayano 20"/>
  </r>
  <r>
    <x v="125"/>
    <m/>
    <x v="0"/>
    <m/>
    <m/>
    <s v=""/>
    <m/>
    <m/>
    <m/>
    <m/>
    <m/>
    <s v=""/>
    <m/>
  </r>
  <r>
    <x v="126"/>
    <s v="072"/>
    <x v="0"/>
    <s v="GA1.16"/>
    <d v="1899-12-30T00:54:26"/>
    <n v="10.3"/>
    <d v="1899-12-30T00:05:17"/>
    <n v="140"/>
    <n v="66"/>
    <n v="226"/>
    <m/>
    <n v="1.0538492290119932"/>
    <s v="Saucony München 3"/>
  </r>
  <r>
    <x v="127"/>
    <m/>
    <x v="0"/>
    <m/>
    <m/>
    <s v=""/>
    <m/>
    <m/>
    <m/>
    <m/>
    <m/>
    <s v=""/>
    <m/>
  </r>
  <r>
    <x v="128"/>
    <s v="073"/>
    <x v="0"/>
    <s v="rec"/>
    <d v="1899-12-30T01:23:07"/>
    <n v="14.9"/>
    <d v="1899-12-30T00:05:35"/>
    <n v="140"/>
    <n v="87"/>
    <n v="217"/>
    <m/>
    <n v="1.0680803395183578"/>
    <s v="ASICS GEL-Kayano 20"/>
  </r>
  <r>
    <x v="129"/>
    <s v="074"/>
    <x v="0"/>
    <s v="rec"/>
    <d v="1899-12-30T00:42:43"/>
    <n v="7.54"/>
    <d v="1899-12-30T00:05:40"/>
    <n v="138"/>
    <n v="43"/>
    <n v="212"/>
    <m/>
    <n v="1.0597519113746297"/>
    <s v="ASICS GEL-Kayano 20"/>
  </r>
  <r>
    <x v="130"/>
    <m/>
    <x v="0"/>
    <m/>
    <m/>
    <s v=""/>
    <m/>
    <m/>
    <m/>
    <m/>
    <m/>
    <s v=""/>
    <m/>
  </r>
  <r>
    <x v="131"/>
    <s v="075"/>
    <x v="0"/>
    <s v="rec"/>
    <d v="1899-12-30T00:48:09"/>
    <n v="8.3800000000000008"/>
    <d v="1899-12-30T00:05:45"/>
    <n v="134"/>
    <n v="49"/>
    <n v="212"/>
    <m/>
    <n v="1.0748069633581356"/>
    <s v="ASICS GEL-Kayano 20"/>
  </r>
  <r>
    <x v="132"/>
    <m/>
    <x v="0"/>
    <m/>
    <m/>
    <s v=""/>
    <m/>
    <m/>
    <m/>
    <m/>
    <m/>
    <s v=""/>
    <m/>
  </r>
  <r>
    <x v="133"/>
    <m/>
    <x v="0"/>
    <m/>
    <m/>
    <s v=""/>
    <m/>
    <m/>
    <m/>
    <m/>
    <m/>
    <s v=""/>
    <m/>
  </r>
  <r>
    <x v="134"/>
    <s v="076"/>
    <x v="0"/>
    <s v="rec"/>
    <d v="1899-12-30T00:45:56"/>
    <n v="8.4"/>
    <d v="1899-12-30T00:05:28"/>
    <n v="137"/>
    <n v="52"/>
    <m/>
    <m/>
    <m/>
    <s v="ASICS GEL-Kayano 20"/>
  </r>
  <r>
    <x v="135"/>
    <m/>
    <x v="0"/>
    <m/>
    <m/>
    <s v=""/>
    <m/>
    <m/>
    <m/>
    <m/>
    <m/>
    <m/>
    <m/>
  </r>
  <r>
    <x v="136"/>
    <s v="077"/>
    <x v="0"/>
    <s v="rec"/>
    <d v="1899-12-30T00:53:58"/>
    <n v="9.6999999999999993"/>
    <d v="1899-12-30T00:05:34"/>
    <n v="151"/>
    <n v="63"/>
    <m/>
    <m/>
    <m/>
    <s v="ASICS GEL-Kayano 20"/>
  </r>
  <r>
    <x v="137"/>
    <m/>
    <x v="0"/>
    <m/>
    <m/>
    <s v=""/>
    <m/>
    <m/>
    <m/>
    <m/>
    <m/>
    <s v=""/>
    <m/>
  </r>
  <r>
    <x v="138"/>
    <m/>
    <x v="0"/>
    <m/>
    <m/>
    <s v=""/>
    <m/>
    <m/>
    <m/>
    <m/>
    <m/>
    <s v=""/>
    <m/>
  </r>
  <r>
    <x v="139"/>
    <m/>
    <x v="0"/>
    <m/>
    <m/>
    <s v=""/>
    <m/>
    <m/>
    <m/>
    <m/>
    <m/>
    <s v=""/>
    <m/>
  </r>
  <r>
    <x v="140"/>
    <m/>
    <x v="0"/>
    <m/>
    <m/>
    <s v=""/>
    <m/>
    <m/>
    <m/>
    <m/>
    <m/>
    <s v=""/>
    <m/>
  </r>
  <r>
    <x v="141"/>
    <m/>
    <x v="0"/>
    <m/>
    <m/>
    <s v=""/>
    <m/>
    <m/>
    <m/>
    <m/>
    <m/>
    <s v=""/>
    <m/>
  </r>
  <r>
    <x v="142"/>
    <m/>
    <x v="0"/>
    <m/>
    <m/>
    <s v=""/>
    <m/>
    <m/>
    <m/>
    <m/>
    <m/>
    <s v=""/>
    <m/>
  </r>
  <r>
    <x v="143"/>
    <m/>
    <x v="0"/>
    <m/>
    <m/>
    <s v=""/>
    <m/>
    <m/>
    <m/>
    <m/>
    <m/>
    <s v=""/>
    <m/>
  </r>
  <r>
    <x v="144"/>
    <m/>
    <x v="0"/>
    <m/>
    <m/>
    <s v=""/>
    <m/>
    <m/>
    <m/>
    <m/>
    <m/>
    <s v=""/>
    <m/>
  </r>
  <r>
    <x v="145"/>
    <s v="078"/>
    <x v="0"/>
    <s v="GA1.8"/>
    <d v="1899-12-30T00:49:11"/>
    <n v="8.43"/>
    <d v="1899-12-30T00:05:50"/>
    <n v="136"/>
    <n v="48"/>
    <n v="211"/>
    <m/>
    <n v="1.0862134533528716"/>
    <s v="ASICS GEL-Kayano 20"/>
  </r>
  <r>
    <x v="146"/>
    <m/>
    <x v="0"/>
    <m/>
    <m/>
    <s v=""/>
    <m/>
    <m/>
    <m/>
    <m/>
    <m/>
    <s v=""/>
    <m/>
  </r>
  <r>
    <x v="147"/>
    <s v="079"/>
    <x v="0"/>
    <s v="rec"/>
    <d v="1899-12-30T00:58:07"/>
    <n v="10.199999999999999"/>
    <d v="1899-12-30T00:05:42"/>
    <n v="144"/>
    <n v="59"/>
    <n v="215"/>
    <m/>
    <n v="1.080889561707036"/>
    <s v="ASICS GEL-Kayano 20"/>
  </r>
  <r>
    <x v="148"/>
    <m/>
    <x v="0"/>
    <m/>
    <m/>
    <s v=""/>
    <m/>
    <m/>
    <m/>
    <m/>
    <m/>
    <s v=""/>
    <m/>
  </r>
  <r>
    <x v="149"/>
    <s v="080"/>
    <x v="0"/>
    <s v="rec"/>
    <d v="1899-12-30T01:03:45"/>
    <n v="11.4"/>
    <d v="1899-12-30T00:05:36"/>
    <n v="130"/>
    <n v="67"/>
    <n v="217"/>
    <m/>
    <n v="1.0707236842105265"/>
    <s v="Saucony München 3"/>
  </r>
  <r>
    <x v="150"/>
    <s v="081"/>
    <x v="0"/>
    <s v="rec"/>
    <d v="1899-12-30T01:02:38"/>
    <n v="11.4"/>
    <d v="1899-12-30T00:05:30"/>
    <n v="139"/>
    <n v="67"/>
    <n v="218"/>
    <m/>
    <n v="1.0568163054695563"/>
    <s v="Saucony München 3"/>
  </r>
  <r>
    <x v="151"/>
    <m/>
    <x v="0"/>
    <m/>
    <m/>
    <s v=""/>
    <m/>
    <m/>
    <m/>
    <m/>
    <m/>
    <s v=""/>
    <m/>
  </r>
  <r>
    <x v="152"/>
    <s v="082"/>
    <x v="0"/>
    <s v="rec"/>
    <d v="1899-12-30T01:04:29"/>
    <n v="11.28"/>
    <d v="1899-12-30T00:05:43"/>
    <n v="136"/>
    <n v="66"/>
    <n v="214"/>
    <m/>
    <n v="1.0794300166875259"/>
    <s v="Saucony München 3"/>
  </r>
  <r>
    <x v="153"/>
    <m/>
    <x v="0"/>
    <m/>
    <m/>
    <s v=""/>
    <m/>
    <m/>
    <m/>
    <m/>
    <m/>
    <s v=""/>
    <m/>
  </r>
  <r>
    <x v="154"/>
    <m/>
    <x v="0"/>
    <m/>
    <m/>
    <s v=""/>
    <m/>
    <m/>
    <m/>
    <m/>
    <m/>
    <s v=""/>
    <m/>
  </r>
  <r>
    <x v="155"/>
    <m/>
    <x v="0"/>
    <m/>
    <m/>
    <s v=""/>
    <m/>
    <m/>
    <m/>
    <m/>
    <m/>
    <s v=""/>
    <m/>
  </r>
  <r>
    <x v="156"/>
    <s v="083"/>
    <x v="0"/>
    <s v="rec"/>
    <d v="1899-12-30T00:52:43"/>
    <n v="9.3699999999999992"/>
    <d v="1899-12-30T00:05:38"/>
    <n v="134"/>
    <n v="55"/>
    <n v="217"/>
    <m/>
    <n v="1.0772349174461677"/>
    <s v="Saucony München 3"/>
  </r>
  <r>
    <x v="157"/>
    <s v="084"/>
    <x v="0"/>
    <s v="GA1.12"/>
    <d v="1899-12-30T01:11:25"/>
    <n v="12.9"/>
    <d v="1899-12-30T00:05:32"/>
    <n v="136"/>
    <n v="74"/>
    <n v="217"/>
    <m/>
    <n v="1.0600148198814408"/>
    <s v="Saucony München 3"/>
  </r>
  <r>
    <x v="158"/>
    <m/>
    <x v="0"/>
    <m/>
    <m/>
    <s v=""/>
    <m/>
    <m/>
    <m/>
    <m/>
    <m/>
    <s v=""/>
    <m/>
  </r>
  <r>
    <x v="159"/>
    <s v="085"/>
    <x v="0"/>
    <s v="SL12"/>
    <d v="1899-12-30T01:08:05"/>
    <n v="14.3"/>
    <d v="1899-12-30T00:04:46"/>
    <n v="157"/>
    <n v="91"/>
    <n v="242"/>
    <m/>
    <n v="1.0166289592760178"/>
    <s v="New Balance"/>
  </r>
  <r>
    <x v="160"/>
    <m/>
    <x v="0"/>
    <m/>
    <m/>
    <s v=""/>
    <m/>
    <m/>
    <m/>
    <m/>
    <m/>
    <s v=""/>
    <m/>
  </r>
  <r>
    <x v="161"/>
    <s v="086"/>
    <x v="0"/>
    <s v="GA1.14"/>
    <d v="1899-12-30T01:17:49"/>
    <n v="13.26"/>
    <d v="1899-12-30T00:05:52"/>
    <n v="132"/>
    <n v="72"/>
    <n v="205"/>
    <m/>
    <n v="1.0615129535977286"/>
    <s v="Saucony München 3"/>
  </r>
  <r>
    <x v="162"/>
    <m/>
    <x v="0"/>
    <m/>
    <m/>
    <s v=""/>
    <m/>
    <m/>
    <m/>
    <m/>
    <m/>
    <s v=""/>
    <m/>
  </r>
  <r>
    <x v="163"/>
    <s v="087"/>
    <x v="0"/>
    <s v="REP4"/>
    <d v="1899-12-30T00:35:25"/>
    <n v="5.86"/>
    <d v="1899-12-30T00:06:03"/>
    <n v="146"/>
    <n v="39"/>
    <n v="196"/>
    <m/>
    <n v="1.045221843003413"/>
    <s v="New Balance"/>
  </r>
  <r>
    <x v="164"/>
    <s v="088"/>
    <x v="0"/>
    <s v="rec"/>
    <d v="1899-12-30T00:51:39"/>
    <n v="9.83"/>
    <d v="1899-12-30T00:05:15"/>
    <n v="141"/>
    <n v="60"/>
    <n v="228"/>
    <m/>
    <n v="1.0570462569564958"/>
    <m/>
  </r>
  <r>
    <x v="165"/>
    <m/>
    <x v="0"/>
    <m/>
    <m/>
    <s v=""/>
    <m/>
    <m/>
    <m/>
    <m/>
    <m/>
    <s v=""/>
    <m/>
  </r>
  <r>
    <x v="166"/>
    <s v="089"/>
    <x v="0"/>
    <s v="GA1.12"/>
    <d v="1899-12-30T01:09:18"/>
    <n v="12.1"/>
    <d v="1899-12-30T00:05:44"/>
    <n v="127"/>
    <n v="70"/>
    <n v="212"/>
    <m/>
    <n v="1.0713368983957219"/>
    <s v="Saucony München 3"/>
  </r>
  <r>
    <x v="167"/>
    <s v="090"/>
    <x v="0"/>
    <s v="rec"/>
    <d v="1899-12-30T01:07:41"/>
    <n v="11.5"/>
    <d v="1899-12-30T00:05:53"/>
    <n v="146"/>
    <n v="64"/>
    <n v="206"/>
    <m/>
    <n v="1.0697774936061382"/>
    <s v="Saucony München 3"/>
  </r>
  <r>
    <x v="168"/>
    <s v="091"/>
    <x v="0"/>
    <s v="GA1.16"/>
    <d v="1899-12-30T01:33:45"/>
    <n v="16.600000000000001"/>
    <d v="1899-12-30T00:05:39"/>
    <n v="147"/>
    <n v="89"/>
    <n v="207"/>
    <m/>
    <n v="1.0315157689581858"/>
    <s v="ASICS DynaFlite"/>
  </r>
  <r>
    <x v="169"/>
    <m/>
    <x v="0"/>
    <m/>
    <m/>
    <s v=""/>
    <m/>
    <m/>
    <m/>
    <m/>
    <m/>
    <s v=""/>
    <m/>
  </r>
  <r>
    <x v="170"/>
    <s v="092"/>
    <x v="0"/>
    <s v="REP6"/>
    <d v="1899-12-30T00:39:49"/>
    <n v="6.85"/>
    <d v="1899-12-30T00:05:49"/>
    <n v="143"/>
    <n v="46"/>
    <n v="199"/>
    <m/>
    <n v="1.0206333190210393"/>
    <s v="New Balance"/>
  </r>
  <r>
    <x v="171"/>
    <s v="093"/>
    <x v="0"/>
    <s v="rec"/>
    <d v="1899-12-30T01:04:06"/>
    <n v="11.3"/>
    <d v="1899-12-30T00:05:40"/>
    <n v="130"/>
    <n v="64"/>
    <n v="211"/>
    <m/>
    <n v="1.0560983862571576"/>
    <s v="Saucony München 3"/>
  </r>
  <r>
    <x v="172"/>
    <s v="094"/>
    <x v="0"/>
    <s v="PYR600"/>
    <d v="1899-12-30T00:40:41"/>
    <n v="7.81"/>
    <d v="1899-12-30T00:05:13"/>
    <n v="149"/>
    <n v="51"/>
    <n v="221"/>
    <m/>
    <n v="1.0157810499359796"/>
    <s v="New Balance"/>
  </r>
  <r>
    <x v="173"/>
    <s v="095"/>
    <x v="0"/>
    <s v="rec"/>
    <d v="1899-12-30T01:03:31"/>
    <n v="11.3"/>
    <d v="1899-12-30T00:05:37"/>
    <n v="127"/>
    <n v="64"/>
    <n v="214"/>
    <m/>
    <n v="1.0613664757938572"/>
    <s v="Saucony München 3"/>
  </r>
  <r>
    <x v="174"/>
    <m/>
    <x v="0"/>
    <m/>
    <m/>
    <s v=""/>
    <m/>
    <m/>
    <m/>
    <m/>
    <m/>
    <s v=""/>
    <m/>
  </r>
  <r>
    <x v="175"/>
    <s v="096"/>
    <x v="0"/>
    <s v="GA1.18"/>
    <d v="1899-12-30T01:41:53"/>
    <n v="18.07"/>
    <d v="1899-12-30T00:05:38"/>
    <n v="136"/>
    <n v="101"/>
    <n v="212"/>
    <m/>
    <n v="1.0546860249357073"/>
    <s v="ASICS DynaFlite"/>
  </r>
  <r>
    <x v="176"/>
    <m/>
    <x v="0"/>
    <m/>
    <m/>
    <s v=""/>
    <m/>
    <m/>
    <m/>
    <m/>
    <m/>
    <s v=""/>
    <m/>
  </r>
  <r>
    <x v="177"/>
    <s v="097"/>
    <x v="0"/>
    <s v="REP8"/>
    <d v="1899-12-30T00:51:31"/>
    <n v="9.1199999999999992"/>
    <d v="1899-12-30T00:05:39"/>
    <n v="147"/>
    <n v="59"/>
    <n v="202"/>
    <m/>
    <n v="1.0068079205366356"/>
    <s v="New Balance"/>
  </r>
  <r>
    <x v="178"/>
    <s v="098"/>
    <x v="0"/>
    <s v="rec"/>
    <d v="1899-12-30T01:05:04"/>
    <n v="11.4"/>
    <d v="1899-12-30T00:05:42"/>
    <n v="131"/>
    <n v="63"/>
    <n v="209"/>
    <m/>
    <n v="1.0525490196078433"/>
    <s v="Saucony München 3"/>
  </r>
  <r>
    <x v="179"/>
    <m/>
    <x v="0"/>
    <m/>
    <m/>
    <s v=""/>
    <m/>
    <m/>
    <m/>
    <m/>
    <m/>
    <s v=""/>
    <m/>
  </r>
  <r>
    <x v="180"/>
    <s v="099"/>
    <x v="0"/>
    <s v="PYR800"/>
    <d v="1899-12-30T00:49:50"/>
    <n v="9.02"/>
    <d v="1899-12-30T00:05:31"/>
    <n v="151"/>
    <n v="60"/>
    <n v="213"/>
    <m/>
    <n v="1.0383298552236859"/>
    <s v="New Balance"/>
  </r>
  <r>
    <x v="181"/>
    <s v="100"/>
    <x v="0"/>
    <s v="rec"/>
    <d v="1899-12-30T01:04:42"/>
    <n v="11.4"/>
    <d v="1899-12-30T00:05:41"/>
    <n v="134"/>
    <n v="65"/>
    <n v="213"/>
    <m/>
    <n v="1.0666486068111456"/>
    <s v="Saucony München 3"/>
  </r>
  <r>
    <x v="182"/>
    <s v="101"/>
    <x v="0"/>
    <s v="GA1.20"/>
    <d v="1899-12-30T01:53:14"/>
    <n v="19.95"/>
    <d v="1899-12-30T00:05:41"/>
    <n v="136"/>
    <n v="114"/>
    <n v="214"/>
    <m/>
    <n v="1.0717352204039512"/>
    <s v="ASICS DynaFlite"/>
  </r>
  <r>
    <x v="183"/>
    <m/>
    <x v="0"/>
    <m/>
    <m/>
    <s v=""/>
    <m/>
    <m/>
    <m/>
    <m/>
    <m/>
    <s v=""/>
    <m/>
  </r>
  <r>
    <x v="184"/>
    <s v="102"/>
    <x v="0"/>
    <s v="REP10"/>
    <d v="1899-12-30T00:59:37"/>
    <n v="10.8"/>
    <d v="1899-12-30T00:05:31"/>
    <n v="149"/>
    <n v="73"/>
    <n v="210"/>
    <m/>
    <n v="1.0228349673202615"/>
    <s v="Saucony München 3"/>
  </r>
  <r>
    <x v="185"/>
    <s v="103"/>
    <x v="0"/>
    <s v="rec"/>
    <d v="1899-12-30T01:03:31"/>
    <n v="11.4"/>
    <d v="1899-12-30T00:05:34"/>
    <n v="129"/>
    <n v="66"/>
    <n v="216"/>
    <m/>
    <n v="1.0618885448916409"/>
    <s v="Saucony München 3"/>
  </r>
  <r>
    <x v="186"/>
    <m/>
    <x v="0"/>
    <m/>
    <m/>
    <s v=""/>
    <s v=""/>
    <m/>
    <m/>
    <m/>
    <m/>
    <s v=""/>
    <m/>
  </r>
  <r>
    <x v="187"/>
    <s v="104"/>
    <x v="0"/>
    <s v="INT4"/>
    <d v="1899-12-30T00:57:23"/>
    <n v="10.8"/>
    <d v="1899-12-30T00:05:19"/>
    <n v="146"/>
    <n v="72"/>
    <n v="218"/>
    <m/>
    <n v="1.0220234204793028"/>
    <s v="New Balance"/>
  </r>
  <r>
    <x v="188"/>
    <s v="105"/>
    <x v="0"/>
    <s v="rec"/>
    <d v="1899-12-30T01:04:12"/>
    <n v="11.42"/>
    <d v="1899-12-30T00:05:37"/>
    <n v="132"/>
    <n v="66"/>
    <n v="215"/>
    <m/>
    <n v="1.0664726486041001"/>
    <s v="Saucony München 3"/>
  </r>
  <r>
    <x v="189"/>
    <s v="106"/>
    <x v="0"/>
    <s v="GA1.22"/>
    <d v="1899-12-30T01:55:59"/>
    <n v="21.4"/>
    <d v="1899-12-30T00:05:25"/>
    <n v="139"/>
    <n v="129"/>
    <m/>
    <m/>
    <m/>
    <s v="ASICS DynaFlite"/>
  </r>
  <r>
    <x v="190"/>
    <m/>
    <x v="0"/>
    <m/>
    <m/>
    <s v=""/>
    <s v=""/>
    <m/>
    <m/>
    <m/>
    <m/>
    <s v=""/>
    <m/>
  </r>
  <r>
    <x v="191"/>
    <s v="107"/>
    <x v="0"/>
    <s v="rec"/>
    <d v="1899-12-30T01:05:44"/>
    <n v="11.38"/>
    <d v="1899-12-30T00:05:47"/>
    <n v="120"/>
    <n v="64"/>
    <n v="210"/>
    <m/>
    <n v="1.0702987697715292"/>
    <s v="Saucony München 3"/>
  </r>
  <r>
    <x v="192"/>
    <s v="108"/>
    <x v="0"/>
    <s v="rec"/>
    <d v="1899-12-30T01:05:11"/>
    <n v="11.36"/>
    <d v="1899-12-30T00:05:44"/>
    <n v="118"/>
    <n v="64"/>
    <n v="211"/>
    <m/>
    <n v="1.0682749067937036"/>
    <s v="Saucony München 3"/>
  </r>
  <r>
    <x v="193"/>
    <m/>
    <x v="0"/>
    <m/>
    <m/>
    <s v=""/>
    <s v=""/>
    <m/>
    <m/>
    <m/>
    <m/>
    <s v=""/>
    <m/>
  </r>
  <r>
    <x v="194"/>
    <s v="109"/>
    <x v="0"/>
    <s v="rec"/>
    <d v="1899-12-30T01:05:44"/>
    <n v="11.49"/>
    <d v="1899-12-30T00:05:43"/>
    <n v="133"/>
    <n v="65"/>
    <n v="211"/>
    <m/>
    <n v="1.065100087032202"/>
    <s v="Saucony München 3"/>
  </r>
  <r>
    <x v="195"/>
    <m/>
    <x v="0"/>
    <m/>
    <m/>
    <s v=""/>
    <s v=""/>
    <m/>
    <m/>
    <m/>
    <m/>
    <s v=""/>
    <m/>
  </r>
  <r>
    <x v="196"/>
    <s v="110"/>
    <x v="0"/>
    <s v="GA1.14"/>
    <d v="1899-12-30T01:24:32"/>
    <n v="15.1"/>
    <d v="1899-12-30T00:05:36"/>
    <n v="131"/>
    <n v="85"/>
    <n v="214"/>
    <m/>
    <n v="1.0570783015192833"/>
    <s v="Adizero Boston"/>
  </r>
  <r>
    <x v="197"/>
    <m/>
    <x v="0"/>
    <m/>
    <m/>
    <s v=""/>
    <s v=""/>
    <m/>
    <m/>
    <m/>
    <m/>
    <s v=""/>
    <m/>
  </r>
  <r>
    <x v="198"/>
    <s v="111"/>
    <x v="0"/>
    <s v="INT6"/>
    <d v="1899-12-30T01:02:55"/>
    <n v="12.2"/>
    <d v="1899-12-30T00:05:09"/>
    <n v="148"/>
    <n v="83"/>
    <n v="225"/>
    <m/>
    <n v="1.0238367888138862"/>
    <s v="Adizero Boston"/>
  </r>
  <r>
    <x v="199"/>
    <s v="112"/>
    <x v="0"/>
    <s v="rec"/>
    <d v="1899-12-30T01:04:38"/>
    <n v="11.37"/>
    <d v="1899-12-30T00:05:41"/>
    <n v="129"/>
    <n v="64"/>
    <n v="212"/>
    <m/>
    <n v="1.0633452325521242"/>
    <s v="Saucony München 3"/>
  </r>
  <r>
    <x v="200"/>
    <m/>
    <x v="0"/>
    <m/>
    <m/>
    <s v=""/>
    <s v=""/>
    <m/>
    <m/>
    <m/>
    <m/>
    <s v=""/>
    <m/>
  </r>
  <r>
    <x v="201"/>
    <s v="113"/>
    <x v="0"/>
    <s v="4INT2k"/>
    <d v="1899-12-30T01:08:46"/>
    <n v="13.46"/>
    <d v="1899-12-30T00:05:07"/>
    <n v="149"/>
    <n v="88"/>
    <m/>
    <m/>
    <m/>
    <s v="Adizero Boston"/>
  </r>
  <r>
    <x v="202"/>
    <s v="114"/>
    <x v="0"/>
    <s v="rec"/>
    <d v="1899-12-30T01:03:17"/>
    <n v="11.21"/>
    <d v="1899-12-30T00:05:39"/>
    <n v="130"/>
    <n v="63"/>
    <n v="212"/>
    <m/>
    <n v="1.0559951723776038"/>
    <s v="Saucony München 3"/>
  </r>
  <r>
    <x v="203"/>
    <s v="115"/>
    <x v="0"/>
    <s v="GA1.18"/>
    <d v="1899-12-30T01:44:41"/>
    <n v="18.8"/>
    <d v="1899-12-30T00:05:34"/>
    <n v="134"/>
    <n v="107"/>
    <n v="215"/>
    <m/>
    <n v="1.0563321339173968"/>
    <s v="ASICS DynaFlite"/>
  </r>
  <r>
    <x v="204"/>
    <m/>
    <x v="0"/>
    <m/>
    <m/>
    <s v=""/>
    <s v=""/>
    <m/>
    <m/>
    <m/>
    <m/>
    <s v=""/>
    <m/>
  </r>
  <r>
    <x v="205"/>
    <s v="116"/>
    <x v="0"/>
    <s v="INT8"/>
    <d v="1899-12-30T01:13:28"/>
    <n v="14.47"/>
    <d v="1899-12-30T00:05:05"/>
    <n v="155"/>
    <n v="100"/>
    <n v="227"/>
    <m/>
    <n v="1.0169275173787553"/>
    <s v="Adizero Boston"/>
  </r>
  <r>
    <x v="206"/>
    <s v="117"/>
    <x v="0"/>
    <s v="rec"/>
    <d v="1899-12-30T01:04:12"/>
    <n v="11.48"/>
    <d v="1899-12-30T00:05:36"/>
    <n v="127"/>
    <n v="65"/>
    <n v="214"/>
    <m/>
    <n v="1.0559643369542939"/>
    <s v="Saucony München 3"/>
  </r>
  <r>
    <x v="207"/>
    <s v="118"/>
    <x v="0"/>
    <s v="FS"/>
    <d v="1899-12-30T01:07:36"/>
    <n v="13.73"/>
    <d v="1899-12-30T00:04:55"/>
    <n v="150"/>
    <n v="90"/>
    <n v="239"/>
    <m/>
    <n v="1.0382845636433744"/>
    <s v="Adizero Boston"/>
  </r>
  <r>
    <x v="208"/>
    <s v="119"/>
    <x v="0"/>
    <s v="rec"/>
    <d v="1899-12-30T01:02:59"/>
    <n v="11.47"/>
    <d v="1899-12-30T00:05:29"/>
    <n v="129"/>
    <n v="66"/>
    <n v="218"/>
    <m/>
    <n v="1.05623621724191"/>
    <s v="Saucony München 3"/>
  </r>
  <r>
    <x v="209"/>
    <m/>
    <x v="0"/>
    <m/>
    <m/>
    <s v=""/>
    <s v=""/>
    <m/>
    <m/>
    <m/>
    <m/>
    <s v=""/>
    <m/>
  </r>
  <r>
    <x v="210"/>
    <s v="120"/>
    <x v="0"/>
    <s v="GA1.20"/>
    <d v="1899-12-30T01:56:46"/>
    <n v="20.84"/>
    <d v="1899-12-30T00:05:36"/>
    <n v="141"/>
    <n v="118"/>
    <n v="214"/>
    <m/>
    <n v="1.0579795641865191"/>
    <s v="ASICS DynaFlite"/>
  </r>
  <r>
    <x v="211"/>
    <m/>
    <x v="0"/>
    <m/>
    <m/>
    <s v=""/>
    <s v=""/>
    <m/>
    <m/>
    <m/>
    <m/>
    <s v=""/>
    <m/>
  </r>
  <r>
    <x v="212"/>
    <s v="121"/>
    <x v="0"/>
    <s v="SL10"/>
    <d v="1899-12-30T01:11:04"/>
    <n v="13.87"/>
    <d v="1899-12-30T00:05:07"/>
    <n v="143"/>
    <n v="87"/>
    <n v="225"/>
    <m/>
    <n v="1.0172187115653759"/>
    <s v="Adizero Boston"/>
  </r>
  <r>
    <x v="213"/>
    <m/>
    <x v="0"/>
    <m/>
    <m/>
    <s v=""/>
    <s v=""/>
    <m/>
    <m/>
    <m/>
    <m/>
    <s v=""/>
    <m/>
  </r>
  <r>
    <x v="214"/>
    <s v="122"/>
    <x v="0"/>
    <s v="INT10"/>
    <d v="1899-12-30T01:35:24"/>
    <n v="18.84"/>
    <d v="1899-12-30T00:05:04"/>
    <n v="146"/>
    <n v="127"/>
    <n v="229"/>
    <m/>
    <n v="1.0231641064068939"/>
    <s v="Adizero Boston"/>
  </r>
  <r>
    <x v="215"/>
    <s v="123"/>
    <x v="0"/>
    <s v="rec"/>
    <d v="1899-12-30T01:02:23"/>
    <n v="11.4"/>
    <d v="1899-12-30T00:05:28"/>
    <n v="129"/>
    <n v="67"/>
    <n v="220"/>
    <m/>
    <n v="1.0622549019607843"/>
    <s v="Saucony München 3"/>
  </r>
  <r>
    <x v="216"/>
    <m/>
    <x v="0"/>
    <m/>
    <m/>
    <s v=""/>
    <s v=""/>
    <m/>
    <m/>
    <m/>
    <m/>
    <s v=""/>
    <m/>
  </r>
  <r>
    <x v="217"/>
    <s v="124"/>
    <x v="0"/>
    <s v="GA1.22"/>
    <d v="1899-12-30T01:42:24"/>
    <n v="18.79"/>
    <d v="1899-12-30T00:05:27"/>
    <n v="142"/>
    <n v="111"/>
    <n v="221"/>
    <m/>
    <n v="1.0626929217668974"/>
    <s v="ASICS DynaFlite"/>
  </r>
  <r>
    <x v="218"/>
    <m/>
    <x v="0"/>
    <m/>
    <m/>
    <s v=""/>
    <s v=""/>
    <m/>
    <m/>
    <m/>
    <m/>
    <s v=""/>
    <m/>
  </r>
  <r>
    <x v="219"/>
    <s v="125"/>
    <x v="0"/>
    <s v="rec"/>
    <d v="1899-12-30T00:53:33"/>
    <n v="9.51"/>
    <d v="1899-12-30T00:05:38"/>
    <n v="124"/>
    <n v="55"/>
    <n v="215"/>
    <m/>
    <n v="1.0682176656151421"/>
    <s v="Saucony München 3"/>
  </r>
  <r>
    <x v="220"/>
    <s v="126"/>
    <x v="0"/>
    <s v="rec"/>
    <d v="1899-12-30T00:53:50"/>
    <n v="9.5399999999999991"/>
    <d v="1899-12-30T00:05:39"/>
    <n v="122"/>
    <n v="54"/>
    <n v="214"/>
    <m/>
    <n v="1.0655136268343817"/>
    <s v="Saucony München 3"/>
  </r>
  <r>
    <x v="221"/>
    <m/>
    <x v="0"/>
    <m/>
    <m/>
    <s v=""/>
    <s v=""/>
    <m/>
    <m/>
    <m/>
    <m/>
    <s v=""/>
    <m/>
  </r>
  <r>
    <x v="222"/>
    <s v="127"/>
    <x v="0"/>
    <s v="GA2"/>
    <d v="1899-12-30T01:04:47"/>
    <n v="13.2"/>
    <d v="1899-12-30T00:04:54"/>
    <n v="140"/>
    <n v="87"/>
    <n v="243"/>
    <m/>
    <n v="1.0522961229946526"/>
    <s v="Saucony München 3"/>
  </r>
  <r>
    <x v="223"/>
    <s v="128"/>
    <x v="0"/>
    <s v="GA1.14"/>
    <d v="1899-12-30T01:20:42"/>
    <n v="14.4"/>
    <d v="1899-12-30T00:05:36"/>
    <n v="129"/>
    <n v="82"/>
    <n v="215"/>
    <m/>
    <n v="1.063143382352941"/>
    <s v="Saucony München 3"/>
  </r>
  <r>
    <x v="224"/>
    <m/>
    <x v="0"/>
    <m/>
    <m/>
    <m/>
    <m/>
    <m/>
    <m/>
    <m/>
    <m/>
    <m/>
    <m/>
  </r>
  <r>
    <x v="225"/>
    <m/>
    <x v="0"/>
    <m/>
    <m/>
    <s v=""/>
    <s v=""/>
    <m/>
    <m/>
    <m/>
    <m/>
    <s v=""/>
    <m/>
  </r>
  <r>
    <x v="226"/>
    <s v="129"/>
    <x v="0"/>
    <s v="SL10"/>
    <d v="1899-12-30T00:48:26"/>
    <n v="10.199999999999999"/>
    <d v="1899-12-30T00:04:45"/>
    <n v="154"/>
    <n v="64"/>
    <n v="243"/>
    <m/>
    <n v="1.0333011413520634"/>
    <s v="Adizero Boston"/>
  </r>
  <r>
    <x v="227"/>
    <s v="130"/>
    <x v="0"/>
    <s v="rec"/>
    <d v="1899-12-30T01:07:03"/>
    <n v="11.64"/>
    <d v="1899-12-30T00:05:46"/>
    <n v="131"/>
    <n v="64"/>
    <n v="207"/>
    <m/>
    <n v="1.0678065856285581"/>
    <s v="Saucony München 3"/>
  </r>
  <r>
    <x v="228"/>
    <s v="131"/>
    <x v="0"/>
    <s v="4INT2k"/>
    <d v="1899-12-30T00:55:12"/>
    <n v="11.91"/>
    <d v="1899-12-30T00:04:38"/>
    <n v="150"/>
    <n v="80"/>
    <n v="246"/>
    <m/>
    <n v="1.0210308658220235"/>
    <s v="Adizero Boston"/>
  </r>
  <r>
    <x v="229"/>
    <s v="132"/>
    <x v="0"/>
    <s v="rec"/>
    <d v="1899-12-30T00:56:45"/>
    <n v="10.4"/>
    <d v="1899-12-30T00:05:27"/>
    <n v="122"/>
    <n v="57"/>
    <n v="215"/>
    <m/>
    <n v="1.0506242824339838"/>
    <s v="Saucony München 3"/>
  </r>
  <r>
    <x v="230"/>
    <m/>
    <x v="0"/>
    <m/>
    <m/>
    <s v=""/>
    <s v=""/>
    <m/>
    <m/>
    <m/>
    <m/>
    <s v=""/>
    <m/>
  </r>
  <r>
    <x v="231"/>
    <s v="133"/>
    <x v="0"/>
    <s v="GA1.18"/>
    <d v="1899-12-30T01:50:23"/>
    <n v="19.899999999999999"/>
    <d v="1899-12-30T00:05:33"/>
    <n v="141"/>
    <n v="112"/>
    <n v="213"/>
    <m/>
    <n v="1.0580507012675318"/>
    <s v="ASICS DynaFlite"/>
  </r>
  <r>
    <x v="232"/>
    <m/>
    <x v="0"/>
    <m/>
    <m/>
    <s v=""/>
    <s v=""/>
    <m/>
    <m/>
    <m/>
    <m/>
    <s v=""/>
    <m/>
  </r>
  <r>
    <x v="233"/>
    <s v="134"/>
    <x v="0"/>
    <s v="FS"/>
    <d v="1899-12-30T01:10:31"/>
    <n v="14.3"/>
    <d v="1899-12-30T00:04:56"/>
    <n v="141"/>
    <n v="93"/>
    <n v="234"/>
    <m/>
    <n v="1.0333514246947084"/>
    <s v="Adizero Boston"/>
  </r>
  <r>
    <x v="234"/>
    <s v="135"/>
    <x v="0"/>
    <s v="rec"/>
    <d v="1899-12-30T01:05:15"/>
    <n v="11.6"/>
    <d v="1899-12-30T00:05:37"/>
    <n v="123"/>
    <n v="63"/>
    <n v="210"/>
    <m/>
    <n v="1.0578358208955225"/>
    <s v="Saucony München 3"/>
  </r>
  <r>
    <x v="235"/>
    <s v="136"/>
    <x v="0"/>
    <s v="SL12"/>
    <d v="1899-12-30T00:55:54"/>
    <n v="12.86"/>
    <d v="1899-12-30T00:04:21"/>
    <n v="155"/>
    <n v="85"/>
    <n v="262"/>
    <m/>
    <n v="1.0198788328961723"/>
    <s v="Adizero Boston"/>
  </r>
  <r>
    <x v="236"/>
    <s v="137"/>
    <x v="0"/>
    <s v="rec"/>
    <d v="1899-12-30T01:04:35"/>
    <n v="11.6"/>
    <d v="1899-12-30T00:05:34"/>
    <n v="128"/>
    <n v="65"/>
    <n v="214"/>
    <m/>
    <n v="1.0669711785898095"/>
    <s v="Saucony München 3"/>
  </r>
  <r>
    <x v="237"/>
    <s v="138"/>
    <x v="0"/>
    <s v="GA1.20"/>
    <d v="1899-12-30T01:44:04"/>
    <n v="20"/>
    <d v="1899-12-30T00:05:12"/>
    <n v="135"/>
    <n v="119"/>
    <n v="225"/>
    <m/>
    <n v="1.0484328358208956"/>
    <s v="ASICS DynaFlite"/>
  </r>
  <r>
    <x v="238"/>
    <m/>
    <x v="0"/>
    <m/>
    <m/>
    <s v=""/>
    <s v=""/>
    <m/>
    <m/>
    <m/>
    <m/>
    <s v=""/>
    <m/>
  </r>
  <r>
    <x v="239"/>
    <s v="139"/>
    <x v="0"/>
    <s v="PYR3"/>
    <d v="1899-12-30T01:12:41"/>
    <n v="15"/>
    <d v="1899-12-30T00:04:51"/>
    <n v="149"/>
    <n v="100"/>
    <n v="236"/>
    <m/>
    <n v="1.0240756218905471"/>
    <s v="Adizero Boston"/>
  </r>
  <r>
    <x v="240"/>
    <m/>
    <x v="0"/>
    <m/>
    <m/>
    <s v=""/>
    <s v=""/>
    <m/>
    <m/>
    <m/>
    <m/>
    <s v=""/>
    <m/>
  </r>
  <r>
    <x v="241"/>
    <s v="140"/>
    <x v="0"/>
    <s v="rec"/>
    <d v="1899-12-30T01:05:37"/>
    <n v="11.6"/>
    <d v="1899-12-30T00:05:39"/>
    <n v="127"/>
    <n v="64"/>
    <n v="210"/>
    <m/>
    <n v="1.0637802367472982"/>
    <s v="Saucony München 3"/>
  </r>
  <r>
    <x v="242"/>
    <m/>
    <x v="0"/>
    <m/>
    <m/>
    <s v=""/>
    <s v=""/>
    <m/>
    <m/>
    <m/>
    <m/>
    <s v=""/>
    <m/>
  </r>
  <r>
    <x v="243"/>
    <s v="141"/>
    <x v="0"/>
    <s v="SL14"/>
    <d v="1899-12-30T01:29:35"/>
    <n v="19.2"/>
    <d v="1899-12-30T00:04:40"/>
    <n v="151"/>
    <n v="125"/>
    <n v="246"/>
    <m/>
    <n v="1.0278684701492538"/>
    <s v="Adizero Boston"/>
  </r>
  <r>
    <x v="244"/>
    <s v="142"/>
    <x v="0"/>
    <s v="rec"/>
    <d v="1899-12-30T00:55:04"/>
    <n v="10.1"/>
    <d v="1899-12-30T00:05:27"/>
    <n v="132"/>
    <n v="59"/>
    <n v="216"/>
    <m/>
    <n v="1.0546239101522095"/>
    <s v="Saucony München 3"/>
  </r>
  <r>
    <x v="245"/>
    <s v="143"/>
    <x v="0"/>
    <s v="GA1.22"/>
    <d v="1899-12-30T02:06:57"/>
    <n v="23.4"/>
    <d v="1899-12-30T00:05:26"/>
    <n v="134"/>
    <n v="131"/>
    <n v="216"/>
    <m/>
    <n v="1.049414466130884"/>
    <s v="Saucony München 3"/>
  </r>
  <r>
    <x v="246"/>
    <m/>
    <x v="0"/>
    <m/>
    <m/>
    <s v=""/>
    <s v=""/>
    <m/>
    <m/>
    <m/>
    <m/>
    <s v=""/>
    <m/>
  </r>
  <r>
    <x v="247"/>
    <m/>
    <x v="0"/>
    <m/>
    <m/>
    <s v=""/>
    <s v=""/>
    <m/>
    <m/>
    <m/>
    <m/>
    <s v=""/>
    <m/>
  </r>
  <r>
    <x v="248"/>
    <s v="144"/>
    <x v="0"/>
    <s v="rec"/>
    <d v="1899-12-30T01:04:16"/>
    <n v="11.6"/>
    <d v="1899-12-30T00:05:32"/>
    <n v="126"/>
    <n v="64"/>
    <n v="213"/>
    <m/>
    <n v="1.0567781780751415"/>
    <s v="Saucony München 3"/>
  </r>
  <r>
    <x v="249"/>
    <m/>
    <x v="0"/>
    <m/>
    <m/>
    <s v=""/>
    <s v=""/>
    <m/>
    <m/>
    <m/>
    <m/>
    <s v=""/>
    <m/>
  </r>
  <r>
    <x v="250"/>
    <s v="145"/>
    <x v="0"/>
    <s v="HMRT4"/>
    <d v="1899-12-30T00:51:17"/>
    <n v="10"/>
    <d v="1899-12-30T00:05:08"/>
    <n v="140"/>
    <n v="63"/>
    <n v="227"/>
    <m/>
    <n v="1.0425059701492536"/>
    <s v="Adizero Boston"/>
  </r>
  <r>
    <x v="251"/>
    <s v="146"/>
    <x v="0"/>
    <s v="GA1.14"/>
    <d v="1899-12-30T01:05:06"/>
    <n v="11.6"/>
    <d v="1899-12-30T00:05:37"/>
    <n v="132"/>
    <n v="65"/>
    <n v="211"/>
    <m/>
    <n v="1.0604297478126608"/>
    <s v="Saucony München 3"/>
  </r>
  <r>
    <x v="252"/>
    <m/>
    <x v="0"/>
    <m/>
    <m/>
    <s v=""/>
    <s v=""/>
    <m/>
    <m/>
    <m/>
    <m/>
    <s v=""/>
    <m/>
  </r>
  <r>
    <x v="253"/>
    <s v="147"/>
    <x v="0"/>
    <s v="REP6"/>
    <d v="1899-12-30T00:29:36"/>
    <n v="5.4"/>
    <d v="1899-12-30T00:05:29"/>
    <n v="139"/>
    <n v="36"/>
    <n v="211"/>
    <m/>
    <n v="1.0357545605306799"/>
    <s v="Adizero Boston"/>
  </r>
  <r>
    <x v="254"/>
    <m/>
    <x v="0"/>
    <m/>
    <m/>
    <s v=""/>
    <s v=""/>
    <m/>
    <m/>
    <m/>
    <m/>
    <s v=""/>
    <m/>
  </r>
  <r>
    <x v="255"/>
    <s v="148"/>
    <x v="0"/>
    <s v="GA1.6"/>
    <d v="1899-12-30T00:40:20"/>
    <n v="6.9"/>
    <d v="1899-12-30T00:05:51"/>
    <n v="131"/>
    <n v="37"/>
    <n v="203"/>
    <m/>
    <n v="1.062643305213065"/>
    <s v="Adizero Boston"/>
  </r>
  <r>
    <x v="256"/>
    <m/>
    <x v="0"/>
    <m/>
    <m/>
    <s v=""/>
    <s v=""/>
    <m/>
    <m/>
    <m/>
    <m/>
    <s v=""/>
    <m/>
  </r>
  <r>
    <x v="257"/>
    <m/>
    <x v="0"/>
    <m/>
    <m/>
    <s v=""/>
    <s v=""/>
    <m/>
    <m/>
    <m/>
    <m/>
    <s v=""/>
    <m/>
  </r>
  <r>
    <x v="258"/>
    <s v="149"/>
    <x v="1"/>
    <s v="WK"/>
    <d v="1899-12-30T01:32:27"/>
    <n v="21.094999999999999"/>
    <d v="1899-12-30T00:04:23"/>
    <n v="164"/>
    <n v="142"/>
    <n v="266"/>
    <m/>
    <n v="1.0439638734509487"/>
    <s v="Adizero Boston"/>
  </r>
  <r>
    <x v="259"/>
    <m/>
    <x v="0"/>
    <m/>
    <m/>
    <m/>
    <s v=""/>
    <m/>
    <m/>
    <m/>
    <m/>
    <s v=""/>
    <m/>
  </r>
  <r>
    <x v="260"/>
    <m/>
    <x v="0"/>
    <m/>
    <m/>
    <s v=""/>
    <s v=""/>
    <m/>
    <m/>
    <m/>
    <m/>
    <s v=""/>
    <m/>
  </r>
  <r>
    <x v="261"/>
    <m/>
    <x v="0"/>
    <m/>
    <m/>
    <s v=""/>
    <s v=""/>
    <m/>
    <m/>
    <m/>
    <m/>
    <s v=""/>
    <m/>
  </r>
  <r>
    <x v="262"/>
    <m/>
    <x v="0"/>
    <m/>
    <m/>
    <s v=""/>
    <s v=""/>
    <m/>
    <m/>
    <m/>
    <m/>
    <s v=""/>
    <m/>
  </r>
  <r>
    <x v="263"/>
    <s v="150"/>
    <x v="0"/>
    <s v="rec"/>
    <d v="1899-12-30T01:04:00"/>
    <n v="11.51"/>
    <d v="1899-12-30T00:05:34"/>
    <n v="138"/>
    <n v="67"/>
    <n v="215"/>
    <m/>
    <n v="1.0705810651347953"/>
    <s v="Saucony München 3"/>
  </r>
  <r>
    <x v="264"/>
    <m/>
    <x v="0"/>
    <m/>
    <m/>
    <m/>
    <m/>
    <m/>
    <m/>
    <m/>
    <m/>
    <s v=""/>
    <m/>
  </r>
  <r>
    <x v="265"/>
    <s v="151"/>
    <x v="0"/>
    <s v="GA2.10"/>
    <d v="1899-12-30T00:54:18"/>
    <n v="9.9700000000000006"/>
    <d v="1899-12-30T00:05:27"/>
    <n v="135"/>
    <n v="64"/>
    <n v="221"/>
    <m/>
    <n v="1.0778873935238549"/>
    <s v="Saucony München 3"/>
  </r>
  <r>
    <x v="266"/>
    <m/>
    <x v="0"/>
    <m/>
    <m/>
    <s v=""/>
    <s v=""/>
    <m/>
    <m/>
    <m/>
    <m/>
    <s v=""/>
    <m/>
  </r>
  <r>
    <x v="267"/>
    <m/>
    <x v="0"/>
    <m/>
    <m/>
    <s v=""/>
    <s v=""/>
    <m/>
    <m/>
    <m/>
    <m/>
    <s v=""/>
    <m/>
  </r>
  <r>
    <x v="268"/>
    <m/>
    <x v="0"/>
    <m/>
    <m/>
    <s v=""/>
    <s v=""/>
    <m/>
    <m/>
    <m/>
    <m/>
    <s v=""/>
    <m/>
  </r>
  <r>
    <x v="269"/>
    <s v="152"/>
    <x v="0"/>
    <s v="rec"/>
    <d v="1899-12-30T00:56:36"/>
    <n v="10.7"/>
    <d v="1899-12-30T00:05:17"/>
    <n v="137"/>
    <n v="65"/>
    <m/>
    <m/>
    <m/>
    <s v="Saucony München 3"/>
  </r>
  <r>
    <x v="270"/>
    <m/>
    <x v="0"/>
    <m/>
    <m/>
    <s v=""/>
    <s v=""/>
    <m/>
    <m/>
    <m/>
    <m/>
    <s v=""/>
    <m/>
  </r>
  <r>
    <x v="271"/>
    <s v="153"/>
    <x v="0"/>
    <s v="GA1.10"/>
    <d v="1899-12-30T00:53:17"/>
    <n v="9.56"/>
    <d v="1899-12-30T00:05:34"/>
    <n v="137"/>
    <n v="55"/>
    <n v="213"/>
    <m/>
    <n v="1.0631377630675074"/>
    <s v="Saucony München 3"/>
  </r>
  <r>
    <x v="272"/>
    <m/>
    <x v="0"/>
    <m/>
    <m/>
    <m/>
    <m/>
    <m/>
    <m/>
    <m/>
    <m/>
    <s v=""/>
    <m/>
  </r>
  <r>
    <x v="273"/>
    <m/>
    <x v="0"/>
    <m/>
    <m/>
    <s v=""/>
    <s v=""/>
    <m/>
    <m/>
    <m/>
    <m/>
    <s v=""/>
    <m/>
  </r>
  <r>
    <x v="274"/>
    <s v="154"/>
    <x v="0"/>
    <s v="GA1.10"/>
    <d v="1899-12-30T00:53:11"/>
    <n v="9.5500000000000007"/>
    <d v="1899-12-30T00:05:34"/>
    <n v="132"/>
    <n v="56"/>
    <n v="213"/>
    <m/>
    <n v="1.0622536531999687"/>
    <s v="Saucony München 3"/>
  </r>
  <r>
    <x v="275"/>
    <m/>
    <x v="0"/>
    <m/>
    <m/>
    <s v=""/>
    <s v=""/>
    <m/>
    <m/>
    <m/>
    <m/>
    <s v=""/>
    <m/>
  </r>
  <r>
    <x v="276"/>
    <s v="155"/>
    <x v="0"/>
    <s v="SL"/>
    <d v="1899-12-30T00:35:21"/>
    <n v="7.77"/>
    <d v="1899-12-30T00:04:01"/>
    <m/>
    <n v="50"/>
    <n v="278"/>
    <m/>
    <n v="0.99997014925373129"/>
    <s v="Adizero Boston"/>
  </r>
  <r>
    <x v="277"/>
    <m/>
    <x v="0"/>
    <m/>
    <m/>
    <s v=""/>
    <s v=""/>
    <m/>
    <m/>
    <m/>
    <m/>
    <s v=""/>
    <m/>
  </r>
  <r>
    <x v="278"/>
    <s v="156"/>
    <x v="0"/>
    <s v="GA1.10"/>
    <d v="1899-12-30T00:55:50"/>
    <n v="10"/>
    <d v="1899-12-30T00:05:35"/>
    <n v="134"/>
    <n v="59"/>
    <n v="213"/>
    <m/>
    <n v="1.0650000000000002"/>
    <s v="Saucony München 3"/>
  </r>
  <r>
    <x v="279"/>
    <m/>
    <x v="0"/>
    <m/>
    <m/>
    <m/>
    <s v=""/>
    <m/>
    <m/>
    <m/>
    <m/>
    <s v=""/>
    <m/>
  </r>
  <r>
    <x v="280"/>
    <s v="157"/>
    <x v="0"/>
    <s v="GA2.10"/>
    <d v="1899-12-30T00:54:27"/>
    <n v="9.91"/>
    <d v="1899-12-30T00:05:30"/>
    <n v="138"/>
    <n v="65"/>
    <n v="221"/>
    <m/>
    <n v="1.0874090696868837"/>
    <s v="Saucony München 3"/>
  </r>
  <r>
    <x v="281"/>
    <m/>
    <x v="0"/>
    <m/>
    <m/>
    <s v=""/>
    <s v=""/>
    <m/>
    <m/>
    <m/>
    <m/>
    <s v=""/>
    <m/>
  </r>
  <r>
    <x v="282"/>
    <s v="158"/>
    <x v="0"/>
    <s v="GA1.8"/>
    <d v="1899-12-30T00:46:34"/>
    <n v="8.57"/>
    <d v="1899-12-30T00:05:26"/>
    <n v="137"/>
    <n v="52"/>
    <n v="220"/>
    <m/>
    <n v="1.0705167279123637"/>
    <s v="Saucony München 3"/>
  </r>
  <r>
    <x v="283"/>
    <m/>
    <x v="0"/>
    <m/>
    <m/>
    <s v=""/>
    <s v=""/>
    <m/>
    <m/>
    <m/>
    <m/>
    <s v=""/>
    <m/>
  </r>
  <r>
    <x v="284"/>
    <s v="159"/>
    <x v="0"/>
    <s v="rec"/>
    <d v="1899-12-30T00:58:33"/>
    <n v="10.7"/>
    <d v="1899-12-30T00:05:28"/>
    <n v="140"/>
    <n v="64"/>
    <n v="217"/>
    <m/>
    <n v="1.063357511507881"/>
    <s v="ASICS DynaFlite"/>
  </r>
  <r>
    <x v="285"/>
    <m/>
    <x v="0"/>
    <m/>
    <m/>
    <s v=""/>
    <s v=""/>
    <m/>
    <m/>
    <m/>
    <m/>
    <s v=""/>
    <m/>
  </r>
  <r>
    <x v="286"/>
    <s v="160"/>
    <x v="0"/>
    <s v="GA2.10"/>
    <d v="1899-12-30T00:50:01"/>
    <n v="9.7100000000000009"/>
    <d v="1899-12-30T00:05:09"/>
    <n v="141"/>
    <n v="63"/>
    <n v="233"/>
    <m/>
    <n v="1.0748005595093533"/>
    <s v="Saucony München 3"/>
  </r>
  <r>
    <x v="287"/>
    <m/>
    <x v="0"/>
    <m/>
    <m/>
    <s v=""/>
    <s v=""/>
    <m/>
    <m/>
    <m/>
    <m/>
    <s v=""/>
    <m/>
  </r>
  <r>
    <x v="288"/>
    <s v="161"/>
    <x v="0"/>
    <s v="GA1.8"/>
    <d v="1899-12-30T00:47:29"/>
    <n v="8.09"/>
    <d v="1899-12-30T00:05:52"/>
    <n v="124"/>
    <n v="45"/>
    <n v="202"/>
    <m/>
    <n v="1.0617456598343264"/>
    <s v="Saucony München 3"/>
  </r>
  <r>
    <x v="289"/>
    <m/>
    <x v="0"/>
    <m/>
    <m/>
    <s v=""/>
    <s v=""/>
    <m/>
    <m/>
    <m/>
    <m/>
    <s v=""/>
    <m/>
  </r>
  <r>
    <x v="290"/>
    <s v="162"/>
    <x v="0"/>
    <s v="rec"/>
    <d v="1899-12-30T01:02:44"/>
    <n v="11.5"/>
    <d v="1899-12-30T00:05:27"/>
    <n v="135"/>
    <n v="70"/>
    <n v="219"/>
    <m/>
    <n v="1.0698455548345231"/>
    <s v="Adizero Boston"/>
  </r>
  <r>
    <x v="291"/>
    <m/>
    <x v="0"/>
    <m/>
    <m/>
    <s v=""/>
    <s v=""/>
    <m/>
    <m/>
    <m/>
    <m/>
    <s v=""/>
    <m/>
  </r>
  <r>
    <x v="292"/>
    <s v="163"/>
    <x v="0"/>
    <s v="rec"/>
    <d v="1899-12-30T01:04:04"/>
    <n v="11.49"/>
    <d v="1899-12-30T00:05:35"/>
    <n v="133"/>
    <n v="68"/>
    <n v="215"/>
    <m/>
    <n v="1.0735616954392528"/>
    <s v="Saucony München 3"/>
  </r>
  <r>
    <x v="293"/>
    <m/>
    <x v="0"/>
    <m/>
    <m/>
    <s v=""/>
    <s v=""/>
    <m/>
    <m/>
    <m/>
    <m/>
    <s v=""/>
    <m/>
  </r>
  <r>
    <x v="294"/>
    <s v="164"/>
    <x v="0"/>
    <s v="GA2.12"/>
    <d v="1899-12-30T00:59:15"/>
    <n v="11.3"/>
    <d v="1899-12-30T00:05:15"/>
    <n v="138"/>
    <n v="72"/>
    <n v="228"/>
    <m/>
    <n v="1.0705851274600449"/>
    <s v="Saucony München 3"/>
  </r>
  <r>
    <x v="295"/>
    <m/>
    <x v="0"/>
    <m/>
    <m/>
    <s v=""/>
    <s v=""/>
    <m/>
    <m/>
    <m/>
    <m/>
    <s v=""/>
    <m/>
  </r>
  <r>
    <x v="296"/>
    <s v="165"/>
    <x v="0"/>
    <s v="rec"/>
    <d v="1899-12-30T00:58:31"/>
    <n v="10.7"/>
    <d v="1899-12-30T00:05:28"/>
    <n v="131"/>
    <n v="66"/>
    <n v="218"/>
    <m/>
    <n v="1.0676496024550148"/>
    <s v="Saucony München 3"/>
  </r>
  <r>
    <x v="297"/>
    <m/>
    <x v="0"/>
    <m/>
    <m/>
    <s v=""/>
    <s v=""/>
    <m/>
    <m/>
    <m/>
    <m/>
    <s v=""/>
    <m/>
  </r>
  <r>
    <x v="298"/>
    <m/>
    <x v="0"/>
    <m/>
    <m/>
    <s v=""/>
    <s v=""/>
    <m/>
    <m/>
    <m/>
    <m/>
    <s v=""/>
    <m/>
  </r>
  <r>
    <x v="299"/>
    <m/>
    <x v="0"/>
    <m/>
    <m/>
    <s v=""/>
    <s v=""/>
    <m/>
    <m/>
    <m/>
    <m/>
    <s v=""/>
    <m/>
  </r>
  <r>
    <x v="300"/>
    <m/>
    <x v="0"/>
    <m/>
    <m/>
    <s v=""/>
    <s v=""/>
    <m/>
    <m/>
    <m/>
    <m/>
    <s v=""/>
    <m/>
  </r>
  <r>
    <x v="301"/>
    <s v="166"/>
    <x v="0"/>
    <s v="rec"/>
    <d v="1899-12-30T00:42:59"/>
    <n v="7.65"/>
    <d v="1899-12-30T00:05:37"/>
    <m/>
    <n v="46"/>
    <n v="211"/>
    <m/>
    <n v="1.0616895912593891"/>
    <s v="ASICS DynaFlite"/>
  </r>
  <r>
    <x v="302"/>
    <m/>
    <x v="0"/>
    <m/>
    <m/>
    <s v=""/>
    <s v=""/>
    <m/>
    <m/>
    <m/>
    <m/>
    <s v=""/>
    <m/>
  </r>
  <r>
    <x v="303"/>
    <s v="167"/>
    <x v="0"/>
    <s v="rec"/>
    <d v="1899-12-30T01:04:00"/>
    <n v="11.34"/>
    <d v="1899-12-30T00:05:39"/>
    <n v="134"/>
    <n v="68"/>
    <n v="211"/>
    <m/>
    <n v="1.06641396193635"/>
    <s v="Saucony München 3"/>
  </r>
  <r>
    <x v="304"/>
    <m/>
    <x v="0"/>
    <m/>
    <m/>
    <s v=""/>
    <s v=""/>
    <m/>
    <m/>
    <m/>
    <m/>
    <s v=""/>
    <m/>
  </r>
  <r>
    <x v="305"/>
    <s v="168"/>
    <x v="0"/>
    <s v="rec"/>
    <d v="1899-12-30T01:00:05"/>
    <n v="10.6"/>
    <d v="1899-12-30T00:05:40"/>
    <n v="134"/>
    <n v="62"/>
    <n v="212"/>
    <m/>
    <n v="1.0761194029850745"/>
    <s v="Saucony München 3"/>
  </r>
  <r>
    <x v="306"/>
    <m/>
    <x v="0"/>
    <m/>
    <m/>
    <s v=""/>
    <s v=""/>
    <m/>
    <m/>
    <m/>
    <m/>
    <s v=""/>
    <m/>
  </r>
  <r>
    <x v="307"/>
    <s v="169"/>
    <x v="0"/>
    <s v="GA2.10"/>
    <d v="1899-12-30T00:55:38"/>
    <n v="7.81"/>
    <d v="1899-12-30T00:07:07"/>
    <n v="141"/>
    <n v="58"/>
    <n v="194"/>
    <m/>
    <m/>
    <s v="Saucony München 3"/>
  </r>
  <r>
    <x v="308"/>
    <m/>
    <x v="0"/>
    <m/>
    <m/>
    <s v=""/>
    <s v=""/>
    <m/>
    <m/>
    <m/>
    <m/>
    <s v=""/>
    <m/>
  </r>
  <r>
    <x v="309"/>
    <m/>
    <x v="0"/>
    <m/>
    <m/>
    <s v=""/>
    <s v=""/>
    <m/>
    <m/>
    <m/>
    <m/>
    <s v=""/>
    <m/>
  </r>
  <r>
    <x v="310"/>
    <s v="170"/>
    <x v="0"/>
    <s v="CP"/>
    <d v="1899-12-30T00:58:38"/>
    <n v="10.6"/>
    <d v="1899-12-30T00:05:32"/>
    <n v="139"/>
    <n v="69"/>
    <n v="209"/>
    <m/>
    <n v="1.0352886510842016"/>
    <s v="Adizero Boston"/>
  </r>
  <r>
    <x v="311"/>
    <m/>
    <x v="0"/>
    <m/>
    <m/>
    <m/>
    <m/>
    <m/>
    <m/>
    <m/>
    <m/>
    <m/>
    <m/>
  </r>
  <r>
    <x v="312"/>
    <m/>
    <x v="0"/>
    <m/>
    <m/>
    <m/>
    <m/>
    <m/>
    <m/>
    <m/>
    <m/>
    <m/>
    <m/>
  </r>
  <r>
    <x v="313"/>
    <s v="171"/>
    <x v="0"/>
    <s v="GA2.10"/>
    <d v="1899-12-30T00:53:57"/>
    <n v="10.4"/>
    <d v="1899-12-30T00:05:11"/>
    <n v="143"/>
    <n v="66"/>
    <n v="230"/>
    <m/>
    <n v="1.0684701492537314"/>
    <s v="Saucony München 3"/>
  </r>
  <r>
    <x v="314"/>
    <m/>
    <x v="0"/>
    <m/>
    <m/>
    <s v=""/>
    <s v=""/>
    <m/>
    <m/>
    <m/>
    <m/>
    <s v=""/>
    <m/>
  </r>
  <r>
    <x v="315"/>
    <s v="172"/>
    <x v="0"/>
    <s v="GA1.14"/>
    <d v="1899-12-30T01:12:25"/>
    <n v="13.5"/>
    <d v="1899-12-30T00:05:22"/>
    <n v="139"/>
    <n v="83"/>
    <n v="221"/>
    <m/>
    <n v="1.0616307352128247"/>
    <s v="ASICS DynaFlite"/>
  </r>
  <r>
    <x v="316"/>
    <m/>
    <x v="0"/>
    <m/>
    <m/>
    <s v=""/>
    <s v=""/>
    <m/>
    <m/>
    <m/>
    <m/>
    <s v=""/>
    <m/>
  </r>
  <r>
    <x v="317"/>
    <s v="173"/>
    <x v="0"/>
    <s v="REP6"/>
    <d v="1899-12-30T00:49:58"/>
    <n v="8.98"/>
    <d v="1899-12-30T00:05:34"/>
    <n v="138"/>
    <n v="58"/>
    <n v="215"/>
    <m/>
    <n v="1.0713193497988898"/>
    <s v="Adizero Boston"/>
  </r>
  <r>
    <x v="318"/>
    <s v="174"/>
    <x v="0"/>
    <s v="rec"/>
    <d v="1899-12-30T00:53:45"/>
    <n v="9.74"/>
    <d v="1899-12-30T00:05:31"/>
    <n v="139"/>
    <n v="59"/>
    <n v="216"/>
    <m/>
    <n v="1.0674553311471391"/>
    <s v="Saucony München 3"/>
  </r>
  <r>
    <x v="319"/>
    <m/>
    <x v="0"/>
    <m/>
    <m/>
    <s v=""/>
    <s v=""/>
    <m/>
    <m/>
    <m/>
    <m/>
    <s v=""/>
    <m/>
  </r>
  <r>
    <x v="320"/>
    <s v="175"/>
    <x v="0"/>
    <s v="rec"/>
    <d v="1899-12-30T00:57:08"/>
    <n v="9.9700000000000006"/>
    <d v="1899-12-30T00:05:44"/>
    <n v="134"/>
    <n v="58"/>
    <n v="209"/>
    <m/>
    <n v="1.072548990254345"/>
    <s v="Saucony München 3"/>
  </r>
  <r>
    <x v="321"/>
    <m/>
    <x v="0"/>
    <m/>
    <m/>
    <s v=""/>
    <s v=""/>
    <m/>
    <m/>
    <m/>
    <m/>
    <s v=""/>
    <m/>
  </r>
  <r>
    <x v="322"/>
    <s v="176"/>
    <x v="0"/>
    <s v="GA1.16"/>
    <d v="1899-12-30T01:30:24"/>
    <n v="16.899999999999999"/>
    <d v="1899-12-30T00:05:21"/>
    <n v="142"/>
    <n v="105"/>
    <n v="223"/>
    <m/>
    <n v="1.0682257352291795"/>
    <s v="ASICS DynaFlite"/>
  </r>
  <r>
    <x v="323"/>
    <m/>
    <x v="0"/>
    <m/>
    <m/>
    <s v=""/>
    <s v=""/>
    <m/>
    <m/>
    <m/>
    <m/>
    <s v=""/>
    <m/>
  </r>
  <r>
    <x v="324"/>
    <m/>
    <x v="0"/>
    <m/>
    <m/>
    <s v=""/>
    <s v=""/>
    <m/>
    <m/>
    <m/>
    <m/>
    <s v=""/>
    <m/>
  </r>
  <r>
    <x v="325"/>
    <s v="177"/>
    <x v="0"/>
    <s v="rec"/>
    <d v="1899-12-30T01:01:17"/>
    <n v="11.3"/>
    <d v="1899-12-30T00:05:25"/>
    <n v="140"/>
    <n v="70"/>
    <n v="222"/>
    <m/>
    <n v="1.0781851802932241"/>
    <s v="Saucony München 3"/>
  </r>
  <r>
    <x v="326"/>
    <m/>
    <x v="0"/>
    <m/>
    <m/>
    <s v=""/>
    <s v=""/>
    <m/>
    <m/>
    <m/>
    <m/>
    <s v=""/>
    <m/>
  </r>
  <r>
    <x v="327"/>
    <m/>
    <x v="0"/>
    <m/>
    <m/>
    <s v=""/>
    <s v=""/>
    <m/>
    <m/>
    <m/>
    <m/>
    <s v=""/>
    <m/>
  </r>
  <r>
    <x v="328"/>
    <s v="178"/>
    <x v="0"/>
    <s v="rec"/>
    <d v="1899-12-30T01:01:58"/>
    <n v="11.2"/>
    <d v="1899-12-30T00:05:32"/>
    <n v="142"/>
    <n v="65"/>
    <m/>
    <m/>
    <m/>
    <s v="Saucony München 3"/>
  </r>
  <r>
    <x v="329"/>
    <m/>
    <x v="0"/>
    <m/>
    <m/>
    <s v=""/>
    <s v=""/>
    <m/>
    <m/>
    <m/>
    <m/>
    <s v=""/>
    <m/>
  </r>
  <r>
    <x v="330"/>
    <m/>
    <x v="0"/>
    <m/>
    <m/>
    <s v=""/>
    <s v=""/>
    <m/>
    <m/>
    <m/>
    <m/>
    <s v=""/>
    <m/>
  </r>
  <r>
    <x v="331"/>
    <s v="179"/>
    <x v="0"/>
    <s v="REP6"/>
    <d v="1899-12-30T00:48:08"/>
    <n v="8.1999999999999993"/>
    <d v="1899-12-30T00:05:52"/>
    <n v="139"/>
    <n v="53"/>
    <n v="205"/>
    <m/>
    <n v="1.0776119402985076"/>
    <s v="Adizero Boston"/>
  </r>
  <r>
    <x v="332"/>
    <s v="180"/>
    <x v="0"/>
    <s v="rec"/>
    <d v="1899-12-30T00:59:51"/>
    <n v="11.1"/>
    <d v="1899-12-30T00:05:24"/>
    <n v="138"/>
    <n v="68"/>
    <n v="222"/>
    <m/>
    <n v="1.0719402985074629"/>
    <s v="Saucony München 3"/>
  </r>
  <r>
    <x v="333"/>
    <m/>
    <x v="0"/>
    <m/>
    <m/>
    <s v=""/>
    <s v=""/>
    <m/>
    <m/>
    <m/>
    <m/>
    <s v=""/>
    <m/>
  </r>
  <r>
    <x v="334"/>
    <s v="181"/>
    <x v="0"/>
    <s v="GA2.12"/>
    <d v="1899-12-30T01:04:47"/>
    <n v="11.7"/>
    <d v="1899-12-30T00:05:32"/>
    <n v="139"/>
    <n v="78"/>
    <n v="218"/>
    <m/>
    <n v="1.0809618573797679"/>
    <s v="Saucony München 3"/>
  </r>
  <r>
    <x v="335"/>
    <m/>
    <x v="0"/>
    <m/>
    <m/>
    <s v=""/>
    <s v=""/>
    <m/>
    <m/>
    <m/>
    <m/>
    <s v=""/>
    <m/>
  </r>
  <r>
    <x v="336"/>
    <m/>
    <x v="0"/>
    <m/>
    <m/>
    <m/>
    <m/>
    <m/>
    <m/>
    <m/>
    <m/>
    <m/>
    <m/>
  </r>
  <r>
    <x v="337"/>
    <m/>
    <x v="0"/>
    <m/>
    <m/>
    <s v=""/>
    <s v=""/>
    <m/>
    <m/>
    <m/>
    <m/>
    <s v=""/>
    <m/>
  </r>
  <r>
    <x v="338"/>
    <s v="182"/>
    <x v="0"/>
    <s v="REP6"/>
    <d v="1899-12-30T00:55:12"/>
    <n v="9.56"/>
    <d v="1899-12-30T00:05:46"/>
    <n v="135"/>
    <n v="63"/>
    <n v="204"/>
    <m/>
    <n v="1.0548429401111599"/>
    <s v="Adizero Boston"/>
  </r>
  <r>
    <x v="339"/>
    <m/>
    <x v="0"/>
    <m/>
    <m/>
    <s v=""/>
    <s v=""/>
    <m/>
    <m/>
    <m/>
    <m/>
    <s v=""/>
    <m/>
  </r>
  <r>
    <x v="340"/>
    <s v="183"/>
    <x v="0"/>
    <s v="rec"/>
    <d v="1899-12-30T01:00:09"/>
    <n v="10.4"/>
    <d v="1899-12-30T00:05:47"/>
    <n v="141"/>
    <n v="61"/>
    <n v="209"/>
    <m/>
    <n v="1.0824928243398393"/>
    <s v="Saucony München 3"/>
  </r>
  <r>
    <x v="341"/>
    <m/>
    <x v="0"/>
    <m/>
    <m/>
    <s v=""/>
    <s v=""/>
    <m/>
    <m/>
    <m/>
    <m/>
    <s v=""/>
    <m/>
  </r>
  <r>
    <x v="342"/>
    <m/>
    <x v="0"/>
    <m/>
    <m/>
    <s v=""/>
    <s v=""/>
    <m/>
    <m/>
    <m/>
    <m/>
    <s v=""/>
    <m/>
  </r>
  <r>
    <x v="343"/>
    <s v="184"/>
    <x v="0"/>
    <s v="GA1.12"/>
    <d v="1899-12-30T01:10:31"/>
    <n v="12.3"/>
    <d v="1899-12-30T00:05:44"/>
    <n v="134"/>
    <n v="70"/>
    <n v="208"/>
    <m/>
    <n v="1.0678898191966997"/>
    <s v="ASICS DynaFlite"/>
  </r>
  <r>
    <x v="344"/>
    <m/>
    <x v="0"/>
    <m/>
    <m/>
    <s v=""/>
    <s v=""/>
    <m/>
    <m/>
    <m/>
    <m/>
    <s v=""/>
    <m/>
  </r>
  <r>
    <x v="345"/>
    <m/>
    <x v="0"/>
    <m/>
    <m/>
    <s v=""/>
    <s v=""/>
    <m/>
    <m/>
    <m/>
    <m/>
    <s v=""/>
    <m/>
  </r>
  <r>
    <x v="346"/>
    <s v="185"/>
    <x v="0"/>
    <s v="rec"/>
    <d v="1899-12-30T01:03:38"/>
    <n v="11.4"/>
    <d v="1899-12-30T00:05:35"/>
    <n v="138"/>
    <n v="67"/>
    <n v="213"/>
    <m/>
    <n v="1.0647211311861744"/>
    <s v="Saucony München 3"/>
  </r>
  <r>
    <x v="347"/>
    <m/>
    <x v="0"/>
    <m/>
    <m/>
    <s v=""/>
    <s v=""/>
    <m/>
    <m/>
    <m/>
    <m/>
    <s v=""/>
    <m/>
  </r>
  <r>
    <x v="348"/>
    <s v="186"/>
    <x v="0"/>
    <s v="GA2.12"/>
    <d v="1899-12-30T01:06:50"/>
    <n v="12.3"/>
    <d v="1899-12-30T00:05:26"/>
    <n v="137"/>
    <n v="75"/>
    <n v="220"/>
    <m/>
    <n v="1.0705011527727217"/>
    <s v="Saucony München 3"/>
  </r>
  <r>
    <x v="349"/>
    <m/>
    <x v="0"/>
    <m/>
    <m/>
    <s v=""/>
    <s v=""/>
    <m/>
    <m/>
    <m/>
    <m/>
    <s v=""/>
    <m/>
  </r>
  <r>
    <x v="350"/>
    <s v="187"/>
    <x v="0"/>
    <s v="GA2.14"/>
    <d v="1899-12-30T01:15:56"/>
    <n v="14.2"/>
    <d v="1899-12-30T00:05:21"/>
    <n v="162"/>
    <n v="87"/>
    <n v="218"/>
    <m/>
    <n v="1.0439436619718312"/>
    <s v="ASICS DynaFlite"/>
  </r>
  <r>
    <x v="351"/>
    <m/>
    <x v="0"/>
    <m/>
    <m/>
    <s v=""/>
    <s v=""/>
    <m/>
    <m/>
    <m/>
    <m/>
    <s v=""/>
    <m/>
  </r>
  <r>
    <x v="352"/>
    <s v="188"/>
    <x v="0"/>
    <s v="REP6"/>
    <d v="1899-12-30T00:51:22"/>
    <n v="9.25"/>
    <d v="1899-12-30T00:05:33"/>
    <n v="136"/>
    <n v="67"/>
    <n v="214"/>
    <m/>
    <n v="1.0642162162162163"/>
    <s v="Adizero Boston"/>
  </r>
  <r>
    <x v="353"/>
    <s v="189"/>
    <x v="0"/>
    <s v="GA1.10"/>
    <d v="1899-12-30T00:53:05"/>
    <n v="9.19"/>
    <d v="1899-12-30T00:05:47"/>
    <n v="134"/>
    <n v="52"/>
    <n v="204"/>
    <m/>
    <n v="1.0552352492163775"/>
    <s v="Saucony München 3"/>
  </r>
  <r>
    <x v="354"/>
    <m/>
    <x v="0"/>
    <m/>
    <m/>
    <s v=""/>
    <s v=""/>
    <m/>
    <m/>
    <m/>
    <m/>
    <s v=""/>
    <m/>
  </r>
  <r>
    <x v="355"/>
    <m/>
    <x v="0"/>
    <m/>
    <m/>
    <s v=""/>
    <s v=""/>
    <m/>
    <m/>
    <m/>
    <m/>
    <s v=""/>
    <m/>
  </r>
  <r>
    <x v="356"/>
    <s v="190"/>
    <x v="0"/>
    <s v="GA2.12"/>
    <d v="1899-12-30T01:17:33"/>
    <n v="14"/>
    <d v="1899-12-30T00:05:32"/>
    <n v="136"/>
    <n v="86"/>
    <n v="215"/>
    <m/>
    <n v="1.0665191897654587"/>
    <s v="Saucony München 3"/>
  </r>
  <r>
    <x v="357"/>
    <m/>
    <x v="0"/>
    <m/>
    <m/>
    <s v=""/>
    <s v=""/>
    <m/>
    <m/>
    <m/>
    <m/>
    <s v=""/>
    <m/>
  </r>
  <r>
    <x v="358"/>
    <m/>
    <x v="0"/>
    <m/>
    <m/>
    <s v=""/>
    <s v=""/>
    <m/>
    <m/>
    <m/>
    <m/>
    <s v=""/>
    <m/>
  </r>
  <r>
    <x v="359"/>
    <m/>
    <x v="0"/>
    <m/>
    <m/>
    <s v=""/>
    <s v=""/>
    <m/>
    <m/>
    <m/>
    <m/>
    <s v=""/>
    <m/>
  </r>
  <r>
    <x v="360"/>
    <m/>
    <x v="0"/>
    <m/>
    <m/>
    <s v=""/>
    <s v=""/>
    <m/>
    <m/>
    <m/>
    <m/>
    <s v=""/>
    <m/>
  </r>
  <r>
    <x v="361"/>
    <s v="191"/>
    <x v="0"/>
    <s v="rec"/>
    <d v="1899-12-30T01:03:12"/>
    <n v="11.1"/>
    <d v="1899-12-30T00:05:42"/>
    <n v="136"/>
    <n v="67"/>
    <n v="207"/>
    <m/>
    <n v="1.055457845905607"/>
    <s v="Saucony München 3"/>
  </r>
  <r>
    <x v="362"/>
    <m/>
    <x v="0"/>
    <m/>
    <m/>
    <s v=""/>
    <s v=""/>
    <m/>
    <m/>
    <m/>
    <m/>
    <s v=""/>
    <m/>
  </r>
  <r>
    <x v="363"/>
    <s v="192"/>
    <x v="0"/>
    <s v="rec"/>
    <d v="1899-12-30T00:45:38"/>
    <n v="8.08"/>
    <d v="1899-12-30T00:05:39"/>
    <n v="131"/>
    <n v="49"/>
    <n v="211"/>
    <m/>
    <n v="1.067160484705187"/>
    <s v="Saucony München 3"/>
  </r>
  <r>
    <x v="364"/>
    <m/>
    <x v="0"/>
    <m/>
    <m/>
    <s v=""/>
    <s v=""/>
    <m/>
    <m/>
    <m/>
    <m/>
    <s v=""/>
    <m/>
  </r>
  <r>
    <x v="365"/>
    <n v="193"/>
    <x v="0"/>
    <s v="Z4.40"/>
    <d v="1899-12-30T00:44:58"/>
    <n v="10"/>
    <d v="1899-12-30T00:04:30"/>
    <n v="163"/>
    <n v="68"/>
    <n v="254"/>
    <m/>
    <n v="1.0228238805970151"/>
    <s v="Adizero Boston"/>
  </r>
  <r>
    <x v="366"/>
    <m/>
    <x v="0"/>
    <m/>
    <m/>
    <s v=""/>
    <m/>
    <m/>
    <s v="0"/>
    <m/>
    <m/>
    <s v=""/>
    <m/>
  </r>
  <r>
    <x v="367"/>
    <m/>
    <x v="0"/>
    <m/>
    <m/>
    <s v=""/>
    <m/>
    <m/>
    <s v="0"/>
    <m/>
    <m/>
    <s v=""/>
    <m/>
  </r>
  <r>
    <x v="368"/>
    <s v="001"/>
    <x v="0"/>
    <s v="rec"/>
    <d v="1899-12-30T01:00:20"/>
    <n v="10.7"/>
    <d v="1899-12-30T00:05:38"/>
    <n v="139"/>
    <n v="67"/>
    <n v="208"/>
    <m/>
    <n v="1.0502999023573723"/>
    <s v="Saucony München 3"/>
  </r>
  <r>
    <x v="369"/>
    <m/>
    <x v="0"/>
    <m/>
    <m/>
    <s v=""/>
    <s v=""/>
    <m/>
    <s v="0"/>
    <m/>
    <m/>
    <s v=""/>
    <m/>
  </r>
  <r>
    <x v="370"/>
    <s v="002"/>
    <x v="0"/>
    <s v="GA2.12"/>
    <d v="1899-12-30T01:09:24"/>
    <n v="12.5"/>
    <d v="1899-12-30T00:05:33"/>
    <n v="143"/>
    <n v="79"/>
    <n v="215"/>
    <m/>
    <n v="1.0689671641791048"/>
    <s v="Saucony München 3"/>
  </r>
  <r>
    <x v="371"/>
    <s v="003"/>
    <x v="0"/>
    <s v="GA2.14"/>
    <d v="1899-12-30T01:14:44"/>
    <n v="14.3"/>
    <d v="1899-12-30T00:05:14"/>
    <n v="142"/>
    <n v="97"/>
    <n v="224"/>
    <m/>
    <n v="1.0483415092370316"/>
    <s v="Adizero Boston"/>
  </r>
  <r>
    <x v="372"/>
    <m/>
    <x v="0"/>
    <m/>
    <m/>
    <s v=""/>
    <s v=""/>
    <m/>
    <s v="0"/>
    <m/>
    <m/>
    <s v=""/>
    <m/>
  </r>
  <r>
    <x v="373"/>
    <s v="004"/>
    <x v="0"/>
    <s v="GA2.10"/>
    <d v="1899-12-30T00:48:48"/>
    <n v="9.06"/>
    <d v="1899-12-30T00:05:23"/>
    <n v="143"/>
    <n v="59"/>
    <n v="220"/>
    <m/>
    <n v="1.0611841454976771"/>
    <s v="ASICS DynaFlite"/>
  </r>
  <r>
    <x v="374"/>
    <s v="005"/>
    <x v="0"/>
    <s v="GA1.8"/>
    <d v="1899-12-30T00:44:55"/>
    <n v="7.72"/>
    <d v="1899-12-30T00:05:49"/>
    <n v="136"/>
    <n v="47"/>
    <n v="205"/>
    <m/>
    <n v="1.0681211816564846"/>
    <s v="ASICS DynaFlite"/>
  </r>
  <r>
    <x v="375"/>
    <m/>
    <x v="0"/>
    <m/>
    <m/>
    <s v=""/>
    <s v=""/>
    <m/>
    <s v="0"/>
    <m/>
    <m/>
    <s v=""/>
    <m/>
  </r>
  <r>
    <x v="376"/>
    <m/>
    <x v="0"/>
    <m/>
    <m/>
    <s v=""/>
    <s v=""/>
    <m/>
    <s v="0"/>
    <m/>
    <m/>
    <s v=""/>
    <m/>
  </r>
  <r>
    <x v="377"/>
    <s v="006"/>
    <x v="0"/>
    <s v="rec"/>
    <d v="1899-12-30T00:51:46"/>
    <n v="9.2799999999999994"/>
    <d v="1899-12-30T00:05:35"/>
    <n v="142"/>
    <n v="58"/>
    <n v="212"/>
    <m/>
    <n v="1.0590452907874421"/>
    <s v="Saucony München 3"/>
  </r>
  <r>
    <x v="378"/>
    <s v="007"/>
    <x v="0"/>
    <s v="GA1.12"/>
    <d v="1899-12-30T01:11:32"/>
    <n v="12.2"/>
    <d v="1899-12-30T00:05:52"/>
    <n v="135"/>
    <n v="74"/>
    <n v="203"/>
    <m/>
    <n v="1.0659114264741867"/>
    <s v="ASICS DynaFlite"/>
  </r>
  <r>
    <x v="379"/>
    <m/>
    <x v="0"/>
    <m/>
    <m/>
    <s v=""/>
    <s v=""/>
    <m/>
    <s v="0"/>
    <m/>
    <m/>
    <s v=""/>
    <m/>
  </r>
  <r>
    <x v="380"/>
    <s v="008"/>
    <x v="0"/>
    <s v="REP6"/>
    <d v="1899-12-30T00:33:19"/>
    <n v="6.38"/>
    <d v="1899-12-30T00:05:13"/>
    <n v="144"/>
    <n v="46"/>
    <n v="219"/>
    <m/>
    <n v="1.0241449492350163"/>
    <s v="Adizero Boston"/>
  </r>
  <r>
    <x v="381"/>
    <s v="009"/>
    <x v="0"/>
    <s v="rec"/>
    <d v="1899-12-30T01:04:10"/>
    <n v="11.4"/>
    <d v="1899-12-30T00:05:38"/>
    <n v="136"/>
    <n v="70"/>
    <n v="209"/>
    <m/>
    <n v="1.0534825870646767"/>
    <s v="Saucony München 3"/>
  </r>
  <r>
    <x v="382"/>
    <m/>
    <x v="0"/>
    <m/>
    <m/>
    <s v=""/>
    <s v=""/>
    <m/>
    <s v="0"/>
    <m/>
    <m/>
    <s v=""/>
    <m/>
  </r>
  <r>
    <x v="383"/>
    <m/>
    <x v="0"/>
    <m/>
    <m/>
    <m/>
    <m/>
    <m/>
    <s v="0"/>
    <m/>
    <m/>
    <s v=""/>
    <m/>
  </r>
  <r>
    <x v="384"/>
    <m/>
    <x v="0"/>
    <m/>
    <m/>
    <s v=""/>
    <s v=""/>
    <m/>
    <s v="0"/>
    <m/>
    <m/>
    <s v=""/>
    <m/>
  </r>
  <r>
    <x v="385"/>
    <s v="010"/>
    <x v="1"/>
    <s v="WK"/>
    <d v="1899-12-30T00:42:13"/>
    <n v="9.86"/>
    <d v="1899-12-30T00:04:17"/>
    <n v="163"/>
    <n v="75"/>
    <n v="267"/>
    <m/>
    <n v="1.023751930005147"/>
    <s v="Saucony München 3"/>
  </r>
  <r>
    <x v="386"/>
    <m/>
    <x v="0"/>
    <m/>
    <m/>
    <s v=""/>
    <s v=""/>
    <m/>
    <s v="0"/>
    <m/>
    <m/>
    <s v=""/>
    <m/>
  </r>
  <r>
    <x v="387"/>
    <m/>
    <x v="0"/>
    <m/>
    <m/>
    <s v=""/>
    <s v=""/>
    <m/>
    <s v="0"/>
    <m/>
    <m/>
    <s v=""/>
    <m/>
  </r>
  <r>
    <x v="388"/>
    <s v="011"/>
    <x v="0"/>
    <s v="rec"/>
    <d v="1899-12-30T01:03:36"/>
    <n v="11.3"/>
    <d v="1899-12-30T00:05:38"/>
    <n v="135"/>
    <n v="68"/>
    <n v="211"/>
    <m/>
    <n v="1.0635001981244221"/>
    <s v="Saucony München 3"/>
  </r>
  <r>
    <x v="389"/>
    <m/>
    <x v="0"/>
    <m/>
    <m/>
    <s v=""/>
    <s v=""/>
    <m/>
    <s v="0"/>
    <m/>
    <m/>
    <s v=""/>
    <m/>
  </r>
  <r>
    <x v="390"/>
    <s v="012"/>
    <x v="0"/>
    <s v="GA2.12"/>
    <d v="1899-12-30T01:02:40"/>
    <n v="12.5"/>
    <d v="1899-12-30T00:05:01"/>
    <n v="149"/>
    <n v="86"/>
    <n v="234"/>
    <m/>
    <n v="1.0505552238805971"/>
    <s v="Saucony München 3"/>
  </r>
  <r>
    <x v="391"/>
    <m/>
    <x v="0"/>
    <m/>
    <m/>
    <s v=""/>
    <s v=""/>
    <m/>
    <s v="0"/>
    <m/>
    <m/>
    <s v=""/>
    <m/>
  </r>
  <r>
    <x v="392"/>
    <s v="013"/>
    <x v="0"/>
    <s v="GA1.16s"/>
    <d v="1899-12-30T01:34:05"/>
    <n v="17.2"/>
    <d v="1899-12-30T00:05:28"/>
    <n v="134"/>
    <n v="108"/>
    <n v="214"/>
    <m/>
    <n v="1.0482731690385283"/>
    <s v="Saucony München 3"/>
  </r>
  <r>
    <x v="393"/>
    <m/>
    <x v="0"/>
    <m/>
    <m/>
    <s v=""/>
    <s v=""/>
    <m/>
    <s v="0"/>
    <m/>
    <m/>
    <s v=""/>
    <m/>
  </r>
  <r>
    <x v="394"/>
    <s v="014"/>
    <x v="0"/>
    <s v="INT6"/>
    <d v="1899-12-30T00:56:20"/>
    <n v="11.2"/>
    <d v="1899-12-30T00:05:02"/>
    <n v="152"/>
    <n v="80"/>
    <n v="227"/>
    <m/>
    <n v="1.0224680170575693"/>
    <s v="Adizero Boston"/>
  </r>
  <r>
    <x v="395"/>
    <s v="015"/>
    <x v="0"/>
    <s v="rec"/>
    <d v="1899-12-30T01:01:15"/>
    <n v="10.7"/>
    <d v="1899-12-30T00:05:43"/>
    <n v="137"/>
    <n v="64"/>
    <n v="208"/>
    <m/>
    <n v="1.0662574975589345"/>
    <s v="ASICS DynaFlite"/>
  </r>
  <r>
    <x v="396"/>
    <m/>
    <x v="0"/>
    <m/>
    <m/>
    <s v=""/>
    <s v=""/>
    <m/>
    <s v="0"/>
    <m/>
    <m/>
    <s v=""/>
    <m/>
  </r>
  <r>
    <x v="397"/>
    <s v="016"/>
    <x v="0"/>
    <s v="GA2.12"/>
    <d v="1899-12-30T01:03:11"/>
    <n v="12.45"/>
    <d v="1899-12-30T00:05:04"/>
    <n v="145"/>
    <n v="89"/>
    <n v="235"/>
    <m/>
    <n v="1.0680153449619374"/>
    <s v="Adizero Boston"/>
  </r>
  <r>
    <x v="398"/>
    <s v="017"/>
    <x v="0"/>
    <s v="rec"/>
    <d v="1899-12-30T01:07:38"/>
    <n v="11.6"/>
    <d v="1899-12-30T00:05:50"/>
    <n v="134"/>
    <n v="67"/>
    <n v="202"/>
    <m/>
    <n v="1.0547040658775089"/>
    <s v="Saucony München 3"/>
  </r>
  <r>
    <x v="399"/>
    <m/>
    <x v="0"/>
    <m/>
    <m/>
    <s v=""/>
    <s v=""/>
    <m/>
    <s v="0"/>
    <m/>
    <m/>
    <s v=""/>
    <m/>
  </r>
  <r>
    <x v="400"/>
    <s v="018"/>
    <x v="0"/>
    <s v="rec"/>
    <d v="1899-12-30T01:07:18"/>
    <n v="11.6"/>
    <d v="1899-12-30T00:05:48"/>
    <n v="132"/>
    <n v="68"/>
    <n v="204"/>
    <m/>
    <n v="1.0598970663921772"/>
    <s v="Saucony München 3"/>
  </r>
  <r>
    <x v="401"/>
    <m/>
    <x v="0"/>
    <m/>
    <m/>
    <s v=""/>
    <s v=""/>
    <m/>
    <s v="0"/>
    <m/>
    <m/>
    <s v=""/>
    <m/>
  </r>
  <r>
    <x v="402"/>
    <s v="019"/>
    <x v="0"/>
    <s v="rec"/>
    <d v="1899-12-30T01:03:07"/>
    <n v="11.52"/>
    <d v="1899-12-30T00:05:29"/>
    <n v="136"/>
    <n v="72"/>
    <n v="216"/>
    <m/>
    <n v="1.0597947761194029"/>
    <s v="Saucony München 3"/>
  </r>
  <r>
    <x v="403"/>
    <m/>
    <x v="0"/>
    <m/>
    <m/>
    <s v=""/>
    <s v=""/>
    <m/>
    <s v="0"/>
    <m/>
    <m/>
    <s v=""/>
    <m/>
  </r>
  <r>
    <x v="404"/>
    <s v="020"/>
    <x v="0"/>
    <s v="INT6"/>
    <d v="1899-12-30T01:05:08"/>
    <n v="12.2"/>
    <d v="1899-12-30T00:05:20"/>
    <n v="144"/>
    <n v="90"/>
    <n v="216"/>
    <m/>
    <n v="1.0326988010765845"/>
    <s v="Adizero Boston"/>
  </r>
  <r>
    <x v="405"/>
    <m/>
    <x v="0"/>
    <m/>
    <m/>
    <s v=""/>
    <s v=""/>
    <m/>
    <s v="0"/>
    <m/>
    <m/>
    <s v=""/>
    <m/>
  </r>
  <r>
    <x v="406"/>
    <s v="021"/>
    <x v="0"/>
    <s v="GA1.14"/>
    <d v="1899-12-30T01:19:43"/>
    <n v="14.17"/>
    <d v="1899-12-30T00:05:38"/>
    <n v="128"/>
    <n v="88"/>
    <n v="212"/>
    <m/>
    <n v="1.0680500110597329"/>
    <s v="New Balance 860 v9"/>
  </r>
  <r>
    <x v="407"/>
    <m/>
    <x v="0"/>
    <m/>
    <m/>
    <s v=""/>
    <s v=""/>
    <m/>
    <s v="0"/>
    <m/>
    <m/>
    <s v=""/>
    <m/>
  </r>
  <r>
    <x v="408"/>
    <s v="022"/>
    <x v="0"/>
    <s v="4INT2k"/>
    <d v="1899-12-30T00:50:32"/>
    <n v="10.4"/>
    <d v="1899-12-30T00:04:52"/>
    <n v="149"/>
    <n v="75"/>
    <n v="235"/>
    <m/>
    <n v="1.0225602755453502"/>
    <s v="Adizero Boston"/>
  </r>
  <r>
    <x v="409"/>
    <s v="023"/>
    <x v="0"/>
    <s v="rec"/>
    <d v="1899-12-30T01:03:14"/>
    <n v="11.6"/>
    <d v="1899-12-30T00:05:27"/>
    <n v="134"/>
    <n v="73"/>
    <n v="217"/>
    <m/>
    <n v="1.0593129181677816"/>
    <s v="Saucony Guide ISO 2"/>
  </r>
  <r>
    <x v="410"/>
    <m/>
    <x v="0"/>
    <m/>
    <m/>
    <s v=""/>
    <s v=""/>
    <m/>
    <s v="0"/>
    <m/>
    <m/>
    <s v=""/>
    <m/>
  </r>
  <r>
    <x v="411"/>
    <s v="024"/>
    <x v="0"/>
    <s v="Z4.30"/>
    <d v="1899-12-30T00:43:54"/>
    <n v="9.5399999999999991"/>
    <d v="1899-12-30T00:04:36"/>
    <n v="152"/>
    <n v="68"/>
    <n v="249"/>
    <m/>
    <n v="1.0261053224443821"/>
    <s v="Adizero Boston"/>
  </r>
  <r>
    <x v="412"/>
    <m/>
    <x v="0"/>
    <m/>
    <m/>
    <s v=""/>
    <s v=""/>
    <m/>
    <s v="0"/>
    <m/>
    <m/>
    <s v=""/>
    <m/>
  </r>
  <r>
    <x v="413"/>
    <s v="025"/>
    <x v="0"/>
    <s v="GA1.14"/>
    <d v="1899-12-30T01:19:45"/>
    <n v="14.53"/>
    <d v="1899-12-30T00:05:29"/>
    <n v="132"/>
    <n v="91"/>
    <n v="216"/>
    <m/>
    <n v="1.0616840094092512"/>
    <s v="New Balance 860 v9"/>
  </r>
  <r>
    <x v="414"/>
    <m/>
    <x v="0"/>
    <m/>
    <m/>
    <s v=""/>
    <s v=""/>
    <m/>
    <s v="0"/>
    <m/>
    <m/>
    <s v=""/>
    <m/>
  </r>
  <r>
    <x v="415"/>
    <s v="026"/>
    <x v="0"/>
    <s v="CP"/>
    <d v="1899-12-30T00:56:20"/>
    <n v="10.5"/>
    <d v="1899-12-30T00:05:22"/>
    <n v="139"/>
    <n v="72"/>
    <n v="216"/>
    <m/>
    <n v="1.0377825159914713"/>
    <s v="Adizero Boston"/>
  </r>
  <r>
    <x v="416"/>
    <s v="027"/>
    <x v="0"/>
    <s v="rec"/>
    <d v="1899-12-30T01:05:23"/>
    <n v="11.62"/>
    <d v="1899-12-30T00:05:38"/>
    <n v="128"/>
    <n v="71"/>
    <n v="212"/>
    <m/>
    <n v="1.0682508284738099"/>
    <s v="Saucony Guide ISO 2"/>
  </r>
  <r>
    <x v="417"/>
    <m/>
    <x v="0"/>
    <m/>
    <m/>
    <s v=""/>
    <s v=""/>
    <m/>
    <s v="0"/>
    <m/>
    <m/>
    <s v=""/>
    <m/>
  </r>
  <r>
    <x v="418"/>
    <s v="028"/>
    <x v="0"/>
    <s v="GA1.10"/>
    <d v="1899-12-30T01:01:22"/>
    <n v="10.6"/>
    <d v="1899-12-30T00:05:47"/>
    <n v="135"/>
    <n v="64"/>
    <n v="206"/>
    <m/>
    <n v="1.0679977471134892"/>
    <s v="New Balance 1080 v9"/>
  </r>
  <r>
    <x v="419"/>
    <m/>
    <x v="0"/>
    <m/>
    <m/>
    <s v=""/>
    <s v=""/>
    <m/>
    <s v="0"/>
    <m/>
    <m/>
    <s v=""/>
    <m/>
  </r>
  <r>
    <x v="420"/>
    <s v="029"/>
    <x v="1"/>
    <s v="WK"/>
    <d v="1899-12-30T00:58:37"/>
    <n v="14.02"/>
    <d v="1899-12-30T00:04:11"/>
    <n v="165"/>
    <n v="105"/>
    <n v="273"/>
    <m/>
    <n v="1.0221442715097837"/>
    <s v="Adizero Boston"/>
  </r>
  <r>
    <x v="421"/>
    <m/>
    <x v="0"/>
    <m/>
    <m/>
    <s v=""/>
    <s v=""/>
    <m/>
    <s v="0"/>
    <m/>
    <m/>
    <s v=""/>
    <m/>
  </r>
  <r>
    <x v="422"/>
    <m/>
    <x v="0"/>
    <m/>
    <m/>
    <s v=""/>
    <s v=""/>
    <m/>
    <s v="0"/>
    <m/>
    <m/>
    <s v=""/>
    <m/>
  </r>
  <r>
    <x v="423"/>
    <s v="030"/>
    <x v="0"/>
    <s v="rec"/>
    <d v="1899-12-30T00:59:20"/>
    <n v="10.58"/>
    <d v="1899-12-30T00:05:36"/>
    <n v="128"/>
    <n v="63"/>
    <n v="213"/>
    <m/>
    <n v="1.0697175746974015"/>
    <s v="Saucony Guide ISO 2"/>
  </r>
  <r>
    <x v="424"/>
    <m/>
    <x v="0"/>
    <m/>
    <m/>
    <s v=""/>
    <s v=""/>
    <m/>
    <s v="0"/>
    <m/>
    <m/>
    <s v=""/>
    <m/>
  </r>
  <r>
    <x v="425"/>
    <m/>
    <x v="0"/>
    <m/>
    <m/>
    <s v=""/>
    <s v=""/>
    <m/>
    <s v="0"/>
    <m/>
    <m/>
    <s v=""/>
    <m/>
  </r>
  <r>
    <x v="426"/>
    <m/>
    <x v="0"/>
    <m/>
    <m/>
    <s v=""/>
    <s v=""/>
    <m/>
    <s v="0"/>
    <m/>
    <m/>
    <s v=""/>
    <m/>
  </r>
  <r>
    <x v="427"/>
    <m/>
    <x v="0"/>
    <m/>
    <m/>
    <s v=""/>
    <s v=""/>
    <m/>
    <s v="0"/>
    <m/>
    <m/>
    <s v=""/>
    <m/>
  </r>
  <r>
    <x v="428"/>
    <m/>
    <x v="0"/>
    <m/>
    <m/>
    <s v=""/>
    <s v=""/>
    <m/>
    <s v="0"/>
    <m/>
    <m/>
    <s v=""/>
    <m/>
  </r>
  <r>
    <x v="429"/>
    <s v="031"/>
    <x v="0"/>
    <s v="rec"/>
    <d v="1899-12-30T01:04:27"/>
    <n v="11.6"/>
    <d v="1899-12-30T00:05:33"/>
    <n v="137"/>
    <n v="70"/>
    <n v="215"/>
    <m/>
    <n v="1.0697439526505406"/>
    <s v="Saucony Guide ISO 2"/>
  </r>
  <r>
    <x v="430"/>
    <s v="032"/>
    <x v="0"/>
    <s v="rec"/>
    <d v="1899-12-30T01:03:16"/>
    <n v="11.55"/>
    <d v="1899-12-30T00:05:29"/>
    <n v="139"/>
    <n v="71"/>
    <n v="219"/>
    <m/>
    <n v="1.0742702074045356"/>
    <s v="Saucony Guide ISO 2"/>
  </r>
  <r>
    <x v="431"/>
    <s v="033"/>
    <x v="0"/>
    <s v="REP8"/>
    <d v="1899-12-30T00:55:04"/>
    <n v="10.02"/>
    <d v="1899-12-30T00:05:30"/>
    <n v="146"/>
    <n v="68"/>
    <n v="208"/>
    <m/>
    <n v="1.0236720588673403"/>
    <s v="Adizero Boston"/>
  </r>
  <r>
    <x v="432"/>
    <s v="034"/>
    <x v="0"/>
    <s v="GA1.10"/>
    <d v="1899-12-30T01:00:35"/>
    <n v="10.7"/>
    <d v="1899-12-30T00:05:40"/>
    <n v="135"/>
    <n v="64"/>
    <n v="213"/>
    <m/>
    <n v="1.0800041846840567"/>
    <s v="Saucony München 3"/>
  </r>
  <r>
    <x v="433"/>
    <s v="035"/>
    <x v="0"/>
    <s v="GA1.20s"/>
    <d v="1899-12-30T01:58:25"/>
    <n v="20.79"/>
    <d v="1899-12-30T00:05:42"/>
    <n v="143"/>
    <n v="125"/>
    <n v="213"/>
    <m/>
    <n v="1.0864616312377504"/>
    <s v="New Balance 860 v9"/>
  </r>
  <r>
    <x v="434"/>
    <m/>
    <x v="0"/>
    <m/>
    <m/>
    <s v=""/>
    <s v=""/>
    <m/>
    <s v="0"/>
    <m/>
    <m/>
    <s v=""/>
    <m/>
  </r>
  <r>
    <x v="435"/>
    <m/>
    <x v="0"/>
    <m/>
    <m/>
    <s v=""/>
    <s v=""/>
    <m/>
    <s v="0"/>
    <m/>
    <m/>
    <s v=""/>
    <m/>
  </r>
  <r>
    <x v="436"/>
    <s v="036"/>
    <x v="0"/>
    <s v="REP10"/>
    <d v="1899-12-30T00:59:27"/>
    <n v="10.7"/>
    <d v="1899-12-30T00:05:33"/>
    <n v="144"/>
    <n v="76"/>
    <n v="206"/>
    <m/>
    <n v="1.0249714046589484"/>
    <s v="Adizero Boston"/>
  </r>
  <r>
    <x v="437"/>
    <s v="037"/>
    <x v="0"/>
    <s v="rec"/>
    <d v="1899-12-30T01:04:29"/>
    <n v="11.6"/>
    <d v="1899-12-30T00:05:34"/>
    <n v="138"/>
    <n v="70"/>
    <n v="214"/>
    <m/>
    <n v="1.065319094184251"/>
    <s v="Saucony Guide ISO 2"/>
  </r>
  <r>
    <x v="438"/>
    <m/>
    <x v="0"/>
    <m/>
    <m/>
    <s v=""/>
    <s v=""/>
    <m/>
    <s v="0"/>
    <m/>
    <m/>
    <s v=""/>
    <m/>
  </r>
  <r>
    <x v="439"/>
    <s v="038"/>
    <x v="0"/>
    <s v="PYR800"/>
    <d v="1899-12-30T00:51:38"/>
    <n v="9.19"/>
    <d v="1899-12-30T00:05:37"/>
    <n v="140"/>
    <n v="62"/>
    <n v="205"/>
    <m/>
    <n v="1.0314423529793906"/>
    <s v="New Balance 1080 v9"/>
  </r>
  <r>
    <x v="440"/>
    <s v="039"/>
    <x v="0"/>
    <s v="rec"/>
    <d v="1899-12-30T01:06:04"/>
    <n v="11.96"/>
    <d v="1899-12-30T00:05:31"/>
    <n v="129"/>
    <n v="72"/>
    <n v="215"/>
    <m/>
    <n v="1.0635701093196228"/>
    <s v="Saucony Guide ISO 2"/>
  </r>
  <r>
    <x v="441"/>
    <s v="040"/>
    <x v="0"/>
    <s v="GA1.20"/>
    <d v="1899-12-30T01:54:24"/>
    <n v="20.6"/>
    <d v="1899-12-30T00:05:33"/>
    <n v="131"/>
    <n v="124"/>
    <n v="215"/>
    <m/>
    <n v="1.0692363425590492"/>
    <s v="New Balance 860 v9"/>
  </r>
  <r>
    <x v="442"/>
    <m/>
    <x v="0"/>
    <m/>
    <m/>
    <s v=""/>
    <s v=""/>
    <m/>
    <s v="0"/>
    <m/>
    <m/>
    <s v=""/>
    <m/>
  </r>
  <r>
    <x v="443"/>
    <s v="041"/>
    <x v="0"/>
    <s v="REP12"/>
    <d v="1899-12-30T01:10:12"/>
    <n v="12.4"/>
    <d v="1899-12-30T00:05:40"/>
    <n v="141"/>
    <n v="87"/>
    <n v="201"/>
    <m/>
    <n v="1.0190322580645159"/>
    <s v="Adizero Boston"/>
  </r>
  <r>
    <x v="444"/>
    <s v="042"/>
    <x v="0"/>
    <s v="rec"/>
    <d v="1899-12-30T01:06:04"/>
    <n v="11.64"/>
    <d v="1899-12-30T00:05:41"/>
    <n v="125"/>
    <n v="67"/>
    <n v="208"/>
    <m/>
    <n v="1.0572293173308716"/>
    <s v="Saucony Guide ISO 2"/>
  </r>
  <r>
    <x v="445"/>
    <s v="043"/>
    <x v="0"/>
    <s v="Z4.30"/>
    <d v="1899-12-30T00:47:08"/>
    <n v="9.9700000000000006"/>
    <d v="1899-12-30T00:04:44"/>
    <n v="154"/>
    <n v="66"/>
    <n v="242"/>
    <m/>
    <n v="1.0245303073399301"/>
    <s v="New Balance 1080 v9"/>
  </r>
  <r>
    <x v="446"/>
    <s v="044"/>
    <x v="0"/>
    <s v="GA1.10"/>
    <d v="1899-12-30T00:59:56"/>
    <n v="10.74"/>
    <d v="1899-12-30T00:05:35"/>
    <n v="126"/>
    <n v="62"/>
    <n v="211"/>
    <m/>
    <n v="1.0544428694516244"/>
    <s v="Saucony Guide ISO 2"/>
  </r>
  <r>
    <x v="447"/>
    <s v="045"/>
    <x v="0"/>
    <s v="GA1.16"/>
    <d v="1899-12-30T01:42:50"/>
    <n v="16.850000000000001"/>
    <d v="1899-12-30T00:06:06"/>
    <n v="120"/>
    <n v="94"/>
    <n v="196"/>
    <m/>
    <n v="1.0711900438460515"/>
    <s v="New Balance 860 v9"/>
  </r>
  <r>
    <x v="448"/>
    <m/>
    <x v="0"/>
    <m/>
    <m/>
    <s v=""/>
    <s v=""/>
    <m/>
    <s v="0"/>
    <m/>
    <m/>
    <s v=""/>
    <m/>
  </r>
  <r>
    <x v="449"/>
    <m/>
    <x v="0"/>
    <m/>
    <m/>
    <s v=""/>
    <s v=""/>
    <m/>
    <s v="0"/>
    <m/>
    <m/>
    <s v=""/>
    <m/>
  </r>
  <r>
    <x v="450"/>
    <s v="046"/>
    <x v="0"/>
    <s v="rec"/>
    <d v="1899-12-30T01:01:17"/>
    <n v="10.74"/>
    <d v="1899-12-30T00:05:42"/>
    <n v="120"/>
    <n v="62"/>
    <n v="207"/>
    <m/>
    <n v="1.0577545234720251"/>
    <s v="New Balance 860 v9"/>
  </r>
  <r>
    <x v="451"/>
    <s v="047"/>
    <x v="0"/>
    <s v="rec"/>
    <d v="1899-12-30T00:58:49"/>
    <n v="10.73"/>
    <d v="1899-12-30T00:05:29"/>
    <n v="125"/>
    <n v="62"/>
    <n v="214"/>
    <m/>
    <n v="1.0504875436424586"/>
    <s v="Saucony Guide ISO 2"/>
  </r>
  <r>
    <x v="452"/>
    <m/>
    <x v="0"/>
    <m/>
    <m/>
    <s v=""/>
    <s v=""/>
    <m/>
    <s v="0"/>
    <m/>
    <m/>
    <s v=""/>
    <m/>
  </r>
  <r>
    <x v="453"/>
    <s v="048"/>
    <x v="0"/>
    <s v="CP"/>
    <d v="1899-12-30T01:05:51"/>
    <n v="11.53"/>
    <d v="1899-12-30T00:05:43"/>
    <n v="140"/>
    <n v="74"/>
    <n v="203"/>
    <m/>
    <n v="1.0382428706424511"/>
    <s v="Adizero Boston"/>
  </r>
  <r>
    <x v="454"/>
    <m/>
    <x v="0"/>
    <m/>
    <m/>
    <s v=""/>
    <s v=""/>
    <m/>
    <s v="0"/>
    <m/>
    <m/>
    <s v=""/>
    <m/>
  </r>
  <r>
    <x v="455"/>
    <s v="049"/>
    <x v="0"/>
    <s v="GA1.10"/>
    <d v="1899-12-30T00:57:54"/>
    <n v="10.4"/>
    <d v="1899-12-30T00:05:34"/>
    <n v="130"/>
    <n v="61"/>
    <n v="213"/>
    <m/>
    <n v="1.0619431687715268"/>
    <s v="New Balance 860 v9"/>
  </r>
  <r>
    <x v="456"/>
    <m/>
    <x v="0"/>
    <m/>
    <m/>
    <s v=""/>
    <s v=""/>
    <m/>
    <s v="0"/>
    <m/>
    <m/>
    <s v=""/>
    <m/>
  </r>
  <r>
    <x v="457"/>
    <s v="050"/>
    <x v="0"/>
    <s v="INT6"/>
    <d v="1899-12-30T01:03:37"/>
    <n v="12.41"/>
    <d v="1899-12-30T00:05:08"/>
    <n v="150"/>
    <n v="87"/>
    <n v="223"/>
    <m/>
    <n v="1.0237182339711597"/>
    <s v="Adizero Boston"/>
  </r>
  <r>
    <x v="458"/>
    <s v="051"/>
    <x v="0"/>
    <s v="rec"/>
    <d v="1899-12-30T01:04:34"/>
    <n v="11.61"/>
    <d v="1899-12-30T00:05:34"/>
    <n v="133"/>
    <n v="69"/>
    <n v="214"/>
    <m/>
    <n v="1.0657770578631391"/>
    <s v="Saucony Guide ISO 2"/>
  </r>
  <r>
    <x v="459"/>
    <s v="052"/>
    <x v="0"/>
    <s v="4INT2k"/>
    <d v="1899-12-30T01:05:12"/>
    <n v="13.02"/>
    <d v="1899-12-30T00:05:00"/>
    <n v="145"/>
    <n v="85"/>
    <n v="229"/>
    <m/>
    <n v="1.0269482082674188"/>
    <s v="New Balance 1080 v9"/>
  </r>
  <r>
    <x v="460"/>
    <s v="053"/>
    <x v="0"/>
    <s v="rec"/>
    <d v="1899-12-30T00:58:56"/>
    <n v="10.75"/>
    <d v="1899-12-30T00:05:29"/>
    <n v="128"/>
    <n v="60"/>
    <n v="216"/>
    <m/>
    <n v="1.0604317945157933"/>
    <s v="Saucony Guide ISO 2"/>
  </r>
  <r>
    <x v="461"/>
    <m/>
    <x v="0"/>
    <m/>
    <m/>
    <s v=""/>
    <s v=""/>
    <m/>
    <s v="0"/>
    <m/>
    <m/>
    <s v=""/>
    <m/>
  </r>
  <r>
    <x v="462"/>
    <s v="054"/>
    <x v="0"/>
    <s v="GA1.22"/>
    <d v="1899-12-30T02:06:02"/>
    <n v="22.23"/>
    <d v="1899-12-30T00:05:40"/>
    <n v="131"/>
    <n v="121"/>
    <n v="210"/>
    <m/>
    <n v="1.0662074244163797"/>
    <s v="New Balance 860 v9"/>
  </r>
  <r>
    <x v="463"/>
    <s v="055"/>
    <x v="0"/>
    <s v="INT8"/>
    <d v="1899-12-30T01:15:24"/>
    <n v="14.32"/>
    <d v="1899-12-30T00:05:16"/>
    <n v="138"/>
    <n v="96"/>
    <n v="216"/>
    <m/>
    <n v="1.018494121570916"/>
    <s v="Adizero Boston"/>
  </r>
  <r>
    <x v="464"/>
    <s v="056"/>
    <x v="0"/>
    <s v="rec"/>
    <d v="1899-12-30T01:03:13"/>
    <n v="11.58"/>
    <d v="1899-12-30T00:05:28"/>
    <n v="126"/>
    <n v="64"/>
    <n v="215"/>
    <m/>
    <n v="1.0510852473384373"/>
    <s v="Saucony Guide ISO 2"/>
  </r>
  <r>
    <x v="465"/>
    <m/>
    <x v="0"/>
    <m/>
    <m/>
    <s v=""/>
    <s v=""/>
    <m/>
    <s v="0"/>
    <m/>
    <m/>
    <s v=""/>
    <m/>
  </r>
  <r>
    <x v="466"/>
    <s v="057"/>
    <x v="0"/>
    <s v="FS"/>
    <d v="1899-12-30T01:09:01"/>
    <n v="13.63"/>
    <d v="1899-12-30T00:05:04"/>
    <n v="144"/>
    <n v="86"/>
    <n v="228"/>
    <m/>
    <n v="1.033878297434325"/>
    <s v="New Balance 1080 v9"/>
  </r>
  <r>
    <x v="467"/>
    <s v="058"/>
    <x v="0"/>
    <s v="rec"/>
    <d v="1899-12-30T01:05:25"/>
    <n v="11.53"/>
    <d v="1899-12-30T00:05:40"/>
    <n v="124"/>
    <n v="63"/>
    <n v="210"/>
    <m/>
    <n v="1.0669764792688767"/>
    <s v="Saucony Guide ISO 2"/>
  </r>
  <r>
    <x v="468"/>
    <m/>
    <x v="0"/>
    <m/>
    <m/>
    <s v=""/>
    <s v=""/>
    <m/>
    <s v="0"/>
    <m/>
    <m/>
    <s v=""/>
    <m/>
  </r>
  <r>
    <x v="469"/>
    <s v="059"/>
    <x v="0"/>
    <s v="GA1.20s"/>
    <d v="1899-12-30T01:53:12"/>
    <n v="21.1"/>
    <d v="1899-12-30T00:05:22"/>
    <n v="134"/>
    <n v="120"/>
    <n v="218"/>
    <m/>
    <n v="1.0473622409280612"/>
    <s v="New Balance 860 v9"/>
  </r>
  <r>
    <x v="470"/>
    <m/>
    <x v="0"/>
    <m/>
    <m/>
    <s v=""/>
    <s v=""/>
    <m/>
    <s v="0"/>
    <m/>
    <m/>
    <s v=""/>
    <m/>
  </r>
  <r>
    <x v="471"/>
    <s v="060"/>
    <x v="0"/>
    <s v="INT10"/>
    <d v="1899-12-30T01:20:27"/>
    <n v="16.63"/>
    <d v="1899-12-30T00:04:50"/>
    <n v="146"/>
    <n v="113"/>
    <n v="234"/>
    <m/>
    <n v="1.0137388822573843"/>
    <s v="Adizero Boston"/>
  </r>
  <r>
    <x v="472"/>
    <s v="061"/>
    <x v="0"/>
    <s v="rec"/>
    <d v="1899-12-30T01:04:17"/>
    <n v="11.5"/>
    <d v="1899-12-30T00:05:35"/>
    <n v="133"/>
    <n v="64"/>
    <n v="213"/>
    <m/>
    <n v="1.066243997404283"/>
    <s v="Saucony Guide ISO 2"/>
  </r>
  <r>
    <x v="473"/>
    <s v="062"/>
    <x v="0"/>
    <s v="Z4.40"/>
    <d v="1899-12-30T00:57:09"/>
    <n v="12.24"/>
    <d v="1899-12-30T00:04:40"/>
    <n v="153"/>
    <n v="77"/>
    <n v="246"/>
    <m/>
    <n v="1.0285996488147497"/>
    <s v="New Balance 1080 v9"/>
  </r>
  <r>
    <x v="474"/>
    <s v="063"/>
    <x v="0"/>
    <s v="rec"/>
    <d v="1899-12-30T01:06:17"/>
    <n v="12.13"/>
    <d v="1899-12-30T00:05:28"/>
    <n v="137"/>
    <n v="68"/>
    <n v="217"/>
    <m/>
    <n v="1.061890465233601"/>
    <s v="Saucony Guide ISO 2"/>
  </r>
  <r>
    <x v="475"/>
    <s v="064"/>
    <x v="0"/>
    <s v="GA1.20"/>
    <d v="1899-12-30T01:54:08"/>
    <n v="20.8"/>
    <d v="1899-12-30T00:05:29"/>
    <n v="140"/>
    <n v="116"/>
    <n v="217"/>
    <m/>
    <n v="1.0663145809414467"/>
    <s v="New Balance 860 v9"/>
  </r>
  <r>
    <x v="476"/>
    <m/>
    <x v="0"/>
    <m/>
    <m/>
    <s v=""/>
    <s v=""/>
    <m/>
    <s v="0"/>
    <m/>
    <m/>
    <s v=""/>
    <m/>
  </r>
  <r>
    <x v="477"/>
    <m/>
    <x v="0"/>
    <m/>
    <m/>
    <s v=""/>
    <s v=""/>
    <m/>
    <s v="0"/>
    <m/>
    <m/>
    <s v=""/>
    <m/>
  </r>
  <r>
    <x v="478"/>
    <m/>
    <x v="0"/>
    <m/>
    <m/>
    <s v=""/>
    <s v=""/>
    <m/>
    <s v="0"/>
    <m/>
    <m/>
    <s v=""/>
    <m/>
  </r>
  <r>
    <x v="479"/>
    <s v="065"/>
    <x v="0"/>
    <s v="rec"/>
    <d v="1899-12-30T01:04:53"/>
    <n v="11.59"/>
    <d v="1899-12-30T00:05:36"/>
    <n v="135"/>
    <n v="64"/>
    <n v="213"/>
    <m/>
    <n v="1.0678389759571429"/>
    <s v="Saucony Guide ISO 2"/>
  </r>
  <r>
    <x v="480"/>
    <s v="066"/>
    <x v="0"/>
    <s v="CP"/>
    <d v="1899-12-30T01:02:51"/>
    <n v="10.5"/>
    <d v="1899-12-30T00:05:59"/>
    <n v="137"/>
    <n v="68"/>
    <n v="191"/>
    <m/>
    <n v="1.0238251599147123"/>
    <s v="Adizero Boston"/>
  </r>
  <r>
    <x v="481"/>
    <m/>
    <x v="0"/>
    <m/>
    <m/>
    <s v=""/>
    <s v=""/>
    <m/>
    <s v="0"/>
    <m/>
    <m/>
    <s v=""/>
    <m/>
  </r>
  <r>
    <x v="482"/>
    <s v="067"/>
    <x v="0"/>
    <s v="GA1.14"/>
    <d v="1899-12-30T01:19:58"/>
    <n v="14.13"/>
    <d v="1899-12-30T00:05:40"/>
    <n v="126"/>
    <n v="75"/>
    <n v="209"/>
    <m/>
    <n v="1.0592282747620707"/>
    <s v="New Balance 860 v9"/>
  </r>
  <r>
    <x v="483"/>
    <m/>
    <x v="0"/>
    <m/>
    <m/>
    <s v=""/>
    <s v=""/>
    <m/>
    <s v="0"/>
    <m/>
    <m/>
    <s v=""/>
    <m/>
  </r>
  <r>
    <x v="484"/>
    <s v="068"/>
    <x v="0"/>
    <s v="Z4.40"/>
    <d v="1899-12-30T00:54:13"/>
    <n v="12.36"/>
    <d v="1899-12-30T00:04:23"/>
    <n v="154"/>
    <n v="80"/>
    <n v="258"/>
    <m/>
    <n v="1.0134690624547169"/>
    <s v="Adizero Boston"/>
  </r>
  <r>
    <x v="485"/>
    <s v="069"/>
    <x v="0"/>
    <s v="rec"/>
    <d v="1899-12-30T01:04:40"/>
    <n v="11.59"/>
    <d v="1899-12-30T00:05:35"/>
    <n v="124"/>
    <n v="64"/>
    <n v="212"/>
    <m/>
    <n v="1.0592765250537648"/>
    <s v="Saucony Guide ISO 2"/>
  </r>
  <r>
    <x v="486"/>
    <s v="070"/>
    <x v="0"/>
    <s v="PYR3"/>
    <d v="1899-12-30T01:06:43"/>
    <n v="13.16"/>
    <d v="1899-12-30T00:05:04"/>
    <n v="145"/>
    <n v="87"/>
    <n v="225"/>
    <m/>
    <n v="1.0214977543891486"/>
    <s v="New Balance 1080 v9"/>
  </r>
  <r>
    <x v="487"/>
    <m/>
    <x v="0"/>
    <m/>
    <m/>
    <s v=""/>
    <s v=""/>
    <m/>
    <s v="0"/>
    <m/>
    <m/>
    <s v=""/>
    <m/>
  </r>
  <r>
    <x v="488"/>
    <s v="071"/>
    <x v="0"/>
    <s v="rec"/>
    <d v="1899-12-30T00:59:16"/>
    <n v="10.69"/>
    <d v="1899-12-30T00:05:33"/>
    <n v="127"/>
    <n v="57"/>
    <n v="212"/>
    <m/>
    <n v="1.0525557432668275"/>
    <s v="New Balance 1080 v9"/>
  </r>
  <r>
    <x v="489"/>
    <m/>
    <x v="0"/>
    <m/>
    <m/>
    <s v=""/>
    <s v=""/>
    <m/>
    <s v="0"/>
    <m/>
    <m/>
    <s v=""/>
    <m/>
  </r>
  <r>
    <x v="490"/>
    <s v="072"/>
    <x v="0"/>
    <s v="GA1.22"/>
    <d v="1899-12-30T02:00:10"/>
    <n v="22.02"/>
    <d v="1899-12-30T00:05:27"/>
    <n v="135"/>
    <n v="121"/>
    <n v="216"/>
    <m/>
    <n v="1.055593964781"/>
    <s v="New Balance 860 v9"/>
  </r>
  <r>
    <x v="491"/>
    <m/>
    <x v="0"/>
    <m/>
    <m/>
    <s v=""/>
    <s v=""/>
    <m/>
    <s v="0"/>
    <m/>
    <m/>
    <s v=""/>
    <m/>
  </r>
  <r>
    <x v="492"/>
    <s v="073"/>
    <x v="0"/>
    <s v="Z4.50"/>
    <d v="1899-12-30T01:04:53"/>
    <n v="14.41"/>
    <d v="1899-12-30T00:04:30"/>
    <n v="156"/>
    <n v="92"/>
    <n v="253"/>
    <m/>
    <n v="1.0201549504386465"/>
    <s v="Adizero Boston"/>
  </r>
  <r>
    <x v="493"/>
    <s v="074"/>
    <x v="0"/>
    <s v="rec"/>
    <d v="1899-12-30T01:04:13"/>
    <n v="11.57"/>
    <d v="1899-12-30T00:05:33"/>
    <n v="138"/>
    <n v="63"/>
    <n v="214"/>
    <m/>
    <n v="1.0636643919555206"/>
    <s v="Saucony Guide ISO 2"/>
  </r>
  <r>
    <x v="494"/>
    <m/>
    <x v="0"/>
    <m/>
    <m/>
    <s v=""/>
    <s v=""/>
    <m/>
    <s v="0"/>
    <m/>
    <m/>
    <s v=""/>
    <m/>
  </r>
  <r>
    <x v="495"/>
    <s v="075"/>
    <x v="0"/>
    <s v="4INT2k"/>
    <d v="1899-12-30T01:10:11"/>
    <n v="13.03"/>
    <d v="1899-12-30T00:05:23"/>
    <n v="144"/>
    <n v="85"/>
    <n v="211"/>
    <m/>
    <n v="1.0177672649797826"/>
    <s v="New Balance 1080 v9"/>
  </r>
  <r>
    <x v="496"/>
    <s v="076"/>
    <x v="0"/>
    <s v="rec"/>
    <d v="1899-12-30T00:48:43"/>
    <n v="8.57"/>
    <d v="1899-12-30T00:05:41"/>
    <n v="124"/>
    <n v="46"/>
    <n v="209"/>
    <m/>
    <n v="1.063945732248907"/>
    <s v="Saucony Guide ISO 2"/>
  </r>
  <r>
    <x v="497"/>
    <s v="077"/>
    <x v="0"/>
    <s v="GA1.20"/>
    <d v="1899-12-30T01:57:05"/>
    <n v="20.5"/>
    <d v="1899-12-30T00:05:43"/>
    <n v="128"/>
    <n v="110"/>
    <n v="208"/>
    <m/>
    <n v="1.0638514743356386"/>
    <s v="New Balance 860 v9"/>
  </r>
  <r>
    <x v="498"/>
    <m/>
    <x v="0"/>
    <m/>
    <m/>
    <s v=""/>
    <s v=""/>
    <m/>
    <s v="0"/>
    <m/>
    <m/>
    <s v=""/>
    <m/>
  </r>
  <r>
    <x v="499"/>
    <s v="078"/>
    <x v="0"/>
    <s v="Z4.60"/>
    <d v="1899-12-30T01:14:16"/>
    <n v="17.04"/>
    <d v="1899-12-30T00:04:22"/>
    <n v="155"/>
    <n v="110"/>
    <n v="260"/>
    <m/>
    <n v="1.0147852287856494"/>
    <s v="Adizero Boston"/>
  </r>
  <r>
    <x v="500"/>
    <s v="079"/>
    <x v="0"/>
    <s v="rec"/>
    <d v="1899-12-30T01:03:51"/>
    <n v="11.53"/>
    <d v="1899-12-30T00:05:32"/>
    <n v="129"/>
    <n v="63"/>
    <n v="214"/>
    <m/>
    <n v="1.0612600484136128"/>
    <s v="Saucony Guide ISO 2"/>
  </r>
  <r>
    <x v="501"/>
    <m/>
    <x v="0"/>
    <m/>
    <m/>
    <s v=""/>
    <s v=""/>
    <m/>
    <s v="0"/>
    <m/>
    <m/>
    <s v=""/>
    <m/>
  </r>
  <r>
    <x v="502"/>
    <s v="080"/>
    <x v="0"/>
    <s v="FS"/>
    <d v="1899-12-30T01:01:15"/>
    <n v="12.4"/>
    <d v="1899-12-30T00:04:56"/>
    <n v="146"/>
    <n v="79"/>
    <n v="240"/>
    <m/>
    <n v="1.0616273471352913"/>
    <s v="New Balance 1080 v9"/>
  </r>
  <r>
    <x v="503"/>
    <s v="081"/>
    <x v="0"/>
    <s v="rec"/>
    <d v="1899-12-30T01:04:49"/>
    <n v="11.57"/>
    <d v="1899-12-30T00:05:36"/>
    <n v="132"/>
    <n v="63"/>
    <n v="212"/>
    <m/>
    <n v="1.0635689314877641"/>
    <s v="Saucony Guide ISO 2"/>
  </r>
  <r>
    <x v="504"/>
    <s v="082"/>
    <x v="0"/>
    <s v="GA1.22"/>
    <d v="1899-12-30T02:07:46"/>
    <n v="22.2"/>
    <d v="1899-12-30T00:05:45"/>
    <n v="134"/>
    <n v="116"/>
    <n v="205"/>
    <m/>
    <n v="1.0565617856662632"/>
    <s v="New Balance 860 v9"/>
  </r>
  <r>
    <x v="505"/>
    <m/>
    <x v="0"/>
    <m/>
    <m/>
    <s v=""/>
    <s v=""/>
    <m/>
    <s v="0"/>
    <m/>
    <m/>
    <s v=""/>
    <m/>
  </r>
  <r>
    <x v="506"/>
    <s v="083"/>
    <x v="0"/>
    <s v="HMRT6"/>
    <d v="1899-12-30T00:48:10"/>
    <n v="9.6"/>
    <d v="1899-12-30T00:05:01"/>
    <n v="141"/>
    <n v="61"/>
    <s v="-"/>
    <m/>
    <s v=""/>
    <s v="Adizero Boston"/>
  </r>
  <r>
    <x v="507"/>
    <s v="084"/>
    <x v="0"/>
    <s v="rec"/>
    <d v="1899-12-30T01:04:26"/>
    <n v="11.57"/>
    <d v="1899-12-30T00:05:34"/>
    <n v="130"/>
    <n v="63"/>
    <n v="213"/>
    <m/>
    <n v="1.062266025103523"/>
    <s v="Saucony Guide ISO 2"/>
  </r>
  <r>
    <x v="508"/>
    <m/>
    <x v="0"/>
    <m/>
    <m/>
    <s v=""/>
    <s v=""/>
    <m/>
    <s v="0"/>
    <m/>
    <m/>
    <s v=""/>
    <m/>
  </r>
  <r>
    <x v="509"/>
    <s v="085"/>
    <x v="0"/>
    <s v="rec"/>
    <d v="1899-12-30T01:02:54"/>
    <s v=""/>
    <s v=""/>
    <n v="131"/>
    <n v="65"/>
    <n v="219"/>
    <m/>
    <s v=""/>
    <s v="Saucony Guide ISO 2"/>
  </r>
  <r>
    <x v="510"/>
    <m/>
    <x v="0"/>
    <m/>
    <m/>
    <s v=""/>
    <s v=""/>
    <m/>
    <s v="0"/>
    <m/>
    <m/>
    <s v=""/>
    <m/>
  </r>
  <r>
    <x v="511"/>
    <s v="086"/>
    <x v="0"/>
    <s v="GA2.14"/>
    <d v="1899-12-30T01:17:49"/>
    <n v="14.3"/>
    <d v="1899-12-30T00:05:27"/>
    <n v="133"/>
    <n v="81"/>
    <n v="218"/>
    <m/>
    <n v="1.0623546602651082"/>
    <s v="New Balance 860 v9"/>
  </r>
  <r>
    <x v="512"/>
    <m/>
    <x v="0"/>
    <m/>
    <m/>
    <s v=""/>
    <s v=""/>
    <m/>
    <s v="0"/>
    <m/>
    <m/>
    <s v=""/>
    <m/>
  </r>
  <r>
    <x v="513"/>
    <m/>
    <x v="0"/>
    <m/>
    <m/>
    <s v=""/>
    <s v=""/>
    <m/>
    <s v="0"/>
    <m/>
    <m/>
    <s v=""/>
    <m/>
  </r>
  <r>
    <x v="514"/>
    <s v="087"/>
    <x v="0"/>
    <s v="HMRT4"/>
    <d v="1899-12-30T00:39:29"/>
    <n v="8.19"/>
    <d v="1899-12-30T00:04:49"/>
    <n v="144"/>
    <n v="51"/>
    <n v="240"/>
    <m/>
    <n v="1.0361379913618722"/>
    <s v="New Balance 1080 v9"/>
  </r>
  <r>
    <x v="515"/>
    <m/>
    <x v="0"/>
    <m/>
    <m/>
    <s v=""/>
    <s v=""/>
    <m/>
    <s v="0"/>
    <m/>
    <m/>
    <s v=""/>
    <m/>
  </r>
  <r>
    <x v="516"/>
    <s v="088"/>
    <x v="0"/>
    <s v="GA1.6"/>
    <d v="1899-12-30T00:38:46"/>
    <n v="6.91"/>
    <d v="1899-12-30T00:05:37"/>
    <n v="137"/>
    <n v="38"/>
    <n v="215"/>
    <m/>
    <n v="1.0801779812946843"/>
    <s v="New Balance 860 v9"/>
  </r>
  <r>
    <x v="517"/>
    <m/>
    <x v="0"/>
    <m/>
    <m/>
    <s v=""/>
    <s v=""/>
    <m/>
    <s v="0"/>
    <m/>
    <m/>
    <s v=""/>
    <m/>
  </r>
  <r>
    <x v="518"/>
    <s v="089"/>
    <x v="1"/>
    <s v="WK"/>
    <d v="1899-12-30T00:53:38"/>
    <n v="12.2"/>
    <d v="1899-12-30T00:04:24"/>
    <n v="166"/>
    <n v="78"/>
    <n v="261"/>
    <m/>
    <n v="1.0275238561291902"/>
    <s v="Adizero Boston"/>
  </r>
  <r>
    <x v="519"/>
    <m/>
    <x v="0"/>
    <m/>
    <m/>
    <s v=""/>
    <s v=""/>
    <m/>
    <s v="0"/>
    <m/>
    <m/>
    <s v=""/>
    <m/>
  </r>
  <r>
    <x v="520"/>
    <m/>
    <x v="0"/>
    <m/>
    <m/>
    <s v=""/>
    <s v=""/>
    <m/>
    <s v="0"/>
    <m/>
    <m/>
    <s v=""/>
    <m/>
  </r>
  <r>
    <x v="521"/>
    <m/>
    <x v="0"/>
    <m/>
    <m/>
    <s v=""/>
    <s v=""/>
    <m/>
    <s v="0"/>
    <m/>
    <m/>
    <s v=""/>
    <m/>
  </r>
  <r>
    <x v="522"/>
    <m/>
    <x v="0"/>
    <m/>
    <m/>
    <s v=""/>
    <s v=""/>
    <m/>
    <s v="0"/>
    <m/>
    <m/>
    <s v=""/>
    <m/>
  </r>
  <r>
    <x v="523"/>
    <m/>
    <x v="0"/>
    <m/>
    <m/>
    <s v=""/>
    <s v=""/>
    <m/>
    <s v="0"/>
    <m/>
    <m/>
    <s v=""/>
    <m/>
  </r>
  <r>
    <x v="524"/>
    <m/>
    <x v="0"/>
    <m/>
    <m/>
    <s v=""/>
    <s v=""/>
    <m/>
    <s v="0"/>
    <m/>
    <m/>
    <s v=""/>
    <m/>
  </r>
  <r>
    <x v="525"/>
    <m/>
    <x v="0"/>
    <m/>
    <m/>
    <s v=""/>
    <s v=""/>
    <m/>
    <s v="0"/>
    <m/>
    <m/>
    <s v=""/>
    <m/>
  </r>
  <r>
    <x v="526"/>
    <s v="090"/>
    <x v="0"/>
    <s v="rec"/>
    <d v="1899-12-30T00:48:08"/>
    <n v="8.3800000000000008"/>
    <d v="1899-12-30T00:05:45"/>
    <n v="141"/>
    <n v="46"/>
    <n v="210"/>
    <m/>
    <n v="1.0801838065044704"/>
    <s v="Saucony Guide ISO 2"/>
  </r>
  <r>
    <x v="527"/>
    <m/>
    <x v="0"/>
    <m/>
    <m/>
    <s v=""/>
    <s v=""/>
    <m/>
    <s v="0"/>
    <m/>
    <m/>
    <s v=""/>
    <m/>
  </r>
  <r>
    <x v="528"/>
    <s v="091"/>
    <x v="0"/>
    <s v="GA1.8"/>
    <d v="1899-12-30T00:48:02"/>
    <n v="8.48"/>
    <d v="1899-12-30T00:05:40"/>
    <n v="132"/>
    <n v="46"/>
    <n v="211"/>
    <m/>
    <n v="1.0703006195437903"/>
    <s v="Saucony Guide ISO 2"/>
  </r>
  <r>
    <x v="529"/>
    <m/>
    <x v="0"/>
    <m/>
    <m/>
    <s v=""/>
    <s v=""/>
    <m/>
    <s v="0"/>
    <m/>
    <m/>
    <s v=""/>
    <m/>
  </r>
  <r>
    <x v="530"/>
    <s v="092"/>
    <x v="0"/>
    <s v="GA1.8"/>
    <d v="1899-12-30T00:47:43"/>
    <n v="8.4"/>
    <d v="1899-12-30T00:05:41"/>
    <n v="135"/>
    <n v="45"/>
    <n v="210"/>
    <m/>
    <n v="1.0682835820895524"/>
    <s v="Saucony Guide ISO 2"/>
  </r>
  <r>
    <x v="531"/>
    <m/>
    <x v="0"/>
    <m/>
    <m/>
    <s v=""/>
    <s v=""/>
    <m/>
    <s v="0"/>
    <m/>
    <m/>
    <s v=""/>
    <m/>
  </r>
  <r>
    <x v="532"/>
    <m/>
    <x v="0"/>
    <m/>
    <m/>
    <s v=""/>
    <s v=""/>
    <m/>
    <s v="0"/>
    <m/>
    <m/>
    <s v=""/>
    <m/>
  </r>
  <r>
    <x v="533"/>
    <m/>
    <x v="0"/>
    <m/>
    <m/>
    <s v=""/>
    <s v=""/>
    <m/>
    <s v="0"/>
    <m/>
    <m/>
    <s v=""/>
    <m/>
  </r>
  <r>
    <x v="534"/>
    <m/>
    <x v="0"/>
    <m/>
    <m/>
    <s v=""/>
    <s v=""/>
    <m/>
    <s v="0"/>
    <m/>
    <m/>
    <s v=""/>
    <m/>
  </r>
  <r>
    <x v="535"/>
    <m/>
    <x v="0"/>
    <m/>
    <m/>
    <s v=""/>
    <s v=""/>
    <m/>
    <s v="0"/>
    <m/>
    <m/>
    <s v=""/>
    <m/>
  </r>
  <r>
    <x v="536"/>
    <m/>
    <x v="0"/>
    <m/>
    <m/>
    <s v=""/>
    <s v=""/>
    <m/>
    <s v="0"/>
    <m/>
    <m/>
    <s v=""/>
    <m/>
  </r>
  <r>
    <x v="537"/>
    <m/>
    <x v="0"/>
    <m/>
    <m/>
    <s v=""/>
    <s v=""/>
    <m/>
    <s v="0"/>
    <m/>
    <m/>
    <s v=""/>
    <m/>
  </r>
  <r>
    <x v="538"/>
    <m/>
    <x v="0"/>
    <m/>
    <m/>
    <s v=""/>
    <s v=""/>
    <m/>
    <s v="0"/>
    <m/>
    <m/>
    <s v=""/>
    <m/>
  </r>
  <r>
    <x v="539"/>
    <s v="093"/>
    <x v="0"/>
    <s v="GA1.8"/>
    <d v="1899-12-30T00:46:41"/>
    <n v="8.2899999999999991"/>
    <d v="1899-12-30T00:05:38"/>
    <n v="131"/>
    <n v="45"/>
    <n v="212"/>
    <m/>
    <n v="1.0691032173271158"/>
    <s v="New Balance 860 v9"/>
  </r>
  <r>
    <x v="540"/>
    <m/>
    <x v="0"/>
    <m/>
    <m/>
    <s v=""/>
    <s v=""/>
    <m/>
    <s v="0"/>
    <m/>
    <m/>
    <s v=""/>
    <m/>
  </r>
  <r>
    <x v="541"/>
    <m/>
    <x v="0"/>
    <m/>
    <m/>
    <s v=""/>
    <s v=""/>
    <m/>
    <s v="0"/>
    <m/>
    <m/>
    <s v=""/>
    <m/>
  </r>
  <r>
    <x v="542"/>
    <s v="094"/>
    <x v="0"/>
    <s v="GA1.8"/>
    <d v="1899-12-30T00:47:50"/>
    <n v="8.4"/>
    <d v="1899-12-30T00:05:42"/>
    <n v="134"/>
    <n v="46"/>
    <n v="210"/>
    <m/>
    <n v="1.0708955223880599"/>
    <s v="New Balance 860 v9"/>
  </r>
  <r>
    <x v="543"/>
    <m/>
    <x v="0"/>
    <m/>
    <m/>
    <s v=""/>
    <s v=""/>
    <m/>
    <s v="0"/>
    <m/>
    <m/>
    <s v=""/>
    <m/>
  </r>
  <r>
    <x v="544"/>
    <m/>
    <x v="0"/>
    <m/>
    <m/>
    <s v=""/>
    <s v=""/>
    <m/>
    <s v="0"/>
    <m/>
    <m/>
    <s v=""/>
    <m/>
  </r>
  <r>
    <x v="545"/>
    <s v="095"/>
    <x v="0"/>
    <s v="GA2.10"/>
    <d v="1899-12-30T00:41:10"/>
    <n v="6.87"/>
    <d v="1899-12-30T00:06:00"/>
    <n v="129"/>
    <n v="40"/>
    <n v="208"/>
    <m/>
    <m/>
    <s v="New Balance 860 v9"/>
  </r>
  <r>
    <x v="546"/>
    <m/>
    <x v="0"/>
    <m/>
    <m/>
    <s v=""/>
    <s v=""/>
    <m/>
    <s v="0"/>
    <m/>
    <m/>
    <s v=""/>
    <m/>
  </r>
  <r>
    <x v="547"/>
    <m/>
    <x v="0"/>
    <m/>
    <m/>
    <s v=""/>
    <s v=""/>
    <m/>
    <s v="0"/>
    <m/>
    <m/>
    <s v=""/>
    <m/>
  </r>
  <r>
    <x v="548"/>
    <s v="096"/>
    <x v="0"/>
    <s v="GA1.8"/>
    <d v="1899-12-30T00:47:16"/>
    <n v="8.32"/>
    <d v="1899-12-30T00:05:41"/>
    <n v="141"/>
    <n v="45"/>
    <n v="211"/>
    <m/>
    <n v="1.0734715843857636"/>
    <s v="New Balance 860 v9"/>
  </r>
  <r>
    <x v="549"/>
    <m/>
    <x v="0"/>
    <m/>
    <m/>
    <m/>
    <s v=""/>
    <m/>
    <s v="0"/>
    <m/>
    <m/>
    <s v=""/>
    <m/>
  </r>
  <r>
    <x v="550"/>
    <m/>
    <x v="0"/>
    <m/>
    <m/>
    <s v=""/>
    <s v=""/>
    <m/>
    <s v="0"/>
    <m/>
    <m/>
    <s v=""/>
    <m/>
  </r>
  <r>
    <x v="551"/>
    <m/>
    <x v="0"/>
    <m/>
    <m/>
    <s v=""/>
    <s v=""/>
    <m/>
    <s v="0"/>
    <m/>
    <m/>
    <s v=""/>
    <m/>
  </r>
  <r>
    <x v="552"/>
    <m/>
    <x v="0"/>
    <m/>
    <m/>
    <s v=""/>
    <s v=""/>
    <m/>
    <s v="0"/>
    <m/>
    <m/>
    <s v=""/>
    <m/>
  </r>
  <r>
    <x v="553"/>
    <m/>
    <x v="0"/>
    <m/>
    <m/>
    <s v=""/>
    <s v=""/>
    <m/>
    <s v="0"/>
    <m/>
    <m/>
    <s v=""/>
    <m/>
  </r>
  <r>
    <x v="554"/>
    <m/>
    <x v="0"/>
    <m/>
    <m/>
    <s v=""/>
    <s v=""/>
    <m/>
    <s v="0"/>
    <m/>
    <m/>
    <s v=""/>
    <m/>
  </r>
  <r>
    <x v="555"/>
    <m/>
    <x v="0"/>
    <m/>
    <m/>
    <s v=""/>
    <s v=""/>
    <m/>
    <s v="0"/>
    <m/>
    <m/>
    <s v=""/>
    <m/>
  </r>
  <r>
    <x v="556"/>
    <m/>
    <x v="0"/>
    <m/>
    <m/>
    <s v=""/>
    <s v=""/>
    <m/>
    <s v="0"/>
    <m/>
    <m/>
    <s v=""/>
    <m/>
  </r>
  <r>
    <x v="557"/>
    <m/>
    <x v="0"/>
    <m/>
    <m/>
    <s v=""/>
    <s v=""/>
    <m/>
    <s v="0"/>
    <m/>
    <m/>
    <s v=""/>
    <m/>
  </r>
  <r>
    <x v="558"/>
    <m/>
    <x v="0"/>
    <m/>
    <m/>
    <s v=""/>
    <s v=""/>
    <m/>
    <s v="0"/>
    <m/>
    <m/>
    <s v=""/>
    <m/>
  </r>
  <r>
    <x v="559"/>
    <m/>
    <x v="0"/>
    <m/>
    <m/>
    <s v=""/>
    <s v=""/>
    <m/>
    <s v="0"/>
    <m/>
    <m/>
    <s v=""/>
    <m/>
  </r>
  <r>
    <x v="560"/>
    <s v="097"/>
    <x v="0"/>
    <s v="GA1.8"/>
    <d v="1899-12-30T00:44:09"/>
    <n v="8.0399999999999991"/>
    <d v="1899-12-30T00:05:29"/>
    <n v="143"/>
    <n v="46"/>
    <n v="216"/>
    <m/>
    <n v="1.0621964802851414"/>
    <s v="Adizero Boston"/>
  </r>
  <r>
    <x v="561"/>
    <m/>
    <x v="0"/>
    <m/>
    <m/>
    <s v=""/>
    <s v=""/>
    <m/>
    <s v="0"/>
    <m/>
    <m/>
    <s v=""/>
    <m/>
  </r>
  <r>
    <x v="562"/>
    <m/>
    <x v="0"/>
    <m/>
    <m/>
    <s v=""/>
    <s v=""/>
    <m/>
    <s v="0"/>
    <m/>
    <m/>
    <s v=""/>
    <m/>
  </r>
  <r>
    <x v="563"/>
    <s v="098"/>
    <x v="0"/>
    <s v="GA1.8"/>
    <d v="1899-12-30T00:51:53"/>
    <n v="8.91"/>
    <d v="1899-12-30T00:05:49"/>
    <n v="146"/>
    <n v="48"/>
    <n v="207"/>
    <m/>
    <n v="1.079436152570481"/>
    <s v="Saucony Guide ISO 2"/>
  </r>
  <r>
    <x v="564"/>
    <m/>
    <x v="0"/>
    <m/>
    <m/>
    <s v=""/>
    <s v=""/>
    <m/>
    <s v="0"/>
    <m/>
    <m/>
    <s v=""/>
    <m/>
  </r>
  <r>
    <x v="565"/>
    <m/>
    <x v="0"/>
    <m/>
    <m/>
    <s v=""/>
    <s v=""/>
    <m/>
    <s v="0"/>
    <m/>
    <m/>
    <s v=""/>
    <m/>
  </r>
  <r>
    <x v="566"/>
    <s v="099"/>
    <x v="0"/>
    <s v="GA1.8"/>
    <d v="1899-12-30T00:46:16"/>
    <n v="8.2899999999999991"/>
    <d v="1899-12-30T00:05:35"/>
    <n v="147"/>
    <n v="46"/>
    <n v="215"/>
    <m/>
    <n v="1.0745548493959636"/>
    <s v="New Balance 1080 v9"/>
  </r>
  <r>
    <x v="567"/>
    <m/>
    <x v="0"/>
    <m/>
    <m/>
    <s v=""/>
    <s v=""/>
    <m/>
    <s v="0"/>
    <m/>
    <m/>
    <s v=""/>
    <m/>
  </r>
  <r>
    <x v="568"/>
    <m/>
    <x v="0"/>
    <m/>
    <m/>
    <s v=""/>
    <s v=""/>
    <m/>
    <s v="0"/>
    <m/>
    <m/>
    <s v=""/>
    <m/>
  </r>
  <r>
    <x v="569"/>
    <s v="100"/>
    <x v="0"/>
    <s v="GA1.8"/>
    <d v="1899-12-30T00:54:04"/>
    <n v="9.52"/>
    <d v="1899-12-30T00:05:41"/>
    <n v="130"/>
    <n v="53"/>
    <n v="211"/>
    <m/>
    <n v="1.0731280571930266"/>
    <s v="Saucony Guide ISO 2"/>
  </r>
  <r>
    <x v="570"/>
    <m/>
    <x v="0"/>
    <m/>
    <m/>
    <s v=""/>
    <s v=""/>
    <m/>
    <s v="0"/>
    <m/>
    <m/>
    <s v=""/>
    <m/>
  </r>
  <r>
    <x v="571"/>
    <m/>
    <x v="0"/>
    <m/>
    <m/>
    <s v=""/>
    <s v=""/>
    <m/>
    <s v="0"/>
    <m/>
    <m/>
    <s v=""/>
    <m/>
  </r>
  <r>
    <x v="572"/>
    <s v="101"/>
    <x v="0"/>
    <s v="rec60"/>
    <d v="1899-12-30T01:00:43"/>
    <n v="10.68"/>
    <d v="1899-12-30T00:05:41"/>
    <n v="132"/>
    <n v="59"/>
    <n v="211"/>
    <m/>
    <n v="1.0742257812063281"/>
    <s v="Saucony Guide ISO 2"/>
  </r>
  <r>
    <x v="573"/>
    <m/>
    <x v="0"/>
    <m/>
    <m/>
    <s v=""/>
    <s v=""/>
    <m/>
    <s v="0"/>
    <m/>
    <m/>
    <s v=""/>
    <m/>
  </r>
  <r>
    <x v="574"/>
    <s v="102"/>
    <x v="0"/>
    <s v="GA1.8"/>
    <d v="1899-12-30T00:49:36"/>
    <n v="8.83"/>
    <d v="1899-12-30T00:05:37"/>
    <n v="143"/>
    <n v="48"/>
    <n v="214"/>
    <m/>
    <n v="1.076492959889116"/>
    <s v="Saucony Guide ISO 2"/>
  </r>
  <r>
    <x v="575"/>
    <m/>
    <x v="0"/>
    <m/>
    <m/>
    <s v=""/>
    <s v=""/>
    <m/>
    <s v="0"/>
    <m/>
    <m/>
    <s v=""/>
    <m/>
  </r>
  <r>
    <x v="576"/>
    <m/>
    <x v="0"/>
    <m/>
    <m/>
    <s v=""/>
    <s v=""/>
    <m/>
    <s v="0"/>
    <m/>
    <m/>
    <s v=""/>
    <m/>
  </r>
  <r>
    <x v="577"/>
    <s v="103"/>
    <x v="0"/>
    <s v="rec60"/>
    <d v="1899-12-30T00:59:19"/>
    <n v="10.59"/>
    <d v="1899-12-30T00:05:36"/>
    <n v="129"/>
    <n v="59"/>
    <n v="213"/>
    <m/>
    <n v="1.0684072555071669"/>
    <s v="New Balance 1080 v9"/>
  </r>
  <r>
    <x v="578"/>
    <m/>
    <x v="0"/>
    <m/>
    <m/>
    <s v=""/>
    <s v=""/>
    <m/>
    <s v="0"/>
    <m/>
    <m/>
    <s v=""/>
    <m/>
  </r>
  <r>
    <x v="579"/>
    <s v="104"/>
    <x v="0"/>
    <s v="rec60"/>
    <d v="1899-12-30T00:57:30"/>
    <n v="10.61"/>
    <d v="1899-12-30T00:05:25"/>
    <n v="131"/>
    <n v="60"/>
    <n v="220"/>
    <m/>
    <n v="1.0677057689872973"/>
    <s v="New Balance 860 v9"/>
  </r>
  <r>
    <x v="580"/>
    <m/>
    <x v="0"/>
    <m/>
    <m/>
    <s v=""/>
    <s v=""/>
    <m/>
    <s v="0"/>
    <m/>
    <m/>
    <s v=""/>
    <m/>
  </r>
  <r>
    <x v="581"/>
    <m/>
    <x v="0"/>
    <m/>
    <m/>
    <s v=""/>
    <s v=""/>
    <m/>
    <s v="0"/>
    <m/>
    <m/>
    <s v=""/>
    <m/>
  </r>
  <r>
    <x v="582"/>
    <m/>
    <x v="0"/>
    <m/>
    <m/>
    <s v=""/>
    <s v=""/>
    <m/>
    <s v="0"/>
    <m/>
    <m/>
    <s v=""/>
    <m/>
  </r>
  <r>
    <x v="583"/>
    <m/>
    <x v="0"/>
    <m/>
    <m/>
    <s v=""/>
    <s v=""/>
    <m/>
    <s v="0"/>
    <m/>
    <m/>
    <s v=""/>
    <m/>
  </r>
  <r>
    <x v="584"/>
    <m/>
    <x v="0"/>
    <m/>
    <m/>
    <s v=""/>
    <s v=""/>
    <m/>
    <s v="0"/>
    <m/>
    <m/>
    <s v=""/>
    <m/>
  </r>
  <r>
    <x v="585"/>
    <s v="105"/>
    <x v="0"/>
    <s v="GA1.12"/>
    <d v="1899-12-30T01:03:27"/>
    <n v="11.46"/>
    <d v="1899-12-30T00:05:32"/>
    <n v="148"/>
    <n v="64"/>
    <n v="216"/>
    <m/>
    <n v="1.0709697585371574"/>
    <s v="New Balance 860 v9"/>
  </r>
  <r>
    <x v="586"/>
    <m/>
    <x v="0"/>
    <m/>
    <m/>
    <s v=""/>
    <s v=""/>
    <m/>
    <s v="0"/>
    <m/>
    <m/>
    <s v=""/>
    <m/>
  </r>
  <r>
    <x v="587"/>
    <m/>
    <x v="0"/>
    <m/>
    <m/>
    <s v=""/>
    <s v=""/>
    <m/>
    <s v="0"/>
    <m/>
    <m/>
    <s v=""/>
    <m/>
  </r>
  <r>
    <x v="588"/>
    <s v="106"/>
    <x v="0"/>
    <s v="GA1.12"/>
    <d v="1899-12-30T01:07:46"/>
    <n v="12.19"/>
    <d v="1899-12-30T00:05:34"/>
    <n v="147"/>
    <n v="67"/>
    <n v="215"/>
    <m/>
    <n v="1.0703537276700992"/>
    <s v="New Balance 860 v9"/>
  </r>
  <r>
    <x v="589"/>
    <m/>
    <x v="0"/>
    <m/>
    <m/>
    <s v=""/>
    <s v=""/>
    <m/>
    <s v="0"/>
    <m/>
    <m/>
    <s v=""/>
    <m/>
  </r>
  <r>
    <x v="590"/>
    <s v="107"/>
    <x v="0"/>
    <s v="GA2.10"/>
    <d v="1899-12-30T00:44:17"/>
    <n v="8.86"/>
    <d v="1899-12-30T00:05:00"/>
    <n v="145"/>
    <n v="53"/>
    <n v="234"/>
    <m/>
    <n v="1.0473670024594859"/>
    <s v="Adizero Boston"/>
  </r>
  <r>
    <x v="591"/>
    <s v="108"/>
    <x v="0"/>
    <s v="rec60"/>
    <d v="1899-12-30T00:47:44"/>
    <n v="8.2799999999999994"/>
    <d v="1899-12-30T00:05:46"/>
    <n v="127"/>
    <n v="44"/>
    <n v="206"/>
    <m/>
    <n v="1.063494123584974"/>
    <s v="Adizero Boston"/>
  </r>
  <r>
    <x v="592"/>
    <m/>
    <x v="0"/>
    <m/>
    <m/>
    <s v=""/>
    <s v=""/>
    <m/>
    <s v="0"/>
    <m/>
    <m/>
    <s v=""/>
    <m/>
  </r>
  <r>
    <x v="593"/>
    <s v="109"/>
    <x v="0"/>
    <s v="rec"/>
    <d v="1899-12-30T01:02:39"/>
    <n v="11.26"/>
    <d v="1899-12-30T00:05:34"/>
    <n v="140"/>
    <n v="63"/>
    <n v="216"/>
    <m/>
    <n v="1.0762493041011638"/>
    <s v="New Balance 1080 v9"/>
  </r>
  <r>
    <x v="594"/>
    <m/>
    <x v="0"/>
    <m/>
    <m/>
    <s v=""/>
    <s v=""/>
    <m/>
    <s v="0"/>
    <m/>
    <m/>
    <s v=""/>
    <m/>
  </r>
  <r>
    <x v="595"/>
    <s v="110"/>
    <x v="0"/>
    <s v="rec"/>
    <d v="1899-12-30T01:06:24"/>
    <n v="12.09"/>
    <d v="1899-12-30T00:05:30"/>
    <n v="145"/>
    <n v="69"/>
    <n v="218"/>
    <m/>
    <n v="1.0721973260249622"/>
    <s v="New Balance 860 v9"/>
  </r>
  <r>
    <x v="596"/>
    <m/>
    <x v="0"/>
    <m/>
    <m/>
    <s v=""/>
    <s v=""/>
    <m/>
    <s v="0"/>
    <m/>
    <m/>
    <s v=""/>
    <m/>
  </r>
  <r>
    <x v="597"/>
    <s v="111"/>
    <x v="0"/>
    <s v="GA1.10"/>
    <d v="1899-12-30T00:57:52"/>
    <n v="9.99"/>
    <d v="1899-12-30T00:05:48"/>
    <n v="140"/>
    <n v="55"/>
    <n v="209"/>
    <m/>
    <n v="1.0841408572751858"/>
    <s v="New Balance 1080 v9"/>
  </r>
  <r>
    <x v="598"/>
    <s v="112"/>
    <x v="0"/>
    <s v="INT4"/>
    <d v="1899-12-30T00:50:49"/>
    <n v="9.1199999999999992"/>
    <d v="1899-12-30T00:05:34"/>
    <n v="146"/>
    <n v="57"/>
    <n v="210"/>
    <m/>
    <n v="1.0478692065985864"/>
    <s v="Adizero Boston"/>
  </r>
  <r>
    <x v="599"/>
    <m/>
    <x v="0"/>
    <m/>
    <m/>
    <s v=""/>
    <s v=""/>
    <m/>
    <s v="0"/>
    <m/>
    <m/>
    <s v=""/>
    <m/>
  </r>
  <r>
    <x v="600"/>
    <s v="113"/>
    <x v="0"/>
    <s v="rec60"/>
    <d v="1899-12-30T01:01:08"/>
    <n v="10.74"/>
    <d v="1899-12-30T00:05:42"/>
    <n v="142"/>
    <n v="61"/>
    <n v="211"/>
    <m/>
    <n v="1.0755551849690097"/>
    <s v="New Balance 860 v9"/>
  </r>
  <r>
    <x v="601"/>
    <m/>
    <x v="0"/>
    <m/>
    <m/>
    <s v=""/>
    <s v=""/>
    <m/>
    <s v="0"/>
    <m/>
    <m/>
    <s v=""/>
    <m/>
  </r>
  <r>
    <x v="602"/>
    <s v="114"/>
    <x v="0"/>
    <s v="GA1.14"/>
    <d v="1899-12-30T01:16:53"/>
    <n v="13.6"/>
    <d v="1899-12-30T00:05:39"/>
    <n v="143"/>
    <n v="74"/>
    <n v="211"/>
    <m/>
    <n v="1.0681990781387183"/>
    <s v="New Balance 1080 v9"/>
  </r>
  <r>
    <x v="603"/>
    <m/>
    <x v="0"/>
    <m/>
    <m/>
    <s v=""/>
    <s v=""/>
    <m/>
    <s v="0"/>
    <m/>
    <m/>
    <s v=""/>
    <m/>
  </r>
  <r>
    <x v="604"/>
    <s v="115"/>
    <x v="0"/>
    <s v="GA1.8"/>
    <d v="1899-12-30T01:09:55"/>
    <n v="9.19"/>
    <d v="1899-12-30T00:07:36"/>
    <n v="124"/>
    <n v="39"/>
    <n v="160"/>
    <m/>
    <n v="1.0900881880044824"/>
    <s v="New Balance 860 v9"/>
  </r>
  <r>
    <x v="605"/>
    <s v="116"/>
    <x v="0"/>
    <s v="INT6"/>
    <d v="1899-12-30T01:03:36"/>
    <n v="11.57"/>
    <d v="1899-12-30T00:05:30"/>
    <n v="146"/>
    <n v="71"/>
    <n v="211"/>
    <m/>
    <n v="1.0386821295424347"/>
    <s v="Adizero Boston"/>
  </r>
  <r>
    <x v="606"/>
    <m/>
    <x v="0"/>
    <m/>
    <m/>
    <s v=""/>
    <s v=""/>
    <m/>
    <s v="0"/>
    <m/>
    <m/>
    <s v=""/>
    <m/>
  </r>
  <r>
    <x v="607"/>
    <s v="117"/>
    <x v="0"/>
    <s v="rec"/>
    <d v="1899-12-30T00:59:44"/>
    <n v="10.75"/>
    <d v="1899-12-30T00:05:33"/>
    <n v="129"/>
    <n v="60"/>
    <n v="213"/>
    <m/>
    <n v="1.0598986463033671"/>
    <s v="New Balance 1080 v9"/>
  </r>
  <r>
    <x v="608"/>
    <m/>
    <x v="0"/>
    <m/>
    <m/>
    <s v=""/>
    <s v=""/>
    <m/>
    <s v="0"/>
    <m/>
    <m/>
    <s v=""/>
    <m/>
  </r>
  <r>
    <x v="609"/>
    <s v="118"/>
    <x v="0"/>
    <s v="GA1.16"/>
    <d v="1899-12-30T01:31:17"/>
    <n v="16.86"/>
    <d v="1899-12-30T00:05:25"/>
    <n v="141"/>
    <n v="97"/>
    <n v="219"/>
    <m/>
    <n v="1.0618287565730069"/>
    <s v="New Balance 860 v9"/>
  </r>
  <r>
    <x v="610"/>
    <m/>
    <x v="0"/>
    <m/>
    <m/>
    <s v=""/>
    <s v=""/>
    <m/>
    <s v="0"/>
    <m/>
    <m/>
    <s v=""/>
    <m/>
  </r>
  <r>
    <x v="611"/>
    <m/>
    <x v="0"/>
    <m/>
    <m/>
    <s v=""/>
    <s v=""/>
    <m/>
    <s v="0"/>
    <m/>
    <m/>
    <s v=""/>
    <m/>
  </r>
  <r>
    <x v="612"/>
    <s v="119"/>
    <x v="0"/>
    <s v="rec"/>
    <d v="1899-12-30T00:57:59"/>
    <n v="10.5"/>
    <d v="1899-12-30T00:05:31"/>
    <n v="141"/>
    <n v="59"/>
    <n v="215"/>
    <m/>
    <n v="1.0632338308457712"/>
    <s v="New Balance 860 v9"/>
  </r>
  <r>
    <x v="613"/>
    <m/>
    <x v="0"/>
    <m/>
    <m/>
    <s v=""/>
    <s v=""/>
    <m/>
    <s v="0"/>
    <m/>
    <m/>
    <s v=""/>
    <m/>
  </r>
  <r>
    <x v="614"/>
    <s v="120"/>
    <x v="0"/>
    <s v="GA2.10"/>
    <d v="1899-12-30T00:51:09"/>
    <n v="10.11"/>
    <d v="1899-12-30T00:05:04"/>
    <n v="147"/>
    <n v="60"/>
    <n v="231"/>
    <m/>
    <n v="1.0466052526684084"/>
    <s v="New Balance 1080 v9"/>
  </r>
  <r>
    <x v="615"/>
    <m/>
    <x v="0"/>
    <m/>
    <m/>
    <s v=""/>
    <s v=""/>
    <m/>
    <s v="0"/>
    <m/>
    <m/>
    <s v=""/>
    <m/>
  </r>
  <r>
    <x v="616"/>
    <s v="121"/>
    <x v="0"/>
    <s v="GA1.14"/>
    <d v="1899-12-30T01:13:31"/>
    <n v="13.17"/>
    <d v="1899-12-30T00:05:35"/>
    <n v="135"/>
    <n v="72"/>
    <n v="213"/>
    <m/>
    <n v="1.0647706796314556"/>
    <s v="New Balance 860 v9"/>
  </r>
  <r>
    <x v="617"/>
    <m/>
    <x v="0"/>
    <m/>
    <m/>
    <s v=""/>
    <s v=""/>
    <m/>
    <s v="0"/>
    <m/>
    <m/>
    <s v=""/>
    <m/>
  </r>
  <r>
    <x v="618"/>
    <m/>
    <x v="0"/>
    <m/>
    <m/>
    <s v=""/>
    <s v=""/>
    <m/>
    <s v="0"/>
    <m/>
    <m/>
    <s v=""/>
    <m/>
  </r>
  <r>
    <x v="619"/>
    <n v="122"/>
    <x v="0"/>
    <s v="rec"/>
    <d v="1899-12-30T00:53:36"/>
    <n v="9.9700000000000006"/>
    <d v="1899-12-30T00:05:23"/>
    <n v="138"/>
    <n v="58"/>
    <n v="222"/>
    <m/>
    <n v="1.0688064192577731"/>
    <s v="New Balance 860 v9"/>
  </r>
  <r>
    <x v="620"/>
    <m/>
    <x v="0"/>
    <m/>
    <m/>
    <s v=""/>
    <s v=""/>
    <m/>
    <s v="0"/>
    <m/>
    <m/>
    <s v=""/>
    <m/>
  </r>
  <r>
    <x v="621"/>
    <m/>
    <x v="0"/>
    <m/>
    <m/>
    <s v=""/>
    <s v=""/>
    <m/>
    <s v="0"/>
    <m/>
    <m/>
    <s v=""/>
    <m/>
  </r>
  <r>
    <x v="622"/>
    <s v="123"/>
    <x v="0"/>
    <s v="rec"/>
    <d v="1899-12-30T00:55:48"/>
    <n v="10.73"/>
    <d v="1899-12-30T00:05:12"/>
    <n v="148"/>
    <n v="64"/>
    <n v="227"/>
    <m/>
    <n v="1.0571504082569445"/>
    <s v="New Balance 860 v9"/>
  </r>
  <r>
    <x v="623"/>
    <m/>
    <x v="0"/>
    <m/>
    <m/>
    <s v=""/>
    <s v=""/>
    <m/>
    <s v="0"/>
    <m/>
    <m/>
    <s v=""/>
    <m/>
  </r>
  <r>
    <x v="624"/>
    <m/>
    <x v="0"/>
    <m/>
    <m/>
    <s v=""/>
    <s v=""/>
    <m/>
    <s v="0"/>
    <m/>
    <m/>
    <s v=""/>
    <m/>
  </r>
  <r>
    <x v="625"/>
    <s v="124"/>
    <x v="0"/>
    <s v="rec"/>
    <d v="1899-12-30T00:46:21"/>
    <n v="8.5299999999999994"/>
    <d v="1899-12-30T00:05:26"/>
    <n v="140"/>
    <n v="48"/>
    <n v="218"/>
    <m/>
    <n v="1.0608003359521267"/>
    <s v="New Balance 1080 v9"/>
  </r>
  <r>
    <x v="626"/>
    <m/>
    <x v="0"/>
    <m/>
    <m/>
    <s v=""/>
    <s v=""/>
    <m/>
    <s v="0"/>
    <m/>
    <m/>
    <s v=""/>
    <m/>
  </r>
  <r>
    <x v="627"/>
    <s v="125"/>
    <x v="0"/>
    <s v="rec"/>
    <d v="1899-12-30T01:06:43"/>
    <n v="12.73"/>
    <d v="1899-12-30T00:05:14"/>
    <n v="138"/>
    <n v="74"/>
    <n v="226"/>
    <m/>
    <n v="1.0606957357751696"/>
    <s v="New Balance 1080 v9"/>
  </r>
  <r>
    <x v="628"/>
    <m/>
    <x v="0"/>
    <m/>
    <m/>
    <s v=""/>
    <s v=""/>
    <m/>
    <s v="0"/>
    <m/>
    <m/>
    <s v=""/>
    <m/>
  </r>
  <r>
    <x v="629"/>
    <s v="126"/>
    <x v="0"/>
    <s v="Z4.30"/>
    <d v="1899-12-30T01:14:07"/>
    <n v="14.97"/>
    <d v="1899-12-30T00:04:57"/>
    <n v="150"/>
    <n v="92"/>
    <n v="237"/>
    <m/>
    <n v="1.0507971166213022"/>
    <s v="Adizero Boston"/>
  </r>
  <r>
    <x v="630"/>
    <m/>
    <x v="0"/>
    <m/>
    <m/>
    <s v=""/>
    <s v=""/>
    <m/>
    <s v="0"/>
    <m/>
    <m/>
    <s v=""/>
    <m/>
  </r>
  <r>
    <x v="631"/>
    <m/>
    <x v="0"/>
    <m/>
    <m/>
    <s v=""/>
    <s v=""/>
    <m/>
    <s v="0"/>
    <m/>
    <m/>
    <s v=""/>
    <m/>
  </r>
  <r>
    <x v="632"/>
    <s v="127"/>
    <x v="0"/>
    <s v="rec"/>
    <d v="1899-12-30T00:52:58"/>
    <n v="10.1"/>
    <d v="1899-12-30T00:05:15"/>
    <n v="138"/>
    <n v="59"/>
    <n v="227"/>
    <m/>
    <n v="1.0660647258755729"/>
    <s v="New Balance 860 v9"/>
  </r>
  <r>
    <x v="633"/>
    <m/>
    <x v="0"/>
    <m/>
    <m/>
    <s v=""/>
    <s v=""/>
    <m/>
    <s v="0"/>
    <m/>
    <m/>
    <s v=""/>
    <m/>
  </r>
  <r>
    <x v="634"/>
    <m/>
    <x v="0"/>
    <m/>
    <m/>
    <s v=""/>
    <s v=""/>
    <m/>
    <s v="0"/>
    <m/>
    <m/>
    <s v=""/>
    <m/>
  </r>
  <r>
    <x v="635"/>
    <s v="128"/>
    <x v="0"/>
    <s v="rec"/>
    <d v="1899-12-30T01:00:24"/>
    <n v="11.2"/>
    <d v="1899-12-30T00:05:24"/>
    <n v="140"/>
    <n v="63"/>
    <n v="220"/>
    <m/>
    <n v="1.0624733475479746"/>
    <s v="New Balance 1080 v9"/>
  </r>
  <r>
    <x v="636"/>
    <m/>
    <x v="0"/>
    <m/>
    <m/>
    <s v=""/>
    <s v=""/>
    <m/>
    <s v="0"/>
    <m/>
    <m/>
    <s v=""/>
    <m/>
  </r>
  <r>
    <x v="637"/>
    <s v="129"/>
    <x v="0"/>
    <s v="GA1.18"/>
    <d v="1899-12-30T01:37:31"/>
    <n v="17.850000000000001"/>
    <d v="1899-12-30T00:05:28"/>
    <n v="143"/>
    <n v="103"/>
    <n v="219"/>
    <m/>
    <n v="1.0714235544964255"/>
    <s v="New Balance 860 v9"/>
  </r>
  <r>
    <x v="638"/>
    <m/>
    <x v="0"/>
    <m/>
    <m/>
    <s v=""/>
    <s v=""/>
    <m/>
    <s v="0"/>
    <m/>
    <m/>
    <s v=""/>
    <m/>
  </r>
  <r>
    <x v="639"/>
    <s v="130"/>
    <x v="0"/>
    <s v="rec60"/>
    <d v="1899-12-30T01:01:26"/>
    <n v="11.2"/>
    <d v="1899-12-30T00:05:29"/>
    <n v="132"/>
    <n v="64"/>
    <n v="218"/>
    <m/>
    <n v="1.0708262260127932"/>
    <s v="New Balance 1080 v9"/>
  </r>
  <r>
    <x v="640"/>
    <m/>
    <x v="0"/>
    <m/>
    <m/>
    <s v=""/>
    <s v=""/>
    <m/>
    <s v="0"/>
    <m/>
    <m/>
    <s v=""/>
    <m/>
  </r>
  <r>
    <x v="641"/>
    <m/>
    <x v="0"/>
    <m/>
    <m/>
    <s v=""/>
    <s v=""/>
    <m/>
    <s v="0"/>
    <m/>
    <m/>
    <s v=""/>
    <m/>
  </r>
  <r>
    <x v="642"/>
    <s v="131"/>
    <x v="0"/>
    <s v="GA1.8"/>
    <d v="1899-12-30T00:46:19"/>
    <n v="8.84"/>
    <d v="1899-12-30T00:05:14"/>
    <n v="138"/>
    <n v="53"/>
    <n v="224"/>
    <m/>
    <n v="1.0510164111568854"/>
    <s v="New Balance 1080 v9"/>
  </r>
  <r>
    <x v="643"/>
    <m/>
    <x v="0"/>
    <m/>
    <m/>
    <s v=""/>
    <m/>
    <m/>
    <s v="0"/>
    <m/>
    <m/>
    <s v=""/>
    <m/>
  </r>
  <r>
    <x v="644"/>
    <s v="132"/>
    <x v="0"/>
    <s v="FS"/>
    <d v="1899-12-30T00:44:28"/>
    <n v="8.56"/>
    <d v="1899-12-30T00:05:12"/>
    <n v="134"/>
    <n v="55"/>
    <n v="229"/>
    <m/>
    <n v="1.0653019946994002"/>
    <s v="Adizero Boston"/>
  </r>
  <r>
    <x v="645"/>
    <m/>
    <x v="0"/>
    <m/>
    <m/>
    <s v=""/>
    <s v=""/>
    <m/>
    <s v="0"/>
    <m/>
    <m/>
    <s v=""/>
    <m/>
  </r>
  <r>
    <x v="646"/>
    <s v="133"/>
    <x v="0"/>
    <s v="GA1.8"/>
    <d v="1899-12-30T00:51:53"/>
    <n v="8.84"/>
    <d v="1899-12-30T00:05:52"/>
    <n v="123"/>
    <n v="48"/>
    <n v="205"/>
    <m/>
    <n v="1.077471803876545"/>
    <s v="New Balance 860 v9"/>
  </r>
  <r>
    <x v="647"/>
    <m/>
    <x v="0"/>
    <m/>
    <m/>
    <s v=""/>
    <s v=""/>
    <m/>
    <s v="0"/>
    <m/>
    <m/>
    <s v=""/>
    <m/>
  </r>
  <r>
    <x v="648"/>
    <s v="134"/>
    <x v="0"/>
    <s v="GA1.6"/>
    <d v="1899-12-30T00:40:11"/>
    <n v="7.09"/>
    <d v="1899-12-30T00:05:40"/>
    <n v="126"/>
    <n v="39"/>
    <n v="209"/>
    <m/>
    <n v="1.0607730038102854"/>
    <s v="New Balance 1080 v9"/>
  </r>
  <r>
    <x v="649"/>
    <m/>
    <x v="0"/>
    <m/>
    <m/>
    <s v=""/>
    <s v=""/>
    <m/>
    <s v="0"/>
    <m/>
    <m/>
    <s v=""/>
    <m/>
  </r>
  <r>
    <x v="650"/>
    <m/>
    <x v="0"/>
    <m/>
    <m/>
    <s v=""/>
    <s v=""/>
    <m/>
    <s v="0"/>
    <m/>
    <m/>
    <s v=""/>
    <m/>
  </r>
  <r>
    <x v="651"/>
    <s v="135"/>
    <x v="0"/>
    <s v="WK"/>
    <d v="1899-12-30T01:45:04"/>
    <n v="21.1"/>
    <d v="1899-12-30T00:04:59"/>
    <n v="162"/>
    <n v="129"/>
    <n v="236"/>
    <m/>
    <n v="1.0523760345193462"/>
    <s v="Adizero Boston"/>
  </r>
  <r>
    <x v="652"/>
    <m/>
    <x v="0"/>
    <m/>
    <m/>
    <s v=""/>
    <s v=""/>
    <m/>
    <s v="0"/>
    <m/>
    <m/>
    <s v=""/>
    <m/>
  </r>
  <r>
    <x v="653"/>
    <m/>
    <x v="0"/>
    <m/>
    <m/>
    <s v=""/>
    <s v=""/>
    <m/>
    <s v="0"/>
    <m/>
    <m/>
    <s v=""/>
    <m/>
  </r>
  <r>
    <x v="654"/>
    <m/>
    <x v="0"/>
    <m/>
    <m/>
    <s v=""/>
    <s v=""/>
    <m/>
    <s v="0"/>
    <m/>
    <m/>
    <s v=""/>
    <m/>
  </r>
  <r>
    <x v="655"/>
    <m/>
    <x v="0"/>
    <m/>
    <m/>
    <s v=""/>
    <s v=""/>
    <m/>
    <s v="0"/>
    <m/>
    <m/>
    <s v=""/>
    <m/>
  </r>
  <r>
    <x v="656"/>
    <m/>
    <x v="0"/>
    <m/>
    <m/>
    <s v=""/>
    <s v=""/>
    <m/>
    <s v="0"/>
    <m/>
    <m/>
    <s v=""/>
    <m/>
  </r>
  <r>
    <x v="657"/>
    <s v="136"/>
    <x v="0"/>
    <s v="rec60"/>
    <d v="1899-12-30T01:01:59"/>
    <n v="11.1"/>
    <d v="1899-12-30T00:05:35"/>
    <n v="137"/>
    <n v="72"/>
    <n v="214"/>
    <m/>
    <n v="1.070143875218502"/>
    <s v="New Balance 1080 v9"/>
  </r>
  <r>
    <x v="658"/>
    <m/>
    <x v="0"/>
    <m/>
    <m/>
    <s v=""/>
    <s v=""/>
    <m/>
    <s v="0"/>
    <m/>
    <m/>
    <s v=""/>
    <m/>
  </r>
  <r>
    <x v="659"/>
    <m/>
    <x v="0"/>
    <m/>
    <m/>
    <s v=""/>
    <s v=""/>
    <m/>
    <s v="0"/>
    <m/>
    <m/>
    <s v=""/>
    <m/>
  </r>
  <r>
    <x v="660"/>
    <s v="137"/>
    <x v="0"/>
    <s v="rec60"/>
    <d v="1899-12-30T00:52:04"/>
    <n v="9.5"/>
    <d v="1899-12-30T00:05:29"/>
    <n v="134"/>
    <n v="64"/>
    <n v="217"/>
    <m/>
    <n v="1.0650557737627653"/>
    <s v="New Balance 1080 v9"/>
  </r>
  <r>
    <x v="661"/>
    <m/>
    <x v="0"/>
    <m/>
    <m/>
    <s v=""/>
    <s v=""/>
    <m/>
    <s v="0"/>
    <m/>
    <m/>
    <s v=""/>
    <m/>
  </r>
  <r>
    <x v="662"/>
    <m/>
    <x v="0"/>
    <m/>
    <m/>
    <s v=""/>
    <s v=""/>
    <m/>
    <s v="0"/>
    <m/>
    <m/>
    <s v=""/>
    <m/>
  </r>
  <r>
    <x v="663"/>
    <s v="138"/>
    <x v="0"/>
    <s v="rec60"/>
    <d v="1899-12-30T00:56:02"/>
    <n v="9.94"/>
    <d v="1899-12-30T00:05:38"/>
    <n v="132"/>
    <n v="65"/>
    <n v="214"/>
    <m/>
    <n v="1.0803147241658908"/>
    <s v="New Balance 860 v9"/>
  </r>
  <r>
    <x v="664"/>
    <m/>
    <x v="0"/>
    <m/>
    <m/>
    <s v=""/>
    <s v=""/>
    <m/>
    <s v="0"/>
    <m/>
    <m/>
    <s v=""/>
    <m/>
  </r>
  <r>
    <x v="665"/>
    <s v="139"/>
    <x v="0"/>
    <s v="CP"/>
    <d v="1899-12-30T01:03:28"/>
    <n v="11.6"/>
    <d v="1899-12-30T00:05:28"/>
    <n v="137"/>
    <n v="78"/>
    <n v="214"/>
    <m/>
    <n v="1.0485229027277407"/>
    <s v="Adizero Boston"/>
  </r>
  <r>
    <x v="666"/>
    <m/>
    <x v="0"/>
    <m/>
    <m/>
    <s v=""/>
    <s v=""/>
    <m/>
    <s v="0"/>
    <m/>
    <m/>
    <s v=""/>
    <m/>
  </r>
  <r>
    <x v="667"/>
    <m/>
    <x v="0"/>
    <m/>
    <m/>
    <s v=""/>
    <s v=""/>
    <m/>
    <s v="0"/>
    <m/>
    <m/>
    <s v=""/>
    <m/>
  </r>
  <r>
    <x v="668"/>
    <m/>
    <x v="0"/>
    <m/>
    <m/>
    <m/>
    <s v=""/>
    <m/>
    <m/>
    <m/>
    <m/>
    <s v=""/>
    <m/>
  </r>
  <r>
    <x v="669"/>
    <s v="140"/>
    <x v="0"/>
    <s v="rec"/>
    <d v="1899-12-30T00:52:43"/>
    <n v="10.6"/>
    <d v="1899-12-30T00:04:58"/>
    <n v="141"/>
    <n v="76"/>
    <n v="237"/>
    <m/>
    <n v="1.0555209800056324"/>
    <s v="Adizero Boston"/>
  </r>
  <r>
    <x v="670"/>
    <m/>
    <x v="0"/>
    <m/>
    <m/>
    <s v=""/>
    <s v=""/>
    <m/>
    <s v="0"/>
    <m/>
    <m/>
    <s v=""/>
    <m/>
  </r>
  <r>
    <x v="671"/>
    <m/>
    <x v="0"/>
    <m/>
    <m/>
    <s v=""/>
    <s v=""/>
    <m/>
    <s v="0"/>
    <m/>
    <m/>
    <s v=""/>
    <m/>
  </r>
  <r>
    <x v="672"/>
    <s v="141"/>
    <x v="0"/>
    <s v="rec"/>
    <d v="1899-12-30T01:05:25"/>
    <n v="11.38"/>
    <d v="1899-12-30T00:05:45"/>
    <n v="138"/>
    <n v="72"/>
    <n v="208"/>
    <m/>
    <n v="1.0707446948036616"/>
    <s v="New Balance 1080 v9"/>
  </r>
  <r>
    <x v="673"/>
    <m/>
    <x v="0"/>
    <m/>
    <m/>
    <s v=""/>
    <s v=""/>
    <m/>
    <s v="0"/>
    <m/>
    <m/>
    <s v=""/>
    <m/>
  </r>
  <r>
    <x v="674"/>
    <m/>
    <x v="0"/>
    <m/>
    <m/>
    <s v=""/>
    <s v=""/>
    <m/>
    <s v="0"/>
    <m/>
    <m/>
    <s v=""/>
    <m/>
  </r>
  <r>
    <x v="675"/>
    <s v="142"/>
    <x v="0"/>
    <s v="rec"/>
    <d v="1899-12-30T01:07:45"/>
    <n v="12.4"/>
    <d v="1899-12-30T00:05:28"/>
    <n v="138"/>
    <n v="84"/>
    <n v="220"/>
    <m/>
    <n v="1.076432354357246"/>
    <s v="Saucony Guide ISO 2"/>
  </r>
  <r>
    <x v="676"/>
    <m/>
    <x v="0"/>
    <m/>
    <m/>
    <s v=""/>
    <s v=""/>
    <m/>
    <s v="0"/>
    <m/>
    <m/>
    <s v=""/>
    <m/>
  </r>
  <r>
    <x v="677"/>
    <s v="143"/>
    <x v="0"/>
    <s v="rec60"/>
    <d v="1899-12-30T00:50:58"/>
    <n v="9.43"/>
    <d v="1899-12-30T00:05:24"/>
    <n v="138"/>
    <n v="62"/>
    <n v="219"/>
    <m/>
    <n v="1.0599737262784699"/>
    <s v="New Balance 1080 v9"/>
  </r>
  <r>
    <x v="678"/>
    <m/>
    <x v="0"/>
    <m/>
    <m/>
    <s v=""/>
    <s v=""/>
    <m/>
    <s v="0"/>
    <m/>
    <m/>
    <s v=""/>
    <m/>
  </r>
  <r>
    <x v="679"/>
    <s v="144"/>
    <x v="0"/>
    <s v="GA1.14"/>
    <d v="1899-12-30T01:17:59"/>
    <n v="14.2"/>
    <d v="1899-12-30T00:05:30"/>
    <n v="140"/>
    <n v="93"/>
    <n v="216"/>
    <m/>
    <n v="1.0622913601009041"/>
    <s v="New Balance 1080 v9"/>
  </r>
  <r>
    <x v="680"/>
    <m/>
    <x v="0"/>
    <m/>
    <m/>
    <s v=""/>
    <s v=""/>
    <m/>
    <s v="0"/>
    <m/>
    <m/>
    <s v=""/>
    <m/>
  </r>
  <r>
    <x v="681"/>
    <s v="145"/>
    <x v="0"/>
    <s v="rec60"/>
    <d v="1899-12-30T00:54:00"/>
    <n v="9.68"/>
    <d v="1899-12-30T00:05:35"/>
    <n v="141"/>
    <n v="63"/>
    <n v="214"/>
    <m/>
    <n v="1.0690761070679657"/>
    <s v="New Balance 860 v9"/>
  </r>
  <r>
    <x v="682"/>
    <m/>
    <x v="0"/>
    <m/>
    <m/>
    <s v=""/>
    <s v=""/>
    <m/>
    <s v="0"/>
    <m/>
    <m/>
    <s v=""/>
    <m/>
  </r>
  <r>
    <x v="683"/>
    <n v="146"/>
    <x v="0"/>
    <s v="rec60"/>
    <d v="1899-12-30T00:52:20"/>
    <n v="9.69"/>
    <d v="1899-12-30T00:05:24"/>
    <n v="140"/>
    <n v="64"/>
    <n v="219"/>
    <m/>
    <n v="1.0591931980962064"/>
    <s v="New Balance 860 v9"/>
  </r>
  <r>
    <x v="684"/>
    <m/>
    <x v="0"/>
    <m/>
    <m/>
    <s v=""/>
    <s v=""/>
    <m/>
    <s v="0"/>
    <m/>
    <m/>
    <s v=""/>
    <m/>
  </r>
  <r>
    <x v="685"/>
    <m/>
    <x v="0"/>
    <m/>
    <m/>
    <s v=""/>
    <s v=""/>
    <m/>
    <s v="0"/>
    <m/>
    <m/>
    <s v=""/>
    <m/>
  </r>
  <r>
    <x v="686"/>
    <n v="147"/>
    <x v="0"/>
    <s v="rec60"/>
    <d v="1899-12-30T01:00:47"/>
    <n v="10.5"/>
    <d v="1899-12-30T00:05:47"/>
    <n v="136"/>
    <n v="66"/>
    <n v="207"/>
    <m/>
    <n v="1.0731044776119405"/>
    <s v="New Balance 1080 v9"/>
  </r>
  <r>
    <x v="687"/>
    <m/>
    <x v="0"/>
    <m/>
    <m/>
    <s v=""/>
    <s v=""/>
    <m/>
    <s v="0"/>
    <m/>
    <m/>
    <s v=""/>
    <m/>
  </r>
  <r>
    <x v="688"/>
    <n v="148"/>
    <x v="0"/>
    <s v="rec60"/>
    <d v="1899-12-30T00:58:20"/>
    <n v="10.6"/>
    <d v="1899-12-30T00:05:30"/>
    <n v="136"/>
    <n v="69"/>
    <n v="216"/>
    <m/>
    <n v="1.0644888763728528"/>
    <s v="New Balance 1080 v9"/>
  </r>
  <r>
    <x v="689"/>
    <m/>
    <x v="0"/>
    <m/>
    <m/>
    <s v=""/>
    <s v=""/>
    <m/>
    <s v="0"/>
    <m/>
    <m/>
    <s v=""/>
    <m/>
  </r>
  <r>
    <x v="690"/>
    <m/>
    <x v="0"/>
    <m/>
    <m/>
    <s v=""/>
    <s v=""/>
    <m/>
    <s v="0"/>
    <m/>
    <m/>
    <s v=""/>
    <m/>
  </r>
  <r>
    <x v="691"/>
    <m/>
    <x v="0"/>
    <m/>
    <m/>
    <s v=""/>
    <s v=""/>
    <m/>
    <s v="0"/>
    <m/>
    <m/>
    <s v=""/>
    <m/>
  </r>
  <r>
    <x v="692"/>
    <m/>
    <x v="0"/>
    <m/>
    <m/>
    <s v=""/>
    <s v=""/>
    <m/>
    <s v="0"/>
    <m/>
    <m/>
    <s v=""/>
    <m/>
  </r>
  <r>
    <x v="693"/>
    <n v="149"/>
    <x v="0"/>
    <s v="rec"/>
    <d v="1899-12-30T01:02:16"/>
    <n v="11.34"/>
    <d v="1899-12-30T00:05:29"/>
    <n v="138"/>
    <n v="72"/>
    <n v="211"/>
    <m/>
    <n v="1.0375319171339072"/>
    <s v="New Balance 1080 v9"/>
  </r>
  <r>
    <x v="694"/>
    <m/>
    <x v="0"/>
    <m/>
    <m/>
    <s v=""/>
    <s v=""/>
    <m/>
    <s v="0"/>
    <m/>
    <m/>
    <s v=""/>
    <m/>
  </r>
  <r>
    <x v="695"/>
    <m/>
    <x v="0"/>
    <m/>
    <m/>
    <s v=""/>
    <s v=""/>
    <m/>
    <s v="0"/>
    <m/>
    <m/>
    <s v=""/>
    <m/>
  </r>
  <r>
    <x v="696"/>
    <n v="150"/>
    <x v="0"/>
    <s v="rec60"/>
    <d v="1899-12-30T00:58:30"/>
    <n v="10.7"/>
    <d v="1899-12-30T00:05:28"/>
    <n v="152"/>
    <n v="72"/>
    <n v="220"/>
    <m/>
    <n v="1.0771376761054543"/>
    <s v="New Balance 1080 v9"/>
  </r>
  <r>
    <x v="697"/>
    <m/>
    <x v="0"/>
    <m/>
    <m/>
    <s v=""/>
    <s v=""/>
    <m/>
    <s v="0"/>
    <m/>
    <m/>
    <s v=""/>
    <m/>
  </r>
  <r>
    <x v="698"/>
    <n v="151"/>
    <x v="0"/>
    <s v="rec60"/>
    <d v="1899-12-30T00:58:09"/>
    <n v="10.6"/>
    <d v="1899-12-30T00:05:29"/>
    <n v="141"/>
    <n v="69"/>
    <n v="216"/>
    <m/>
    <n v="1.0611433399042522"/>
    <s v="New Balance 1080 v9"/>
  </r>
  <r>
    <x v="699"/>
    <m/>
    <x v="0"/>
    <m/>
    <m/>
    <s v=""/>
    <s v=""/>
    <m/>
    <s v="0"/>
    <m/>
    <m/>
    <s v=""/>
    <m/>
  </r>
  <r>
    <x v="700"/>
    <n v="152"/>
    <x v="0"/>
    <s v="GA1.12"/>
    <d v="1899-12-30T01:05:48"/>
    <n v="12"/>
    <d v="1899-12-30T00:05:29"/>
    <n v="133"/>
    <n v="80"/>
    <n v="216"/>
    <m/>
    <n v="1.0606567164179106"/>
    <s v="Adizero Boston"/>
  </r>
  <r>
    <x v="701"/>
    <m/>
    <x v="0"/>
    <m/>
    <m/>
    <s v=""/>
    <s v=""/>
    <m/>
    <s v="0"/>
    <m/>
    <m/>
    <s v=""/>
    <m/>
  </r>
  <r>
    <x v="702"/>
    <n v="153"/>
    <x v="0"/>
    <s v="rec60"/>
    <d v="1899-12-30T00:57:53"/>
    <n v="10.68"/>
    <d v="1899-12-30T00:05:25"/>
    <n v="142"/>
    <n v="72"/>
    <n v="221"/>
    <m/>
    <n v="1.0726326233998547"/>
    <s v="Adizero Boston"/>
  </r>
  <r>
    <x v="703"/>
    <m/>
    <x v="0"/>
    <m/>
    <m/>
    <s v=""/>
    <s v=""/>
    <m/>
    <s v="0"/>
    <m/>
    <m/>
    <s v=""/>
    <m/>
  </r>
  <r>
    <x v="704"/>
    <m/>
    <x v="0"/>
    <m/>
    <m/>
    <s v=""/>
    <s v=""/>
    <m/>
    <s v="0"/>
    <m/>
    <m/>
    <s v=""/>
    <m/>
  </r>
  <r>
    <x v="705"/>
    <m/>
    <x v="0"/>
    <m/>
    <m/>
    <s v=""/>
    <s v=""/>
    <m/>
    <s v="0"/>
    <m/>
    <m/>
    <s v=""/>
    <m/>
  </r>
  <r>
    <x v="706"/>
    <m/>
    <x v="0"/>
    <m/>
    <m/>
    <s v=""/>
    <s v=""/>
    <m/>
    <s v="0"/>
    <m/>
    <m/>
    <s v=""/>
    <m/>
  </r>
  <r>
    <x v="707"/>
    <m/>
    <x v="0"/>
    <m/>
    <m/>
    <s v=""/>
    <s v=""/>
    <m/>
    <s v="0"/>
    <m/>
    <m/>
    <s v=""/>
    <m/>
  </r>
  <r>
    <x v="708"/>
    <m/>
    <x v="0"/>
    <m/>
    <m/>
    <s v=""/>
    <s v=""/>
    <m/>
    <s v="0"/>
    <m/>
    <m/>
    <s v=""/>
    <m/>
  </r>
  <r>
    <x v="709"/>
    <m/>
    <x v="0"/>
    <m/>
    <m/>
    <s v=""/>
    <s v=""/>
    <m/>
    <s v="0"/>
    <m/>
    <m/>
    <s v=""/>
    <m/>
  </r>
  <r>
    <x v="710"/>
    <m/>
    <x v="0"/>
    <m/>
    <m/>
    <s v=""/>
    <s v=""/>
    <m/>
    <s v="0"/>
    <m/>
    <m/>
    <s v=""/>
    <m/>
  </r>
  <r>
    <x v="711"/>
    <m/>
    <x v="0"/>
    <m/>
    <m/>
    <s v=""/>
    <s v=""/>
    <m/>
    <s v="0"/>
    <m/>
    <m/>
    <s v=""/>
    <m/>
  </r>
  <r>
    <x v="712"/>
    <n v="154"/>
    <x v="0"/>
    <s v="GA1.8"/>
    <d v="1899-12-30T00:47:54"/>
    <n v="8.33"/>
    <d v="1899-12-30T00:05:45"/>
    <n v="147"/>
    <n v="53"/>
    <n v="208"/>
    <m/>
    <n v="1.0711006790776014"/>
    <s v="New Balance 1080 v9"/>
  </r>
  <r>
    <x v="713"/>
    <m/>
    <x v="0"/>
    <m/>
    <m/>
    <s v=""/>
    <s v=""/>
    <m/>
    <s v="0"/>
    <m/>
    <m/>
    <s v=""/>
    <m/>
  </r>
  <r>
    <x v="714"/>
    <n v="155"/>
    <x v="0"/>
    <s v="GA2.10"/>
    <d v="1899-12-30T00:49:26"/>
    <n v="9.5299999999999994"/>
    <d v="1899-12-30T00:05:11"/>
    <n v="152"/>
    <n v="65"/>
    <n v="227"/>
    <m/>
    <n v="1.0544580351129975"/>
    <s v="New Balance 1080 v9"/>
  </r>
  <r>
    <x v="715"/>
    <m/>
    <x v="0"/>
    <m/>
    <m/>
    <s v=""/>
    <s v=""/>
    <m/>
    <s v="0"/>
    <m/>
    <m/>
    <s v=""/>
    <m/>
  </r>
  <r>
    <x v="716"/>
    <m/>
    <x v="0"/>
    <m/>
    <m/>
    <s v=""/>
    <s v=""/>
    <m/>
    <s v="0"/>
    <m/>
    <m/>
    <s v=""/>
    <m/>
  </r>
  <r>
    <x v="717"/>
    <m/>
    <x v="0"/>
    <m/>
    <m/>
    <m/>
    <s v=""/>
    <m/>
    <s v="0"/>
    <m/>
    <m/>
    <s v=""/>
    <m/>
  </r>
  <r>
    <x v="718"/>
    <m/>
    <x v="0"/>
    <m/>
    <m/>
    <s v=""/>
    <s v=""/>
    <m/>
    <s v="0"/>
    <m/>
    <m/>
    <s v=""/>
    <m/>
  </r>
  <r>
    <x v="719"/>
    <n v="156"/>
    <x v="0"/>
    <s v="GA1.8"/>
    <d v="1899-12-30T00:47:52"/>
    <n v="8.39"/>
    <d v="1899-12-30T00:05:42"/>
    <n v="141"/>
    <n v="53"/>
    <n v="210"/>
    <m/>
    <n v="1.0729190756586557"/>
    <s v="New Balance 1080 v9"/>
  </r>
  <r>
    <x v="720"/>
    <m/>
    <x v="0"/>
    <m/>
    <m/>
    <s v=""/>
    <s v=""/>
    <m/>
    <s v="0"/>
    <m/>
    <m/>
    <s v=""/>
    <m/>
  </r>
  <r>
    <x v="721"/>
    <n v="157"/>
    <x v="0"/>
    <s v="GA1.8"/>
    <d v="1899-12-30T00:47:31"/>
    <n v="8.51"/>
    <d v="1899-12-30T00:05:35"/>
    <n v="142"/>
    <n v="54"/>
    <n v="213"/>
    <m/>
    <n v="1.0650560359191119"/>
    <s v="Brooks Defyance 10"/>
  </r>
  <r>
    <x v="722"/>
    <m/>
    <x v="0"/>
    <m/>
    <m/>
    <s v=""/>
    <s v=""/>
    <m/>
    <s v="0"/>
    <m/>
    <m/>
    <s v=""/>
    <m/>
  </r>
  <r>
    <x v="723"/>
    <m/>
    <x v="0"/>
    <m/>
    <m/>
    <s v=""/>
    <s v=""/>
    <m/>
    <s v="0"/>
    <m/>
    <m/>
    <s v=""/>
    <m/>
  </r>
  <r>
    <x v="724"/>
    <m/>
    <x v="0"/>
    <m/>
    <m/>
    <s v=""/>
    <s v=""/>
    <m/>
    <s v="0"/>
    <m/>
    <m/>
    <s v=""/>
    <m/>
  </r>
  <r>
    <x v="725"/>
    <n v="158"/>
    <x v="0"/>
    <s v="GA1.8"/>
    <d v="1899-12-30T00:42:35"/>
    <n v="8.09"/>
    <d v="1899-12-30T00:05:16"/>
    <n v="147"/>
    <n v="55"/>
    <n v="226"/>
    <m/>
    <n v="1.0653100381897682"/>
    <s v="Brooks Defyance 10"/>
  </r>
  <r>
    <x v="726"/>
    <m/>
    <x v="0"/>
    <m/>
    <m/>
    <s v=""/>
    <s v=""/>
    <m/>
    <s v="0"/>
    <m/>
    <m/>
    <s v=""/>
    <m/>
  </r>
  <r>
    <x v="727"/>
    <n v="159"/>
    <x v="0"/>
    <s v="GA1.10"/>
    <d v="1899-12-30T00:51:51"/>
    <n v="9.5299999999999994"/>
    <d v="1899-12-30T00:05:26"/>
    <n v="142"/>
    <n v="63"/>
    <n v="220"/>
    <m/>
    <n v="1.0719017713113344"/>
    <s v="Brooks Defyance 10"/>
  </r>
  <r>
    <x v="728"/>
    <m/>
    <x v="0"/>
    <m/>
    <m/>
    <s v=""/>
    <s v=""/>
    <m/>
    <s v="0"/>
    <m/>
    <m/>
    <s v=""/>
    <m/>
  </r>
  <r>
    <x v="729"/>
    <m/>
    <x v="0"/>
    <m/>
    <m/>
    <s v=""/>
    <s v=""/>
    <m/>
    <s v="0"/>
    <m/>
    <m/>
    <s v=""/>
    <m/>
  </r>
  <r>
    <x v="730"/>
    <n v="160"/>
    <x v="0"/>
    <s v="Z4.30"/>
    <d v="1899-12-30T01:04:39"/>
    <n v="12.39"/>
    <d v="1899-12-30T00:05:13"/>
    <n v="150"/>
    <n v="86"/>
    <n v="226"/>
    <m/>
    <n v="1.0560442340356329"/>
    <s v="New Balance 1080 v9"/>
  </r>
  <r>
    <x v="731"/>
    <m/>
    <x v="0"/>
    <m/>
    <m/>
    <s v=""/>
    <s v=""/>
    <m/>
    <s v="0"/>
    <m/>
    <m/>
    <s v=""/>
    <m/>
  </r>
  <r>
    <x v="732"/>
    <n v="1"/>
    <x v="1"/>
    <s v="Z2.mHR"/>
    <d v="1899-12-30T00:51:55"/>
    <n v="9.5500000000000007"/>
    <d v="1899-12-30T00:05:26"/>
    <n v="144"/>
    <n v="64"/>
    <n v="219"/>
    <m/>
    <n v="1.066163944674533"/>
    <s v="Brooks Defyance 10"/>
  </r>
  <r>
    <x v="733"/>
    <m/>
    <x v="0"/>
    <m/>
    <m/>
    <s v=""/>
    <s v=""/>
    <m/>
    <s v="0"/>
    <m/>
    <m/>
    <s v=""/>
    <m/>
  </r>
  <r>
    <x v="734"/>
    <n v="2"/>
    <x v="1"/>
    <s v="Z2.HR"/>
    <d v="1899-12-30T00:57:51"/>
    <n v="10.54"/>
    <d v="1899-12-30T00:05:29"/>
    <n v="147"/>
    <n v="68"/>
    <n v="216"/>
    <m/>
    <n v="1.0616783256393554"/>
    <s v="Brooks Defyance 10"/>
  </r>
  <r>
    <x v="735"/>
    <m/>
    <x v="0"/>
    <m/>
    <m/>
    <s v=""/>
    <s v=""/>
    <m/>
    <s v="0"/>
    <m/>
    <m/>
    <s v=""/>
    <m/>
  </r>
  <r>
    <x v="736"/>
    <n v="3"/>
    <x v="1"/>
    <s v="CP"/>
    <d v="1899-12-30T00:49:18"/>
    <n v="9.14"/>
    <d v="1899-12-30T00:05:24"/>
    <n v="144"/>
    <n v="65"/>
    <n v="216"/>
    <m/>
    <n v="1.0433521669551586"/>
    <s v="Adizero Boston"/>
  </r>
  <r>
    <x v="737"/>
    <m/>
    <x v="0"/>
    <m/>
    <m/>
    <s v=""/>
    <s v=""/>
    <m/>
    <s v="0"/>
    <m/>
    <m/>
    <s v=""/>
    <m/>
  </r>
  <r>
    <x v="738"/>
    <m/>
    <x v="0"/>
    <m/>
    <m/>
    <s v=""/>
    <s v=""/>
    <m/>
    <s v="0"/>
    <m/>
    <m/>
    <s v=""/>
    <m/>
  </r>
  <r>
    <x v="739"/>
    <m/>
    <x v="0"/>
    <m/>
    <m/>
    <s v=""/>
    <s v=""/>
    <m/>
    <s v="0"/>
    <m/>
    <m/>
    <s v=""/>
    <m/>
  </r>
  <r>
    <x v="740"/>
    <m/>
    <x v="0"/>
    <m/>
    <m/>
    <m/>
    <s v=""/>
    <m/>
    <s v="0"/>
    <m/>
    <m/>
    <s v=""/>
    <m/>
  </r>
  <r>
    <x v="741"/>
    <n v="4"/>
    <x v="1"/>
    <s v="Z2.HR"/>
    <d v="1899-12-30T00:52:24"/>
    <n v="9.52"/>
    <d v="1899-12-30T00:05:30"/>
    <n v="139"/>
    <n v="63"/>
    <n v="216"/>
    <m/>
    <n v="1.0646933400225762"/>
    <s v="Brooks Defyance 10"/>
  </r>
  <r>
    <x v="742"/>
    <m/>
    <x v="0"/>
    <m/>
    <m/>
    <s v=""/>
    <s v=""/>
    <m/>
    <s v="0"/>
    <m/>
    <m/>
    <s v=""/>
    <m/>
  </r>
  <r>
    <x v="743"/>
    <m/>
    <x v="0"/>
    <m/>
    <m/>
    <s v=""/>
    <s v=""/>
    <m/>
    <s v="0"/>
    <m/>
    <m/>
    <s v=""/>
    <m/>
  </r>
  <r>
    <x v="744"/>
    <n v="5"/>
    <x v="1"/>
    <s v="Z2.mHR"/>
    <d v="1899-12-30T00:48:29"/>
    <n v="8.65"/>
    <d v="1899-12-30T00:05:36"/>
    <n v="139"/>
    <n v="56"/>
    <n v="212"/>
    <m/>
    <n v="1.0641152618410834"/>
    <s v="Brooks Defyance 10"/>
  </r>
  <r>
    <x v="745"/>
    <m/>
    <x v="0"/>
    <m/>
    <m/>
    <s v=""/>
    <s v=""/>
    <m/>
    <s v="0"/>
    <m/>
    <m/>
    <s v=""/>
    <m/>
  </r>
  <r>
    <x v="746"/>
    <n v="6"/>
    <x v="1"/>
    <s v="Z2.10"/>
    <d v="1899-12-30T00:54:03"/>
    <n v="10.130000000000001"/>
    <d v="1899-12-30T00:05:20"/>
    <n v="144"/>
    <n v="68"/>
    <n v="223"/>
    <m/>
    <n v="1.0655346171413416"/>
    <s v="Brooks Defyance 10"/>
  </r>
  <r>
    <x v="747"/>
    <m/>
    <x v="0"/>
    <m/>
    <m/>
    <s v=""/>
    <s v=""/>
    <m/>
    <s v="0"/>
    <m/>
    <m/>
    <s v=""/>
    <m/>
  </r>
  <r>
    <x v="748"/>
    <m/>
    <x v="0"/>
    <m/>
    <m/>
    <s v=""/>
    <s v=""/>
    <m/>
    <s v="0"/>
    <m/>
    <m/>
    <s v=""/>
    <m/>
  </r>
  <r>
    <x v="749"/>
    <n v="7"/>
    <x v="1"/>
    <s v="Z1.sHR"/>
    <d v="1899-12-30T00:49:24"/>
    <n v="8.36"/>
    <d v="1899-12-30T00:05:55"/>
    <n v="131"/>
    <n v="53.216789258291044"/>
    <n v="204"/>
    <m/>
    <n v="1.0795115332428766"/>
    <s v="Brooks Defyance 10"/>
  </r>
  <r>
    <x v="750"/>
    <m/>
    <x v="0"/>
    <m/>
    <m/>
    <s v=""/>
    <s v=""/>
    <m/>
    <s v="0"/>
    <m/>
    <m/>
    <s v=""/>
    <m/>
  </r>
  <r>
    <x v="751"/>
    <n v="8"/>
    <x v="1"/>
    <s v="Z2.10"/>
    <d v="1899-12-30T00:54:29"/>
    <n v="10.01"/>
    <d v="1899-12-30T00:05:27"/>
    <n v="139"/>
    <n v="67"/>
    <n v="219"/>
    <m/>
    <n v="1.0674564241728424"/>
    <s v="New Balance 1080 v9"/>
  </r>
  <r>
    <x v="752"/>
    <m/>
    <x v="0"/>
    <m/>
    <m/>
    <s v=""/>
    <s v=""/>
    <m/>
    <s v="0"/>
    <m/>
    <m/>
    <s v=""/>
    <m/>
  </r>
  <r>
    <x v="753"/>
    <m/>
    <x v="0"/>
    <m/>
    <m/>
    <s v=""/>
    <s v=""/>
    <m/>
    <s v="0"/>
    <m/>
    <m/>
    <s v=""/>
    <m/>
  </r>
  <r>
    <x v="754"/>
    <n v="9"/>
    <x v="1"/>
    <s v="Z4.30"/>
    <d v="1899-12-30T00:52:59"/>
    <n v="10.84"/>
    <d v="1899-12-30T00:04:53"/>
    <n v="152"/>
    <n v="78"/>
    <n v="238"/>
    <m/>
    <n v="1.0417497383929062"/>
    <s v="New Balance 1080 v9"/>
  </r>
  <r>
    <x v="755"/>
    <m/>
    <x v="0"/>
    <m/>
    <m/>
    <s v=""/>
    <s v=""/>
    <m/>
    <s v="0"/>
    <m/>
    <m/>
    <s v=""/>
    <m/>
  </r>
  <r>
    <x v="756"/>
    <n v="10"/>
    <x v="1"/>
    <s v="Z2.HR"/>
    <d v="1899-12-30T01:02:29"/>
    <n v="11.43"/>
    <d v="1899-12-30T00:05:28"/>
    <n v="137"/>
    <n v="75"/>
    <n v="219"/>
    <m/>
    <n v="1.0721079641164257"/>
    <s v="Brooks Defyance 10"/>
  </r>
  <r>
    <x v="757"/>
    <m/>
    <x v="0"/>
    <m/>
    <m/>
    <s v=""/>
    <s v=""/>
    <m/>
    <s v="0"/>
    <m/>
    <m/>
    <s v=""/>
    <m/>
  </r>
  <r>
    <x v="758"/>
    <n v="11"/>
    <x v="1"/>
    <s v="Z1.12"/>
    <d v="1899-12-30T01:05:44"/>
    <n v="11.44"/>
    <d v="1899-12-30T00:05:45"/>
    <n v="132"/>
    <n v="72"/>
    <n v="208"/>
    <m/>
    <n v="1.0702849389416556"/>
    <s v="New Balance 1080 v9"/>
  </r>
  <r>
    <x v="759"/>
    <n v="12"/>
    <x v="1"/>
    <s v="Z2.8"/>
    <d v="1899-12-30T00:45:20"/>
    <n v="8.42"/>
    <d v="1899-12-30T00:05:23"/>
    <n v="136"/>
    <n v="56"/>
    <n v="220"/>
    <m/>
    <n v="1.0607296061261393"/>
    <s v="Brooks Defyance 10"/>
  </r>
  <r>
    <x v="760"/>
    <m/>
    <x v="0"/>
    <m/>
    <m/>
    <s v=""/>
    <s v=""/>
    <m/>
    <s v="0"/>
    <m/>
    <m/>
    <s v=""/>
    <m/>
  </r>
  <r>
    <x v="761"/>
    <n v="13"/>
    <x v="1"/>
    <s v="Z4.30"/>
    <d v="1899-12-30T01:01:34"/>
    <n v="11.46"/>
    <d v="1899-12-30T00:05:22"/>
    <n v="150"/>
    <n v="80"/>
    <n v="218"/>
    <m/>
    <n v="1.0488031048943762"/>
    <s v="New Balance 1080 v9"/>
  </r>
  <r>
    <x v="762"/>
    <m/>
    <x v="0"/>
    <m/>
    <m/>
    <s v=""/>
    <s v=""/>
    <m/>
    <s v="0"/>
    <m/>
    <m/>
    <s v=""/>
    <m/>
  </r>
  <r>
    <x v="763"/>
    <n v="14"/>
    <x v="1"/>
    <s v="Z2.10"/>
    <d v="1899-12-30T00:54:15"/>
    <n v="10.4"/>
    <d v="1899-12-30T00:05:13"/>
    <n v="139"/>
    <n v="69"/>
    <n v="226"/>
    <m/>
    <n v="1.0557261768082664"/>
    <s v="Brooks Defyance 10"/>
  </r>
  <r>
    <x v="764"/>
    <m/>
    <x v="0"/>
    <m/>
    <m/>
    <s v=""/>
    <s v=""/>
    <m/>
    <s v="0"/>
    <m/>
    <m/>
    <s v=""/>
    <m/>
  </r>
  <r>
    <x v="765"/>
    <n v="15"/>
    <x v="1"/>
    <s v="Z2.10"/>
    <d v="1899-12-30T00:53:45"/>
    <n v="10.16"/>
    <d v="1899-12-30T00:05:17"/>
    <n v="141"/>
    <n v="67"/>
    <n v="223"/>
    <m/>
    <n v="1.0564916558937596"/>
    <s v="Brooks Defyance 10"/>
  </r>
  <r>
    <x v="766"/>
    <m/>
    <x v="0"/>
    <m/>
    <m/>
    <s v=""/>
    <s v=""/>
    <m/>
    <s v="0"/>
    <m/>
    <m/>
    <s v=""/>
    <m/>
  </r>
  <r>
    <x v="767"/>
    <n v="16"/>
    <x v="1"/>
    <s v="Z2.10"/>
    <d v="1899-12-30T00:53:17"/>
    <n v="10.050000000000001"/>
    <d v="1899-12-30T00:05:18"/>
    <n v="140"/>
    <n v="67"/>
    <n v="223"/>
    <m/>
    <n v="1.0587822083611791"/>
    <s v="New Balance 1080 v9"/>
  </r>
  <r>
    <x v="768"/>
    <m/>
    <x v="0"/>
    <m/>
    <m/>
    <s v=""/>
    <s v=""/>
    <m/>
    <s v="0"/>
    <m/>
    <m/>
    <s v=""/>
    <m/>
  </r>
  <r>
    <x v="769"/>
    <n v="17"/>
    <x v="1"/>
    <s v="Z2.60'"/>
    <d v="1899-12-30T00:55:45"/>
    <n v="10.53"/>
    <d v="1899-12-30T00:05:18"/>
    <n v="136"/>
    <n v="69"/>
    <n v="222"/>
    <m/>
    <n v="1.0525577241995152"/>
    <s v="Brooks Defyance 10"/>
  </r>
  <r>
    <x v="770"/>
    <m/>
    <x v="0"/>
    <m/>
    <m/>
    <s v=""/>
    <s v=""/>
    <m/>
    <s v="0"/>
    <m/>
    <m/>
    <s v=""/>
    <m/>
  </r>
  <r>
    <x v="771"/>
    <m/>
    <x v="0"/>
    <m/>
    <m/>
    <s v=""/>
    <s v=""/>
    <m/>
    <s v="0"/>
    <m/>
    <m/>
    <s v=""/>
    <m/>
  </r>
  <r>
    <x v="772"/>
    <n v="18"/>
    <x v="1"/>
    <s v="Z2.10"/>
    <d v="1899-12-30T00:52:47"/>
    <n v="10.17"/>
    <d v="1899-12-30T00:05:11"/>
    <n v="140"/>
    <n v="67"/>
    <n v="225"/>
    <m/>
    <n v="1.0457667415136707"/>
    <s v="Brooks Defyance 10"/>
  </r>
  <r>
    <x v="773"/>
    <m/>
    <x v="0"/>
    <m/>
    <m/>
    <s v=""/>
    <s v=""/>
    <m/>
    <s v="0"/>
    <m/>
    <m/>
    <s v=""/>
    <m/>
  </r>
  <r>
    <x v="774"/>
    <n v="19"/>
    <x v="1"/>
    <s v="Z2.8"/>
    <d v="1899-12-30T00:43:22"/>
    <n v="8.7100000000000009"/>
    <d v="1899-12-30T00:04:59"/>
    <n v="145"/>
    <n v="62"/>
    <n v="237"/>
    <m/>
    <n v="1.0567266994533646"/>
    <s v="Brooks Defyance 10"/>
  </r>
  <r>
    <x v="775"/>
    <n v="20"/>
    <x v="1"/>
    <s v="Z2.10"/>
    <d v="1899-12-30T00:49:15"/>
    <n v="9.43"/>
    <d v="1899-12-30T00:05:13"/>
    <n v="137"/>
    <n v="63"/>
    <n v="226"/>
    <m/>
    <n v="1.0570108102119307"/>
    <s v="New Balance 1080 v9"/>
  </r>
  <r>
    <x v="776"/>
    <m/>
    <x v="0"/>
    <m/>
    <m/>
    <s v=""/>
    <s v=""/>
    <m/>
    <s v="0"/>
    <m/>
    <m/>
    <s v=""/>
    <m/>
  </r>
  <r>
    <x v="777"/>
    <n v="21"/>
    <x v="1"/>
    <s v="Z4.30"/>
    <d v="1899-12-30T00:56:57"/>
    <n v="11.4"/>
    <d v="1899-12-30T00:05:00"/>
    <n v="149"/>
    <n v="83"/>
    <n v="234"/>
    <m/>
    <n v="1.0468421052631578"/>
    <s v="Brooks Defyance 10"/>
  </r>
  <r>
    <x v="778"/>
    <m/>
    <x v="0"/>
    <m/>
    <m/>
    <s v=""/>
    <s v=""/>
    <m/>
    <s v="0"/>
    <m/>
    <m/>
    <s v=""/>
    <m/>
  </r>
  <r>
    <x v="779"/>
    <n v="22"/>
    <x v="1"/>
    <s v="Z2.8"/>
    <d v="1899-12-30T00:44:51"/>
    <n v="8.41"/>
    <d v="1899-12-30T00:05:20"/>
    <n v="133"/>
    <n v="54"/>
    <n v="222"/>
    <m/>
    <n v="1.0602197100111808"/>
    <s v="Brooks Defyance 10"/>
  </r>
  <r>
    <x v="780"/>
    <m/>
    <x v="0"/>
    <m/>
    <m/>
    <s v=""/>
    <s v=""/>
    <m/>
    <s v="0"/>
    <m/>
    <m/>
    <s v=""/>
    <m/>
  </r>
  <r>
    <x v="781"/>
    <m/>
    <x v="0"/>
    <m/>
    <m/>
    <s v=""/>
    <s v=""/>
    <m/>
    <s v="0"/>
    <m/>
    <m/>
    <s v=""/>
    <m/>
  </r>
  <r>
    <x v="782"/>
    <m/>
    <x v="0"/>
    <m/>
    <m/>
    <s v=""/>
    <s v=""/>
    <m/>
    <s v="0"/>
    <m/>
    <m/>
    <s v=""/>
    <m/>
  </r>
  <r>
    <x v="783"/>
    <m/>
    <x v="0"/>
    <m/>
    <m/>
    <s v=""/>
    <s v=""/>
    <m/>
    <s v="0"/>
    <m/>
    <m/>
    <s v=""/>
    <m/>
  </r>
  <r>
    <x v="784"/>
    <n v="23"/>
    <x v="1"/>
    <s v="Z2.HR"/>
    <d v="1899-12-30T01:01:47"/>
    <n v="11.37"/>
    <d v="1899-12-30T00:05:26"/>
    <n v="135"/>
    <n v="73"/>
    <n v="219"/>
    <m/>
    <n v="1.0656913322569213"/>
    <s v="Brooks Defyance 10"/>
  </r>
  <r>
    <x v="785"/>
    <m/>
    <x v="0"/>
    <m/>
    <m/>
    <s v=""/>
    <s v=""/>
    <m/>
    <s v="0"/>
    <m/>
    <m/>
    <s v=""/>
    <m/>
  </r>
  <r>
    <x v="786"/>
    <m/>
    <x v="0"/>
    <m/>
    <m/>
    <s v=""/>
    <s v=""/>
    <m/>
    <s v="0"/>
    <m/>
    <m/>
    <s v=""/>
    <m/>
  </r>
  <r>
    <x v="787"/>
    <n v="24"/>
    <x v="1"/>
    <s v="Z2.HR"/>
    <d v="1899-12-30T00:53:13"/>
    <n v="10.18"/>
    <d v="1899-12-30T00:05:14"/>
    <n v="137"/>
    <n v="66"/>
    <n v="225"/>
    <m/>
    <n v="1.0533164237750345"/>
    <s v="Brooks Defyance 10"/>
  </r>
  <r>
    <x v="788"/>
    <m/>
    <x v="0"/>
    <m/>
    <m/>
    <s v=""/>
    <s v=""/>
    <m/>
    <s v="0"/>
    <m/>
    <m/>
    <s v=""/>
    <m/>
  </r>
  <r>
    <x v="789"/>
    <m/>
    <x v="0"/>
    <m/>
    <m/>
    <s v=""/>
    <s v=""/>
    <m/>
    <s v="0"/>
    <m/>
    <m/>
    <s v=""/>
    <m/>
  </r>
  <r>
    <x v="790"/>
    <m/>
    <x v="0"/>
    <m/>
    <m/>
    <s v=""/>
    <s v=""/>
    <m/>
    <s v="0"/>
    <m/>
    <m/>
    <s v=""/>
    <m/>
  </r>
  <r>
    <x v="791"/>
    <n v="25"/>
    <x v="1"/>
    <s v="Z2.12"/>
    <d v="1899-12-30T01:07:14"/>
    <n v="11.55"/>
    <d v="1899-12-30T00:05:49"/>
    <n v="128"/>
    <n v="69"/>
    <n v="203"/>
    <m/>
    <n v="1.0582180009045681"/>
    <s v="Brooks Defyance 10"/>
  </r>
  <r>
    <x v="792"/>
    <m/>
    <x v="0"/>
    <m/>
    <m/>
    <s v=""/>
    <s v=""/>
    <m/>
    <s v="0"/>
    <m/>
    <m/>
    <s v=""/>
    <m/>
  </r>
  <r>
    <x v="793"/>
    <m/>
    <x v="0"/>
    <m/>
    <m/>
    <s v=""/>
    <s v=""/>
    <m/>
    <s v="0"/>
    <m/>
    <m/>
    <s v=""/>
    <m/>
  </r>
  <r>
    <x v="794"/>
    <n v="26"/>
    <x v="1"/>
    <s v="Z2.HR"/>
    <d v="1899-12-30T00:58:16"/>
    <n v="11.11"/>
    <d v="1899-12-30T00:05:15"/>
    <n v="140"/>
    <n v="73"/>
    <n v="226"/>
    <m/>
    <n v="1.0614291279874259"/>
    <s v="Brooks Defyance 10"/>
  </r>
  <r>
    <x v="795"/>
    <m/>
    <x v="0"/>
    <m/>
    <m/>
    <s v=""/>
    <s v=""/>
    <m/>
    <s v="0"/>
    <m/>
    <m/>
    <s v=""/>
    <m/>
  </r>
  <r>
    <x v="796"/>
    <n v="27"/>
    <x v="1"/>
    <s v="Z2.10"/>
    <d v="1899-12-30T00:49:05"/>
    <n v="9.26"/>
    <d v="1899-12-30T00:05:18"/>
    <n v="141"/>
    <n v="59"/>
    <n v="222"/>
    <m/>
    <n v="1.0537861448696044"/>
    <s v="Brooks Defyance 10"/>
  </r>
  <r>
    <x v="797"/>
    <m/>
    <x v="0"/>
    <m/>
    <m/>
    <s v=""/>
    <s v=""/>
    <m/>
    <s v="0"/>
    <m/>
    <m/>
    <s v=""/>
    <m/>
  </r>
  <r>
    <x v="798"/>
    <n v="28"/>
    <x v="1"/>
    <s v="Z2.14"/>
    <d v="1899-12-30T01:18:17"/>
    <n v="14.83"/>
    <d v="1899-12-30T00:05:17"/>
    <n v="142"/>
    <n v="97"/>
    <n v="225"/>
    <m/>
    <n v="1.063621541651151"/>
    <s v="New Balance 1080 v9"/>
  </r>
  <r>
    <x v="799"/>
    <n v="29"/>
    <x v="1"/>
    <s v="Z1.mHR"/>
    <d v="1899-12-30T00:53:23"/>
    <n v="9.19"/>
    <d v="1899-12-30T00:05:49"/>
    <n v="132"/>
    <n v="55"/>
    <n v="206"/>
    <m/>
    <n v="1.071602812921248"/>
    <s v="New Balance 1080 v9"/>
  </r>
  <r>
    <x v="800"/>
    <m/>
    <x v="0"/>
    <m/>
    <m/>
    <s v=""/>
    <s v=""/>
    <m/>
    <s v="0"/>
    <m/>
    <m/>
    <s v=""/>
    <m/>
  </r>
  <r>
    <x v="801"/>
    <n v="30"/>
    <x v="1"/>
    <s v="Z2.mHR"/>
    <d v="1899-12-30T00:47:04"/>
    <n v="9.2899999999999991"/>
    <d v="1899-12-30T00:05:04"/>
    <n v="139"/>
    <n v="61"/>
    <n v="230"/>
    <m/>
    <n v="1.0435229664379932"/>
    <s v="Adizero Boston 8"/>
  </r>
  <r>
    <x v="802"/>
    <m/>
    <x v="0"/>
    <m/>
    <m/>
    <s v=""/>
    <s v=""/>
    <m/>
    <s v="0"/>
    <m/>
    <m/>
    <s v=""/>
    <m/>
  </r>
  <r>
    <x v="803"/>
    <n v="31"/>
    <x v="2"/>
    <s v="Z2.sHR"/>
    <d v="1899-12-30T00:44:10"/>
    <n v="8.65"/>
    <d v="1899-12-30T00:05:06"/>
    <n v="142"/>
    <n v="56"/>
    <n v="228"/>
    <m/>
    <n v="1.0425329997411783"/>
    <s v="Adizero Boston 8"/>
  </r>
  <r>
    <x v="804"/>
    <m/>
    <x v="0"/>
    <m/>
    <m/>
    <m/>
    <s v=""/>
    <m/>
    <m/>
    <m/>
    <m/>
    <s v=""/>
    <m/>
  </r>
  <r>
    <x v="805"/>
    <n v="32"/>
    <x v="2"/>
    <s v="Z2.14"/>
    <d v="1899-12-30T01:20:11"/>
    <n v="14.94"/>
    <d v="1899-12-30T00:05:22"/>
    <n v="141"/>
    <n v="93"/>
    <n v="217.7"/>
    <m/>
    <n v="1.0463292972886571"/>
    <s v="New Balance 1080 v9"/>
  </r>
  <r>
    <x v="806"/>
    <m/>
    <x v="0"/>
    <m/>
    <m/>
    <s v=""/>
    <s v=""/>
    <m/>
    <s v="0"/>
    <m/>
    <m/>
    <s v=""/>
    <m/>
  </r>
  <r>
    <x v="807"/>
    <n v="33"/>
    <x v="1"/>
    <s v="FS.10"/>
    <d v="1899-12-30T00:47:56"/>
    <n v="10.09"/>
    <d v="1899-12-30T00:04:45"/>
    <n v="148"/>
    <n v="71"/>
    <n v="242"/>
    <m/>
    <n v="1.0295282753723949"/>
    <s v="Adizero Boston 8"/>
  </r>
  <r>
    <x v="808"/>
    <m/>
    <x v="0"/>
    <m/>
    <m/>
    <s v=""/>
    <s v=""/>
    <m/>
    <s v="0"/>
    <m/>
    <m/>
    <s v=""/>
    <m/>
  </r>
  <r>
    <x v="809"/>
    <n v="34"/>
    <x v="2"/>
    <s v="Z2.mHR"/>
    <d v="1899-12-30T00:50:23"/>
    <n v="9.35"/>
    <d v="1899-12-30T00:05:23"/>
    <n v="145"/>
    <n v="58"/>
    <n v="217"/>
    <m/>
    <n v="1.0471561976215182"/>
    <s v="Brooks Defyance 10"/>
  </r>
  <r>
    <x v="810"/>
    <n v="35"/>
    <x v="2"/>
    <s v="Z1.mHR"/>
    <d v="1899-12-30T00:45:09"/>
    <n v="7.96"/>
    <d v="1899-12-30T00:05:40"/>
    <n v="134"/>
    <n v="48"/>
    <n v="207.6"/>
    <m/>
    <n v="1.0545046126153153"/>
    <s v="Brooks Defyance 10"/>
  </r>
  <r>
    <x v="811"/>
    <m/>
    <x v="0"/>
    <m/>
    <m/>
    <s v=""/>
    <s v=""/>
    <m/>
    <s v="0"/>
    <m/>
    <m/>
    <s v=""/>
    <m/>
  </r>
  <r>
    <x v="812"/>
    <n v="36"/>
    <x v="2"/>
    <s v="Z2.16"/>
    <d v="1899-12-30T01:24:45"/>
    <n v="15.78"/>
    <d v="1899-12-30T00:05:22"/>
    <n v="140"/>
    <n v="99"/>
    <n v="218.7"/>
    <m/>
    <n v="1.051859996594972"/>
    <s v="New Balance 1080 v9"/>
  </r>
  <r>
    <x v="813"/>
    <m/>
    <x v="0"/>
    <m/>
    <m/>
    <s v=""/>
    <s v=""/>
    <m/>
    <s v="0"/>
    <m/>
    <m/>
    <s v=""/>
    <m/>
  </r>
  <r>
    <x v="814"/>
    <n v="37"/>
    <x v="2"/>
    <s v="Z2.mHR"/>
    <d v="1899-12-30T00:48:58"/>
    <n v="9.33"/>
    <d v="1899-12-30T00:05:15"/>
    <n v="137"/>
    <n v="59"/>
    <n v="222.1"/>
    <m/>
    <n v="1.0438639599430501"/>
    <s v="Brooks Defyance 10"/>
  </r>
  <r>
    <x v="815"/>
    <m/>
    <x v="0"/>
    <m/>
    <m/>
    <s v=""/>
    <s v=""/>
    <m/>
    <s v="0"/>
    <m/>
    <m/>
    <s v=""/>
    <m/>
  </r>
  <r>
    <x v="816"/>
    <n v="38"/>
    <x v="1"/>
    <s v="Z4.30"/>
    <d v="1899-12-30T00:41:09"/>
    <n v="8.84"/>
    <d v="1899-12-30T00:04:39"/>
    <n v="151"/>
    <n v="63"/>
    <n v="249.2"/>
    <m/>
    <n v="1.0388242047680152"/>
    <s v="Adizero Boston 8"/>
  </r>
  <r>
    <x v="817"/>
    <n v="39"/>
    <x v="2"/>
    <s v="Z1.mHR"/>
    <d v="1899-12-30T00:51:01"/>
    <n v="9.16"/>
    <d v="1899-12-30T00:05:34"/>
    <n v="135"/>
    <n v="56"/>
    <n v="211.4"/>
    <m/>
    <n v="1.0543821286580199"/>
    <s v="Brooks Defyance 10"/>
  </r>
  <r>
    <x v="818"/>
    <n v="40"/>
    <x v="2"/>
    <s v="Z2.10"/>
    <d v="1899-12-30T00:55:49"/>
    <n v="10.37"/>
    <d v="1899-12-30T00:05:23"/>
    <n v="136"/>
    <n v="65"/>
    <n v="217.9"/>
    <m/>
    <n v="1.0503131881575734"/>
    <s v="Brooks Defyance 10"/>
  </r>
  <r>
    <x v="819"/>
    <n v="41"/>
    <x v="2"/>
    <s v="Z2.10"/>
    <d v="1899-12-30T01:01:47"/>
    <n v="11.57"/>
    <d v="1899-12-30T00:05:20"/>
    <n v="138"/>
    <n v="72"/>
    <n v="219.5"/>
    <m/>
    <n v="1.0496607283375687"/>
    <s v="New Balance 1080 v9"/>
  </r>
  <r>
    <x v="820"/>
    <m/>
    <x v="0"/>
    <m/>
    <m/>
    <s v=""/>
    <s v=""/>
    <m/>
    <s v="0"/>
    <m/>
    <m/>
    <s v=""/>
    <m/>
  </r>
  <r>
    <x v="821"/>
    <m/>
    <x v="0"/>
    <m/>
    <m/>
    <s v=""/>
    <s v=""/>
    <m/>
    <s v="0"/>
    <m/>
    <m/>
    <s v=""/>
    <m/>
  </r>
  <r>
    <x v="822"/>
    <n v="42"/>
    <x v="2"/>
    <s v="Z2.mHR"/>
    <d v="1899-12-30T00:50:53"/>
    <n v="9.64"/>
    <d v="1899-12-30T00:05:17"/>
    <n v="142"/>
    <n v="64"/>
    <n v="222"/>
    <m/>
    <n v="1.0493683037096673"/>
    <s v="Brooks Defyance 10"/>
  </r>
  <r>
    <x v="823"/>
    <m/>
    <x v="0"/>
    <m/>
    <m/>
    <s v=""/>
    <s v=""/>
    <m/>
    <s v="0"/>
    <m/>
    <m/>
    <s v=""/>
    <m/>
  </r>
  <r>
    <x v="824"/>
    <n v="43"/>
    <x v="1"/>
    <s v="Z2.mHR"/>
    <d v="1899-12-30T00:49:24"/>
    <n v="9.7100000000000009"/>
    <d v="1899-12-30T00:05:05"/>
    <n v="141"/>
    <n v="64"/>
    <n v="231.3"/>
    <m/>
    <n v="1.0538038950458828"/>
    <s v="Brooks Defyance 10"/>
  </r>
  <r>
    <x v="825"/>
    <m/>
    <x v="0"/>
    <m/>
    <m/>
    <s v=""/>
    <s v=""/>
    <m/>
    <s v="0"/>
    <m/>
    <m/>
    <s v=""/>
    <m/>
  </r>
  <r>
    <x v="826"/>
    <n v="44"/>
    <x v="2"/>
    <s v="Z2.14"/>
    <d v="1899-12-30T01:18:03"/>
    <n v="14.6"/>
    <d v="1899-12-30T00:05:21"/>
    <n v="136"/>
    <n v="91"/>
    <n v="219"/>
    <m/>
    <n v="1.0484328358208956"/>
    <s v="New Balance 1080 v9"/>
  </r>
  <r>
    <x v="827"/>
    <m/>
    <x v="0"/>
    <m/>
    <m/>
    <s v=""/>
    <s v=""/>
    <m/>
    <s v="0"/>
    <m/>
    <m/>
    <s v=""/>
    <m/>
  </r>
  <r>
    <x v="828"/>
    <n v="45"/>
    <x v="2"/>
    <s v="Z2.mHR"/>
    <d v="1899-12-30T00:51:50"/>
    <n v="9.6999999999999993"/>
    <d v="1899-12-30T00:05:21"/>
    <m/>
    <n v="60"/>
    <n v="218"/>
    <m/>
    <n v="1.0432066471764891"/>
    <s v="Brooks Defyance 10"/>
  </r>
  <r>
    <x v="829"/>
    <m/>
    <x v="0"/>
    <m/>
    <m/>
    <s v=""/>
    <s v=""/>
    <m/>
    <s v="0"/>
    <m/>
    <m/>
    <s v=""/>
    <m/>
  </r>
  <r>
    <x v="830"/>
    <n v="46"/>
    <x v="1"/>
    <s v="Z4.30"/>
    <d v="1899-12-30T00:44:13"/>
    <n v="9.73"/>
    <d v="1899-12-30T00:04:33"/>
    <n v="156"/>
    <n v="70"/>
    <n v="253.6"/>
    <m/>
    <n v="1.032045527756899"/>
    <s v="Adizero Boston 8"/>
  </r>
  <r>
    <x v="831"/>
    <n v="47"/>
    <x v="2"/>
    <s v="Z2.mHR"/>
    <d v="1899-12-30T00:52:15"/>
    <n v="9.56"/>
    <d v="1899-12-30T00:05:28"/>
    <n v="141"/>
    <n v="59"/>
    <n v="216"/>
    <m/>
    <n v="1.0572035221382627"/>
    <s v="Brooks Defyance 10"/>
  </r>
  <r>
    <x v="832"/>
    <m/>
    <x v="0"/>
    <m/>
    <m/>
    <s v=""/>
    <s v=""/>
    <m/>
    <s v="0"/>
    <m/>
    <m/>
    <s v=""/>
    <m/>
  </r>
  <r>
    <x v="833"/>
    <n v="48"/>
    <x v="2"/>
    <s v="Z2.90'"/>
    <d v="1899-12-30T01:31:26"/>
    <n v="16.71"/>
    <d v="1899-12-30T00:05:28"/>
    <n v="140"/>
    <n v="105"/>
    <n v="214"/>
    <m/>
    <n v="1.0486204524951541"/>
    <s v="New Balance 1080 v9"/>
  </r>
  <r>
    <x v="834"/>
    <m/>
    <x v="0"/>
    <m/>
    <m/>
    <s v=""/>
    <s v=""/>
    <m/>
    <s v="0"/>
    <m/>
    <m/>
    <s v=""/>
    <m/>
  </r>
  <r>
    <x v="835"/>
    <n v="49"/>
    <x v="2"/>
    <s v="Z2.mHR"/>
    <d v="1899-12-30T00:52:12"/>
    <n v="9.83"/>
    <d v="1899-12-30T00:05:19"/>
    <n v="138"/>
    <n v="60"/>
    <n v="219"/>
    <m/>
    <n v="1.0414478978454622"/>
    <s v="Brooks Defyance 10"/>
  </r>
  <r>
    <x v="836"/>
    <m/>
    <x v="0"/>
    <m/>
    <m/>
    <s v=""/>
    <s v=""/>
    <m/>
    <s v="0"/>
    <m/>
    <m/>
    <s v=""/>
    <m/>
  </r>
  <r>
    <x v="837"/>
    <n v="50"/>
    <x v="1"/>
    <s v="Z4.30"/>
    <d v="1899-12-30T00:42:56"/>
    <n v="9.44"/>
    <d v="1899-12-30T00:04:33"/>
    <n v="155"/>
    <n v="68"/>
    <n v="256.60000000000002"/>
    <m/>
    <n v="1.0450948646597522"/>
    <s v="Adizero Boston 8"/>
  </r>
  <r>
    <x v="838"/>
    <n v="51"/>
    <x v="2"/>
    <s v="Z1.mHR"/>
    <d v="1899-12-30T00:57:22"/>
    <n v="9.75"/>
    <d v="1899-12-30T00:05:53"/>
    <n v="138"/>
    <n v="57"/>
    <n v="204.4"/>
    <m/>
    <n v="1.07699165709912"/>
    <s v="Brooks Defyance 10"/>
  </r>
  <r>
    <x v="839"/>
    <m/>
    <x v="0"/>
    <m/>
    <m/>
    <s v=""/>
    <s v=""/>
    <m/>
    <s v="0"/>
    <m/>
    <m/>
    <s v=""/>
    <m/>
  </r>
  <r>
    <x v="840"/>
    <n v="52"/>
    <x v="2"/>
    <s v="Z2.90'"/>
    <d v="1899-12-30T01:32:18"/>
    <n v="16.68"/>
    <d v="1899-12-30T00:05:32"/>
    <n v="141"/>
    <n v="101"/>
    <n v="213.7"/>
    <m/>
    <n v="1.0589772361215504"/>
    <s v="New Balance 1080 v9"/>
  </r>
  <r>
    <x v="841"/>
    <m/>
    <x v="0"/>
    <m/>
    <m/>
    <s v=""/>
    <s v=""/>
    <m/>
    <s v="0"/>
    <m/>
    <m/>
    <s v=""/>
    <m/>
  </r>
  <r>
    <x v="842"/>
    <n v="53"/>
    <x v="1"/>
    <s v="Z2.HR"/>
    <d v="1899-12-30T01:00:38"/>
    <n v="11.27"/>
    <d v="1899-12-30T00:05:23"/>
    <n v="144"/>
    <n v="71"/>
    <n v="219.3"/>
    <m/>
    <n v="1.0565805400680717"/>
    <s v="Brooks Defyance 10"/>
  </r>
  <r>
    <x v="843"/>
    <m/>
    <x v="0"/>
    <m/>
    <m/>
    <s v=""/>
    <s v=""/>
    <m/>
    <s v="0"/>
    <m/>
    <m/>
    <s v=""/>
    <m/>
  </r>
  <r>
    <x v="844"/>
    <n v="54"/>
    <x v="1"/>
    <s v="Z4.30"/>
    <d v="1899-12-30T00:47:44"/>
    <n v="10.32"/>
    <d v="1899-12-30T00:04:38"/>
    <n v="156"/>
    <n v="74"/>
    <n v="250.6"/>
    <m/>
    <n v="1.0380053222260788"/>
    <s v="Adizero Boston 8"/>
  </r>
  <r>
    <x v="845"/>
    <n v="55"/>
    <x v="1"/>
    <s v="Z1.mHR"/>
    <d v="1899-12-30T00:56:49"/>
    <n v="9.8800000000000008"/>
    <d v="1899-12-30T00:05:45"/>
    <n v="128"/>
    <n v="59"/>
    <n v="209"/>
    <m/>
    <n v="1.0763203214695751"/>
    <s v="Brooks Defyance 10"/>
  </r>
  <r>
    <x v="846"/>
    <m/>
    <x v="0"/>
    <m/>
    <m/>
    <s v=""/>
    <s v=""/>
    <m/>
    <s v="0"/>
    <m/>
    <m/>
    <s v=""/>
    <m/>
  </r>
  <r>
    <x v="847"/>
    <n v="56"/>
    <x v="2"/>
    <s v="Z2.110'"/>
    <d v="1899-12-30T01:49:55"/>
    <n v="19.68"/>
    <d v="1899-12-30T00:05:35"/>
    <n v="138"/>
    <n v="117"/>
    <n v="212"/>
    <m/>
    <n v="1.0603537192088337"/>
    <s v="New Balance 1080 v9"/>
  </r>
  <r>
    <x v="848"/>
    <m/>
    <x v="0"/>
    <m/>
    <m/>
    <s v=""/>
    <s v=""/>
    <m/>
    <s v="0"/>
    <m/>
    <m/>
    <s v=""/>
    <m/>
  </r>
  <r>
    <x v="849"/>
    <m/>
    <x v="0"/>
    <m/>
    <m/>
    <s v=""/>
    <s v=""/>
    <m/>
    <s v="0"/>
    <m/>
    <m/>
    <s v=""/>
    <m/>
  </r>
  <r>
    <x v="850"/>
    <n v="57"/>
    <x v="2"/>
    <s v="Z1.mHR"/>
    <d v="1899-12-30T00:59:03"/>
    <n v="9.81"/>
    <d v="1899-12-30T00:06:01"/>
    <n v="132"/>
    <n v="55"/>
    <n v="197"/>
    <m/>
    <n v="1.0619243233374411"/>
    <s v="Brooks Defyance 10"/>
  </r>
  <r>
    <x v="851"/>
    <m/>
    <x v="0"/>
    <m/>
    <m/>
    <s v=""/>
    <s v=""/>
    <m/>
    <s v="0"/>
    <m/>
    <m/>
    <s v=""/>
    <m/>
  </r>
  <r>
    <x v="852"/>
    <n v="58"/>
    <x v="2"/>
    <s v="Z2.mHR"/>
    <d v="1899-12-30T00:57:29"/>
    <n v="10.32"/>
    <d v="1899-12-30T00:05:34"/>
    <n v="140"/>
    <n v="61"/>
    <n v="211"/>
    <m/>
    <n v="1.0524976859886614"/>
    <s v="Brooks Defyance 10"/>
  </r>
  <r>
    <x v="853"/>
    <m/>
    <x v="0"/>
    <m/>
    <m/>
    <s v=""/>
    <s v=""/>
    <m/>
    <s v="0"/>
    <m/>
    <m/>
    <s v=""/>
    <m/>
  </r>
  <r>
    <x v="854"/>
    <n v="59"/>
    <x v="2"/>
    <s v="Z2.14"/>
    <d v="1899-12-30T01:22:56"/>
    <n v="13.62"/>
    <d v="1899-12-30T00:06:05"/>
    <n v="138"/>
    <n v="74"/>
    <n v="194"/>
    <m/>
    <n v="1.0578648607184344"/>
    <s v="New Balance 1080 v9"/>
  </r>
  <r>
    <x v="855"/>
    <m/>
    <x v="0"/>
    <m/>
    <m/>
    <s v=""/>
    <s v=""/>
    <m/>
    <s v="0"/>
    <m/>
    <m/>
    <s v=""/>
    <m/>
  </r>
  <r>
    <x v="856"/>
    <n v="60"/>
    <x v="2"/>
    <s v="Z2.mHR"/>
    <d v="1899-12-30T00:55:02"/>
    <n v="9.8000000000000007"/>
    <d v="1899-12-30T00:05:37"/>
    <n v="142"/>
    <n v="58"/>
    <n v="210"/>
    <m/>
    <n v="1.0560767590618336"/>
    <s v="Brooks Defyance 10"/>
  </r>
  <r>
    <x v="857"/>
    <m/>
    <x v="0"/>
    <m/>
    <m/>
    <s v=""/>
    <s v=""/>
    <m/>
    <s v="0"/>
    <m/>
    <m/>
    <s v=""/>
    <m/>
  </r>
  <r>
    <x v="858"/>
    <n v="61"/>
    <x v="1"/>
    <s v="Z4.30"/>
    <d v="1899-12-30T00:45:53"/>
    <n v="9.7899999999999991"/>
    <d v="1899-12-30T00:04:41"/>
    <n v="154"/>
    <n v="68"/>
    <n v="248"/>
    <m/>
    <n v="1.0408793621270565"/>
    <s v="Adizero Boston 8"/>
  </r>
  <r>
    <x v="859"/>
    <n v="62"/>
    <x v="2"/>
    <s v="Z1.mHR"/>
    <d v="1899-12-30T00:57:04"/>
    <n v="9.65"/>
    <d v="1899-12-30T00:05:55"/>
    <n v="133"/>
    <n v="56"/>
    <n v="203"/>
    <m/>
    <n v="1.075047560126827"/>
    <s v="New Balance 1080 v10"/>
  </r>
  <r>
    <x v="860"/>
    <m/>
    <x v="0"/>
    <m/>
    <m/>
    <s v=""/>
    <s v=""/>
    <m/>
    <s v="0"/>
    <m/>
    <m/>
    <s v=""/>
    <m/>
  </r>
  <r>
    <x v="861"/>
    <n v="63"/>
    <x v="2"/>
    <s v="Z2.110'"/>
    <d v="1899-12-30T01:59:47"/>
    <n v="21.38"/>
    <d v="1899-12-30T00:05:36"/>
    <n v="140"/>
    <n v="128"/>
    <n v="212.2"/>
    <m/>
    <n v="1.0646589782611731"/>
    <s v="New Balance 1080 v10"/>
  </r>
  <r>
    <x v="862"/>
    <m/>
    <x v="0"/>
    <m/>
    <m/>
    <s v=""/>
    <s v=""/>
    <m/>
    <s v="0"/>
    <m/>
    <m/>
    <s v=""/>
    <m/>
  </r>
  <r>
    <x v="863"/>
    <n v="64"/>
    <x v="1"/>
    <s v="Z2.mHR"/>
    <d v="1899-12-30T00:50:15"/>
    <n v="9.85"/>
    <d v="1899-12-30T00:05:06"/>
    <n v="141"/>
    <n v="64"/>
    <n v="231.5"/>
    <m/>
    <n v="1.0576142131979698"/>
    <s v="Brooks Defyance 10"/>
  </r>
  <r>
    <x v="864"/>
    <m/>
    <x v="0"/>
    <m/>
    <m/>
    <s v=""/>
    <s v=""/>
    <m/>
    <s v="0"/>
    <m/>
    <m/>
    <s v=""/>
    <m/>
  </r>
  <r>
    <x v="865"/>
    <n v="65"/>
    <x v="1"/>
    <s v="Z4.40"/>
    <d v="1899-12-30T00:53:54"/>
    <n v="11.63"/>
    <d v="1899-12-30T00:04:38"/>
    <n v="156"/>
    <n v="81"/>
    <n v="249"/>
    <m/>
    <n v="1.0334389959061099"/>
    <s v="Adizero Boston 8"/>
  </r>
  <r>
    <x v="866"/>
    <n v="66"/>
    <x v="1"/>
    <s v="Z1.mHR"/>
    <d v="1899-12-30T00:51:12"/>
    <n v="8.82"/>
    <d v="1899-12-30T00:05:48"/>
    <n v="131"/>
    <n v="50"/>
    <n v="203"/>
    <m/>
    <n v="1.0552949538024163"/>
    <s v="New Balance 1080 v9"/>
  </r>
  <r>
    <x v="867"/>
    <m/>
    <x v="0"/>
    <m/>
    <m/>
    <s v=""/>
    <s v=""/>
    <m/>
    <s v="0"/>
    <m/>
    <m/>
    <s v=""/>
    <m/>
  </r>
  <r>
    <x v="868"/>
    <n v="67"/>
    <x v="2"/>
    <s v="Z2.110'"/>
    <d v="1899-12-30T02:00:32"/>
    <n v="21.41"/>
    <d v="1899-12-30T00:05:38"/>
    <n v="135"/>
    <n v="127"/>
    <n v="210.2"/>
    <m/>
    <n v="1.0597408101947061"/>
    <s v="New Balance 1080 v10"/>
  </r>
  <r>
    <x v="869"/>
    <m/>
    <x v="0"/>
    <m/>
    <m/>
    <s v=""/>
    <s v=""/>
    <m/>
    <s v="0"/>
    <m/>
    <m/>
    <s v=""/>
    <m/>
  </r>
  <r>
    <x v="870"/>
    <n v="68"/>
    <x v="1"/>
    <s v="Z2.mHR"/>
    <d v="1899-12-30T00:48:29"/>
    <n v="9.8000000000000007"/>
    <d v="1899-12-30T00:04:57"/>
    <n v="148"/>
    <n v="64"/>
    <n v="236.7"/>
    <m/>
    <n v="1.048675449284191"/>
    <s v="Brooks Defyance 10"/>
  </r>
  <r>
    <x v="871"/>
    <m/>
    <x v="0"/>
    <m/>
    <m/>
    <s v=""/>
    <s v=""/>
    <m/>
    <s v="0"/>
    <m/>
    <m/>
    <s v=""/>
    <m/>
  </r>
  <r>
    <x v="872"/>
    <m/>
    <x v="0"/>
    <m/>
    <m/>
    <s v=""/>
    <s v=""/>
    <m/>
    <s v="0"/>
    <m/>
    <m/>
    <s v=""/>
    <m/>
  </r>
  <r>
    <x v="873"/>
    <n v="69"/>
    <x v="1"/>
    <s v="Z2.HR"/>
    <d v="1899-12-30T01:03:19"/>
    <n v="11.95"/>
    <d v="1899-12-30T00:05:18"/>
    <n v="144"/>
    <n v="75"/>
    <n v="222.8"/>
    <m/>
    <n v="1.0571625554237185"/>
    <s v="New Balance 1080 v10"/>
  </r>
  <r>
    <x v="874"/>
    <n v="70"/>
    <x v="2"/>
    <s v="Z1.mHR"/>
    <d v="1899-12-30T01:06:48"/>
    <n v="11.27"/>
    <d v="1899-12-30T00:05:56"/>
    <n v="135"/>
    <n v="63"/>
    <n v="199.5"/>
    <m/>
    <n v="1.0589413182534533"/>
    <s v="New Balance 1080 v9"/>
  </r>
  <r>
    <x v="875"/>
    <n v="71"/>
    <x v="2"/>
    <s v="Z2.2h"/>
    <d v="1899-12-30T02:01:24"/>
    <n v="22.11"/>
    <d v="1899-12-30T00:05:29"/>
    <n v="140"/>
    <n v="133"/>
    <n v="214.7"/>
    <m/>
    <n v="1.055694931043561"/>
    <s v="New Balance 1080 v10"/>
  </r>
  <r>
    <x v="876"/>
    <m/>
    <x v="0"/>
    <m/>
    <m/>
    <s v=""/>
    <s v=""/>
    <m/>
    <s v="0"/>
    <m/>
    <m/>
    <s v=""/>
    <m/>
  </r>
  <r>
    <x v="877"/>
    <n v="72"/>
    <x v="1"/>
    <s v="Z1.HR"/>
    <d v="1899-12-30T01:00:37"/>
    <n v="10.79"/>
    <d v="1899-12-30T00:05:37"/>
    <n v="129"/>
    <n v="64"/>
    <n v="212"/>
    <m/>
    <n v="1.0665541615370784"/>
    <s v="Brooks Defyance 10"/>
  </r>
  <r>
    <x v="878"/>
    <m/>
    <x v="0"/>
    <m/>
    <m/>
    <s v=""/>
    <s v=""/>
    <m/>
    <s v="0"/>
    <m/>
    <m/>
    <s v=""/>
    <m/>
  </r>
  <r>
    <x v="879"/>
    <n v="73"/>
    <x v="1"/>
    <s v="Z2.mHR"/>
    <d v="1899-12-30T00:50:22"/>
    <n v="9.8800000000000008"/>
    <d v="1899-12-30T00:05:06"/>
    <n v="141"/>
    <n v="64"/>
    <n v="231.8"/>
    <m/>
    <n v="1.0582204362801375"/>
    <s v="Brooks Defyance 10"/>
  </r>
  <r>
    <x v="880"/>
    <m/>
    <x v="0"/>
    <m/>
    <m/>
    <s v=""/>
    <s v=""/>
    <m/>
    <s v="0"/>
    <m/>
    <m/>
    <s v=""/>
    <m/>
  </r>
  <r>
    <x v="881"/>
    <n v="74"/>
    <x v="1"/>
    <s v="Z2.14"/>
    <d v="1899-12-30T01:20:23"/>
    <n v="14.51"/>
    <d v="1899-12-30T00:05:32"/>
    <n v="133"/>
    <n v="87"/>
    <n v="215.4"/>
    <m/>
    <n v="1.0686137198226648"/>
    <s v="New Balance 1080 v10"/>
  </r>
  <r>
    <x v="882"/>
    <m/>
    <x v="0"/>
    <m/>
    <m/>
    <s v=""/>
    <s v=""/>
    <m/>
    <s v="0"/>
    <m/>
    <m/>
    <s v=""/>
    <m/>
  </r>
  <r>
    <x v="883"/>
    <n v="75"/>
    <x v="1"/>
    <s v="Z2.HR"/>
    <d v="1899-12-30T00:51:47"/>
    <n v="9.49"/>
    <d v="1899-12-30T00:05:27"/>
    <n v="132"/>
    <n v="58"/>
    <n v="216.1"/>
    <m/>
    <n v="1.0559783275403805"/>
    <s v="New Balance 1080 v9"/>
  </r>
  <r>
    <x v="884"/>
    <m/>
    <x v="0"/>
    <m/>
    <m/>
    <s v=""/>
    <s v=""/>
    <m/>
    <s v="0"/>
    <m/>
    <m/>
    <s v=""/>
    <m/>
  </r>
  <r>
    <x v="885"/>
    <n v="76"/>
    <x v="2"/>
    <s v="Z2.HR"/>
    <d v="1899-12-30T00:55:56"/>
    <n v="10.56"/>
    <d v="1899-12-30T00:05:18"/>
    <n v="138"/>
    <n v="65"/>
    <n v="221.1"/>
    <m/>
    <n v="1.0487499999999998"/>
    <s v="Brooks Defyance 10"/>
  </r>
  <r>
    <x v="886"/>
    <m/>
    <x v="0"/>
    <m/>
    <m/>
    <s v=""/>
    <s v=""/>
    <m/>
    <s v="0"/>
    <m/>
    <m/>
    <s v=""/>
    <m/>
  </r>
  <r>
    <x v="887"/>
    <n v="77"/>
    <x v="2"/>
    <s v="Z2.HR"/>
    <d v="1899-12-30T01:03:06"/>
    <n v="11.41"/>
    <d v="1899-12-30T00:05:32"/>
    <n v="139"/>
    <n v="69"/>
    <n v="214.3"/>
    <m/>
    <n v="1.0613101887582248"/>
    <s v="New Balance 1080 v10"/>
  </r>
  <r>
    <x v="888"/>
    <m/>
    <x v="0"/>
    <m/>
    <m/>
    <s v=""/>
    <s v=""/>
    <m/>
    <s v="0"/>
    <m/>
    <m/>
    <s v=""/>
    <m/>
  </r>
  <r>
    <x v="889"/>
    <n v="78"/>
    <x v="2"/>
    <s v="Z2.2h"/>
    <d v="1899-12-30T02:05:20"/>
    <n v="22.95"/>
    <d v="1899-12-30T00:05:28"/>
    <n v="139"/>
    <n v="140"/>
    <n v="216.9"/>
    <m/>
    <n v="1.0607667544629791"/>
    <s v="New Balance 1080 v10"/>
  </r>
  <r>
    <x v="890"/>
    <m/>
    <x v="0"/>
    <m/>
    <m/>
    <s v=""/>
    <s v=""/>
    <m/>
    <s v="0"/>
    <m/>
    <m/>
    <s v=""/>
    <m/>
  </r>
  <r>
    <x v="891"/>
    <n v="79"/>
    <x v="1"/>
    <s v="Z4.50"/>
    <d v="1899-12-30T01:11:45"/>
    <n v="15.08"/>
    <d v="1899-12-30T00:04:45"/>
    <n v="153"/>
    <n v="103"/>
    <n v="245"/>
    <m/>
    <n v="1.0439100914525516"/>
    <s v="Adizero Boston 8"/>
  </r>
  <r>
    <x v="892"/>
    <m/>
    <x v="0"/>
    <m/>
    <m/>
    <s v=""/>
    <s v=""/>
    <m/>
    <s v="0"/>
    <m/>
    <m/>
    <s v=""/>
    <m/>
  </r>
  <r>
    <x v="893"/>
    <n v="80"/>
    <x v="1"/>
    <s v="Z2.HR"/>
    <d v="1899-12-30T01:06:45"/>
    <n v="12.22"/>
    <d v="1899-12-30T00:05:28"/>
    <n v="143"/>
    <n v="75"/>
    <n v="217.8"/>
    <m/>
    <n v="1.0654041576080318"/>
    <s v="New Balance 1080 v9"/>
  </r>
  <r>
    <x v="894"/>
    <n v="81"/>
    <x v="1"/>
    <s v="Z1.mHR"/>
    <d v="1899-12-30T00:48:54"/>
    <n v="8.3800000000000008"/>
    <d v="1899-12-30T00:05:50"/>
    <n v="130"/>
    <n v="48"/>
    <n v="204.1"/>
    <m/>
    <n v="1.0665575463968937"/>
    <s v="Brooks Defyance 10"/>
  </r>
  <r>
    <x v="895"/>
    <m/>
    <x v="0"/>
    <m/>
    <m/>
    <s v=""/>
    <s v=""/>
    <m/>
    <s v="0"/>
    <m/>
    <m/>
    <s v=""/>
    <m/>
  </r>
  <r>
    <x v="896"/>
    <n v="82"/>
    <x v="2"/>
    <s v="Z2.2h"/>
    <d v="1899-12-30T02:00:04"/>
    <n v="21.48"/>
    <d v="1899-12-30T00:05:35"/>
    <n v="140"/>
    <n v="120"/>
    <n v="211.7"/>
    <m/>
    <n v="1.0597062175157732"/>
    <s v="New Balance 1080 v10"/>
  </r>
  <r>
    <x v="897"/>
    <m/>
    <x v="0"/>
    <m/>
    <m/>
    <s v=""/>
    <s v=""/>
    <m/>
    <s v="0"/>
    <m/>
    <m/>
    <s v=""/>
    <m/>
  </r>
  <r>
    <x v="898"/>
    <n v="83"/>
    <x v="1"/>
    <s v="Z2.mHR"/>
    <d v="1899-12-30T00:48:08"/>
    <n v="9.61"/>
    <d v="1899-12-30T00:05:01"/>
    <n v="138"/>
    <n v="63"/>
    <n v="235.6"/>
    <m/>
    <n v="1.0567549350024072"/>
    <s v="Brooks Defyance 10"/>
  </r>
  <r>
    <x v="899"/>
    <m/>
    <x v="0"/>
    <m/>
    <m/>
    <s v=""/>
    <s v=""/>
    <m/>
    <s v="0"/>
    <m/>
    <m/>
    <s v=""/>
    <m/>
  </r>
  <r>
    <x v="900"/>
    <n v="84"/>
    <x v="1"/>
    <s v="Z4.50"/>
    <d v="1899-12-30T00:59:32"/>
    <n v="13.19"/>
    <d v="1899-12-30T00:04:31"/>
    <n v="157"/>
    <n v="94"/>
    <n v="257.39999999999998"/>
    <m/>
    <n v="1.0404001222092718"/>
    <s v="Adizero Boston 8"/>
  </r>
  <r>
    <x v="901"/>
    <m/>
    <x v="0"/>
    <m/>
    <m/>
    <s v=""/>
    <s v=""/>
    <m/>
    <s v="0"/>
    <m/>
    <m/>
    <s v=""/>
    <m/>
  </r>
  <r>
    <x v="902"/>
    <n v="85"/>
    <x v="2"/>
    <s v="Z1.mHR"/>
    <d v="1899-12-30T01:01:42"/>
    <n v="10.69"/>
    <d v="1899-12-30T00:05:46"/>
    <n v="135"/>
    <n v="62"/>
    <n v="205.8"/>
    <m/>
    <n v="1.0637247811457216"/>
    <s v="New Balance 1080 v9"/>
  </r>
  <r>
    <x v="903"/>
    <n v="86"/>
    <x v="2"/>
    <s v="Z2.25"/>
    <d v="1899-12-30T02:22:40"/>
    <n v="25.51"/>
    <d v="1899-12-30T00:05:36"/>
    <n v="139"/>
    <n v="153"/>
    <n v="212.8"/>
    <m/>
    <n v="1.0657617440043998"/>
    <s v="New Balance 1080 v10"/>
  </r>
  <r>
    <x v="904"/>
    <m/>
    <x v="0"/>
    <m/>
    <m/>
    <s v=""/>
    <s v=""/>
    <m/>
    <s v="0"/>
    <m/>
    <m/>
    <s v=""/>
    <m/>
  </r>
  <r>
    <x v="905"/>
    <m/>
    <x v="0"/>
    <m/>
    <m/>
    <s v=""/>
    <s v=""/>
    <m/>
    <s v="0"/>
    <m/>
    <m/>
    <s v=""/>
    <m/>
  </r>
  <r>
    <x v="906"/>
    <m/>
    <x v="0"/>
    <m/>
    <m/>
    <s v=""/>
    <s v=""/>
    <m/>
    <s v="0"/>
    <m/>
    <m/>
    <s v=""/>
    <m/>
  </r>
  <r>
    <x v="907"/>
    <n v="87"/>
    <x v="1"/>
    <s v="Z2.10"/>
    <d v="1899-12-30T00:55:21"/>
    <n v="10.36"/>
    <d v="1899-12-30T00:05:21"/>
    <n v="137"/>
    <n v="64"/>
    <n v="220.4"/>
    <m/>
    <n v="1.0544983576326863"/>
    <s v="Brooks Defyance 10"/>
  </r>
  <r>
    <x v="908"/>
    <m/>
    <x v="0"/>
    <m/>
    <m/>
    <s v=""/>
    <s v=""/>
    <m/>
    <s v="0"/>
    <m/>
    <m/>
    <s v=""/>
    <m/>
  </r>
  <r>
    <x v="909"/>
    <n v="88"/>
    <x v="1"/>
    <s v="nct-lauf"/>
    <d v="1899-12-30T01:34:44"/>
    <n v="16.899999999999999"/>
    <d v="1899-12-30T00:05:36"/>
    <n v="147"/>
    <n v="102"/>
    <n v="213.3"/>
    <m/>
    <n v="1.0707384968647886"/>
    <s v="New Balance 1080 v10"/>
  </r>
  <r>
    <x v="910"/>
    <m/>
    <x v="0"/>
    <m/>
    <m/>
    <s v=""/>
    <s v=""/>
    <m/>
    <s v="0"/>
    <m/>
    <m/>
    <s v=""/>
    <m/>
  </r>
  <r>
    <x v="911"/>
    <m/>
    <x v="0"/>
    <m/>
    <m/>
    <s v=""/>
    <s v=""/>
    <m/>
    <s v="0"/>
    <m/>
    <m/>
    <s v=""/>
    <m/>
  </r>
  <r>
    <x v="912"/>
    <n v="89"/>
    <x v="1"/>
    <s v="trail"/>
    <d v="1899-12-30T00:59:53"/>
    <n v="9.74"/>
    <d v="1899-12-30T00:06:09"/>
    <n v="146"/>
    <n v="68"/>
    <n v="211.1"/>
    <n v="248"/>
    <m/>
    <s v="Brooks Defyance 10"/>
  </r>
  <r>
    <x v="913"/>
    <m/>
    <x v="0"/>
    <m/>
    <m/>
    <s v=""/>
    <s v=""/>
    <m/>
    <s v="0"/>
    <m/>
    <m/>
    <s v=""/>
    <m/>
  </r>
  <r>
    <x v="914"/>
    <m/>
    <x v="0"/>
    <m/>
    <m/>
    <s v=""/>
    <s v=""/>
    <m/>
    <s v="0"/>
    <m/>
    <m/>
    <s v=""/>
    <m/>
  </r>
  <r>
    <x v="915"/>
    <n v="90"/>
    <x v="1"/>
    <s v="Z1.sHR"/>
    <d v="1899-12-30T00:49:53"/>
    <n v="8.73"/>
    <d v="1899-12-30T00:05:43"/>
    <n v="126"/>
    <n v="51"/>
    <n v="208.4"/>
    <m/>
    <n v="1.0663883332478499"/>
    <s v="New Balance 1080 v10"/>
  </r>
  <r>
    <x v="916"/>
    <m/>
    <x v="0"/>
    <m/>
    <m/>
    <s v=""/>
    <s v=""/>
    <m/>
    <s v="0"/>
    <m/>
    <m/>
    <s v=""/>
    <m/>
  </r>
  <r>
    <x v="917"/>
    <n v="91"/>
    <x v="1"/>
    <s v="Z1.HR"/>
    <d v="1899-12-30T00:57:53"/>
    <n v="10.26"/>
    <d v="1899-12-30T00:05:38"/>
    <n v="126"/>
    <n v="61"/>
    <n v="211.2"/>
    <m/>
    <n v="1.0670297634633845"/>
    <s v="New Balance 1080 v9"/>
  </r>
  <r>
    <x v="918"/>
    <m/>
    <x v="0"/>
    <m/>
    <m/>
    <s v=""/>
    <s v=""/>
    <m/>
    <s v="0"/>
    <m/>
    <m/>
    <s v=""/>
    <m/>
  </r>
  <r>
    <x v="919"/>
    <n v="92"/>
    <x v="1"/>
    <s v="trail"/>
    <d v="1899-12-30T01:59:53"/>
    <n v="16.239999999999998"/>
    <d v="1899-12-30T00:07:23"/>
    <n v="141"/>
    <n v="113"/>
    <n v="187"/>
    <n v="676"/>
    <m/>
    <s v="Brooks Defyance 10"/>
  </r>
  <r>
    <x v="920"/>
    <m/>
    <x v="0"/>
    <m/>
    <m/>
    <s v=""/>
    <s v=""/>
    <m/>
    <s v="0"/>
    <m/>
    <m/>
    <s v=""/>
    <m/>
  </r>
  <r>
    <x v="921"/>
    <m/>
    <x v="0"/>
    <m/>
    <m/>
    <s v=""/>
    <s v=""/>
    <m/>
    <s v="0"/>
    <m/>
    <m/>
    <s v=""/>
    <m/>
  </r>
  <r>
    <x v="922"/>
    <n v="93"/>
    <x v="1"/>
    <s v="Z2.HR"/>
    <d v="1899-12-30T01:07:08"/>
    <n v="10.68"/>
    <d v="1899-12-30T00:06:17"/>
    <n v="121"/>
    <n v="60"/>
    <n v="195"/>
    <m/>
    <m/>
    <s v="New Balance 1080 v10"/>
  </r>
  <r>
    <x v="923"/>
    <m/>
    <x v="0"/>
    <m/>
    <m/>
    <s v=""/>
    <s v=""/>
    <m/>
    <s v="0"/>
    <m/>
    <m/>
    <s v=""/>
    <m/>
  </r>
  <r>
    <x v="924"/>
    <n v="94"/>
    <x v="2"/>
    <s v="Z2.14"/>
    <d v="1899-12-30T01:28:17"/>
    <n v="15.25"/>
    <d v="1899-12-30T00:05:47"/>
    <n v="132"/>
    <n v="87"/>
    <n v="203.8"/>
    <m/>
    <n v="1.0565486665035477"/>
    <s v="New Balance 1080 v10"/>
  </r>
  <r>
    <x v="925"/>
    <m/>
    <x v="0"/>
    <m/>
    <m/>
    <s v=""/>
    <s v=""/>
    <m/>
    <s v="0"/>
    <m/>
    <m/>
    <s v=""/>
    <m/>
  </r>
  <r>
    <x v="926"/>
    <n v="95"/>
    <x v="1"/>
    <s v="trail"/>
    <d v="1899-12-30T01:46:48"/>
    <n v="15.32"/>
    <d v="1899-12-30T00:06:58"/>
    <n v="142"/>
    <n v="104"/>
    <n v="195.9"/>
    <n v="567"/>
    <m/>
    <s v="Brooks Defyance 10"/>
  </r>
  <r>
    <x v="927"/>
    <m/>
    <x v="0"/>
    <m/>
    <m/>
    <s v=""/>
    <s v=""/>
    <m/>
    <s v="0"/>
    <m/>
    <m/>
    <s v=""/>
    <m/>
  </r>
  <r>
    <x v="928"/>
    <m/>
    <x v="0"/>
    <m/>
    <m/>
    <s v=""/>
    <s v=""/>
    <m/>
    <s v="0"/>
    <m/>
    <m/>
    <s v=""/>
    <m/>
  </r>
  <r>
    <x v="929"/>
    <n v="96"/>
    <x v="1"/>
    <s v="Z2.HR"/>
    <d v="1899-12-30T00:58:10"/>
    <n v="10.76"/>
    <d v="1899-12-30T00:05:24"/>
    <n v="138"/>
    <n v="67"/>
    <n v="221.3"/>
    <m/>
    <n v="1.071321367141985"/>
    <s v="New Balance 1080 v10"/>
  </r>
  <r>
    <x v="930"/>
    <m/>
    <x v="0"/>
    <m/>
    <m/>
    <s v=""/>
    <s v=""/>
    <m/>
    <s v="0"/>
    <m/>
    <m/>
    <s v=""/>
    <m/>
  </r>
  <r>
    <x v="931"/>
    <n v="97"/>
    <x v="2"/>
    <s v="Z2.14"/>
    <d v="1899-12-30T01:24:35"/>
    <n v="14.96"/>
    <d v="1899-12-30T00:05:39"/>
    <n v="138"/>
    <n v="88"/>
    <n v="209.2"/>
    <m/>
    <n v="1.0592325804134408"/>
    <s v="New Balance 1080 v9"/>
  </r>
  <r>
    <x v="932"/>
    <m/>
    <x v="0"/>
    <m/>
    <m/>
    <s v=""/>
    <s v=""/>
    <m/>
    <s v="0"/>
    <m/>
    <m/>
    <s v=""/>
    <m/>
  </r>
  <r>
    <x v="933"/>
    <m/>
    <x v="0"/>
    <m/>
    <m/>
    <s v=""/>
    <s v=""/>
    <m/>
    <s v="0"/>
    <m/>
    <m/>
    <s v=""/>
    <m/>
  </r>
  <r>
    <x v="934"/>
    <m/>
    <x v="0"/>
    <m/>
    <m/>
    <s v=""/>
    <s v=""/>
    <m/>
    <s v="0"/>
    <m/>
    <m/>
    <s v=""/>
    <m/>
  </r>
  <r>
    <x v="935"/>
    <n v="98"/>
    <x v="1"/>
    <s v="trail"/>
    <d v="1899-12-30T00:32:43"/>
    <n v="5.38"/>
    <d v="1899-12-30T00:06:05"/>
    <n v="153"/>
    <n v="42"/>
    <n v="222.7"/>
    <n v="218"/>
    <m/>
    <s v="Innov-8 Terraultra"/>
  </r>
  <r>
    <x v="936"/>
    <m/>
    <x v="0"/>
    <m/>
    <m/>
    <s v=""/>
    <s v=""/>
    <m/>
    <s v="0"/>
    <m/>
    <m/>
    <s v=""/>
    <m/>
  </r>
  <r>
    <x v="937"/>
    <n v="99"/>
    <x v="1"/>
    <s v="Z2.90'"/>
    <d v="1899-12-30T01:27:16"/>
    <n v="14.76"/>
    <d v="1899-12-30T00:05:55"/>
    <n v="139"/>
    <n v="85"/>
    <n v="202.4"/>
    <m/>
    <n v="1.0716401731181493"/>
    <s v="Brooks Defyance 10"/>
  </r>
  <r>
    <x v="938"/>
    <n v="100"/>
    <x v="2"/>
    <s v="Z2.90'"/>
    <d v="1899-12-30T01:29:10"/>
    <n v="15.64"/>
    <d v="1899-12-30T00:05:42"/>
    <n v="138"/>
    <n v="91"/>
    <n v="207.8"/>
    <m/>
    <n v="1.0609325495285722"/>
    <s v="New Balance 1080 v10"/>
  </r>
  <r>
    <x v="939"/>
    <m/>
    <x v="0"/>
    <m/>
    <m/>
    <s v=""/>
    <s v=""/>
    <m/>
    <s v="0"/>
    <m/>
    <m/>
    <s v=""/>
    <m/>
  </r>
  <r>
    <x v="940"/>
    <n v="101"/>
    <x v="1"/>
    <s v="Z2.HR"/>
    <d v="1899-12-30T00:54:13"/>
    <n v="10.41"/>
    <d v="1899-12-30T00:05:12"/>
    <n v="140"/>
    <n v="65"/>
    <n v="225.6"/>
    <m/>
    <n v="1.0521983741236183"/>
    <s v="Brooks Defyance 10"/>
  </r>
  <r>
    <x v="941"/>
    <m/>
    <x v="0"/>
    <m/>
    <m/>
    <s v=""/>
    <s v=""/>
    <m/>
    <s v="0"/>
    <m/>
    <m/>
    <s v=""/>
    <m/>
  </r>
  <r>
    <x v="942"/>
    <n v="102"/>
    <x v="1"/>
    <s v="REP6"/>
    <d v="1899-12-30T00:58:01"/>
    <n v="11.03"/>
    <d v="1899-12-30T00:05:16"/>
    <n v="145"/>
    <n v="74"/>
    <n v="220.6"/>
    <m/>
    <n v="1.0391044776119402"/>
    <s v="Adizero Boston 8"/>
  </r>
  <r>
    <x v="943"/>
    <n v="103"/>
    <x v="2"/>
    <s v="Z1.mHR"/>
    <d v="1899-12-30T00:56:24"/>
    <n v="9.81"/>
    <d v="1899-12-30T00:05:45"/>
    <n v="129"/>
    <n v="56"/>
    <n v="205.3"/>
    <m/>
    <n v="1.0570012323702589"/>
    <s v="Brooks Defyance 10"/>
  </r>
  <r>
    <x v="944"/>
    <m/>
    <x v="0"/>
    <m/>
    <m/>
    <s v=""/>
    <s v=""/>
    <m/>
    <s v="0"/>
    <m/>
    <m/>
    <s v=""/>
    <m/>
  </r>
  <r>
    <x v="945"/>
    <n v="104"/>
    <x v="1"/>
    <s v="Z2.90'"/>
    <d v="1899-12-30T01:22:13"/>
    <n v="14.86"/>
    <d v="1899-12-30T00:05:32"/>
    <n v="139"/>
    <n v="91"/>
    <n v="215.2"/>
    <m/>
    <n v="1.0662517828087024"/>
    <s v="New Balance 1080 v10"/>
  </r>
  <r>
    <x v="946"/>
    <m/>
    <x v="0"/>
    <m/>
    <m/>
    <s v=""/>
    <s v=""/>
    <m/>
    <s v="0"/>
    <m/>
    <m/>
    <s v=""/>
    <m/>
  </r>
  <r>
    <x v="947"/>
    <n v="105"/>
    <x v="1"/>
    <s v="REP8"/>
    <d v="1899-12-30T01:05:54"/>
    <n v="12.23"/>
    <d v="1899-12-30T00:05:23"/>
    <n v="144"/>
    <n v="83"/>
    <n v="214.1"/>
    <m/>
    <n v="1.0331231007676256"/>
    <s v="Adizero Boston 8"/>
  </r>
  <r>
    <x v="948"/>
    <n v="106"/>
    <x v="1"/>
    <s v="Z1.mHR"/>
    <d v="1899-12-30T00:54:11"/>
    <n v="9.2899999999999991"/>
    <d v="1899-12-30T00:05:50"/>
    <n v="127"/>
    <n v="53"/>
    <n v="204.1"/>
    <m/>
    <n v="1.0660300756711598"/>
    <s v="Brooks Defyance 10"/>
  </r>
  <r>
    <x v="949"/>
    <m/>
    <x v="0"/>
    <m/>
    <m/>
    <s v=""/>
    <s v=""/>
    <m/>
    <s v="0"/>
    <m/>
    <m/>
    <s v=""/>
    <m/>
  </r>
  <r>
    <x v="950"/>
    <n v="107"/>
    <x v="2"/>
    <s v="Z2.mHR"/>
    <d v="1899-12-30T00:52:59"/>
    <n v="9.7200000000000006"/>
    <d v="1899-12-30T00:05:27"/>
    <n v="136"/>
    <n v="58"/>
    <n v="215.4"/>
    <m/>
    <n v="1.0514658190528838"/>
    <s v="New Balance 1080 v9"/>
  </r>
  <r>
    <x v="951"/>
    <m/>
    <x v="0"/>
    <m/>
    <m/>
    <s v=""/>
    <s v=""/>
    <m/>
    <s v="0"/>
    <m/>
    <m/>
    <s v=""/>
    <m/>
  </r>
  <r>
    <x v="952"/>
    <n v="108"/>
    <x v="1"/>
    <s v="Z2.110'"/>
    <d v="1899-12-30T01:49:40"/>
    <n v="20.43"/>
    <d v="1899-12-30T00:05:22"/>
    <n v="141"/>
    <n v="128"/>
    <n v="221.1"/>
    <m/>
    <n v="1.0628487518355361"/>
    <s v="New Balance 1080 v10"/>
  </r>
  <r>
    <x v="953"/>
    <m/>
    <x v="0"/>
    <m/>
    <m/>
    <s v=""/>
    <s v=""/>
    <m/>
    <s v="0"/>
    <m/>
    <m/>
    <s v=""/>
    <m/>
  </r>
  <r>
    <x v="954"/>
    <n v="109"/>
    <x v="1"/>
    <s v="MON"/>
    <d v="1899-12-30T00:53:53"/>
    <n v="10.050000000000001"/>
    <d v="1899-12-30T00:05:22"/>
    <n v="151"/>
    <n v="66"/>
    <n v="216.8"/>
    <m/>
    <n v="1.0409362144501373"/>
    <s v="Adizero Boston 8"/>
  </r>
  <r>
    <x v="955"/>
    <n v="110"/>
    <x v="1"/>
    <s v="Z1.mHR"/>
    <d v="1899-12-30T00:55:31"/>
    <n v="9.7899999999999991"/>
    <d v="1899-12-30T00:05:40"/>
    <n v="128"/>
    <n v="57"/>
    <n v="209"/>
    <m/>
    <n v="1.0613617306724803"/>
    <s v="Brooks Defyance 10"/>
  </r>
  <r>
    <x v="956"/>
    <m/>
    <x v="0"/>
    <m/>
    <m/>
    <s v=""/>
    <s v=""/>
    <m/>
    <s v="0"/>
    <m/>
    <m/>
    <s v=""/>
    <m/>
  </r>
  <r>
    <x v="957"/>
    <n v="111"/>
    <x v="1"/>
    <s v="Z4.30"/>
    <d v="1899-12-30T00:51:15"/>
    <n v="10.7"/>
    <d v="1899-12-30T00:04:47"/>
    <n v="151"/>
    <n v="73"/>
    <n v="241"/>
    <m/>
    <n v="1.0337215790207841"/>
    <s v="Adizero Boston 8"/>
  </r>
  <r>
    <x v="958"/>
    <m/>
    <x v="0"/>
    <m/>
    <m/>
    <s v=""/>
    <s v=""/>
    <m/>
    <s v="0"/>
    <m/>
    <m/>
    <s v=""/>
    <m/>
  </r>
  <r>
    <x v="959"/>
    <n v="112"/>
    <x v="2"/>
    <s v="Z2.2h"/>
    <d v="1899-12-30T01:55:23"/>
    <n v="20.87"/>
    <d v="1899-12-30T00:05:32"/>
    <n v="135"/>
    <n v="125"/>
    <n v="214.7"/>
    <m/>
    <n v="1.0629898661937081"/>
    <s v="New Balance 1080 v10"/>
  </r>
  <r>
    <x v="960"/>
    <m/>
    <x v="0"/>
    <m/>
    <m/>
    <s v=""/>
    <s v=""/>
    <m/>
    <s v="0"/>
    <m/>
    <m/>
    <s v=""/>
    <m/>
  </r>
  <r>
    <x v="961"/>
    <n v="113"/>
    <x v="1"/>
    <s v="Z1.mHR"/>
    <d v="1899-12-30T00:43:14"/>
    <n v="7.82"/>
    <d v="1899-12-30T00:05:32"/>
    <n v="130"/>
    <n v="47"/>
    <n v="215"/>
    <m/>
    <n v="1.0644539451082187"/>
    <s v="HOKA Clifton 7"/>
  </r>
  <r>
    <x v="962"/>
    <m/>
    <x v="0"/>
    <m/>
    <m/>
    <s v=""/>
    <s v=""/>
    <m/>
    <s v="0"/>
    <m/>
    <m/>
    <s v=""/>
    <m/>
  </r>
  <r>
    <x v="963"/>
    <n v="114"/>
    <x v="1"/>
    <s v="Z2.HR"/>
    <d v="1899-12-30T00:51:06"/>
    <n v="9.67"/>
    <d v="1899-12-30T00:05:17"/>
    <n v="143"/>
    <n v="60"/>
    <n v="224"/>
    <m/>
    <n v="1.0600317955208445"/>
    <s v="HOKA Clifton 7"/>
  </r>
  <r>
    <x v="964"/>
    <m/>
    <x v="0"/>
    <m/>
    <m/>
    <s v=""/>
    <s v=""/>
    <m/>
    <s v="0"/>
    <m/>
    <m/>
    <s v=""/>
    <m/>
  </r>
  <r>
    <x v="965"/>
    <n v="115"/>
    <x v="1"/>
    <s v="Z2.14"/>
    <d v="1899-12-30T01:16:06"/>
    <n v="13.37"/>
    <d v="1899-12-30T00:05:42"/>
    <n v="133"/>
    <n v="83"/>
    <n v="213"/>
    <m/>
    <n v="1.0856986570513179"/>
    <s v="Brooks Defyance 10"/>
  </r>
  <r>
    <x v="966"/>
    <m/>
    <x v="0"/>
    <m/>
    <m/>
    <s v=""/>
    <s v=""/>
    <m/>
    <s v="0"/>
    <m/>
    <m/>
    <s v=""/>
    <m/>
  </r>
  <r>
    <x v="967"/>
    <m/>
    <x v="0"/>
    <m/>
    <m/>
    <s v=""/>
    <s v=""/>
    <m/>
    <s v="0"/>
    <m/>
    <m/>
    <s v=""/>
    <m/>
  </r>
  <r>
    <x v="968"/>
    <n v="116"/>
    <x v="1"/>
    <s v="Z2.HR"/>
    <d v="1899-12-30T00:54:26"/>
    <n v="10.210000000000001"/>
    <d v="1899-12-30T00:05:20"/>
    <n v="139"/>
    <n v="64"/>
    <n v="223"/>
    <m/>
    <n v="1.0646834388293596"/>
    <s v="Brooks Defyance 10"/>
  </r>
  <r>
    <x v="969"/>
    <m/>
    <x v="0"/>
    <m/>
    <m/>
    <s v=""/>
    <s v=""/>
    <m/>
    <s v="0"/>
    <m/>
    <m/>
    <s v=""/>
    <m/>
  </r>
  <r>
    <x v="970"/>
    <n v="117"/>
    <x v="1"/>
    <s v="INT5"/>
    <d v="1899-12-30T00:50:33"/>
    <n v="10"/>
    <d v="1899-12-30T00:05:03"/>
    <n v="148"/>
    <n v="68"/>
    <n v="229"/>
    <m/>
    <n v="1.03665223880597"/>
    <s v="Adizero Boston 8"/>
  </r>
  <r>
    <x v="971"/>
    <n v="118"/>
    <x v="1"/>
    <s v="Z1.mHR"/>
    <d v="1899-12-30T00:57:03"/>
    <n v="10.06"/>
    <d v="1899-12-30T00:05:40"/>
    <n v="134"/>
    <n v="60"/>
    <n v="211"/>
    <m/>
    <n v="1.0715601910922523"/>
    <s v="HOKA Clifton 7"/>
  </r>
  <r>
    <x v="972"/>
    <m/>
    <x v="0"/>
    <m/>
    <m/>
    <s v=""/>
    <s v=""/>
    <m/>
    <s v="0"/>
    <m/>
    <m/>
    <s v=""/>
    <m/>
  </r>
  <r>
    <x v="973"/>
    <n v="119"/>
    <x v="1"/>
    <s v="Z2.110'"/>
    <d v="1899-12-30T01:50:50"/>
    <n v="20.72"/>
    <d v="1899-12-30T00:05:21"/>
    <n v="142"/>
    <n v="128"/>
    <n v="222"/>
    <m/>
    <n v="1.0634328358208955"/>
    <s v="New Balance 1080 v10"/>
  </r>
  <r>
    <x v="974"/>
    <m/>
    <x v="0"/>
    <m/>
    <m/>
    <s v=""/>
    <s v=""/>
    <m/>
    <s v="0"/>
    <m/>
    <m/>
    <s v=""/>
    <m/>
  </r>
  <r>
    <x v="975"/>
    <n v="120"/>
    <x v="1"/>
    <s v="Z2.HR"/>
    <d v="1899-12-30T00:52:43"/>
    <n v="10.220000000000001"/>
    <d v="1899-12-30T00:05:09"/>
    <n v="140"/>
    <n v="65"/>
    <n v="229"/>
    <m/>
    <n v="1.0578131845664049"/>
    <s v="Brooks Defyance 10"/>
  </r>
  <r>
    <x v="976"/>
    <m/>
    <x v="0"/>
    <m/>
    <m/>
    <s v=""/>
    <s v=""/>
    <m/>
    <s v="0"/>
    <m/>
    <m/>
    <s v=""/>
    <m/>
  </r>
  <r>
    <x v="977"/>
    <n v="121"/>
    <x v="1"/>
    <s v="INT6"/>
    <d v="1899-12-30T00:54:27"/>
    <n v="10.57"/>
    <d v="1899-12-30T00:05:09"/>
    <n v="148"/>
    <n v="72"/>
    <n v="224"/>
    <m/>
    <n v="1.033349807255115"/>
    <s v="Adizero Boston 8"/>
  </r>
  <r>
    <x v="978"/>
    <m/>
    <x v="0"/>
    <m/>
    <m/>
    <s v=""/>
    <s v=""/>
    <m/>
    <s v="0"/>
    <m/>
    <m/>
    <s v=""/>
    <m/>
  </r>
  <r>
    <x v="979"/>
    <n v="122"/>
    <x v="1"/>
    <s v="Z1.mHR"/>
    <d v="1899-12-30T00:55:44"/>
    <n v="9.64"/>
    <d v="1899-12-30T00:05:47"/>
    <n v="135"/>
    <n v="55"/>
    <n v="206"/>
    <m/>
    <n v="1.0665510621168017"/>
    <s v="HOKA Clifton 7"/>
  </r>
  <r>
    <x v="980"/>
    <n v="123"/>
    <x v="1"/>
    <s v="Z2.2h"/>
    <d v="1899-12-30T02:09:04"/>
    <n v="24.22"/>
    <d v="1899-12-30T00:05:20"/>
    <n v="142"/>
    <n v="148"/>
    <n v="221"/>
    <m/>
    <n v="1.0546507758482566"/>
    <s v="New Balance 1080 v10"/>
  </r>
  <r>
    <x v="981"/>
    <m/>
    <x v="0"/>
    <m/>
    <m/>
    <s v=""/>
    <s v=""/>
    <m/>
    <s v="0"/>
    <m/>
    <m/>
    <s v=""/>
    <m/>
  </r>
  <r>
    <x v="982"/>
    <m/>
    <x v="0"/>
    <m/>
    <m/>
    <s v=""/>
    <s v=""/>
    <m/>
    <s v="0"/>
    <m/>
    <m/>
    <s v=""/>
    <m/>
  </r>
  <r>
    <x v="983"/>
    <n v="124"/>
    <x v="1"/>
    <s v="Z1.mHR"/>
    <d v="1899-12-30T00:56:47"/>
    <n v="9.8699999999999992"/>
    <d v="1899-12-30T00:05:45"/>
    <n v="130"/>
    <n v="57"/>
    <n v="206"/>
    <m/>
    <n v="1.0613225664988131"/>
    <s v="HOKA Clifton 7"/>
  </r>
  <r>
    <x v="984"/>
    <m/>
    <x v="0"/>
    <m/>
    <m/>
    <s v=""/>
    <s v=""/>
    <m/>
    <s v="0"/>
    <m/>
    <m/>
    <s v=""/>
    <m/>
  </r>
  <r>
    <x v="985"/>
    <n v="125"/>
    <x v="1"/>
    <s v="Z1.mHR"/>
    <d v="1899-12-30T00:56:00"/>
    <n v="9.85"/>
    <d v="1899-12-30T00:05:41"/>
    <n v="131"/>
    <n v="57"/>
    <n v="208"/>
    <m/>
    <n v="1.0589893173725284"/>
    <s v="HOKA Clifton 7"/>
  </r>
  <r>
    <x v="986"/>
    <m/>
    <x v="0"/>
    <m/>
    <m/>
    <s v=""/>
    <s v=""/>
    <m/>
    <s v="0"/>
    <m/>
    <m/>
    <s v=""/>
    <m/>
  </r>
  <r>
    <x v="987"/>
    <n v="126"/>
    <x v="1"/>
    <s v="trail"/>
    <d v="1899-12-30T01:47:29"/>
    <n v="15.97"/>
    <d v="1899-12-30T00:06:44"/>
    <n v="140"/>
    <n v="103"/>
    <n v="194"/>
    <n v="606"/>
    <m/>
    <s v="Innov-8 Terraultra"/>
  </r>
  <r>
    <x v="988"/>
    <m/>
    <x v="0"/>
    <m/>
    <m/>
    <s v=""/>
    <s v=""/>
    <m/>
    <s v="0"/>
    <m/>
    <m/>
    <s v=""/>
    <m/>
  </r>
  <r>
    <x v="989"/>
    <n v="127"/>
    <x v="1"/>
    <s v="Z2.10"/>
    <d v="1899-12-30T00:51:48"/>
    <n v="9.56"/>
    <d v="1899-12-30T00:05:25"/>
    <n v="140"/>
    <n v="71.034828256293423"/>
    <n v="218"/>
    <m/>
    <n v="1.0578030350340348"/>
    <s v="HOKA Clifton 7"/>
  </r>
  <r>
    <x v="990"/>
    <m/>
    <x v="0"/>
    <m/>
    <m/>
    <m/>
    <s v=""/>
    <m/>
    <s v="0"/>
    <m/>
    <m/>
    <s v=""/>
    <m/>
  </r>
  <r>
    <x v="991"/>
    <n v="128"/>
    <x v="1"/>
    <s v="Z2.mHR"/>
    <d v="1899-12-30T00:49:52"/>
    <n v="9.1199999999999992"/>
    <d v="1899-12-30T00:05:28"/>
    <n v="132"/>
    <n v="56"/>
    <n v="218"/>
    <m/>
    <n v="1.067452212621105"/>
    <s v="Brooks Defyance 10"/>
  </r>
  <r>
    <x v="992"/>
    <n v="129"/>
    <x v="1"/>
    <s v="Z1.mHR"/>
    <d v="1899-12-30T00:55:07"/>
    <n v="9.6199999999999992"/>
    <d v="1899-12-30T00:05:44"/>
    <n v="126"/>
    <n v="55"/>
    <n v="206"/>
    <m/>
    <n v="1.0569429360474136"/>
    <s v="HOKA Clifton 7"/>
  </r>
  <r>
    <x v="993"/>
    <m/>
    <x v="0"/>
    <m/>
    <m/>
    <s v=""/>
    <s v=""/>
    <m/>
    <s v="0"/>
    <m/>
    <m/>
    <s v=""/>
    <m/>
  </r>
  <r>
    <x v="994"/>
    <n v="130"/>
    <x v="1"/>
    <s v="Z2.HR"/>
    <d v="1899-12-30T00:54:54"/>
    <n v="10.3"/>
    <d v="1899-12-30T00:05:20"/>
    <n v="136"/>
    <n v="64"/>
    <n v="222"/>
    <m/>
    <n v="1.0596551224460222"/>
    <s v="New Balance 1080 v10"/>
  </r>
  <r>
    <x v="995"/>
    <m/>
    <x v="0"/>
    <m/>
    <m/>
    <s v=""/>
    <s v=""/>
    <m/>
    <s v="0"/>
    <m/>
    <m/>
    <s v=""/>
    <m/>
  </r>
  <r>
    <x v="996"/>
    <n v="131"/>
    <x v="1"/>
    <s v="Z2.HR"/>
    <d v="1899-12-30T00:52:06"/>
    <n v="9.73"/>
    <d v="1899-12-30T00:05:21"/>
    <n v="140"/>
    <n v="62"/>
    <n v="221"/>
    <m/>
    <n v="1.0597260358024883"/>
    <s v="Brooks Defyance 10"/>
  </r>
  <r>
    <x v="997"/>
    <n v="132"/>
    <x v="1"/>
    <s v="Z4.30"/>
    <d v="1899-12-30T00:56:07"/>
    <n v="11.58"/>
    <d v="1899-12-30T00:04:51"/>
    <n v="150"/>
    <n v="78"/>
    <n v="240"/>
    <m/>
    <n v="1.0415281107416285"/>
    <s v="Adizero Boston 8"/>
  </r>
  <r>
    <x v="998"/>
    <n v="133"/>
    <x v="2"/>
    <s v="Z1.mHR"/>
    <d v="1899-12-30T00:56:05"/>
    <n v="9.81"/>
    <d v="1899-12-30T00:05:43"/>
    <n v="136"/>
    <n v="56"/>
    <n v="207"/>
    <m/>
    <n v="1.059769957551691"/>
    <s v="HOKA Clifton 7"/>
  </r>
  <r>
    <x v="999"/>
    <m/>
    <x v="0"/>
    <m/>
    <m/>
    <s v=""/>
    <s v=""/>
    <m/>
    <s v="0"/>
    <m/>
    <m/>
    <s v=""/>
    <m/>
  </r>
  <r>
    <x v="1000"/>
    <m/>
    <x v="0"/>
    <m/>
    <m/>
    <s v=""/>
    <s v=""/>
    <m/>
    <s v="0"/>
    <m/>
    <m/>
    <s v=""/>
    <m/>
  </r>
  <r>
    <x v="1001"/>
    <n v="134"/>
    <x v="2"/>
    <s v="Z2.90'"/>
    <d v="1899-12-30T01:28:51"/>
    <n v="16.04"/>
    <d v="1899-12-30T00:05:32"/>
    <n v="135"/>
    <n v="95"/>
    <n v="213"/>
    <m/>
    <n v="1.0565963821788813"/>
    <s v="New Balance 1080 v10"/>
  </r>
  <r>
    <x v="1002"/>
    <m/>
    <x v="0"/>
    <m/>
    <m/>
    <s v=""/>
    <s v=""/>
    <m/>
    <s v="0"/>
    <m/>
    <m/>
    <s v=""/>
    <m/>
  </r>
  <r>
    <x v="1003"/>
    <n v="135"/>
    <x v="2"/>
    <s v="Z2.HR"/>
    <d v="1899-12-30T00:55:58"/>
    <n v="10.57"/>
    <d v="1899-12-30T00:05:18"/>
    <n v="141"/>
    <n v="64"/>
    <n v="221"/>
    <m/>
    <n v="1.0479080472754487"/>
    <s v="Brooks Defyance 10"/>
  </r>
  <r>
    <x v="1004"/>
    <m/>
    <x v="0"/>
    <m/>
    <m/>
    <s v=""/>
    <s v=""/>
    <m/>
    <s v="0"/>
    <m/>
    <m/>
    <s v=""/>
    <m/>
  </r>
  <r>
    <x v="1005"/>
    <m/>
    <x v="0"/>
    <m/>
    <m/>
    <s v=""/>
    <s v=""/>
    <m/>
    <s v="0"/>
    <m/>
    <m/>
    <s v=""/>
    <m/>
  </r>
  <r>
    <x v="1006"/>
    <n v="136"/>
    <x v="1"/>
    <s v="Z4.40"/>
    <d v="1899-12-30T01:01:59"/>
    <n v="12.97"/>
    <d v="1899-12-30T00:04:47"/>
    <n v="153"/>
    <n v="89"/>
    <n v="243"/>
    <m/>
    <n v="1.0399624851839491"/>
    <s v="Adizero Boston 8"/>
  </r>
  <r>
    <x v="1007"/>
    <n v="137"/>
    <x v="1"/>
    <s v="Z1.mHR"/>
    <d v="1899-12-30T00:53:56"/>
    <n v="9.5"/>
    <d v="1899-12-30T00:05:41"/>
    <n v="127"/>
    <n v="55"/>
    <n v="207"/>
    <m/>
    <n v="1.0523990573448543"/>
    <s v="HOKA Clifton 7"/>
  </r>
  <r>
    <x v="1008"/>
    <n v="138"/>
    <x v="1"/>
    <s v="Z2.2h"/>
    <d v="1899-12-30T02:02:49"/>
    <n v="24.25"/>
    <d v="1899-12-30T00:05:04"/>
    <n v="142"/>
    <n v="155"/>
    <n v="231"/>
    <m/>
    <n v="1.0476928758270501"/>
    <s v="New Balance 1080 v10"/>
  </r>
  <r>
    <x v="1009"/>
    <m/>
    <x v="0"/>
    <m/>
    <m/>
    <s v=""/>
    <s v=""/>
    <m/>
    <s v="0"/>
    <m/>
    <m/>
    <s v=""/>
    <m/>
  </r>
  <r>
    <x v="1010"/>
    <n v="139"/>
    <x v="1"/>
    <s v="Z2.HR"/>
    <d v="1899-12-30T00:56:22"/>
    <n v="10.55"/>
    <d v="1899-12-30T00:05:21"/>
    <n v="142"/>
    <n v="66"/>
    <n v="221"/>
    <m/>
    <n v="1.0573983164744996"/>
    <s v="Brooks Defyance 10"/>
  </r>
  <r>
    <x v="1011"/>
    <m/>
    <x v="0"/>
    <m/>
    <m/>
    <s v=""/>
    <s v=""/>
    <m/>
    <s v="0"/>
    <m/>
    <m/>
    <s v=""/>
    <m/>
  </r>
  <r>
    <x v="1012"/>
    <n v="140"/>
    <x v="1"/>
    <s v="Z4.10k"/>
    <d v="1899-12-30T00:55:48"/>
    <n v="11.62"/>
    <d v="1899-12-30T00:04:48"/>
    <n v="150"/>
    <n v="78"/>
    <n v="241"/>
    <m/>
    <n v="1.0363860559508824"/>
    <s v="Adizero Boston 8"/>
  </r>
  <r>
    <x v="1013"/>
    <n v="141"/>
    <x v="2"/>
    <s v="Z1.mHR"/>
    <d v="1899-12-30T00:53:13"/>
    <n v="9.31"/>
    <d v="1899-12-30T00:05:43"/>
    <n v="132"/>
    <n v="53"/>
    <n v="206"/>
    <m/>
    <n v="1.0544880324478574"/>
    <s v="HOKA Clifton 7"/>
  </r>
  <r>
    <x v="1014"/>
    <m/>
    <x v="0"/>
    <m/>
    <m/>
    <s v=""/>
    <s v=""/>
    <m/>
    <s v="0"/>
    <m/>
    <m/>
    <s v=""/>
    <m/>
  </r>
  <r>
    <x v="1015"/>
    <n v="142"/>
    <x v="1"/>
    <s v="Z2.25"/>
    <d v="1899-12-30T01:50:14"/>
    <n v="19.7"/>
    <d v="1899-12-30T00:05:36"/>
    <n v="136"/>
    <n v="122"/>
    <n v="217"/>
    <m/>
    <n v="1.0873838927191453"/>
    <s v="New Balance 1080 v10"/>
  </r>
  <r>
    <x v="1016"/>
    <m/>
    <x v="0"/>
    <m/>
    <m/>
    <s v=""/>
    <s v=""/>
    <m/>
    <s v="0"/>
    <m/>
    <m/>
    <s v=""/>
    <m/>
  </r>
  <r>
    <x v="1017"/>
    <n v="143"/>
    <x v="1"/>
    <s v="FS"/>
    <d v="1899-12-30T00:52:35"/>
    <n v="10.02"/>
    <d v="1899-12-30T00:05:15"/>
    <n v="146"/>
    <n v="64"/>
    <n v="220"/>
    <m/>
    <n v="1.0339023445646023"/>
    <s v="Brooks Defyance 10"/>
  </r>
  <r>
    <x v="1018"/>
    <m/>
    <x v="0"/>
    <m/>
    <m/>
    <s v=""/>
    <s v=""/>
    <m/>
    <s v="0"/>
    <m/>
    <m/>
    <s v=""/>
    <m/>
  </r>
  <r>
    <x v="1019"/>
    <n v="144"/>
    <x v="1"/>
    <s v="Z1.mHR"/>
    <d v="1899-12-30T00:53:23"/>
    <n v="9.35"/>
    <d v="1899-12-30T00:05:43"/>
    <n v="134"/>
    <n v="53"/>
    <n v="206"/>
    <m/>
    <n v="1.0532652246787453"/>
    <s v="HOKA Clifton 7"/>
  </r>
  <r>
    <x v="1020"/>
    <m/>
    <x v="0"/>
    <m/>
    <m/>
    <s v=""/>
    <s v=""/>
    <m/>
    <s v="0"/>
    <m/>
    <m/>
    <s v=""/>
    <m/>
  </r>
  <r>
    <x v="1021"/>
    <m/>
    <x v="0"/>
    <m/>
    <m/>
    <s v=""/>
    <s v=""/>
    <m/>
    <s v="0"/>
    <m/>
    <m/>
    <s v=""/>
    <m/>
  </r>
  <r>
    <x v="1022"/>
    <n v="145"/>
    <x v="1"/>
    <s v="Z2.HR"/>
    <d v="1899-12-30T00:55:02"/>
    <n v="10.199999999999999"/>
    <d v="1899-12-30T00:05:24"/>
    <n v="137"/>
    <n v="61"/>
    <n v="216"/>
    <m/>
    <n v="1.0436523266022826"/>
    <s v="HOKA Clifton 7"/>
  </r>
  <r>
    <x v="1023"/>
    <m/>
    <x v="0"/>
    <m/>
    <m/>
    <s v=""/>
    <s v=""/>
    <m/>
    <s v="0"/>
    <m/>
    <m/>
    <s v=""/>
    <m/>
  </r>
  <r>
    <x v="1024"/>
    <n v="146"/>
    <x v="1"/>
    <s v="FS"/>
    <d v="1899-12-30T00:45:04"/>
    <n v="9.3699999999999992"/>
    <d v="1899-12-30T00:04:49"/>
    <n v="145"/>
    <n v="62"/>
    <n v="238"/>
    <m/>
    <n v="1.0251071218082484"/>
    <s v="Brooks Defyance 10"/>
  </r>
  <r>
    <x v="1025"/>
    <m/>
    <x v="0"/>
    <m/>
    <m/>
    <s v=""/>
    <s v=""/>
    <m/>
    <s v="0"/>
    <m/>
    <m/>
    <s v=""/>
    <m/>
  </r>
  <r>
    <x v="1026"/>
    <m/>
    <x v="0"/>
    <m/>
    <m/>
    <s v=""/>
    <s v=""/>
    <m/>
    <s v="0"/>
    <m/>
    <m/>
    <s v=""/>
    <m/>
  </r>
  <r>
    <x v="1027"/>
    <n v="147"/>
    <x v="1"/>
    <s v="Z1.sHR"/>
    <d v="1899-12-30T00:44:11"/>
    <n v="7.99"/>
    <d v="1899-12-30T00:05:32"/>
    <n v="132"/>
    <n v="47"/>
    <n v="212"/>
    <m/>
    <n v="1.0498421534380662"/>
    <s v="Brooks Defyance 10"/>
  </r>
  <r>
    <x v="1028"/>
    <m/>
    <x v="0"/>
    <m/>
    <m/>
    <s v=""/>
    <s v=""/>
    <m/>
    <s v="0"/>
    <m/>
    <m/>
    <s v=""/>
    <m/>
  </r>
  <r>
    <x v="1029"/>
    <n v="148"/>
    <x v="1"/>
    <s v="wk"/>
    <d v="1899-12-30T01:00:29"/>
    <n v="13.61"/>
    <d v="1899-12-30T00:04:27"/>
    <n v="158"/>
    <n v="93"/>
    <n v="256"/>
    <m/>
    <n v="1.0188118920460154"/>
    <s v="Adizero Boston 8"/>
  </r>
  <r>
    <x v="1030"/>
    <m/>
    <x v="0"/>
    <m/>
    <m/>
    <s v=""/>
    <s v=""/>
    <m/>
    <s v="0"/>
    <m/>
    <m/>
    <s v=""/>
    <m/>
  </r>
  <r>
    <x v="1031"/>
    <m/>
    <x v="0"/>
    <m/>
    <m/>
    <s v=""/>
    <s v=""/>
    <m/>
    <s v="0"/>
    <m/>
    <m/>
    <s v=""/>
    <m/>
  </r>
  <r>
    <x v="1032"/>
    <m/>
    <x v="0"/>
    <m/>
    <m/>
    <s v=""/>
    <s v=""/>
    <m/>
    <s v="0"/>
    <m/>
    <m/>
    <s v=""/>
    <m/>
  </r>
  <r>
    <x v="1033"/>
    <m/>
    <x v="0"/>
    <m/>
    <m/>
    <s v=""/>
    <s v=""/>
    <m/>
    <s v="0"/>
    <m/>
    <m/>
    <s v=""/>
    <m/>
  </r>
  <r>
    <x v="1034"/>
    <m/>
    <x v="0"/>
    <m/>
    <m/>
    <s v=""/>
    <s v=""/>
    <m/>
    <s v="0"/>
    <m/>
    <m/>
    <s v=""/>
    <m/>
  </r>
  <r>
    <x v="1035"/>
    <m/>
    <x v="0"/>
    <m/>
    <m/>
    <s v=""/>
    <s v=""/>
    <m/>
    <s v="0"/>
    <m/>
    <m/>
    <s v=""/>
    <m/>
  </r>
  <r>
    <x v="1036"/>
    <n v="149"/>
    <x v="1"/>
    <s v="Z1.mHR"/>
    <d v="1899-12-30T00:56:15"/>
    <n v="9.6999999999999993"/>
    <d v="1899-12-30T00:05:48"/>
    <n v="132"/>
    <n v="55"/>
    <n v="204"/>
    <m/>
    <n v="1.0593937528850594"/>
    <s v="HOKA Clifton 7"/>
  </r>
  <r>
    <x v="1037"/>
    <m/>
    <x v="0"/>
    <m/>
    <m/>
    <s v=""/>
    <s v=""/>
    <m/>
    <s v="0"/>
    <m/>
    <m/>
    <s v=""/>
    <m/>
  </r>
  <r>
    <x v="1038"/>
    <m/>
    <x v="0"/>
    <m/>
    <m/>
    <m/>
    <s v=""/>
    <m/>
    <s v="0"/>
    <m/>
    <m/>
    <s v=""/>
    <m/>
  </r>
  <r>
    <x v="1039"/>
    <n v="150"/>
    <x v="1"/>
    <s v="Z2.mHR"/>
    <d v="1899-12-30T00:54:29"/>
    <n v="9.52"/>
    <d v="1899-12-30T00:05:43"/>
    <n v="142"/>
    <n v="55"/>
    <n v="207"/>
    <m/>
    <n v="1.0608977172958738"/>
    <s v="HOKA Clifton 7"/>
  </r>
  <r>
    <x v="1040"/>
    <n v="151"/>
    <x v="1"/>
    <s v="Z2.mHR"/>
    <d v="1899-12-30T00:52:17"/>
    <n v="9.56"/>
    <d v="1899-12-30T00:05:28"/>
    <n v="139"/>
    <n v="57"/>
    <n v="215"/>
    <m/>
    <n v="1.0529803909323674"/>
    <s v="HOKA Clifton 7"/>
  </r>
  <r>
    <x v="1041"/>
    <m/>
    <x v="0"/>
    <m/>
    <m/>
    <s v=""/>
    <s v=""/>
    <m/>
    <s v="0"/>
    <m/>
    <m/>
    <s v=""/>
    <m/>
  </r>
  <r>
    <x v="1042"/>
    <n v="152"/>
    <x v="1"/>
    <s v="trail"/>
    <d v="1899-12-30T01:33:03"/>
    <n v="13.77"/>
    <d v="1899-12-30T00:06:45"/>
    <n v="147"/>
    <n v="89"/>
    <n v="192"/>
    <n v="504"/>
    <m/>
    <s v="Innov-8 Terraultra"/>
  </r>
  <r>
    <x v="1043"/>
    <m/>
    <x v="0"/>
    <m/>
    <m/>
    <s v=""/>
    <s v=""/>
    <m/>
    <s v="0"/>
    <m/>
    <m/>
    <s v=""/>
    <m/>
  </r>
  <r>
    <x v="1044"/>
    <m/>
    <x v="0"/>
    <m/>
    <m/>
    <s v=""/>
    <s v=""/>
    <m/>
    <s v="0"/>
    <m/>
    <m/>
    <s v=""/>
    <m/>
  </r>
  <r>
    <x v="1045"/>
    <m/>
    <x v="0"/>
    <m/>
    <m/>
    <s v=""/>
    <s v=""/>
    <m/>
    <s v="0"/>
    <m/>
    <m/>
    <s v=""/>
    <m/>
  </r>
  <r>
    <x v="1046"/>
    <n v="153"/>
    <x v="1"/>
    <s v="Z2.mHR"/>
    <d v="1899-12-30T00:51:38"/>
    <n v="9.2799999999999994"/>
    <d v="1899-12-30T00:05:34"/>
    <n v="137"/>
    <n v="54"/>
    <n v="212"/>
    <m/>
    <n v="1.0563175501801341"/>
    <s v="HOKA Clifton 7"/>
  </r>
  <r>
    <x v="1047"/>
    <m/>
    <x v="0"/>
    <m/>
    <m/>
    <s v=""/>
    <s v=""/>
    <m/>
    <s v="0"/>
    <m/>
    <m/>
    <s v=""/>
    <m/>
  </r>
  <r>
    <x v="1048"/>
    <n v="154"/>
    <x v="1"/>
    <s v="Z2.HR"/>
    <d v="1899-12-30T01:04:27"/>
    <n v="11.66"/>
    <d v="1899-12-30T00:05:32"/>
    <n v="138"/>
    <n v="68"/>
    <n v="211.4"/>
    <m/>
    <n v="1.046419446506746"/>
    <s v="HOKA Clifton 7"/>
  </r>
  <r>
    <x v="1049"/>
    <m/>
    <x v="0"/>
    <m/>
    <m/>
    <s v=""/>
    <s v=""/>
    <m/>
    <s v="0"/>
    <m/>
    <m/>
    <s v=""/>
    <m/>
  </r>
  <r>
    <x v="1050"/>
    <n v="155"/>
    <x v="1"/>
    <s v="Z2.HR"/>
    <d v="1899-12-30T00:55:27"/>
    <n v="10.58"/>
    <d v="1899-12-30T00:05:14"/>
    <n v="143"/>
    <n v="66"/>
    <n v="222"/>
    <m/>
    <n v="1.0419462235138111"/>
    <s v="Brooks Defyance 10"/>
  </r>
  <r>
    <x v="1051"/>
    <m/>
    <x v="0"/>
    <m/>
    <m/>
    <s v=""/>
    <s v=""/>
    <m/>
    <s v="0"/>
    <m/>
    <m/>
    <s v=""/>
    <m/>
  </r>
  <r>
    <x v="1052"/>
    <m/>
    <x v="0"/>
    <m/>
    <m/>
    <s v=""/>
    <s v=""/>
    <m/>
    <s v="0"/>
    <m/>
    <m/>
    <s v=""/>
    <m/>
  </r>
  <r>
    <x v="1053"/>
    <n v="156"/>
    <x v="1"/>
    <s v="Z2.HR"/>
    <d v="1899-12-30T00:55:47"/>
    <n v="10.69"/>
    <d v="1899-12-30T00:05:13"/>
    <n v="144"/>
    <n v="69"/>
    <n v="224"/>
    <m/>
    <n v="1.0467698923530151"/>
    <s v="Brooks Defyance 10"/>
  </r>
  <r>
    <x v="1054"/>
    <m/>
    <x v="0"/>
    <m/>
    <m/>
    <s v=""/>
    <s v=""/>
    <m/>
    <s v="0"/>
    <m/>
    <m/>
    <s v=""/>
    <m/>
  </r>
  <r>
    <x v="1055"/>
    <n v="157"/>
    <x v="2"/>
    <s v="Z2.HR"/>
    <d v="1899-12-30T01:00:26"/>
    <n v="11.13"/>
    <d v="1899-12-30T00:05:26"/>
    <n v="147"/>
    <n v="67"/>
    <n v="216"/>
    <m/>
    <n v="1.0502956913545478"/>
    <s v="Brooks Defyance 10"/>
  </r>
  <r>
    <x v="1056"/>
    <m/>
    <x v="0"/>
    <m/>
    <m/>
    <s v=""/>
    <s v=""/>
    <m/>
    <s v="0"/>
    <m/>
    <m/>
    <s v=""/>
    <m/>
  </r>
  <r>
    <x v="1057"/>
    <n v="158"/>
    <x v="1"/>
    <s v="Z2.HR"/>
    <d v="1899-12-30T00:57:56"/>
    <n v="10.91"/>
    <d v="1899-12-30T00:05:19"/>
    <n v="140"/>
    <n v="68"/>
    <n v="221"/>
    <m/>
    <n v="1.0509268506231446"/>
    <s v="Brooks Defyance 10"/>
  </r>
  <r>
    <x v="1058"/>
    <m/>
    <x v="0"/>
    <m/>
    <m/>
    <s v=""/>
    <s v=""/>
    <m/>
    <s v="0"/>
    <m/>
    <m/>
    <s v=""/>
    <m/>
  </r>
  <r>
    <x v="1059"/>
    <n v="159"/>
    <x v="1"/>
    <s v="hills"/>
    <d v="1899-12-30T00:53:43"/>
    <n v="10.210000000000001"/>
    <d v="1899-12-30T00:05:16"/>
    <n v="144"/>
    <n v="70"/>
    <n v="223"/>
    <m/>
    <n v="1.0506658675281768"/>
    <s v="Adizero Boston 8"/>
  </r>
  <r>
    <x v="1060"/>
    <m/>
    <x v="0"/>
    <m/>
    <m/>
    <s v=""/>
    <s v=""/>
    <m/>
    <s v="0"/>
    <m/>
    <m/>
    <s v=""/>
    <m/>
  </r>
  <r>
    <x v="1061"/>
    <n v="160"/>
    <x v="1"/>
    <s v="Z2.mHR"/>
    <d v="1899-12-30T00:47:38"/>
    <n v="9.06"/>
    <d v="1899-12-30T00:05:15"/>
    <n v="141"/>
    <n v="57"/>
    <n v="223"/>
    <m/>
    <n v="1.0499390464894074"/>
    <s v="HOKA Clifton 7"/>
  </r>
  <r>
    <x v="1062"/>
    <m/>
    <x v="0"/>
    <m/>
    <m/>
    <s v=""/>
    <s v=""/>
    <m/>
    <s v="0"/>
    <m/>
    <m/>
    <s v=""/>
    <m/>
  </r>
  <r>
    <x v="1063"/>
    <n v="161"/>
    <x v="1"/>
    <s v="Z2.mHR"/>
    <d v="1899-12-30T00:55:24"/>
    <n v="10.050000000000001"/>
    <d v="1899-12-30T00:05:31"/>
    <n v="136"/>
    <n v="61"/>
    <n v="213"/>
    <m/>
    <n v="1.0514769436400089"/>
    <s v="HOKA Clifton 7"/>
  </r>
  <r>
    <x v="1064"/>
    <m/>
    <x v="0"/>
    <m/>
    <m/>
    <s v=""/>
    <s v=""/>
    <m/>
    <s v="0"/>
    <m/>
    <m/>
    <s v=""/>
    <m/>
  </r>
  <r>
    <x v="1065"/>
    <n v="162"/>
    <x v="1"/>
    <s v="Z2.mHR"/>
    <d v="1899-12-30T00:50:49"/>
    <n v="9.57"/>
    <d v="1899-12-30T00:05:19"/>
    <n v="139"/>
    <n v="60"/>
    <n v="221"/>
    <m/>
    <n v="1.0509037882686882"/>
    <s v="HOKA Clifton 7"/>
  </r>
  <r>
    <x v="1066"/>
    <m/>
    <x v="0"/>
    <m/>
    <m/>
    <s v=""/>
    <s v=""/>
    <m/>
    <s v="0"/>
    <m/>
    <m/>
    <s v=""/>
    <m/>
  </r>
  <r>
    <x v="1067"/>
    <n v="163"/>
    <x v="1"/>
    <s v="Z2.mHR"/>
    <d v="1899-12-30T00:48:20"/>
    <n v="9.36"/>
    <d v="1899-12-30T00:05:10"/>
    <n v="141"/>
    <n v="60"/>
    <n v="226"/>
    <m/>
    <n v="1.0450950376323513"/>
    <s v="Brooks Defyance 10"/>
  </r>
  <r>
    <x v="1068"/>
    <n v="164"/>
    <x v="1"/>
    <s v="Z2.HR"/>
    <d v="1899-12-30T00:45:46"/>
    <n v="9.09"/>
    <d v="1899-12-30T00:05:02"/>
    <n v="142"/>
    <n v="60"/>
    <n v="230"/>
    <m/>
    <n v="1.0370260906687685"/>
    <s v="New Balance 1080 v10"/>
  </r>
  <r>
    <x v="1069"/>
    <m/>
    <x v="0"/>
    <m/>
    <m/>
    <s v=""/>
    <s v=""/>
    <m/>
    <s v="0"/>
    <m/>
    <m/>
    <s v=""/>
    <m/>
  </r>
  <r>
    <x v="1070"/>
    <m/>
    <x v="0"/>
    <m/>
    <m/>
    <s v=""/>
    <s v=""/>
    <m/>
    <s v="0"/>
    <m/>
    <m/>
    <s v=""/>
    <m/>
  </r>
  <r>
    <x v="1071"/>
    <n v="165"/>
    <x v="2"/>
    <s v="Z2.HR"/>
    <d v="1899-12-30T01:07:25"/>
    <n v="11.63"/>
    <d v="1899-12-30T00:05:48"/>
    <n v="139"/>
    <n v="66"/>
    <n v="201"/>
    <m/>
    <n v="1.0434221840068789"/>
    <s v="HOKA Clifton 7"/>
  </r>
  <r>
    <x v="1072"/>
    <m/>
    <x v="0"/>
    <m/>
    <m/>
    <s v=""/>
    <s v=""/>
    <m/>
    <s v="0"/>
    <m/>
    <m/>
    <s v=""/>
    <m/>
  </r>
  <r>
    <x v="1073"/>
    <n v="166"/>
    <x v="1"/>
    <s v="Z2.HR"/>
    <d v="1899-12-30T00:54:03"/>
    <n v="10.09"/>
    <d v="1899-12-30T00:05:21"/>
    <n v="139"/>
    <n v="62"/>
    <n v="218"/>
    <m/>
    <n v="1.0457731165776667"/>
    <s v="HOKA Clifton 7"/>
  </r>
  <r>
    <x v="1074"/>
    <m/>
    <x v="0"/>
    <m/>
    <m/>
    <s v=""/>
    <s v=""/>
    <m/>
    <s v="0"/>
    <m/>
    <m/>
    <s v=""/>
    <m/>
  </r>
  <r>
    <x v="1075"/>
    <n v="167"/>
    <x v="1"/>
    <s v="Z2.mHR"/>
    <d v="1899-12-30T00:50:03"/>
    <n v="9.69"/>
    <d v="1899-12-30T00:05:10"/>
    <n v="143"/>
    <n v="62"/>
    <n v="225"/>
    <m/>
    <n v="1.0407328681669055"/>
    <s v="Brooks Defyance 10"/>
  </r>
  <r>
    <x v="1076"/>
    <m/>
    <x v="0"/>
    <m/>
    <m/>
    <s v=""/>
    <s v=""/>
    <m/>
    <s v="0"/>
    <m/>
    <m/>
    <s v=""/>
    <m/>
  </r>
  <r>
    <x v="1077"/>
    <m/>
    <x v="0"/>
    <m/>
    <m/>
    <s v=""/>
    <s v=""/>
    <m/>
    <s v="0"/>
    <m/>
    <m/>
    <s v=""/>
    <m/>
  </r>
  <r>
    <x v="1078"/>
    <n v="168"/>
    <x v="2"/>
    <s v="Z2.HR"/>
    <d v="1899-12-30T01:09:08"/>
    <n v="12.4"/>
    <d v="1899-12-30T00:05:35"/>
    <n v="140"/>
    <n v="73"/>
    <n v="208"/>
    <m/>
    <n v="1.0384978334135773"/>
    <s v="Brooks Defyance 10"/>
  </r>
  <r>
    <x v="1079"/>
    <m/>
    <x v="0"/>
    <m/>
    <m/>
    <s v=""/>
    <s v=""/>
    <m/>
    <s v="0"/>
    <m/>
    <m/>
    <s v=""/>
    <m/>
  </r>
  <r>
    <x v="1080"/>
    <n v="169"/>
    <x v="1"/>
    <s v="hills"/>
    <d v="1899-12-30T00:56:53"/>
    <n v="10.5"/>
    <d v="1899-12-30T00:05:25"/>
    <n v="145"/>
    <n v="70"/>
    <n v="216"/>
    <m/>
    <n v="1.0479147121535182"/>
    <s v="Brooks Defyance 10"/>
  </r>
  <r>
    <x v="1081"/>
    <m/>
    <x v="0"/>
    <m/>
    <m/>
    <m/>
    <s v=""/>
    <m/>
    <s v="0"/>
    <m/>
    <m/>
    <s v=""/>
    <m/>
  </r>
  <r>
    <x v="1082"/>
    <n v="170"/>
    <x v="1"/>
    <s v="Z2.mHR"/>
    <d v="1899-12-30T00:49:40"/>
    <n v="9.09"/>
    <d v="1899-12-30T00:05:28"/>
    <n v="140"/>
    <n v="55"/>
    <n v="214"/>
    <m/>
    <n v="1.0471076958442112"/>
    <s v="HOKA Clifton 7"/>
  </r>
  <r>
    <x v="1083"/>
    <m/>
    <x v="0"/>
    <m/>
    <m/>
    <s v=""/>
    <s v=""/>
    <m/>
    <s v="0"/>
    <m/>
    <m/>
    <s v=""/>
    <m/>
  </r>
  <r>
    <x v="1084"/>
    <n v="171"/>
    <x v="1"/>
    <s v="Z2.HR"/>
    <d v="1899-12-30T00:54:40"/>
    <n v="10.41"/>
    <d v="1899-12-30T00:05:15"/>
    <n v="141"/>
    <n v="65"/>
    <n v="221"/>
    <m/>
    <n v="1.0392991813267953"/>
    <s v="HOKA Clifton 7"/>
  </r>
  <r>
    <x v="1085"/>
    <m/>
    <x v="0"/>
    <m/>
    <m/>
    <s v=""/>
    <s v=""/>
    <m/>
    <s v="0"/>
    <m/>
    <m/>
    <s v=""/>
    <m/>
  </r>
  <r>
    <x v="1086"/>
    <n v="172"/>
    <x v="1"/>
    <s v="Z2.HR"/>
    <d v="1899-12-30T00:52:43"/>
    <n v="9.93"/>
    <d v="1899-12-30T00:05:19"/>
    <n v="141"/>
    <n v="61"/>
    <n v="219"/>
    <m/>
    <n v="1.0411642692880014"/>
    <s v="HOKA Clifton 7"/>
  </r>
  <r>
    <x v="1087"/>
    <m/>
    <x v="0"/>
    <m/>
    <m/>
    <s v=""/>
    <s v=""/>
    <m/>
    <s v="0"/>
    <m/>
    <m/>
    <s v=""/>
    <m/>
  </r>
  <r>
    <x v="1088"/>
    <n v="173"/>
    <x v="2"/>
    <s v="Z2.HR"/>
    <d v="1899-12-30T01:06:27"/>
    <n v="11.72"/>
    <d v="1899-12-30T00:05:40"/>
    <n v="144"/>
    <n v="68"/>
    <n v="206"/>
    <m/>
    <n v="1.045950282716112"/>
    <s v="HOKA Clifton 7"/>
  </r>
  <r>
    <x v="1089"/>
    <m/>
    <x v="0"/>
    <m/>
    <m/>
    <s v=""/>
    <s v=""/>
    <m/>
    <s v="0"/>
    <m/>
    <m/>
    <s v=""/>
    <m/>
  </r>
  <r>
    <x v="1090"/>
    <n v="174"/>
    <x v="2"/>
    <s v="Z2.mHR"/>
    <d v="1899-12-30T00:56:56"/>
    <n v="10.1"/>
    <d v="1899-12-30T00:05:38"/>
    <n v="140"/>
    <n v="59"/>
    <n v="206"/>
    <m/>
    <n v="1.0398936013004285"/>
    <s v="HOKA Clifton 7"/>
  </r>
  <r>
    <x v="1091"/>
    <m/>
    <x v="0"/>
    <m/>
    <m/>
    <s v=""/>
    <s v=""/>
    <m/>
    <s v="0"/>
    <m/>
    <m/>
    <s v=""/>
    <m/>
  </r>
  <r>
    <x v="1092"/>
    <n v="175"/>
    <x v="2"/>
    <s v="Z2.HR"/>
    <d v="1899-12-30T01:01:18"/>
    <n v="11.1"/>
    <d v="1899-12-30T00:05:31"/>
    <n v="137"/>
    <n v="65"/>
    <n v="210"/>
    <m/>
    <n v="1.0385639370713999"/>
    <s v="Brooks Defyance 10"/>
  </r>
  <r>
    <x v="1093"/>
    <m/>
    <x v="0"/>
    <m/>
    <m/>
    <s v=""/>
    <s v=""/>
    <m/>
    <s v="0"/>
    <m/>
    <m/>
    <s v=""/>
    <m/>
  </r>
  <r>
    <x v="1094"/>
    <n v="176"/>
    <x v="2"/>
    <s v="Z2.HR"/>
    <d v="1899-12-30T01:02:40"/>
    <n v="11.1"/>
    <d v="1899-12-30T00:05:39"/>
    <n v="136"/>
    <n v="64"/>
    <n v="205"/>
    <m/>
    <n v="1.0364394244991262"/>
    <s v="Brooks Defyance 10"/>
  </r>
  <r>
    <x v="1095"/>
    <m/>
    <x v="0"/>
    <m/>
    <m/>
    <s v=""/>
    <s v=""/>
    <m/>
    <s v="0"/>
    <m/>
    <m/>
    <s v=""/>
    <m/>
  </r>
  <r>
    <x v="1096"/>
    <n v="177"/>
    <x v="1"/>
    <s v="trails"/>
    <d v="1899-12-30T00:53:00"/>
    <n v="7.62"/>
    <d v="1899-12-30T00:06:57"/>
    <n v="150"/>
    <n v="62"/>
    <n v="204"/>
    <n v="401"/>
    <m/>
    <s v="Innov-8 Terraultra"/>
  </r>
  <r>
    <x v="1097"/>
    <m/>
    <x v="0"/>
    <m/>
    <m/>
    <s v=""/>
    <s v=""/>
    <m/>
    <s v="0"/>
    <m/>
    <m/>
    <s v=""/>
    <m/>
  </r>
  <r>
    <x v="1098"/>
    <n v="1"/>
    <x v="1"/>
    <s v="Z2.HR"/>
    <d v="1899-12-30T00:54:11"/>
    <n v="10.1"/>
    <d v="1899-12-30T00:05:22"/>
    <n v="137"/>
    <n v="62"/>
    <n v="217"/>
    <n v="38"/>
    <n v="1.0425107137579428"/>
    <s v="HOKA Clifton 7"/>
  </r>
  <r>
    <x v="1099"/>
    <n v="2"/>
    <x v="1"/>
    <s v="Z2.70'"/>
    <d v="1899-12-30T00:58:57"/>
    <n v="10.7"/>
    <d v="1899-12-30T00:05:31"/>
    <n v="137"/>
    <n v="65"/>
    <n v="212"/>
    <n v="27"/>
    <n v="1.0459534105175059"/>
    <s v="HOKA Clifton 7"/>
  </r>
  <r>
    <x v="1100"/>
    <m/>
    <x v="0"/>
    <m/>
    <m/>
    <s v=""/>
    <s v=""/>
    <m/>
    <s v="0"/>
    <m/>
    <m/>
    <s v=""/>
    <m/>
  </r>
  <r>
    <x v="1101"/>
    <n v="3"/>
    <x v="2"/>
    <s v="Z1.HR"/>
    <d v="1899-12-30T01:01:04"/>
    <n v="11.4"/>
    <d v="1899-12-30T00:05:21"/>
    <n v="141"/>
    <n v="69"/>
    <n v="215"/>
    <n v="29"/>
    <n v="1.0313694684472374"/>
    <s v="Brooks Defyance 10"/>
  </r>
  <r>
    <x v="1102"/>
    <m/>
    <x v="0"/>
    <m/>
    <m/>
    <s v=""/>
    <s v=""/>
    <m/>
    <s v="0"/>
    <m/>
    <m/>
    <s v=""/>
    <m/>
  </r>
  <r>
    <x v="1103"/>
    <n v="4"/>
    <x v="1"/>
    <s v="Z2.HR"/>
    <d v="1899-12-30T00:52:59"/>
    <n v="10.199999999999999"/>
    <d v="1899-12-30T00:05:12"/>
    <n v="141"/>
    <n v="65"/>
    <n v="224"/>
    <n v="40"/>
    <n v="1.041990049751244"/>
    <s v="Brooks Defyance 10"/>
  </r>
  <r>
    <x v="1104"/>
    <n v="5"/>
    <x v="1"/>
    <s v="Z4.20"/>
    <d v="1899-12-30T00:36:10"/>
    <n v="7.9"/>
    <d v="1899-12-30T00:04:35"/>
    <n v="154"/>
    <n v="55"/>
    <n v="250"/>
    <n v="29"/>
    <n v="1.024938598148498"/>
    <s v="Adizero Boston 8"/>
  </r>
  <r>
    <x v="1105"/>
    <m/>
    <x v="0"/>
    <m/>
    <m/>
    <s v=""/>
    <s v=""/>
    <m/>
    <s v="0"/>
    <m/>
    <m/>
    <s v=""/>
    <m/>
  </r>
  <r>
    <x v="1106"/>
    <n v="6"/>
    <x v="2"/>
    <s v="Z2.80'"/>
    <d v="1899-12-30T01:22:56"/>
    <n v="14.63"/>
    <d v="1899-12-30T00:05:40"/>
    <n v="136"/>
    <n v="91"/>
    <n v="207"/>
    <n v="57"/>
    <n v="1.0508278838208138"/>
    <s v="New Balance 1080 v10"/>
  </r>
  <r>
    <x v="1107"/>
    <m/>
    <x v="0"/>
    <m/>
    <m/>
    <s v=""/>
    <s v=""/>
    <m/>
    <s v="0"/>
    <m/>
    <m/>
    <s v=""/>
    <m/>
  </r>
  <r>
    <x v="1108"/>
    <n v="7"/>
    <x v="1"/>
    <s v="Z2.mHR"/>
    <d v="1899-12-30T00:50:39"/>
    <n v="9.1199999999999992"/>
    <d v="1899-12-30T00:05:33"/>
    <n v="143"/>
    <n v="56"/>
    <n v="210"/>
    <n v="29"/>
    <n v="1.0444324430479184"/>
    <s v="HOKA Clifton 7"/>
  </r>
  <r>
    <x v="1109"/>
    <m/>
    <x v="0"/>
    <m/>
    <m/>
    <s v=""/>
    <s v=""/>
    <m/>
    <s v="0"/>
    <m/>
    <m/>
    <s v=""/>
    <m/>
  </r>
  <r>
    <x v="1110"/>
    <n v="8"/>
    <x v="1"/>
    <s v="Z2.HR"/>
    <d v="1899-12-30T00:54:52"/>
    <n v="10.23"/>
    <d v="1899-12-30T00:05:22"/>
    <n v="141"/>
    <n v="65"/>
    <n v="216"/>
    <n v="52"/>
    <n v="1.0374403641615968"/>
    <s v="HOKA Clifton 7"/>
  </r>
  <r>
    <x v="1111"/>
    <n v="9"/>
    <x v="2"/>
    <s v="Z2.HR"/>
    <d v="1899-12-30T01:09:51"/>
    <n v="12.5"/>
    <d v="1899-12-30T00:05:35"/>
    <n v="142"/>
    <n v="72"/>
    <m/>
    <n v="42"/>
    <m/>
    <s v="Brooks Defyance 11"/>
  </r>
  <r>
    <x v="1112"/>
    <m/>
    <x v="0"/>
    <m/>
    <m/>
    <s v=""/>
    <s v=""/>
    <m/>
    <s v="0"/>
    <m/>
    <m/>
    <s v=""/>
    <m/>
  </r>
  <r>
    <x v="1113"/>
    <n v="10"/>
    <x v="1"/>
    <s v="Z2.90'"/>
    <d v="1899-12-30T01:28:48"/>
    <n v="15.73"/>
    <d v="1899-12-30T00:05:39"/>
    <n v="137"/>
    <n v="95"/>
    <n v="206"/>
    <n v="61"/>
    <n v="1.0414247895930393"/>
    <s v="Brooks Defyance 11"/>
  </r>
  <r>
    <x v="1114"/>
    <m/>
    <x v="0"/>
    <m/>
    <m/>
    <s v=""/>
    <s v=""/>
    <m/>
    <s v="0"/>
    <m/>
    <m/>
    <s v=""/>
    <m/>
  </r>
  <r>
    <x v="1115"/>
    <m/>
    <x v="0"/>
    <m/>
    <m/>
    <s v=""/>
    <s v=""/>
    <m/>
    <s v="0"/>
    <m/>
    <m/>
    <s v=""/>
    <m/>
  </r>
  <r>
    <x v="1116"/>
    <n v="11"/>
    <x v="1"/>
    <s v="Z1.mHR"/>
    <d v="1899-12-30T00:54:15"/>
    <n v="9.1300000000000008"/>
    <d v="1899-12-30T00:05:57"/>
    <n v="133"/>
    <n v="54"/>
    <n v="198"/>
    <n v="30"/>
    <n v="1.0535874842654198"/>
    <s v="HOKA Clifton 7"/>
  </r>
  <r>
    <x v="1117"/>
    <m/>
    <x v="0"/>
    <m/>
    <m/>
    <s v=""/>
    <s v=""/>
    <m/>
    <s v="0"/>
    <m/>
    <m/>
    <s v=""/>
    <m/>
  </r>
  <r>
    <x v="1118"/>
    <n v="12"/>
    <x v="1"/>
    <s v="Z2.mHR"/>
    <d v="1899-12-30T00:53:26"/>
    <n v="9.6300000000000008"/>
    <d v="1899-12-30T00:05:33"/>
    <n v="141"/>
    <n v="60"/>
    <n v="210"/>
    <n v="35"/>
    <n v="1.0434742176965639"/>
    <s v="Brooks Defyance 10"/>
  </r>
  <r>
    <x v="1119"/>
    <m/>
    <x v="0"/>
    <m/>
    <m/>
    <s v=""/>
    <s v=""/>
    <m/>
    <s v="0"/>
    <m/>
    <m/>
    <s v=""/>
    <m/>
  </r>
  <r>
    <x v="1120"/>
    <m/>
    <x v="0"/>
    <m/>
    <m/>
    <s v=""/>
    <s v=""/>
    <m/>
    <s v="0"/>
    <m/>
    <m/>
    <s v=""/>
    <m/>
  </r>
  <r>
    <x v="1121"/>
    <m/>
    <x v="0"/>
    <m/>
    <m/>
    <s v=""/>
    <s v=""/>
    <m/>
    <s v="0"/>
    <m/>
    <m/>
    <s v=""/>
    <m/>
  </r>
  <r>
    <x v="1122"/>
    <n v="13"/>
    <x v="1"/>
    <s v="Z2.HR"/>
    <d v="1899-12-30T00:55:46"/>
    <n v="10.29"/>
    <d v="1899-12-30T00:05:25"/>
    <n v="140"/>
    <n v="66"/>
    <n v="216"/>
    <n v="47"/>
    <n v="1.0483094730429487"/>
    <s v="Brooks Defyance 11"/>
  </r>
  <r>
    <x v="1123"/>
    <n v="14"/>
    <x v="1"/>
    <s v="INT6"/>
    <d v="1899-12-30T00:59:17"/>
    <n v="11.3"/>
    <d v="1899-12-30T00:05:15"/>
    <n v="151"/>
    <n v="80"/>
    <n v="217"/>
    <n v="22"/>
    <n v="1.0195073306036189"/>
    <s v="HOKA Carbon X"/>
  </r>
  <r>
    <x v="1124"/>
    <m/>
    <x v="0"/>
    <m/>
    <m/>
    <s v=""/>
    <s v=""/>
    <m/>
    <s v="0"/>
    <m/>
    <m/>
    <s v=""/>
    <m/>
  </r>
  <r>
    <x v="1125"/>
    <n v="15"/>
    <x v="1"/>
    <s v="Z4.4x6'"/>
    <d v="1899-12-30T00:47:20"/>
    <n v="9.7100000000000009"/>
    <d v="1899-12-30T00:04:52"/>
    <n v="156"/>
    <n v="68"/>
    <n v="235"/>
    <n v="39"/>
    <n v="1.025869622023764"/>
    <s v="HOKA Carbon X"/>
  </r>
  <r>
    <x v="1126"/>
    <m/>
    <x v="0"/>
    <m/>
    <m/>
    <s v=""/>
    <s v=""/>
    <m/>
    <s v="0"/>
    <m/>
    <m/>
    <s v=""/>
    <m/>
  </r>
  <r>
    <x v="1127"/>
    <n v="16"/>
    <x v="1"/>
    <s v="Z2.90'"/>
    <d v="1899-12-30T01:31:25"/>
    <n v="16.77"/>
    <d v="1899-12-30T00:05:27"/>
    <n v="142"/>
    <n v="105"/>
    <n v="214"/>
    <n v="43"/>
    <n v="1.0446782189232728"/>
    <s v="Brooks Defyance 11"/>
  </r>
  <r>
    <x v="1128"/>
    <m/>
    <x v="0"/>
    <m/>
    <m/>
    <s v=""/>
    <s v=""/>
    <m/>
    <s v="0"/>
    <m/>
    <m/>
    <s v=""/>
    <m/>
  </r>
  <r>
    <x v="1129"/>
    <n v="17"/>
    <x v="1"/>
    <s v="Z2.HR"/>
    <d v="1899-12-30T00:53:38"/>
    <n v="9.9499999999999993"/>
    <d v="1899-12-30T00:05:23"/>
    <n v="141"/>
    <n v="76.7176145167969"/>
    <n v="217"/>
    <n v="31"/>
    <n v="1.047485187129678"/>
    <s v="HOKA Clifton 7"/>
  </r>
  <r>
    <x v="1130"/>
    <m/>
    <x v="0"/>
    <m/>
    <m/>
    <s v=""/>
    <s v=""/>
    <m/>
    <s v="0"/>
    <m/>
    <m/>
    <s v=""/>
    <m/>
  </r>
  <r>
    <x v="1131"/>
    <n v="18"/>
    <x v="1"/>
    <s v="Z4.4x8'"/>
    <d v="1899-12-30T01:01:35"/>
    <n v="12.71"/>
    <d v="1899-12-30T00:04:51"/>
    <n v="155"/>
    <n v="92"/>
    <n v="236"/>
    <n v="38"/>
    <n v="1.0240144673955163"/>
    <s v="HOKA Carbon X"/>
  </r>
  <r>
    <x v="1132"/>
    <n v="19"/>
    <x v="1"/>
    <s v="Z1.mHR"/>
    <d v="1899-12-30T00:57:55"/>
    <n v="9.94"/>
    <d v="1899-12-30T00:05:50"/>
    <n v="131"/>
    <n v="58"/>
    <n v="200"/>
    <n v="27"/>
    <n v="1.0435748821285924"/>
    <s v="HOKA Clifton 7"/>
  </r>
  <r>
    <x v="1133"/>
    <m/>
    <x v="0"/>
    <m/>
    <m/>
    <s v=""/>
    <s v=""/>
    <m/>
    <s v="0"/>
    <m/>
    <m/>
    <s v=""/>
    <m/>
  </r>
  <r>
    <x v="1134"/>
    <n v="20"/>
    <x v="1"/>
    <s v="Z2.90'"/>
    <d v="1899-12-30T01:32:37"/>
    <n v="16.78"/>
    <d v="1899-12-30T00:05:31"/>
    <n v="142"/>
    <n v="106"/>
    <n v="213"/>
    <n v="47"/>
    <n v="1.0528178535214276"/>
    <s v="Brooks Defyance 11"/>
  </r>
  <r>
    <x v="1135"/>
    <m/>
    <x v="0"/>
    <m/>
    <m/>
    <s v=""/>
    <s v=""/>
    <m/>
    <s v="0"/>
    <m/>
    <m/>
    <s v=""/>
    <m/>
  </r>
  <r>
    <x v="1136"/>
    <m/>
    <x v="0"/>
    <m/>
    <m/>
    <s v=""/>
    <s v=""/>
    <m/>
    <s v="0"/>
    <m/>
    <m/>
    <s v=""/>
    <m/>
  </r>
  <r>
    <x v="1137"/>
    <n v="21"/>
    <x v="1"/>
    <s v="Z2.mHR"/>
    <d v="1899-12-30T00:49:07"/>
    <n v="9.1199999999999992"/>
    <d v="1899-12-30T00:05:23"/>
    <n v="139"/>
    <n v="58"/>
    <n v="218"/>
    <n v="33"/>
    <n v="1.0513976171772716"/>
    <s v="Brooks Defyance 10"/>
  </r>
  <r>
    <x v="1138"/>
    <m/>
    <x v="0"/>
    <m/>
    <m/>
    <s v=""/>
    <s v=""/>
    <m/>
    <s v="0"/>
    <m/>
    <m/>
    <s v=""/>
    <m/>
  </r>
  <r>
    <x v="1139"/>
    <n v="22"/>
    <x v="1"/>
    <s v="Z2.HR"/>
    <d v="1899-12-30T00:57:13"/>
    <n v="10.220000000000001"/>
    <d v="1899-12-30T00:05:36"/>
    <n v="144"/>
    <n v="64"/>
    <n v="211"/>
    <n v="31"/>
    <n v="1.057865759266291"/>
    <s v="HOKA Clifton 7"/>
  </r>
  <r>
    <x v="1140"/>
    <m/>
    <x v="0"/>
    <m/>
    <m/>
    <s v=""/>
    <s v=""/>
    <m/>
    <s v="0"/>
    <m/>
    <m/>
    <s v=""/>
    <m/>
  </r>
  <r>
    <x v="1141"/>
    <n v="23"/>
    <x v="1"/>
    <s v="Z2.HR"/>
    <d v="1899-12-30T00:56:48"/>
    <n v="10.56"/>
    <d v="1899-12-30T00:05:23"/>
    <n v="139"/>
    <n v="68"/>
    <n v="218"/>
    <n v="30"/>
    <n v="1.050067842605156"/>
    <s v="Brooks Defyance 11"/>
  </r>
  <r>
    <x v="1142"/>
    <m/>
    <x v="0"/>
    <m/>
    <m/>
    <s v=""/>
    <s v=""/>
    <m/>
    <s v="0"/>
    <m/>
    <m/>
    <s v=""/>
    <m/>
  </r>
  <r>
    <x v="1143"/>
    <n v="24"/>
    <x v="1"/>
    <s v="Z2.HR"/>
    <d v="1899-12-30T00:57:00"/>
    <n v="10.55"/>
    <d v="1899-12-30T00:05:24"/>
    <n v="140"/>
    <n v="68"/>
    <n v="218"/>
    <n v="29"/>
    <n v="1.0547640942208389"/>
    <s v="Brooks Defyance 10"/>
  </r>
  <r>
    <x v="1144"/>
    <n v="25"/>
    <x v="1"/>
    <s v="Z5.8x3'"/>
    <d v="1899-12-30T01:07:10"/>
    <n v="12.45"/>
    <d v="1899-12-30T00:05:24"/>
    <n v="148"/>
    <n v="92"/>
    <n v="211"/>
    <n v="28"/>
    <n v="1.01939699094887"/>
    <s v="HOKA Carbon X"/>
  </r>
  <r>
    <x v="1145"/>
    <n v="26"/>
    <x v="1"/>
    <s v="Z1.mHR"/>
    <d v="1899-12-30T00:48:54"/>
    <n v="8.11"/>
    <d v="1899-12-30T00:06:02"/>
    <n v="135"/>
    <n v="47"/>
    <n v="196"/>
    <n v="18"/>
    <n v="1.0583285790529473"/>
    <s v="HOKA Clifton 7"/>
  </r>
  <r>
    <x v="1146"/>
    <m/>
    <x v="0"/>
    <m/>
    <m/>
    <s v=""/>
    <s v=""/>
    <m/>
    <s v="0"/>
    <m/>
    <m/>
    <s v=""/>
    <m/>
  </r>
  <r>
    <x v="1147"/>
    <n v="27"/>
    <x v="2"/>
    <s v="Z2.100'"/>
    <d v="1899-12-30T01:40:14"/>
    <n v="17.27"/>
    <d v="1899-12-30T00:05:48"/>
    <n v="134"/>
    <n v="103"/>
    <n v="201"/>
    <n v="65"/>
    <n v="1.0447017950202664"/>
    <s v="New Balance 1080 v10"/>
  </r>
  <r>
    <x v="1148"/>
    <m/>
    <x v="0"/>
    <m/>
    <m/>
    <s v=""/>
    <s v=""/>
    <m/>
    <s v="0"/>
    <m/>
    <m/>
    <s v=""/>
    <m/>
  </r>
  <r>
    <x v="1149"/>
    <n v="28"/>
    <x v="1"/>
    <s v="Z2.60'"/>
    <d v="1899-12-30T00:56:26"/>
    <n v="10.32"/>
    <d v="1899-12-30T00:05:28"/>
    <n v="138"/>
    <n v="65"/>
    <n v="214"/>
    <n v="27"/>
    <n v="1.0479636700219828"/>
    <s v="Brooks Defyance 11"/>
  </r>
  <r>
    <x v="1150"/>
    <m/>
    <x v="0"/>
    <m/>
    <m/>
    <s v=""/>
    <s v=""/>
    <m/>
    <s v="0"/>
    <m/>
    <m/>
    <s v=""/>
    <m/>
  </r>
  <r>
    <x v="1151"/>
    <n v="29"/>
    <x v="1"/>
    <s v="Z4.4x10'"/>
    <d v="1899-12-30T00:57:25"/>
    <n v="11.47"/>
    <d v="1899-12-30T00:05:00"/>
    <n v="150"/>
    <n v="83"/>
    <n v="228"/>
    <n v="30"/>
    <n v="1.0220822652214083"/>
    <s v="HOKA Carbon X"/>
  </r>
  <r>
    <x v="1152"/>
    <n v="30"/>
    <x v="1"/>
    <s v="Z1.mHR"/>
    <d v="1899-12-30T00:53:54"/>
    <n v="9.39"/>
    <d v="1899-12-30T00:05:44"/>
    <n v="130"/>
    <n v="57"/>
    <n v="205"/>
    <n v="32"/>
    <n v="1.0537885651614134"/>
    <s v="HOKA Clifton 7"/>
  </r>
  <r>
    <x v="1153"/>
    <m/>
    <x v="0"/>
    <m/>
    <m/>
    <s v=""/>
    <s v=""/>
    <m/>
    <s v="0"/>
    <m/>
    <m/>
    <s v=""/>
    <m/>
  </r>
  <r>
    <x v="1154"/>
    <n v="31"/>
    <x v="2"/>
    <s v="Z2.110'"/>
    <d v="1899-12-30T01:46:50"/>
    <n v="19.63"/>
    <d v="1899-12-30T00:05:27"/>
    <n v="136"/>
    <n v="124"/>
    <n v="213"/>
    <n v="76"/>
    <n v="1.0381079827556052"/>
    <s v="Brooks Defyance 11"/>
  </r>
  <r>
    <x v="1155"/>
    <m/>
    <x v="0"/>
    <m/>
    <m/>
    <s v=""/>
    <s v=""/>
    <m/>
    <s v="0"/>
    <m/>
    <m/>
    <s v=""/>
    <m/>
  </r>
  <r>
    <x v="1156"/>
    <n v="32"/>
    <x v="1"/>
    <s v="Z2.60'"/>
    <d v="1899-12-30T00:53:09"/>
    <n v="10.199999999999999"/>
    <d v="1899-12-30T00:05:13"/>
    <m/>
    <n v="62"/>
    <m/>
    <n v="30"/>
    <m/>
    <s v="Brooks Defyance 10"/>
  </r>
  <r>
    <x v="1157"/>
    <m/>
    <x v="0"/>
    <m/>
    <m/>
    <s v=""/>
    <s v=""/>
    <m/>
    <s v="0"/>
    <m/>
    <m/>
    <s v=""/>
    <m/>
  </r>
  <r>
    <x v="1158"/>
    <n v="33"/>
    <x v="1"/>
    <s v="Z4.3x12'"/>
    <d v="1899-12-30T01:00:13"/>
    <n v="12.47"/>
    <d v="1899-12-30T00:04:50"/>
    <n v="153"/>
    <n v="90"/>
    <n v="239"/>
    <n v="41"/>
    <n v="1.0335336150043686"/>
    <s v="HOKA Carbon X"/>
  </r>
  <r>
    <x v="1159"/>
    <n v="34"/>
    <x v="1"/>
    <s v="Z1.mHR"/>
    <d v="1899-12-30T00:52:21"/>
    <n v="9.26"/>
    <d v="1899-12-30T00:05:39"/>
    <n v="129"/>
    <n v="57"/>
    <n v="207"/>
    <n v="27"/>
    <n v="1.0479787885625864"/>
    <s v="HOKA Clifton 7"/>
  </r>
  <r>
    <x v="1160"/>
    <m/>
    <x v="0"/>
    <m/>
    <m/>
    <s v=""/>
    <s v=""/>
    <m/>
    <s v="0"/>
    <m/>
    <m/>
    <s v=""/>
    <m/>
  </r>
  <r>
    <x v="1161"/>
    <n v="35"/>
    <x v="1"/>
    <s v="Z3.20"/>
    <d v="1899-12-30T01:32:15"/>
    <n v="19.04"/>
    <d v="1899-12-30T00:04:51"/>
    <n v="147"/>
    <n v="135"/>
    <n v="240"/>
    <n v="77"/>
    <n v="1.0413269785526154"/>
    <s v="Brooks Defyance 11"/>
  </r>
  <r>
    <x v="1162"/>
    <m/>
    <x v="0"/>
    <m/>
    <m/>
    <s v=""/>
    <s v=""/>
    <m/>
    <s v="0"/>
    <m/>
    <m/>
    <s v=""/>
    <m/>
  </r>
  <r>
    <x v="1163"/>
    <n v="36"/>
    <x v="1"/>
    <s v="Z2.60'"/>
    <d v="1899-12-30T00:54:45"/>
    <n v="10.1"/>
    <d v="1899-12-30T00:05:25"/>
    <n v="138"/>
    <n v="64"/>
    <n v="216"/>
    <n v="29"/>
    <n v="1.0485591842766366"/>
    <s v="Brooks Defyance 10"/>
  </r>
  <r>
    <x v="1164"/>
    <m/>
    <x v="0"/>
    <m/>
    <m/>
    <s v=""/>
    <s v=""/>
    <m/>
    <s v="0"/>
    <m/>
    <m/>
    <s v=""/>
    <m/>
  </r>
  <r>
    <x v="1165"/>
    <n v="37"/>
    <x v="1"/>
    <s v="Z2.mHR"/>
    <d v="1899-12-30T00:52:41"/>
    <n v="9.5500000000000007"/>
    <d v="1899-12-30T00:05:31"/>
    <n v="136"/>
    <n v="60"/>
    <n v="213"/>
    <n v="32"/>
    <n v="1.0522669375634914"/>
    <s v="HOKA Clifton 7"/>
  </r>
  <r>
    <x v="1166"/>
    <m/>
    <x v="0"/>
    <m/>
    <m/>
    <s v=""/>
    <s v=""/>
    <m/>
    <s v="0"/>
    <m/>
    <m/>
    <s v=""/>
    <m/>
  </r>
  <r>
    <x v="1167"/>
    <n v="38"/>
    <x v="1"/>
    <s v="FS"/>
    <d v="1899-12-30T00:53:59"/>
    <n v="10.61"/>
    <d v="1899-12-30T00:05:05"/>
    <n v="145"/>
    <n v="72"/>
    <n v="227"/>
    <n v="48"/>
    <n v="1.0343002236695877"/>
    <s v="HOKA Carbon X"/>
  </r>
  <r>
    <x v="1168"/>
    <m/>
    <x v="0"/>
    <m/>
    <m/>
    <s v=""/>
    <s v=""/>
    <m/>
    <s v="0"/>
    <m/>
    <m/>
    <s v=""/>
    <m/>
  </r>
  <r>
    <x v="1169"/>
    <n v="39"/>
    <x v="1"/>
    <s v="Z2.90'"/>
    <d v="1899-12-30T01:25:18"/>
    <n v="15.5"/>
    <d v="1899-12-30T00:05:30"/>
    <n v="134"/>
    <n v="97"/>
    <n v="212"/>
    <n v="82"/>
    <n v="1.0447915262397689"/>
    <s v="Brooks Defyance 11"/>
  </r>
  <r>
    <x v="1170"/>
    <m/>
    <x v="0"/>
    <m/>
    <m/>
    <s v=""/>
    <s v=""/>
    <m/>
    <s v="0"/>
    <m/>
    <m/>
    <s v=""/>
    <m/>
  </r>
  <r>
    <x v="1171"/>
    <n v="40"/>
    <x v="1"/>
    <s v="Z1.mHR"/>
    <d v="1899-12-30T00:46:03"/>
    <n v="8.2200000000000006"/>
    <d v="1899-12-30T00:05:36"/>
    <n v="131"/>
    <n v="51"/>
    <n v="209"/>
    <n v="42"/>
    <n v="1.0485292515524565"/>
    <s v="HOKA Clifton 7"/>
  </r>
  <r>
    <x v="1172"/>
    <m/>
    <x v="0"/>
    <m/>
    <m/>
    <s v=""/>
    <s v=""/>
    <m/>
    <s v="0"/>
    <m/>
    <m/>
    <s v=""/>
    <m/>
  </r>
  <r>
    <x v="1173"/>
    <n v="41"/>
    <x v="1"/>
    <s v="Z5.5x3'"/>
    <d v="1899-12-30T00:51:33"/>
    <n v="9.52"/>
    <d v="1899-12-30T00:05:25"/>
    <n v="145"/>
    <n v="68"/>
    <n v="211"/>
    <n v="21"/>
    <n v="1.0231766587231907"/>
    <s v="HOKA Carbon X"/>
  </r>
  <r>
    <x v="1174"/>
    <m/>
    <x v="0"/>
    <m/>
    <m/>
    <s v=""/>
    <s v=""/>
    <m/>
    <s v="0"/>
    <m/>
    <m/>
    <s v=""/>
    <m/>
  </r>
  <r>
    <x v="1175"/>
    <n v="42"/>
    <x v="1"/>
    <s v="Z2.60'"/>
    <d v="1899-12-30T00:48:05"/>
    <n v="8.67"/>
    <d v="1899-12-30T00:05:33"/>
    <n v="138"/>
    <n v="54"/>
    <n v="211"/>
    <n v="29"/>
    <n v="1.0479350651586361"/>
    <s v="HOKA Clifton 7"/>
  </r>
  <r>
    <x v="1176"/>
    <m/>
    <x v="0"/>
    <m/>
    <m/>
    <s v=""/>
    <s v=""/>
    <m/>
    <s v="0"/>
    <m/>
    <m/>
    <s v=""/>
    <m/>
  </r>
  <r>
    <x v="1177"/>
    <n v="43"/>
    <x v="1"/>
    <s v="Z2.10"/>
    <d v="1899-12-30T00:54:44"/>
    <n v="9.7799999999999994"/>
    <d v="1899-12-30T00:05:36"/>
    <n v="142"/>
    <n v="61"/>
    <n v="209"/>
    <n v="19"/>
    <n v="1.0474559716753657"/>
    <s v="Brooks Defyance 11"/>
  </r>
  <r>
    <x v="1178"/>
    <m/>
    <x v="0"/>
    <m/>
    <m/>
    <s v=""/>
    <s v=""/>
    <m/>
    <s v="0"/>
    <m/>
    <m/>
    <s v=""/>
    <m/>
  </r>
  <r>
    <x v="1179"/>
    <n v="44"/>
    <x v="1"/>
    <s v="FS"/>
    <d v="1899-12-30T00:43:39"/>
    <n v="8.4499999999999993"/>
    <d v="1899-12-30T00:05:10"/>
    <n v="144"/>
    <n v="60"/>
    <n v="224"/>
    <n v="34"/>
    <n v="1.0362200830168684"/>
    <s v="Adizero Boston 8"/>
  </r>
  <r>
    <x v="1180"/>
    <m/>
    <x v="0"/>
    <m/>
    <m/>
    <s v=""/>
    <s v=""/>
    <m/>
    <s v="0"/>
    <m/>
    <m/>
    <s v=""/>
    <m/>
  </r>
  <r>
    <x v="1181"/>
    <n v="45"/>
    <x v="2"/>
    <s v="Z1.sHR"/>
    <d v="1899-12-30T00:35:24"/>
    <n v="6.23"/>
    <d v="1899-12-30T00:05:41"/>
    <n v="132"/>
    <n v="37"/>
    <n v="205"/>
    <n v="24"/>
    <n v="1.0431470257061404"/>
    <s v="HOKA Clifton 7"/>
  </r>
  <r>
    <x v="1182"/>
    <m/>
    <x v="0"/>
    <m/>
    <m/>
    <s v=""/>
    <s v=""/>
    <m/>
    <s v="0"/>
    <m/>
    <m/>
    <s v=""/>
    <m/>
  </r>
  <r>
    <x v="1183"/>
    <m/>
    <x v="0"/>
    <m/>
    <m/>
    <m/>
    <s v=""/>
    <m/>
    <s v="0"/>
    <m/>
    <m/>
    <s v=""/>
    <m/>
  </r>
  <r>
    <x v="1184"/>
    <n v="46"/>
    <x v="1"/>
    <s v="Z2.mHR"/>
    <d v="1899-12-30T00:45:48"/>
    <n v="8.1199999999999992"/>
    <d v="1899-12-30T00:05:38"/>
    <n v="135"/>
    <n v="51"/>
    <n v="209"/>
    <n v="20"/>
    <n v="1.0556797294316593"/>
    <s v="HOKA Clifton 7"/>
  </r>
  <r>
    <x v="1185"/>
    <m/>
    <x v="0"/>
    <m/>
    <m/>
    <s v=""/>
    <s v=""/>
    <m/>
    <s v="0"/>
    <m/>
    <m/>
    <s v=""/>
    <m/>
  </r>
  <r>
    <x v="1186"/>
    <n v="47"/>
    <x v="1"/>
    <s v="Z2.sHR"/>
    <d v="1899-12-30T00:47:37"/>
    <n v="8.4"/>
    <d v="1899-12-30T00:05:40"/>
    <n v="138"/>
    <n v="53"/>
    <n v="210"/>
    <n v="29"/>
    <n v="1.066044776119403"/>
    <s v="Brooks Defyance 11"/>
  </r>
  <r>
    <x v="1187"/>
    <m/>
    <x v="0"/>
    <m/>
    <m/>
    <s v=""/>
    <s v=""/>
    <m/>
    <s v="0"/>
    <m/>
    <m/>
    <s v=""/>
    <m/>
  </r>
  <r>
    <x v="1188"/>
    <n v="48"/>
    <x v="1"/>
    <s v="wk"/>
    <d v="1899-12-30T00:43:30"/>
    <n v="10"/>
    <d v="1899-12-30T00:04:21"/>
    <n v="161"/>
    <n v="74"/>
    <n v="261"/>
    <n v="57"/>
    <n v="1.0167313432835821"/>
    <s v="HOKA Carbon X"/>
  </r>
  <r>
    <x v="1189"/>
    <m/>
    <x v="0"/>
    <m/>
    <m/>
    <s v=""/>
    <s v=""/>
    <m/>
    <s v="0"/>
    <m/>
    <m/>
    <s v=""/>
    <m/>
  </r>
  <r>
    <x v="1190"/>
    <m/>
    <x v="0"/>
    <m/>
    <m/>
    <s v=""/>
    <s v=""/>
    <m/>
    <s v="0"/>
    <m/>
    <m/>
    <s v=""/>
    <m/>
  </r>
  <r>
    <x v="1191"/>
    <m/>
    <x v="0"/>
    <m/>
    <m/>
    <s v=""/>
    <s v=""/>
    <m/>
    <s v="0"/>
    <m/>
    <m/>
    <s v=""/>
    <m/>
  </r>
  <r>
    <x v="1192"/>
    <m/>
    <x v="0"/>
    <m/>
    <m/>
    <s v=""/>
    <s v=""/>
    <m/>
    <s v="0"/>
    <m/>
    <m/>
    <s v=""/>
    <m/>
  </r>
  <r>
    <x v="1193"/>
    <m/>
    <x v="0"/>
    <m/>
    <m/>
    <s v=""/>
    <s v=""/>
    <m/>
    <s v="0"/>
    <m/>
    <m/>
    <s v=""/>
    <m/>
  </r>
  <r>
    <x v="1194"/>
    <n v="49"/>
    <x v="2"/>
    <s v="Z2.HR"/>
    <d v="1899-12-30T01:04:57"/>
    <n v="11.1"/>
    <d v="1899-12-30T00:05:51"/>
    <n v="133"/>
    <n v="67"/>
    <n v="202"/>
    <n v="47"/>
    <n v="1.0584832593787816"/>
    <s v="HOKA Clifton 7"/>
  </r>
  <r>
    <x v="1195"/>
    <m/>
    <x v="0"/>
    <m/>
    <m/>
    <s v=""/>
    <s v=""/>
    <m/>
    <s v="0"/>
    <m/>
    <m/>
    <s v=""/>
    <m/>
  </r>
  <r>
    <x v="1196"/>
    <n v="50"/>
    <x v="2"/>
    <s v="Z2.HR"/>
    <d v="1899-12-30T01:04:11"/>
    <n v="11.2"/>
    <d v="1899-12-30T00:05:44"/>
    <n v="130"/>
    <n v="68"/>
    <n v="205"/>
    <n v="45"/>
    <n v="1.0520455756929641"/>
    <s v="Brooks Defyance 11"/>
  </r>
  <r>
    <x v="1197"/>
    <m/>
    <x v="0"/>
    <m/>
    <m/>
    <s v=""/>
    <s v=""/>
    <m/>
    <s v="0"/>
    <m/>
    <m/>
    <s v=""/>
    <m/>
  </r>
  <r>
    <x v="1198"/>
    <m/>
    <x v="0"/>
    <m/>
    <m/>
    <s v=""/>
    <s v=""/>
    <m/>
    <s v="0"/>
    <m/>
    <m/>
    <s v=""/>
    <m/>
  </r>
  <r>
    <x v="1199"/>
    <n v="51"/>
    <x v="1"/>
    <s v="Z2.mHR"/>
    <d v="1899-12-30T00:47:37"/>
    <n v="8.3800000000000008"/>
    <d v="1899-12-30T00:05:41"/>
    <n v="136"/>
    <n v="52"/>
    <n v="207"/>
    <n v="37"/>
    <n v="1.0533234780750187"/>
    <s v="HOKA Clifton 7"/>
  </r>
  <r>
    <x v="1200"/>
    <m/>
    <x v="0"/>
    <m/>
    <m/>
    <s v=""/>
    <s v=""/>
    <m/>
    <s v="0"/>
    <m/>
    <m/>
    <s v=""/>
    <m/>
  </r>
  <r>
    <x v="1201"/>
    <m/>
    <x v="0"/>
    <m/>
    <m/>
    <s v=""/>
    <s v=""/>
    <m/>
    <s v="0"/>
    <m/>
    <m/>
    <s v=""/>
    <m/>
  </r>
  <r>
    <x v="1202"/>
    <m/>
    <x v="0"/>
    <m/>
    <m/>
    <s v=""/>
    <s v=""/>
    <m/>
    <s v="0"/>
    <m/>
    <m/>
    <s v=""/>
    <m/>
  </r>
  <r>
    <x v="1203"/>
    <n v="52"/>
    <x v="1"/>
    <s v="Z2.HR"/>
    <d v="1899-12-30T00:57:00"/>
    <n v="10.4"/>
    <d v="1899-12-30T00:05:29"/>
    <n v="139"/>
    <n v="66"/>
    <n v="214"/>
    <n v="38"/>
    <n v="1.0503444316877151"/>
    <s v="Brooks Defyance 11"/>
  </r>
  <r>
    <x v="1204"/>
    <m/>
    <x v="0"/>
    <m/>
    <m/>
    <s v=""/>
    <s v=""/>
    <m/>
    <s v="0"/>
    <m/>
    <m/>
    <s v=""/>
    <m/>
  </r>
  <r>
    <x v="1205"/>
    <m/>
    <x v="0"/>
    <m/>
    <m/>
    <s v=""/>
    <s v=""/>
    <m/>
    <s v="0"/>
    <m/>
    <m/>
    <s v=""/>
    <m/>
  </r>
  <r>
    <x v="1206"/>
    <n v="53"/>
    <x v="1"/>
    <s v="Z5.5x3'"/>
    <d v="1899-12-30T00:39:50"/>
    <n v="7.01"/>
    <d v="1899-12-30T00:05:41"/>
    <n v="149"/>
    <n v="48"/>
    <n v="201"/>
    <n v="18"/>
    <n v="1.0228245363766053"/>
    <s v="HOKA Carbon X"/>
  </r>
  <r>
    <x v="1207"/>
    <m/>
    <x v="0"/>
    <m/>
    <m/>
    <s v=""/>
    <s v=""/>
    <m/>
    <s v="0"/>
    <m/>
    <m/>
    <s v=""/>
    <m/>
  </r>
  <r>
    <x v="1208"/>
    <n v="54"/>
    <x v="1"/>
    <s v="Z2.mHR"/>
    <d v="1899-12-30T00:48:07"/>
    <n v="8.64"/>
    <d v="1899-12-30T00:05:34"/>
    <n v="144"/>
    <n v="55"/>
    <n v="212"/>
    <n v="35"/>
    <n v="1.0572899391929242"/>
    <s v="Brooks Defyance 11"/>
  </r>
  <r>
    <x v="1209"/>
    <m/>
    <x v="0"/>
    <m/>
    <m/>
    <s v=""/>
    <s v=""/>
    <m/>
    <s v="0"/>
    <m/>
    <m/>
    <s v=""/>
    <m/>
  </r>
  <r>
    <x v="1210"/>
    <n v="55"/>
    <x v="1"/>
    <s v="5k-wk"/>
    <d v="1899-12-30T00:21:03"/>
    <n v="5"/>
    <d v="1899-12-30T00:04:13"/>
    <n v="170"/>
    <n v="38"/>
    <n v="269"/>
    <n v="24"/>
    <n v="1.0141701492537314"/>
    <s v="HOKA Carbon X"/>
  </r>
  <r>
    <x v="1211"/>
    <m/>
    <x v="0"/>
    <m/>
    <m/>
    <s v=""/>
    <s v=""/>
    <m/>
    <s v="0"/>
    <m/>
    <m/>
    <s v=""/>
    <m/>
  </r>
  <r>
    <x v="1212"/>
    <n v="56"/>
    <x v="1"/>
    <s v="Z1.sHR"/>
    <d v="1899-12-30T00:45:16"/>
    <n v="7.9"/>
    <d v="1899-12-30T00:05:44"/>
    <n v="139"/>
    <n v="46"/>
    <n v="207"/>
    <n v="30"/>
    <n v="1.062180238050255"/>
    <s v="HOKA Clifton 7"/>
  </r>
  <r>
    <x v="1213"/>
    <m/>
    <x v="0"/>
    <m/>
    <m/>
    <s v=""/>
    <s v=""/>
    <m/>
    <s v="0"/>
    <m/>
    <m/>
    <s v=""/>
    <m/>
  </r>
  <r>
    <x v="1214"/>
    <n v="57"/>
    <x v="1"/>
    <s v="Z2.mHR"/>
    <d v="1899-12-30T00:57:36"/>
    <n v="10.1"/>
    <d v="1899-12-30T00:05:42"/>
    <n v="137"/>
    <n v="60"/>
    <n v="208"/>
    <n v="29"/>
    <n v="1.0622846165213538"/>
    <s v="Brooks Defyance 11"/>
  </r>
  <r>
    <x v="1215"/>
    <m/>
    <x v="0"/>
    <m/>
    <m/>
    <s v=""/>
    <s v=""/>
    <m/>
    <s v="0"/>
    <m/>
    <m/>
    <s v=""/>
    <m/>
  </r>
  <r>
    <x v="1216"/>
    <m/>
    <x v="0"/>
    <m/>
    <m/>
    <s v=""/>
    <s v=""/>
    <m/>
    <s v="0"/>
    <m/>
    <m/>
    <s v=""/>
    <m/>
  </r>
  <r>
    <x v="1217"/>
    <n v="58"/>
    <x v="2"/>
    <s v="Z2.60'"/>
    <d v="1899-12-30T01:01:38"/>
    <n v="10.5"/>
    <d v="1899-12-30T00:05:52"/>
    <n v="127"/>
    <n v="59"/>
    <n v="199"/>
    <n v="34"/>
    <n v="1.0460582800284295"/>
    <s v="Brooks Defyance 11"/>
  </r>
  <r>
    <x v="1218"/>
    <m/>
    <x v="0"/>
    <m/>
    <m/>
    <s v=""/>
    <s v=""/>
    <m/>
    <s v="0"/>
    <m/>
    <m/>
    <s v=""/>
    <m/>
  </r>
  <r>
    <x v="1219"/>
    <n v="59"/>
    <x v="1"/>
    <s v="Z2.HR"/>
    <d v="1899-12-30T00:51:13"/>
    <n v="9.77"/>
    <d v="1899-12-30T00:05:15"/>
    <n v="143"/>
    <n v="61"/>
    <n v="224"/>
    <n v="42"/>
    <n v="1.0515773232099481"/>
    <s v="Adizero Boston 8"/>
  </r>
  <r>
    <x v="1220"/>
    <n v="60"/>
    <x v="1"/>
    <s v="Z2.mHR"/>
    <d v="1899-12-30T00:44:22"/>
    <n v="7.91"/>
    <d v="1899-12-30T00:05:37"/>
    <n v="138"/>
    <n v="47"/>
    <n v="210"/>
    <n v="59"/>
    <n v="1.054814423457932"/>
    <s v="Brooks Defyance 11"/>
  </r>
  <r>
    <x v="1221"/>
    <m/>
    <x v="0"/>
    <m/>
    <m/>
    <s v=""/>
    <s v=""/>
    <m/>
    <s v="0"/>
    <m/>
    <m/>
    <s v=""/>
    <m/>
  </r>
  <r>
    <x v="1222"/>
    <m/>
    <x v="0"/>
    <m/>
    <m/>
    <s v=""/>
    <s v=""/>
    <m/>
    <s v="0"/>
    <m/>
    <m/>
    <s v=""/>
    <m/>
  </r>
  <r>
    <x v="1223"/>
    <m/>
    <x v="0"/>
    <m/>
    <m/>
    <s v=""/>
    <s v=""/>
    <m/>
    <s v="0"/>
    <m/>
    <m/>
    <s v=""/>
    <m/>
  </r>
  <r>
    <x v="1224"/>
    <n v="61"/>
    <x v="1"/>
    <s v="bb"/>
    <d v="1899-12-30T00:59:13"/>
    <n v="8"/>
    <d v="1899-12-30T00:07:24"/>
    <n v="145"/>
    <n v="59"/>
    <n v="193"/>
    <n v="402"/>
    <m/>
    <s v="Innov-8 Terraultra"/>
  </r>
  <r>
    <x v="1225"/>
    <m/>
    <x v="0"/>
    <m/>
    <m/>
    <s v=""/>
    <s v=""/>
    <m/>
    <s v="0"/>
    <m/>
    <m/>
    <s v=""/>
    <m/>
  </r>
  <r>
    <x v="1226"/>
    <m/>
    <x v="0"/>
    <m/>
    <m/>
    <s v=""/>
    <s v=""/>
    <m/>
    <s v="0"/>
    <m/>
    <m/>
    <s v=""/>
    <m/>
  </r>
  <r>
    <x v="1227"/>
    <m/>
    <x v="0"/>
    <m/>
    <m/>
    <s v=""/>
    <s v=""/>
    <m/>
    <s v="0"/>
    <m/>
    <m/>
    <s v=""/>
    <m/>
  </r>
  <r>
    <x v="1228"/>
    <m/>
    <x v="0"/>
    <m/>
    <m/>
    <s v=""/>
    <s v=""/>
    <m/>
    <s v="0"/>
    <m/>
    <m/>
    <s v=""/>
    <m/>
  </r>
  <r>
    <x v="1229"/>
    <m/>
    <x v="0"/>
    <m/>
    <m/>
    <s v=""/>
    <s v=""/>
    <m/>
    <s v="0"/>
    <m/>
    <m/>
    <s v=""/>
    <m/>
  </r>
  <r>
    <x v="1230"/>
    <n v="62"/>
    <x v="2"/>
    <s v="Z1.HR"/>
    <d v="1899-12-30T01:02:48"/>
    <n v="10.38"/>
    <d v="1899-12-30T00:06:03"/>
    <n v="124"/>
    <n v="57"/>
    <n v="194"/>
    <n v="34"/>
    <n v="1.0510913639893018"/>
    <s v="HOKA Clifton 7"/>
  </r>
  <r>
    <x v="1231"/>
    <m/>
    <x v="0"/>
    <m/>
    <m/>
    <s v=""/>
    <s v=""/>
    <m/>
    <s v="0"/>
    <m/>
    <m/>
    <s v=""/>
    <m/>
  </r>
  <r>
    <x v="1232"/>
    <m/>
    <x v="0"/>
    <m/>
    <m/>
    <s v=""/>
    <s v=""/>
    <m/>
    <s v="0"/>
    <m/>
    <m/>
    <s v=""/>
    <m/>
  </r>
  <r>
    <x v="1233"/>
    <n v="63"/>
    <x v="2"/>
    <s v="Z2.HR"/>
    <d v="1899-12-30T01:02:55"/>
    <n v="10.46"/>
    <d v="1899-12-30T00:06:01"/>
    <n v="131"/>
    <n v="57"/>
    <n v="195"/>
    <n v="36"/>
    <n v="1.0503767015781513"/>
    <s v="HOKA Clifton 7"/>
  </r>
  <r>
    <x v="1234"/>
    <m/>
    <x v="0"/>
    <m/>
    <m/>
    <s v=""/>
    <s v=""/>
    <m/>
    <s v="0"/>
    <m/>
    <m/>
    <s v=""/>
    <m/>
  </r>
  <r>
    <x v="1235"/>
    <n v="64"/>
    <x v="2"/>
    <s v="Z2.HR"/>
    <d v="1899-12-30T00:57:08"/>
    <n v="9.99"/>
    <d v="1899-12-30T00:05:43"/>
    <n v="137"/>
    <n v="58"/>
    <n v="206"/>
    <n v="25"/>
    <n v="1.0550371266789176"/>
    <s v="Brooks Defyance 11"/>
  </r>
  <r>
    <x v="1236"/>
    <m/>
    <x v="0"/>
    <m/>
    <m/>
    <s v=""/>
    <s v=""/>
    <m/>
    <s v="0"/>
    <m/>
    <m/>
    <s v=""/>
    <m/>
  </r>
  <r>
    <x v="1237"/>
    <m/>
    <x v="0"/>
    <m/>
    <m/>
    <s v=""/>
    <s v=""/>
    <m/>
    <s v="0"/>
    <m/>
    <m/>
    <s v=""/>
    <m/>
  </r>
  <r>
    <x v="1238"/>
    <n v="65"/>
    <x v="1"/>
    <s v="Z2.HR"/>
    <d v="1899-12-30T00:58:57"/>
    <n v="10.54"/>
    <d v="1899-12-30T00:05:36"/>
    <n v="149"/>
    <n v="64"/>
    <n v="213"/>
    <n v="46"/>
    <n v="1.0668398991758477"/>
    <s v="Brooks Defyance 11"/>
  </r>
  <r>
    <x v="1239"/>
    <m/>
    <x v="0"/>
    <m/>
    <m/>
    <s v=""/>
    <s v=""/>
    <m/>
    <s v="0"/>
    <m/>
    <m/>
    <s v=""/>
    <m/>
  </r>
  <r>
    <x v="1240"/>
    <m/>
    <x v="0"/>
    <m/>
    <m/>
    <s v=""/>
    <s v=""/>
    <m/>
    <s v="0"/>
    <m/>
    <m/>
    <s v=""/>
    <m/>
  </r>
  <r>
    <x v="1241"/>
    <m/>
    <x v="0"/>
    <m/>
    <m/>
    <s v=""/>
    <s v=""/>
    <m/>
    <s v="0"/>
    <m/>
    <m/>
    <s v=""/>
    <m/>
  </r>
  <r>
    <x v="1242"/>
    <m/>
    <x v="0"/>
    <m/>
    <m/>
    <s v=""/>
    <s v=""/>
    <m/>
    <s v="0"/>
    <m/>
    <m/>
    <s v=""/>
    <m/>
  </r>
  <r>
    <x v="1243"/>
    <n v="66"/>
    <x v="2"/>
    <s v="Z2.HR"/>
    <d v="1899-12-30T01:04:35"/>
    <n v="11"/>
    <d v="1899-12-30T00:05:52"/>
    <n v="139"/>
    <n v="63"/>
    <n v="201"/>
    <n v="34"/>
    <n v="1.0568181818181817"/>
    <s v="Brooks Defyance 11"/>
  </r>
  <r>
    <x v="1244"/>
    <m/>
    <x v="0"/>
    <m/>
    <m/>
    <s v=""/>
    <s v=""/>
    <m/>
    <s v="0"/>
    <m/>
    <m/>
    <s v=""/>
    <m/>
  </r>
  <r>
    <x v="1245"/>
    <n v="67"/>
    <x v="1"/>
    <s v="Z2.HR"/>
    <d v="1899-12-30T00:58:44"/>
    <n v="10.6"/>
    <d v="1899-12-30T00:05:32"/>
    <n v="141"/>
    <n v="64"/>
    <n v="214"/>
    <n v="36"/>
    <n v="1.061864263587722"/>
    <s v="Brooks Defyance 11"/>
  </r>
  <r>
    <x v="1246"/>
    <m/>
    <x v="0"/>
    <m/>
    <m/>
    <s v=""/>
    <s v=""/>
    <m/>
    <s v="0"/>
    <m/>
    <m/>
    <s v=""/>
    <m/>
  </r>
  <r>
    <x v="1247"/>
    <m/>
    <x v="0"/>
    <m/>
    <m/>
    <s v=""/>
    <s v=""/>
    <m/>
    <s v="0"/>
    <m/>
    <m/>
    <s v=""/>
    <m/>
  </r>
  <r>
    <x v="1248"/>
    <n v="68"/>
    <x v="1"/>
    <s v="Z2.HR"/>
    <d v="1899-12-30T00:51:11"/>
    <n v="9.36"/>
    <d v="1899-12-30T00:05:28"/>
    <n v="147"/>
    <n v="57"/>
    <n v="216"/>
    <n v="19"/>
    <n v="1.0577497129735933"/>
    <s v="Brooks Defyance 11"/>
  </r>
  <r>
    <x v="1249"/>
    <m/>
    <x v="0"/>
    <m/>
    <m/>
    <s v=""/>
    <s v=""/>
    <m/>
    <s v="0"/>
    <m/>
    <m/>
    <s v=""/>
    <m/>
  </r>
  <r>
    <x v="1250"/>
    <n v="69"/>
    <x v="2"/>
    <s v="Z2.HR"/>
    <d v="1899-12-30T01:01:55"/>
    <n v="10.65"/>
    <d v="1899-12-30T00:05:49"/>
    <n v="146"/>
    <n v="61"/>
    <n v="203"/>
    <n v="34"/>
    <n v="1.0568915983462968"/>
    <s v="Brooks Defyance 11"/>
  </r>
  <r>
    <x v="1251"/>
    <m/>
    <x v="0"/>
    <m/>
    <m/>
    <m/>
    <s v=""/>
    <m/>
    <s v="0"/>
    <m/>
    <m/>
    <s v=""/>
    <m/>
  </r>
  <r>
    <x v="1252"/>
    <m/>
    <x v="0"/>
    <m/>
    <m/>
    <s v=""/>
    <s v=""/>
    <m/>
    <s v="0"/>
    <m/>
    <m/>
    <s v=""/>
    <m/>
  </r>
  <r>
    <x v="1253"/>
    <n v="70"/>
    <x v="2"/>
    <s v="Z2.HR"/>
    <d v="1899-12-30T00:53:13"/>
    <n v="8.9700000000000006"/>
    <d v="1899-12-30T00:05:56"/>
    <n v="133"/>
    <n v="50"/>
    <n v="199"/>
    <n v="33"/>
    <n v="1.0572671758265528"/>
    <s v="Brooks Defyance 11"/>
  </r>
  <r>
    <x v="1254"/>
    <m/>
    <x v="0"/>
    <m/>
    <m/>
    <s v=""/>
    <s v=""/>
    <m/>
    <s v="0"/>
    <m/>
    <m/>
    <s v=""/>
    <m/>
  </r>
  <r>
    <x v="1255"/>
    <m/>
    <x v="0"/>
    <m/>
    <m/>
    <s v=""/>
    <s v=""/>
    <m/>
    <s v="0"/>
    <m/>
    <m/>
    <s v=""/>
    <m/>
  </r>
  <r>
    <x v="1256"/>
    <m/>
    <x v="0"/>
    <m/>
    <m/>
    <s v=""/>
    <s v=""/>
    <m/>
    <s v="0"/>
    <m/>
    <m/>
    <s v=""/>
    <m/>
  </r>
  <r>
    <x v="1257"/>
    <m/>
    <x v="0"/>
    <m/>
    <m/>
    <s v=""/>
    <s v=""/>
    <m/>
    <s v="0"/>
    <m/>
    <m/>
    <s v=""/>
    <m/>
  </r>
  <r>
    <x v="1258"/>
    <m/>
    <x v="0"/>
    <m/>
    <m/>
    <s v=""/>
    <s v=""/>
    <m/>
    <s v="0"/>
    <m/>
    <m/>
    <s v=""/>
    <m/>
  </r>
  <r>
    <x v="1259"/>
    <n v="71"/>
    <x v="1"/>
    <s v="Z2.mHR"/>
    <d v="1899-12-30T00:49:03"/>
    <n v="8.68"/>
    <d v="1899-12-30T00:05:39"/>
    <n v="140"/>
    <n v="51"/>
    <n v="209"/>
    <n v="12"/>
    <n v="1.0576501134878604"/>
    <s v="Brooks Defyance 11"/>
  </r>
  <r>
    <x v="1260"/>
    <m/>
    <x v="0"/>
    <m/>
    <m/>
    <s v=""/>
    <s v=""/>
    <m/>
    <s v="0"/>
    <m/>
    <m/>
    <s v=""/>
    <m/>
  </r>
  <r>
    <x v="1261"/>
    <m/>
    <x v="0"/>
    <m/>
    <m/>
    <s v=""/>
    <s v=""/>
    <m/>
    <s v="0"/>
    <m/>
    <m/>
    <s v=""/>
    <m/>
  </r>
  <r>
    <x v="1262"/>
    <n v="72"/>
    <x v="1"/>
    <s v="Z2.mHR"/>
    <d v="1899-12-30T00:48:22"/>
    <n v="8.42"/>
    <d v="1899-12-30T00:05:45"/>
    <n v="139"/>
    <n v="49"/>
    <n v="205"/>
    <n v="12"/>
    <n v="1.0545431984968272"/>
    <s v="Brooks Defyance 11"/>
  </r>
  <r>
    <x v="1263"/>
    <m/>
    <x v="0"/>
    <m/>
    <m/>
    <s v=""/>
    <s v=""/>
    <m/>
    <s v="0"/>
    <m/>
    <m/>
    <s v=""/>
    <m/>
  </r>
  <r>
    <x v="1264"/>
    <m/>
    <x v="0"/>
    <m/>
    <m/>
    <s v=""/>
    <s v=""/>
    <m/>
    <s v="0"/>
    <m/>
    <m/>
    <s v=""/>
    <m/>
  </r>
  <r>
    <x v="1265"/>
    <n v="73"/>
    <x v="1"/>
    <s v="Z2.mHR"/>
    <d v="1899-12-30T00:48:25"/>
    <n v="8.36"/>
    <d v="1899-12-30T00:05:47"/>
    <n v="137"/>
    <n v="47"/>
    <n v="202"/>
    <n v="12"/>
    <n v="1.0476505034635435"/>
    <s v="HOKA Clifton 7"/>
  </r>
  <r>
    <x v="1266"/>
    <m/>
    <x v="0"/>
    <m/>
    <m/>
    <s v=""/>
    <s v=""/>
    <m/>
    <s v="0"/>
    <m/>
    <m/>
    <s v=""/>
    <m/>
  </r>
  <r>
    <x v="1267"/>
    <m/>
    <x v="0"/>
    <m/>
    <m/>
    <s v=""/>
    <s v=""/>
    <m/>
    <s v="0"/>
    <m/>
    <m/>
    <s v=""/>
    <m/>
  </r>
  <r>
    <x v="1268"/>
    <n v="74"/>
    <x v="1"/>
    <s v="Z2.HR"/>
    <d v="1899-12-30T00:48:11"/>
    <n v="8.5"/>
    <d v="1899-12-30T00:05:40"/>
    <n v="142"/>
    <n v="49"/>
    <n v="206"/>
    <n v="23"/>
    <n v="1.0457348551360843"/>
    <s v="HOKA Clifton 7"/>
  </r>
  <r>
    <x v="1269"/>
    <m/>
    <x v="0"/>
    <m/>
    <m/>
    <s v=""/>
    <s v=""/>
    <m/>
    <s v="0"/>
    <m/>
    <m/>
    <s v=""/>
    <m/>
  </r>
  <r>
    <x v="1270"/>
    <n v="75"/>
    <x v="2"/>
    <s v="Z2.HR"/>
    <d v="1899-12-30T00:59:57"/>
    <n v="10.3"/>
    <d v="1899-12-30T00:05:49"/>
    <n v="135"/>
    <n v="58"/>
    <n v="201"/>
    <n v="29"/>
    <n v="1.0476699029126215"/>
    <s v="Brooks Defyance 11"/>
  </r>
  <r>
    <x v="1271"/>
    <m/>
    <x v="0"/>
    <m/>
    <m/>
    <s v=""/>
    <s v=""/>
    <m/>
    <s v="0"/>
    <m/>
    <m/>
    <s v=""/>
    <m/>
  </r>
  <r>
    <x v="1272"/>
    <n v="76"/>
    <x v="1"/>
    <s v="Z2.sHR"/>
    <d v="1899-12-30T00:39:02"/>
    <n v="6.71"/>
    <d v="1899-12-30T00:05:49"/>
    <n v="138"/>
    <n v="39"/>
    <n v="204"/>
    <n v="11"/>
    <n v="1.0627221567275396"/>
    <s v="Brooks Defyance 11"/>
  </r>
  <r>
    <x v="1273"/>
    <m/>
    <x v="0"/>
    <m/>
    <m/>
    <s v=""/>
    <s v=""/>
    <m/>
    <s v="0"/>
    <m/>
    <m/>
    <s v=""/>
    <m/>
  </r>
  <r>
    <x v="1274"/>
    <m/>
    <x v="0"/>
    <m/>
    <m/>
    <s v=""/>
    <s v=""/>
    <m/>
    <s v="0"/>
    <m/>
    <m/>
    <s v=""/>
    <m/>
  </r>
  <r>
    <x v="1275"/>
    <m/>
    <x v="0"/>
    <m/>
    <m/>
    <s v=""/>
    <s v=""/>
    <m/>
    <s v="0"/>
    <m/>
    <m/>
    <s v=""/>
    <m/>
  </r>
  <r>
    <x v="1276"/>
    <m/>
    <x v="0"/>
    <m/>
    <m/>
    <s v=""/>
    <s v=""/>
    <m/>
    <s v="0"/>
    <m/>
    <m/>
    <s v=""/>
    <m/>
  </r>
  <r>
    <x v="1277"/>
    <n v="77"/>
    <x v="1"/>
    <s v="Z2.sHR"/>
    <d v="1899-12-30T00:36:36"/>
    <n v="6.14"/>
    <d v="1899-12-30T00:05:58"/>
    <n v="146"/>
    <n v="35"/>
    <n v="198"/>
    <n v="18"/>
    <n v="1.05694977879333"/>
    <s v="HOKA Clifton 7"/>
  </r>
  <r>
    <x v="1278"/>
    <m/>
    <x v="0"/>
    <m/>
    <m/>
    <s v=""/>
    <s v=""/>
    <m/>
    <s v="0"/>
    <m/>
    <m/>
    <s v=""/>
    <m/>
  </r>
  <r>
    <x v="1279"/>
    <m/>
    <x v="0"/>
    <m/>
    <m/>
    <s v=""/>
    <s v=""/>
    <m/>
    <s v="0"/>
    <m/>
    <m/>
    <s v=""/>
    <m/>
  </r>
  <r>
    <x v="1280"/>
    <m/>
    <x v="0"/>
    <m/>
    <m/>
    <s v=""/>
    <s v=""/>
    <m/>
    <s v="0"/>
    <m/>
    <m/>
    <s v=""/>
    <m/>
  </r>
  <r>
    <x v="1281"/>
    <m/>
    <x v="0"/>
    <m/>
    <m/>
    <s v=""/>
    <s v=""/>
    <m/>
    <s v="0"/>
    <m/>
    <m/>
    <s v=""/>
    <m/>
  </r>
  <r>
    <x v="1282"/>
    <m/>
    <x v="0"/>
    <m/>
    <m/>
    <s v=""/>
    <s v=""/>
    <m/>
    <s v="0"/>
    <m/>
    <m/>
    <s v=""/>
    <m/>
  </r>
  <r>
    <x v="1283"/>
    <m/>
    <x v="0"/>
    <m/>
    <m/>
    <s v=""/>
    <s v=""/>
    <m/>
    <s v="0"/>
    <m/>
    <m/>
    <s v=""/>
    <m/>
  </r>
  <r>
    <x v="1284"/>
    <m/>
    <x v="0"/>
    <m/>
    <m/>
    <s v=""/>
    <s v=""/>
    <m/>
    <s v="0"/>
    <m/>
    <m/>
    <s v=""/>
    <m/>
  </r>
  <r>
    <x v="1285"/>
    <m/>
    <x v="0"/>
    <m/>
    <m/>
    <s v=""/>
    <s v=""/>
    <m/>
    <s v="0"/>
    <m/>
    <m/>
    <s v=""/>
    <m/>
  </r>
  <r>
    <x v="1286"/>
    <n v="78"/>
    <x v="1"/>
    <s v="Z2.mHR"/>
    <d v="1899-12-30T00:51:59"/>
    <n v="8.32"/>
    <d v="1899-12-30T00:06:15"/>
    <n v="134"/>
    <n v="44"/>
    <n v="188"/>
    <n v="23"/>
    <n v="1.0519015499425948"/>
    <s v="HOKA Clifton 7"/>
  </r>
  <r>
    <x v="1287"/>
    <m/>
    <x v="0"/>
    <m/>
    <m/>
    <s v=""/>
    <s v=""/>
    <m/>
    <s v="0"/>
    <m/>
    <m/>
    <s v=""/>
    <m/>
  </r>
  <r>
    <x v="1288"/>
    <m/>
    <x v="0"/>
    <m/>
    <m/>
    <s v=""/>
    <s v=""/>
    <m/>
    <s v="0"/>
    <m/>
    <m/>
    <s v=""/>
    <m/>
  </r>
  <r>
    <x v="1289"/>
    <m/>
    <x v="0"/>
    <m/>
    <m/>
    <s v=""/>
    <s v=""/>
    <m/>
    <s v="0"/>
    <m/>
    <m/>
    <s v=""/>
    <m/>
  </r>
  <r>
    <x v="1290"/>
    <m/>
    <x v="0"/>
    <m/>
    <m/>
    <s v=""/>
    <s v=""/>
    <m/>
    <s v="0"/>
    <m/>
    <m/>
    <s v=""/>
    <m/>
  </r>
  <r>
    <x v="1291"/>
    <n v="79"/>
    <x v="2"/>
    <s v="Z2.mHR"/>
    <d v="1899-12-30T00:48:17"/>
    <n v="8.01"/>
    <d v="1899-12-30T00:06:02"/>
    <n v="145"/>
    <n v="44"/>
    <n v="197"/>
    <n v="17"/>
    <n v="1.0634263141222724"/>
    <s v="Brooks Defyance 11"/>
  </r>
  <r>
    <x v="1292"/>
    <m/>
    <x v="0"/>
    <m/>
    <m/>
    <s v=""/>
    <s v=""/>
    <m/>
    <s v="0"/>
    <m/>
    <m/>
    <s v=""/>
    <m/>
  </r>
  <r>
    <x v="1293"/>
    <m/>
    <x v="0"/>
    <m/>
    <m/>
    <s v=""/>
    <s v=""/>
    <m/>
    <s v="0"/>
    <m/>
    <m/>
    <s v=""/>
    <m/>
  </r>
  <r>
    <x v="1294"/>
    <m/>
    <x v="0"/>
    <m/>
    <m/>
    <s v=""/>
    <s v=""/>
    <m/>
    <s v="0"/>
    <m/>
    <m/>
    <s v=""/>
    <m/>
  </r>
  <r>
    <x v="1295"/>
    <m/>
    <x v="0"/>
    <m/>
    <m/>
    <s v=""/>
    <s v=""/>
    <m/>
    <s v="0"/>
    <m/>
    <m/>
    <s v=""/>
    <m/>
  </r>
  <r>
    <x v="1296"/>
    <m/>
    <x v="0"/>
    <m/>
    <m/>
    <s v=""/>
    <s v=""/>
    <m/>
    <s v="0"/>
    <m/>
    <m/>
    <s v=""/>
    <m/>
  </r>
  <r>
    <x v="1297"/>
    <m/>
    <x v="0"/>
    <m/>
    <m/>
    <s v=""/>
    <s v=""/>
    <m/>
    <s v="0"/>
    <m/>
    <m/>
    <s v=""/>
    <m/>
  </r>
  <r>
    <x v="1298"/>
    <m/>
    <x v="0"/>
    <m/>
    <m/>
    <s v=""/>
    <s v=""/>
    <m/>
    <s v="0"/>
    <m/>
    <m/>
    <s v=""/>
    <m/>
  </r>
  <r>
    <x v="1299"/>
    <m/>
    <x v="0"/>
    <m/>
    <m/>
    <s v=""/>
    <s v=""/>
    <m/>
    <s v="0"/>
    <m/>
    <m/>
    <s v=""/>
    <m/>
  </r>
  <r>
    <x v="1300"/>
    <m/>
    <x v="0"/>
    <m/>
    <m/>
    <s v=""/>
    <s v=""/>
    <m/>
    <s v="0"/>
    <m/>
    <m/>
    <s v=""/>
    <m/>
  </r>
  <r>
    <x v="1301"/>
    <m/>
    <x v="0"/>
    <m/>
    <m/>
    <s v=""/>
    <s v=""/>
    <m/>
    <s v="0"/>
    <m/>
    <m/>
    <s v=""/>
    <m/>
  </r>
  <r>
    <x v="1302"/>
    <m/>
    <x v="0"/>
    <m/>
    <m/>
    <s v=""/>
    <s v=""/>
    <m/>
    <s v="0"/>
    <m/>
    <m/>
    <s v=""/>
    <m/>
  </r>
  <r>
    <x v="1303"/>
    <n v="80"/>
    <x v="1"/>
    <s v="Z2.6"/>
    <d v="1899-12-30T00:28:15"/>
    <n v="5.04"/>
    <d v="1899-12-30T00:05:36"/>
    <n v="146"/>
    <n v="41"/>
    <n v="210"/>
    <n v="12"/>
    <n v="1.0541044776119404"/>
    <s v="HOKA Clifton 7"/>
  </r>
  <r>
    <x v="1304"/>
    <m/>
    <x v="0"/>
    <m/>
    <m/>
    <s v=""/>
    <s v=""/>
    <m/>
    <s v="0"/>
    <m/>
    <m/>
    <s v=""/>
    <m/>
  </r>
  <r>
    <x v="1305"/>
    <n v="81"/>
    <x v="1"/>
    <s v="Z2.6"/>
    <d v="1899-12-30T00:34:55"/>
    <n v="6.25"/>
    <d v="1899-12-30T00:05:35"/>
    <n v="146"/>
    <n v="50"/>
    <n v="212"/>
    <n v="12"/>
    <n v="1.0606328358208954"/>
    <s v="Brooks Defyance 11"/>
  </r>
  <r>
    <x v="1306"/>
    <m/>
    <x v="0"/>
    <m/>
    <m/>
    <s v=""/>
    <s v=""/>
    <m/>
    <s v="0"/>
    <m/>
    <m/>
    <s v=""/>
    <m/>
  </r>
  <r>
    <x v="1307"/>
    <n v="82"/>
    <x v="2"/>
    <s v="Z2.6"/>
    <d v="1899-12-30T00:39:48"/>
    <n v="6.95"/>
    <d v="1899-12-30T00:05:44"/>
    <n v="136"/>
    <n v="54"/>
    <n v="204"/>
    <n v="20"/>
    <n v="1.0461763126811983"/>
    <s v="Brooks Defyance 11"/>
  </r>
  <r>
    <x v="1308"/>
    <m/>
    <x v="0"/>
    <m/>
    <m/>
    <s v=""/>
    <s v=""/>
    <m/>
    <s v="0"/>
    <m/>
    <m/>
    <s v=""/>
    <m/>
  </r>
  <r>
    <x v="1309"/>
    <n v="83"/>
    <x v="1"/>
    <s v="Z2.8"/>
    <d v="1899-12-30T00:38:54"/>
    <n v="6.6"/>
    <d v="1899-12-30T00:05:54"/>
    <n v="140"/>
    <n v="49"/>
    <n v="200"/>
    <n v="18"/>
    <n v="1.0556309362279515"/>
    <s v="HOKA Clifton 7"/>
  </r>
  <r>
    <x v="1310"/>
    <m/>
    <x v="0"/>
    <m/>
    <m/>
    <s v=""/>
    <s v=""/>
    <m/>
    <s v="0"/>
    <m/>
    <m/>
    <s v=""/>
    <m/>
  </r>
  <r>
    <x v="1311"/>
    <m/>
    <x v="0"/>
    <m/>
    <m/>
    <s v=""/>
    <s v=""/>
    <m/>
    <s v="0"/>
    <m/>
    <m/>
    <s v=""/>
    <m/>
  </r>
  <r>
    <x v="1312"/>
    <n v="84"/>
    <x v="1"/>
    <s v="Z2.8"/>
    <d v="1899-12-30T00:39:52"/>
    <n v="6.96"/>
    <d v="1899-12-30T00:05:44"/>
    <n v="144"/>
    <n v="54"/>
    <n v="206"/>
    <n v="21"/>
    <n v="1.0566821067078402"/>
    <s v="Brooks Defyance 11"/>
  </r>
  <r>
    <x v="1313"/>
    <m/>
    <x v="0"/>
    <m/>
    <m/>
    <s v=""/>
    <s v=""/>
    <m/>
    <s v="0"/>
    <m/>
    <m/>
    <s v=""/>
    <m/>
  </r>
  <r>
    <x v="1314"/>
    <n v="85"/>
    <x v="1"/>
    <s v="Z2.45'"/>
    <d v="1899-12-30T00:41:19"/>
    <n v="7.84"/>
    <d v="1899-12-30T00:05:16"/>
    <n v="150"/>
    <n v="65"/>
    <n v="221"/>
    <n v="15"/>
    <n v="1.0429846938775513"/>
    <s v="Brooks Defyance 11"/>
  </r>
  <r>
    <x v="1315"/>
    <m/>
    <x v="0"/>
    <m/>
    <m/>
    <s v=""/>
    <s v=""/>
    <m/>
    <s v="0"/>
    <m/>
    <m/>
    <s v=""/>
    <m/>
  </r>
  <r>
    <x v="1316"/>
    <n v="86"/>
    <x v="2"/>
    <s v="Z2.45'"/>
    <d v="1899-12-30T00:38:41"/>
    <n v="6.56"/>
    <d v="1899-12-30T00:05:54"/>
    <n v="144"/>
    <n v="46"/>
    <n v="199"/>
    <n v="15"/>
    <n v="1.0508714051692756"/>
    <s v="HOKA Clifton 7"/>
  </r>
  <r>
    <x v="1317"/>
    <m/>
    <x v="0"/>
    <m/>
    <m/>
    <s v=""/>
    <s v=""/>
    <m/>
    <s v="0"/>
    <m/>
    <m/>
    <s v=""/>
    <m/>
  </r>
  <r>
    <x v="1318"/>
    <n v="87"/>
    <x v="1"/>
    <s v="Z2.60'"/>
    <d v="1899-12-30T00:57:16"/>
    <n v="10.1"/>
    <d v="1899-12-30T00:05:40"/>
    <n v="154"/>
    <n v="75"/>
    <n v="209"/>
    <n v="26"/>
    <n v="1.0612147184867742"/>
    <s v="Brooks Defyance 11"/>
  </r>
  <r>
    <x v="1319"/>
    <m/>
    <x v="0"/>
    <m/>
    <m/>
    <s v=""/>
    <s v=""/>
    <m/>
    <s v="0"/>
    <m/>
    <m/>
    <s v=""/>
    <m/>
  </r>
  <r>
    <x v="1320"/>
    <m/>
    <x v="0"/>
    <m/>
    <m/>
    <s v=""/>
    <s v=""/>
    <m/>
    <s v="0"/>
    <m/>
    <m/>
    <s v=""/>
    <m/>
  </r>
  <r>
    <x v="1321"/>
    <n v="88"/>
    <x v="2"/>
    <s v="Z2.45'"/>
    <d v="1899-12-30T00:38:01"/>
    <n v="6.49"/>
    <d v="1899-12-30T00:05:51"/>
    <n v="141"/>
    <n v="45"/>
    <n v="199"/>
    <n v="18"/>
    <n v="1.0438999149092749"/>
    <s v="Brooks Defyance 11"/>
  </r>
  <r>
    <x v="1322"/>
    <m/>
    <x v="0"/>
    <m/>
    <m/>
    <s v=""/>
    <s v=""/>
    <m/>
    <s v="0"/>
    <m/>
    <m/>
    <s v=""/>
    <m/>
  </r>
  <r>
    <x v="1323"/>
    <n v="89"/>
    <x v="2"/>
    <s v="Z2.60'"/>
    <d v="1899-12-30T01:05:15"/>
    <n v="10.8"/>
    <d v="1899-12-30T00:06:02"/>
    <n v="137"/>
    <n v="74"/>
    <n v="194"/>
    <n v="36"/>
    <n v="1.0496268656716417"/>
    <s v="HOKA Clifton 7"/>
  </r>
  <r>
    <x v="1324"/>
    <m/>
    <x v="0"/>
    <m/>
    <m/>
    <s v=""/>
    <s v=""/>
    <m/>
    <s v="0"/>
    <m/>
    <m/>
    <s v=""/>
    <m/>
  </r>
  <r>
    <x v="1325"/>
    <n v="90"/>
    <x v="1"/>
    <s v="Z2.45'"/>
    <d v="1899-12-30T00:41:37"/>
    <n v="7.38"/>
    <d v="1899-12-30T00:05:38"/>
    <n v="139"/>
    <n v="54"/>
    <n v="209"/>
    <n v="26"/>
    <n v="1.0554402782833796"/>
    <s v="Brooks Defyance 11"/>
  </r>
  <r>
    <x v="1326"/>
    <m/>
    <x v="0"/>
    <m/>
    <m/>
    <s v=""/>
    <s v=""/>
    <m/>
    <s v="0"/>
    <m/>
    <m/>
    <s v=""/>
    <m/>
  </r>
  <r>
    <x v="1327"/>
    <n v="91"/>
    <x v="1"/>
    <s v="Z2.45'"/>
    <d v="1899-12-30T00:38:52"/>
    <n v="7.13"/>
    <d v="1899-12-30T00:05:27"/>
    <n v="143"/>
    <n v="54"/>
    <n v="215"/>
    <n v="17"/>
    <n v="1.049548889493626"/>
    <s v="HOKA Clifton 7"/>
  </r>
  <r>
    <x v="1328"/>
    <m/>
    <x v="0"/>
    <m/>
    <m/>
    <s v=""/>
    <s v=""/>
    <m/>
    <s v="0"/>
    <m/>
    <m/>
    <s v=""/>
    <m/>
  </r>
  <r>
    <x v="1329"/>
    <m/>
    <x v="0"/>
    <m/>
    <m/>
    <s v=""/>
    <s v=""/>
    <m/>
    <s v="0"/>
    <m/>
    <m/>
    <s v=""/>
    <m/>
  </r>
  <r>
    <x v="1330"/>
    <n v="92"/>
    <x v="2"/>
    <s v="Z2.45'"/>
    <d v="1899-12-30T00:49:35"/>
    <n v="8.65"/>
    <d v="1899-12-30T00:05:44"/>
    <n v="140"/>
    <n v="62"/>
    <n v="204"/>
    <n v="32"/>
    <n v="1.0471917867310845"/>
    <s v="Brooks Defyance 11"/>
  </r>
  <r>
    <x v="1331"/>
    <m/>
    <x v="0"/>
    <m/>
    <m/>
    <s v=""/>
    <s v=""/>
    <m/>
    <s v="0"/>
    <m/>
    <m/>
    <s v=""/>
    <m/>
  </r>
  <r>
    <x v="1332"/>
    <n v="93"/>
    <x v="1"/>
    <s v="Z2.45'"/>
    <d v="1899-12-30T00:41:11"/>
    <n v="7.51"/>
    <d v="1899-12-30T00:05:29"/>
    <n v="150"/>
    <n v="54"/>
    <n v="214"/>
    <n v="24"/>
    <n v="1.0509251346463422"/>
    <s v="HOKA Clifton 7"/>
  </r>
  <r>
    <x v="1333"/>
    <m/>
    <x v="0"/>
    <m/>
    <m/>
    <s v=""/>
    <s v=""/>
    <m/>
    <s v="0"/>
    <m/>
    <m/>
    <s v=""/>
    <m/>
  </r>
  <r>
    <x v="1334"/>
    <n v="94"/>
    <x v="1"/>
    <s v="Z3.10'"/>
    <d v="1899-12-30T00:43:41"/>
    <n v="8.33"/>
    <d v="1899-12-30T00:05:15"/>
    <n v="149"/>
    <n v="66"/>
    <n v="223"/>
    <n v="34"/>
    <n v="1.047254125530809"/>
    <s v="Brooks Defyance 11"/>
  </r>
  <r>
    <x v="1335"/>
    <m/>
    <x v="0"/>
    <m/>
    <m/>
    <s v=""/>
    <s v=""/>
    <m/>
    <s v="0"/>
    <m/>
    <m/>
    <s v=""/>
    <m/>
  </r>
  <r>
    <x v="1336"/>
    <n v="95"/>
    <x v="2"/>
    <s v="Z2.60'"/>
    <d v="1899-12-30T00:58:05"/>
    <n v="9.93"/>
    <d v="1899-12-30T00:05:51"/>
    <n v="136"/>
    <n v="67"/>
    <n v="200"/>
    <n v="25"/>
    <n v="1.0476319309795434"/>
    <s v="HOKA Clifton 7"/>
  </r>
  <r>
    <x v="1337"/>
    <m/>
    <x v="0"/>
    <m/>
    <m/>
    <s v=""/>
    <s v=""/>
    <m/>
    <s v="0"/>
    <m/>
    <m/>
    <s v=""/>
    <m/>
  </r>
  <r>
    <x v="1338"/>
    <m/>
    <x v="0"/>
    <m/>
    <m/>
    <s v=""/>
    <s v=""/>
    <m/>
    <s v="0"/>
    <m/>
    <m/>
    <s v=""/>
    <m/>
  </r>
  <r>
    <x v="1339"/>
    <n v="96"/>
    <x v="1"/>
    <s v="Z2.60'"/>
    <d v="1899-12-30T00:58:16"/>
    <n v="10.49"/>
    <d v="1899-12-30T00:05:33"/>
    <n v="146"/>
    <n v="75"/>
    <n v="213"/>
    <n v="32"/>
    <n v="1.0594994522146182"/>
    <s v="Brooks Defyance 11"/>
  </r>
  <r>
    <x v="1340"/>
    <m/>
    <x v="0"/>
    <m/>
    <m/>
    <s v=""/>
    <s v=""/>
    <m/>
    <s v="0"/>
    <m/>
    <m/>
    <s v=""/>
    <m/>
  </r>
  <r>
    <x v="1341"/>
    <n v="97"/>
    <x v="1"/>
    <s v="Z3.20'"/>
    <d v="1899-12-30T00:45:56"/>
    <n v="8.9700000000000006"/>
    <d v="1899-12-30T00:05:07"/>
    <n v="152"/>
    <n v="69"/>
    <n v="226"/>
    <n v="16"/>
    <n v="1.0363833008868699"/>
    <s v="HOKA Carbon X"/>
  </r>
  <r>
    <x v="1342"/>
    <m/>
    <x v="0"/>
    <m/>
    <m/>
    <s v=""/>
    <s v=""/>
    <m/>
    <s v="0"/>
    <m/>
    <m/>
    <s v=""/>
    <m/>
  </r>
  <r>
    <x v="1343"/>
    <n v="98"/>
    <x v="2"/>
    <s v="Z2.60'"/>
    <d v="1899-12-30T01:02:18"/>
    <n v="10.64"/>
    <d v="1899-12-30T00:05:51"/>
    <n v="134"/>
    <n v="71"/>
    <n v="200"/>
    <n v="39"/>
    <n v="1.0487038491751768"/>
    <s v="HOKA Clifton 7"/>
  </r>
  <r>
    <x v="1344"/>
    <m/>
    <x v="0"/>
    <m/>
    <m/>
    <s v=""/>
    <s v=""/>
    <m/>
    <s v="0"/>
    <m/>
    <m/>
    <s v=""/>
    <m/>
  </r>
  <r>
    <x v="1345"/>
    <m/>
    <x v="0"/>
    <m/>
    <m/>
    <s v=""/>
    <s v=""/>
    <m/>
    <s v="0"/>
    <m/>
    <m/>
    <s v=""/>
    <m/>
  </r>
  <r>
    <x v="1346"/>
    <n v="99"/>
    <x v="1"/>
    <s v="Z2.60'"/>
    <d v="1899-12-30T01:01:47"/>
    <n v="11.3"/>
    <d v="1899-12-30T00:05:28"/>
    <n v="139"/>
    <n v="78"/>
    <n v="215"/>
    <n v="33"/>
    <n v="1.0527077004358736"/>
    <s v="Brooks Defyance 11"/>
  </r>
  <r>
    <x v="1347"/>
    <m/>
    <x v="0"/>
    <m/>
    <m/>
    <s v=""/>
    <s v=""/>
    <m/>
    <s v="0"/>
    <m/>
    <m/>
    <s v=""/>
    <m/>
  </r>
  <r>
    <x v="1348"/>
    <n v="100"/>
    <x v="2"/>
    <s v="Z2.60'"/>
    <d v="1899-12-30T01:00:21"/>
    <n v="10.52"/>
    <d v="1899-12-30T00:05:44"/>
    <n v="136"/>
    <n v="69"/>
    <n v="203"/>
    <n v="26"/>
    <n v="1.0428792350036891"/>
    <s v="Adizero Boston 8"/>
  </r>
  <r>
    <x v="1349"/>
    <m/>
    <x v="0"/>
    <m/>
    <m/>
    <s v=""/>
    <s v=""/>
    <m/>
    <s v="0"/>
    <m/>
    <m/>
    <s v=""/>
    <m/>
  </r>
  <r>
    <x v="1350"/>
    <m/>
    <x v="0"/>
    <m/>
    <m/>
    <s v=""/>
    <s v=""/>
    <m/>
    <s v="0"/>
    <m/>
    <m/>
    <s v=""/>
    <m/>
  </r>
  <r>
    <x v="1351"/>
    <n v="101"/>
    <x v="1"/>
    <s v="trail"/>
    <d v="1899-12-30T01:09:37"/>
    <n v="9.7100000000000009"/>
    <d v="1899-12-30T00:07:10"/>
    <n v="140"/>
    <n v="74"/>
    <n v="188"/>
    <n v="381"/>
    <m/>
    <s v="Innov-8 Terraultra"/>
  </r>
  <r>
    <x v="1352"/>
    <m/>
    <x v="0"/>
    <m/>
    <m/>
    <s v=""/>
    <s v=""/>
    <m/>
    <s v="0"/>
    <m/>
    <m/>
    <s v=""/>
    <m/>
  </r>
  <r>
    <x v="1353"/>
    <n v="102"/>
    <x v="1"/>
    <s v="Z2.45'"/>
    <d v="1899-12-30T00:36:39"/>
    <n v="6.24"/>
    <d v="1899-12-30T00:05:52"/>
    <n v="140"/>
    <n v="40"/>
    <n v="201"/>
    <n v="15"/>
    <n v="1.0572115384615384"/>
    <s v="HOKA Clifton 7"/>
  </r>
  <r>
    <x v="1354"/>
    <m/>
    <x v="0"/>
    <m/>
    <m/>
    <s v=""/>
    <s v=""/>
    <m/>
    <s v="0"/>
    <m/>
    <m/>
    <s v=""/>
    <m/>
  </r>
  <r>
    <x v="1355"/>
    <n v="103"/>
    <x v="1"/>
    <s v="Z2.45'"/>
    <d v="1899-12-30T00:42:47"/>
    <n v="7.46"/>
    <d v="1899-12-30T00:05:44"/>
    <n v="141"/>
    <n v="49"/>
    <n v="205"/>
    <n v="19"/>
    <n v="1.0528490256492342"/>
    <s v="Brooks Defyance 11"/>
  </r>
  <r>
    <x v="1356"/>
    <m/>
    <x v="0"/>
    <m/>
    <m/>
    <s v=""/>
    <s v=""/>
    <m/>
    <s v="0"/>
    <m/>
    <m/>
    <s v=""/>
    <m/>
  </r>
  <r>
    <x v="1357"/>
    <n v="104"/>
    <x v="2"/>
    <s v="Z2.60'"/>
    <d v="1899-12-30T00:56:05"/>
    <n v="9.8800000000000008"/>
    <d v="1899-12-30T00:05:41"/>
    <n v="140"/>
    <n v="66"/>
    <n v="205"/>
    <n v="30"/>
    <n v="1.0420946885008158"/>
    <s v="HOKA Clifton 7"/>
  </r>
  <r>
    <x v="1358"/>
    <m/>
    <x v="0"/>
    <m/>
    <m/>
    <s v=""/>
    <s v=""/>
    <m/>
    <s v="0"/>
    <m/>
    <m/>
    <s v=""/>
    <m/>
  </r>
  <r>
    <x v="1359"/>
    <n v="105"/>
    <x v="1"/>
    <s v="Z2.HR"/>
    <d v="1899-12-30T00:55:02"/>
    <n v="9.99"/>
    <d v="1899-12-30T00:05:31"/>
    <n v="141"/>
    <n v="69"/>
    <n v="213"/>
    <n v="28"/>
    <n v="1.0507910895970598"/>
    <s v="Brooks Defyance 11"/>
  </r>
  <r>
    <x v="1360"/>
    <m/>
    <x v="0"/>
    <m/>
    <m/>
    <s v=""/>
    <s v=""/>
    <m/>
    <s v="0"/>
    <m/>
    <m/>
    <s v=""/>
    <m/>
  </r>
  <r>
    <x v="1361"/>
    <n v="106"/>
    <x v="1"/>
    <s v="Z4.4x5'"/>
    <d v="1899-12-30T00:45:17"/>
    <n v="8.9600000000000009"/>
    <d v="1899-12-30T00:05:03"/>
    <n v="155"/>
    <n v="68"/>
    <n v="228"/>
    <n v="24"/>
    <n v="1.0319096481876333"/>
    <s v="HOKA Carbon X"/>
  </r>
  <r>
    <x v="1362"/>
    <n v="107"/>
    <x v="1"/>
    <s v="Z1.45'"/>
    <d v="1899-12-30T00:44:11"/>
    <n v="7.4"/>
    <d v="1899-12-30T00:05:58"/>
    <n v="138"/>
    <n v="46"/>
    <n v="198"/>
    <n v="21"/>
    <n v="1.0586889874949577"/>
    <s v="HOKA Clifton 7"/>
  </r>
  <r>
    <x v="1363"/>
    <m/>
    <x v="0"/>
    <m/>
    <m/>
    <s v=""/>
    <s v=""/>
    <m/>
    <s v="0"/>
    <m/>
    <m/>
    <s v=""/>
    <m/>
  </r>
  <r>
    <x v="1364"/>
    <n v="108"/>
    <x v="1"/>
    <s v="trail"/>
    <d v="1899-12-30T00:43:25"/>
    <n v="5.57"/>
    <d v="1899-12-30T00:07:48"/>
    <n v="151"/>
    <n v="50"/>
    <n v="191"/>
    <n v="334"/>
    <m/>
    <s v="Innov-8 Terraultra"/>
  </r>
  <r>
    <x v="1365"/>
    <m/>
    <x v="0"/>
    <m/>
    <m/>
    <s v=""/>
    <s v=""/>
    <m/>
    <s v="0"/>
    <m/>
    <m/>
    <s v=""/>
    <m/>
  </r>
  <r>
    <x v="1366"/>
    <n v="109"/>
    <x v="1"/>
    <s v="Z2.HR"/>
    <d v="1899-12-30T01:01:27"/>
    <n v="10.8"/>
    <d v="1899-12-30T00:05:41"/>
    <n v="141"/>
    <n v="72"/>
    <n v="208"/>
    <n v="28"/>
    <n v="1.0598341625207297"/>
    <s v="Brooks Defyance 11"/>
  </r>
  <r>
    <x v="1367"/>
    <m/>
    <x v="0"/>
    <m/>
    <m/>
    <s v=""/>
    <s v=""/>
    <m/>
    <s v="0"/>
    <m/>
    <m/>
    <s v=""/>
    <m/>
  </r>
  <r>
    <x v="1368"/>
    <n v="110"/>
    <x v="1"/>
    <s v="Z1.45'"/>
    <d v="1899-12-30T00:37:31"/>
    <n v="6.42"/>
    <d v="1899-12-30T00:05:51"/>
    <n v="133"/>
    <n v="41"/>
    <n v="202"/>
    <n v="17"/>
    <n v="1.0571023387734224"/>
    <s v="Brooks Defyance 11"/>
  </r>
  <r>
    <x v="1369"/>
    <m/>
    <x v="0"/>
    <m/>
    <m/>
    <s v=""/>
    <s v=""/>
    <m/>
    <s v="0"/>
    <m/>
    <m/>
    <s v=""/>
    <m/>
  </r>
  <r>
    <x v="1370"/>
    <m/>
    <x v="0"/>
    <m/>
    <m/>
    <s v=""/>
    <s v=""/>
    <m/>
    <s v="0"/>
    <m/>
    <m/>
    <s v=""/>
    <m/>
  </r>
  <r>
    <x v="1371"/>
    <m/>
    <x v="0"/>
    <m/>
    <m/>
    <s v=""/>
    <s v=""/>
    <m/>
    <s v="0"/>
    <m/>
    <m/>
    <s v=""/>
    <m/>
  </r>
  <r>
    <x v="1372"/>
    <m/>
    <x v="0"/>
    <m/>
    <m/>
    <s v=""/>
    <s v=""/>
    <m/>
    <s v="0"/>
    <m/>
    <m/>
    <s v=""/>
    <m/>
  </r>
  <r>
    <x v="1373"/>
    <m/>
    <x v="0"/>
    <m/>
    <m/>
    <s v=""/>
    <s v=""/>
    <m/>
    <s v="0"/>
    <m/>
    <m/>
    <s v=""/>
    <m/>
  </r>
  <r>
    <x v="1374"/>
    <m/>
    <x v="0"/>
    <m/>
    <m/>
    <s v=""/>
    <s v=""/>
    <m/>
    <s v="0"/>
    <m/>
    <m/>
    <s v=""/>
    <m/>
  </r>
  <r>
    <x v="1375"/>
    <m/>
    <x v="0"/>
    <m/>
    <m/>
    <s v=""/>
    <s v=""/>
    <m/>
    <s v="0"/>
    <m/>
    <m/>
    <s v=""/>
    <m/>
  </r>
  <r>
    <x v="1376"/>
    <m/>
    <x v="0"/>
    <m/>
    <m/>
    <s v=""/>
    <s v=""/>
    <m/>
    <s v="0"/>
    <m/>
    <m/>
    <s v=""/>
    <m/>
  </r>
  <r>
    <x v="1377"/>
    <m/>
    <x v="0"/>
    <m/>
    <m/>
    <s v=""/>
    <s v=""/>
    <m/>
    <s v="0"/>
    <m/>
    <m/>
    <s v=""/>
    <m/>
  </r>
  <r>
    <x v="1378"/>
    <m/>
    <x v="0"/>
    <m/>
    <m/>
    <s v=""/>
    <s v=""/>
    <m/>
    <s v="0"/>
    <m/>
    <m/>
    <s v=""/>
    <m/>
  </r>
  <r>
    <x v="1379"/>
    <m/>
    <x v="0"/>
    <m/>
    <m/>
    <s v=""/>
    <s v=""/>
    <m/>
    <s v="0"/>
    <m/>
    <m/>
    <s v=""/>
    <m/>
  </r>
  <r>
    <x v="1380"/>
    <m/>
    <x v="0"/>
    <m/>
    <m/>
    <s v=""/>
    <s v=""/>
    <m/>
    <s v="0"/>
    <m/>
    <m/>
    <s v=""/>
    <m/>
  </r>
  <r>
    <x v="1381"/>
    <m/>
    <x v="0"/>
    <m/>
    <m/>
    <s v=""/>
    <s v=""/>
    <m/>
    <s v="0"/>
    <m/>
    <m/>
    <s v=""/>
    <m/>
  </r>
  <r>
    <x v="1382"/>
    <m/>
    <x v="0"/>
    <m/>
    <m/>
    <s v=""/>
    <s v=""/>
    <m/>
    <s v="0"/>
    <m/>
    <m/>
    <s v=""/>
    <m/>
  </r>
  <r>
    <x v="1383"/>
    <m/>
    <x v="0"/>
    <m/>
    <m/>
    <s v=""/>
    <s v=""/>
    <m/>
    <s v="0"/>
    <m/>
    <m/>
    <s v=""/>
    <m/>
  </r>
  <r>
    <x v="1384"/>
    <m/>
    <x v="0"/>
    <m/>
    <m/>
    <s v=""/>
    <s v=""/>
    <m/>
    <s v="0"/>
    <m/>
    <m/>
    <s v=""/>
    <m/>
  </r>
  <r>
    <x v="1385"/>
    <n v="111"/>
    <x v="1"/>
    <s v="Z2.45'"/>
    <d v="1899-12-30T00:36:00"/>
    <n v="6.26"/>
    <d v="1899-12-30T00:05:45"/>
    <n v="143"/>
    <n v="40"/>
    <n v="205"/>
    <n v="16"/>
    <n v="1.0557436459873157"/>
    <s v="Brooks Defyance 11"/>
  </r>
  <r>
    <x v="1386"/>
    <m/>
    <x v="0"/>
    <m/>
    <m/>
    <s v=""/>
    <s v=""/>
    <m/>
    <s v="0"/>
    <m/>
    <m/>
    <s v=""/>
    <m/>
  </r>
  <r>
    <x v="1387"/>
    <n v="112"/>
    <x v="1"/>
    <s v="Z2.45'"/>
    <d v="1899-12-30T00:42:09"/>
    <n v="7.54"/>
    <d v="1899-12-30T00:05:35"/>
    <n v="143"/>
    <n v="42"/>
    <m/>
    <n v="19"/>
    <m/>
    <s v="HOKA Clifton 7"/>
  </r>
  <r>
    <x v="1388"/>
    <m/>
    <x v="0"/>
    <m/>
    <m/>
    <s v=""/>
    <s v=""/>
    <m/>
    <s v="0"/>
    <m/>
    <m/>
    <s v=""/>
    <m/>
  </r>
  <r>
    <x v="1389"/>
    <n v="113"/>
    <x v="1"/>
    <s v="Z2.45'"/>
    <d v="1899-12-30T00:44:25"/>
    <n v="8.01"/>
    <d v="1899-12-30T00:05:33"/>
    <n v="146"/>
    <n v="53"/>
    <n v="211"/>
    <n v="20"/>
    <n v="1.047785417481879"/>
    <s v="Brooks Defyance 11"/>
  </r>
  <r>
    <x v="1390"/>
    <m/>
    <x v="0"/>
    <m/>
    <m/>
    <s v=""/>
    <s v=""/>
    <m/>
    <s v="0"/>
    <m/>
    <m/>
    <s v=""/>
    <m/>
  </r>
  <r>
    <x v="1391"/>
    <n v="114"/>
    <x v="2"/>
    <s v="Z2.45'"/>
    <d v="1899-12-30T00:40:28"/>
    <n v="7.27"/>
    <d v="1899-12-30T00:05:34"/>
    <n v="141"/>
    <n v="48"/>
    <n v="210"/>
    <n v="26"/>
    <n v="1.0467880679135273"/>
    <s v="Brooks Defyance 11"/>
  </r>
  <r>
    <x v="1392"/>
    <m/>
    <x v="0"/>
    <m/>
    <m/>
    <s v=""/>
    <s v=""/>
    <m/>
    <s v="0"/>
    <m/>
    <m/>
    <s v=""/>
    <m/>
  </r>
  <r>
    <x v="1393"/>
    <n v="115"/>
    <x v="2"/>
    <s v="Z2.60'"/>
    <d v="1899-12-30T00:53:51"/>
    <n v="9.1300000000000008"/>
    <d v="1899-12-30T00:05:54"/>
    <n v="139"/>
    <n v="57"/>
    <n v="198"/>
    <n v="21"/>
    <n v="1.0458190972846613"/>
    <s v="HOKA Clifton 7"/>
  </r>
  <r>
    <x v="1394"/>
    <m/>
    <x v="0"/>
    <m/>
    <m/>
    <s v=""/>
    <s v=""/>
    <m/>
    <s v="0"/>
    <m/>
    <m/>
    <s v=""/>
    <m/>
  </r>
  <r>
    <x v="1395"/>
    <m/>
    <x v="0"/>
    <m/>
    <m/>
    <s v=""/>
    <s v=""/>
    <m/>
    <s v="0"/>
    <m/>
    <m/>
    <s v=""/>
    <m/>
  </r>
  <r>
    <x v="1396"/>
    <m/>
    <x v="0"/>
    <m/>
    <m/>
    <s v=""/>
    <s v=""/>
    <m/>
    <s v="0"/>
    <m/>
    <m/>
    <s v=""/>
    <m/>
  </r>
  <r>
    <x v="1397"/>
    <n v="116"/>
    <x v="1"/>
    <s v="Z2.45'"/>
    <d v="1899-12-30T00:33:08"/>
    <n v="6.26"/>
    <d v="1899-12-30T00:05:18"/>
    <n v="149"/>
    <n v="43"/>
    <n v="220"/>
    <n v="21"/>
    <n v="1.0427733536788899"/>
    <s v="Brooks Defyance 11"/>
  </r>
  <r>
    <x v="1398"/>
    <m/>
    <x v="0"/>
    <m/>
    <m/>
    <s v=""/>
    <s v=""/>
    <m/>
    <s v="0"/>
    <m/>
    <m/>
    <s v=""/>
    <m/>
  </r>
  <r>
    <x v="1399"/>
    <m/>
    <x v="0"/>
    <m/>
    <m/>
    <s v=""/>
    <s v=""/>
    <m/>
    <s v="0"/>
    <m/>
    <m/>
    <s v=""/>
    <m/>
  </r>
  <r>
    <x v="1400"/>
    <n v="117"/>
    <x v="2"/>
    <s v="Z2.45'"/>
    <d v="1899-12-30T00:42:45"/>
    <n v="7.21"/>
    <d v="1899-12-30T00:05:56"/>
    <n v="135"/>
    <n v="46"/>
    <n v="198"/>
    <n v="20"/>
    <n v="1.0513383153580227"/>
    <s v="Brooks Defyance 11"/>
  </r>
  <r>
    <x v="1401"/>
    <m/>
    <x v="0"/>
    <m/>
    <m/>
    <s v=""/>
    <s v=""/>
    <m/>
    <s v="0"/>
    <m/>
    <m/>
    <s v=""/>
    <m/>
  </r>
  <r>
    <x v="1402"/>
    <m/>
    <x v="0"/>
    <m/>
    <m/>
    <s v=""/>
    <s v=""/>
    <m/>
    <s v="0"/>
    <m/>
    <m/>
    <s v=""/>
    <m/>
  </r>
  <r>
    <x v="1403"/>
    <n v="118"/>
    <x v="1"/>
    <s v="Z2.45'"/>
    <d v="1899-12-30T00:34:29"/>
    <n v="6.28"/>
    <d v="1899-12-30T00:05:29"/>
    <n v="145"/>
    <n v="42"/>
    <n v="211"/>
    <n v="11"/>
    <n v="1.0375487213613463"/>
    <s v="HOKA Clifton 7"/>
  </r>
  <r>
    <x v="1404"/>
    <m/>
    <x v="0"/>
    <m/>
    <m/>
    <m/>
    <s v=""/>
    <m/>
    <s v="0"/>
    <m/>
    <m/>
    <s v=""/>
    <m/>
  </r>
  <r>
    <x v="1405"/>
    <m/>
    <x v="0"/>
    <m/>
    <m/>
    <s v=""/>
    <s v=""/>
    <m/>
    <s v="0"/>
    <m/>
    <m/>
    <s v=""/>
    <m/>
  </r>
  <r>
    <x v="1406"/>
    <n v="119"/>
    <x v="1"/>
    <s v="Z2.60'"/>
    <d v="1899-12-30T01:02:27"/>
    <n v="11.6"/>
    <d v="1899-12-30T00:05:23"/>
    <n v="148"/>
    <n v="80"/>
    <n v="217"/>
    <n v="44"/>
    <n v="1.046190169840453"/>
    <s v="Brooks Defyance 11"/>
  </r>
  <r>
    <x v="1407"/>
    <m/>
    <x v="0"/>
    <m/>
    <m/>
    <s v=""/>
    <s v=""/>
    <m/>
    <s v="0"/>
    <m/>
    <m/>
    <s v=""/>
    <m/>
  </r>
  <r>
    <x v="1408"/>
    <n v="120"/>
    <x v="1"/>
    <s v="Z2.45'"/>
    <d v="1899-12-30T00:35:15"/>
    <n v="6.13"/>
    <d v="1899-12-30T00:05:45"/>
    <n v="148"/>
    <n v="39"/>
    <n v="204"/>
    <n v="19"/>
    <n v="1.0505222663193008"/>
    <s v="HOKA Clifton 7"/>
  </r>
  <r>
    <x v="1409"/>
    <m/>
    <x v="0"/>
    <m/>
    <m/>
    <s v=""/>
    <s v=""/>
    <m/>
    <s v="0"/>
    <m/>
    <m/>
    <s v=""/>
    <m/>
  </r>
  <r>
    <x v="1410"/>
    <n v="121"/>
    <x v="1"/>
    <s v="Z2.45'"/>
    <d v="1899-12-30T00:42:59"/>
    <n v="7.87"/>
    <d v="1899-12-30T00:05:28"/>
    <n v="146"/>
    <n v="53"/>
    <n v="215"/>
    <n v="19"/>
    <n v="1.0515750346109352"/>
    <s v="Brooks Defyance 11"/>
  </r>
  <r>
    <x v="1411"/>
    <m/>
    <x v="0"/>
    <m/>
    <m/>
    <s v=""/>
    <s v=""/>
    <m/>
    <s v="0"/>
    <m/>
    <m/>
    <s v=""/>
    <m/>
  </r>
  <r>
    <x v="1412"/>
    <m/>
    <x v="0"/>
    <m/>
    <m/>
    <s v=""/>
    <s v=""/>
    <m/>
    <s v="0"/>
    <m/>
    <m/>
    <s v=""/>
    <m/>
  </r>
  <r>
    <x v="1413"/>
    <m/>
    <x v="0"/>
    <m/>
    <m/>
    <s v=""/>
    <s v=""/>
    <m/>
    <s v="0"/>
    <m/>
    <m/>
    <s v=""/>
    <m/>
  </r>
  <r>
    <x v="1414"/>
    <n v="122"/>
    <x v="1"/>
    <s v="Z2.60'"/>
    <d v="1899-12-30T00:54:16"/>
    <n v="9.73"/>
    <d v="1899-12-30T00:05:35"/>
    <n v="146"/>
    <n v="65"/>
    <n v="211"/>
    <n v="37"/>
    <n v="1.0538509917013084"/>
    <s v="Brooks Defyance 11"/>
  </r>
  <r>
    <x v="1415"/>
    <m/>
    <x v="0"/>
    <m/>
    <m/>
    <s v=""/>
    <s v=""/>
    <m/>
    <s v="0"/>
    <m/>
    <m/>
    <s v=""/>
    <m/>
  </r>
  <r>
    <x v="1416"/>
    <m/>
    <x v="0"/>
    <m/>
    <m/>
    <s v=""/>
    <s v=""/>
    <m/>
    <s v="0"/>
    <m/>
    <m/>
    <s v=""/>
    <m/>
  </r>
  <r>
    <x v="1417"/>
    <m/>
    <x v="0"/>
    <m/>
    <m/>
    <s v=""/>
    <s v=""/>
    <m/>
    <s v="0"/>
    <m/>
    <m/>
    <s v=""/>
    <m/>
  </r>
  <r>
    <x v="1418"/>
    <m/>
    <x v="0"/>
    <m/>
    <m/>
    <s v=""/>
    <s v=""/>
    <m/>
    <s v="0"/>
    <m/>
    <m/>
    <s v=""/>
    <m/>
  </r>
  <r>
    <x v="1419"/>
    <n v="123"/>
    <x v="1"/>
    <s v="Z2.45'"/>
    <d v="1899-12-30T00:35:04"/>
    <n v="6.16"/>
    <d v="1899-12-30T00:05:42"/>
    <n v="138"/>
    <n v="40"/>
    <n v="206"/>
    <n v="17"/>
    <n v="1.050164760612522"/>
    <s v="Brooks Defyance 11"/>
  </r>
  <r>
    <x v="1420"/>
    <m/>
    <x v="0"/>
    <m/>
    <m/>
    <s v=""/>
    <s v=""/>
    <m/>
    <s v="0"/>
    <m/>
    <m/>
    <s v=""/>
    <m/>
  </r>
  <r>
    <x v="1421"/>
    <n v="124"/>
    <x v="2"/>
    <s v="Z2.60'"/>
    <d v="1899-12-30T01:00:03"/>
    <n v="10.4"/>
    <d v="1899-12-30T00:05:46"/>
    <n v="142"/>
    <n v="66"/>
    <n v="202"/>
    <n v="27"/>
    <n v="1.0444977037887484"/>
    <s v="Brooks Defyance 11"/>
  </r>
  <r>
    <x v="1422"/>
    <m/>
    <x v="0"/>
    <m/>
    <m/>
    <s v=""/>
    <s v=""/>
    <m/>
    <s v="0"/>
    <m/>
    <m/>
    <s v=""/>
    <m/>
  </r>
  <r>
    <x v="1423"/>
    <n v="125"/>
    <x v="1"/>
    <s v="Z2.60'"/>
    <d v="1899-12-30T00:56:31"/>
    <n v="10.6"/>
    <d v="1899-12-30T00:05:20"/>
    <n v="146"/>
    <n v="75"/>
    <n v="217"/>
    <n v="39"/>
    <n v="1.0361123627147282"/>
    <s v="Adizero Boston 8"/>
  </r>
  <r>
    <x v="1424"/>
    <m/>
    <x v="0"/>
    <m/>
    <m/>
    <s v=""/>
    <s v=""/>
    <m/>
    <s v="0"/>
    <m/>
    <m/>
    <s v=""/>
    <m/>
  </r>
  <r>
    <x v="1425"/>
    <m/>
    <x v="0"/>
    <m/>
    <m/>
    <s v=""/>
    <s v=""/>
    <m/>
    <s v="0"/>
    <m/>
    <m/>
    <s v=""/>
    <m/>
  </r>
  <r>
    <x v="1426"/>
    <n v="126"/>
    <x v="2"/>
    <s v="Z2.60'"/>
    <d v="1899-12-30T01:09:56"/>
    <n v="11.8"/>
    <d v="1899-12-30T00:05:56"/>
    <n v="141"/>
    <n v="72"/>
    <n v="196"/>
    <n v="45"/>
    <n v="1.0402428535289654"/>
    <s v="HOKA Clifton 7"/>
  </r>
  <r>
    <x v="1427"/>
    <m/>
    <x v="0"/>
    <m/>
    <m/>
    <s v=""/>
    <s v=""/>
    <m/>
    <s v="0"/>
    <m/>
    <m/>
    <s v=""/>
    <m/>
  </r>
  <r>
    <x v="1428"/>
    <n v="127"/>
    <x v="1"/>
    <s v="Z2.60'"/>
    <d v="1899-12-30T01:07:42"/>
    <n v="12.7"/>
    <d v="1899-12-30T00:05:20"/>
    <n v="150"/>
    <n v="87"/>
    <n v="221"/>
    <n v="44"/>
    <n v="1.0550029380655777"/>
    <s v="Brooks Defyance 11"/>
  </r>
  <r>
    <x v="1429"/>
    <m/>
    <x v="0"/>
    <m/>
    <m/>
    <s v=""/>
    <s v=""/>
    <m/>
    <s v="0"/>
    <m/>
    <m/>
    <s v=""/>
    <m/>
  </r>
  <r>
    <x v="1430"/>
    <m/>
    <x v="0"/>
    <m/>
    <m/>
    <s v=""/>
    <s v=""/>
    <m/>
    <s v="0"/>
    <m/>
    <m/>
    <s v=""/>
    <m/>
  </r>
  <r>
    <x v="1431"/>
    <n v="128"/>
    <x v="1"/>
    <s v="Z2.45'"/>
    <d v="1899-12-30T00:44:21"/>
    <n v="7.96"/>
    <d v="1899-12-30T00:05:34"/>
    <n v="140"/>
    <n v="52"/>
    <n v="211"/>
    <n v="26"/>
    <n v="1.0527844446111152"/>
    <s v="Brooks Defyance 11"/>
  </r>
  <r>
    <x v="1432"/>
    <m/>
    <x v="0"/>
    <m/>
    <m/>
    <s v=""/>
    <s v=""/>
    <m/>
    <s v="0"/>
    <m/>
    <m/>
    <s v=""/>
    <m/>
  </r>
  <r>
    <x v="1433"/>
    <n v="129"/>
    <x v="2"/>
    <s v="Z2.60'"/>
    <d v="1899-12-30T00:57:42"/>
    <n v="10.4"/>
    <d v="1899-12-30T00:05:33"/>
    <n v="141"/>
    <n v="68"/>
    <n v="210"/>
    <n v="33"/>
    <n v="1.0433696900114811"/>
    <s v="Brooks Defyance 11"/>
  </r>
  <r>
    <x v="1434"/>
    <m/>
    <x v="0"/>
    <m/>
    <m/>
    <s v=""/>
    <s v=""/>
    <m/>
    <s v="0"/>
    <m/>
    <m/>
    <s v=""/>
    <m/>
  </r>
  <r>
    <x v="1435"/>
    <n v="130"/>
    <x v="2"/>
    <s v="Z2.70'"/>
    <d v="1899-12-30T01:23:40"/>
    <n v="14.9"/>
    <d v="1899-12-30T00:05:37"/>
    <n v="144"/>
    <n v="96"/>
    <n v="209"/>
    <n v="64"/>
    <n v="1.0509666432935989"/>
    <s v="Brooks Defyance 11"/>
  </r>
  <r>
    <x v="1436"/>
    <m/>
    <x v="0"/>
    <m/>
    <m/>
    <s v=""/>
    <s v=""/>
    <m/>
    <s v="0"/>
    <m/>
    <m/>
    <s v=""/>
    <m/>
  </r>
  <r>
    <x v="1437"/>
    <n v="131"/>
    <x v="1"/>
    <s v="Z2.60'"/>
    <d v="1899-12-30T00:53:45"/>
    <n v="9.67"/>
    <d v="1899-12-30T00:05:34"/>
    <n v="143"/>
    <n v="64"/>
    <n v="212"/>
    <n v="35"/>
    <n v="1.0552717282254702"/>
    <s v="HOKA Clifton 7"/>
  </r>
  <r>
    <x v="1438"/>
    <n v="132"/>
    <x v="1"/>
    <s v="Z2.45'"/>
    <d v="1899-12-30T00:38:09"/>
    <n v="6.83"/>
    <d v="1899-12-30T00:05:35"/>
    <n v="135"/>
    <n v="44"/>
    <n v="212"/>
    <n v="23"/>
    <n v="1.0604401127597738"/>
    <s v="Brooks Defyance 11"/>
  </r>
  <r>
    <x v="1439"/>
    <m/>
    <x v="0"/>
    <m/>
    <m/>
    <s v=""/>
    <s v=""/>
    <m/>
    <s v="0"/>
    <m/>
    <m/>
    <s v=""/>
    <m/>
  </r>
  <r>
    <x v="1440"/>
    <n v="133"/>
    <x v="1"/>
    <s v="Z3.60'"/>
    <d v="1899-12-30T00:52:15"/>
    <n v="10.6"/>
    <d v="1899-12-30T00:04:56"/>
    <n v="151"/>
    <n v="76"/>
    <n v="235"/>
    <n v="38"/>
    <n v="1.0373486341875531"/>
    <s v="HOKA Carbon X"/>
  </r>
  <r>
    <x v="1441"/>
    <n v="134"/>
    <x v="2"/>
    <s v="Z2.60'"/>
    <d v="1899-12-30T01:03:14"/>
    <n v="10.6"/>
    <d v="1899-12-30T00:05:58"/>
    <n v="136"/>
    <n v="65"/>
    <n v="197"/>
    <n v="36"/>
    <n v="1.0524049563503237"/>
    <s v="Brooks Defyance 11"/>
  </r>
  <r>
    <x v="1442"/>
    <m/>
    <x v="0"/>
    <m/>
    <m/>
    <s v=""/>
    <s v=""/>
    <m/>
    <s v="0"/>
    <m/>
    <m/>
    <s v=""/>
    <m/>
  </r>
  <r>
    <x v="1443"/>
    <n v="135"/>
    <x v="1"/>
    <s v="Z2.45'"/>
    <d v="1899-12-30T00:39:11"/>
    <n v="7.02"/>
    <d v="1899-12-30T00:05:35"/>
    <n v="138"/>
    <n v="45"/>
    <n v="210"/>
    <n v="18"/>
    <n v="1.0496874601352213"/>
    <s v="HOKA Clifton 7"/>
  </r>
  <r>
    <x v="1444"/>
    <m/>
    <x v="0"/>
    <m/>
    <m/>
    <s v=""/>
    <s v=""/>
    <m/>
    <s v="0"/>
    <m/>
    <m/>
    <s v=""/>
    <m/>
  </r>
  <r>
    <x v="1445"/>
    <n v="136"/>
    <x v="1"/>
    <s v="Z2.60'"/>
    <d v="1899-12-30T00:55:01"/>
    <n v="10.1"/>
    <d v="1899-12-30T00:05:27"/>
    <n v="140"/>
    <n v="67"/>
    <n v="214"/>
    <n v="39"/>
    <n v="1.0439101522092509"/>
    <s v="HOKA Clifton 7"/>
  </r>
  <r>
    <x v="1446"/>
    <m/>
    <x v="0"/>
    <m/>
    <m/>
    <s v=""/>
    <s v=""/>
    <m/>
    <s v="0"/>
    <m/>
    <m/>
    <s v=""/>
    <m/>
  </r>
  <r>
    <x v="1447"/>
    <m/>
    <x v="0"/>
    <m/>
    <m/>
    <m/>
    <s v=""/>
    <m/>
    <s v="0"/>
    <m/>
    <m/>
    <s v=""/>
    <m/>
  </r>
  <r>
    <x v="1448"/>
    <m/>
    <x v="0"/>
    <m/>
    <m/>
    <m/>
    <s v=""/>
    <m/>
    <s v="0"/>
    <m/>
    <m/>
    <s v=""/>
    <m/>
  </r>
  <r>
    <x v="1449"/>
    <m/>
    <x v="0"/>
    <m/>
    <m/>
    <m/>
    <s v=""/>
    <m/>
    <s v="0"/>
    <m/>
    <m/>
    <s v=""/>
    <m/>
  </r>
  <r>
    <x v="1450"/>
    <m/>
    <x v="0"/>
    <m/>
    <m/>
    <m/>
    <s v=""/>
    <m/>
    <s v="0"/>
    <m/>
    <m/>
    <s v=""/>
    <m/>
  </r>
  <r>
    <x v="1451"/>
    <m/>
    <x v="0"/>
    <m/>
    <m/>
    <m/>
    <s v=""/>
    <m/>
    <s v="0"/>
    <m/>
    <m/>
    <s v=""/>
    <m/>
  </r>
  <r>
    <x v="1452"/>
    <m/>
    <x v="0"/>
    <m/>
    <m/>
    <m/>
    <s v=""/>
    <m/>
    <s v="0"/>
    <m/>
    <m/>
    <s v=""/>
    <m/>
  </r>
  <r>
    <x v="1453"/>
    <m/>
    <x v="0"/>
    <m/>
    <m/>
    <m/>
    <s v=""/>
    <m/>
    <s v="0"/>
    <m/>
    <m/>
    <s v=""/>
    <m/>
  </r>
  <r>
    <x v="1454"/>
    <m/>
    <x v="0"/>
    <m/>
    <m/>
    <s v=""/>
    <s v=""/>
    <m/>
    <s v="0"/>
    <m/>
    <m/>
    <s v=""/>
    <m/>
  </r>
  <r>
    <x v="1455"/>
    <m/>
    <x v="0"/>
    <m/>
    <m/>
    <s v=""/>
    <s v=""/>
    <m/>
    <s v="0"/>
    <m/>
    <m/>
    <s v=""/>
    <m/>
  </r>
  <r>
    <x v="1456"/>
    <m/>
    <x v="0"/>
    <m/>
    <m/>
    <s v=""/>
    <s v=""/>
    <m/>
    <s v="0"/>
    <m/>
    <m/>
    <s v=""/>
    <m/>
  </r>
  <r>
    <x v="1457"/>
    <m/>
    <x v="0"/>
    <m/>
    <m/>
    <s v=""/>
    <s v=""/>
    <m/>
    <s v="0"/>
    <m/>
    <m/>
    <s v=""/>
    <m/>
  </r>
  <r>
    <x v="1458"/>
    <m/>
    <x v="0"/>
    <m/>
    <m/>
    <s v=""/>
    <s v=""/>
    <m/>
    <s v="0"/>
    <m/>
    <m/>
    <s v=""/>
    <m/>
  </r>
  <r>
    <x v="1459"/>
    <n v="137"/>
    <x v="1"/>
    <s v="Z2.45'"/>
    <d v="1899-12-30T00:39:39"/>
    <n v="7.1"/>
    <d v="1899-12-30T00:05:35"/>
    <n v="149"/>
    <n v="46"/>
    <n v="210"/>
    <n v="21"/>
    <n v="1.0502207273491697"/>
    <s v="Mizuno"/>
  </r>
  <r>
    <x v="1460"/>
    <m/>
    <x v="0"/>
    <m/>
    <m/>
    <s v=""/>
    <s v=""/>
    <m/>
    <s v="0"/>
    <m/>
    <m/>
    <s v=""/>
    <m/>
  </r>
  <r>
    <x v="1461"/>
    <n v="138"/>
    <x v="1"/>
    <s v="Z3.60'"/>
    <d v="1899-12-30T00:51:43"/>
    <n v="10.199999999999999"/>
    <d v="1899-12-30T00:05:04"/>
    <n v="155"/>
    <n v="72"/>
    <n v="228"/>
    <n v="31"/>
    <n v="1.035241439859526"/>
    <s v="Adizero Boston 8"/>
  </r>
  <r>
    <x v="1462"/>
    <m/>
    <x v="0"/>
    <m/>
    <m/>
    <s v=""/>
    <s v=""/>
    <m/>
    <s v="0"/>
    <m/>
    <m/>
    <s v=""/>
    <m/>
  </r>
  <r>
    <x v="1463"/>
    <n v="1"/>
    <x v="1"/>
    <s v="Z2.60'"/>
    <d v="1899-12-30T00:58:59"/>
    <n v="10.7"/>
    <d v="1899-12-30T00:05:31"/>
    <n v="141"/>
    <n v="71"/>
    <n v="213"/>
    <n v="38"/>
    <n v="1.0514813781559493"/>
    <s v="Mizuno"/>
  </r>
  <r>
    <x v="1464"/>
    <m/>
    <x v="0"/>
    <m/>
    <m/>
    <s v=""/>
    <s v=""/>
    <m/>
    <s v="0"/>
    <m/>
    <m/>
    <s v=""/>
    <m/>
  </r>
  <r>
    <x v="1465"/>
    <n v="2"/>
    <x v="1"/>
    <s v="Z2.60'"/>
    <d v="1899-12-30T01:00:22"/>
    <n v="10.83"/>
    <d v="1899-12-30T00:05:34"/>
    <n v="149"/>
    <n v="71"/>
    <n v="212"/>
    <n v="40"/>
    <n v="1.0582323837874339"/>
    <s v="Brooks Defyance 11"/>
  </r>
  <r>
    <x v="1466"/>
    <m/>
    <x v="0"/>
    <m/>
    <m/>
    <s v=""/>
    <s v=""/>
    <m/>
    <s v="0"/>
    <m/>
    <m/>
    <s v=""/>
    <m/>
  </r>
  <r>
    <x v="1467"/>
    <n v="3"/>
    <x v="1"/>
    <s v="Z2.60'"/>
    <d v="1899-12-30T00:59:26"/>
    <n v="10.64"/>
    <d v="1899-12-30T00:05:35"/>
    <n v="141"/>
    <n v="68"/>
    <n v="210"/>
    <n v="39"/>
    <n v="1.0504713275726629"/>
    <s v="HOKA Clifton 7"/>
  </r>
  <r>
    <x v="1468"/>
    <m/>
    <x v="0"/>
    <m/>
    <m/>
    <s v=""/>
    <s v=""/>
    <m/>
    <s v="0"/>
    <m/>
    <m/>
    <s v=""/>
    <m/>
  </r>
  <r>
    <x v="1469"/>
    <n v="4"/>
    <x v="1"/>
    <s v="Z2.60'"/>
    <d v="1899-12-30T00:49:06"/>
    <n v="8.94"/>
    <d v="1899-12-30T00:05:30"/>
    <n v="143"/>
    <n v="58"/>
    <n v="214"/>
    <n v="28"/>
    <n v="1.0525292998096765"/>
    <s v="Mizuno"/>
  </r>
  <r>
    <x v="1470"/>
    <m/>
    <x v="0"/>
    <m/>
    <m/>
    <s v=""/>
    <s v=""/>
    <m/>
    <s v="0"/>
    <m/>
    <m/>
    <s v=""/>
    <m/>
  </r>
  <r>
    <x v="1471"/>
    <n v="5"/>
    <x v="1"/>
    <s v="Z2.45'"/>
    <d v="1899-12-30T00:45:47"/>
    <n v="8.31"/>
    <d v="1899-12-30T00:05:31"/>
    <n v="140"/>
    <n v="54"/>
    <n v="212"/>
    <n v="23"/>
    <n v="1.0459687123947048"/>
    <s v="HOKA Clifton 7"/>
  </r>
  <r>
    <x v="1472"/>
    <n v="6"/>
    <x v="1"/>
    <s v="Z2.60'"/>
    <d v="1899-12-30T00:55:35"/>
    <n v="10.14"/>
    <d v="1899-12-30T00:05:29"/>
    <n v="139"/>
    <n v="66"/>
    <n v="212"/>
    <n v="39"/>
    <n v="1.0406841531985043"/>
    <s v="Brooks Defyance 11"/>
  </r>
  <r>
    <x v="1473"/>
    <m/>
    <x v="0"/>
    <m/>
    <m/>
    <s v=""/>
    <s v=""/>
    <m/>
    <s v="0"/>
    <m/>
    <m/>
    <s v=""/>
    <m/>
  </r>
  <r>
    <x v="1474"/>
    <n v="7"/>
    <x v="1"/>
    <s v="Z2.60'"/>
    <d v="1899-12-30T00:53:43"/>
    <n v="10.130000000000001"/>
    <d v="1899-12-30T00:05:18"/>
    <n v="142"/>
    <n v="74"/>
    <n v="219"/>
    <n v="66"/>
    <n v="1.0399684695967348"/>
    <s v="Adizero Boston 8"/>
  </r>
  <r>
    <x v="1475"/>
    <m/>
    <x v="0"/>
    <m/>
    <m/>
    <s v=""/>
    <s v=""/>
    <m/>
    <s v="0"/>
    <m/>
    <m/>
    <s v=""/>
    <m/>
  </r>
  <r>
    <x v="1476"/>
    <n v="8"/>
    <x v="2"/>
    <s v="Z2.70'"/>
    <d v="1899-12-30T01:06:32"/>
    <n v="11.44"/>
    <d v="1899-12-30T00:05:49"/>
    <n v="139"/>
    <n v="70"/>
    <n v="201"/>
    <n v="38"/>
    <n v="1.0468531468531468"/>
    <s v="Mizuno"/>
  </r>
  <r>
    <x v="1477"/>
    <m/>
    <x v="0"/>
    <m/>
    <m/>
    <s v=""/>
    <s v=""/>
    <m/>
    <s v="0"/>
    <m/>
    <m/>
    <s v=""/>
    <m/>
  </r>
  <r>
    <x v="1478"/>
    <n v="9"/>
    <x v="1"/>
    <s v="Z2.60'"/>
    <d v="1899-12-30T00:55:37"/>
    <n v="10.14"/>
    <d v="1899-12-30T00:05:29"/>
    <n v="143"/>
    <n v="66"/>
    <n v="214"/>
    <n v="61"/>
    <n v="1.0511319143925342"/>
    <s v="Brooks Defyance 11"/>
  </r>
  <r>
    <x v="1479"/>
    <n v="10"/>
    <x v="1"/>
    <s v="Z2.60'"/>
    <d v="1899-12-30T00:56:02"/>
    <n v="10.44"/>
    <d v="1899-12-30T00:05:22"/>
    <n v="142"/>
    <n v="68"/>
    <n v="216"/>
    <n v="19"/>
    <n v="1.0381883685023161"/>
    <s v="HOKA Clifton 7"/>
  </r>
  <r>
    <x v="1480"/>
    <m/>
    <x v="0"/>
    <m/>
    <m/>
    <s v=""/>
    <s v=""/>
    <m/>
    <s v="0"/>
    <m/>
    <m/>
    <s v=""/>
    <m/>
  </r>
  <r>
    <x v="1481"/>
    <n v="11"/>
    <x v="1"/>
    <s v="Z3.60'"/>
    <d v="1899-12-30T00:54:40"/>
    <n v="10.65"/>
    <d v="1899-12-30T00:05:08"/>
    <n v="151"/>
    <n v="75"/>
    <n v="224"/>
    <n v="48"/>
    <n v="1.029668558615374"/>
    <s v="Adizero Boston 8"/>
  </r>
  <r>
    <x v="1482"/>
    <m/>
    <x v="0"/>
    <m/>
    <m/>
    <s v=""/>
    <s v=""/>
    <m/>
    <s v="0"/>
    <m/>
    <m/>
    <s v=""/>
    <m/>
  </r>
  <r>
    <x v="1483"/>
    <n v="12"/>
    <x v="2"/>
    <s v="Z2.70'"/>
    <d v="1899-12-30T01:09:20"/>
    <n v="12.42"/>
    <d v="1899-12-30T00:05:35"/>
    <n v="142"/>
    <n v="79"/>
    <n v="208"/>
    <n v="50"/>
    <n v="1.0398250294421609"/>
    <s v="Mizuno"/>
  </r>
  <r>
    <x v="1484"/>
    <m/>
    <x v="0"/>
    <m/>
    <m/>
    <s v=""/>
    <s v=""/>
    <m/>
    <s v="0"/>
    <m/>
    <m/>
    <s v=""/>
    <m/>
  </r>
  <r>
    <x v="1485"/>
    <n v="13"/>
    <x v="1"/>
    <s v="Z3.60'"/>
    <d v="1899-12-30T00:54:47"/>
    <n v="10.63"/>
    <d v="1899-12-30T00:05:09"/>
    <n v="148"/>
    <n v="83.722499999999997"/>
    <n v="225"/>
    <n v="35"/>
    <n v="1.0384226562390304"/>
    <s v="Brooks Defyance 11"/>
  </r>
  <r>
    <x v="1486"/>
    <n v="14"/>
    <x v="1"/>
    <s v="Z2.45'"/>
    <d v="1899-12-30T00:48:30"/>
    <n v="8.51"/>
    <d v="1899-12-30T00:05:42"/>
    <n v="133"/>
    <n v="54"/>
    <n v="206"/>
    <n v="24"/>
    <n v="1.0513706438430643"/>
    <s v="HOKA Clifton 7"/>
  </r>
  <r>
    <x v="1487"/>
    <m/>
    <x v="0"/>
    <m/>
    <m/>
    <s v=""/>
    <s v=""/>
    <m/>
    <s v="0"/>
    <m/>
    <m/>
    <s v=""/>
    <m/>
  </r>
  <r>
    <x v="1488"/>
    <n v="15"/>
    <x v="1"/>
    <s v="Z3.60'"/>
    <d v="1899-12-30T01:02:02"/>
    <n v="12.74"/>
    <d v="1899-12-30T00:04:52"/>
    <n v="150"/>
    <n v="92"/>
    <n v="236"/>
    <n v="54"/>
    <n v="1.0290681599850042"/>
    <s v="HOKA Carbon X"/>
  </r>
  <r>
    <x v="1489"/>
    <m/>
    <x v="0"/>
    <m/>
    <m/>
    <s v=""/>
    <s v=""/>
    <m/>
    <s v="0"/>
    <m/>
    <m/>
    <s v=""/>
    <m/>
  </r>
  <r>
    <x v="1490"/>
    <n v="16"/>
    <x v="1"/>
    <s v="Z2.90'"/>
    <d v="1899-12-30T01:26:03"/>
    <n v="16.16"/>
    <d v="1899-12-30T00:05:19"/>
    <n v="142"/>
    <n v="108"/>
    <n v="220"/>
    <n v="59"/>
    <n v="1.0490800945766221"/>
    <s v="Mizuno"/>
  </r>
  <r>
    <x v="1491"/>
    <m/>
    <x v="0"/>
    <m/>
    <m/>
    <s v=""/>
    <s v=""/>
    <m/>
    <s v="0"/>
    <m/>
    <m/>
    <s v=""/>
    <m/>
  </r>
  <r>
    <x v="1492"/>
    <n v="17"/>
    <x v="1"/>
    <s v="Z2.45'"/>
    <d v="1899-12-30T00:44:47"/>
    <n v="7.84"/>
    <d v="1899-12-30T00:05:43"/>
    <n v="133"/>
    <n v="49"/>
    <n v="206"/>
    <n v="33"/>
    <n v="1.0537656107219007"/>
    <s v="Brooks Defyance 11"/>
  </r>
  <r>
    <x v="1493"/>
    <m/>
    <x v="0"/>
    <m/>
    <m/>
    <s v=""/>
    <s v=""/>
    <m/>
    <s v="0"/>
    <m/>
    <m/>
    <s v=""/>
    <m/>
  </r>
  <r>
    <x v="1494"/>
    <n v="18"/>
    <x v="1"/>
    <s v="Z2.60'"/>
    <d v="1899-12-30T00:50:09"/>
    <n v="9.25"/>
    <d v="1899-12-30T00:05:25"/>
    <n v="142"/>
    <n v="59"/>
    <n v="214"/>
    <n v="39"/>
    <n v="1.0390092779346511"/>
    <s v="HOKA Clifton 7"/>
  </r>
  <r>
    <x v="1495"/>
    <m/>
    <x v="0"/>
    <m/>
    <m/>
    <s v=""/>
    <s v=""/>
    <m/>
    <s v="0"/>
    <m/>
    <m/>
    <s v=""/>
    <m/>
  </r>
  <r>
    <x v="1496"/>
    <n v="19"/>
    <x v="2"/>
    <s v="Z2.60'"/>
    <d v="1899-12-30T00:49:54"/>
    <n v="9.07"/>
    <d v="1899-12-30T00:05:30"/>
    <n v="139"/>
    <n v="59"/>
    <n v="213"/>
    <n v="28"/>
    <n v="1.0494199345060802"/>
    <s v="Mizuno"/>
  </r>
  <r>
    <x v="1497"/>
    <m/>
    <x v="0"/>
    <m/>
    <m/>
    <s v=""/>
    <s v=""/>
    <m/>
    <s v="0"/>
    <m/>
    <m/>
    <s v=""/>
    <m/>
  </r>
  <r>
    <x v="1498"/>
    <m/>
    <x v="0"/>
    <m/>
    <m/>
    <s v=""/>
    <s v=""/>
    <m/>
    <s v="0"/>
    <m/>
    <m/>
    <s v=""/>
    <m/>
  </r>
  <r>
    <x v="1499"/>
    <n v="20"/>
    <x v="1"/>
    <s v="Z2.60'"/>
    <d v="1899-12-30T00:55:27"/>
    <n v="10.130000000000001"/>
    <d v="1899-12-30T00:05:28"/>
    <n v="141"/>
    <n v="65"/>
    <n v="214"/>
    <n v="63"/>
    <n v="1.0490165166271308"/>
    <s v="Brooks Defyance 11"/>
  </r>
  <r>
    <x v="1500"/>
    <n v="21"/>
    <x v="1"/>
    <s v="Z6.6x90''"/>
    <d v="1899-12-30T00:43:07"/>
    <n v="7.94"/>
    <d v="1899-12-30T00:05:26"/>
    <n v="140"/>
    <n v="57"/>
    <n v="210"/>
    <n v="26"/>
    <n v="1.0212226023534718"/>
    <s v="HOKA Carbon X"/>
  </r>
  <r>
    <x v="1501"/>
    <n v="22"/>
    <x v="1"/>
    <s v="Z2.60'"/>
    <d v="1899-12-30T00:57:24"/>
    <n v="10.07"/>
    <d v="1899-12-30T00:05:42"/>
    <n v="135"/>
    <n v="64"/>
    <n v="207"/>
    <n v="37"/>
    <n v="1.0566452741258949"/>
    <s v="HOKA Clifton 7"/>
  </r>
  <r>
    <x v="1502"/>
    <n v="23"/>
    <x v="1"/>
    <s v="Z2.70'"/>
    <d v="1899-12-30T01:05:52"/>
    <n v="12.72"/>
    <d v="1899-12-30T00:05:11"/>
    <n v="142"/>
    <n v="88"/>
    <n v="227"/>
    <n v="52"/>
    <n v="1.052642448136675"/>
    <s v="Mizuno"/>
  </r>
  <r>
    <x v="1503"/>
    <m/>
    <x v="0"/>
    <m/>
    <m/>
    <s v=""/>
    <s v=""/>
    <m/>
    <s v="0"/>
    <m/>
    <m/>
    <s v=""/>
    <m/>
  </r>
  <r>
    <x v="1504"/>
    <n v="24"/>
    <x v="1"/>
    <s v="Z2.100'"/>
    <d v="1899-12-30T01:38:38"/>
    <n v="18.14"/>
    <d v="1899-12-30T00:05:26"/>
    <n v="144"/>
    <n v="118"/>
    <n v="215"/>
    <n v="80"/>
    <n v="1.0468906843950039"/>
    <s v="Mizuno"/>
  </r>
  <r>
    <x v="1505"/>
    <m/>
    <x v="0"/>
    <m/>
    <m/>
    <s v=""/>
    <s v=""/>
    <m/>
    <s v="0"/>
    <m/>
    <m/>
    <s v=""/>
    <m/>
  </r>
  <r>
    <x v="1506"/>
    <n v="25"/>
    <x v="1"/>
    <s v="Z2.60'"/>
    <d v="1899-12-30T00:54:21"/>
    <n v="10.14"/>
    <d v="1899-12-30T00:05:22"/>
    <n v="140"/>
    <n v="67"/>
    <n v="219"/>
    <n v="38"/>
    <n v="1.0511922635343991"/>
    <s v="Brooks Defyance 11"/>
  </r>
  <r>
    <x v="1507"/>
    <n v="26"/>
    <x v="1"/>
    <s v="Z6.6x90''"/>
    <d v="1899-12-30T00:48:59"/>
    <n v="8.16"/>
    <d v="1899-12-30T00:06:00"/>
    <n v="140"/>
    <n v="59"/>
    <n v="188"/>
    <n v="24"/>
    <n v="1.0106306701785195"/>
    <s v="HOKA Carbon X"/>
  </r>
  <r>
    <x v="1508"/>
    <n v="27"/>
    <x v="1"/>
    <s v="Z1.45'"/>
    <d v="1899-12-30T00:44:35"/>
    <n v="7.85"/>
    <d v="1899-12-30T00:05:41"/>
    <n v="131"/>
    <n v="49"/>
    <n v="206"/>
    <n v="22"/>
    <n v="1.0477231676014831"/>
    <s v="HOKA Clifton 7"/>
  </r>
  <r>
    <x v="1509"/>
    <m/>
    <x v="0"/>
    <m/>
    <m/>
    <s v=""/>
    <s v=""/>
    <m/>
    <s v="0"/>
    <m/>
    <m/>
    <s v=""/>
    <m/>
  </r>
  <r>
    <x v="1510"/>
    <n v="28"/>
    <x v="1"/>
    <s v="Z2.70'"/>
    <d v="1899-12-30T01:09:46"/>
    <n v="13.24"/>
    <d v="1899-12-30T00:05:16"/>
    <n v="137"/>
    <n v="99"/>
    <n v="234"/>
    <n v="56"/>
    <n v="1.1042115705460613"/>
    <s v="Mizuno"/>
  </r>
  <r>
    <x v="1511"/>
    <n v="29"/>
    <x v="1"/>
    <s v="Z2.110'"/>
    <d v="1899-12-30T01:49:16"/>
    <n v="20"/>
    <d v="1899-12-30T00:05:28"/>
    <n v="137"/>
    <n v="147"/>
    <n v="228"/>
    <n v="120"/>
    <n v="1.1154985074626866"/>
    <s v="Mizuno"/>
  </r>
  <r>
    <x v="1512"/>
    <m/>
    <x v="0"/>
    <m/>
    <m/>
    <s v=""/>
    <s v=""/>
    <m/>
    <s v="0"/>
    <m/>
    <m/>
    <s v=""/>
    <m/>
  </r>
  <r>
    <x v="1513"/>
    <m/>
    <x v="0"/>
    <m/>
    <m/>
    <s v=""/>
    <s v=""/>
    <m/>
    <s v="0"/>
    <m/>
    <m/>
    <s v=""/>
    <m/>
  </r>
  <r>
    <x v="1514"/>
    <n v="30"/>
    <x v="1"/>
    <s v="Z2.70'"/>
    <d v="1899-12-30T01:07:52"/>
    <n v="12.57"/>
    <d v="1899-12-30T00:05:24"/>
    <n v="135"/>
    <n v="93"/>
    <n v="230"/>
    <n v="61"/>
    <n v="1.1120530996568472"/>
    <s v="Brooks Defyance 11"/>
  </r>
  <r>
    <x v="1515"/>
    <n v="31"/>
    <x v="1"/>
    <s v="Z2.60'"/>
    <d v="1899-12-30T00:55:20"/>
    <n v="10.199999999999999"/>
    <d v="1899-12-30T00:05:25"/>
    <n v="135"/>
    <n v="73"/>
    <n v="226"/>
    <n v="37"/>
    <n v="1.0979221539362014"/>
    <s v="HOKA Clifton 7"/>
  </r>
  <r>
    <x v="1516"/>
    <n v="32"/>
    <x v="1"/>
    <s v="Z4.4x5'"/>
    <d v="1899-12-30T01:01:47"/>
    <n v="12.3"/>
    <d v="1899-12-30T00:05:01"/>
    <n v="152"/>
    <n v="98"/>
    <n v="244"/>
    <n v="50"/>
    <n v="1.097570683169518"/>
    <s v="HOKA Carbon X"/>
  </r>
  <r>
    <x v="1517"/>
    <n v="33"/>
    <x v="1"/>
    <s v="Z2.45'"/>
    <d v="1899-12-30T00:43:26"/>
    <n v="7.93"/>
    <d v="1899-12-30T00:05:29"/>
    <n v="137"/>
    <n v="54"/>
    <n v="224"/>
    <n v="25"/>
    <n v="1.0986881481620898"/>
    <s v="Mizuno"/>
  </r>
  <r>
    <x v="1518"/>
    <m/>
    <x v="0"/>
    <m/>
    <m/>
    <s v=""/>
    <s v=""/>
    <m/>
    <s v="0"/>
    <m/>
    <m/>
    <s v=""/>
    <m/>
  </r>
  <r>
    <x v="1519"/>
    <n v="34"/>
    <x v="2"/>
    <s v="Z2.2h"/>
    <d v="1899-12-30T01:58:45"/>
    <n v="21.18"/>
    <d v="1899-12-30T00:05:36"/>
    <n v="137"/>
    <n v="137"/>
    <n v="216"/>
    <n v="107"/>
    <n v="1.0845207390807998"/>
    <s v="Mizuno"/>
  </r>
  <r>
    <x v="1520"/>
    <m/>
    <x v="0"/>
    <m/>
    <m/>
    <s v=""/>
    <s v=""/>
    <m/>
    <s v="0"/>
    <m/>
    <m/>
    <s v=""/>
    <m/>
  </r>
  <r>
    <x v="1521"/>
    <n v="35"/>
    <x v="1"/>
    <s v="Z2.70'"/>
    <d v="1899-12-30T01:06:10"/>
    <n v="12.5"/>
    <d v="1899-12-30T00:05:18"/>
    <n v="136"/>
    <n v="88"/>
    <n v="232"/>
    <n v="54"/>
    <n v="1.0997492537313434"/>
    <s v="HOKA Clifton 7"/>
  </r>
  <r>
    <x v="1522"/>
    <n v="36"/>
    <x v="1"/>
    <s v="Z6.8x90''"/>
    <d v="1899-12-30T00:45:04"/>
    <n v="8.09"/>
    <d v="1899-12-30T00:05:34"/>
    <n v="135"/>
    <n v="60"/>
    <n v="211"/>
    <n v="13"/>
    <n v="1.0526059443204254"/>
    <s v="HOKA Carbon X"/>
  </r>
  <r>
    <x v="1523"/>
    <m/>
    <x v="0"/>
    <m/>
    <m/>
    <s v=""/>
    <s v=""/>
    <m/>
    <s v="0"/>
    <m/>
    <m/>
    <s v=""/>
    <m/>
  </r>
  <r>
    <x v="1524"/>
    <n v="37"/>
    <x v="1"/>
    <s v="trail"/>
    <d v="1899-12-30T01:10:31"/>
    <n v="8.9700000000000006"/>
    <d v="1899-12-30T00:07:52"/>
    <n v="142"/>
    <n v="74"/>
    <n v="192"/>
    <n v="501"/>
    <m/>
    <s v="Innov-8 Terraultra"/>
  </r>
  <r>
    <x v="1525"/>
    <m/>
    <x v="0"/>
    <m/>
    <m/>
    <s v=""/>
    <s v=""/>
    <m/>
    <s v="0"/>
    <m/>
    <m/>
    <s v=""/>
    <m/>
  </r>
  <r>
    <x v="1526"/>
    <n v="38"/>
    <x v="2"/>
    <s v="Z1.45'"/>
    <d v="1899-12-30T00:32:22"/>
    <n v="5.46"/>
    <d v="1899-12-30T00:05:56"/>
    <n v="126"/>
    <n v="32"/>
    <n v="202"/>
    <n v="8"/>
    <n v="1.0723415887594994"/>
    <s v="Mizuno"/>
  </r>
  <r>
    <x v="1527"/>
    <m/>
    <x v="0"/>
    <m/>
    <m/>
    <s v=""/>
    <s v=""/>
    <m/>
    <s v="0"/>
    <m/>
    <m/>
    <s v=""/>
    <m/>
  </r>
  <r>
    <x v="1528"/>
    <n v="39"/>
    <x v="1"/>
    <s v="Z2.60'"/>
    <d v="1899-12-30T00:56:44"/>
    <n v="10.119999999999999"/>
    <d v="1899-12-30T00:05:36"/>
    <n v="132"/>
    <n v="67"/>
    <n v="219"/>
    <n v="33"/>
    <n v="1.0994572591587517"/>
    <s v="Mizuno"/>
  </r>
  <r>
    <x v="1529"/>
    <m/>
    <x v="0"/>
    <m/>
    <m/>
    <s v=""/>
    <s v=""/>
    <m/>
    <s v="0"/>
    <m/>
    <m/>
    <s v=""/>
    <m/>
  </r>
  <r>
    <x v="1530"/>
    <n v="40"/>
    <x v="1"/>
    <s v="Z2.60'"/>
    <d v="1899-12-30T00:55:08"/>
    <n v="10.119999999999999"/>
    <d v="1899-12-30T00:05:27"/>
    <n v="136"/>
    <n v="69"/>
    <n v="226"/>
    <n v="34"/>
    <n v="1.1026016164238097"/>
    <s v="Brooks Defyance 11"/>
  </r>
  <r>
    <x v="1531"/>
    <m/>
    <x v="0"/>
    <m/>
    <m/>
    <s v=""/>
    <s v=""/>
    <m/>
    <s v="0"/>
    <m/>
    <m/>
    <s v=""/>
    <m/>
  </r>
  <r>
    <x v="1532"/>
    <n v="41"/>
    <x v="1"/>
    <s v="Z2.90'"/>
    <d v="1899-12-30T01:26:15"/>
    <n v="15.54"/>
    <d v="1899-12-30T00:05:33"/>
    <n v="139"/>
    <n v="104"/>
    <n v="221"/>
    <n v="63"/>
    <n v="1.0984411917247741"/>
    <s v="Mizuno"/>
  </r>
  <r>
    <x v="1533"/>
    <m/>
    <x v="0"/>
    <m/>
    <m/>
    <s v=""/>
    <s v=""/>
    <m/>
    <s v="0"/>
    <m/>
    <m/>
    <s v=""/>
    <m/>
  </r>
  <r>
    <x v="1534"/>
    <n v="42"/>
    <x v="1"/>
    <s v="Z5.5x3'"/>
    <d v="1899-12-30T00:53:46"/>
    <n v="9.74"/>
    <d v="1899-12-30T00:05:31"/>
    <n v="141"/>
    <n v="75"/>
    <n v="213"/>
    <n v="30"/>
    <n v="1.0529559594225997"/>
    <s v="HOKA Carbon X"/>
  </r>
  <r>
    <x v="1535"/>
    <n v="43"/>
    <x v="1"/>
    <s v="Z1.45'"/>
    <d v="1899-12-30T00:46:38"/>
    <n v="8.11"/>
    <d v="1899-12-30T00:05:45"/>
    <n v="127"/>
    <n v="52"/>
    <n v="212"/>
    <n v="23"/>
    <n v="1.0916612989307468"/>
    <s v="HOKA Clifton 7"/>
  </r>
  <r>
    <x v="1536"/>
    <m/>
    <x v="0"/>
    <m/>
    <m/>
    <s v=""/>
    <s v=""/>
    <m/>
    <s v="0"/>
    <m/>
    <m/>
    <s v=""/>
    <m/>
  </r>
  <r>
    <x v="1537"/>
    <n v="44"/>
    <x v="1"/>
    <s v="Z4.4x6'"/>
    <d v="1899-12-30T00:48:24"/>
    <n v="9.75"/>
    <d v="1899-12-30T00:04:58"/>
    <n v="152"/>
    <n v="74"/>
    <n v="239"/>
    <n v="17"/>
    <n v="1.0624661308840413"/>
    <s v="HOKA Carbon X"/>
  </r>
  <r>
    <x v="1538"/>
    <n v="45"/>
    <x v="1"/>
    <s v="Z1.45'"/>
    <d v="1899-12-30T00:44:34"/>
    <n v="8.09"/>
    <d v="1899-12-30T00:05:31"/>
    <n v="129"/>
    <n v="53"/>
    <n v="219"/>
    <n v="21"/>
    <n v="1.0803940741287383"/>
    <s v="HOKA Clifton 7"/>
  </r>
  <r>
    <x v="1539"/>
    <m/>
    <x v="0"/>
    <m/>
    <m/>
    <s v=""/>
    <s v=""/>
    <m/>
    <s v="0"/>
    <m/>
    <m/>
    <s v=""/>
    <m/>
  </r>
  <r>
    <x v="1540"/>
    <n v="46"/>
    <x v="1"/>
    <s v="Z2.100'"/>
    <d v="1899-12-30T01:36:46"/>
    <n v="17.579999999999998"/>
    <d v="1899-12-30T00:05:30"/>
    <n v="134"/>
    <n v="122"/>
    <n v="222"/>
    <n v="58"/>
    <n v="1.0942998318985278"/>
    <s v="Mizuno"/>
  </r>
  <r>
    <x v="1541"/>
    <m/>
    <x v="0"/>
    <m/>
    <m/>
    <s v=""/>
    <s v=""/>
    <m/>
    <s v="0"/>
    <m/>
    <m/>
    <s v=""/>
    <m/>
  </r>
  <r>
    <x v="1542"/>
    <n v="47"/>
    <x v="1"/>
    <s v="Z2.70'"/>
    <d v="1899-12-30T01:06:55"/>
    <n v="12.71"/>
    <d v="1899-12-30T00:05:16"/>
    <n v="143"/>
    <n v="90"/>
    <n v="234"/>
    <n v="50"/>
    <n v="1.1032680813086415"/>
    <s v="Brooks Defyance 11"/>
  </r>
  <r>
    <x v="1543"/>
    <n v="48"/>
    <x v="1"/>
    <s v="Z5.6x3'"/>
    <d v="1899-12-30T01:03:06"/>
    <n v="12.38"/>
    <d v="1899-12-30T00:05:06"/>
    <n v="144"/>
    <n v="96"/>
    <n v="234"/>
    <n v="22"/>
    <n v="1.0680732042533696"/>
    <s v="HOKA Carbon X"/>
  </r>
  <r>
    <x v="1544"/>
    <n v="49"/>
    <x v="1"/>
    <s v="Z2.60'"/>
    <d v="1899-12-30T00:57:07"/>
    <n v="10.7"/>
    <d v="1899-12-30T00:05:20"/>
    <n v="140"/>
    <n v="72"/>
    <n v="226"/>
    <n v="32"/>
    <n v="1.0803487236713629"/>
    <s v="HOKA Clifton 7"/>
  </r>
  <r>
    <x v="1545"/>
    <m/>
    <x v="0"/>
    <m/>
    <m/>
    <s v=""/>
    <s v=""/>
    <m/>
    <s v="0"/>
    <m/>
    <m/>
    <s v=""/>
    <m/>
  </r>
  <r>
    <x v="1546"/>
    <n v="50"/>
    <x v="1"/>
    <s v="trail"/>
    <d v="1899-12-30T02:07:16"/>
    <n v="15.09"/>
    <d v="1899-12-30T00:08:26"/>
    <n v="135"/>
    <n v="97"/>
    <n v="160"/>
    <n v="668"/>
    <m/>
    <s v="Innov-8 Terraultra"/>
  </r>
  <r>
    <x v="1547"/>
    <m/>
    <x v="0"/>
    <m/>
    <m/>
    <s v=""/>
    <s v=""/>
    <m/>
    <s v="0"/>
    <m/>
    <m/>
    <s v=""/>
    <m/>
  </r>
  <r>
    <x v="1548"/>
    <n v="51"/>
    <x v="1"/>
    <s v="Z2.60'"/>
    <d v="1899-12-30T00:56:56"/>
    <n v="10.119999999999999"/>
    <d v="1899-12-30T00:05:38"/>
    <n v="133"/>
    <n v="64"/>
    <n v="217"/>
    <n v="33"/>
    <n v="1.0932570349831867"/>
    <s v="HOKA Clifton 7"/>
  </r>
  <r>
    <x v="1549"/>
    <m/>
    <x v="0"/>
    <m/>
    <m/>
    <s v=""/>
    <s v=""/>
    <m/>
    <s v="0"/>
    <m/>
    <m/>
    <s v=""/>
    <m/>
  </r>
  <r>
    <x v="1550"/>
    <n v="52"/>
    <x v="1"/>
    <s v="Z4.4x8'"/>
    <d v="1899-12-30T01:04:22"/>
    <n v="12.63"/>
    <d v="1899-12-30T00:05:06"/>
    <n v="145"/>
    <n v="89"/>
    <n v="232"/>
    <n v="21"/>
    <n v="1.0588199146783897"/>
    <s v="HOKA Carbon X"/>
  </r>
  <r>
    <x v="1551"/>
    <n v="53"/>
    <x v="1"/>
    <s v="Z1.45'"/>
    <d v="1899-12-30T00:40:51"/>
    <n v="7.25"/>
    <d v="1899-12-30T00:05:38"/>
    <n v="130"/>
    <n v="46"/>
    <n v="217"/>
    <n v="27"/>
    <n v="1.0949397838394237"/>
    <s v="Brooks Defyance 11"/>
  </r>
  <r>
    <x v="1552"/>
    <n v="54"/>
    <x v="1"/>
    <s v="Z2.60'"/>
    <d v="1899-12-30T01:03:19"/>
    <n v="12.23"/>
    <d v="1899-12-30T00:05:11"/>
    <n v="138"/>
    <n v="87"/>
    <n v="239"/>
    <n v="40"/>
    <n v="1.1080667797561659"/>
    <s v="Adidas Solarglide 5"/>
  </r>
  <r>
    <x v="1553"/>
    <m/>
    <x v="0"/>
    <m/>
    <m/>
    <s v=""/>
    <s v=""/>
    <m/>
    <s v="0"/>
    <m/>
    <m/>
    <s v=""/>
    <m/>
  </r>
  <r>
    <x v="1554"/>
    <n v="55"/>
    <x v="1"/>
    <s v="Z2.2h"/>
    <d v="1899-12-30T01:51:51"/>
    <n v="21.4"/>
    <d v="1899-12-30T00:05:14"/>
    <n v="142"/>
    <n v="144"/>
    <n v="232"/>
    <n v="91"/>
    <n v="1.0858920351513461"/>
    <s v="Mizuno"/>
  </r>
  <r>
    <x v="1555"/>
    <m/>
    <x v="0"/>
    <m/>
    <m/>
    <s v=""/>
    <s v=""/>
    <m/>
    <s v="0"/>
    <m/>
    <m/>
    <s v=""/>
    <m/>
  </r>
  <r>
    <x v="1556"/>
    <n v="56"/>
    <x v="1"/>
    <s v="Z2.60'"/>
    <d v="1899-12-30T00:53:40"/>
    <n v="10.1"/>
    <d v="1899-12-30T00:05:19"/>
    <m/>
    <n v="67"/>
    <n v="230"/>
    <n v="43"/>
    <n v="1.0944288458696616"/>
    <s v="HOKA Rincon 3"/>
  </r>
  <r>
    <x v="1557"/>
    <n v="57"/>
    <x v="1"/>
    <s v="FS"/>
    <d v="1899-12-30T01:03:29"/>
    <n v="12.41"/>
    <d v="1899-12-30T00:05:07"/>
    <n v="142"/>
    <n v="89"/>
    <n v="237"/>
    <n v="50"/>
    <n v="1.0857072413917521"/>
    <s v="Adizero Boston 8"/>
  </r>
  <r>
    <x v="1558"/>
    <m/>
    <x v="0"/>
    <m/>
    <m/>
    <s v=""/>
    <s v=""/>
    <m/>
    <s v="0"/>
    <m/>
    <m/>
    <s v=""/>
    <m/>
  </r>
  <r>
    <x v="1559"/>
    <n v="58"/>
    <x v="1"/>
    <s v="Z2.60'"/>
    <d v="1899-12-30T00:52:31"/>
    <n v="10.08"/>
    <d v="1899-12-30T00:05:13"/>
    <n v="137"/>
    <n v="68"/>
    <n v="234"/>
    <n v="37"/>
    <n v="1.0917643923240936"/>
    <s v="Adidas Solarglide 5"/>
  </r>
  <r>
    <x v="1560"/>
    <m/>
    <x v="0"/>
    <m/>
    <m/>
    <s v=""/>
    <s v=""/>
    <m/>
    <s v="0"/>
    <m/>
    <m/>
    <s v=""/>
    <m/>
  </r>
  <r>
    <x v="1561"/>
    <n v="59"/>
    <x v="1"/>
    <s v="Z2.60'"/>
    <d v="1899-12-30T00:55:02"/>
    <n v="10.44"/>
    <d v="1899-12-30T00:05:16"/>
    <n v="136"/>
    <n v="71"/>
    <n v="234"/>
    <n v="35"/>
    <n v="1.1046320123520328"/>
    <s v="HOKA Rincon 3"/>
  </r>
  <r>
    <x v="1562"/>
    <m/>
    <x v="0"/>
    <m/>
    <m/>
    <s v=""/>
    <s v=""/>
    <m/>
    <s v="0"/>
    <m/>
    <m/>
    <s v=""/>
    <m/>
  </r>
  <r>
    <x v="1563"/>
    <n v="60"/>
    <x v="1"/>
    <s v="Z2.60'"/>
    <d v="1899-12-30T00:54:41"/>
    <n v="10.33"/>
    <d v="1899-12-30T00:05:18"/>
    <n v="142"/>
    <n v="69"/>
    <n v="231"/>
    <n v="35"/>
    <n v="1.0950730375229372"/>
    <s v="HOKA Clifton 7"/>
  </r>
  <r>
    <x v="1564"/>
    <m/>
    <x v="0"/>
    <m/>
    <m/>
    <s v=""/>
    <s v=""/>
    <m/>
    <s v="0"/>
    <m/>
    <m/>
    <s v=""/>
    <m/>
  </r>
  <r>
    <x v="1565"/>
    <n v="61"/>
    <x v="1"/>
    <s v="Z2.60'"/>
    <d v="1899-12-30T00:55:21"/>
    <n v="10.09"/>
    <d v="1899-12-30T00:05:29"/>
    <n v="139"/>
    <n v="66"/>
    <n v="225"/>
    <n v="33"/>
    <n v="1.1053133736668492"/>
    <s v="Brooks Defyance 11"/>
  </r>
  <r>
    <x v="1566"/>
    <m/>
    <x v="0"/>
    <m/>
    <m/>
    <s v=""/>
    <s v=""/>
    <m/>
    <s v="0"/>
    <m/>
    <m/>
    <s v=""/>
    <m/>
  </r>
  <r>
    <x v="1567"/>
    <n v="62"/>
    <x v="1"/>
    <s v="Z2.60'"/>
    <d v="1899-12-30T00:52:21"/>
    <n v="9.6"/>
    <d v="1899-12-30T00:05:27"/>
    <n v="129"/>
    <n v="63"/>
    <n v="225"/>
    <n v="69"/>
    <n v="1.0987639925373134"/>
    <s v="HOKA Rincon 3"/>
  </r>
  <r>
    <x v="1568"/>
    <m/>
    <x v="0"/>
    <m/>
    <m/>
    <s v=""/>
    <s v=""/>
    <m/>
    <s v="0"/>
    <m/>
    <m/>
    <s v=""/>
    <m/>
  </r>
  <r>
    <x v="1569"/>
    <m/>
    <x v="0"/>
    <m/>
    <m/>
    <s v=""/>
    <s v=""/>
    <m/>
    <s v="0"/>
    <m/>
    <m/>
    <s v=""/>
    <m/>
  </r>
  <r>
    <x v="1570"/>
    <n v="63"/>
    <x v="1"/>
    <s v="Z2.60'"/>
    <d v="1899-12-30T00:55:57"/>
    <n v="10.77"/>
    <d v="1899-12-30T00:05:12"/>
    <n v="140"/>
    <n v="74"/>
    <n v="236"/>
    <n v="39"/>
    <n v="1.0979254147091839"/>
    <s v="Adidas Solarglide 5"/>
  </r>
  <r>
    <x v="1571"/>
    <m/>
    <x v="0"/>
    <m/>
    <m/>
    <s v=""/>
    <s v=""/>
    <m/>
    <s v="0"/>
    <m/>
    <m/>
    <s v=""/>
    <m/>
  </r>
  <r>
    <x v="1572"/>
    <n v="64"/>
    <x v="1"/>
    <s v="Z2.60'"/>
    <d v="1899-12-30T00:54:23"/>
    <n v="10.3"/>
    <d v="1899-12-30T00:05:17"/>
    <n v="134"/>
    <n v="69"/>
    <n v="231"/>
    <n v="30"/>
    <n v="1.0922373569047965"/>
    <s v="HOKA Rincon 3"/>
  </r>
  <r>
    <x v="1573"/>
    <m/>
    <x v="0"/>
    <m/>
    <m/>
    <s v=""/>
    <s v=""/>
    <m/>
    <s v="0"/>
    <m/>
    <m/>
    <s v=""/>
    <m/>
  </r>
  <r>
    <x v="1574"/>
    <n v="65"/>
    <x v="1"/>
    <s v="Z2.90'"/>
    <d v="1899-12-30T01:31:52"/>
    <n v="17.350000000000001"/>
    <d v="1899-12-30T00:05:18"/>
    <n v="137"/>
    <n v="117"/>
    <n v="231"/>
    <n v="69"/>
    <n v="1.0953348531119618"/>
    <s v="Mizuno"/>
  </r>
  <r>
    <x v="1575"/>
    <m/>
    <x v="0"/>
    <m/>
    <m/>
    <s v=""/>
    <s v=""/>
    <m/>
    <s v="0"/>
    <m/>
    <m/>
    <s v=""/>
    <m/>
  </r>
  <r>
    <x v="1576"/>
    <n v="66"/>
    <x v="1"/>
    <s v="Z2.60'"/>
    <d v="1899-12-30T00:57:00"/>
    <n v="11.29"/>
    <d v="1899-12-30T00:05:03"/>
    <n v="138"/>
    <n v="79"/>
    <n v="241"/>
    <n v="35"/>
    <n v="1.0896183387755642"/>
    <s v="HOKA Rincon 3"/>
  </r>
  <r>
    <x v="1577"/>
    <m/>
    <x v="0"/>
    <m/>
    <m/>
    <s v=""/>
    <s v=""/>
    <m/>
    <s v="0"/>
    <m/>
    <m/>
    <s v=""/>
    <m/>
  </r>
  <r>
    <x v="1578"/>
    <n v="67"/>
    <x v="1"/>
    <s v="Z5.6x3'"/>
    <d v="1899-12-30T00:50:00"/>
    <n v="9.68"/>
    <d v="1899-12-30T00:05:10"/>
    <n v="146"/>
    <n v="72"/>
    <n v="226"/>
    <n v="26"/>
    <n v="1.0453928703589492"/>
    <s v="HOKA Carbon X"/>
  </r>
  <r>
    <x v="1579"/>
    <n v="68"/>
    <x v="1"/>
    <s v="Z1.45'"/>
    <d v="1899-12-30T00:40:51"/>
    <n v="7.45"/>
    <d v="1899-12-30T00:05:29"/>
    <n v="134"/>
    <n v="48"/>
    <n v="222"/>
    <n v="24"/>
    <n v="1.0900971651808073"/>
    <s v="HOKA Clifton 7"/>
  </r>
  <r>
    <x v="1580"/>
    <m/>
    <x v="0"/>
    <m/>
    <m/>
    <s v=""/>
    <s v=""/>
    <m/>
    <s v="0"/>
    <m/>
    <m/>
    <s v=""/>
    <m/>
  </r>
  <r>
    <x v="1581"/>
    <n v="69"/>
    <x v="1"/>
    <s v="Z2.100'"/>
    <d v="1899-12-30T01:46:31"/>
    <n v="20.58"/>
    <d v="1899-12-30T00:05:11"/>
    <n v="140"/>
    <n v="140"/>
    <n v="235"/>
    <n v="79"/>
    <n v="1.0892222560666058"/>
    <s v="Mizuno"/>
  </r>
  <r>
    <x v="1582"/>
    <m/>
    <x v="0"/>
    <m/>
    <m/>
    <s v=""/>
    <s v=""/>
    <m/>
    <s v="0"/>
    <m/>
    <m/>
    <s v=""/>
    <m/>
  </r>
  <r>
    <x v="1583"/>
    <n v="70"/>
    <x v="1"/>
    <s v="Z2.70'"/>
    <d v="1899-12-30T01:06:46"/>
    <n v="12.79"/>
    <d v="1899-12-30T00:05:13"/>
    <n v="138"/>
    <n v="87"/>
    <n v="236"/>
    <n v="38"/>
    <n v="1.1032593093951666"/>
    <s v="HOKA Rincon 3"/>
  </r>
  <r>
    <x v="1584"/>
    <m/>
    <x v="0"/>
    <m/>
    <m/>
    <s v=""/>
    <s v=""/>
    <m/>
    <s v="0"/>
    <m/>
    <m/>
    <s v=""/>
    <m/>
  </r>
  <r>
    <x v="1585"/>
    <n v="71"/>
    <x v="1"/>
    <s v="Z5.8x3'"/>
    <d v="1899-12-30T01:04:55"/>
    <n v="12.1"/>
    <d v="1899-12-30T00:05:22"/>
    <n v="145"/>
    <n v="91"/>
    <n v="218"/>
    <n v="31"/>
    <n v="1.0473788084371531"/>
    <s v="HOKA Carbon X"/>
  </r>
  <r>
    <x v="1586"/>
    <n v="72"/>
    <x v="1"/>
    <s v="Z1.45'"/>
    <d v="1899-12-30T00:41:19"/>
    <n v="7.47"/>
    <d v="1899-12-30T00:05:32"/>
    <n v="132"/>
    <n v="47"/>
    <n v="222"/>
    <n v="17"/>
    <n v="1.0995983935742975"/>
    <s v="Adidas Solarglide 5"/>
  </r>
  <r>
    <x v="1587"/>
    <m/>
    <x v="0"/>
    <m/>
    <m/>
    <s v=""/>
    <s v=""/>
    <m/>
    <s v="0"/>
    <m/>
    <m/>
    <s v=""/>
    <m/>
  </r>
  <r>
    <x v="1588"/>
    <m/>
    <x v="0"/>
    <m/>
    <m/>
    <s v=""/>
    <s v=""/>
    <m/>
    <s v="0"/>
    <m/>
    <m/>
    <s v=""/>
    <m/>
  </r>
  <r>
    <x v="1589"/>
    <m/>
    <x v="0"/>
    <m/>
    <m/>
    <s v=""/>
    <s v=""/>
    <m/>
    <s v="0"/>
    <m/>
    <m/>
    <s v=""/>
    <m/>
  </r>
  <r>
    <x v="1590"/>
    <m/>
    <x v="0"/>
    <m/>
    <m/>
    <s v=""/>
    <s v=""/>
    <m/>
    <s v="0"/>
    <m/>
    <m/>
    <s v=""/>
    <m/>
  </r>
  <r>
    <x v="1591"/>
    <m/>
    <x v="0"/>
    <m/>
    <m/>
    <s v=""/>
    <s v=""/>
    <m/>
    <s v="0"/>
    <m/>
    <m/>
    <s v=""/>
    <m/>
  </r>
  <r>
    <x v="1592"/>
    <m/>
    <x v="0"/>
    <m/>
    <m/>
    <s v=""/>
    <s v=""/>
    <m/>
    <s v="0"/>
    <m/>
    <m/>
    <s v=""/>
    <m/>
  </r>
  <r>
    <x v="1593"/>
    <m/>
    <x v="0"/>
    <m/>
    <m/>
    <s v=""/>
    <s v=""/>
    <m/>
    <s v="0"/>
    <m/>
    <m/>
    <s v=""/>
    <m/>
  </r>
  <r>
    <x v="1594"/>
    <m/>
    <x v="0"/>
    <m/>
    <m/>
    <s v=""/>
    <s v=""/>
    <m/>
    <s v="0"/>
    <m/>
    <m/>
    <s v=""/>
    <m/>
  </r>
  <r>
    <x v="1595"/>
    <m/>
    <x v="0"/>
    <m/>
    <m/>
    <s v=""/>
    <s v=""/>
    <m/>
    <s v="0"/>
    <m/>
    <m/>
    <s v=""/>
    <m/>
  </r>
  <r>
    <x v="1596"/>
    <n v="73"/>
    <x v="1"/>
    <s v="Z2.45'"/>
    <d v="1899-12-30T00:41:31"/>
    <n v="7.36"/>
    <d v="1899-12-30T00:05:38"/>
    <n v="142"/>
    <n v="47"/>
    <n v="220"/>
    <n v="24"/>
    <n v="1.111331927319922"/>
    <s v="HOKA Rincon 3"/>
  </r>
  <r>
    <x v="1597"/>
    <m/>
    <x v="0"/>
    <m/>
    <m/>
    <s v=""/>
    <s v=""/>
    <m/>
    <s v="0"/>
    <m/>
    <m/>
    <s v=""/>
    <m/>
  </r>
  <r>
    <x v="1598"/>
    <n v="74"/>
    <x v="1"/>
    <s v="Z2.45'"/>
    <d v="1899-12-30T00:47:49"/>
    <n v="8.66"/>
    <d v="1899-12-30T00:05:31"/>
    <n v="139"/>
    <n v="55"/>
    <n v="222"/>
    <n v="23"/>
    <n v="1.0977181069249595"/>
    <s v="HOKA Rincon 3"/>
  </r>
  <r>
    <x v="1599"/>
    <m/>
    <x v="0"/>
    <m/>
    <m/>
    <s v=""/>
    <s v=""/>
    <m/>
    <s v="0"/>
    <m/>
    <m/>
    <s v=""/>
    <m/>
  </r>
  <r>
    <x v="1600"/>
    <n v="75"/>
    <x v="1"/>
    <s v="Z2.45'"/>
    <d v="1899-12-30T00:46:09"/>
    <n v="8.3800000000000008"/>
    <d v="1899-12-30T00:05:30"/>
    <n v="139"/>
    <n v="54"/>
    <n v="224"/>
    <n v="21"/>
    <n v="1.1047198375663447"/>
    <s v="Adidas Solarglide 5"/>
  </r>
  <r>
    <x v="1601"/>
    <m/>
    <x v="0"/>
    <m/>
    <m/>
    <s v=""/>
    <s v=""/>
    <m/>
    <s v="0"/>
    <m/>
    <m/>
    <s v=""/>
    <m/>
  </r>
  <r>
    <x v="1602"/>
    <n v="76"/>
    <x v="1"/>
    <s v="Z2.45'"/>
    <d v="1899-12-30T00:46:46"/>
    <n v="8.43"/>
    <d v="1899-12-30T00:05:33"/>
    <n v="143"/>
    <n v="54"/>
    <n v="222"/>
    <n v="23"/>
    <n v="1.1029054018165401"/>
    <s v="HOKA Rincon 3"/>
  </r>
  <r>
    <x v="1603"/>
    <m/>
    <x v="0"/>
    <m/>
    <m/>
    <m/>
    <s v=""/>
    <m/>
    <s v="0"/>
    <m/>
    <m/>
    <s v=""/>
    <m/>
  </r>
  <r>
    <x v="1604"/>
    <n v="77"/>
    <x v="1"/>
    <s v="Z2.45'"/>
    <d v="1899-12-30T00:49:19"/>
    <n v="8.7899999999999991"/>
    <d v="1899-12-30T00:05:37"/>
    <n v="141"/>
    <n v="55"/>
    <n v="219"/>
    <n v="39"/>
    <n v="1.1003362029443229"/>
    <s v="HOKA Rincon 3"/>
  </r>
  <r>
    <x v="1605"/>
    <m/>
    <x v="0"/>
    <m/>
    <m/>
    <s v=""/>
    <s v=""/>
    <m/>
    <s v="0"/>
    <m/>
    <m/>
    <s v=""/>
    <m/>
  </r>
  <r>
    <x v="1606"/>
    <n v="78"/>
    <x v="1"/>
    <s v="Z2.60'"/>
    <d v="1899-12-30T00:55:17"/>
    <n v="10.43"/>
    <d v="1899-12-30T00:05:18"/>
    <n v="141"/>
    <n v="68"/>
    <n v="229"/>
    <n v="34"/>
    <n v="1.0869807243742933"/>
    <s v="HOKA Clifton 7"/>
  </r>
  <r>
    <x v="1607"/>
    <m/>
    <x v="0"/>
    <m/>
    <m/>
    <s v=""/>
    <s v=""/>
    <m/>
    <s v="0"/>
    <m/>
    <m/>
    <s v=""/>
    <m/>
  </r>
  <r>
    <x v="1608"/>
    <n v="79"/>
    <x v="1"/>
    <s v="trail"/>
    <d v="1899-12-30T00:51:28"/>
    <n v="8.0500000000000007"/>
    <d v="1899-12-30T00:06:24"/>
    <n v="141"/>
    <n v="52"/>
    <n v="204"/>
    <n v="185"/>
    <m/>
    <s v="Innov-8 Terraultra"/>
  </r>
  <r>
    <x v="1609"/>
    <m/>
    <x v="0"/>
    <m/>
    <m/>
    <s v=""/>
    <s v=""/>
    <m/>
    <s v="0"/>
    <m/>
    <m/>
    <s v=""/>
    <m/>
  </r>
  <r>
    <x v="1610"/>
    <n v="80"/>
    <x v="1"/>
    <s v="Z2.60'"/>
    <d v="1899-12-30T01:00:52"/>
    <n v="11.08"/>
    <d v="1899-12-30T00:05:30"/>
    <n v="138"/>
    <n v="71"/>
    <n v="224"/>
    <n v="34"/>
    <n v="1.1019559243493722"/>
    <s v="HOKA Rincon 3"/>
  </r>
  <r>
    <x v="1611"/>
    <n v="81"/>
    <x v="1"/>
    <s v="Z2.45'"/>
    <d v="1899-12-30T00:41:04"/>
    <n v="7.53"/>
    <d v="1899-12-30T00:05:27"/>
    <n v="134"/>
    <n v="48"/>
    <n v="225"/>
    <n v="26"/>
    <n v="1.0988880299696737"/>
    <s v="Adidas Solarglide 5"/>
  </r>
  <r>
    <x v="1612"/>
    <m/>
    <x v="0"/>
    <m/>
    <m/>
    <s v=""/>
    <s v=""/>
    <m/>
    <s v="0"/>
    <m/>
    <m/>
    <s v=""/>
    <m/>
  </r>
  <r>
    <x v="1613"/>
    <n v="82"/>
    <x v="1"/>
    <s v="Z2.45'"/>
    <d v="1899-12-30T00:38:10"/>
    <n v="7.11"/>
    <d v="1899-12-30T00:05:22"/>
    <m/>
    <n v="46"/>
    <n v="227"/>
    <n v="17"/>
    <n v="1.0912316056846569"/>
    <s v="Brooks Defyance 11"/>
  </r>
  <r>
    <x v="1614"/>
    <n v="83"/>
    <x v="1"/>
    <s v="Z2.60'"/>
    <d v="1899-12-30T00:55:14"/>
    <n v="10.14"/>
    <d v="1899-12-30T00:05:27"/>
    <n v="151"/>
    <n v="66"/>
    <n v="226"/>
    <n v="28"/>
    <n v="1.1024227972563219"/>
    <s v="HOKA Rincon 3"/>
  </r>
  <r>
    <x v="1615"/>
    <m/>
    <x v="0"/>
    <s v=" "/>
    <m/>
    <s v=""/>
    <s v=""/>
    <m/>
    <s v="0"/>
    <m/>
    <m/>
    <s v=""/>
    <m/>
  </r>
  <r>
    <x v="1616"/>
    <n v="84"/>
    <x v="2"/>
    <s v="Z2.60'"/>
    <d v="1899-12-30T01:01:24"/>
    <n v="11.1"/>
    <d v="1899-12-30T00:05:32"/>
    <n v="140"/>
    <n v="68"/>
    <n v="217"/>
    <n v="33"/>
    <n v="1.0749334409035902"/>
    <s v="Mizuno"/>
  </r>
  <r>
    <x v="1617"/>
    <m/>
    <x v="0"/>
    <m/>
    <m/>
    <s v=""/>
    <s v=""/>
    <m/>
    <s v="0"/>
    <m/>
    <m/>
    <s v=""/>
    <m/>
  </r>
  <r>
    <x v="1618"/>
    <n v="85"/>
    <x v="2"/>
    <s v="Z2.80'"/>
    <d v="1899-12-30T01:17:46"/>
    <n v="13.55"/>
    <d v="1899-12-30T00:05:44"/>
    <n v="141"/>
    <n v="82"/>
    <n v="211"/>
    <n v="47"/>
    <n v="1.0844588863799085"/>
    <s v="HOKA Rincon 3"/>
  </r>
  <r>
    <x v="1619"/>
    <m/>
    <x v="0"/>
    <m/>
    <m/>
    <s v=""/>
    <s v=""/>
    <m/>
    <s v="0"/>
    <m/>
    <m/>
    <s v=""/>
    <m/>
  </r>
  <r>
    <x v="1620"/>
    <n v="86"/>
    <x v="1"/>
    <s v="Z2.60'"/>
    <d v="1899-12-30T00:56:42"/>
    <n v="10.199999999999999"/>
    <d v="1899-12-30T00:05:34"/>
    <n v="150"/>
    <n v="65"/>
    <n v="221"/>
    <n v="29"/>
    <n v="1.1001492537313433"/>
    <s v="Adidas Solarglide 5"/>
  </r>
  <r>
    <x v="1621"/>
    <n v="87"/>
    <x v="1"/>
    <s v="Z2.45'"/>
    <d v="1899-12-30T00:47:56"/>
    <n v="8.73"/>
    <d v="1899-12-30T00:05:29"/>
    <n v="138"/>
    <n v="55"/>
    <n v="222"/>
    <n v="26"/>
    <n v="1.0915730625224394"/>
    <s v="HOKA Clifton 7"/>
  </r>
  <r>
    <x v="1622"/>
    <m/>
    <x v="0"/>
    <m/>
    <m/>
    <s v=""/>
    <s v=""/>
    <m/>
    <s v="0"/>
    <m/>
    <m/>
    <s v=""/>
    <m/>
  </r>
  <r>
    <x v="1623"/>
    <n v="88"/>
    <x v="1"/>
    <s v="trail"/>
    <d v="1899-12-30T01:33:32"/>
    <n v="14.54"/>
    <d v="1899-12-30T00:06:26"/>
    <n v="150"/>
    <n v="100"/>
    <n v="208"/>
    <n v="457"/>
    <m/>
    <s v="Innov-8 Terraultra"/>
  </r>
  <r>
    <x v="1624"/>
    <m/>
    <x v="0"/>
    <m/>
    <m/>
    <s v=""/>
    <s v=""/>
    <m/>
    <s v="0"/>
    <m/>
    <m/>
    <s v=""/>
    <m/>
  </r>
  <r>
    <x v="1625"/>
    <n v="89"/>
    <x v="1"/>
    <s v="Z2.45'"/>
    <d v="1899-12-30T00:47:33"/>
    <n v="8.81"/>
    <d v="1899-12-30T00:05:24"/>
    <n v="136"/>
    <n v="56"/>
    <n v="226"/>
    <n v="11"/>
    <n v="1.0923441814762733"/>
    <s v="HOKA Rincon 3"/>
  </r>
  <r>
    <x v="1626"/>
    <m/>
    <x v="0"/>
    <m/>
    <m/>
    <s v=""/>
    <s v=""/>
    <m/>
    <s v="0"/>
    <m/>
    <m/>
    <s v=""/>
    <m/>
  </r>
  <r>
    <x v="1627"/>
    <m/>
    <x v="0"/>
    <m/>
    <m/>
    <s v=""/>
    <s v=""/>
    <m/>
    <s v="0"/>
    <m/>
    <m/>
    <s v=""/>
    <m/>
  </r>
  <r>
    <x v="1628"/>
    <n v="90"/>
    <x v="1"/>
    <s v="trail"/>
    <d v="1899-12-30T01:20:15"/>
    <n v="12.93"/>
    <d v="1899-12-30T00:06:12"/>
    <n v="145"/>
    <n v="85"/>
    <n v="210"/>
    <n v="293"/>
    <m/>
    <s v="Innov-8 Terraultra"/>
  </r>
  <r>
    <x v="1629"/>
    <m/>
    <x v="0"/>
    <m/>
    <m/>
    <s v=""/>
    <s v=""/>
    <m/>
    <s v="0"/>
    <m/>
    <m/>
    <s v=""/>
    <m/>
  </r>
  <r>
    <x v="1630"/>
    <m/>
    <x v="0"/>
    <m/>
    <m/>
    <s v=""/>
    <s v=""/>
    <m/>
    <s v="0"/>
    <m/>
    <m/>
    <s v=""/>
    <m/>
  </r>
  <r>
    <x v="1631"/>
    <m/>
    <x v="0"/>
    <m/>
    <m/>
    <s v=""/>
    <s v=""/>
    <m/>
    <s v="0"/>
    <m/>
    <m/>
    <s v=""/>
    <m/>
  </r>
  <r>
    <x v="1632"/>
    <m/>
    <x v="0"/>
    <m/>
    <m/>
    <s v=""/>
    <s v=""/>
    <m/>
    <s v="0"/>
    <m/>
    <m/>
    <s v=""/>
    <m/>
  </r>
  <r>
    <x v="1633"/>
    <n v="91"/>
    <x v="1"/>
    <s v="Z2.60'"/>
    <d v="1899-12-30T00:51:42"/>
    <n v="9.57"/>
    <d v="1899-12-30T00:05:24"/>
    <n v="138"/>
    <n v="62"/>
    <n v="227"/>
    <n v="28"/>
    <n v="1.0981986618630981"/>
    <s v="HOKA Rincon 3"/>
  </r>
  <r>
    <x v="1634"/>
    <m/>
    <x v="0"/>
    <m/>
    <m/>
    <s v=""/>
    <s v=""/>
    <m/>
    <s v="0"/>
    <m/>
    <m/>
    <s v=""/>
    <m/>
  </r>
  <r>
    <x v="1635"/>
    <n v="92"/>
    <x v="1"/>
    <s v="Z2.60'"/>
    <d v="1899-12-30T00:56:02"/>
    <n v="9.51"/>
    <d v="1899-12-30T00:05:54"/>
    <n v="131"/>
    <n v="56"/>
    <n v="208"/>
    <n v="29"/>
    <n v="1.0975030211717438"/>
    <s v="HOKA Clifton 7"/>
  </r>
  <r>
    <x v="1636"/>
    <m/>
    <x v="0"/>
    <m/>
    <m/>
    <s v=""/>
    <s v=""/>
    <m/>
    <s v="0"/>
    <m/>
    <m/>
    <s v=""/>
    <m/>
  </r>
  <r>
    <x v="1637"/>
    <n v="93"/>
    <x v="1"/>
    <s v="Z2.70'"/>
    <d v="1899-12-30T01:11:15"/>
    <n v="13"/>
    <d v="1899-12-30T00:05:29"/>
    <n v="137"/>
    <n v="85"/>
    <n v="226"/>
    <n v="48"/>
    <n v="1.1092422502870265"/>
    <s v="HOKA Rincon 3"/>
  </r>
  <r>
    <x v="1638"/>
    <m/>
    <x v="0"/>
    <m/>
    <m/>
    <s v=""/>
    <s v=""/>
    <m/>
    <s v="0"/>
    <m/>
    <m/>
    <s v=""/>
    <m/>
  </r>
  <r>
    <x v="1639"/>
    <n v="94"/>
    <x v="1"/>
    <s v="Z2.45'"/>
    <d v="1899-12-30T00:49:06"/>
    <n v="8.5399999999999991"/>
    <d v="1899-12-30T00:05:45"/>
    <n v="128"/>
    <n v="47"/>
    <m/>
    <n v="23"/>
    <m/>
    <m/>
  </r>
  <r>
    <x v="1640"/>
    <m/>
    <x v="0"/>
    <m/>
    <m/>
    <s v=""/>
    <s v=""/>
    <m/>
    <s v="0"/>
    <m/>
    <m/>
    <s v=""/>
    <m/>
  </r>
  <r>
    <x v="1641"/>
    <n v="95"/>
    <x v="1"/>
    <s v="Z2.60'"/>
    <d v="1899-12-30T00:57:08"/>
    <n v="10.88"/>
    <d v="1899-12-30T00:05:15"/>
    <n v="145"/>
    <n v="73"/>
    <n v="232"/>
    <n v="33"/>
    <n v="1.0910008779631253"/>
    <s v="Adizero Boston 8"/>
  </r>
  <r>
    <x v="1642"/>
    <m/>
    <x v="0"/>
    <m/>
    <m/>
    <s v=""/>
    <s v=""/>
    <m/>
    <s v="0"/>
    <m/>
    <m/>
    <s v=""/>
    <m/>
  </r>
  <r>
    <x v="1643"/>
    <m/>
    <x v="0"/>
    <m/>
    <m/>
    <m/>
    <s v=""/>
    <m/>
    <s v="0"/>
    <m/>
    <m/>
    <s v=""/>
    <m/>
  </r>
  <r>
    <x v="1644"/>
    <n v="96"/>
    <x v="1"/>
    <s v="Z2.45'"/>
    <d v="1899-12-30T00:44:31"/>
    <n v="7.83"/>
    <d v="1899-12-30T00:05:41"/>
    <n v="129"/>
    <n v="48"/>
    <n v="215"/>
    <n v="24"/>
    <n v="1.0946512647490518"/>
    <s v="HOKA Clifton 7"/>
  </r>
  <r>
    <x v="1645"/>
    <m/>
    <x v="0"/>
    <m/>
    <m/>
    <s v=""/>
    <s v=""/>
    <m/>
    <s v="0"/>
    <m/>
    <m/>
    <s v=""/>
    <m/>
  </r>
  <r>
    <x v="1646"/>
    <n v="97"/>
    <x v="1"/>
    <s v="Z2.45'"/>
    <d v="1899-12-30T00:50:04"/>
    <n v="9.08"/>
    <d v="1899-12-30T00:05:31"/>
    <m/>
    <n v="59"/>
    <n v="223"/>
    <n v="27"/>
    <n v="1.1011440594384905"/>
    <s v="HOKA Rincon 3"/>
  </r>
  <r>
    <x v="1647"/>
    <m/>
    <x v="0"/>
    <m/>
    <m/>
    <s v=""/>
    <s v=""/>
    <m/>
    <s v="0"/>
    <m/>
    <m/>
    <s v=""/>
    <m/>
  </r>
  <r>
    <x v="1648"/>
    <n v="98"/>
    <x v="2"/>
    <s v="Z2.60'"/>
    <d v="1899-12-30T00:55:05"/>
    <n v="9.8699999999999992"/>
    <d v="1899-12-30T00:05:35"/>
    <n v="130"/>
    <n v="59"/>
    <n v="214"/>
    <n v="20"/>
    <n v="1.0695307656247637"/>
    <s v="Adidas Solarglide 5"/>
  </r>
  <r>
    <x v="1649"/>
    <n v="99"/>
    <x v="1"/>
    <s v="Z2.45'"/>
    <d v="1899-12-30T00:45:33"/>
    <n v="8.48"/>
    <d v="1899-12-30T00:05:22"/>
    <n v="138"/>
    <n v="55"/>
    <n v="228"/>
    <n v="19"/>
    <n v="1.0967403548296253"/>
    <s v="HOKA Rincon 3"/>
  </r>
  <r>
    <x v="1650"/>
    <m/>
    <x v="0"/>
    <m/>
    <m/>
    <s v=""/>
    <s v=""/>
    <m/>
    <s v="0"/>
    <m/>
    <m/>
    <s v=""/>
    <m/>
  </r>
  <r>
    <x v="1651"/>
    <n v="100"/>
    <x v="1"/>
    <s v="trail"/>
    <d v="1899-12-30T01:26:11"/>
    <n v="11.01"/>
    <d v="1899-12-30T00:07:50"/>
    <n v="140"/>
    <n v="78"/>
    <n v="188"/>
    <n v="522"/>
    <m/>
    <s v="Innov-8 Terraultra"/>
  </r>
  <r>
    <x v="1652"/>
    <m/>
    <x v="0"/>
    <m/>
    <m/>
    <s v=""/>
    <s v=""/>
    <m/>
    <s v="0"/>
    <m/>
    <m/>
    <s v=""/>
    <m/>
  </r>
  <r>
    <x v="1653"/>
    <m/>
    <x v="0"/>
    <m/>
    <m/>
    <s v=""/>
    <s v=""/>
    <m/>
    <s v="0"/>
    <m/>
    <m/>
    <s v=""/>
    <m/>
  </r>
  <r>
    <x v="1654"/>
    <n v="101"/>
    <x v="1"/>
    <s v="Z2.45'"/>
    <d v="1899-12-30T00:48:51"/>
    <n v="8.9700000000000006"/>
    <d v="1899-12-30T00:05:27"/>
    <n v="139"/>
    <n v="57"/>
    <n v="223"/>
    <n v="24"/>
    <n v="1.0875605251335299"/>
    <s v="Mizuno"/>
  </r>
  <r>
    <x v="1655"/>
    <n v="102"/>
    <x v="1"/>
    <s v="Z2.45'"/>
    <d v="1899-12-30T00:39:21"/>
    <n v="7.31"/>
    <d v="1899-12-30T00:05:23"/>
    <n v="142"/>
    <n v="47"/>
    <n v="224"/>
    <n v="16"/>
    <n v="1.0798211405353535"/>
    <s v="Mizuno"/>
  </r>
  <r>
    <x v="1656"/>
    <n v="103"/>
    <x v="1"/>
    <s v="Z2.45'"/>
    <d v="1899-12-30T00:45:18"/>
    <n v="8.3000000000000007"/>
    <d v="1899-12-30T00:05:27"/>
    <n v="142"/>
    <n v="52"/>
    <n v="222"/>
    <n v="19"/>
    <n v="1.0850494515374929"/>
    <s v="Adidas Solarglide 5"/>
  </r>
  <r>
    <x v="1657"/>
    <m/>
    <x v="0"/>
    <m/>
    <m/>
    <s v=""/>
    <s v=""/>
    <m/>
    <s v="0"/>
    <m/>
    <m/>
    <s v=""/>
    <m/>
  </r>
  <r>
    <x v="1658"/>
    <n v="104"/>
    <x v="2"/>
    <s v="Z2.45'"/>
    <d v="1899-12-30T00:49:48"/>
    <n v="8.86"/>
    <d v="1899-12-30T00:05:37"/>
    <n v="136"/>
    <n v="53"/>
    <n v="212"/>
    <n v="17"/>
    <n v="1.0671069034062195"/>
    <s v="HOKA Rincon 3"/>
  </r>
  <r>
    <x v="1659"/>
    <m/>
    <x v="0"/>
    <m/>
    <m/>
    <s v=""/>
    <s v=""/>
    <m/>
    <s v="0"/>
    <m/>
    <m/>
    <s v=""/>
    <m/>
  </r>
  <r>
    <x v="1660"/>
    <n v="105"/>
    <x v="1"/>
    <s v="Z2.45'"/>
    <d v="1899-12-30T00:44:38"/>
    <n v="7.89"/>
    <d v="1899-12-30T00:05:39"/>
    <n v="135"/>
    <n v="48"/>
    <n v="214"/>
    <n v="22"/>
    <n v="1.0841079772241455"/>
    <s v="HOKA Rincon 3"/>
  </r>
  <r>
    <x v="1661"/>
    <n v="106"/>
    <x v="1"/>
    <s v="Z2.45'"/>
    <d v="1899-12-30T00:35:30"/>
    <n v="6.01"/>
    <d v="1899-12-30T00:05:54"/>
    <n v="128"/>
    <n v="35"/>
    <n v="207"/>
    <n v="12"/>
    <n v="1.094966101273996"/>
    <s v="Adidas Solarglide 5"/>
  </r>
  <r>
    <x v="1662"/>
    <n v="107"/>
    <x v="1"/>
    <s v="FS"/>
    <d v="1899-12-30T01:01:12"/>
    <n v="11.5"/>
    <d v="1899-12-30T00:05:19"/>
    <n v="151"/>
    <n v="80"/>
    <n v="228"/>
    <n v="40"/>
    <n v="1.0865879299156394"/>
    <s v="HOKA Rincon 3"/>
  </r>
  <r>
    <x v="1663"/>
    <m/>
    <x v="0"/>
    <m/>
    <m/>
    <s v=""/>
    <s v=""/>
    <m/>
    <s v="0"/>
    <m/>
    <m/>
    <s v=""/>
    <m/>
  </r>
  <r>
    <x v="1664"/>
    <m/>
    <x v="0"/>
    <m/>
    <m/>
    <s v=""/>
    <s v=""/>
    <m/>
    <s v="0"/>
    <m/>
    <m/>
    <s v=""/>
    <m/>
  </r>
  <r>
    <x v="1665"/>
    <n v="108"/>
    <x v="1"/>
    <s v="Z2.60'"/>
    <d v="1899-12-30T00:49:10"/>
    <n v="8.76"/>
    <d v="1899-12-30T00:05:37"/>
    <n v="140"/>
    <n v="54"/>
    <n v="217"/>
    <n v="21"/>
    <n v="1.0906937913173858"/>
    <s v="HOKA Clifton 7"/>
  </r>
  <r>
    <x v="1666"/>
    <m/>
    <x v="0"/>
    <m/>
    <m/>
    <s v=""/>
    <s v=""/>
    <m/>
    <s v="0"/>
    <m/>
    <m/>
    <s v=""/>
    <m/>
  </r>
  <r>
    <x v="1667"/>
    <m/>
    <x v="0"/>
    <m/>
    <m/>
    <s v=""/>
    <s v=""/>
    <m/>
    <s v="0"/>
    <m/>
    <m/>
    <s v=""/>
    <m/>
  </r>
  <r>
    <x v="1668"/>
    <m/>
    <x v="0"/>
    <m/>
    <m/>
    <s v=""/>
    <s v=""/>
    <m/>
    <s v="0"/>
    <m/>
    <m/>
    <s v=""/>
    <m/>
  </r>
  <r>
    <x v="1669"/>
    <m/>
    <x v="0"/>
    <m/>
    <m/>
    <s v=""/>
    <s v=""/>
    <m/>
    <s v="0"/>
    <m/>
    <m/>
    <s v=""/>
    <m/>
  </r>
  <r>
    <x v="1670"/>
    <m/>
    <x v="0"/>
    <m/>
    <m/>
    <s v=""/>
    <s v=""/>
    <m/>
    <s v="0"/>
    <m/>
    <m/>
    <s v=""/>
    <m/>
  </r>
  <r>
    <x v="1671"/>
    <m/>
    <x v="0"/>
    <m/>
    <m/>
    <s v=""/>
    <s v=""/>
    <m/>
    <s v="0"/>
    <m/>
    <m/>
    <s v=""/>
    <m/>
  </r>
  <r>
    <x v="1672"/>
    <m/>
    <x v="0"/>
    <m/>
    <m/>
    <s v=""/>
    <s v=""/>
    <m/>
    <s v="0"/>
    <m/>
    <m/>
    <s v=""/>
    <m/>
  </r>
  <r>
    <x v="1673"/>
    <n v="109"/>
    <x v="2"/>
    <s v="Z2.60'"/>
    <d v="1899-12-30T00:56:44"/>
    <n v="9.92"/>
    <d v="1899-12-30T00:05:43"/>
    <n v="146"/>
    <n v="58"/>
    <n v="209"/>
    <n v="24"/>
    <n v="1.0704080404429466"/>
    <s v="HOKA Rincon 3"/>
  </r>
  <r>
    <x v="1674"/>
    <m/>
    <x v="0"/>
    <m/>
    <m/>
    <s v=""/>
    <s v=""/>
    <m/>
    <s v="0"/>
    <m/>
    <m/>
    <s v=""/>
    <m/>
  </r>
  <r>
    <x v="1675"/>
    <n v="110"/>
    <x v="2"/>
    <s v="Z2.60'"/>
    <d v="1899-12-30T00:56:02"/>
    <n v="10"/>
    <d v="1899-12-30T00:05:36"/>
    <n v="137"/>
    <n v="60"/>
    <n v="214"/>
    <n v="17"/>
    <n v="1.0738328358208955"/>
    <s v="Mizuno"/>
  </r>
  <r>
    <x v="1676"/>
    <m/>
    <x v="0"/>
    <m/>
    <m/>
    <s v=""/>
    <s v=""/>
    <m/>
    <s v="0"/>
    <m/>
    <m/>
    <s v=""/>
    <m/>
  </r>
  <r>
    <x v="1677"/>
    <n v="111"/>
    <x v="2"/>
    <s v="Z2.60'"/>
    <d v="1899-12-30T00:56:58"/>
    <n v="9.75"/>
    <d v="1899-12-30T00:05:51"/>
    <n v="138"/>
    <n v="57"/>
    <n v="206"/>
    <n v="27"/>
    <n v="1.0778538078836586"/>
    <s v="Adidas Solarglide 5"/>
  </r>
  <r>
    <x v="1678"/>
    <m/>
    <x v="0"/>
    <m/>
    <m/>
    <s v=""/>
    <s v=""/>
    <m/>
    <s v="0"/>
    <m/>
    <m/>
    <s v=""/>
    <m/>
  </r>
  <r>
    <x v="1679"/>
    <n v="112"/>
    <x v="2"/>
    <s v="Z2.70'"/>
    <d v="1899-12-30T01:15:24"/>
    <n v="13.2"/>
    <d v="1899-12-30T00:05:43"/>
    <n v="137"/>
    <n v="80"/>
    <n v="211"/>
    <n v="50"/>
    <n v="1.079335142469471"/>
    <s v="Mizuno"/>
  </r>
  <r>
    <x v="1680"/>
    <m/>
    <x v="0"/>
    <m/>
    <m/>
    <s v=""/>
    <s v=""/>
    <m/>
    <s v="0"/>
    <m/>
    <m/>
    <s v=""/>
    <m/>
  </r>
  <r>
    <x v="1681"/>
    <n v="113"/>
    <x v="1"/>
    <s v="Z2.45'"/>
    <d v="1899-12-30T00:46:31"/>
    <n v="9.01"/>
    <d v="1899-12-30T00:05:10"/>
    <n v="146"/>
    <n v="63"/>
    <n v="236"/>
    <n v="17"/>
    <n v="1.0911193201583647"/>
    <s v="HOKA Rincon 3"/>
  </r>
  <r>
    <x v="1682"/>
    <m/>
    <x v="0"/>
    <m/>
    <m/>
    <s v=""/>
    <s v=""/>
    <m/>
    <s v="0"/>
    <m/>
    <m/>
    <s v=""/>
    <m/>
  </r>
  <r>
    <x v="1683"/>
    <n v="114"/>
    <x v="2"/>
    <s v="Z2.45'"/>
    <d v="1899-12-30T00:35:59"/>
    <n v="6.16"/>
    <d v="1899-12-30T00:05:50"/>
    <n v="124"/>
    <n v="34"/>
    <n v="202"/>
    <n v="14"/>
    <n v="1.0566921884086065"/>
    <s v="HOKA Clifton 7"/>
  </r>
  <r>
    <x v="1684"/>
    <m/>
    <x v="0"/>
    <m/>
    <m/>
    <s v=""/>
    <s v=""/>
    <m/>
    <s v="0"/>
    <m/>
    <m/>
    <s v=""/>
    <m/>
  </r>
  <r>
    <x v="1685"/>
    <m/>
    <x v="0"/>
    <m/>
    <m/>
    <s v=""/>
    <s v=""/>
    <m/>
    <s v="0"/>
    <m/>
    <m/>
    <s v=""/>
    <m/>
  </r>
  <r>
    <x v="1686"/>
    <m/>
    <x v="0"/>
    <m/>
    <m/>
    <s v=""/>
    <s v=""/>
    <m/>
    <s v="0"/>
    <m/>
    <m/>
    <s v=""/>
    <m/>
  </r>
  <r>
    <x v="1687"/>
    <m/>
    <x v="0"/>
    <m/>
    <m/>
    <s v=""/>
    <s v=""/>
    <m/>
    <s v="0"/>
    <m/>
    <m/>
    <s v=""/>
    <m/>
  </r>
  <r>
    <x v="1688"/>
    <m/>
    <x v="0"/>
    <m/>
    <m/>
    <s v=""/>
    <s v=""/>
    <m/>
    <s v="0"/>
    <m/>
    <m/>
    <s v=""/>
    <m/>
  </r>
  <r>
    <x v="1689"/>
    <n v="115"/>
    <x v="1"/>
    <s v="trail"/>
    <d v="1899-12-30T01:16:09"/>
    <n v="11.2"/>
    <d v="1899-12-30T00:06:48"/>
    <n v="137"/>
    <n v="72"/>
    <n v="195"/>
    <n v="301"/>
    <m/>
    <s v="Innov-8 Terraultra"/>
  </r>
  <r>
    <x v="1690"/>
    <m/>
    <x v="0"/>
    <m/>
    <m/>
    <s v=""/>
    <s v=""/>
    <m/>
    <s v="0"/>
    <m/>
    <m/>
    <s v=""/>
    <m/>
  </r>
  <r>
    <x v="1691"/>
    <n v="116"/>
    <x v="2"/>
    <s v="Z2.60'"/>
    <d v="1899-12-30T00:59:49"/>
    <n v="10.5"/>
    <d v="1899-12-30T00:05:42"/>
    <n v="138"/>
    <n v="62"/>
    <n v="211"/>
    <n v="20"/>
    <n v="1.0764449182658138"/>
    <s v="Adidas Solarglide 5"/>
  </r>
  <r>
    <x v="1692"/>
    <m/>
    <x v="0"/>
    <m/>
    <m/>
    <s v=""/>
    <s v=""/>
    <m/>
    <s v="0"/>
    <m/>
    <m/>
    <s v=""/>
    <m/>
  </r>
  <r>
    <x v="1693"/>
    <n v="117"/>
    <x v="1"/>
    <s v="Z2.60'"/>
    <d v="1899-12-30T00:56:04"/>
    <n v="10.5"/>
    <d v="1899-12-30T00:05:20"/>
    <n v="137"/>
    <n v="72"/>
    <n v="230"/>
    <n v="30"/>
    <n v="1.0998152096659561"/>
    <s v="HOKA Rincon 3"/>
  </r>
  <r>
    <x v="1694"/>
    <m/>
    <x v="0"/>
    <m/>
    <m/>
    <s v=""/>
    <s v=""/>
    <m/>
    <s v="0"/>
    <m/>
    <m/>
    <s v=""/>
    <m/>
  </r>
  <r>
    <x v="1695"/>
    <n v="118"/>
    <x v="1"/>
    <s v="Z2.45'"/>
    <d v="1899-12-30T00:40:19"/>
    <n v="7.68"/>
    <d v="1899-12-30T00:05:15"/>
    <n v="139"/>
    <n v="50"/>
    <n v="231"/>
    <n v="15"/>
    <n v="1.0859549906716419"/>
    <s v="Mizuno"/>
  </r>
  <r>
    <x v="1696"/>
    <m/>
    <x v="0"/>
    <m/>
    <m/>
    <s v=""/>
    <s v=""/>
    <m/>
    <s v="0"/>
    <m/>
    <m/>
    <s v=""/>
    <m/>
  </r>
  <r>
    <x v="1697"/>
    <n v="119"/>
    <x v="1"/>
    <s v="Z2.45'"/>
    <d v="1899-12-30T00:48:40"/>
    <n v="9.06"/>
    <d v="1899-12-30T00:05:22"/>
    <n v="138"/>
    <n v="58"/>
    <n v="226"/>
    <n v="22"/>
    <n v="1.0871470462258244"/>
    <s v="HOKA Rincon 3"/>
  </r>
  <r>
    <x v="1698"/>
    <n v="120"/>
    <x v="1"/>
    <s v="Z2.45'"/>
    <d v="1899-12-30T00:39:38"/>
    <n v="7.28"/>
    <d v="1899-12-30T00:05:27"/>
    <n v="132"/>
    <n v="45"/>
    <n v="221"/>
    <n v="16"/>
    <n v="1.0774520255863538"/>
    <s v="HOKA Clifton 7"/>
  </r>
  <r>
    <x v="1699"/>
    <m/>
    <x v="0"/>
    <m/>
    <m/>
    <s v=""/>
    <s v=""/>
    <m/>
    <s v="0"/>
    <m/>
    <m/>
    <s v=""/>
    <m/>
  </r>
  <r>
    <x v="1700"/>
    <n v="121"/>
    <x v="1"/>
    <s v="trail"/>
    <d v="1899-12-30T01:29:47"/>
    <n v="9.77"/>
    <d v="1899-12-30T00:09:11"/>
    <n v="147"/>
    <n v="69"/>
    <n v="157"/>
    <n v="526"/>
    <m/>
    <s v="Innov-8 Terraultra"/>
  </r>
  <r>
    <x v="1701"/>
    <m/>
    <x v="0"/>
    <m/>
    <m/>
    <s v=""/>
    <s v=""/>
    <m/>
    <s v="0"/>
    <m/>
    <m/>
    <s v=""/>
    <m/>
  </r>
  <r>
    <x v="1702"/>
    <m/>
    <x v="0"/>
    <m/>
    <m/>
    <s v=""/>
    <s v=""/>
    <m/>
    <s v="0"/>
    <m/>
    <m/>
    <s v=""/>
    <m/>
  </r>
  <r>
    <x v="1703"/>
    <m/>
    <x v="0"/>
    <m/>
    <m/>
    <s v=""/>
    <s v=""/>
    <m/>
    <s v="0"/>
    <m/>
    <m/>
    <s v=""/>
    <m/>
  </r>
  <r>
    <x v="1704"/>
    <n v="122"/>
    <x v="1"/>
    <s v="Z2.45'"/>
    <d v="1899-12-30T00:35:41"/>
    <n v="6.9"/>
    <d v="1899-12-30T00:05:10"/>
    <n v="135"/>
    <n v="46"/>
    <n v="234"/>
    <n v="18"/>
    <n v="1.0836988968202463"/>
    <s v="HOKA Rincon 3"/>
  </r>
  <r>
    <x v="1705"/>
    <m/>
    <x v="0"/>
    <m/>
    <m/>
    <s v=""/>
    <s v=""/>
    <m/>
    <s v="0"/>
    <m/>
    <m/>
    <s v=""/>
    <m/>
  </r>
  <r>
    <x v="1706"/>
    <m/>
    <x v="0"/>
    <m/>
    <m/>
    <s v=""/>
    <s v=""/>
    <m/>
    <s v="0"/>
    <m/>
    <m/>
    <s v=""/>
    <m/>
  </r>
  <r>
    <x v="1707"/>
    <n v="123"/>
    <x v="2"/>
    <s v="Z2.45'"/>
    <d v="1899-12-30T00:45:53"/>
    <n v="8.15"/>
    <d v="1899-12-30T00:05:38"/>
    <n v="136"/>
    <n v="49"/>
    <n v="211"/>
    <n v="18"/>
    <n v="1.0637908616427068"/>
    <s v="Adidas Solarglide 5"/>
  </r>
  <r>
    <x v="1708"/>
    <m/>
    <x v="0"/>
    <m/>
    <m/>
    <s v=""/>
    <s v=""/>
    <m/>
    <s v="0"/>
    <m/>
    <m/>
    <s v=""/>
    <m/>
  </r>
  <r>
    <x v="1709"/>
    <n v="124"/>
    <x v="2"/>
    <s v="Z2.60'"/>
    <d v="1899-12-30T00:57:14"/>
    <n v="10.199999999999999"/>
    <d v="1899-12-30T00:05:37"/>
    <n v="134"/>
    <n v="61"/>
    <n v="213"/>
    <n v="29"/>
    <n v="1.0702985074626867"/>
    <s v="HOKA Rincon 3"/>
  </r>
  <r>
    <x v="1710"/>
    <m/>
    <x v="0"/>
    <m/>
    <m/>
    <s v=""/>
    <s v=""/>
    <m/>
    <s v="0"/>
    <m/>
    <m/>
    <s v=""/>
    <m/>
  </r>
  <r>
    <x v="1711"/>
    <n v="125"/>
    <x v="1"/>
    <s v="Z2.60'"/>
    <d v="1899-12-30T00:54:49"/>
    <n v="10.1"/>
    <d v="1899-12-30T00:05:26"/>
    <n v="144"/>
    <n v="65"/>
    <n v="225"/>
    <n v="29"/>
    <n v="1.0935791340328063"/>
    <s v="Mizuno"/>
  </r>
  <r>
    <x v="1712"/>
    <m/>
    <x v="0"/>
    <m/>
    <m/>
    <s v=""/>
    <s v=""/>
    <m/>
    <s v="0"/>
    <m/>
    <m/>
    <s v=""/>
    <m/>
  </r>
  <r>
    <x v="1713"/>
    <n v="126"/>
    <x v="1"/>
    <s v="Z2.60'"/>
    <d v="1899-12-30T00:52:02"/>
    <n v="9.6"/>
    <d v="1899-12-30T00:05:25"/>
    <n v="135"/>
    <n v="63"/>
    <n v="226"/>
    <n v="32"/>
    <n v="1.0969713930348259"/>
    <s v="HOKA Rincon 3"/>
  </r>
  <r>
    <x v="1714"/>
    <m/>
    <x v="0"/>
    <m/>
    <m/>
    <s v=""/>
    <s v=""/>
    <m/>
    <s v="0"/>
    <m/>
    <m/>
    <s v=""/>
    <m/>
  </r>
  <r>
    <x v="1715"/>
    <m/>
    <x v="0"/>
    <m/>
    <m/>
    <s v=""/>
    <s v=""/>
    <m/>
    <s v="0"/>
    <m/>
    <m/>
    <s v=""/>
    <m/>
  </r>
  <r>
    <x v="1716"/>
    <n v="127"/>
    <x v="1"/>
    <s v="Z2.70'"/>
    <d v="1899-12-30T01:07:58"/>
    <n v="12.4"/>
    <d v="1899-12-30T00:05:29"/>
    <n v="138"/>
    <n v="81"/>
    <n v="225"/>
    <n v="47"/>
    <n v="1.1044174289841115"/>
    <s v="HOKA Rincon 3"/>
  </r>
  <r>
    <x v="1717"/>
    <m/>
    <x v="0"/>
    <m/>
    <m/>
    <s v=""/>
    <s v=""/>
    <m/>
    <s v="0"/>
    <m/>
    <m/>
    <s v=""/>
    <m/>
  </r>
  <r>
    <x v="1718"/>
    <n v="128"/>
    <x v="1"/>
    <s v="Z2.45'"/>
    <d v="1899-12-30T00:41:35"/>
    <n v="7.44"/>
    <d v="1899-12-30T00:05:35"/>
    <n v="141"/>
    <n v="47"/>
    <n v="221"/>
    <n v="23"/>
    <n v="1.1061527042208315"/>
    <s v="Adidas Solarglide 5"/>
  </r>
  <r>
    <x v="1719"/>
    <m/>
    <x v="0"/>
    <m/>
    <m/>
    <s v=""/>
    <s v=""/>
    <m/>
    <s v="0"/>
    <m/>
    <m/>
    <s v=""/>
    <m/>
  </r>
  <r>
    <x v="1720"/>
    <m/>
    <x v="0"/>
    <m/>
    <m/>
    <s v=""/>
    <s v=""/>
    <m/>
    <s v="0"/>
    <m/>
    <m/>
    <s v=""/>
    <m/>
  </r>
  <r>
    <x v="1721"/>
    <n v="129"/>
    <x v="1"/>
    <s v="Z3.60'"/>
    <d v="1899-12-30T00:46:39"/>
    <n v="9.31"/>
    <d v="1899-12-30T00:05:01"/>
    <n v="151"/>
    <n v="66"/>
    <n v="246"/>
    <n v="39"/>
    <n v="1.1038587941068021"/>
    <s v="HOKA Rincon 3"/>
  </r>
  <r>
    <x v="1722"/>
    <m/>
    <x v="0"/>
    <m/>
    <m/>
    <s v=""/>
    <s v=""/>
    <m/>
    <s v="0"/>
    <m/>
    <m/>
    <s v=""/>
    <m/>
  </r>
  <r>
    <x v="1723"/>
    <m/>
    <x v="0"/>
    <m/>
    <m/>
    <s v=""/>
    <s v=""/>
    <m/>
    <s v="0"/>
    <m/>
    <m/>
    <s v=""/>
    <m/>
  </r>
  <r>
    <x v="1724"/>
    <m/>
    <x v="0"/>
    <m/>
    <m/>
    <s v=""/>
    <s v=""/>
    <m/>
    <s v="0"/>
    <m/>
    <m/>
    <s v=""/>
    <m/>
  </r>
  <r>
    <x v="1725"/>
    <m/>
    <x v="0"/>
    <m/>
    <m/>
    <s v=""/>
    <s v=""/>
    <m/>
    <s v="0"/>
    <m/>
    <m/>
    <s v=""/>
    <m/>
  </r>
  <r>
    <x v="1726"/>
    <m/>
    <x v="0"/>
    <m/>
    <m/>
    <s v=""/>
    <s v=""/>
    <m/>
    <s v="0"/>
    <m/>
    <m/>
    <s v=""/>
    <m/>
  </r>
  <r>
    <x v="1727"/>
    <m/>
    <x v="0"/>
    <m/>
    <m/>
    <s v=""/>
    <s v=""/>
    <m/>
    <s v="0"/>
    <m/>
    <m/>
    <s v=""/>
    <m/>
  </r>
  <r>
    <x v="1728"/>
    <m/>
    <x v="0"/>
    <m/>
    <m/>
    <s v=""/>
    <s v=""/>
    <m/>
    <s v="0"/>
    <m/>
    <m/>
    <s v=""/>
    <m/>
  </r>
  <r>
    <x v="1729"/>
    <n v="130"/>
    <x v="2"/>
    <s v="Z2.60'"/>
    <d v="1899-12-30T01:03:11"/>
    <n v="10.6"/>
    <d v="1899-12-30T00:05:58"/>
    <n v="134"/>
    <n v="59"/>
    <n v="201"/>
    <n v="32"/>
    <n v="1.0729245283018871"/>
    <s v="HOKA Rincon 3"/>
  </r>
  <r>
    <x v="1730"/>
    <m/>
    <x v="0"/>
    <m/>
    <m/>
    <s v=""/>
    <s v=""/>
    <m/>
    <s v="0"/>
    <m/>
    <m/>
    <s v=""/>
    <m/>
  </r>
  <r>
    <x v="1731"/>
    <n v="131"/>
    <x v="1"/>
    <s v="Z2.45'"/>
    <d v="1899-12-30T00:33:50"/>
    <n v="6.26"/>
    <d v="1899-12-30T00:05:24"/>
    <n v="140"/>
    <n v="40"/>
    <n v="226"/>
    <n v="19"/>
    <n v="1.0938438796433172"/>
    <s v="HOKA Rincon 3"/>
  </r>
  <r>
    <x v="1732"/>
    <m/>
    <x v="0"/>
    <m/>
    <m/>
    <s v=""/>
    <s v=""/>
    <m/>
    <s v="0"/>
    <m/>
    <m/>
    <s v=""/>
    <m/>
  </r>
  <r>
    <x v="1733"/>
    <m/>
    <x v="0"/>
    <m/>
    <m/>
    <s v=""/>
    <s v=""/>
    <m/>
    <s v="0"/>
    <m/>
    <m/>
    <s v=""/>
    <m/>
  </r>
  <r>
    <x v="1734"/>
    <m/>
    <x v="0"/>
    <m/>
    <m/>
    <s v=""/>
    <s v=""/>
    <m/>
    <s v="0"/>
    <m/>
    <m/>
    <s v=""/>
    <m/>
  </r>
  <r>
    <x v="1735"/>
    <n v="132"/>
    <x v="1"/>
    <s v="Z2.80'"/>
    <d v="1899-12-30T01:21:34"/>
    <n v="14.3"/>
    <d v="1899-12-30T00:05:42"/>
    <n v="138"/>
    <n v="86"/>
    <n v="211"/>
    <n v="55"/>
    <n v="1.077793549733848"/>
    <s v="Mizuno"/>
  </r>
  <r>
    <x v="1736"/>
    <m/>
    <x v="0"/>
    <m/>
    <m/>
    <s v=""/>
    <s v=""/>
    <m/>
    <s v="0"/>
    <m/>
    <m/>
    <s v=""/>
    <m/>
  </r>
  <r>
    <x v="1737"/>
    <m/>
    <x v="0"/>
    <m/>
    <m/>
    <s v=""/>
    <s v=""/>
    <m/>
    <s v="0"/>
    <m/>
    <m/>
    <s v=""/>
    <m/>
  </r>
  <r>
    <x v="1738"/>
    <m/>
    <x v="0"/>
    <m/>
    <m/>
    <s v=""/>
    <s v=""/>
    <m/>
    <s v="0"/>
    <m/>
    <m/>
    <s v=""/>
    <m/>
  </r>
  <r>
    <x v="1739"/>
    <n v="133"/>
    <x v="1"/>
    <s v="Z2.45'"/>
    <d v="1899-12-30T00:41:31"/>
    <n v="7.55"/>
    <d v="1899-12-30T00:05:30"/>
    <n v="137"/>
    <n v="49"/>
    <n v="225"/>
    <n v="23"/>
    <n v="1.1079865572798262"/>
    <s v="HOKA Rincon 3"/>
  </r>
  <r>
    <x v="1740"/>
    <m/>
    <x v="0"/>
    <m/>
    <m/>
    <s v=""/>
    <s v=""/>
    <m/>
    <s v="0"/>
    <m/>
    <m/>
    <s v=""/>
    <m/>
  </r>
  <r>
    <x v="1741"/>
    <m/>
    <x v="0"/>
    <m/>
    <m/>
    <s v=""/>
    <s v=""/>
    <m/>
    <s v="0"/>
    <m/>
    <m/>
    <s v=""/>
    <m/>
  </r>
  <r>
    <x v="1742"/>
    <m/>
    <x v="0"/>
    <m/>
    <m/>
    <s v=""/>
    <s v=""/>
    <m/>
    <s v="0"/>
    <m/>
    <m/>
    <s v=""/>
    <m/>
  </r>
  <r>
    <x v="1743"/>
    <n v="134"/>
    <x v="1"/>
    <s v="Z2.60'"/>
    <d v="1899-12-30T00:59:41"/>
    <n v="10.1"/>
    <d v="1899-12-30T00:05:55"/>
    <n v="145"/>
    <n v="61"/>
    <n v="206"/>
    <n v="30"/>
    <n v="1.0901226540564506"/>
    <s v="Mizuno"/>
  </r>
  <r>
    <x v="1744"/>
    <m/>
    <x v="0"/>
    <m/>
    <m/>
    <s v=""/>
    <s v=""/>
    <m/>
    <s v="0"/>
    <m/>
    <m/>
    <s v=""/>
    <m/>
  </r>
  <r>
    <x v="1745"/>
    <m/>
    <x v="0"/>
    <m/>
    <m/>
    <s v=""/>
    <s v=""/>
    <m/>
    <s v="0"/>
    <m/>
    <m/>
    <s v=""/>
    <m/>
  </r>
  <r>
    <x v="1746"/>
    <m/>
    <x v="0"/>
    <m/>
    <m/>
    <s v=""/>
    <s v=""/>
    <m/>
    <s v="0"/>
    <m/>
    <m/>
    <s v=""/>
    <m/>
  </r>
  <r>
    <x v="1747"/>
    <m/>
    <x v="0"/>
    <m/>
    <m/>
    <s v=""/>
    <s v=""/>
    <m/>
    <s v="0"/>
    <m/>
    <m/>
    <s v=""/>
    <m/>
  </r>
  <r>
    <x v="1748"/>
    <m/>
    <x v="0"/>
    <m/>
    <m/>
    <s v=""/>
    <s v=""/>
    <m/>
    <s v="0"/>
    <m/>
    <m/>
    <s v=""/>
    <m/>
  </r>
  <r>
    <x v="1749"/>
    <m/>
    <x v="0"/>
    <m/>
    <m/>
    <s v=""/>
    <s v=""/>
    <m/>
    <s v="0"/>
    <m/>
    <m/>
    <s v=""/>
    <m/>
  </r>
  <r>
    <x v="1750"/>
    <m/>
    <x v="0"/>
    <m/>
    <m/>
    <s v=""/>
    <s v=""/>
    <m/>
    <s v="0"/>
    <m/>
    <m/>
    <s v=""/>
    <m/>
  </r>
  <r>
    <x v="1751"/>
    <m/>
    <x v="0"/>
    <m/>
    <m/>
    <s v=""/>
    <s v=""/>
    <m/>
    <s v="0"/>
    <m/>
    <m/>
    <s v=""/>
    <m/>
  </r>
  <r>
    <x v="1752"/>
    <m/>
    <x v="0"/>
    <m/>
    <m/>
    <s v=""/>
    <s v=""/>
    <m/>
    <s v="0"/>
    <m/>
    <m/>
    <s v=""/>
    <m/>
  </r>
  <r>
    <x v="1753"/>
    <m/>
    <x v="0"/>
    <m/>
    <m/>
    <s v=""/>
    <s v=""/>
    <m/>
    <s v="0"/>
    <m/>
    <m/>
    <s v=""/>
    <m/>
  </r>
  <r>
    <x v="1754"/>
    <m/>
    <x v="0"/>
    <m/>
    <m/>
    <s v=""/>
    <s v=""/>
    <m/>
    <s v="0"/>
    <m/>
    <m/>
    <s v=""/>
    <m/>
  </r>
  <r>
    <x v="1755"/>
    <m/>
    <x v="0"/>
    <m/>
    <m/>
    <s v=""/>
    <s v=""/>
    <m/>
    <s v="0"/>
    <m/>
    <m/>
    <s v=""/>
    <m/>
  </r>
  <r>
    <x v="1756"/>
    <m/>
    <x v="0"/>
    <m/>
    <m/>
    <s v=""/>
    <s v=""/>
    <m/>
    <s v="0"/>
    <m/>
    <m/>
    <s v=""/>
    <m/>
  </r>
  <r>
    <x v="1757"/>
    <m/>
    <x v="0"/>
    <m/>
    <m/>
    <s v=""/>
    <s v=""/>
    <m/>
    <s v="0"/>
    <m/>
    <m/>
    <s v=""/>
    <m/>
  </r>
  <r>
    <x v="1758"/>
    <m/>
    <x v="0"/>
    <m/>
    <m/>
    <s v=""/>
    <s v=""/>
    <m/>
    <s v="0"/>
    <m/>
    <m/>
    <s v=""/>
    <m/>
  </r>
  <r>
    <x v="1759"/>
    <m/>
    <x v="0"/>
    <m/>
    <m/>
    <s v=""/>
    <s v=""/>
    <m/>
    <s v="0"/>
    <m/>
    <m/>
    <s v=""/>
    <m/>
  </r>
  <r>
    <x v="1760"/>
    <m/>
    <x v="0"/>
    <m/>
    <m/>
    <s v=""/>
    <s v=""/>
    <m/>
    <s v="0"/>
    <m/>
    <m/>
    <s v=""/>
    <m/>
  </r>
  <r>
    <x v="1761"/>
    <m/>
    <x v="0"/>
    <m/>
    <m/>
    <s v=""/>
    <s v=""/>
    <m/>
    <s v="0"/>
    <m/>
    <m/>
    <s v=""/>
    <m/>
  </r>
  <r>
    <x v="1762"/>
    <m/>
    <x v="0"/>
    <m/>
    <m/>
    <s v=""/>
    <s v=""/>
    <m/>
    <s v="0"/>
    <m/>
    <m/>
    <s v=""/>
    <m/>
  </r>
  <r>
    <x v="1763"/>
    <m/>
    <x v="0"/>
    <m/>
    <m/>
    <s v=""/>
    <s v=""/>
    <m/>
    <s v="0"/>
    <m/>
    <m/>
    <s v=""/>
    <m/>
  </r>
  <r>
    <x v="1764"/>
    <m/>
    <x v="0"/>
    <m/>
    <m/>
    <s v=""/>
    <s v=""/>
    <m/>
    <s v="0"/>
    <m/>
    <m/>
    <s v=""/>
    <m/>
  </r>
  <r>
    <x v="1765"/>
    <m/>
    <x v="0"/>
    <m/>
    <m/>
    <s v=""/>
    <s v=""/>
    <m/>
    <s v="0"/>
    <m/>
    <m/>
    <s v=""/>
    <m/>
  </r>
  <r>
    <x v="1766"/>
    <m/>
    <x v="0"/>
    <m/>
    <m/>
    <s v=""/>
    <s v=""/>
    <m/>
    <s v="0"/>
    <m/>
    <m/>
    <s v=""/>
    <m/>
  </r>
  <r>
    <x v="1767"/>
    <m/>
    <x v="0"/>
    <m/>
    <m/>
    <s v=""/>
    <s v=""/>
    <m/>
    <s v="0"/>
    <m/>
    <m/>
    <s v=""/>
    <m/>
  </r>
  <r>
    <x v="1768"/>
    <m/>
    <x v="0"/>
    <m/>
    <m/>
    <s v=""/>
    <s v=""/>
    <m/>
    <s v="0"/>
    <m/>
    <m/>
    <s v=""/>
    <m/>
  </r>
  <r>
    <x v="1769"/>
    <m/>
    <x v="0"/>
    <m/>
    <m/>
    <s v=""/>
    <s v=""/>
    <m/>
    <s v="0"/>
    <m/>
    <m/>
    <s v=""/>
    <m/>
  </r>
  <r>
    <x v="1770"/>
    <m/>
    <x v="0"/>
    <m/>
    <m/>
    <s v=""/>
    <s v=""/>
    <m/>
    <s v="0"/>
    <m/>
    <m/>
    <s v=""/>
    <m/>
  </r>
  <r>
    <x v="1771"/>
    <m/>
    <x v="0"/>
    <m/>
    <m/>
    <s v=""/>
    <s v=""/>
    <m/>
    <s v="0"/>
    <m/>
    <m/>
    <s v=""/>
    <m/>
  </r>
  <r>
    <x v="1772"/>
    <m/>
    <x v="0"/>
    <m/>
    <m/>
    <s v=""/>
    <s v=""/>
    <m/>
    <s v="0"/>
    <m/>
    <m/>
    <s v=""/>
    <m/>
  </r>
  <r>
    <x v="1773"/>
    <n v="135"/>
    <x v="1"/>
    <s v="Z2.45'"/>
    <d v="1899-12-30T00:32:14"/>
    <n v="5.37"/>
    <d v="1899-12-30T00:06:00"/>
    <n v="143"/>
    <n v="32"/>
    <n v="205"/>
    <n v="18"/>
    <n v="1.1019483587648353"/>
    <s v="HOKA Rincon 3"/>
  </r>
  <r>
    <x v="1774"/>
    <m/>
    <x v="0"/>
    <m/>
    <m/>
    <s v=""/>
    <s v=""/>
    <m/>
    <s v="0"/>
    <m/>
    <m/>
    <s v=""/>
    <m/>
  </r>
  <r>
    <x v="1775"/>
    <n v="136"/>
    <x v="1"/>
    <s v="Z2.45'"/>
    <d v="1899-12-30T00:35:45"/>
    <n v="5.98"/>
    <d v="1899-12-30T00:05:59"/>
    <n v="141"/>
    <n v="34"/>
    <n v="202"/>
    <n v="10"/>
    <n v="1.0814406229720959"/>
    <s v="HOKA Rincon 3"/>
  </r>
  <r>
    <x v="1776"/>
    <m/>
    <x v="0"/>
    <m/>
    <m/>
    <s v=""/>
    <s v=""/>
    <m/>
    <s v="0"/>
    <m/>
    <m/>
    <s v=""/>
    <m/>
  </r>
  <r>
    <x v="1777"/>
    <m/>
    <x v="0"/>
    <m/>
    <m/>
    <s v=""/>
    <s v=""/>
    <m/>
    <s v="0"/>
    <m/>
    <m/>
    <s v=""/>
    <m/>
  </r>
  <r>
    <x v="1778"/>
    <n v="137"/>
    <x v="1"/>
    <s v="Z2.45'"/>
    <d v="1899-12-30T00:31:40"/>
    <n v="5.5"/>
    <d v="1899-12-30T00:05:45"/>
    <n v="145"/>
    <n v="33"/>
    <n v="213"/>
    <n v="17"/>
    <n v="1.0982360922659431"/>
    <s v="HOKA Rincon 3"/>
  </r>
  <r>
    <x v="1779"/>
    <m/>
    <x v="0"/>
    <m/>
    <m/>
    <s v=""/>
    <s v=""/>
    <m/>
    <s v="0"/>
    <m/>
    <m/>
    <s v=""/>
    <m/>
  </r>
  <r>
    <x v="1780"/>
    <m/>
    <x v="0"/>
    <m/>
    <m/>
    <s v=""/>
    <s v=""/>
    <m/>
    <s v="0"/>
    <m/>
    <m/>
    <s v=""/>
    <m/>
  </r>
  <r>
    <x v="1781"/>
    <n v="138"/>
    <x v="1"/>
    <s v="Z2.6"/>
    <d v="1899-12-30T00:36:00"/>
    <n v="6.23"/>
    <d v="1899-12-30T00:05:47"/>
    <n v="145"/>
    <n v="37"/>
    <n v="212"/>
    <n v="22"/>
    <n v="1.0970508612635057"/>
    <s v="HOKA Rincon 3"/>
  </r>
  <r>
    <x v="1782"/>
    <m/>
    <x v="0"/>
    <m/>
    <m/>
    <s v=""/>
    <s v=""/>
    <m/>
    <s v="0"/>
    <m/>
    <m/>
    <s v=""/>
    <m/>
  </r>
  <r>
    <x v="1783"/>
    <n v="139"/>
    <x v="1"/>
    <s v="Z2.6"/>
    <d v="1899-12-30T00:37:37"/>
    <n v="6.67"/>
    <d v="1899-12-30T00:05:38"/>
    <n v="143"/>
    <n v="41"/>
    <n v="217"/>
    <n v="18"/>
    <n v="1.0959497863008794"/>
    <s v="HOKA Rincon 3"/>
  </r>
  <r>
    <x v="1784"/>
    <m/>
    <x v="0"/>
    <m/>
    <m/>
    <s v=""/>
    <s v=""/>
    <m/>
    <s v="0"/>
    <m/>
    <m/>
    <s v=""/>
    <m/>
  </r>
  <r>
    <x v="1785"/>
    <n v="140"/>
    <x v="1"/>
    <s v="Z2.6"/>
    <d v="1899-12-30T00:38:47"/>
    <n v="6.92"/>
    <d v="1899-12-30T00:05:36"/>
    <n v="138"/>
    <n v="43"/>
    <n v="217"/>
    <n v="24"/>
    <n v="1.0891187127944093"/>
    <s v="HOKA Rincon 3"/>
  </r>
  <r>
    <x v="1786"/>
    <m/>
    <x v="0"/>
    <m/>
    <m/>
    <s v=""/>
    <s v=""/>
    <m/>
    <s v="0"/>
    <m/>
    <m/>
    <s v=""/>
    <m/>
  </r>
  <r>
    <x v="1787"/>
    <n v="141"/>
    <x v="1"/>
    <s v="Z2.6"/>
    <d v="1899-12-30T00:40:21"/>
    <n v="7.27"/>
    <d v="1899-12-30T00:05:33"/>
    <n v="144"/>
    <n v="50"/>
    <n v="217"/>
    <n v="14"/>
    <n v="1.0785624833193044"/>
    <s v="Mizuno"/>
  </r>
  <r>
    <x v="1788"/>
    <m/>
    <x v="0"/>
    <m/>
    <m/>
    <s v=""/>
    <s v=""/>
    <m/>
    <s v="0"/>
    <m/>
    <m/>
    <s v=""/>
    <m/>
  </r>
  <r>
    <x v="1789"/>
    <n v="142"/>
    <x v="1"/>
    <s v="Z2.6"/>
    <d v="1899-12-30T00:39:39"/>
    <n v="7.17"/>
    <d v="1899-12-30T00:05:32"/>
    <n v="143"/>
    <n v="51"/>
    <n v="220"/>
    <n v="13"/>
    <n v="1.0894897895459938"/>
    <s v="HOKA Rincon 3"/>
  </r>
  <r>
    <x v="1790"/>
    <m/>
    <x v="0"/>
    <m/>
    <m/>
    <s v=""/>
    <s v=""/>
    <m/>
    <s v="0"/>
    <m/>
    <m/>
    <s v=""/>
    <m/>
  </r>
  <r>
    <x v="1791"/>
    <n v="143"/>
    <x v="2"/>
    <s v="Z2.8"/>
    <d v="1899-12-30T00:48:51"/>
    <n v="8.43"/>
    <d v="1899-12-30T00:05:48"/>
    <n v="145"/>
    <n v="57"/>
    <n v="208"/>
    <n v="18"/>
    <n v="1.0793859882084245"/>
    <s v="HOKA Rincon 3"/>
  </r>
  <r>
    <x v="1792"/>
    <m/>
    <x v="0"/>
    <m/>
    <m/>
    <s v=""/>
    <s v=""/>
    <m/>
    <s v="0"/>
    <m/>
    <m/>
    <s v=""/>
    <m/>
  </r>
  <r>
    <x v="1793"/>
    <m/>
    <x v="0"/>
    <m/>
    <m/>
    <s v=""/>
    <s v=""/>
    <m/>
    <s v="0"/>
    <m/>
    <m/>
    <s v=""/>
    <m/>
  </r>
  <r>
    <x v="1794"/>
    <n v="144"/>
    <x v="1"/>
    <s v="Z2.6"/>
    <d v="1899-12-30T00:36:58"/>
    <n v="6.54"/>
    <d v="1899-12-30T00:05:39"/>
    <n v="136"/>
    <n v="45"/>
    <n v="214"/>
    <n v="19"/>
    <n v="1.0832352001460588"/>
    <s v="Adidas Solarglide 5"/>
  </r>
  <r>
    <x v="1795"/>
    <m/>
    <x v="0"/>
    <m/>
    <m/>
    <s v=""/>
    <s v=""/>
    <m/>
    <s v="0"/>
    <m/>
    <m/>
    <s v=""/>
    <m/>
  </r>
  <r>
    <x v="1796"/>
    <n v="145"/>
    <x v="1"/>
    <s v="Z2.6"/>
    <d v="1899-12-30T00:35:39"/>
    <n v="6.24"/>
    <d v="1899-12-30T00:05:43"/>
    <n v="150"/>
    <n v="43"/>
    <n v="214"/>
    <n v="20"/>
    <n v="1.0948765786452352"/>
    <s v="HOKA Rincon 3"/>
  </r>
  <r>
    <x v="1797"/>
    <m/>
    <x v="0"/>
    <m/>
    <m/>
    <s v=""/>
    <s v=""/>
    <m/>
    <s v="0"/>
    <m/>
    <m/>
    <s v=""/>
    <m/>
  </r>
  <r>
    <x v="1798"/>
    <m/>
    <x v="0"/>
    <m/>
    <m/>
    <s v=""/>
    <s v=""/>
    <m/>
    <s v="0"/>
    <m/>
    <m/>
    <s v=""/>
    <m/>
  </r>
  <r>
    <x v="1799"/>
    <m/>
    <x v="0"/>
    <m/>
    <m/>
    <s v=""/>
    <s v=""/>
    <m/>
    <s v="0"/>
    <m/>
    <m/>
    <s v=""/>
    <m/>
  </r>
  <r>
    <x v="1800"/>
    <m/>
    <x v="0"/>
    <m/>
    <m/>
    <s v=""/>
    <s v=""/>
    <m/>
    <s v="0"/>
    <m/>
    <m/>
    <s v=""/>
    <m/>
  </r>
  <r>
    <x v="1801"/>
    <m/>
    <x v="0"/>
    <m/>
    <m/>
    <s v=""/>
    <s v=""/>
    <m/>
    <s v="0"/>
    <m/>
    <m/>
    <s v=""/>
    <m/>
  </r>
  <r>
    <x v="1802"/>
    <n v="146"/>
    <x v="1"/>
    <s v="Z2.8"/>
    <d v="1899-12-30T00:50:50"/>
    <n v="8.74"/>
    <d v="1899-12-30T00:05:49"/>
    <n v="140"/>
    <n v="59"/>
    <n v="209"/>
    <n v="28"/>
    <n v="1.0885788449059055"/>
    <s v="HOKA Rincon 3"/>
  </r>
  <r>
    <x v="1803"/>
    <m/>
    <x v="0"/>
    <m/>
    <m/>
    <s v=""/>
    <s v=""/>
    <m/>
    <s v="0"/>
    <m/>
    <m/>
    <s v=""/>
    <m/>
  </r>
  <r>
    <x v="1804"/>
    <m/>
    <x v="0"/>
    <m/>
    <m/>
    <s v=""/>
    <s v=""/>
    <m/>
    <s v="0"/>
    <m/>
    <m/>
    <s v=""/>
    <m/>
  </r>
  <r>
    <x v="1805"/>
    <m/>
    <x v="0"/>
    <m/>
    <m/>
    <s v=""/>
    <s v=""/>
    <m/>
    <s v="0"/>
    <m/>
    <m/>
    <s v=""/>
    <m/>
  </r>
  <r>
    <x v="1806"/>
    <n v="147"/>
    <x v="1"/>
    <s v="Z2.6"/>
    <d v="1899-12-30T00:32:28"/>
    <n v="5.59"/>
    <d v="1899-12-30T00:05:48"/>
    <n v="139"/>
    <n v="36"/>
    <n v="207"/>
    <n v="12"/>
    <n v="1.0766453955624382"/>
    <s v="HOKA Rincon 3"/>
  </r>
  <r>
    <x v="1807"/>
    <m/>
    <x v="0"/>
    <m/>
    <m/>
    <s v=""/>
    <s v=""/>
    <m/>
    <s v="0"/>
    <m/>
    <m/>
    <s v=""/>
    <m/>
  </r>
  <r>
    <x v="1808"/>
    <m/>
    <x v="0"/>
    <m/>
    <m/>
    <s v=""/>
    <s v=""/>
    <m/>
    <s v="0"/>
    <m/>
    <m/>
    <s v=""/>
    <m/>
  </r>
  <r>
    <x v="1809"/>
    <m/>
    <x v="0"/>
    <m/>
    <m/>
    <s v=""/>
    <s v=""/>
    <m/>
    <s v="0"/>
    <m/>
    <m/>
    <s v=""/>
    <m/>
  </r>
  <r>
    <x v="1810"/>
    <m/>
    <x v="0"/>
    <m/>
    <m/>
    <s v=""/>
    <s v=""/>
    <m/>
    <s v="0"/>
    <m/>
    <m/>
    <s v=""/>
    <m/>
  </r>
  <r>
    <x v="1811"/>
    <m/>
    <x v="0"/>
    <m/>
    <m/>
    <s v=""/>
    <s v=""/>
    <m/>
    <s v="0"/>
    <m/>
    <m/>
    <s v=""/>
    <m/>
  </r>
  <r>
    <x v="1812"/>
    <m/>
    <x v="0"/>
    <m/>
    <m/>
    <s v=""/>
    <s v=""/>
    <m/>
    <s v="0"/>
    <m/>
    <m/>
    <s v=""/>
    <m/>
  </r>
  <r>
    <x v="1813"/>
    <m/>
    <x v="0"/>
    <m/>
    <m/>
    <s v=""/>
    <s v=""/>
    <m/>
    <s v="0"/>
    <m/>
    <m/>
    <s v=""/>
    <m/>
  </r>
  <r>
    <x v="1814"/>
    <n v="148"/>
    <x v="1"/>
    <s v="Z2.6"/>
    <d v="1899-12-30T00:39:39"/>
    <n v="6.71"/>
    <d v="1899-12-30T00:05:55"/>
    <n v="138"/>
    <n v="44"/>
    <n v="206"/>
    <n v="15"/>
    <n v="1.0900949796472184"/>
    <s v="Mizuno"/>
  </r>
  <r>
    <x v="1815"/>
    <m/>
    <x v="0"/>
    <m/>
    <m/>
    <s v=""/>
    <s v=""/>
    <m/>
    <s v="0"/>
    <m/>
    <m/>
    <s v=""/>
    <m/>
  </r>
  <r>
    <x v="1816"/>
    <n v="149"/>
    <x v="1"/>
    <s v="Z2.45'"/>
    <d v="1899-12-30T00:47:35"/>
    <n v="8.85"/>
    <d v="1899-12-30T00:05:23"/>
    <n v="143"/>
    <n v="66"/>
    <n v="226"/>
    <n v="29"/>
    <n v="1.0881693228771399"/>
    <s v="Mizuno"/>
  </r>
  <r>
    <x v="1817"/>
    <m/>
    <x v="0"/>
    <m/>
    <m/>
    <s v=""/>
    <s v=""/>
    <m/>
    <s v="0"/>
    <m/>
    <m/>
    <s v=""/>
    <m/>
  </r>
  <r>
    <x v="1818"/>
    <m/>
    <x v="0"/>
    <m/>
    <m/>
    <s v=""/>
    <s v=""/>
    <m/>
    <s v="0"/>
    <m/>
    <m/>
    <s v=""/>
    <m/>
  </r>
  <r>
    <x v="1819"/>
    <n v="150"/>
    <x v="2"/>
    <s v="Z2.60'"/>
    <d v="1899-12-30T01:00:33"/>
    <n v="10.3"/>
    <d v="1899-12-30T00:05:53"/>
    <n v="137"/>
    <n v="66"/>
    <n v="203"/>
    <n v="38"/>
    <n v="1.0686842486596144"/>
    <s v="HOKA Rincon 3"/>
  </r>
  <r>
    <x v="1820"/>
    <m/>
    <x v="0"/>
    <m/>
    <m/>
    <s v=""/>
    <s v=""/>
    <m/>
    <s v="0"/>
    <m/>
    <m/>
    <s v=""/>
    <m/>
  </r>
  <r>
    <x v="1821"/>
    <m/>
    <x v="0"/>
    <m/>
    <m/>
    <s v=""/>
    <s v=""/>
    <m/>
    <s v="0"/>
    <m/>
    <m/>
    <s v=""/>
    <m/>
  </r>
  <r>
    <x v="1822"/>
    <n v="151"/>
    <x v="2"/>
    <s v="Z2.60'"/>
    <d v="1899-12-30T01:09:46"/>
    <n v="12.1"/>
    <d v="1899-12-30T00:05:46"/>
    <n v="145"/>
    <n v="81"/>
    <n v="209"/>
    <n v="50"/>
    <n v="1.0791587516960657"/>
    <s v="HOKA Rincon 3"/>
  </r>
  <r>
    <x v="1823"/>
    <m/>
    <x v="0"/>
    <m/>
    <m/>
    <s v=""/>
    <s v=""/>
    <m/>
    <s v="0"/>
    <m/>
    <m/>
    <s v=""/>
    <m/>
  </r>
  <r>
    <x v="1824"/>
    <n v="152"/>
    <x v="1"/>
    <s v="Z2.60'"/>
    <d v="1899-12-30T00:51:19"/>
    <n v="9.36"/>
    <d v="1899-12-30T00:05:29"/>
    <n v="134"/>
    <n v="67"/>
    <n v="222"/>
    <n v="32"/>
    <n v="1.0899636433218522"/>
    <s v="Mizuno"/>
  </r>
  <r>
    <x v="1825"/>
    <m/>
    <x v="0"/>
    <m/>
    <m/>
    <s v=""/>
    <s v=""/>
    <m/>
    <s v="0"/>
    <m/>
    <m/>
    <s v=""/>
    <m/>
  </r>
  <r>
    <x v="1826"/>
    <n v="153"/>
    <x v="2"/>
    <s v="Z3.60'"/>
    <d v="1899-12-30T01:14:58"/>
    <n v="13.2"/>
    <d v="1899-12-30T00:05:41"/>
    <n v="143"/>
    <n v="88"/>
    <n v="211"/>
    <n v="47"/>
    <n v="1.0731320669380369"/>
    <s v="HOKA Rincon 3"/>
  </r>
  <r>
    <x v="1827"/>
    <m/>
    <x v="0"/>
    <m/>
    <m/>
    <s v=""/>
    <s v=""/>
    <m/>
    <s v="0"/>
    <m/>
    <m/>
    <s v=""/>
    <m/>
  </r>
  <r>
    <x v="1828"/>
    <m/>
    <x v="0"/>
    <m/>
    <m/>
    <s v=""/>
    <s v=""/>
    <m/>
    <s v="0"/>
    <m/>
    <m/>
    <s v=""/>
    <m/>
  </r>
  <r>
    <x v="1829"/>
    <n v="1"/>
    <x v="2"/>
    <s v="Z2.45'"/>
    <d v="1899-12-30T00:47:05"/>
    <n v="8.01"/>
    <d v="1899-12-30T00:05:53"/>
    <n v="144"/>
    <n v="51"/>
    <n v="203"/>
    <n v="13"/>
    <n v="1.0685803193768981"/>
    <s v="HOKA Rincon 3"/>
  </r>
  <r>
    <x v="1830"/>
    <m/>
    <x v="0"/>
    <m/>
    <m/>
    <s v=""/>
    <s v=""/>
    <m/>
    <s v="0"/>
    <m/>
    <m/>
    <s v=""/>
    <m/>
  </r>
  <r>
    <x v="1831"/>
    <n v="2"/>
    <x v="1"/>
    <s v="Z3.60'"/>
    <d v="1899-12-30T00:46:31"/>
    <n v="9.31"/>
    <d v="1899-12-30T00:05:00"/>
    <n v="152"/>
    <n v="72"/>
    <n v="241"/>
    <n v="40"/>
    <n v="1.0783317568975743"/>
    <s v="Adizero Boston 8"/>
  </r>
  <r>
    <x v="1832"/>
    <m/>
    <x v="0"/>
    <m/>
    <m/>
    <s v=""/>
    <s v=""/>
    <m/>
    <s v="0"/>
    <m/>
    <m/>
    <s v=""/>
    <m/>
  </r>
  <r>
    <x v="1833"/>
    <n v="3"/>
    <x v="2"/>
    <s v="Z2.70'"/>
    <d v="1899-12-30T01:10:50"/>
    <n v="12.6"/>
    <d v="1899-12-30T00:05:37"/>
    <n v="139"/>
    <n v="85"/>
    <n v="213"/>
    <n v="50"/>
    <n v="1.0723169864960911"/>
    <s v="HOKA Clifton 7"/>
  </r>
  <r>
    <x v="1834"/>
    <m/>
    <x v="0"/>
    <m/>
    <m/>
    <s v=""/>
    <s v=""/>
    <m/>
    <s v="0"/>
    <m/>
    <m/>
    <s v=""/>
    <m/>
  </r>
  <r>
    <x v="1835"/>
    <m/>
    <x v="0"/>
    <m/>
    <m/>
    <s v=""/>
    <s v=""/>
    <m/>
    <s v="0"/>
    <m/>
    <m/>
    <s v=""/>
    <m/>
  </r>
  <r>
    <x v="1836"/>
    <m/>
    <x v="0"/>
    <m/>
    <m/>
    <s v=""/>
    <s v=""/>
    <m/>
    <s v="0"/>
    <m/>
    <m/>
    <s v=""/>
    <m/>
  </r>
  <r>
    <x v="1837"/>
    <n v="4"/>
    <x v="2"/>
    <s v="Z2.60'"/>
    <d v="1899-12-30T01:01:04"/>
    <n v="10.3"/>
    <d v="1899-12-30T00:05:56"/>
    <n v="132"/>
    <n v="68"/>
    <n v="204"/>
    <n v="29"/>
    <n v="1.0831125923779159"/>
    <s v="HOKA Rincon 3"/>
  </r>
  <r>
    <x v="1838"/>
    <m/>
    <x v="0"/>
    <m/>
    <m/>
    <s v=""/>
    <s v=""/>
    <m/>
    <s v="0"/>
    <m/>
    <m/>
    <s v=""/>
    <m/>
  </r>
  <r>
    <x v="1839"/>
    <m/>
    <x v="0"/>
    <m/>
    <m/>
    <s v=""/>
    <s v=""/>
    <m/>
    <s v="0"/>
    <m/>
    <m/>
    <s v=""/>
    <m/>
  </r>
  <r>
    <x v="1840"/>
    <m/>
    <x v="0"/>
    <m/>
    <m/>
    <s v=""/>
    <s v=""/>
    <m/>
    <s v="0"/>
    <m/>
    <m/>
    <s v=""/>
    <m/>
  </r>
  <r>
    <x v="1841"/>
    <m/>
    <x v="0"/>
    <m/>
    <m/>
    <s v=""/>
    <s v=""/>
    <m/>
    <s v="0"/>
    <m/>
    <m/>
    <s v=""/>
    <m/>
  </r>
  <r>
    <x v="1842"/>
    <m/>
    <x v="0"/>
    <m/>
    <m/>
    <s v=""/>
    <s v=""/>
    <m/>
    <s v="0"/>
    <m/>
    <m/>
    <s v=""/>
    <m/>
  </r>
  <r>
    <x v="1843"/>
    <m/>
    <x v="0"/>
    <m/>
    <m/>
    <s v=""/>
    <s v=""/>
    <m/>
    <s v="0"/>
    <m/>
    <m/>
    <s v=""/>
    <m/>
  </r>
  <r>
    <x v="1844"/>
    <m/>
    <x v="0"/>
    <m/>
    <m/>
    <s v=""/>
    <s v=""/>
    <m/>
    <s v="0"/>
    <m/>
    <m/>
    <s v=""/>
    <m/>
  </r>
  <r>
    <x v="1845"/>
    <m/>
    <x v="0"/>
    <m/>
    <m/>
    <s v=""/>
    <s v=""/>
    <m/>
    <s v="0"/>
    <m/>
    <m/>
    <s v=""/>
    <m/>
  </r>
  <r>
    <x v="1846"/>
    <m/>
    <x v="0"/>
    <m/>
    <m/>
    <s v=""/>
    <s v=""/>
    <m/>
    <s v="0"/>
    <m/>
    <m/>
    <s v=""/>
    <m/>
  </r>
  <r>
    <x v="1847"/>
    <n v="5"/>
    <x v="2"/>
    <s v="Z2.45'"/>
    <d v="1899-12-30T00:45:54"/>
    <n v="7.54"/>
    <d v="1899-12-30T00:06:05"/>
    <n v="133"/>
    <n v="48"/>
    <n v="196"/>
    <n v="28"/>
    <n v="1.0684983570212598"/>
    <s v="HOKA Rincon 3"/>
  </r>
  <r>
    <x v="1848"/>
    <m/>
    <x v="0"/>
    <m/>
    <m/>
    <s v=""/>
    <s v=""/>
    <m/>
    <s v="0"/>
    <m/>
    <m/>
    <s v=""/>
    <m/>
  </r>
  <r>
    <x v="1849"/>
    <n v="6"/>
    <x v="2"/>
    <s v="Z2.45'"/>
    <d v="1899-12-30T00:40:06"/>
    <n v="6.92"/>
    <d v="1899-12-30T00:05:48"/>
    <n v="132"/>
    <n v="45"/>
    <n v="206"/>
    <n v="29"/>
    <n v="1.0690104391338107"/>
    <s v="Mizuno"/>
  </r>
  <r>
    <x v="1850"/>
    <m/>
    <x v="0"/>
    <m/>
    <m/>
    <s v=""/>
    <s v=""/>
    <m/>
    <s v="0"/>
    <m/>
    <m/>
    <s v=""/>
    <m/>
  </r>
  <r>
    <x v="1851"/>
    <n v="7"/>
    <x v="1"/>
    <s v="CP"/>
    <d v="1899-12-30T00:47:35"/>
    <n v="8.68"/>
    <d v="1899-12-30T00:05:29"/>
    <n v="147"/>
    <n v="62"/>
    <n v="216"/>
    <n v="27"/>
    <n v="1.0603892977508771"/>
    <s v="HOKA Carbon X"/>
  </r>
  <r>
    <x v="1852"/>
    <n v="8"/>
    <x v="1"/>
    <s v="str"/>
    <d v="1899-12-30T00:32:19"/>
    <n v="5.58"/>
    <d v="1899-12-30T00:05:47"/>
    <n v="133"/>
    <n v="38"/>
    <n v="207"/>
    <n v="20"/>
    <n v="1.0735917188252286"/>
    <s v="Mizuno"/>
  </r>
  <r>
    <x v="1853"/>
    <m/>
    <x v="0"/>
    <m/>
    <m/>
    <s v=""/>
    <s v=""/>
    <m/>
    <s v="0"/>
    <m/>
    <m/>
    <s v=""/>
    <m/>
  </r>
  <r>
    <x v="1854"/>
    <n v="9"/>
    <x v="2"/>
    <s v="Z2.45'"/>
    <d v="1899-12-30T00:43:10"/>
    <n v="7.08"/>
    <d v="1899-12-30T00:06:06"/>
    <n v="139"/>
    <n v="44"/>
    <n v="195"/>
    <n v="26"/>
    <n v="1.0646976979509235"/>
    <s v="Mizuno"/>
  </r>
  <r>
    <x v="1855"/>
    <m/>
    <x v="0"/>
    <m/>
    <m/>
    <s v=""/>
    <s v=""/>
    <m/>
    <s v="0"/>
    <m/>
    <m/>
    <s v=""/>
    <m/>
  </r>
  <r>
    <x v="1856"/>
    <m/>
    <x v="0"/>
    <m/>
    <m/>
    <s v=""/>
    <s v=""/>
    <m/>
    <s v="0"/>
    <m/>
    <m/>
    <s v=""/>
    <m/>
  </r>
  <r>
    <x v="1857"/>
    <n v="10"/>
    <x v="2"/>
    <s v="Z2.45'"/>
    <d v="1899-12-30T00:36:38"/>
    <n v="6.33"/>
    <d v="1899-12-30T00:05:47"/>
    <n v="133"/>
    <n v="41"/>
    <n v="207"/>
    <n v="23"/>
    <n v="1.0728018674400508"/>
    <s v="Mizuno"/>
  </r>
  <r>
    <x v="1858"/>
    <m/>
    <x v="0"/>
    <m/>
    <m/>
    <s v=""/>
    <s v=""/>
    <m/>
    <s v="0"/>
    <m/>
    <m/>
    <s v=""/>
    <m/>
  </r>
  <r>
    <x v="1859"/>
    <n v="11"/>
    <x v="2"/>
    <s v="Z2.6"/>
    <d v="1899-12-30T00:35:47"/>
    <n v="5.84"/>
    <d v="1899-12-30T00:06:08"/>
    <n v="137"/>
    <n v="37"/>
    <n v="193"/>
    <n v="15"/>
    <n v="1.0590140053158863"/>
    <s v="Mizuno"/>
  </r>
  <r>
    <x v="1860"/>
    <n v="12"/>
    <x v="2"/>
    <s v="Z2.45'"/>
    <d v="1899-12-30T00:34:37"/>
    <n v="5.53"/>
    <d v="1899-12-30T00:06:16"/>
    <n v="138"/>
    <n v="36"/>
    <n v="192"/>
    <n v="21"/>
    <n v="1.0763110307414103"/>
    <s v="Adidas Solarglide 5"/>
  </r>
  <r>
    <x v="1861"/>
    <m/>
    <x v="0"/>
    <m/>
    <m/>
    <s v=""/>
    <s v=""/>
    <m/>
    <s v="0"/>
    <m/>
    <m/>
    <s v=""/>
    <m/>
  </r>
  <r>
    <x v="1862"/>
    <n v="13"/>
    <x v="2"/>
    <s v="Z2.60'"/>
    <d v="1899-12-30T00:59:23"/>
    <n v="9.7899999999999991"/>
    <d v="1899-12-30T00:06:04"/>
    <n v="132"/>
    <n v="64"/>
    <n v="198"/>
    <n v="33"/>
    <n v="1.0755324501090058"/>
    <s v="HOKA Rincon 3"/>
  </r>
  <r>
    <x v="1863"/>
    <n v="14"/>
    <x v="2"/>
    <s v="Z2.45'"/>
    <d v="1899-12-30T00:40:26"/>
    <n v="6.81"/>
    <d v="1899-12-30T00:05:56"/>
    <n v="135"/>
    <n v="44"/>
    <n v="202"/>
    <n v="22"/>
    <n v="1.0740394941591602"/>
    <s v="HOKA Rincon 3"/>
  </r>
  <r>
    <x v="1864"/>
    <n v="15"/>
    <x v="1"/>
    <s v="6x1'"/>
    <d v="1899-12-30T00:40:34"/>
    <n v="7.27"/>
    <d v="1899-12-30T00:05:35"/>
    <n v="136"/>
    <n v="52"/>
    <n v="213"/>
    <n v="19"/>
    <n v="1.0643659282678768"/>
    <s v="HOKA Rincon 3"/>
  </r>
  <r>
    <x v="1865"/>
    <m/>
    <x v="0"/>
    <m/>
    <m/>
    <s v=""/>
    <s v=""/>
    <m/>
    <s v="0"/>
    <m/>
    <m/>
    <s v=""/>
    <m/>
  </r>
  <r>
    <x v="1866"/>
    <n v="16"/>
    <x v="1"/>
    <s v="str"/>
    <d v="1899-12-30T00:34:26"/>
    <n v="5.99"/>
    <d v="1899-12-30T00:05:45"/>
    <n v="136"/>
    <n v="40"/>
    <n v="205"/>
    <n v="19"/>
    <n v="1.055316074053771"/>
    <s v="Adizero Boston 8"/>
  </r>
  <r>
    <x v="1867"/>
    <n v="17"/>
    <x v="1"/>
    <s v="Z2.45'"/>
    <d v="1899-12-30T00:37:43"/>
    <n v="6.34"/>
    <d v="1899-12-30T00:05:57"/>
    <n v="129"/>
    <n v="39"/>
    <n v="196"/>
    <n v="17"/>
    <n v="1.0441828711332926"/>
    <s v="HOKA Clifton 7"/>
  </r>
  <r>
    <x v="1868"/>
    <m/>
    <x v="0"/>
    <m/>
    <m/>
    <s v=""/>
    <s v=""/>
    <m/>
    <s v="0"/>
    <m/>
    <m/>
    <s v=""/>
    <m/>
  </r>
  <r>
    <x v="1869"/>
    <n v="18"/>
    <x v="2"/>
    <s v="Z2.45'"/>
    <d v="1899-12-30T00:42:55"/>
    <n v="6.99"/>
    <d v="1899-12-30T00:06:08"/>
    <n v="129"/>
    <n v="44"/>
    <n v="195"/>
    <n v="24"/>
    <n v="1.0721606559477292"/>
    <s v="Mizuno"/>
  </r>
  <r>
    <x v="1870"/>
    <n v="19"/>
    <x v="1"/>
    <s v="Z2.6"/>
    <d v="1899-12-30T00:37:28"/>
    <n v="6.56"/>
    <d v="1899-12-30T00:05:43"/>
    <n v="126"/>
    <n v="43"/>
    <n v="209"/>
    <n v="19"/>
    <n v="1.0689661448853296"/>
    <s v="HOKA Rincon 3"/>
  </r>
  <r>
    <x v="1871"/>
    <n v="20"/>
    <x v="1"/>
    <s v="Z5.5x3'"/>
    <d v="1899-12-30T00:54:21"/>
    <n v="9.74"/>
    <d v="1899-12-30T00:05:35"/>
    <n v="143"/>
    <n v="72"/>
    <n v="213"/>
    <n v="24"/>
    <n v="1.0643798461491312"/>
    <s v="HOKA Carbon X"/>
  </r>
  <r>
    <x v="1872"/>
    <m/>
    <x v="0"/>
    <m/>
    <m/>
    <s v=""/>
    <s v=""/>
    <m/>
    <s v="0"/>
    <m/>
    <m/>
    <s v=""/>
    <m/>
  </r>
  <r>
    <x v="1873"/>
    <n v="21"/>
    <x v="1"/>
    <s v="str"/>
    <d v="1899-12-30T00:37:05"/>
    <n v="6.52"/>
    <d v="1899-12-30T00:05:41"/>
    <n v="138"/>
    <n v="44"/>
    <n v="208"/>
    <n v="20"/>
    <n v="1.059426792418277"/>
    <s v="HOKA Clifton 8"/>
  </r>
  <r>
    <x v="1874"/>
    <m/>
    <x v="0"/>
    <m/>
    <m/>
    <s v=""/>
    <s v=""/>
    <m/>
    <s v="0"/>
    <m/>
    <m/>
    <s v=""/>
    <m/>
  </r>
  <r>
    <x v="1875"/>
    <n v="22"/>
    <x v="2"/>
    <s v="Z2.60'"/>
    <d v="1899-12-30T00:59:41"/>
    <n v="10.029999999999999"/>
    <d v="1899-12-30T00:05:57"/>
    <n v="133"/>
    <n v="69"/>
    <n v="200"/>
    <n v="35"/>
    <n v="1.0657579500305057"/>
    <s v="HOKA Rincon 3"/>
  </r>
  <r>
    <x v="1876"/>
    <m/>
    <x v="0"/>
    <m/>
    <m/>
    <s v=""/>
    <s v=""/>
    <m/>
    <s v="0"/>
    <m/>
    <m/>
    <s v=""/>
    <m/>
  </r>
  <r>
    <x v="1877"/>
    <n v="23"/>
    <x v="1"/>
    <s v="Z2.6"/>
    <d v="1899-12-30T00:39:20"/>
    <n v="6.72"/>
    <d v="1899-12-30T00:05:51"/>
    <n v="133"/>
    <n v="43"/>
    <n v="202"/>
    <n v="14"/>
    <n v="1.0588130774697939"/>
    <s v="HOKA Clifton 8"/>
  </r>
  <r>
    <x v="1878"/>
    <n v="24"/>
    <x v="1"/>
    <s v="Z5.5x3'"/>
    <d v="1899-12-30T00:50:28"/>
    <n v="9.2200000000000006"/>
    <d v="1899-12-30T00:05:28"/>
    <n v="135"/>
    <n v="67"/>
    <n v="215"/>
    <n v="15"/>
    <n v="1.0538737980380095"/>
    <s v="HOKA Carbon X"/>
  </r>
  <r>
    <x v="1879"/>
    <m/>
    <x v="0"/>
    <m/>
    <m/>
    <s v=""/>
    <s v=""/>
    <m/>
    <s v="0"/>
    <m/>
    <m/>
    <s v=""/>
    <m/>
  </r>
  <r>
    <x v="1880"/>
    <n v="25"/>
    <x v="1"/>
    <s v="str"/>
    <d v="1899-12-30T00:35:45"/>
    <n v="6.2"/>
    <d v="1899-12-30T00:05:46"/>
    <n v="136"/>
    <n v="41"/>
    <n v="205"/>
    <n v="12"/>
    <n v="1.0585580163697641"/>
    <s v="HOKA Rincon 3"/>
  </r>
  <r>
    <x v="1881"/>
    <n v="26"/>
    <x v="2"/>
    <s v="Z2.45'"/>
    <d v="1899-12-30T00:38:48"/>
    <n v="6.41"/>
    <d v="1899-12-30T00:06:03"/>
    <n v="132"/>
    <n v="40"/>
    <n v="193"/>
    <n v="14"/>
    <n v="1.0461825040165784"/>
    <s v="HOKA Clifton 8"/>
  </r>
  <r>
    <x v="1882"/>
    <n v="27"/>
    <x v="2"/>
    <s v="Z2.60'"/>
    <d v="1899-12-30T01:10:39"/>
    <n v="11.7"/>
    <d v="1899-12-30T00:06:02"/>
    <n v="131"/>
    <n v="80"/>
    <n v="199"/>
    <n v="45"/>
    <n v="1.0761079219288177"/>
    <s v="Mizuno"/>
  </r>
  <r>
    <x v="1883"/>
    <m/>
    <x v="0"/>
    <m/>
    <m/>
    <s v=""/>
    <s v=""/>
    <m/>
    <s v="0"/>
    <m/>
    <m/>
    <s v=""/>
    <m/>
  </r>
  <r>
    <x v="1884"/>
    <n v="28"/>
    <x v="1"/>
    <s v="Z2.45'"/>
    <d v="1899-12-30T00:41:45"/>
    <n v="7.24"/>
    <d v="1899-12-30T00:05:46"/>
    <n v="133"/>
    <n v="47"/>
    <n v="205"/>
    <n v="21"/>
    <n v="1.0586398119897749"/>
    <s v="HOKA Clifton 8"/>
  </r>
  <r>
    <x v="1885"/>
    <n v="29"/>
    <x v="1"/>
    <s v="8x1'/1'"/>
    <d v="1899-12-30T00:51:02"/>
    <n v="9.0399999999999991"/>
    <d v="1899-12-30T00:05:39"/>
    <n v="137"/>
    <n v="65"/>
    <n v="209"/>
    <n v="15"/>
    <n v="1.0565942411834632"/>
    <s v="HOKA Carbon X"/>
  </r>
  <r>
    <x v="1886"/>
    <m/>
    <x v="0"/>
    <m/>
    <m/>
    <s v=""/>
    <s v=""/>
    <m/>
    <s v="0"/>
    <m/>
    <m/>
    <s v=""/>
    <m/>
  </r>
  <r>
    <x v="1887"/>
    <n v="30"/>
    <x v="1"/>
    <s v="str"/>
    <d v="1899-12-30T00:40:57"/>
    <n v="7.46"/>
    <d v="1899-12-30T00:05:29"/>
    <n v="134"/>
    <n v="54"/>
    <n v="222"/>
    <n v="21"/>
    <n v="1.0913008683125927"/>
    <s v="HOKA Rincon 3"/>
  </r>
  <r>
    <x v="1888"/>
    <n v="31"/>
    <x v="1"/>
    <s v="Z2.45'"/>
    <d v="1899-12-30T00:40:14"/>
    <n v="7.14"/>
    <d v="1899-12-30T00:05:38"/>
    <n v="129"/>
    <n v="48"/>
    <n v="212"/>
    <n v="17"/>
    <n v="1.0697938877043356"/>
    <s v="HOKA Clifton 8"/>
  </r>
  <r>
    <x v="1889"/>
    <m/>
    <x v="0"/>
    <m/>
    <m/>
    <s v=""/>
    <s v=""/>
    <m/>
    <s v="0"/>
    <m/>
    <m/>
    <s v=""/>
    <m/>
  </r>
  <r>
    <x v="1890"/>
    <n v="32"/>
    <x v="1"/>
    <s v="Z2.60'"/>
    <d v="1899-12-30T00:56:11"/>
    <n v="9.8699999999999992"/>
    <d v="1899-12-30T00:05:42"/>
    <n v="130"/>
    <n v="69"/>
    <n v="216"/>
    <n v="23"/>
    <n v="1.1010842444313389"/>
    <s v="Mizuno"/>
  </r>
  <r>
    <x v="1891"/>
    <m/>
    <x v="0"/>
    <m/>
    <m/>
    <s v=""/>
    <s v=""/>
    <m/>
    <s v="0"/>
    <m/>
    <m/>
    <s v=""/>
    <m/>
  </r>
  <r>
    <x v="1892"/>
    <n v="33"/>
    <x v="1"/>
    <s v="Z2.45'"/>
    <d v="1899-12-30T00:40:08"/>
    <n v="7.32"/>
    <d v="1899-12-30T00:05:29"/>
    <n v="138"/>
    <n v="53"/>
    <n v="223"/>
    <n v="19"/>
    <n v="1.0949025364978384"/>
    <s v="HOKA Rincon 3"/>
  </r>
  <r>
    <x v="1893"/>
    <n v="34"/>
    <x v="1"/>
    <s v="8x1'/1'"/>
    <d v="1899-12-30T00:41:12"/>
    <n v="7.92"/>
    <d v="1899-12-30T00:05:12"/>
    <n v="141"/>
    <n v="58"/>
    <n v="228"/>
    <n v="19"/>
    <n v="1.062143826322931"/>
    <s v="HOKA Carbon X"/>
  </r>
  <r>
    <x v="1894"/>
    <m/>
    <x v="0"/>
    <m/>
    <m/>
    <s v=""/>
    <s v=""/>
    <m/>
    <s v="0"/>
    <m/>
    <m/>
    <s v=""/>
    <m/>
  </r>
  <r>
    <x v="1895"/>
    <m/>
    <x v="0"/>
    <m/>
    <m/>
    <s v=""/>
    <s v=""/>
    <m/>
    <s v="0"/>
    <m/>
    <m/>
    <s v=""/>
    <m/>
  </r>
  <r>
    <x v="1896"/>
    <m/>
    <x v="0"/>
    <m/>
    <m/>
    <s v=""/>
    <s v=""/>
    <m/>
    <s v="0"/>
    <m/>
    <m/>
    <s v=""/>
    <m/>
  </r>
  <r>
    <x v="1897"/>
    <m/>
    <x v="0"/>
    <m/>
    <m/>
    <s v=""/>
    <s v=""/>
    <m/>
    <s v="0"/>
    <m/>
    <m/>
    <s v=""/>
    <m/>
  </r>
  <r>
    <x v="1898"/>
    <m/>
    <x v="0"/>
    <m/>
    <m/>
    <s v=""/>
    <s v=""/>
    <m/>
    <s v="0"/>
    <m/>
    <m/>
    <s v=""/>
    <m/>
  </r>
  <r>
    <x v="1899"/>
    <m/>
    <x v="0"/>
    <m/>
    <m/>
    <s v=""/>
    <s v=""/>
    <m/>
    <s v="0"/>
    <m/>
    <m/>
    <s v=""/>
    <m/>
  </r>
  <r>
    <x v="1900"/>
    <m/>
    <x v="0"/>
    <m/>
    <m/>
    <s v=""/>
    <s v=""/>
    <m/>
    <s v="0"/>
    <m/>
    <m/>
    <s v=""/>
    <m/>
  </r>
  <r>
    <x v="1901"/>
    <m/>
    <x v="0"/>
    <m/>
    <m/>
    <s v=""/>
    <s v=""/>
    <m/>
    <s v="0"/>
    <m/>
    <m/>
    <s v=""/>
    <m/>
  </r>
  <r>
    <x v="1902"/>
    <m/>
    <x v="0"/>
    <m/>
    <m/>
    <s v=""/>
    <s v=""/>
    <m/>
    <s v="0"/>
    <m/>
    <m/>
    <s v=""/>
    <m/>
  </r>
  <r>
    <x v="1903"/>
    <m/>
    <x v="0"/>
    <m/>
    <m/>
    <s v=""/>
    <s v=""/>
    <m/>
    <s v="0"/>
    <m/>
    <m/>
    <s v=""/>
    <m/>
  </r>
  <r>
    <x v="1904"/>
    <m/>
    <x v="0"/>
    <m/>
    <m/>
    <s v=""/>
    <s v=""/>
    <m/>
    <s v="0"/>
    <m/>
    <m/>
    <s v=""/>
    <m/>
  </r>
  <r>
    <x v="1905"/>
    <m/>
    <x v="0"/>
    <m/>
    <m/>
    <s v=""/>
    <s v=""/>
    <m/>
    <s v="0"/>
    <m/>
    <m/>
    <s v=""/>
    <m/>
  </r>
  <r>
    <x v="1906"/>
    <n v="35"/>
    <x v="1"/>
    <s v="Z2.45'"/>
    <d v="1899-12-30T00:31:54"/>
    <n v="5.52"/>
    <d v="1899-12-30T00:05:47"/>
    <n v="137"/>
    <n v="37"/>
    <n v="210"/>
    <n v="11"/>
    <n v="1.0867942894224529"/>
    <s v="HOKA Rincon 3"/>
  </r>
  <r>
    <x v="1907"/>
    <m/>
    <x v="0"/>
    <m/>
    <m/>
    <s v=""/>
    <s v=""/>
    <m/>
    <s v="0"/>
    <m/>
    <m/>
    <s v=""/>
    <m/>
  </r>
  <r>
    <x v="1908"/>
    <n v="36"/>
    <x v="1"/>
    <s v="str"/>
    <d v="1899-12-30T00:38:58"/>
    <n v="6.95"/>
    <d v="1899-12-30T00:05:36"/>
    <n v="143"/>
    <n v="48"/>
    <n v="215"/>
    <n v="18"/>
    <n v="1.0795017717169548"/>
    <s v="HOKA Rincon 3"/>
  </r>
  <r>
    <x v="1909"/>
    <m/>
    <x v="0"/>
    <m/>
    <m/>
    <s v=""/>
    <s v=""/>
    <m/>
    <s v="0"/>
    <m/>
    <m/>
    <s v=""/>
    <m/>
  </r>
  <r>
    <x v="1910"/>
    <n v="37"/>
    <x v="2"/>
    <s v="Z2.45'"/>
    <d v="1899-12-30T00:36:01"/>
    <n v="6.18"/>
    <d v="1899-12-30T00:05:50"/>
    <n v="139"/>
    <n v="40"/>
    <n v="202"/>
    <n v="26"/>
    <n v="1.0542481765927645"/>
    <s v="HOKA Clifton 8"/>
  </r>
  <r>
    <x v="1911"/>
    <m/>
    <x v="0"/>
    <m/>
    <m/>
    <s v=""/>
    <s v=""/>
    <m/>
    <s v="0"/>
    <m/>
    <m/>
    <s v=""/>
    <m/>
  </r>
  <r>
    <x v="1912"/>
    <n v="38"/>
    <x v="1"/>
    <s v="Z2.45'"/>
    <d v="1899-12-30T00:35:46"/>
    <n v="6.24"/>
    <d v="1899-12-30T00:05:44"/>
    <n v="144"/>
    <n v="41"/>
    <n v="210"/>
    <n v="20"/>
    <n v="1.0779276693455799"/>
    <s v="HOKA Clifton 8"/>
  </r>
  <r>
    <x v="1913"/>
    <m/>
    <x v="0"/>
    <m/>
    <m/>
    <s v=""/>
    <s v=""/>
    <m/>
    <s v="0"/>
    <m/>
    <m/>
    <s v=""/>
    <m/>
  </r>
  <r>
    <x v="1914"/>
    <n v="39"/>
    <x v="2"/>
    <s v="Z2.45'"/>
    <d v="1899-12-30T00:47:10"/>
    <n v="8.06"/>
    <d v="1899-12-30T00:05:51"/>
    <n v="143"/>
    <n v="52"/>
    <n v="203"/>
    <n v="31"/>
    <n v="1.0638309692233618"/>
    <s v="HOKA Clifton 8"/>
  </r>
  <r>
    <x v="1915"/>
    <n v="40"/>
    <x v="1"/>
    <s v="Z2.45'"/>
    <d v="1899-12-30T00:37:31"/>
    <n v="6.44"/>
    <d v="1899-12-30T00:05:50"/>
    <n v="139"/>
    <n v="42"/>
    <n v="206"/>
    <n v="15"/>
    <n v="1.0746871233892648"/>
    <s v="HOKA Clifton 8"/>
  </r>
  <r>
    <x v="1916"/>
    <n v="41"/>
    <x v="1"/>
    <s v="Z2.60'"/>
    <d v="1899-12-30T00:57:04"/>
    <n v="10.15"/>
    <d v="1899-12-30T00:05:37"/>
    <n v="138"/>
    <n v="72"/>
    <n v="219"/>
    <n v="35"/>
    <n v="1.1026483346812734"/>
    <s v="Mizuno"/>
  </r>
  <r>
    <x v="1917"/>
    <m/>
    <x v="0"/>
    <m/>
    <m/>
    <s v=""/>
    <s v=""/>
    <m/>
    <s v="0"/>
    <m/>
    <m/>
    <s v=""/>
    <m/>
  </r>
  <r>
    <x v="1918"/>
    <n v="42"/>
    <x v="2"/>
    <s v="Z2.70'"/>
    <d v="1899-12-30T01:15:40"/>
    <n v="12.7"/>
    <d v="1899-12-30T00:05:57"/>
    <n v="131"/>
    <n v="82"/>
    <n v="192"/>
    <n v="41"/>
    <n v="1.0244212010812079"/>
    <s v="HOKA Rincon 3"/>
  </r>
  <r>
    <x v="1919"/>
    <m/>
    <x v="0"/>
    <m/>
    <m/>
    <s v=""/>
    <s v=""/>
    <m/>
    <s v="0"/>
    <m/>
    <m/>
    <s v=""/>
    <m/>
  </r>
  <r>
    <x v="1920"/>
    <n v="43"/>
    <x v="1"/>
    <s v="Z2.45'"/>
    <d v="1899-12-30T00:36:54"/>
    <n v="6.65"/>
    <d v="1899-12-30T00:05:33"/>
    <n v="137"/>
    <n v="47"/>
    <n v="220"/>
    <n v="23"/>
    <n v="1.09321063853664"/>
    <s v="HOKA Rincon 3"/>
  </r>
  <r>
    <x v="1921"/>
    <n v="44"/>
    <x v="1"/>
    <s v="wo"/>
    <d v="1899-12-30T00:50:16"/>
    <n v="9.1999999999999993"/>
    <d v="1899-12-30T00:05:28"/>
    <n v="137"/>
    <n v="65"/>
    <n v="217"/>
    <n v="18"/>
    <n v="1.061765087605451"/>
    <s v="HOKA Carbon X"/>
  </r>
  <r>
    <x v="1922"/>
    <n v="45"/>
    <x v="1"/>
    <s v="str"/>
    <d v="1899-12-30T00:40:18"/>
    <n v="7.07"/>
    <d v="1899-12-30T00:05:42"/>
    <n v="134"/>
    <n v="49"/>
    <n v="210"/>
    <n v="19"/>
    <n v="1.0719668981823556"/>
    <s v="Adidas Solarglide 5"/>
  </r>
  <r>
    <x v="1923"/>
    <n v="46"/>
    <x v="1"/>
    <s v="Z2.45'"/>
    <d v="1899-12-30T00:36:58"/>
    <n v="6.53"/>
    <d v="1899-12-30T00:05:40"/>
    <n v="132"/>
    <n v="46"/>
    <n v="217"/>
    <n v="26"/>
    <n v="1.1001028547918905"/>
    <s v="Adidas Solarglide 5"/>
  </r>
  <r>
    <x v="1924"/>
    <n v="47"/>
    <x v="2"/>
    <s v="Z2.110'"/>
    <d v="1899-12-30T01:47:08"/>
    <n v="17.899999999999999"/>
    <d v="1899-12-30T00:05:59"/>
    <n v="136"/>
    <n v="121"/>
    <n v="200"/>
    <n v="78"/>
    <n v="1.0719586425414829"/>
    <s v="Mizuno"/>
  </r>
  <r>
    <x v="1925"/>
    <m/>
    <x v="0"/>
    <m/>
    <m/>
    <s v=""/>
    <s v=""/>
    <m/>
    <s v="0"/>
    <m/>
    <m/>
    <s v=""/>
    <m/>
  </r>
  <r>
    <x v="1926"/>
    <m/>
    <x v="0"/>
    <m/>
    <m/>
    <s v=""/>
    <s v=""/>
    <m/>
    <s v="0"/>
    <m/>
    <m/>
    <s v=""/>
    <m/>
  </r>
  <r>
    <x v="1927"/>
    <n v="48"/>
    <x v="2"/>
    <s v="Z2.45'"/>
    <d v="1899-12-30T00:43:54"/>
    <n v="7.49"/>
    <d v="1899-12-30T00:05:52"/>
    <n v="130"/>
    <n v="48"/>
    <n v="205"/>
    <n v="27"/>
    <n v="1.076001833290158"/>
    <s v="HOKA Clifton 7"/>
  </r>
  <r>
    <x v="1928"/>
    <m/>
    <x v="0"/>
    <m/>
    <m/>
    <s v=""/>
    <s v=""/>
    <m/>
    <s v="0"/>
    <m/>
    <m/>
    <s v=""/>
    <m/>
  </r>
  <r>
    <x v="1929"/>
    <m/>
    <x v="0"/>
    <m/>
    <m/>
    <s v=""/>
    <s v=""/>
    <m/>
    <s v="0"/>
    <m/>
    <m/>
    <s v=""/>
    <m/>
  </r>
  <r>
    <x v="1930"/>
    <m/>
    <x v="0"/>
    <m/>
    <m/>
    <s v=""/>
    <s v=""/>
    <m/>
    <s v="0"/>
    <m/>
    <m/>
    <s v=""/>
    <m/>
  </r>
  <r>
    <x v="1931"/>
    <n v="49"/>
    <x v="1"/>
    <s v="Z2.60'"/>
    <d v="1899-12-30T00:53:19"/>
    <n v="9.51"/>
    <d v="1899-12-30T00:05:36"/>
    <n v="134"/>
    <n v="65"/>
    <n v="216"/>
    <n v="34"/>
    <n v="1.0844578369979756"/>
    <s v="HOKA Clifton 8"/>
  </r>
  <r>
    <x v="1932"/>
    <n v="50"/>
    <x v="2"/>
    <s v="Z2.45'"/>
    <d v="1899-12-30T00:37:15"/>
    <n v="6.27"/>
    <d v="1899-12-30T00:05:56"/>
    <n v="127"/>
    <n v="40"/>
    <n v="202"/>
    <n v="12"/>
    <n v="1.0746982789402271"/>
    <s v="Mizuno"/>
  </r>
  <r>
    <x v="1933"/>
    <n v="51"/>
    <x v="1"/>
    <s v="Z2.45'"/>
    <d v="1899-12-30T00:34:37"/>
    <n v="5.92"/>
    <d v="1899-12-30T00:05:51"/>
    <n v="128"/>
    <n v="38"/>
    <n v="201"/>
    <n v="19"/>
    <n v="1.052533783783784"/>
    <s v="HOKA Clifton 8"/>
  </r>
  <r>
    <x v="1934"/>
    <n v="52"/>
    <x v="1"/>
    <s v="wo"/>
    <d v="1899-12-30T00:46:36"/>
    <n v="8.61"/>
    <d v="1899-12-30T00:05:25"/>
    <n v="143"/>
    <n v="63"/>
    <n v="221"/>
    <n v="16"/>
    <n v="1.0711529460710387"/>
    <s v="Adizero Boston 8"/>
  </r>
  <r>
    <x v="1935"/>
    <m/>
    <x v="0"/>
    <m/>
    <m/>
    <s v=""/>
    <s v=""/>
    <m/>
    <s v="0"/>
    <m/>
    <m/>
    <s v=""/>
    <m/>
  </r>
  <r>
    <x v="1936"/>
    <n v="53"/>
    <x v="1"/>
    <s v="str"/>
    <d v="1899-12-30T00:39:46"/>
    <n v="7.03"/>
    <d v="1899-12-30T00:05:39"/>
    <n v="134"/>
    <n v="48"/>
    <n v="211"/>
    <n v="21"/>
    <n v="1.0688647799409781"/>
    <s v="HOKA Rincon 3"/>
  </r>
  <r>
    <x v="1937"/>
    <n v="54"/>
    <x v="1"/>
    <s v="Z2.45'"/>
    <d v="1899-12-30T00:36:36"/>
    <n v="6.21"/>
    <d v="1899-12-30T00:05:54"/>
    <n v="132"/>
    <n v="39"/>
    <n v="200"/>
    <n v="20"/>
    <n v="1.0555916071814837"/>
    <s v="HOKA Clifton 8"/>
  </r>
  <r>
    <x v="1938"/>
    <m/>
    <x v="0"/>
    <m/>
    <m/>
    <s v=""/>
    <s v=""/>
    <m/>
    <s v="0"/>
    <m/>
    <m/>
    <s v=""/>
    <m/>
  </r>
  <r>
    <x v="1939"/>
    <n v="55"/>
    <x v="2"/>
    <s v="Z2.60'"/>
    <d v="1899-12-30T00:55:55"/>
    <n v="9.24"/>
    <d v="1899-12-30T00:06:03"/>
    <n v="127"/>
    <n v="58"/>
    <n v="197"/>
    <n v="29"/>
    <n v="1.0676083866382371"/>
    <s v="Mizuno"/>
  </r>
  <r>
    <x v="1940"/>
    <n v="56"/>
    <x v="1"/>
    <s v="Z2.30'"/>
    <d v="1899-12-30T00:35:08"/>
    <n v="5.92"/>
    <d v="1899-12-30T00:05:56"/>
    <n v="120"/>
    <n v="37"/>
    <n v="200"/>
    <n v="13"/>
    <n v="1.0629286002420328"/>
    <s v="HOKA Clifton 8"/>
  </r>
  <r>
    <x v="1941"/>
    <n v="57"/>
    <x v="1"/>
    <s v="wo"/>
    <d v="1899-12-30T00:30:02"/>
    <n v="5.51"/>
    <d v="1899-12-30T00:05:27"/>
    <n v="143"/>
    <n v="40"/>
    <n v="217"/>
    <n v="25"/>
    <n v="1.0592247474063439"/>
    <s v="HOKA Carbon X"/>
  </r>
  <r>
    <x v="1942"/>
    <m/>
    <x v="0"/>
    <m/>
    <m/>
    <s v=""/>
    <s v=""/>
    <m/>
    <s v="0"/>
    <m/>
    <m/>
    <s v=""/>
    <m/>
  </r>
  <r>
    <x v="1943"/>
    <n v="58"/>
    <x v="1"/>
    <s v="str"/>
    <d v="1899-12-30T00:38:46"/>
    <n v="6.63"/>
    <d v="1899-12-30T00:05:51"/>
    <n v="129"/>
    <n v="45"/>
    <n v="206"/>
    <n v="22"/>
    <n v="1.0786699984241688"/>
    <s v="HOKA Rincon 3"/>
  </r>
  <r>
    <x v="1944"/>
    <n v="59"/>
    <x v="1"/>
    <s v="Z2.30'"/>
    <d v="1899-12-30T00:31:47"/>
    <n v="5.3"/>
    <d v="1899-12-30T00:06:00"/>
    <n v="123"/>
    <n v="33"/>
    <n v="197"/>
    <n v="16"/>
    <n v="1.057952689383272"/>
    <s v="HOKA Clifton 8"/>
  </r>
  <r>
    <x v="1945"/>
    <m/>
    <x v="0"/>
    <m/>
    <m/>
    <s v=""/>
    <s v=""/>
    <m/>
    <s v="0"/>
    <m/>
    <m/>
    <s v=""/>
    <m/>
  </r>
  <r>
    <x v="1946"/>
    <n v="60"/>
    <x v="1"/>
    <s v="wk"/>
    <d v="1899-12-30T00:22:09"/>
    <n v="5"/>
    <d v="1899-12-30T00:04:26"/>
    <n v="165"/>
    <n v="41"/>
    <n v="268"/>
    <n v="29"/>
    <n v="1.0631999999999997"/>
    <s v="HOKA Carbon X"/>
  </r>
  <r>
    <x v="1947"/>
    <m/>
    <x v="0"/>
    <m/>
    <m/>
    <s v=""/>
    <s v=""/>
    <m/>
    <s v="0"/>
    <m/>
    <m/>
    <s v=""/>
    <m/>
  </r>
  <r>
    <x v="1948"/>
    <m/>
    <x v="0"/>
    <m/>
    <m/>
    <s v=""/>
    <s v=""/>
    <m/>
    <s v="0"/>
    <m/>
    <m/>
    <s v=""/>
    <m/>
  </r>
  <r>
    <x v="1949"/>
    <n v="61"/>
    <x v="1"/>
    <s v="Z2.30'"/>
    <d v="1899-12-30T00:27:42"/>
    <n v="4.6900000000000004"/>
    <d v="1899-12-30T00:05:54"/>
    <n v="124"/>
    <n v="26"/>
    <n v="200"/>
    <n v="10"/>
    <n v="1.0578238869617795"/>
    <s v="HOKA Clifton 8"/>
  </r>
  <r>
    <x v="1950"/>
    <n v="62"/>
    <x v="1"/>
    <s v="Z2.30'"/>
    <d v="1899-12-30T00:31:26"/>
    <n v="5.45"/>
    <d v="1899-12-30T00:05:46"/>
    <n v="124"/>
    <n v="31"/>
    <n v="208"/>
    <n v="10"/>
    <n v="1.0743201424072297"/>
    <s v="HOKA Rincon 3"/>
  </r>
  <r>
    <x v="1951"/>
    <n v="63"/>
    <x v="1"/>
    <s v="Z2.30'"/>
    <d v="1899-12-30T00:32:56"/>
    <n v="5.73"/>
    <d v="1899-12-30T00:05:45"/>
    <n v="127"/>
    <n v="34"/>
    <n v="206"/>
    <n v="19"/>
    <n v="1.0602901721757703"/>
    <s v="Adidas Solarglide 5"/>
  </r>
  <r>
    <x v="1952"/>
    <m/>
    <x v="0"/>
    <m/>
    <m/>
    <s v=""/>
    <s v=""/>
    <m/>
    <s v="0"/>
    <m/>
    <m/>
    <s v=""/>
    <m/>
  </r>
  <r>
    <x v="1953"/>
    <m/>
    <x v="0"/>
    <m/>
    <m/>
    <s v=""/>
    <s v=""/>
    <m/>
    <s v="0"/>
    <m/>
    <m/>
    <s v=""/>
    <m/>
  </r>
  <r>
    <x v="1954"/>
    <n v="64"/>
    <x v="1"/>
    <s v="Z2.6"/>
    <d v="1899-12-30T00:33:49"/>
    <n v="5.68"/>
    <d v="1899-12-30T00:05:57"/>
    <n v="123"/>
    <n v="32"/>
    <n v="201"/>
    <n v="23"/>
    <n v="1.0716549295774649"/>
    <s v="HOKA Rincon 3"/>
  </r>
  <r>
    <x v="1955"/>
    <n v="65"/>
    <x v="1"/>
    <s v="Z2.6"/>
    <d v="1899-12-30T00:39:03"/>
    <n v="6.71"/>
    <d v="1899-12-30T00:05:49"/>
    <n v="128"/>
    <n v="38"/>
    <n v="202"/>
    <n v="16"/>
    <n v="1.0527526302911667"/>
    <s v="HOKA Clifton 8"/>
  </r>
  <r>
    <x v="1956"/>
    <m/>
    <x v="0"/>
    <m/>
    <m/>
    <s v=""/>
    <s v=""/>
    <m/>
    <s v="0"/>
    <m/>
    <m/>
    <s v=""/>
    <m/>
  </r>
  <r>
    <x v="1957"/>
    <n v="66"/>
    <x v="2"/>
    <s v="Z2.6"/>
    <d v="1899-12-30T00:39:55"/>
    <n v="6.94"/>
    <d v="1899-12-30T00:05:45"/>
    <n v="134"/>
    <n v="40"/>
    <n v="205"/>
    <n v="16"/>
    <n v="1.0559056303496923"/>
    <s v="HOKA Clifton 8"/>
  </r>
  <r>
    <x v="1958"/>
    <m/>
    <x v="0"/>
    <m/>
    <m/>
    <s v=""/>
    <s v=""/>
    <m/>
    <s v="0"/>
    <m/>
    <m/>
    <s v=""/>
    <m/>
  </r>
  <r>
    <x v="1959"/>
    <m/>
    <x v="0"/>
    <m/>
    <m/>
    <s v=""/>
    <s v=""/>
    <m/>
    <s v="0"/>
    <m/>
    <m/>
    <s v=""/>
    <m/>
  </r>
  <r>
    <x v="1960"/>
    <m/>
    <x v="0"/>
    <m/>
    <m/>
    <s v=""/>
    <s v=""/>
    <m/>
    <s v="0"/>
    <m/>
    <m/>
    <s v=""/>
    <m/>
  </r>
  <r>
    <x v="1961"/>
    <m/>
    <x v="0"/>
    <m/>
    <m/>
    <s v=""/>
    <s v=""/>
    <m/>
    <s v="0"/>
    <m/>
    <m/>
    <s v=""/>
    <m/>
  </r>
  <r>
    <x v="1962"/>
    <n v="67"/>
    <x v="1"/>
    <s v="trail"/>
    <d v="1899-12-30T01:00:56"/>
    <n v="7.69"/>
    <d v="1899-12-30T00:07:55"/>
    <n v="128"/>
    <n v="55"/>
    <n v="182"/>
    <n v="370"/>
    <m/>
    <s v="Innov-8 Terraultra"/>
  </r>
  <r>
    <x v="1963"/>
    <m/>
    <x v="0"/>
    <m/>
    <m/>
    <s v=""/>
    <s v=""/>
    <m/>
    <s v="0"/>
    <m/>
    <m/>
    <s v=""/>
    <m/>
  </r>
  <r>
    <x v="1964"/>
    <m/>
    <x v="0"/>
    <m/>
    <m/>
    <s v=""/>
    <s v=""/>
    <m/>
    <s v="0"/>
    <m/>
    <m/>
    <s v=""/>
    <m/>
  </r>
  <r>
    <x v="1965"/>
    <m/>
    <x v="0"/>
    <m/>
    <m/>
    <s v=""/>
    <s v=""/>
    <m/>
    <s v="0"/>
    <m/>
    <m/>
    <s v=""/>
    <m/>
  </r>
  <r>
    <x v="1966"/>
    <m/>
    <x v="0"/>
    <m/>
    <m/>
    <s v=""/>
    <s v=""/>
    <m/>
    <s v="0"/>
    <m/>
    <m/>
    <s v=""/>
    <m/>
  </r>
  <r>
    <x v="1967"/>
    <n v="68"/>
    <x v="2"/>
    <s v="Z2.45'"/>
    <d v="1899-12-30T00:44:55"/>
    <n v="6.9"/>
    <d v="1899-12-30T00:06:31"/>
    <n v="127"/>
    <n v="35"/>
    <n v="182"/>
    <n v="28"/>
    <n v="1.0609777200951762"/>
    <s v="HOKA Clifton 8"/>
  </r>
  <r>
    <x v="1968"/>
    <n v="69"/>
    <x v="1"/>
    <s v="Z2.6"/>
    <d v="1899-12-30T00:36:11"/>
    <n v="6.1"/>
    <d v="1899-12-30T00:05:56"/>
    <n v="122"/>
    <n v="35"/>
    <n v="200"/>
    <n v="10"/>
    <n v="1.0623929532664547"/>
    <s v="HOKA Rincon 3"/>
  </r>
  <r>
    <x v="1969"/>
    <m/>
    <x v="0"/>
    <m/>
    <m/>
    <s v=""/>
    <s v=""/>
    <m/>
    <s v="0"/>
    <m/>
    <m/>
    <s v=""/>
    <m/>
  </r>
  <r>
    <x v="1970"/>
    <n v="70"/>
    <x v="1"/>
    <s v="Z2.6"/>
    <d v="1899-12-30T00:35:35"/>
    <n v="6.01"/>
    <d v="1899-12-30T00:05:55"/>
    <n v="127"/>
    <n v="34"/>
    <n v="200"/>
    <n v="14"/>
    <n v="1.06042168525095"/>
    <s v="HOKA Clifton 8"/>
  </r>
  <r>
    <x v="1971"/>
    <n v="71"/>
    <x v="1"/>
    <s v="str"/>
    <d v="1899-12-30T00:39:34"/>
    <n v="6.96"/>
    <d v="1899-12-30T00:05:41"/>
    <n v="126"/>
    <n v="43"/>
    <n v="210"/>
    <n v="14"/>
    <n v="1.0690941842511581"/>
    <s v="HOKA Rincon 3"/>
  </r>
  <r>
    <x v="1972"/>
    <n v="72"/>
    <x v="1"/>
    <s v="Z2.6"/>
    <d v="1899-12-30T00:38:16"/>
    <n v="6.74"/>
    <d v="1899-12-30T00:05:41"/>
    <n v="129"/>
    <n v="40"/>
    <n v="209"/>
    <n v="14"/>
    <n v="1.0626334204349173"/>
    <s v="Mizuno"/>
  </r>
  <r>
    <x v="1973"/>
    <m/>
    <x v="0"/>
    <m/>
    <m/>
    <s v=""/>
    <s v=""/>
    <m/>
    <s v="0"/>
    <m/>
    <m/>
    <s v=""/>
    <m/>
  </r>
  <r>
    <x v="1974"/>
    <m/>
    <x v="0"/>
    <m/>
    <m/>
    <s v=""/>
    <s v=""/>
    <m/>
    <s v="0"/>
    <m/>
    <m/>
    <s v=""/>
    <m/>
  </r>
  <r>
    <x v="1975"/>
    <m/>
    <x v="0"/>
    <m/>
    <m/>
    <s v=""/>
    <s v=""/>
    <m/>
    <s v="0"/>
    <m/>
    <m/>
    <s v=""/>
    <m/>
  </r>
  <r>
    <x v="1976"/>
    <n v="73"/>
    <x v="1"/>
    <s v="Z2.6"/>
    <d v="1899-12-30T00:32:40"/>
    <n v="5.55"/>
    <d v="1899-12-30T00:05:53"/>
    <n v="130"/>
    <n v="32"/>
    <n v="204"/>
    <n v="14"/>
    <n v="1.0752722872125857"/>
    <s v="Mizuno"/>
  </r>
  <r>
    <x v="1977"/>
    <n v="74"/>
    <x v="1"/>
    <s v="Z2.6"/>
    <d v="1899-12-30T00:39:33"/>
    <n v="7.06"/>
    <d v="1899-12-30T00:05:36"/>
    <n v="128"/>
    <n v="42"/>
    <n v="210"/>
    <n v="15"/>
    <n v="1.0535072512790156"/>
    <s v="HOKA Clifton 8"/>
  </r>
  <r>
    <x v="1978"/>
    <n v="75"/>
    <x v="1"/>
    <s v="str"/>
    <d v="1899-12-30T00:39:03"/>
    <n v="6.99"/>
    <d v="1899-12-30T00:05:35"/>
    <n v="128"/>
    <n v="44"/>
    <n v="212"/>
    <n v="12"/>
    <n v="1.0606111075523665"/>
    <s v="HOKA Rincon 3"/>
  </r>
  <r>
    <x v="1979"/>
    <n v="76"/>
    <x v="1"/>
    <s v="Z2.6"/>
    <d v="1899-12-30T00:32:03"/>
    <n v="6.11"/>
    <d v="1899-12-30T00:05:15"/>
    <n v="136"/>
    <n v="40"/>
    <n v="230"/>
    <n v="12"/>
    <n v="1.0804162493587706"/>
    <s v="Adidas Solarglide 5"/>
  </r>
  <r>
    <x v="1980"/>
    <m/>
    <x v="0"/>
    <m/>
    <m/>
    <s v=""/>
    <s v=""/>
    <m/>
    <s v="0"/>
    <m/>
    <m/>
    <s v=""/>
    <m/>
  </r>
  <r>
    <x v="1981"/>
    <n v="77"/>
    <x v="2"/>
    <s v="Z2.70'"/>
    <d v="1899-12-30T01:12:09"/>
    <n v="12.4"/>
    <d v="1899-12-30T00:05:49"/>
    <n v="137"/>
    <n v="72"/>
    <n v="206"/>
    <n v="31"/>
    <n v="1.0733919114106887"/>
    <s v="Mizuno"/>
  </r>
  <r>
    <x v="1982"/>
    <m/>
    <x v="0"/>
    <m/>
    <m/>
    <s v=""/>
    <s v=""/>
    <m/>
    <s v="0"/>
    <m/>
    <m/>
    <s v=""/>
    <m/>
  </r>
  <r>
    <x v="1983"/>
    <n v="78"/>
    <x v="2"/>
    <s v="Z2.45'"/>
    <d v="1899-12-30T00:46:50"/>
    <n v="8.11"/>
    <d v="1899-12-30T00:05:46"/>
    <n v="127"/>
    <n v="46"/>
    <n v="203"/>
    <n v="19"/>
    <n v="1.0498003202237887"/>
    <s v="HOKA Clifton 8"/>
  </r>
  <r>
    <x v="1984"/>
    <m/>
    <x v="0"/>
    <m/>
    <m/>
    <s v=""/>
    <s v=""/>
    <m/>
    <s v="0"/>
    <m/>
    <m/>
    <s v=""/>
    <m/>
  </r>
  <r>
    <x v="1985"/>
    <m/>
    <x v="0"/>
    <m/>
    <m/>
    <s v=""/>
    <s v=""/>
    <m/>
    <s v="0"/>
    <m/>
    <m/>
    <s v=""/>
    <m/>
  </r>
  <r>
    <x v="1986"/>
    <n v="79"/>
    <x v="2"/>
    <s v="Z2.60'"/>
    <d v="1899-12-30T00:55:06"/>
    <n v="9.35"/>
    <d v="1899-12-30T00:05:54"/>
    <n v="128"/>
    <n v="52"/>
    <n v="202"/>
    <n v="24"/>
    <n v="1.066026019634448"/>
    <s v="HOKA Rincon 3"/>
  </r>
  <r>
    <x v="1987"/>
    <m/>
    <x v="0"/>
    <m/>
    <m/>
    <s v=""/>
    <s v=""/>
    <m/>
    <s v="0"/>
    <m/>
    <m/>
    <s v=""/>
    <m/>
  </r>
  <r>
    <x v="1988"/>
    <n v="80"/>
    <x v="1"/>
    <s v="trail"/>
    <d v="1899-12-30T01:27:59"/>
    <n v="11.7"/>
    <d v="1899-12-30T00:07:31"/>
    <n v="133"/>
    <n v="76"/>
    <n v="179"/>
    <n v="490"/>
    <m/>
    <s v="Innov-8 Terraultra"/>
  </r>
  <r>
    <x v="1989"/>
    <n v="81"/>
    <x v="1"/>
    <s v="Z2.6"/>
    <d v="1899-12-30T00:35:51"/>
    <n v="6.22"/>
    <d v="1899-12-30T00:05:46"/>
    <n v="121"/>
    <n v="36"/>
    <n v="206"/>
    <n v="11"/>
    <n v="1.063267264961367"/>
    <s v="HOKA Rincon 3"/>
  </r>
  <r>
    <x v="1990"/>
    <n v="82"/>
    <x v="1"/>
    <s v="Z2.6"/>
    <d v="1899-12-30T00:37:41"/>
    <n v="6.67"/>
    <d v="1899-12-30T00:05:39"/>
    <n v="125"/>
    <n v="39"/>
    <n v="208"/>
    <n v="16"/>
    <n v="1.0523574033878582"/>
    <s v="HOKA Clifton 8"/>
  </r>
  <r>
    <x v="1991"/>
    <m/>
    <x v="0"/>
    <m/>
    <m/>
    <s v=""/>
    <s v=""/>
    <m/>
    <s v="0"/>
    <m/>
    <m/>
    <s v=""/>
    <m/>
  </r>
  <r>
    <x v="1992"/>
    <n v="83"/>
    <x v="1"/>
    <s v="str"/>
    <d v="1899-12-30T00:39:24"/>
    <n v="7.06"/>
    <d v="1899-12-30T00:05:35"/>
    <n v="126"/>
    <n v="44"/>
    <n v="213"/>
    <n v="12"/>
    <n v="1.0645046721068878"/>
    <s v="Adidas Solarglide 5"/>
  </r>
  <r>
    <x v="1993"/>
    <n v="84"/>
    <x v="1"/>
    <s v="Z2.6"/>
    <d v="1899-12-30T00:42:54"/>
    <n v="7.51"/>
    <d v="1899-12-30T00:05:43"/>
    <n v="125"/>
    <n v="43"/>
    <n v="206"/>
    <n v="12"/>
    <n v="1.0538068644792018"/>
    <s v="HOKA Clifton 8"/>
  </r>
  <r>
    <x v="1994"/>
    <m/>
    <x v="0"/>
    <m/>
    <m/>
    <s v=""/>
    <s v=""/>
    <m/>
    <s v="0"/>
    <m/>
    <m/>
    <s v=""/>
    <m/>
  </r>
  <r>
    <x v="1995"/>
    <n v="85"/>
    <x v="2"/>
    <s v="Z2.70'"/>
    <d v="1899-12-30T01:14:49"/>
    <n v="12.98"/>
    <d v="1899-12-30T00:05:46"/>
    <n v="137"/>
    <n v="77"/>
    <n v="208"/>
    <n v="33"/>
    <n v="1.0736517719568566"/>
    <s v="Mizuno"/>
  </r>
  <r>
    <x v="1996"/>
    <n v="86"/>
    <x v="1"/>
    <s v="Z2.6"/>
    <d v="1899-12-30T00:37:01"/>
    <n v="6.51"/>
    <d v="1899-12-30T00:05:41"/>
    <n v="121"/>
    <n v="37"/>
    <n v="206"/>
    <n v="10"/>
    <n v="1.0489625604695418"/>
    <s v="HOKA Clifton 8"/>
  </r>
  <r>
    <x v="1997"/>
    <n v="87"/>
    <x v="1"/>
    <s v="Z2.45'"/>
    <d v="1899-12-30T00:44:53"/>
    <n v="8.02"/>
    <d v="1899-12-30T00:05:36"/>
    <n v="123"/>
    <n v="48"/>
    <n v="212"/>
    <n v="12"/>
    <n v="1.0624855771020212"/>
    <s v="HOKA Rincon 3"/>
  </r>
  <r>
    <x v="1998"/>
    <m/>
    <x v="0"/>
    <m/>
    <m/>
    <s v=""/>
    <s v=""/>
    <m/>
    <s v="0"/>
    <m/>
    <m/>
    <s v=""/>
    <m/>
  </r>
  <r>
    <x v="1999"/>
    <n v="88"/>
    <x v="1"/>
    <s v="Z2.6"/>
    <d v="1899-12-30T00:34:17"/>
    <n v="5.84"/>
    <d v="1899-12-30T00:05:52"/>
    <n v="125"/>
    <n v="34"/>
    <n v="204"/>
    <n v="12"/>
    <n v="1.0724493968513595"/>
    <s v="Adidas Solarglide 5"/>
  </r>
  <r>
    <x v="2000"/>
    <n v="89"/>
    <x v="2"/>
    <s v="Z2.6"/>
    <d v="1899-12-30T00:45:03"/>
    <n v="7.22"/>
    <d v="1899-12-30T00:06:14"/>
    <n v="119"/>
    <n v="38"/>
    <n v="189"/>
    <n v="27"/>
    <n v="1.0560776450159177"/>
    <s v="HOKA Clifton 8"/>
  </r>
  <r>
    <x v="2001"/>
    <m/>
    <x v="0"/>
    <m/>
    <m/>
    <s v=""/>
    <s v=""/>
    <m/>
    <s v="0"/>
    <m/>
    <m/>
    <s v=""/>
    <m/>
  </r>
  <r>
    <x v="2002"/>
    <n v="90"/>
    <x v="2"/>
    <s v="Z2.70'"/>
    <d v="1899-12-30T01:14:59"/>
    <n v="12.97"/>
    <d v="1899-12-30T00:05:47"/>
    <n v="129"/>
    <n v="77"/>
    <n v="207"/>
    <n v="38"/>
    <n v="1.071695876822518"/>
    <s v="Mizuno"/>
  </r>
  <r>
    <x v="2003"/>
    <n v="91"/>
    <x v="1"/>
    <s v="Z2.6"/>
    <d v="1899-12-30T00:34:35"/>
    <n v="5.97"/>
    <d v="1899-12-30T00:05:48"/>
    <n v="121"/>
    <n v="34"/>
    <n v="202"/>
    <n v="8"/>
    <n v="1.0479011975299384"/>
    <s v="HOKA Clifton 8"/>
  </r>
  <r>
    <x v="2004"/>
    <n v="92"/>
    <x v="1"/>
    <s v="Z2.45'"/>
    <d v="1899-12-30T00:44:50"/>
    <n v="7.93"/>
    <d v="1899-12-30T00:05:39"/>
    <n v="123"/>
    <n v="47"/>
    <n v="210"/>
    <n v="17"/>
    <n v="1.0632210950292675"/>
    <s v="HOKA Rincon 3"/>
  </r>
  <r>
    <x v="2005"/>
    <m/>
    <x v="0"/>
    <m/>
    <m/>
    <s v=""/>
    <s v=""/>
    <m/>
    <s v="0"/>
    <m/>
    <m/>
    <s v=""/>
    <m/>
  </r>
  <r>
    <x v="2006"/>
    <n v="93"/>
    <x v="1"/>
    <s v="str"/>
    <d v="1899-12-30T00:38:36"/>
    <n v="6.71"/>
    <d v="1899-12-30T00:05:45"/>
    <n v="127"/>
    <n v="41"/>
    <n v="207"/>
    <n v="15"/>
    <n v="1.0663789843628355"/>
    <s v="Adidas Solarglide 5"/>
  </r>
  <r>
    <x v="2007"/>
    <n v="94"/>
    <x v="1"/>
    <s v="Z2.45'"/>
    <d v="1899-12-30T00:44:43"/>
    <n v="7.93"/>
    <d v="1899-12-30T00:05:38"/>
    <n v="121"/>
    <n v="47"/>
    <n v="210"/>
    <n v="11"/>
    <n v="1.0604543486853253"/>
    <s v="HOKA Rincon 3 II"/>
  </r>
  <r>
    <x v="2008"/>
    <m/>
    <x v="0"/>
    <m/>
    <m/>
    <s v=""/>
    <s v=""/>
    <m/>
    <s v="0"/>
    <m/>
    <m/>
    <s v=""/>
    <m/>
  </r>
  <r>
    <x v="2009"/>
    <n v="95"/>
    <x v="2"/>
    <s v="Z2.70'"/>
    <d v="1899-12-30T01:09:16"/>
    <n v="11.99"/>
    <d v="1899-12-30T00:05:47"/>
    <n v="136"/>
    <n v="74"/>
    <n v="208"/>
    <n v="45"/>
    <n v="1.0760808136133344"/>
    <s v="Mizuno"/>
  </r>
  <r>
    <x v="2010"/>
    <n v="96"/>
    <x v="1"/>
    <s v="Z2.6"/>
    <d v="1899-12-30T00:36:09"/>
    <n v="6.12"/>
    <d v="1899-12-30T00:05:54"/>
    <n v="117"/>
    <n v="35"/>
    <n v="199"/>
    <n v="14"/>
    <n v="1.0526558384547848"/>
    <s v="HOKA Clifton 8"/>
  </r>
  <r>
    <x v="2011"/>
    <m/>
    <x v="0"/>
    <m/>
    <m/>
    <s v=""/>
    <s v=""/>
    <m/>
    <s v="0"/>
    <m/>
    <m/>
    <s v=""/>
    <m/>
  </r>
  <r>
    <x v="2012"/>
    <m/>
    <x v="0"/>
    <m/>
    <m/>
    <s v=""/>
    <s v=""/>
    <m/>
    <s v="0"/>
    <m/>
    <m/>
    <s v=""/>
    <m/>
  </r>
  <r>
    <x v="2013"/>
    <n v="97"/>
    <x v="1"/>
    <s v="wo"/>
    <d v="1899-12-30T00:52:33"/>
    <n v="10.31"/>
    <d v="1899-12-30T00:05:06"/>
    <n v="141"/>
    <n v="72"/>
    <n v="233"/>
    <n v="20"/>
    <n v="1.0635218669021524"/>
    <s v="Adizero Boston 8"/>
  </r>
  <r>
    <x v="2014"/>
    <n v="98"/>
    <x v="1"/>
    <s v="Z2.6"/>
    <d v="1899-12-30T00:35:50"/>
    <n v="6.24"/>
    <d v="1899-12-30T00:05:45"/>
    <n v="124"/>
    <n v="37"/>
    <n v="205"/>
    <n v="12"/>
    <n v="1.0542240719479528"/>
    <s v="HOKA Clifton 8"/>
  </r>
  <r>
    <x v="2015"/>
    <m/>
    <x v="0"/>
    <m/>
    <m/>
    <s v=""/>
    <s v=""/>
    <m/>
    <s v="0"/>
    <m/>
    <m/>
    <s v=""/>
    <m/>
  </r>
  <r>
    <x v="2016"/>
    <n v="99"/>
    <x v="2"/>
    <s v="Z2.90'"/>
    <d v="1899-12-30T01:32:58"/>
    <n v="15.21"/>
    <d v="1899-12-30T00:06:07"/>
    <n v="128"/>
    <n v="88"/>
    <n v="196"/>
    <n v="43"/>
    <n v="1.0728291481448775"/>
    <s v="Mizuno"/>
  </r>
  <r>
    <x v="2017"/>
    <n v="100"/>
    <x v="1"/>
    <s v="Z2.45'"/>
    <d v="1899-12-30T00:42:09"/>
    <n v="7.43"/>
    <d v="1899-12-30T00:05:40"/>
    <n v="122"/>
    <n v="45"/>
    <n v="209"/>
    <n v="17"/>
    <n v="1.0617725638295734"/>
    <s v="HOKA Rincon 3 II"/>
  </r>
  <r>
    <x v="2018"/>
    <n v="101"/>
    <x v="1"/>
    <s v="Z2.6"/>
    <d v="1899-12-30T00:41:29"/>
    <n v="6.96"/>
    <d v="1899-12-30T00:05:58"/>
    <n v="120"/>
    <n v="39"/>
    <n v="196"/>
    <n v="15"/>
    <n v="1.0461571453079432"/>
    <s v="HOKA Clifton 8"/>
  </r>
  <r>
    <x v="2019"/>
    <m/>
    <x v="0"/>
    <m/>
    <m/>
    <s v=""/>
    <s v=""/>
    <m/>
    <s v="0"/>
    <m/>
    <m/>
    <s v=""/>
    <m/>
  </r>
  <r>
    <x v="2020"/>
    <n v="102"/>
    <x v="1"/>
    <s v="Z2.45'"/>
    <d v="1899-12-30T00:44:00"/>
    <n v="8.06"/>
    <d v="1899-12-30T00:05:28"/>
    <n v="130"/>
    <n v="52"/>
    <n v="220"/>
    <n v="14"/>
    <n v="1.0755157216399394"/>
    <s v="HOKA Rincon 3 II"/>
  </r>
  <r>
    <x v="2021"/>
    <n v="103"/>
    <x v="1"/>
    <s v="Z2.45'"/>
    <d v="1899-12-30T00:38:39"/>
    <n v="6.61"/>
    <d v="1899-12-30T00:05:51"/>
    <n v="117"/>
    <n v="38"/>
    <n v="201"/>
    <n v="13"/>
    <n v="1.0524962178517399"/>
    <s v="HOKA Rincon 3"/>
  </r>
  <r>
    <x v="2022"/>
    <m/>
    <x v="0"/>
    <m/>
    <m/>
    <s v=""/>
    <s v=""/>
    <m/>
    <s v="0"/>
    <m/>
    <m/>
    <s v=""/>
    <m/>
  </r>
  <r>
    <x v="2023"/>
    <n v="104"/>
    <x v="2"/>
    <s v="Z2.90'"/>
    <d v="1899-12-30T01:31:26"/>
    <n v="15.3"/>
    <d v="1899-12-30T00:05:59"/>
    <n v="128"/>
    <n v="91"/>
    <n v="200"/>
    <n v="54"/>
    <n v="1.0703346015022925"/>
    <s v="Mizuno"/>
  </r>
  <r>
    <x v="2024"/>
    <n v="105"/>
    <x v="1"/>
    <s v="Z2.6"/>
    <d v="1899-12-30T00:39:03"/>
    <n v="6.55"/>
    <d v="1899-12-30T00:05:58"/>
    <n v="118"/>
    <n v="36"/>
    <n v="195"/>
    <n v="11"/>
    <n v="1.0410960464851315"/>
    <s v="HOKA Clifton 8"/>
  </r>
  <r>
    <x v="2025"/>
    <m/>
    <x v="0"/>
    <m/>
    <m/>
    <s v=""/>
    <s v=""/>
    <m/>
    <s v="0"/>
    <m/>
    <m/>
    <s v=""/>
    <m/>
  </r>
  <r>
    <x v="2026"/>
    <m/>
    <x v="0"/>
    <m/>
    <m/>
    <s v=""/>
    <s v=""/>
    <m/>
    <s v="0"/>
    <m/>
    <m/>
    <s v=""/>
    <m/>
  </r>
  <r>
    <x v="2027"/>
    <n v="106"/>
    <x v="2"/>
    <s v="Z2.40'"/>
    <d v="1899-12-30T00:38:06"/>
    <n v="5.98"/>
    <d v="1899-12-30T00:06:22"/>
    <n v="116"/>
    <n v="34"/>
    <n v="186"/>
    <n v="17"/>
    <n v="1.0612389557230568"/>
    <s v="HOKA Rincon 3 II"/>
  </r>
  <r>
    <x v="2028"/>
    <n v="107"/>
    <x v="1"/>
    <s v="CP"/>
    <d v="1899-12-30T00:45:10"/>
    <n v="8.59"/>
    <d v="1899-12-30T00:05:15"/>
    <n v="141"/>
    <n v="60"/>
    <n v="225"/>
    <n v="14"/>
    <n v="1.0594582384932152"/>
    <s v="HOKA Carbon X"/>
  </r>
  <r>
    <x v="2029"/>
    <m/>
    <x v="0"/>
    <m/>
    <m/>
    <s v=""/>
    <s v=""/>
    <m/>
    <s v="0"/>
    <m/>
    <m/>
    <s v=""/>
    <m/>
  </r>
  <r>
    <x v="2030"/>
    <n v="108"/>
    <x v="2"/>
    <s v="Z2.70'"/>
    <d v="1899-12-30T01:22:45"/>
    <n v="13.99"/>
    <d v="1899-12-30T00:05:55"/>
    <n v="131"/>
    <n v="85"/>
    <n v="201"/>
    <n v="39"/>
    <n v="1.0646890636168693"/>
    <s v="HOKA Rincon 3 II"/>
  </r>
  <r>
    <x v="2031"/>
    <n v="109"/>
    <x v="1"/>
    <s v="Z2.40'"/>
    <d v="1899-12-30T00:38:54"/>
    <n v="6.72"/>
    <d v="1899-12-30T00:05:47"/>
    <n v="122"/>
    <n v="40"/>
    <n v="204"/>
    <n v="16"/>
    <n v="1.0575159914712151"/>
    <s v="HOKA Clifton 8"/>
  </r>
  <r>
    <x v="2032"/>
    <m/>
    <x v="0"/>
    <m/>
    <m/>
    <s v=""/>
    <s v=""/>
    <m/>
    <s v="0"/>
    <m/>
    <m/>
    <s v=""/>
    <m/>
  </r>
  <r>
    <x v="2033"/>
    <n v="110"/>
    <x v="1"/>
    <s v="Z6.6x90''"/>
    <d v="1899-12-30T00:47:45"/>
    <n v="8.7799999999999994"/>
    <d v="1899-12-30T00:05:26"/>
    <n v="136"/>
    <n v="61"/>
    <n v="218"/>
    <n v="14"/>
    <n v="1.061724407574882"/>
    <s v="HOKA Carbon X"/>
  </r>
  <r>
    <x v="2034"/>
    <n v="111"/>
    <x v="1"/>
    <s v="Z2.40'"/>
    <d v="1899-12-30T00:41:20"/>
    <n v="7.06"/>
    <d v="1899-12-30T00:05:51"/>
    <n v="116"/>
    <n v="42"/>
    <n v="204"/>
    <n v="15"/>
    <n v="1.069553084436176"/>
    <s v="Adidas Solarglide 5"/>
  </r>
  <r>
    <x v="2035"/>
    <n v="112"/>
    <x v="1"/>
    <s v="Z2.45'"/>
    <d v="1899-12-30T00:44:12"/>
    <n v="7.66"/>
    <d v="1899-12-30T00:05:46"/>
    <n v="123"/>
    <n v="46"/>
    <n v="207"/>
    <n v="18"/>
    <n v="1.0696465453411792"/>
    <s v="HOKA Rincon 3 II"/>
  </r>
  <r>
    <x v="2036"/>
    <m/>
    <x v="0"/>
    <m/>
    <m/>
    <s v=""/>
    <s v=""/>
    <m/>
    <s v="0"/>
    <m/>
    <m/>
    <s v=""/>
    <m/>
  </r>
  <r>
    <x v="2037"/>
    <n v="113"/>
    <x v="2"/>
    <s v="Z2.80'"/>
    <d v="1899-12-30T01:25:08"/>
    <n v="14.38"/>
    <d v="1899-12-30T00:05:55"/>
    <n v="131"/>
    <n v="85"/>
    <n v="202"/>
    <n v="42"/>
    <n v="1.0709484566043219"/>
    <s v="Mizuno"/>
  </r>
  <r>
    <x v="2038"/>
    <n v="114"/>
    <x v="1"/>
    <s v="Z2.45'"/>
    <d v="1899-12-30T00:46:18"/>
    <n v="8.02"/>
    <d v="1899-12-30T00:05:46"/>
    <n v="116"/>
    <n v="49"/>
    <n v="206"/>
    <n v="14"/>
    <n v="1.0650016749171847"/>
    <s v="HOKA Rincon 3 II"/>
  </r>
  <r>
    <x v="2039"/>
    <m/>
    <x v="0"/>
    <m/>
    <m/>
    <s v=""/>
    <s v=""/>
    <m/>
    <s v="0"/>
    <m/>
    <m/>
    <s v=""/>
    <m/>
  </r>
  <r>
    <x v="2040"/>
    <n v="115"/>
    <x v="1"/>
    <s v="Z6.6x90''"/>
    <d v="1899-12-30T00:51:18"/>
    <n v="9.16"/>
    <d v="1899-12-30T00:05:36"/>
    <n v="135"/>
    <n v="65"/>
    <n v="210"/>
    <n v="15"/>
    <n v="1.0532164504985986"/>
    <s v="HOKA Carbon X"/>
  </r>
  <r>
    <x v="2041"/>
    <n v="116"/>
    <x v="1"/>
    <s v="Z2.45'"/>
    <d v="1899-12-30T00:44:06"/>
    <n v="7.24"/>
    <d v="1899-12-30T00:06:05"/>
    <n v="120"/>
    <n v="41"/>
    <n v="193"/>
    <n v="24"/>
    <n v="1.0527706770017318"/>
    <s v="HOKA Clifton 8"/>
  </r>
  <r>
    <x v="2042"/>
    <n v="117"/>
    <x v="1"/>
    <s v="Z4.4x5'"/>
    <d v="1899-12-30T00:58:59"/>
    <n v="11.12"/>
    <d v="1899-12-30T00:05:18"/>
    <n v="135"/>
    <n v="80"/>
    <n v="224"/>
    <n v="19"/>
    <n v="1.0640180392999035"/>
    <s v="HOKA Carbon X"/>
  </r>
  <r>
    <x v="2043"/>
    <m/>
    <x v="0"/>
    <m/>
    <m/>
    <s v=""/>
    <s v=""/>
    <m/>
    <s v="0"/>
    <m/>
    <m/>
    <s v=""/>
    <m/>
  </r>
  <r>
    <x v="2044"/>
    <n v="118"/>
    <x v="2"/>
    <s v="Z2.90'"/>
    <d v="1899-12-30T01:33:19"/>
    <n v="15.83"/>
    <d v="1899-12-30T00:05:54"/>
    <n v="134"/>
    <n v="98"/>
    <n v="200"/>
    <n v="61"/>
    <n v="1.0558075070006885"/>
    <s v="Mizuno"/>
  </r>
  <r>
    <x v="2045"/>
    <m/>
    <x v="0"/>
    <m/>
    <m/>
    <s v=""/>
    <s v=""/>
    <m/>
    <s v="0"/>
    <m/>
    <m/>
    <s v=""/>
    <m/>
  </r>
  <r>
    <x v="2046"/>
    <n v="119"/>
    <x v="2"/>
    <s v="Z2.45'"/>
    <d v="1899-12-30T00:47:09"/>
    <n v="7.67"/>
    <d v="1899-12-30T00:06:09"/>
    <n v="116"/>
    <n v="43"/>
    <n v="189"/>
    <n v="22"/>
    <n v="1.0404580746852439"/>
    <s v="HOKA Rincon 3 II"/>
  </r>
  <r>
    <x v="2047"/>
    <m/>
    <x v="0"/>
    <m/>
    <m/>
    <s v=""/>
    <s v=""/>
    <m/>
    <s v="0"/>
    <m/>
    <m/>
    <s v=""/>
    <m/>
  </r>
  <r>
    <x v="2048"/>
    <m/>
    <x v="0"/>
    <m/>
    <m/>
    <s v=""/>
    <s v=""/>
    <m/>
    <s v="0"/>
    <m/>
    <m/>
    <s v=""/>
    <m/>
  </r>
  <r>
    <x v="2049"/>
    <n v="120"/>
    <x v="2"/>
    <s v="Z2.60'"/>
    <d v="1899-12-30T00:55:40"/>
    <n v="8.8699999999999992"/>
    <d v="1899-12-30T00:06:17"/>
    <n v="120"/>
    <n v="50"/>
    <n v="188"/>
    <n v="17"/>
    <n v="1.0565885342173016"/>
    <s v="HOKA Clifton 8"/>
  </r>
  <r>
    <x v="2050"/>
    <n v="121"/>
    <x v="2"/>
    <s v="Z2.45'"/>
    <d v="1899-12-30T00:53:02"/>
    <n v="8.9"/>
    <d v="1899-12-30T00:05:58"/>
    <n v="124"/>
    <n v="55"/>
    <n v="202"/>
    <n v="24"/>
    <n v="1.077920509810498"/>
    <s v="HOKA Rincon 3 II"/>
  </r>
  <r>
    <x v="2051"/>
    <n v="122"/>
    <x v="1"/>
    <s v="trail"/>
    <d v="1899-12-30T02:00:21"/>
    <n v="17.2"/>
    <d v="1899-12-30T00:07:00"/>
    <n v="134"/>
    <n v="115"/>
    <n v="185"/>
    <n v="290"/>
    <m/>
    <s v="Innov-8 Trailfly"/>
  </r>
  <r>
    <x v="2052"/>
    <m/>
    <x v="0"/>
    <m/>
    <m/>
    <s v=""/>
    <s v=""/>
    <m/>
    <s v="0"/>
    <m/>
    <m/>
    <s v=""/>
    <m/>
  </r>
  <r>
    <x v="2053"/>
    <n v="123"/>
    <x v="2"/>
    <s v="Z2.45'"/>
    <d v="1899-12-30T00:55:17"/>
    <n v="8.8800000000000008"/>
    <d v="1899-12-30T00:06:14"/>
    <n v="123"/>
    <n v="49"/>
    <n v="190"/>
    <n v="15"/>
    <n v="1.0592812962215945"/>
    <s v="HOKA Clifton 8"/>
  </r>
  <r>
    <x v="2054"/>
    <m/>
    <x v="0"/>
    <m/>
    <m/>
    <s v=""/>
    <s v=""/>
    <m/>
    <s v="0"/>
    <m/>
    <m/>
    <s v=""/>
    <m/>
  </r>
  <r>
    <x v="2055"/>
    <n v="124"/>
    <x v="2"/>
    <s v="Z2.45'"/>
    <d v="1899-12-30T00:51:03"/>
    <n v="8.39"/>
    <d v="1899-12-30T00:06:05"/>
    <n v="125"/>
    <n v="49"/>
    <n v="197"/>
    <n v="16"/>
    <n v="1.0734367495063417"/>
    <s v="Adidas Solarglide 5"/>
  </r>
  <r>
    <x v="2056"/>
    <m/>
    <x v="0"/>
    <m/>
    <m/>
    <s v=""/>
    <s v=""/>
    <m/>
    <s v="0"/>
    <m/>
    <m/>
    <s v=""/>
    <m/>
  </r>
  <r>
    <x v="2057"/>
    <m/>
    <x v="0"/>
    <m/>
    <m/>
    <s v=""/>
    <s v=""/>
    <m/>
    <s v="0"/>
    <m/>
    <m/>
    <s v=""/>
    <m/>
  </r>
  <r>
    <x v="2058"/>
    <n v="125"/>
    <x v="2"/>
    <s v="Z2.60'"/>
    <d v="1899-12-30T01:13:57"/>
    <n v="11.86"/>
    <d v="1899-12-30T00:06:14"/>
    <n v="123"/>
    <n v="68"/>
    <n v="193"/>
    <n v="33"/>
    <n v="1.077673604993582"/>
    <s v="Mizuno"/>
  </r>
  <r>
    <x v="2059"/>
    <m/>
    <x v="0"/>
    <m/>
    <m/>
    <s v=""/>
    <s v=""/>
    <m/>
    <s v="0"/>
    <m/>
    <m/>
    <s v=""/>
    <m/>
  </r>
  <r>
    <x v="2060"/>
    <n v="126"/>
    <x v="2"/>
    <s v="Z2.45'"/>
    <d v="1899-12-30T00:42:36"/>
    <n v="7.21"/>
    <d v="1899-12-30T00:05:55"/>
    <n v="128"/>
    <n v="42"/>
    <n v="199"/>
    <n v="18"/>
    <n v="1.0529405676195995"/>
    <s v="HOKA Clifton 8"/>
  </r>
  <r>
    <x v="2061"/>
    <m/>
    <x v="0"/>
    <m/>
    <m/>
    <s v=""/>
    <s v=""/>
    <m/>
    <s v="0"/>
    <m/>
    <m/>
    <s v=""/>
    <m/>
  </r>
  <r>
    <x v="2062"/>
    <n v="127"/>
    <x v="1"/>
    <s v="Z5.5x3'"/>
    <d v="1899-12-30T00:44:55"/>
    <n v="7.93"/>
    <d v="1899-12-30T00:05:40"/>
    <n v="143"/>
    <n v="59"/>
    <n v="207"/>
    <n v="21"/>
    <n v="1.0499802375261145"/>
    <s v="HOKA Carbon X"/>
  </r>
  <r>
    <x v="2063"/>
    <n v="128"/>
    <x v="2"/>
    <s v="Z2.45'"/>
    <d v="1899-12-30T00:52:28"/>
    <n v="8.56"/>
    <d v="1899-12-30T00:06:08"/>
    <n v="121"/>
    <n v="50"/>
    <n v="193"/>
    <n v="21"/>
    <n v="1.059359743339378"/>
    <s v="HOKA Rincon 3 II"/>
  </r>
  <r>
    <x v="2064"/>
    <m/>
    <x v="0"/>
    <m/>
    <m/>
    <s v=""/>
    <s v=""/>
    <m/>
    <s v="0"/>
    <m/>
    <m/>
    <s v=""/>
    <m/>
  </r>
  <r>
    <x v="2065"/>
    <n v="129"/>
    <x v="2"/>
    <s v="Z2.70'"/>
    <d v="1899-12-30T01:21:39"/>
    <n v="13.52"/>
    <d v="1899-12-30T00:06:02"/>
    <n v="130"/>
    <n v="80"/>
    <n v="199"/>
    <n v="43"/>
    <n v="1.0762397332862317"/>
    <s v="Mizuno"/>
  </r>
  <r>
    <x v="2066"/>
    <m/>
    <x v="0"/>
    <m/>
    <m/>
    <s v=""/>
    <s v=""/>
    <m/>
    <s v="0"/>
    <m/>
    <m/>
    <s v=""/>
    <m/>
  </r>
  <r>
    <x v="2067"/>
    <n v="130"/>
    <x v="1"/>
    <s v="Z2.45'"/>
    <d v="1899-12-30T00:49:31"/>
    <n v="8.1999999999999993"/>
    <d v="1899-12-30T00:06:02"/>
    <n v="132"/>
    <n v="48"/>
    <n v="196"/>
    <n v="16"/>
    <n v="1.0599126319621406"/>
    <s v="HOKA Rincon 3 II"/>
  </r>
  <r>
    <x v="2068"/>
    <m/>
    <x v="0"/>
    <m/>
    <m/>
    <s v=""/>
    <s v=""/>
    <m/>
    <s v="0"/>
    <m/>
    <m/>
    <s v=""/>
    <m/>
  </r>
  <r>
    <x v="2069"/>
    <n v="131"/>
    <x v="1"/>
    <s v="Z4.4x6'"/>
    <d v="1899-12-30T01:03:50"/>
    <n v="11.75"/>
    <d v="1899-12-30T00:05:26"/>
    <n v="143"/>
    <n v="82"/>
    <n v="216"/>
    <n v="20"/>
    <n v="1.050847888218482"/>
    <s v="HOKA Carbon X"/>
  </r>
  <r>
    <x v="2070"/>
    <n v="132"/>
    <x v="1"/>
    <s v="Z2.45'"/>
    <d v="1899-12-30T00:40:00"/>
    <n v="6.8"/>
    <d v="1899-12-30T00:05:53"/>
    <n v="135"/>
    <n v="39"/>
    <n v="199"/>
    <n v="18"/>
    <n v="1.0482879719051801"/>
    <s v="HOKA Clifton 8"/>
  </r>
  <r>
    <x v="2071"/>
    <m/>
    <x v="0"/>
    <m/>
    <m/>
    <s v=""/>
    <s v=""/>
    <m/>
    <s v="0"/>
    <m/>
    <m/>
    <s v=""/>
    <m/>
  </r>
  <r>
    <x v="2072"/>
    <n v="133"/>
    <x v="2"/>
    <s v="Z2.80'"/>
    <d v="1899-12-30T01:25:35"/>
    <n v="14.43"/>
    <d v="1899-12-30T00:05:56"/>
    <n v="132"/>
    <n v="87"/>
    <n v="203"/>
    <n v="43"/>
    <n v="1.0781901304289363"/>
    <s v="Mizuno"/>
  </r>
  <r>
    <x v="2073"/>
    <n v="134"/>
    <x v="1"/>
    <s v="Z2.45'"/>
    <d v="1899-12-30T00:47:31"/>
    <n v="8.1999999999999993"/>
    <d v="1899-12-30T00:05:48"/>
    <n v="119"/>
    <n v="49"/>
    <n v="204"/>
    <n v="15"/>
    <n v="1.0586166727338915"/>
    <s v="HOKA Rincon 3 II"/>
  </r>
  <r>
    <x v="2074"/>
    <n v="135"/>
    <x v="1"/>
    <s v="Z5.6x3'"/>
    <d v="1899-12-30T01:03:36"/>
    <n v="11.55"/>
    <d v="1899-12-30T00:05:30"/>
    <n v="138"/>
    <n v="85"/>
    <n v="215"/>
    <n v="20"/>
    <n v="1.0602054661756155"/>
    <s v="Adizero Boston 8"/>
  </r>
  <r>
    <x v="2075"/>
    <n v="136"/>
    <x v="1"/>
    <s v="Z2.40'"/>
    <d v="1899-12-30T00:49:48"/>
    <n v="8.4600000000000009"/>
    <d v="1899-12-30T00:05:53"/>
    <n v="123"/>
    <n v="49"/>
    <n v="199"/>
    <n v="15"/>
    <n v="1.0490314385519213"/>
    <s v="HOKA Clifton 8"/>
  </r>
  <r>
    <x v="2076"/>
    <m/>
    <x v="0"/>
    <m/>
    <m/>
    <s v=""/>
    <s v=""/>
    <m/>
    <s v="0"/>
    <m/>
    <m/>
    <s v=""/>
    <m/>
  </r>
  <r>
    <x v="2077"/>
    <n v="137"/>
    <x v="1"/>
    <s v="Z4.4x6'"/>
    <d v="1899-12-30T00:44:40"/>
    <n v="8.25"/>
    <d v="1899-12-30T00:05:25"/>
    <n v="137"/>
    <n v="59"/>
    <n v="220"/>
    <n v="15"/>
    <n v="1.0666666666666667"/>
    <s v="HOKA Carbon X"/>
  </r>
  <r>
    <x v="2078"/>
    <n v="138"/>
    <x v="2"/>
    <s v="Z2.60'"/>
    <d v="1899-12-30T01:21:32"/>
    <n v="13.78"/>
    <d v="1899-12-30T00:05:55"/>
    <n v="133"/>
    <n v="83"/>
    <n v="202"/>
    <n v="35"/>
    <n v="1.0703203864566864"/>
    <s v="Mizuno"/>
  </r>
  <r>
    <x v="2079"/>
    <m/>
    <x v="0"/>
    <m/>
    <m/>
    <s v=""/>
    <s v=""/>
    <m/>
    <s v="0"/>
    <m/>
    <m/>
    <s v=""/>
    <m/>
  </r>
  <r>
    <x v="2080"/>
    <n v="139"/>
    <x v="2"/>
    <s v="Z2.60'"/>
    <d v="1899-12-30T01:01:12"/>
    <n v="10.15"/>
    <d v="1899-12-30T00:06:02"/>
    <n v="129"/>
    <n v="60"/>
    <n v="198"/>
    <n v="31"/>
    <n v="1.0691213881332258"/>
    <s v="HOKA Rincon 3 II"/>
  </r>
  <r>
    <x v="2081"/>
    <m/>
    <x v="0"/>
    <m/>
    <m/>
    <s v=""/>
    <s v=""/>
    <m/>
    <s v="0"/>
    <m/>
    <m/>
    <s v=""/>
    <m/>
  </r>
  <r>
    <x v="2082"/>
    <n v="140"/>
    <x v="2"/>
    <s v="Z2.60'"/>
    <d v="1899-12-30T00:54:34"/>
    <n v="9.3000000000000007"/>
    <d v="1899-12-30T00:05:52"/>
    <n v="133"/>
    <n v="57"/>
    <n v="205"/>
    <n v="20"/>
    <n v="1.0771465254373298"/>
    <s v="HOKA Rincon 3 II"/>
  </r>
  <r>
    <x v="2083"/>
    <m/>
    <x v="0"/>
    <m/>
    <m/>
    <s v=""/>
    <s v=""/>
    <m/>
    <s v="0"/>
    <m/>
    <m/>
    <s v=""/>
    <m/>
  </r>
  <r>
    <x v="2084"/>
    <m/>
    <x v="0"/>
    <m/>
    <m/>
    <s v=""/>
    <s v=""/>
    <m/>
    <s v="0"/>
    <m/>
    <m/>
    <s v=""/>
    <m/>
  </r>
  <r>
    <x v="2085"/>
    <m/>
    <x v="0"/>
    <m/>
    <m/>
    <s v=""/>
    <s v=""/>
    <m/>
    <s v="0"/>
    <m/>
    <m/>
    <s v=""/>
    <m/>
  </r>
  <r>
    <x v="2086"/>
    <n v="141"/>
    <x v="2"/>
    <s v="Z2.90'"/>
    <d v="1899-12-30T01:43:59"/>
    <n v="17.36"/>
    <d v="1899-12-30T00:05:59"/>
    <n v="135"/>
    <n v="103"/>
    <n v="199"/>
    <n v="44"/>
    <n v="1.0674401609464201"/>
    <s v="Mizuno"/>
  </r>
  <r>
    <x v="2087"/>
    <n v="142"/>
    <x v="1"/>
    <s v="Z2.45'"/>
    <d v="1899-12-30T00:53:12"/>
    <n v="8.7100000000000009"/>
    <d v="1899-12-30T00:06:06"/>
    <n v="124"/>
    <n v="49"/>
    <n v="193"/>
    <n v="18"/>
    <n v="1.0556677005329267"/>
    <s v="HOKA Clifton 8"/>
  </r>
  <r>
    <x v="2088"/>
    <m/>
    <x v="0"/>
    <m/>
    <m/>
    <s v=""/>
    <s v=""/>
    <m/>
    <s v="0"/>
    <m/>
    <m/>
    <s v=""/>
    <m/>
  </r>
  <r>
    <x v="2089"/>
    <n v="143"/>
    <x v="1"/>
    <s v="Z5.6x3'"/>
    <d v="1899-12-30T01:01:42"/>
    <n v="11.106999999999999"/>
    <d v="1899-12-30T00:05:33"/>
    <n v="140"/>
    <n v="82"/>
    <n v="212"/>
    <n v="20"/>
    <n v="1.0546314076506815"/>
    <s v="HOKA Carbon X"/>
  </r>
  <r>
    <x v="2090"/>
    <n v="144"/>
    <x v="1"/>
    <s v="Z2.45'"/>
    <d v="1899-12-30T00:47:30"/>
    <n v="8.4600000000000009"/>
    <d v="1899-12-30T00:05:37"/>
    <n v="127"/>
    <n v="54"/>
    <n v="212"/>
    <n v="22"/>
    <n v="1.0659468614374932"/>
    <s v="HOKA Rincon 3 II"/>
  </r>
  <r>
    <x v="2091"/>
    <m/>
    <x v="0"/>
    <m/>
    <m/>
    <s v=""/>
    <s v=""/>
    <m/>
    <s v="0"/>
    <m/>
    <m/>
    <s v=""/>
    <m/>
  </r>
  <r>
    <x v="2092"/>
    <m/>
    <x v="0"/>
    <m/>
    <m/>
    <s v=""/>
    <s v=""/>
    <m/>
    <s v="0"/>
    <m/>
    <m/>
    <s v=""/>
    <m/>
  </r>
  <r>
    <x v="2093"/>
    <n v="145"/>
    <x v="1"/>
    <s v="trail"/>
    <d v="1899-12-30T02:10:14"/>
    <n v="15.81"/>
    <d v="1899-12-30T00:08:14"/>
    <n v="137"/>
    <n v="114"/>
    <n v="169"/>
    <n v="663"/>
    <m/>
    <s v="Innov-8 Trailfly"/>
  </r>
  <r>
    <x v="2094"/>
    <n v="146"/>
    <x v="1"/>
    <s v="Z2.45'"/>
    <d v="1899-12-30T00:36:23"/>
    <n v="5.84"/>
    <d v="1899-12-30T00:06:14"/>
    <n v="118"/>
    <n v="32"/>
    <n v="188"/>
    <n v="14"/>
    <n v="1.0488754855857698"/>
    <s v="HOKA Clifton 8"/>
  </r>
  <r>
    <x v="2095"/>
    <m/>
    <x v="0"/>
    <m/>
    <m/>
    <s v=""/>
    <s v=""/>
    <m/>
    <s v="0"/>
    <m/>
    <m/>
    <s v=""/>
    <m/>
  </r>
  <r>
    <x v="2096"/>
    <n v="147"/>
    <x v="1"/>
    <s v="Z2.45'"/>
    <d v="1899-12-30T00:41:38"/>
    <n v="6.84"/>
    <d v="1899-12-30T00:06:05"/>
    <n v="122"/>
    <n v="39"/>
    <n v="194"/>
    <n v="19"/>
    <n v="1.0574583224229728"/>
    <s v="HOKA Rincon 3 II"/>
  </r>
  <r>
    <x v="2097"/>
    <m/>
    <x v="0"/>
    <m/>
    <m/>
    <s v=""/>
    <s v=""/>
    <m/>
    <s v="0"/>
    <m/>
    <m/>
    <s v=""/>
    <m/>
  </r>
  <r>
    <x v="2098"/>
    <n v="148"/>
    <x v="2"/>
    <s v="Z2.30'"/>
    <d v="1899-12-30T00:28:22"/>
    <n v="4.22"/>
    <d v="1899-12-30T00:06:43"/>
    <n v="128"/>
    <n v="23"/>
    <n v="178"/>
    <n v="9"/>
    <n v="1.0715003183136449"/>
    <s v="HOKA Rincon 3 II"/>
  </r>
  <r>
    <x v="2099"/>
    <m/>
    <x v="0"/>
    <m/>
    <m/>
    <s v=""/>
    <s v=""/>
    <m/>
    <s v="0"/>
    <m/>
    <m/>
    <s v=""/>
    <m/>
  </r>
  <r>
    <x v="2100"/>
    <m/>
    <x v="0"/>
    <m/>
    <m/>
    <s v=""/>
    <s v=""/>
    <m/>
    <s v="0"/>
    <m/>
    <m/>
    <s v=""/>
    <m/>
  </r>
  <r>
    <x v="2101"/>
    <n v="149"/>
    <x v="2"/>
    <s v="Z2.60'"/>
    <d v="1899-12-30T01:04:15"/>
    <n v="10.81"/>
    <d v="1899-12-30T00:05:57"/>
    <n v="133"/>
    <n v="66"/>
    <n v="202"/>
    <n v="35"/>
    <n v="1.0751653388929543"/>
    <s v="HOKA Rincon 3 II"/>
  </r>
  <r>
    <x v="2102"/>
    <n v="150"/>
    <x v="2"/>
    <s v="Z2.60'"/>
    <d v="1899-12-30T00:59:33"/>
    <n v="10.119999999999999"/>
    <d v="1899-12-30T00:05:53"/>
    <n v="126"/>
    <n v="61"/>
    <n v="203"/>
    <n v="28"/>
    <n v="1.0697289245472246"/>
    <s v="HOKA Rincon 3 II"/>
  </r>
  <r>
    <x v="2103"/>
    <m/>
    <x v="0"/>
    <m/>
    <m/>
    <s v=""/>
    <s v=""/>
    <m/>
    <s v="0"/>
    <m/>
    <m/>
    <s v=""/>
    <m/>
  </r>
  <r>
    <x v="2104"/>
    <n v="151"/>
    <x v="2"/>
    <s v="Z2.40'"/>
    <d v="1899-12-30T00:48:18"/>
    <n v="8.23"/>
    <d v="1899-12-30T00:05:52"/>
    <n v="124"/>
    <n v="48"/>
    <n v="202"/>
    <n v="20"/>
    <n v="1.0616347182677137"/>
    <s v="HOKA Clifton 8"/>
  </r>
  <r>
    <x v="2105"/>
    <m/>
    <x v="0"/>
    <m/>
    <m/>
    <s v=""/>
    <s v=""/>
    <m/>
    <s v="0"/>
    <m/>
    <m/>
    <s v=""/>
    <m/>
  </r>
  <r>
    <x v="2106"/>
    <n v="152"/>
    <x v="1"/>
    <s v="5k"/>
    <d v="1899-12-30T00:21:29"/>
    <n v="5"/>
    <d v="1899-12-30T00:04:18"/>
    <n v="167"/>
    <n v="40"/>
    <n v="277"/>
    <n v="13"/>
    <n v="1.0658298507462685"/>
    <s v="HOKA Carbon X"/>
  </r>
  <r>
    <x v="2107"/>
    <m/>
    <x v="0"/>
    <m/>
    <m/>
    <s v=""/>
    <s v=""/>
    <m/>
    <s v="0"/>
    <m/>
    <m/>
    <s v=""/>
    <m/>
  </r>
  <r>
    <x v="2108"/>
    <n v="153"/>
    <x v="1"/>
    <s v="Z2.40'"/>
    <d v="1899-12-30T00:42:47"/>
    <n v="7.31"/>
    <d v="1899-12-30T00:05:51"/>
    <n v="120"/>
    <n v="39"/>
    <n v="202"/>
    <n v="18"/>
    <n v="1.0587296077750783"/>
    <s v="HOKA Clifton 8"/>
  </r>
  <r>
    <x v="2109"/>
    <n v="154"/>
    <x v="1"/>
    <s v="Z2.45'"/>
    <d v="1899-12-30T00:48:41"/>
    <n v="8.57"/>
    <d v="1899-12-30T00:05:41"/>
    <n v="127"/>
    <n v="49"/>
    <n v="209"/>
    <n v="20"/>
    <n v="1.0632177502220519"/>
    <s v="HOKA Rincon 3 II"/>
  </r>
  <r>
    <x v="2110"/>
    <n v="155"/>
    <x v="1"/>
    <s v="Z5.8x3'"/>
    <d v="1899-12-30T01:12:36"/>
    <n v="13.22"/>
    <d v="1899-12-30T00:05:30"/>
    <n v="143"/>
    <n v="90"/>
    <n v="215"/>
    <n v="17"/>
    <n v="1.0573531736175401"/>
    <s v="HOKA Carbon X"/>
  </r>
  <r>
    <x v="2111"/>
    <n v="156"/>
    <x v="1"/>
    <s v="Z2.40'"/>
    <d v="1899-12-30T00:46:32"/>
    <n v="7.46"/>
    <d v="1899-12-30T00:06:14"/>
    <n v="135"/>
    <n v="39"/>
    <n v="189"/>
    <n v="19"/>
    <n v="1.0557560721859871"/>
    <s v="HOKA Clifton 8"/>
  </r>
  <r>
    <x v="2112"/>
    <n v="157"/>
    <x v="1"/>
    <s v="Z2.45'"/>
    <d v="1899-12-30T00:48:37"/>
    <n v="8.18"/>
    <d v="1899-12-30T00:05:57"/>
    <n v="122"/>
    <n v="45"/>
    <n v="200"/>
    <n v="18"/>
    <n v="1.0644819910228809"/>
    <s v="HOKA Rincon 3 II"/>
  </r>
  <r>
    <x v="2113"/>
    <n v="158"/>
    <x v="2"/>
    <s v="Z2.100'"/>
    <d v="1899-12-30T01:39:12"/>
    <n v="17.329999999999998"/>
    <d v="1899-12-30T00:05:43"/>
    <n v="132"/>
    <n v="98"/>
    <n v="208"/>
    <n v="60"/>
    <n v="1.066234895918561"/>
    <s v="Mizuno"/>
  </r>
  <r>
    <x v="2114"/>
    <m/>
    <x v="0"/>
    <m/>
    <m/>
    <s v=""/>
    <s v=""/>
    <m/>
    <s v="0"/>
    <m/>
    <m/>
    <s v=""/>
    <m/>
  </r>
  <r>
    <x v="2115"/>
    <n v="159"/>
    <x v="1"/>
    <s v="Z2.45'"/>
    <d v="1899-12-30T00:47:08"/>
    <n v="8.07"/>
    <d v="1899-12-30T00:05:50"/>
    <n v="120"/>
    <n v="45"/>
    <n v="205"/>
    <n v="18"/>
    <n v="1.072222530470325"/>
    <s v="HOKA Rincon 3 II"/>
  </r>
  <r>
    <x v="2116"/>
    <m/>
    <x v="0"/>
    <m/>
    <m/>
    <s v=""/>
    <s v=""/>
    <m/>
    <s v="0"/>
    <m/>
    <m/>
    <s v=""/>
    <m/>
  </r>
  <r>
    <x v="2117"/>
    <n v="160"/>
    <x v="1"/>
    <s v="FS45"/>
    <d v="1899-12-30T01:08:36"/>
    <n v="13.55"/>
    <d v="1899-12-30T00:05:04"/>
    <n v="148"/>
    <n v="93"/>
    <n v="234"/>
    <n v="40"/>
    <n v="1.0609065374235831"/>
    <s v="Adizero Boston 8"/>
  </r>
  <r>
    <x v="2118"/>
    <n v="161"/>
    <x v="1"/>
    <s v="Z2.40'"/>
    <d v="1899-12-30T00:39:46"/>
    <n v="6.84"/>
    <d v="1899-12-30T00:05:49"/>
    <n v="127"/>
    <n v="36"/>
    <n v="201"/>
    <n v="21"/>
    <n v="1.0464912280701755"/>
    <s v="HOKA Clifton 8"/>
  </r>
  <r>
    <x v="2119"/>
    <n v="162"/>
    <x v="1"/>
    <s v="Z2.45'"/>
    <d v="1899-12-30T00:47:22"/>
    <n v="8.35"/>
    <d v="1899-12-30T00:05:40"/>
    <n v="128"/>
    <n v="47"/>
    <n v="210"/>
    <n v="18"/>
    <n v="1.0667977477880064"/>
    <s v="HOKA Rincon 3 II"/>
  </r>
  <r>
    <x v="2120"/>
    <m/>
    <x v="0"/>
    <m/>
    <m/>
    <s v=""/>
    <s v=""/>
    <m/>
    <s v="0"/>
    <m/>
    <m/>
    <s v=""/>
    <m/>
  </r>
  <r>
    <x v="2121"/>
    <n v="163"/>
    <x v="2"/>
    <s v="Z2.110'"/>
    <d v="1899-12-30T01:53:33"/>
    <n v="19.54"/>
    <d v="1899-12-30T00:05:49"/>
    <n v="131"/>
    <n v="110"/>
    <n v="205"/>
    <n v="78"/>
    <n v="1.0668242716815106"/>
    <s v="Mizuno"/>
  </r>
  <r>
    <x v="2122"/>
    <n v="164"/>
    <x v="2"/>
    <s v="Z2.40'"/>
    <d v="1899-12-30T00:38:58"/>
    <n v="6.31"/>
    <d v="1899-12-30T00:06:11"/>
    <n v="117"/>
    <n v="32"/>
    <n v="191"/>
    <n v="11"/>
    <n v="1.0562670009697948"/>
    <s v="HOKA Clifton 8"/>
  </r>
  <r>
    <x v="2123"/>
    <m/>
    <x v="0"/>
    <m/>
    <m/>
    <s v=""/>
    <s v=""/>
    <m/>
    <s v="0"/>
    <m/>
    <m/>
    <s v=""/>
    <m/>
  </r>
  <r>
    <x v="2124"/>
    <n v="165"/>
    <x v="1"/>
    <s v="Z4.4x8'"/>
    <d v="1899-12-30T01:02:48"/>
    <n v="12.01"/>
    <d v="1899-12-30T00:05:14"/>
    <n v="143"/>
    <n v="80"/>
    <n v="229"/>
    <n v="35"/>
    <n v="1.0723302720369841"/>
    <s v="Adizero Boston 8"/>
  </r>
  <r>
    <x v="2125"/>
    <m/>
    <x v="0"/>
    <m/>
    <m/>
    <s v=""/>
    <s v=""/>
    <m/>
    <s v="0"/>
    <m/>
    <m/>
    <s v=""/>
    <m/>
  </r>
  <r>
    <x v="2126"/>
    <m/>
    <x v="0"/>
    <m/>
    <m/>
    <s v=""/>
    <s v=""/>
    <m/>
    <s v="0"/>
    <m/>
    <m/>
    <s v=""/>
    <m/>
  </r>
  <r>
    <x v="2127"/>
    <m/>
    <x v="0"/>
    <m/>
    <m/>
    <s v=""/>
    <s v=""/>
    <m/>
    <s v="0"/>
    <m/>
    <m/>
    <s v=""/>
    <m/>
  </r>
  <r>
    <x v="2128"/>
    <m/>
    <x v="0"/>
    <m/>
    <m/>
    <m/>
    <s v=""/>
    <m/>
    <s v="0"/>
    <m/>
    <m/>
    <s v=""/>
    <m/>
  </r>
  <r>
    <x v="2129"/>
    <m/>
    <x v="0"/>
    <m/>
    <m/>
    <s v=""/>
    <s v=""/>
    <m/>
    <s v="0"/>
    <m/>
    <m/>
    <s v=""/>
    <m/>
  </r>
  <r>
    <x v="2130"/>
    <m/>
    <x v="0"/>
    <m/>
    <m/>
    <s v=""/>
    <s v=""/>
    <m/>
    <s v="0"/>
    <m/>
    <m/>
    <s v=""/>
    <m/>
  </r>
  <r>
    <x v="2131"/>
    <m/>
    <x v="0"/>
    <m/>
    <m/>
    <m/>
    <s v=""/>
    <m/>
    <s v="0"/>
    <m/>
    <m/>
    <s v=""/>
    <m/>
  </r>
  <r>
    <x v="2132"/>
    <m/>
    <x v="0"/>
    <m/>
    <m/>
    <s v=""/>
    <s v=""/>
    <m/>
    <s v="0"/>
    <m/>
    <m/>
    <s v=""/>
    <m/>
  </r>
  <r>
    <x v="2133"/>
    <m/>
    <x v="0"/>
    <m/>
    <m/>
    <s v=""/>
    <s v=""/>
    <m/>
    <s v="0"/>
    <m/>
    <m/>
    <s v=""/>
    <m/>
  </r>
  <r>
    <x v="2134"/>
    <m/>
    <x v="0"/>
    <m/>
    <m/>
    <s v=""/>
    <s v=""/>
    <m/>
    <s v="0"/>
    <m/>
    <m/>
    <s v=""/>
    <m/>
  </r>
  <r>
    <x v="2135"/>
    <m/>
    <x v="0"/>
    <m/>
    <m/>
    <s v=""/>
    <s v=""/>
    <m/>
    <s v="0"/>
    <m/>
    <m/>
    <s v=""/>
    <m/>
  </r>
  <r>
    <x v="2136"/>
    <m/>
    <x v="0"/>
    <m/>
    <m/>
    <s v=""/>
    <s v=""/>
    <m/>
    <s v="0"/>
    <m/>
    <m/>
    <s v=""/>
    <m/>
  </r>
  <r>
    <x v="2137"/>
    <n v="166"/>
    <x v="1"/>
    <s v="Z2.40'"/>
    <d v="1899-12-30T00:34:49"/>
    <n v="5.85"/>
    <d v="1899-12-30T00:05:57"/>
    <n v="125"/>
    <n v="31"/>
    <n v="197"/>
    <n v="13"/>
    <n v="1.0499630054853935"/>
    <s v="HOKA Clifton 8"/>
  </r>
  <r>
    <x v="2138"/>
    <m/>
    <x v="0"/>
    <m/>
    <m/>
    <s v=""/>
    <s v=""/>
    <m/>
    <s v="0"/>
    <m/>
    <m/>
    <s v=""/>
    <m/>
  </r>
  <r>
    <x v="2139"/>
    <m/>
    <x v="0"/>
    <m/>
    <m/>
    <s v=""/>
    <s v=""/>
    <m/>
    <s v="0"/>
    <m/>
    <m/>
    <s v=""/>
    <m/>
  </r>
  <r>
    <x v="2140"/>
    <m/>
    <x v="0"/>
    <m/>
    <m/>
    <s v=""/>
    <s v=""/>
    <m/>
    <s v="0"/>
    <m/>
    <m/>
    <s v=""/>
    <m/>
  </r>
  <r>
    <x v="2141"/>
    <m/>
    <x v="0"/>
    <m/>
    <m/>
    <s v=""/>
    <s v=""/>
    <m/>
    <s v="0"/>
    <m/>
    <m/>
    <s v=""/>
    <m/>
  </r>
  <r>
    <x v="2142"/>
    <n v="167"/>
    <x v="2"/>
    <s v="Z2.40'"/>
    <d v="1899-12-30T00:39:16"/>
    <n v="6.07"/>
    <d v="1899-12-30T00:06:28"/>
    <n v="129"/>
    <n v="31"/>
    <n v="197"/>
    <n v="19"/>
    <n v="1.1412427155818925"/>
    <s v="HOKA Clifton 8"/>
  </r>
  <r>
    <x v="2143"/>
    <m/>
    <x v="0"/>
    <m/>
    <m/>
    <s v=""/>
    <s v=""/>
    <m/>
    <s v="0"/>
    <m/>
    <m/>
    <s v=""/>
    <m/>
  </r>
  <r>
    <x v="2144"/>
    <m/>
    <x v="0"/>
    <m/>
    <m/>
    <s v=""/>
    <s v=""/>
    <m/>
    <s v="0"/>
    <m/>
    <m/>
    <s v=""/>
    <m/>
  </r>
  <r>
    <x v="2145"/>
    <m/>
    <x v="0"/>
    <m/>
    <m/>
    <s v=""/>
    <s v=""/>
    <m/>
    <s v="0"/>
    <m/>
    <m/>
    <s v=""/>
    <m/>
  </r>
  <r>
    <x v="2146"/>
    <m/>
    <x v="0"/>
    <m/>
    <m/>
    <s v=""/>
    <s v=""/>
    <m/>
    <s v="0"/>
    <m/>
    <m/>
    <s v=""/>
    <m/>
  </r>
  <r>
    <x v="2147"/>
    <m/>
    <x v="0"/>
    <m/>
    <m/>
    <s v=""/>
    <s v=""/>
    <m/>
    <s v="0"/>
    <m/>
    <m/>
    <s v=""/>
    <m/>
  </r>
  <r>
    <x v="2148"/>
    <m/>
    <x v="0"/>
    <m/>
    <m/>
    <s v=""/>
    <s v=""/>
    <m/>
    <s v="0"/>
    <m/>
    <m/>
    <s v=""/>
    <m/>
  </r>
  <r>
    <x v="2149"/>
    <m/>
    <x v="0"/>
    <m/>
    <m/>
    <s v=""/>
    <s v=""/>
    <m/>
    <s v="0"/>
    <m/>
    <m/>
    <s v=""/>
    <m/>
  </r>
  <r>
    <x v="2150"/>
    <m/>
    <x v="0"/>
    <m/>
    <m/>
    <s v=""/>
    <s v=""/>
    <m/>
    <s v="0"/>
    <m/>
    <m/>
    <s v=""/>
    <m/>
  </r>
  <r>
    <x v="2151"/>
    <m/>
    <x v="0"/>
    <m/>
    <m/>
    <s v=""/>
    <s v=""/>
    <m/>
    <s v="0"/>
    <m/>
    <m/>
    <s v=""/>
    <m/>
  </r>
  <r>
    <x v="2152"/>
    <m/>
    <x v="0"/>
    <m/>
    <m/>
    <s v=""/>
    <s v=""/>
    <m/>
    <s v="0"/>
    <m/>
    <m/>
    <s v=""/>
    <m/>
  </r>
  <r>
    <x v="2153"/>
    <m/>
    <x v="0"/>
    <m/>
    <m/>
    <s v=""/>
    <s v=""/>
    <m/>
    <s v="0"/>
    <m/>
    <m/>
    <s v=""/>
    <m/>
  </r>
  <r>
    <x v="2154"/>
    <m/>
    <x v="0"/>
    <m/>
    <m/>
    <s v=""/>
    <s v=""/>
    <m/>
    <s v="0"/>
    <m/>
    <m/>
    <s v=""/>
    <m/>
  </r>
  <r>
    <x v="2155"/>
    <m/>
    <x v="0"/>
    <m/>
    <m/>
    <s v=""/>
    <s v=""/>
    <m/>
    <s v="0"/>
    <m/>
    <m/>
    <s v=""/>
    <m/>
  </r>
  <r>
    <x v="2156"/>
    <m/>
    <x v="0"/>
    <m/>
    <m/>
    <s v=""/>
    <s v=""/>
    <m/>
    <s v="0"/>
    <m/>
    <m/>
    <s v=""/>
    <m/>
  </r>
  <r>
    <x v="2157"/>
    <m/>
    <x v="0"/>
    <m/>
    <m/>
    <s v=""/>
    <s v=""/>
    <m/>
    <s v="0"/>
    <m/>
    <m/>
    <s v=""/>
    <m/>
  </r>
  <r>
    <x v="2158"/>
    <m/>
    <x v="0"/>
    <m/>
    <m/>
    <s v=""/>
    <s v=""/>
    <m/>
    <s v="0"/>
    <m/>
    <m/>
    <s v=""/>
    <m/>
  </r>
  <r>
    <x v="2159"/>
    <m/>
    <x v="0"/>
    <m/>
    <m/>
    <s v=""/>
    <s v=""/>
    <m/>
    <s v="0"/>
    <m/>
    <m/>
    <s v=""/>
    <m/>
  </r>
  <r>
    <x v="2160"/>
    <m/>
    <x v="0"/>
    <m/>
    <m/>
    <s v=""/>
    <s v=""/>
    <m/>
    <s v="0"/>
    <m/>
    <m/>
    <s v=""/>
    <m/>
  </r>
  <r>
    <x v="2161"/>
    <m/>
    <x v="0"/>
    <m/>
    <m/>
    <s v=""/>
    <s v=""/>
    <m/>
    <s v="0"/>
    <m/>
    <m/>
    <s v=""/>
    <m/>
  </r>
  <r>
    <x v="2162"/>
    <m/>
    <x v="0"/>
    <m/>
    <m/>
    <s v=""/>
    <s v=""/>
    <m/>
    <s v="0"/>
    <m/>
    <m/>
    <s v=""/>
    <m/>
  </r>
  <r>
    <x v="2163"/>
    <m/>
    <x v="0"/>
    <m/>
    <m/>
    <s v=""/>
    <s v=""/>
    <m/>
    <s v="0"/>
    <m/>
    <m/>
    <s v=""/>
    <m/>
  </r>
  <r>
    <x v="2164"/>
    <m/>
    <x v="0"/>
    <m/>
    <m/>
    <s v=""/>
    <s v=""/>
    <m/>
    <s v="0"/>
    <m/>
    <m/>
    <s v=""/>
    <m/>
  </r>
  <r>
    <x v="2165"/>
    <m/>
    <x v="0"/>
    <m/>
    <m/>
    <s v=""/>
    <s v=""/>
    <m/>
    <s v="0"/>
    <m/>
    <m/>
    <s v=""/>
    <m/>
  </r>
  <r>
    <x v="2166"/>
    <m/>
    <x v="0"/>
    <m/>
    <m/>
    <s v=""/>
    <s v=""/>
    <m/>
    <s v="0"/>
    <m/>
    <m/>
    <s v=""/>
    <m/>
  </r>
  <r>
    <x v="2167"/>
    <m/>
    <x v="0"/>
    <m/>
    <m/>
    <s v=""/>
    <s v=""/>
    <m/>
    <s v="0"/>
    <m/>
    <m/>
    <s v=""/>
    <m/>
  </r>
  <r>
    <x v="2168"/>
    <m/>
    <x v="0"/>
    <m/>
    <m/>
    <s v=""/>
    <s v=""/>
    <m/>
    <s v="0"/>
    <m/>
    <m/>
    <s v=""/>
    <m/>
  </r>
  <r>
    <x v="2169"/>
    <m/>
    <x v="0"/>
    <m/>
    <m/>
    <s v=""/>
    <s v=""/>
    <m/>
    <s v="0"/>
    <m/>
    <m/>
    <s v=""/>
    <m/>
  </r>
  <r>
    <x v="2170"/>
    <m/>
    <x v="0"/>
    <m/>
    <m/>
    <s v=""/>
    <s v=""/>
    <m/>
    <s v="0"/>
    <m/>
    <m/>
    <s v=""/>
    <m/>
  </r>
  <r>
    <x v="2171"/>
    <m/>
    <x v="0"/>
    <m/>
    <m/>
    <s v=""/>
    <s v=""/>
    <m/>
    <s v="0"/>
    <m/>
    <m/>
    <s v=""/>
    <m/>
  </r>
  <r>
    <x v="2172"/>
    <n v="168"/>
    <x v="1"/>
    <s v="Z2.30'"/>
    <d v="1899-12-30T00:24:57"/>
    <n v="3.99"/>
    <d v="1899-12-30T00:06:15"/>
    <n v="129"/>
    <n v="20"/>
    <n v="190"/>
    <n v="12"/>
    <n v="1.0639658848614073"/>
    <s v="HOKA Rincon 3 II"/>
  </r>
  <r>
    <x v="2173"/>
    <m/>
    <x v="0"/>
    <m/>
    <m/>
    <s v=""/>
    <s v=""/>
    <m/>
    <s v="0"/>
    <m/>
    <m/>
    <s v=""/>
    <m/>
  </r>
  <r>
    <x v="2174"/>
    <m/>
    <x v="0"/>
    <m/>
    <m/>
    <s v=""/>
    <s v=""/>
    <m/>
    <s v="0"/>
    <m/>
    <m/>
    <s v=""/>
    <m/>
  </r>
  <r>
    <x v="2175"/>
    <m/>
    <x v="0"/>
    <m/>
    <m/>
    <s v=""/>
    <s v=""/>
    <m/>
    <s v="0"/>
    <m/>
    <m/>
    <s v=""/>
    <m/>
  </r>
  <r>
    <x v="2176"/>
    <m/>
    <x v="0"/>
    <m/>
    <m/>
    <s v=""/>
    <s v=""/>
    <m/>
    <s v="0"/>
    <m/>
    <m/>
    <s v=""/>
    <m/>
  </r>
  <r>
    <x v="2177"/>
    <m/>
    <x v="0"/>
    <m/>
    <m/>
    <s v=""/>
    <s v=""/>
    <m/>
    <s v="0"/>
    <m/>
    <m/>
    <s v=""/>
    <m/>
  </r>
  <r>
    <x v="2178"/>
    <m/>
    <x v="0"/>
    <m/>
    <m/>
    <s v=""/>
    <s v=""/>
    <m/>
    <s v="0"/>
    <m/>
    <m/>
    <s v=""/>
    <m/>
  </r>
  <r>
    <x v="2179"/>
    <m/>
    <x v="0"/>
    <m/>
    <m/>
    <s v=""/>
    <s v=""/>
    <m/>
    <s v="0"/>
    <m/>
    <m/>
    <s v=""/>
    <m/>
  </r>
  <r>
    <x v="2180"/>
    <m/>
    <x v="0"/>
    <m/>
    <m/>
    <s v=""/>
    <s v=""/>
    <m/>
    <s v="0"/>
    <m/>
    <m/>
    <s v=""/>
    <m/>
  </r>
  <r>
    <x v="2181"/>
    <m/>
    <x v="0"/>
    <m/>
    <m/>
    <s v=""/>
    <s v=""/>
    <m/>
    <s v="0"/>
    <m/>
    <m/>
    <s v=""/>
    <m/>
  </r>
  <r>
    <x v="2182"/>
    <m/>
    <x v="0"/>
    <m/>
    <m/>
    <s v=""/>
    <s v=""/>
    <m/>
    <s v="0"/>
    <m/>
    <m/>
    <s v=""/>
    <m/>
  </r>
  <r>
    <x v="2183"/>
    <m/>
    <x v="0"/>
    <m/>
    <m/>
    <s v=""/>
    <s v=""/>
    <m/>
    <s v="0"/>
    <m/>
    <m/>
    <s v=""/>
    <m/>
  </r>
  <r>
    <x v="2184"/>
    <m/>
    <x v="0"/>
    <m/>
    <m/>
    <s v=""/>
    <s v=""/>
    <m/>
    <s v="0"/>
    <m/>
    <m/>
    <s v=""/>
    <m/>
  </r>
  <r>
    <x v="2185"/>
    <m/>
    <x v="0"/>
    <m/>
    <m/>
    <s v=""/>
    <s v=""/>
    <m/>
    <s v="0"/>
    <m/>
    <m/>
    <s v=""/>
    <m/>
  </r>
  <r>
    <x v="2186"/>
    <m/>
    <x v="0"/>
    <m/>
    <m/>
    <s v=""/>
    <s v=""/>
    <m/>
    <s v="0"/>
    <m/>
    <m/>
    <s v=""/>
    <m/>
  </r>
  <r>
    <x v="2187"/>
    <n v="169"/>
    <x v="1"/>
    <s v="Z2.30'"/>
    <d v="1899-12-30T00:31:08"/>
    <n v="5.37"/>
    <d v="1899-12-30T00:05:48"/>
    <n v="139"/>
    <n v="30"/>
    <n v="207"/>
    <n v="16"/>
    <n v="1.0747269240390227"/>
    <s v="HOKA Clifton 7"/>
  </r>
  <r>
    <x v="2188"/>
    <m/>
    <x v="0"/>
    <m/>
    <m/>
    <s v=""/>
    <s v=""/>
    <m/>
    <s v="0"/>
    <m/>
    <m/>
    <s v=""/>
    <m/>
  </r>
  <r>
    <x v="2189"/>
    <n v="170"/>
    <x v="2"/>
    <s v="Z2.30'"/>
    <d v="1899-12-30T00:31:53"/>
    <n v="4.8600000000000003"/>
    <d v="1899-12-30T00:06:34"/>
    <n v="122"/>
    <n v="24"/>
    <n v="179"/>
    <n v="17"/>
    <n v="1.0516153798906702"/>
    <s v="HOKA Rincon 3 II"/>
  </r>
  <r>
    <x v="2190"/>
    <m/>
    <x v="0"/>
    <m/>
    <m/>
    <s v=""/>
    <s v=""/>
    <m/>
    <s v="0"/>
    <m/>
    <m/>
    <s v=""/>
    <m/>
  </r>
  <r>
    <x v="2191"/>
    <n v="171"/>
    <x v="1"/>
    <s v="Z2.40'"/>
    <d v="1899-12-30T00:48:53"/>
    <n v="7.86"/>
    <d v="1899-12-30T00:06:13"/>
    <n v="139"/>
    <n v="41"/>
    <n v="192"/>
    <n v="16"/>
    <n v="1.0693403212942918"/>
    <s v="HOKA Rincon 3 II"/>
  </r>
  <r>
    <x v="2192"/>
    <m/>
    <x v="0"/>
    <m/>
    <m/>
    <s v=""/>
    <s v=""/>
    <m/>
    <s v="0"/>
    <m/>
    <m/>
    <s v=""/>
    <m/>
  </r>
  <r>
    <x v="2193"/>
    <m/>
    <x v="0"/>
    <m/>
    <m/>
    <s v=""/>
    <s v=""/>
    <m/>
    <s v="0"/>
    <m/>
    <m/>
    <s v=""/>
    <m/>
  </r>
  <r>
    <x v="2194"/>
    <n v="1"/>
    <x v="1"/>
    <s v="Z2.45'"/>
    <d v="1899-12-30T00:45:06"/>
    <n v="8.1"/>
    <d v="1899-12-30T00:05:34"/>
    <n v="139"/>
    <n v="48"/>
    <n v="219"/>
    <n v="32"/>
    <n v="1.0919734660033167"/>
    <s v="HOKA Rincon 3 II"/>
  </r>
  <r>
    <x v="2195"/>
    <m/>
    <x v="0"/>
    <m/>
    <m/>
    <s v=""/>
    <s v=""/>
    <m/>
    <s v="0"/>
    <m/>
    <m/>
    <s v=""/>
    <m/>
  </r>
  <r>
    <x v="2196"/>
    <m/>
    <x v="0"/>
    <m/>
    <m/>
    <s v=""/>
    <s v=""/>
    <m/>
    <s v="0"/>
    <m/>
    <m/>
    <s v=""/>
    <m/>
  </r>
  <r>
    <x v="2197"/>
    <n v="2"/>
    <x v="2"/>
    <s v="Z2.45'"/>
    <d v="1899-12-30T00:35:58"/>
    <n v="5.95"/>
    <d v="1899-12-30T00:06:03"/>
    <n v="131"/>
    <n v="34"/>
    <n v="195"/>
    <n v="14"/>
    <n v="1.0555876081775994"/>
    <s v="HOKA Clifton 8"/>
  </r>
  <r>
    <x v="2198"/>
    <m/>
    <x v="0"/>
    <m/>
    <m/>
    <s v=""/>
    <s v=""/>
    <m/>
    <s v="0"/>
    <m/>
    <m/>
    <s v=""/>
    <m/>
  </r>
  <r>
    <x v="2199"/>
    <n v="3"/>
    <x v="1"/>
    <s v="Z2.40'"/>
    <d v="1899-12-30T00:41:35"/>
    <n v="6.95"/>
    <d v="1899-12-30T00:05:59"/>
    <n v="124"/>
    <n v="39"/>
    <n v="196"/>
    <n v="21"/>
    <n v="1.0501879093739936"/>
    <s v="HOKA Clifton 8"/>
  </r>
  <r>
    <x v="2200"/>
    <m/>
    <x v="0"/>
    <m/>
    <m/>
    <s v=""/>
    <s v=""/>
    <m/>
    <s v="0"/>
    <m/>
    <m/>
    <s v=""/>
    <m/>
  </r>
  <r>
    <x v="2201"/>
    <n v="4"/>
    <x v="1"/>
    <s v="Z2.40'"/>
    <d v="1899-12-30T00:35:22"/>
    <n v="5.93"/>
    <d v="1899-12-30T00:05:58"/>
    <n v="141"/>
    <n v="34"/>
    <n v="198"/>
    <n v="18"/>
    <n v="1.0575016989252726"/>
    <s v="HOKA Mach 5"/>
  </r>
  <r>
    <x v="2202"/>
    <m/>
    <x v="0"/>
    <m/>
    <m/>
    <s v=""/>
    <s v=""/>
    <m/>
    <s v="0"/>
    <m/>
    <m/>
    <s v=""/>
    <m/>
  </r>
  <r>
    <x v="2203"/>
    <m/>
    <x v="0"/>
    <m/>
    <m/>
    <s v=""/>
    <s v=""/>
    <m/>
    <s v="0"/>
    <m/>
    <m/>
    <s v=""/>
    <m/>
  </r>
  <r>
    <x v="2204"/>
    <m/>
    <x v="0"/>
    <m/>
    <m/>
    <m/>
    <s v=""/>
    <m/>
    <s v="0"/>
    <m/>
    <m/>
    <s v=""/>
    <m/>
  </r>
  <r>
    <x v="2205"/>
    <n v="5"/>
    <x v="2"/>
    <s v="Z2.45'"/>
    <d v="1899-12-30T00:38:21"/>
    <n v="5.72"/>
    <d v="1899-12-30T00:06:42"/>
    <n v="130"/>
    <n v="32"/>
    <n v="180"/>
    <n v="18"/>
    <n v="1.0807327001356855"/>
    <s v="Saucony Triumph 21"/>
  </r>
  <r>
    <x v="2206"/>
    <n v="6"/>
    <x v="1"/>
    <s v="Z2.30'"/>
    <d v="1899-12-30T00:33:19"/>
    <n v="5.34"/>
    <d v="1899-12-30T00:06:14"/>
    <n v="121"/>
    <n v="30"/>
    <n v="190"/>
    <n v="20"/>
    <n v="1.0615741517133437"/>
    <s v="Saucony Triumph 21"/>
  </r>
  <r>
    <x v="2207"/>
    <m/>
    <x v="0"/>
    <m/>
    <m/>
    <s v=""/>
    <s v=""/>
    <m/>
    <s v="0"/>
    <m/>
    <m/>
    <s v=""/>
    <m/>
  </r>
  <r>
    <x v="2208"/>
    <n v="7"/>
    <x v="1"/>
    <s v="Z2.30'"/>
    <d v="1899-12-30T00:33:23"/>
    <n v="5.48"/>
    <d v="1899-12-30T00:06:06"/>
    <n v="130"/>
    <n v="32"/>
    <n v="198"/>
    <n v="25"/>
    <n v="1.0801666848240548"/>
    <s v="Innov-8 Trailfly"/>
  </r>
  <r>
    <x v="2209"/>
    <n v="8"/>
    <x v="1"/>
    <s v="CP"/>
    <d v="1899-12-30T00:19:14"/>
    <n v="3.19"/>
    <d v="1899-12-30T00:06:02"/>
    <n v="146"/>
    <n v="25"/>
    <n v="193"/>
    <n v="0"/>
    <n v="1.0420717727974547"/>
    <s v="HOKA Mach 5"/>
  </r>
  <r>
    <x v="2210"/>
    <m/>
    <x v="0"/>
    <m/>
    <m/>
    <s v=""/>
    <s v=""/>
    <m/>
    <s v="0"/>
    <m/>
    <m/>
    <s v=""/>
    <m/>
  </r>
  <r>
    <x v="2211"/>
    <n v="9"/>
    <x v="0"/>
    <s v="Z2.40'"/>
    <m/>
    <n v="6.7807113565308406"/>
    <d v="1899-12-30T00:00:00"/>
    <m/>
    <n v="48.166666666666671"/>
    <m/>
    <m/>
    <s v=""/>
    <s v="Saucony Triumph 21"/>
  </r>
  <r>
    <x v="2212"/>
    <m/>
    <x v="0"/>
    <m/>
    <m/>
    <s v=""/>
    <s v=""/>
    <m/>
    <s v="0"/>
    <m/>
    <m/>
    <s v=""/>
    <m/>
  </r>
  <r>
    <x v="2213"/>
    <m/>
    <x v="0"/>
    <s v="Z2.30'"/>
    <m/>
    <n v="5.0855335173981304"/>
    <d v="1899-12-30T00:00:00"/>
    <m/>
    <n v="36.125"/>
    <m/>
    <m/>
    <s v=""/>
    <m/>
  </r>
  <r>
    <x v="2214"/>
    <m/>
    <x v="0"/>
    <s v="CP"/>
    <m/>
    <n v="10.232623456990277"/>
    <d v="1899-12-30T00:00:00"/>
    <m/>
    <n v="72.052680000000009"/>
    <m/>
    <m/>
    <s v=""/>
    <m/>
  </r>
  <r>
    <x v="2215"/>
    <m/>
    <x v="0"/>
    <m/>
    <m/>
    <s v=""/>
    <s v=""/>
    <m/>
    <s v="0"/>
    <m/>
    <m/>
    <s v=""/>
    <m/>
  </r>
  <r>
    <x v="2216"/>
    <m/>
    <x v="0"/>
    <s v="Z2.30'"/>
    <m/>
    <n v="5.0855335173981304"/>
    <d v="1899-12-30T00:00:00"/>
    <m/>
    <n v="36.125"/>
    <m/>
    <m/>
    <s v=""/>
    <m/>
  </r>
  <r>
    <x v="2217"/>
    <m/>
    <x v="0"/>
    <m/>
    <m/>
    <s v=""/>
    <s v=""/>
    <m/>
    <s v="0"/>
    <m/>
    <m/>
    <s v=""/>
    <m/>
  </r>
  <r>
    <x v="2218"/>
    <m/>
    <x v="0"/>
    <s v="CP"/>
    <m/>
    <n v="10.232623456990277"/>
    <d v="1899-12-30T00:00:00"/>
    <m/>
    <n v="72.052680000000009"/>
    <m/>
    <m/>
    <s v=""/>
    <m/>
  </r>
  <r>
    <x v="2219"/>
    <m/>
    <x v="0"/>
    <m/>
    <m/>
    <s v=""/>
    <s v=""/>
    <m/>
    <s v="0"/>
    <m/>
    <m/>
    <s v=""/>
    <m/>
  </r>
  <r>
    <x v="2220"/>
    <m/>
    <x v="0"/>
    <s v="Z4.4x5'"/>
    <m/>
    <n v="9.3343054014628528"/>
    <d v="1899-12-30T00:00:00"/>
    <m/>
    <n v="72.139959115646775"/>
    <m/>
    <m/>
    <s v=""/>
    <m/>
  </r>
  <r>
    <x v="2221"/>
    <m/>
    <x v="0"/>
    <s v="Z2.30'"/>
    <m/>
    <n v="5.0855335173981304"/>
    <d v="1899-12-30T00:00:00"/>
    <m/>
    <n v="36.125"/>
    <m/>
    <m/>
    <s v=""/>
    <m/>
  </r>
  <r>
    <x v="2222"/>
    <m/>
    <x v="0"/>
    <m/>
    <m/>
    <n v="9"/>
    <d v="1899-12-30T00:00:00"/>
    <m/>
    <s v="0"/>
    <m/>
    <m/>
    <s v=""/>
    <m/>
  </r>
  <r>
    <x v="2223"/>
    <m/>
    <x v="0"/>
    <m/>
    <m/>
    <s v=""/>
    <s v=""/>
    <m/>
    <s v="0"/>
    <m/>
    <m/>
    <s v=""/>
    <m/>
  </r>
  <r>
    <x v="2224"/>
    <m/>
    <x v="0"/>
    <s v="Z2.30'"/>
    <m/>
    <n v="5.0855335173981304"/>
    <d v="1899-12-30T00:00:00"/>
    <m/>
    <n v="36.125"/>
    <m/>
    <m/>
    <s v=""/>
    <m/>
  </r>
  <r>
    <x v="2225"/>
    <m/>
    <x v="0"/>
    <m/>
    <m/>
    <n v="13.6"/>
    <d v="1899-12-30T00:00:00"/>
    <m/>
    <s v="0"/>
    <m/>
    <m/>
    <s v=""/>
    <m/>
  </r>
  <r>
    <x v="2226"/>
    <m/>
    <x v="0"/>
    <m/>
    <m/>
    <s v=""/>
    <s v=""/>
    <m/>
    <s v="0"/>
    <m/>
    <m/>
    <s v=""/>
    <m/>
  </r>
  <r>
    <x v="2227"/>
    <m/>
    <x v="0"/>
    <s v="Z2.30'"/>
    <m/>
    <n v="5.0855335173981304"/>
    <d v="1899-12-30T00:00:00"/>
    <m/>
    <n v="36.125"/>
    <m/>
    <m/>
    <s v=""/>
    <m/>
  </r>
  <r>
    <x v="2228"/>
    <m/>
    <x v="0"/>
    <s v="Z2.30'"/>
    <m/>
    <n v="5.0855335173981304"/>
    <d v="1899-12-30T00:00:00"/>
    <m/>
    <n v="36.125"/>
    <m/>
    <m/>
    <s v=""/>
    <m/>
  </r>
  <r>
    <x v="2229"/>
    <m/>
    <x v="0"/>
    <m/>
    <m/>
    <n v="8"/>
    <d v="1899-12-30T00:00:00"/>
    <m/>
    <s v="0"/>
    <m/>
    <m/>
    <s v=""/>
    <m/>
  </r>
  <r>
    <x v="2230"/>
    <m/>
    <x v="0"/>
    <m/>
    <m/>
    <s v=""/>
    <s v=""/>
    <m/>
    <s v="0"/>
    <m/>
    <m/>
    <s v=""/>
    <m/>
  </r>
  <r>
    <x v="2231"/>
    <m/>
    <x v="0"/>
    <s v="Z2.30'"/>
    <m/>
    <n v="5.0855335173981304"/>
    <d v="1899-12-30T00:00:00"/>
    <m/>
    <n v="36.125"/>
    <m/>
    <m/>
    <s v=""/>
    <m/>
  </r>
  <r>
    <x v="2232"/>
    <m/>
    <x v="0"/>
    <m/>
    <m/>
    <n v="14.5"/>
    <d v="1899-12-30T00:00:00"/>
    <m/>
    <s v="0"/>
    <m/>
    <m/>
    <s v=""/>
    <m/>
  </r>
  <r>
    <x v="2233"/>
    <m/>
    <x v="0"/>
    <m/>
    <m/>
    <s v=""/>
    <s v=""/>
    <m/>
    <s v="0"/>
    <m/>
    <m/>
    <s v=""/>
    <m/>
  </r>
  <r>
    <x v="2234"/>
    <m/>
    <x v="0"/>
    <m/>
    <m/>
    <n v="8.4"/>
    <d v="1899-12-30T00:00:00"/>
    <m/>
    <s v="0"/>
    <m/>
    <m/>
    <s v=""/>
    <m/>
  </r>
  <r>
    <x v="2235"/>
    <m/>
    <x v="0"/>
    <s v="Z2.30'"/>
    <m/>
    <n v="5.0855335173981304"/>
    <d v="1899-12-30T00:00:00"/>
    <m/>
    <n v="36.125"/>
    <m/>
    <m/>
    <s v=""/>
    <m/>
  </r>
  <r>
    <x v="2236"/>
    <m/>
    <x v="0"/>
    <m/>
    <m/>
    <n v="8.6"/>
    <d v="1899-12-30T00:00:00"/>
    <m/>
    <s v="0"/>
    <m/>
    <m/>
    <s v=""/>
    <m/>
  </r>
  <r>
    <x v="2237"/>
    <m/>
    <x v="0"/>
    <m/>
    <m/>
    <s v=""/>
    <s v=""/>
    <m/>
    <s v="0"/>
    <m/>
    <m/>
    <s v=""/>
    <m/>
  </r>
  <r>
    <x v="2238"/>
    <m/>
    <x v="0"/>
    <s v="Z2.30'"/>
    <m/>
    <n v="5.0855335173981304"/>
    <d v="1899-12-30T00:00:00"/>
    <m/>
    <n v="36.125"/>
    <m/>
    <m/>
    <s v=""/>
    <m/>
  </r>
  <r>
    <x v="2239"/>
    <m/>
    <x v="0"/>
    <m/>
    <m/>
    <n v="15.3"/>
    <d v="1899-12-30T00:00:00"/>
    <m/>
    <s v="0"/>
    <m/>
    <m/>
    <s v=""/>
    <m/>
  </r>
  <r>
    <x v="2240"/>
    <m/>
    <x v="0"/>
    <m/>
    <m/>
    <s v=""/>
    <s v=""/>
    <m/>
    <s v="0"/>
    <m/>
    <m/>
    <s v=""/>
    <m/>
  </r>
  <r>
    <x v="2241"/>
    <m/>
    <x v="0"/>
    <s v="Z2.30'"/>
    <m/>
    <n v="5.0855335173981304"/>
    <d v="1899-12-30T00:00:00"/>
    <m/>
    <n v="36.125"/>
    <m/>
    <m/>
    <s v=""/>
    <m/>
  </r>
  <r>
    <x v="2242"/>
    <m/>
    <x v="0"/>
    <s v="Z2.30'"/>
    <m/>
    <n v="5.0855335173981304"/>
    <d v="1899-12-30T00:00:00"/>
    <m/>
    <n v="36.125"/>
    <m/>
    <m/>
    <s v=""/>
    <m/>
  </r>
  <r>
    <x v="2243"/>
    <m/>
    <x v="0"/>
    <m/>
    <m/>
    <n v="6.9"/>
    <d v="1899-12-30T00:00:00"/>
    <m/>
    <s v="0"/>
    <m/>
    <m/>
    <s v=""/>
    <m/>
  </r>
  <r>
    <x v="2244"/>
    <m/>
    <x v="0"/>
    <m/>
    <m/>
    <s v=""/>
    <s v=""/>
    <m/>
    <s v="0"/>
    <m/>
    <m/>
    <s v=""/>
    <m/>
  </r>
  <r>
    <x v="2245"/>
    <m/>
    <x v="0"/>
    <s v="Z2.30'"/>
    <m/>
    <n v="5.0855335173981304"/>
    <d v="1899-12-30T00:00:00"/>
    <m/>
    <n v="36.125"/>
    <m/>
    <m/>
    <s v=""/>
    <m/>
  </r>
  <r>
    <x v="2246"/>
    <m/>
    <x v="0"/>
    <m/>
    <m/>
    <n v="8"/>
    <d v="1899-12-30T00:00:00"/>
    <m/>
    <s v="0"/>
    <m/>
    <m/>
    <s v=""/>
    <m/>
  </r>
  <r>
    <x v="2247"/>
    <m/>
    <x v="0"/>
    <m/>
    <m/>
    <s v=""/>
    <s v=""/>
    <m/>
    <s v="0"/>
    <m/>
    <m/>
    <s v=""/>
    <m/>
  </r>
  <r>
    <x v="2248"/>
    <m/>
    <x v="0"/>
    <m/>
    <m/>
    <n v="9"/>
    <d v="1899-12-30T00:00:00"/>
    <m/>
    <s v="0"/>
    <m/>
    <m/>
    <s v=""/>
    <m/>
  </r>
  <r>
    <x v="2249"/>
    <m/>
    <x v="0"/>
    <s v="Z2.30'"/>
    <m/>
    <n v="5.0855335173981304"/>
    <d v="1899-12-30T00:00:00"/>
    <m/>
    <n v="36.125"/>
    <m/>
    <m/>
    <s v=""/>
    <m/>
  </r>
  <r>
    <x v="2250"/>
    <m/>
    <x v="0"/>
    <m/>
    <m/>
    <n v="9.5"/>
    <d v="1899-12-30T00:00:00"/>
    <m/>
    <s v="0"/>
    <m/>
    <m/>
    <s v=""/>
    <m/>
  </r>
  <r>
    <x v="2251"/>
    <m/>
    <x v="0"/>
    <m/>
    <m/>
    <s v=""/>
    <s v=""/>
    <m/>
    <s v="0"/>
    <m/>
    <m/>
    <s v=""/>
    <m/>
  </r>
  <r>
    <x v="2252"/>
    <m/>
    <x v="0"/>
    <s v="Z2.30'"/>
    <m/>
    <n v="5.0855335173981304"/>
    <d v="1899-12-30T00:00:00"/>
    <m/>
    <n v="36.125"/>
    <m/>
    <m/>
    <s v=""/>
    <m/>
  </r>
  <r>
    <x v="2253"/>
    <m/>
    <x v="0"/>
    <m/>
    <m/>
    <n v="16.2"/>
    <d v="1899-12-30T00:00:00"/>
    <m/>
    <s v="0"/>
    <m/>
    <m/>
    <s v=""/>
    <m/>
  </r>
  <r>
    <x v="2254"/>
    <m/>
    <x v="0"/>
    <m/>
    <m/>
    <s v=""/>
    <s v=""/>
    <m/>
    <s v="0"/>
    <m/>
    <m/>
    <s v=""/>
    <m/>
  </r>
  <r>
    <x v="2255"/>
    <m/>
    <x v="0"/>
    <s v="Z2.30'"/>
    <m/>
    <n v="5.0855335173981304"/>
    <d v="1899-12-30T00:00:00"/>
    <m/>
    <n v="36.125"/>
    <m/>
    <m/>
    <s v=""/>
    <m/>
  </r>
  <r>
    <x v="2256"/>
    <m/>
    <x v="0"/>
    <s v="Z2.30'"/>
    <m/>
    <n v="5.0855335173981304"/>
    <d v="1899-12-30T00:00:00"/>
    <m/>
    <n v="36.125"/>
    <m/>
    <m/>
    <s v=""/>
    <m/>
  </r>
  <r>
    <x v="2257"/>
    <m/>
    <x v="0"/>
    <m/>
    <m/>
    <n v="8.5"/>
    <d v="1899-12-30T00:00:00"/>
    <m/>
    <s v="0"/>
    <m/>
    <m/>
    <s v=""/>
    <m/>
  </r>
  <r>
    <x v="2258"/>
    <m/>
    <x v="0"/>
    <m/>
    <m/>
    <s v=""/>
    <s v=""/>
    <m/>
    <s v="0"/>
    <m/>
    <m/>
    <s v=""/>
    <m/>
  </r>
  <r>
    <x v="2259"/>
    <m/>
    <x v="0"/>
    <s v="Z2.30'"/>
    <m/>
    <n v="5.0855335173981304"/>
    <d v="1899-12-30T00:00:00"/>
    <m/>
    <n v="36.125"/>
    <m/>
    <m/>
    <s v=""/>
    <m/>
  </r>
  <r>
    <x v="2260"/>
    <m/>
    <x v="0"/>
    <m/>
    <m/>
    <n v="17"/>
    <d v="1899-12-30T00:00:00"/>
    <m/>
    <s v="0"/>
    <m/>
    <m/>
    <s v=""/>
    <m/>
  </r>
  <r>
    <x v="2261"/>
    <m/>
    <x v="0"/>
    <m/>
    <m/>
    <s v=""/>
    <s v=""/>
    <m/>
    <s v="0"/>
    <m/>
    <m/>
    <s v=""/>
    <m/>
  </r>
  <r>
    <x v="2262"/>
    <m/>
    <x v="0"/>
    <m/>
    <m/>
    <n v="9"/>
    <d v="1899-12-30T00:00:00"/>
    <m/>
    <s v="0"/>
    <m/>
    <m/>
    <s v=""/>
    <m/>
  </r>
  <r>
    <x v="2263"/>
    <m/>
    <x v="0"/>
    <s v="Z2.30'"/>
    <m/>
    <n v="5.0855335173981304"/>
    <d v="1899-12-30T00:00:00"/>
    <m/>
    <n v="36.125"/>
    <m/>
    <m/>
    <s v=""/>
    <m/>
  </r>
  <r>
    <x v="2264"/>
    <m/>
    <x v="0"/>
    <m/>
    <m/>
    <n v="8.6999999999999993"/>
    <d v="1899-12-30T00:00:00"/>
    <m/>
    <s v="0"/>
    <m/>
    <m/>
    <s v=""/>
    <m/>
  </r>
  <r>
    <x v="2265"/>
    <m/>
    <x v="0"/>
    <m/>
    <m/>
    <s v=""/>
    <s v=""/>
    <m/>
    <s v="0"/>
    <m/>
    <m/>
    <s v=""/>
    <m/>
  </r>
  <r>
    <x v="2266"/>
    <m/>
    <x v="0"/>
    <s v="Z2.30'"/>
    <m/>
    <n v="5.0855335173981304"/>
    <d v="1899-12-30T00:00:00"/>
    <m/>
    <n v="36.125"/>
    <m/>
    <m/>
    <s v=""/>
    <m/>
  </r>
  <r>
    <x v="2267"/>
    <m/>
    <x v="0"/>
    <m/>
    <m/>
    <n v="17.899999999999999"/>
    <d v="1899-12-30T00:00:00"/>
    <m/>
    <s v="0"/>
    <m/>
    <m/>
    <s v=""/>
    <m/>
  </r>
  <r>
    <x v="2268"/>
    <m/>
    <x v="0"/>
    <m/>
    <m/>
    <s v=""/>
    <s v=""/>
    <m/>
    <s v="0"/>
    <m/>
    <m/>
    <s v=""/>
    <m/>
  </r>
  <r>
    <x v="2269"/>
    <m/>
    <x v="0"/>
    <s v="Z2.30'"/>
    <m/>
    <n v="5.0855335173981304"/>
    <d v="1899-12-30T00:00:00"/>
    <m/>
    <n v="36.125"/>
    <m/>
    <m/>
    <s v=""/>
    <m/>
  </r>
  <r>
    <x v="2270"/>
    <m/>
    <x v="0"/>
    <s v="Z2.30'"/>
    <m/>
    <n v="5.0855335173981304"/>
    <d v="1899-12-30T00:00:00"/>
    <m/>
    <n v="36.125"/>
    <m/>
    <m/>
    <s v=""/>
    <m/>
  </r>
  <r>
    <x v="2271"/>
    <m/>
    <x v="0"/>
    <m/>
    <m/>
    <n v="6.7"/>
    <d v="1899-12-30T00:00:00"/>
    <m/>
    <s v="0"/>
    <m/>
    <m/>
    <s v=""/>
    <m/>
  </r>
  <r>
    <x v="2272"/>
    <m/>
    <x v="0"/>
    <m/>
    <m/>
    <s v=""/>
    <s v=""/>
    <m/>
    <s v="0"/>
    <m/>
    <m/>
    <s v=""/>
    <m/>
  </r>
  <r>
    <x v="2273"/>
    <m/>
    <x v="0"/>
    <s v="Z2.30'"/>
    <m/>
    <n v="5.0855335173981304"/>
    <d v="1899-12-30T00:00:00"/>
    <m/>
    <n v="36.125"/>
    <m/>
    <m/>
    <s v=""/>
    <m/>
  </r>
  <r>
    <x v="2274"/>
    <m/>
    <x v="0"/>
    <m/>
    <m/>
    <n v="10.3"/>
    <d v="1899-12-30T00:00:00"/>
    <m/>
    <s v="0"/>
    <m/>
    <m/>
    <s v=""/>
    <m/>
  </r>
  <r>
    <x v="2275"/>
    <m/>
    <x v="0"/>
    <m/>
    <m/>
    <s v=""/>
    <s v=""/>
    <m/>
    <s v="0"/>
    <m/>
    <m/>
    <s v=""/>
    <m/>
  </r>
  <r>
    <x v="2276"/>
    <m/>
    <x v="0"/>
    <m/>
    <m/>
    <n v="8.1"/>
    <d v="1899-12-30T00:00:00"/>
    <m/>
    <s v="0"/>
    <m/>
    <m/>
    <s v=""/>
    <m/>
  </r>
  <r>
    <x v="2277"/>
    <m/>
    <x v="0"/>
    <s v="Z2.30'"/>
    <m/>
    <n v="5.0855335173981304"/>
    <d v="1899-12-30T00:00:00"/>
    <m/>
    <n v="36.125"/>
    <m/>
    <m/>
    <s v=""/>
    <m/>
  </r>
  <r>
    <x v="2278"/>
    <m/>
    <x v="0"/>
    <m/>
    <m/>
    <n v="9.5"/>
    <d v="1899-12-30T00:00:00"/>
    <m/>
    <s v="0"/>
    <m/>
    <m/>
    <s v=""/>
    <m/>
  </r>
  <r>
    <x v="2279"/>
    <m/>
    <x v="0"/>
    <m/>
    <m/>
    <s v=""/>
    <s v=""/>
    <m/>
    <s v="0"/>
    <m/>
    <m/>
    <s v=""/>
    <m/>
  </r>
  <r>
    <x v="2280"/>
    <m/>
    <x v="0"/>
    <s v="Z2.30'"/>
    <m/>
    <n v="5.0855335173981304"/>
    <d v="1899-12-30T00:00:00"/>
    <m/>
    <n v="36.125"/>
    <m/>
    <m/>
    <s v=""/>
    <m/>
  </r>
  <r>
    <x v="2281"/>
    <m/>
    <x v="0"/>
    <m/>
    <m/>
    <n v="18.899999999999999"/>
    <d v="1899-12-30T00:00:00"/>
    <m/>
    <s v="0"/>
    <m/>
    <m/>
    <s v=""/>
    <m/>
  </r>
  <r>
    <x v="2282"/>
    <m/>
    <x v="0"/>
    <m/>
    <m/>
    <s v=""/>
    <s v=""/>
    <m/>
    <s v="0"/>
    <m/>
    <m/>
    <s v=""/>
    <m/>
  </r>
  <r>
    <x v="2283"/>
    <m/>
    <x v="0"/>
    <s v="Z2.30'"/>
    <m/>
    <n v="5.0855335173981304"/>
    <d v="1899-12-30T00:00:00"/>
    <m/>
    <n v="36.125"/>
    <m/>
    <m/>
    <s v=""/>
    <m/>
  </r>
  <r>
    <x v="2284"/>
    <m/>
    <x v="0"/>
    <s v="Z2.30'"/>
    <m/>
    <n v="5.0855335173981304"/>
    <d v="1899-12-30T00:00:00"/>
    <m/>
    <n v="36.125"/>
    <m/>
    <m/>
    <s v=""/>
    <m/>
  </r>
  <r>
    <x v="2285"/>
    <m/>
    <x v="0"/>
    <m/>
    <m/>
    <n v="8.3000000000000007"/>
    <d v="1899-12-30T00:00:00"/>
    <m/>
    <s v="0"/>
    <m/>
    <m/>
    <s v=""/>
    <m/>
  </r>
  <r>
    <x v="2286"/>
    <m/>
    <x v="0"/>
    <m/>
    <m/>
    <s v=""/>
    <s v=""/>
    <m/>
    <s v="0"/>
    <m/>
    <m/>
    <s v=""/>
    <m/>
  </r>
  <r>
    <x v="2287"/>
    <m/>
    <x v="0"/>
    <s v="Z2.30'"/>
    <m/>
    <n v="5.0855335173981304"/>
    <d v="1899-12-30T00:00:00"/>
    <m/>
    <n v="36.125"/>
    <m/>
    <m/>
    <s v=""/>
    <m/>
  </r>
  <r>
    <x v="2288"/>
    <m/>
    <x v="0"/>
    <m/>
    <m/>
    <n v="19.600000000000001"/>
    <d v="1899-12-30T00:00:00"/>
    <m/>
    <s v="0"/>
    <m/>
    <m/>
    <s v=""/>
    <m/>
  </r>
  <r>
    <x v="2289"/>
    <m/>
    <x v="0"/>
    <s v="wk"/>
    <m/>
    <n v="5"/>
    <d v="1899-12-30T00:00:00"/>
    <m/>
    <n v="40"/>
    <m/>
    <m/>
    <s v=""/>
    <m/>
  </r>
  <r>
    <x v="2290"/>
    <m/>
    <x v="0"/>
    <s v="Z2.30'"/>
    <m/>
    <n v="4.8"/>
    <d v="1899-12-30T00:00:00"/>
    <m/>
    <n v="36.125"/>
    <m/>
    <m/>
    <s v=""/>
    <m/>
  </r>
  <r>
    <x v="2291"/>
    <m/>
    <x v="0"/>
    <s v="Z2.30'"/>
    <m/>
    <n v="4.9000000000000004"/>
    <d v="1899-12-30T00:00:00"/>
    <m/>
    <n v="36.125"/>
    <m/>
    <m/>
    <s v=""/>
    <m/>
  </r>
  <r>
    <x v="2292"/>
    <m/>
    <x v="0"/>
    <m/>
    <m/>
    <n v="7.7"/>
    <d v="1899-12-30T00:00:00"/>
    <m/>
    <s v="0"/>
    <m/>
    <m/>
    <s v=""/>
    <m/>
  </r>
  <r>
    <x v="2293"/>
    <m/>
    <x v="0"/>
    <m/>
    <m/>
    <m/>
    <s v=""/>
    <m/>
    <s v="0"/>
    <m/>
    <m/>
    <s v=""/>
    <m/>
  </r>
  <r>
    <x v="2294"/>
    <m/>
    <x v="0"/>
    <s v="Z2.30'"/>
    <m/>
    <n v="4.9000000000000004"/>
    <d v="1899-12-30T00:00:00"/>
    <m/>
    <n v="36.125"/>
    <m/>
    <m/>
    <s v=""/>
    <m/>
  </r>
  <r>
    <x v="2295"/>
    <m/>
    <x v="0"/>
    <m/>
    <m/>
    <n v="13.6"/>
    <d v="1899-12-30T00:00:00"/>
    <m/>
    <s v="0"/>
    <m/>
    <m/>
    <s v=""/>
    <m/>
  </r>
  <r>
    <x v="2296"/>
    <m/>
    <x v="0"/>
    <m/>
    <m/>
    <m/>
    <s v=""/>
    <m/>
    <s v="0"/>
    <m/>
    <m/>
    <s v=""/>
    <m/>
  </r>
  <r>
    <x v="2297"/>
    <m/>
    <x v="0"/>
    <s v="Z2.30'"/>
    <m/>
    <n v="5"/>
    <d v="1899-12-30T00:00:00"/>
    <m/>
    <n v="36.125"/>
    <m/>
    <m/>
    <s v=""/>
    <m/>
  </r>
  <r>
    <x v="2298"/>
    <m/>
    <x v="0"/>
    <m/>
    <m/>
    <n v="3.3"/>
    <d v="1899-12-30T00:00:00"/>
    <m/>
    <s v="0"/>
    <m/>
    <m/>
    <s v=""/>
    <m/>
  </r>
  <r>
    <x v="2299"/>
    <m/>
    <x v="0"/>
    <s v="Z2.30'"/>
    <m/>
    <n v="5"/>
    <d v="1899-12-30T00:00:00"/>
    <m/>
    <n v="36.125"/>
    <m/>
    <m/>
    <s v=""/>
    <m/>
  </r>
  <r>
    <x v="2300"/>
    <m/>
    <x v="0"/>
    <m/>
    <m/>
    <m/>
    <s v=""/>
    <m/>
    <s v="0"/>
    <m/>
    <m/>
    <s v=""/>
    <m/>
  </r>
  <r>
    <x v="2301"/>
    <m/>
    <x v="0"/>
    <m/>
    <m/>
    <n v="3.3"/>
    <d v="1899-12-30T00:00:00"/>
    <m/>
    <s v="0"/>
    <m/>
    <m/>
    <s v=""/>
    <m/>
  </r>
  <r>
    <x v="2302"/>
    <m/>
    <x v="0"/>
    <m/>
    <m/>
    <m/>
    <s v=""/>
    <m/>
    <s v="0"/>
    <m/>
    <m/>
    <s v=""/>
    <m/>
  </r>
  <r>
    <x v="2303"/>
    <m/>
    <x v="0"/>
    <s v="wk"/>
    <m/>
    <n v="10"/>
    <d v="1899-12-30T00:00:00"/>
    <m/>
    <n v="80"/>
    <m/>
    <m/>
    <s v=""/>
    <m/>
  </r>
  <r>
    <x v="2304"/>
    <m/>
    <x v="0"/>
    <m/>
    <m/>
    <s v=""/>
    <s v=""/>
    <m/>
    <s v="0"/>
    <m/>
    <m/>
    <s v=""/>
    <m/>
  </r>
  <r>
    <x v="2305"/>
    <m/>
    <x v="0"/>
    <m/>
    <m/>
    <s v=""/>
    <s v=""/>
    <m/>
    <s v="0"/>
    <m/>
    <m/>
    <s v=""/>
    <m/>
  </r>
  <r>
    <x v="2306"/>
    <m/>
    <x v="0"/>
    <m/>
    <m/>
    <s v=""/>
    <s v=""/>
    <m/>
    <s v="0"/>
    <m/>
    <m/>
    <s v=""/>
    <m/>
  </r>
  <r>
    <x v="2307"/>
    <m/>
    <x v="0"/>
    <m/>
    <m/>
    <s v=""/>
    <s v=""/>
    <m/>
    <s v="0"/>
    <m/>
    <m/>
    <s v=""/>
    <m/>
  </r>
  <r>
    <x v="2308"/>
    <m/>
    <x v="0"/>
    <m/>
    <m/>
    <s v=""/>
    <s v=""/>
    <m/>
    <s v="0"/>
    <m/>
    <m/>
    <s v=""/>
    <m/>
  </r>
  <r>
    <x v="2309"/>
    <m/>
    <x v="0"/>
    <m/>
    <m/>
    <s v=""/>
    <s v=""/>
    <m/>
    <s v="0"/>
    <m/>
    <m/>
    <s v=""/>
    <m/>
  </r>
  <r>
    <x v="2310"/>
    <m/>
    <x v="0"/>
    <m/>
    <m/>
    <m/>
    <s v=""/>
    <m/>
    <s v="0"/>
    <m/>
    <m/>
    <s v=""/>
    <m/>
  </r>
  <r>
    <x v="2311"/>
    <m/>
    <x v="0"/>
    <s v="Z2.30'"/>
    <m/>
    <n v="5.0855335173981304"/>
    <d v="1899-12-30T00:00:00"/>
    <m/>
    <n v="36.125"/>
    <m/>
    <m/>
    <s v=""/>
    <m/>
  </r>
  <r>
    <x v="2312"/>
    <m/>
    <x v="0"/>
    <m/>
    <m/>
    <s v=""/>
    <s v=""/>
    <m/>
    <s v="0"/>
    <m/>
    <m/>
    <s v=""/>
    <m/>
  </r>
  <r>
    <x v="2313"/>
    <m/>
    <x v="0"/>
    <s v="Z2.40'"/>
    <m/>
    <n v="6.7807113565308406"/>
    <d v="1899-12-30T00:00:00"/>
    <m/>
    <n v="48.166666666666671"/>
    <m/>
    <m/>
    <s v=""/>
    <m/>
  </r>
  <r>
    <x v="2314"/>
    <m/>
    <x v="0"/>
    <m/>
    <m/>
    <s v=""/>
    <s v=""/>
    <m/>
    <s v="0"/>
    <m/>
    <m/>
    <s v=""/>
    <m/>
  </r>
  <r>
    <x v="2315"/>
    <m/>
    <x v="0"/>
    <s v="Z2.30'"/>
    <m/>
    <n v="5.0855335173981304"/>
    <d v="1899-12-30T00:00:00"/>
    <m/>
    <n v="36.125"/>
    <m/>
    <m/>
    <s v=""/>
    <m/>
  </r>
  <r>
    <x v="2316"/>
    <m/>
    <x v="0"/>
    <m/>
    <m/>
    <s v=""/>
    <s v=""/>
    <m/>
    <s v="0"/>
    <m/>
    <m/>
    <s v=""/>
    <m/>
  </r>
  <r>
    <x v="2317"/>
    <m/>
    <x v="0"/>
    <s v="Z2.60'"/>
    <m/>
    <n v="10.171067034796261"/>
    <d v="1899-12-30T00:00:00"/>
    <m/>
    <n v="72.25"/>
    <m/>
    <m/>
    <s v=""/>
    <m/>
  </r>
  <r>
    <x v="2318"/>
    <m/>
    <x v="0"/>
    <s v="Z2.30'"/>
    <m/>
    <n v="5.0855335173981304"/>
    <d v="1899-12-30T00:00:00"/>
    <m/>
    <n v="36.125"/>
    <m/>
    <m/>
    <s v=""/>
    <m/>
  </r>
  <r>
    <x v="2319"/>
    <m/>
    <x v="0"/>
    <m/>
    <m/>
    <s v=""/>
    <s v=""/>
    <m/>
    <s v="0"/>
    <m/>
    <m/>
    <s v=""/>
    <m/>
  </r>
  <r>
    <x v="2320"/>
    <m/>
    <x v="0"/>
    <s v="Z2.40'"/>
    <m/>
    <n v="6.7807113565308406"/>
    <d v="1899-12-30T00:00:00"/>
    <m/>
    <n v="48.166666666666671"/>
    <m/>
    <m/>
    <s v=""/>
    <m/>
  </r>
  <r>
    <x v="2321"/>
    <m/>
    <x v="0"/>
    <m/>
    <m/>
    <s v=""/>
    <s v=""/>
    <m/>
    <s v="0"/>
    <m/>
    <m/>
    <s v=""/>
    <m/>
  </r>
  <r>
    <x v="2322"/>
    <m/>
    <x v="0"/>
    <s v="Z2.30'"/>
    <m/>
    <n v="5.0855335173981304"/>
    <d v="1899-12-30T00:00:00"/>
    <m/>
    <n v="36.125"/>
    <m/>
    <m/>
    <s v=""/>
    <m/>
  </r>
  <r>
    <x v="2323"/>
    <m/>
    <x v="0"/>
    <m/>
    <m/>
    <s v=""/>
    <s v=""/>
    <m/>
    <s v="0"/>
    <m/>
    <m/>
    <s v=""/>
    <m/>
  </r>
  <r>
    <x v="2324"/>
    <m/>
    <x v="0"/>
    <s v="Z2.60'"/>
    <m/>
    <n v="10.171067034796261"/>
    <d v="1899-12-30T00:00:00"/>
    <m/>
    <n v="72.25"/>
    <m/>
    <m/>
    <s v=""/>
    <m/>
  </r>
  <r>
    <x v="2325"/>
    <m/>
    <x v="0"/>
    <s v="Z2.30'"/>
    <m/>
    <n v="5.0855335173981304"/>
    <d v="1899-12-30T00:00:00"/>
    <m/>
    <n v="36.125"/>
    <m/>
    <m/>
    <s v=""/>
    <m/>
  </r>
  <r>
    <x v="2326"/>
    <m/>
    <x v="0"/>
    <m/>
    <m/>
    <s v=""/>
    <s v=""/>
    <m/>
    <s v="0"/>
    <m/>
    <m/>
    <s v=""/>
    <m/>
  </r>
  <r>
    <x v="2327"/>
    <m/>
    <x v="0"/>
    <s v="Z2.40'"/>
    <m/>
    <n v="6.7807113565308406"/>
    <d v="1899-12-30T00:00:00"/>
    <m/>
    <n v="48.166666666666671"/>
    <m/>
    <m/>
    <s v=""/>
    <m/>
  </r>
  <r>
    <x v="2328"/>
    <m/>
    <x v="0"/>
    <m/>
    <m/>
    <s v=""/>
    <s v=""/>
    <m/>
    <s v="0"/>
    <m/>
    <m/>
    <s v=""/>
    <m/>
  </r>
  <r>
    <x v="2329"/>
    <m/>
    <x v="0"/>
    <s v="Z2.30'"/>
    <m/>
    <n v="5.0855335173981304"/>
    <d v="1899-12-30T00:00:00"/>
    <m/>
    <n v="36.125"/>
    <m/>
    <m/>
    <s v=""/>
    <m/>
  </r>
  <r>
    <x v="2330"/>
    <m/>
    <x v="0"/>
    <m/>
    <m/>
    <s v=""/>
    <s v=""/>
    <m/>
    <s v="0"/>
    <m/>
    <m/>
    <s v=""/>
    <m/>
  </r>
  <r>
    <x v="2331"/>
    <m/>
    <x v="0"/>
    <s v="Z2.60'"/>
    <m/>
    <n v="10.171067034796261"/>
    <d v="1899-12-30T00:00:00"/>
    <m/>
    <n v="72.25"/>
    <m/>
    <m/>
    <s v=""/>
    <m/>
  </r>
  <r>
    <x v="2332"/>
    <m/>
    <x v="0"/>
    <s v="Z2.30'"/>
    <m/>
    <n v="5.0855335173981304"/>
    <d v="1899-12-30T00:00:00"/>
    <m/>
    <n v="36.125"/>
    <m/>
    <m/>
    <s v=""/>
    <m/>
  </r>
  <r>
    <x v="2333"/>
    <m/>
    <x v="0"/>
    <m/>
    <m/>
    <s v=""/>
    <s v=""/>
    <m/>
    <s v="0"/>
    <m/>
    <m/>
    <s v=""/>
    <m/>
  </r>
  <r>
    <x v="2334"/>
    <m/>
    <x v="0"/>
    <s v="Z2.40'"/>
    <m/>
    <n v="6.7807113565308406"/>
    <d v="1899-12-30T00:00:00"/>
    <m/>
    <n v="48.166666666666671"/>
    <m/>
    <m/>
    <s v=""/>
    <m/>
  </r>
  <r>
    <x v="2335"/>
    <m/>
    <x v="0"/>
    <m/>
    <m/>
    <s v=""/>
    <s v=""/>
    <m/>
    <s v="0"/>
    <m/>
    <m/>
    <s v=""/>
    <m/>
  </r>
  <r>
    <x v="2336"/>
    <m/>
    <x v="0"/>
    <s v="Z2.30'"/>
    <m/>
    <n v="5.0855335173981304"/>
    <d v="1899-12-30T00:00:00"/>
    <m/>
    <n v="36.125"/>
    <m/>
    <m/>
    <s v=""/>
    <m/>
  </r>
  <r>
    <x v="2337"/>
    <m/>
    <x v="0"/>
    <m/>
    <m/>
    <s v=""/>
    <s v=""/>
    <m/>
    <s v="0"/>
    <m/>
    <m/>
    <s v=""/>
    <m/>
  </r>
  <r>
    <x v="2338"/>
    <m/>
    <x v="0"/>
    <s v="Z2.60'"/>
    <m/>
    <n v="10.171067034796261"/>
    <d v="1899-12-30T00:00:00"/>
    <m/>
    <n v="72.25"/>
    <m/>
    <m/>
    <s v=""/>
    <m/>
  </r>
  <r>
    <x v="2339"/>
    <m/>
    <x v="0"/>
    <s v="Z2.30'"/>
    <m/>
    <n v="5.0855335173981304"/>
    <d v="1899-12-30T00:00:00"/>
    <m/>
    <n v="36.125"/>
    <m/>
    <m/>
    <s v=""/>
    <m/>
  </r>
  <r>
    <x v="2340"/>
    <m/>
    <x v="0"/>
    <s v="Z2.30'"/>
    <m/>
    <n v="5.0855335173981304"/>
    <d v="1899-12-30T00:00:00"/>
    <m/>
    <n v="36.125"/>
    <m/>
    <m/>
    <s v=""/>
    <m/>
  </r>
  <r>
    <x v="2341"/>
    <m/>
    <x v="0"/>
    <m/>
    <m/>
    <s v=""/>
    <s v=""/>
    <m/>
    <s v="0"/>
    <m/>
    <m/>
    <s v=""/>
    <m/>
  </r>
  <r>
    <x v="2342"/>
    <m/>
    <x v="0"/>
    <s v="Z2.40'"/>
    <m/>
    <n v="6.7807113565308406"/>
    <d v="1899-12-30T00:00:00"/>
    <m/>
    <n v="48.166666666666671"/>
    <m/>
    <m/>
    <s v=""/>
    <m/>
  </r>
  <r>
    <x v="2343"/>
    <m/>
    <x v="0"/>
    <s v="Z2.30'"/>
    <m/>
    <n v="5.0855335173981304"/>
    <d v="1899-12-30T00:00:00"/>
    <m/>
    <n v="36.125"/>
    <m/>
    <m/>
    <s v=""/>
    <m/>
  </r>
  <r>
    <x v="2344"/>
    <m/>
    <x v="0"/>
    <m/>
    <m/>
    <s v=""/>
    <s v=""/>
    <m/>
    <s v="0"/>
    <m/>
    <m/>
    <s v=""/>
    <m/>
  </r>
  <r>
    <x v="2345"/>
    <m/>
    <x v="0"/>
    <s v="Z2.60'"/>
    <m/>
    <n v="10.171067034796261"/>
    <d v="1899-12-30T00:00:00"/>
    <m/>
    <n v="72.25"/>
    <m/>
    <m/>
    <s v=""/>
    <m/>
  </r>
  <r>
    <x v="2346"/>
    <m/>
    <x v="0"/>
    <s v="Z2.30'"/>
    <m/>
    <n v="5.0855335173981304"/>
    <d v="1899-12-30T00:00:00"/>
    <m/>
    <n v="36.125"/>
    <m/>
    <m/>
    <s v=""/>
    <m/>
  </r>
  <r>
    <x v="2347"/>
    <m/>
    <x v="0"/>
    <s v="Z2.30'"/>
    <m/>
    <n v="5.0855335173981304"/>
    <d v="1899-12-30T00:00:00"/>
    <m/>
    <n v="36.125"/>
    <m/>
    <m/>
    <s v=""/>
    <m/>
  </r>
  <r>
    <x v="2348"/>
    <m/>
    <x v="0"/>
    <m/>
    <m/>
    <s v=""/>
    <s v=""/>
    <m/>
    <s v="0"/>
    <m/>
    <m/>
    <s v=""/>
    <m/>
  </r>
  <r>
    <x v="2349"/>
    <m/>
    <x v="0"/>
    <s v="Z2.40'"/>
    <m/>
    <n v="6.7807113565308406"/>
    <d v="1899-12-30T00:00:00"/>
    <m/>
    <n v="48.166666666666671"/>
    <m/>
    <m/>
    <s v=""/>
    <m/>
  </r>
  <r>
    <x v="2350"/>
    <m/>
    <x v="0"/>
    <s v="Z2.30'"/>
    <m/>
    <n v="5.0855335173981304"/>
    <d v="1899-12-30T00:00:00"/>
    <m/>
    <n v="36.125"/>
    <m/>
    <m/>
    <s v=""/>
    <m/>
  </r>
  <r>
    <x v="2351"/>
    <m/>
    <x v="0"/>
    <m/>
    <m/>
    <s v=""/>
    <s v=""/>
    <m/>
    <s v="0"/>
    <m/>
    <m/>
    <s v=""/>
    <m/>
  </r>
  <r>
    <x v="2352"/>
    <m/>
    <x v="0"/>
    <s v="Z2.60'"/>
    <m/>
    <n v="10.171067034796261"/>
    <d v="1899-12-30T00:00:00"/>
    <m/>
    <n v="72.25"/>
    <m/>
    <m/>
    <s v=""/>
    <m/>
  </r>
  <r>
    <x v="2353"/>
    <m/>
    <x v="0"/>
    <s v="Z2.30'"/>
    <m/>
    <n v="5.0855335173981304"/>
    <d v="1899-12-30T00:00:00"/>
    <m/>
    <n v="36.125"/>
    <m/>
    <m/>
    <s v=""/>
    <m/>
  </r>
  <r>
    <x v="2354"/>
    <m/>
    <x v="0"/>
    <s v="Z2.30'"/>
    <m/>
    <n v="5.0855335173981304"/>
    <d v="1899-12-30T00:00:00"/>
    <m/>
    <n v="36.125"/>
    <m/>
    <m/>
    <s v=""/>
    <m/>
  </r>
  <r>
    <x v="2355"/>
    <m/>
    <x v="0"/>
    <m/>
    <m/>
    <s v=""/>
    <s v=""/>
    <m/>
    <s v="0"/>
    <m/>
    <m/>
    <s v=""/>
    <m/>
  </r>
  <r>
    <x v="2356"/>
    <m/>
    <x v="0"/>
    <s v="Z2.40'"/>
    <m/>
    <n v="6.7807113565308406"/>
    <d v="1899-12-30T00:00:00"/>
    <m/>
    <n v="48.166666666666671"/>
    <m/>
    <m/>
    <s v=""/>
    <m/>
  </r>
  <r>
    <x v="2357"/>
    <m/>
    <x v="0"/>
    <s v="Z2.30'"/>
    <m/>
    <n v="5.0855335173981304"/>
    <d v="1899-12-30T00:00:00"/>
    <m/>
    <n v="36.125"/>
    <m/>
    <m/>
    <s v=""/>
    <m/>
  </r>
  <r>
    <x v="2358"/>
    <m/>
    <x v="0"/>
    <m/>
    <m/>
    <s v=""/>
    <s v=""/>
    <m/>
    <s v="0"/>
    <m/>
    <m/>
    <s v=""/>
    <m/>
  </r>
  <r>
    <x v="2359"/>
    <m/>
    <x v="0"/>
    <s v="Z2.60'"/>
    <m/>
    <n v="10.171067034796261"/>
    <d v="1899-12-30T00:00:00"/>
    <m/>
    <n v="72.25"/>
    <m/>
    <m/>
    <s v=""/>
    <m/>
  </r>
  <r>
    <x v="2360"/>
    <m/>
    <x v="0"/>
    <s v="Z2.30'"/>
    <m/>
    <n v="5.0855335173981304"/>
    <d v="1899-12-30T00:00:00"/>
    <m/>
    <n v="36.125"/>
    <m/>
    <m/>
    <s v=""/>
    <m/>
  </r>
  <r>
    <x v="2361"/>
    <m/>
    <x v="0"/>
    <s v="Z2.30'"/>
    <m/>
    <n v="5.0855335173981304"/>
    <d v="1899-12-30T00:00:00"/>
    <m/>
    <n v="36.125"/>
    <m/>
    <m/>
    <s v=""/>
    <m/>
  </r>
  <r>
    <x v="2362"/>
    <m/>
    <x v="0"/>
    <m/>
    <m/>
    <s v=""/>
    <s v=""/>
    <m/>
    <s v="0"/>
    <m/>
    <m/>
    <s v=""/>
    <m/>
  </r>
  <r>
    <x v="2363"/>
    <m/>
    <x v="0"/>
    <s v="Z2.40'"/>
    <m/>
    <n v="6.7807113565308406"/>
    <d v="1899-12-30T00:00:00"/>
    <m/>
    <n v="48.166666666666671"/>
    <m/>
    <m/>
    <s v=""/>
    <m/>
  </r>
  <r>
    <x v="2364"/>
    <m/>
    <x v="0"/>
    <s v="Z2.30'"/>
    <m/>
    <n v="5.0855335173981304"/>
    <d v="1899-12-30T00:00:00"/>
    <m/>
    <n v="36.125"/>
    <m/>
    <m/>
    <s v=""/>
    <m/>
  </r>
  <r>
    <x v="2365"/>
    <m/>
    <x v="0"/>
    <m/>
    <m/>
    <s v=""/>
    <s v=""/>
    <m/>
    <s v="0"/>
    <m/>
    <m/>
    <s v=""/>
    <m/>
  </r>
  <r>
    <x v="2366"/>
    <m/>
    <x v="0"/>
    <s v="Z2.60'"/>
    <m/>
    <n v="10.171067034796261"/>
    <d v="1899-12-30T00:00:00"/>
    <m/>
    <n v="72.25"/>
    <m/>
    <m/>
    <s v=""/>
    <m/>
  </r>
  <r>
    <x v="2367"/>
    <m/>
    <x v="0"/>
    <s v="Z2.30'"/>
    <m/>
    <n v="5.0855335173981304"/>
    <d v="1899-12-30T00:00:00"/>
    <m/>
    <n v="36.125"/>
    <m/>
    <m/>
    <s v=""/>
    <m/>
  </r>
  <r>
    <x v="2368"/>
    <m/>
    <x v="0"/>
    <s v="Z2.30'"/>
    <m/>
    <n v="5.0855335173981304"/>
    <d v="1899-12-30T00:00:00"/>
    <m/>
    <n v="36.125"/>
    <m/>
    <m/>
    <s v=""/>
    <m/>
  </r>
  <r>
    <x v="2369"/>
    <m/>
    <x v="0"/>
    <m/>
    <m/>
    <s v=""/>
    <s v=""/>
    <m/>
    <s v="0"/>
    <m/>
    <m/>
    <s v=""/>
    <m/>
  </r>
  <r>
    <x v="2370"/>
    <m/>
    <x v="0"/>
    <s v="Z2.40'"/>
    <m/>
    <n v="6.7807113565308406"/>
    <d v="1899-12-30T00:00:00"/>
    <m/>
    <n v="48.166666666666671"/>
    <m/>
    <m/>
    <s v=""/>
    <m/>
  </r>
  <r>
    <x v="2371"/>
    <m/>
    <x v="0"/>
    <s v="Z2.30'"/>
    <m/>
    <n v="5.0855335173981304"/>
    <d v="1899-12-30T00:00:00"/>
    <m/>
    <n v="36.125"/>
    <m/>
    <m/>
    <s v=""/>
    <m/>
  </r>
  <r>
    <x v="2372"/>
    <m/>
    <x v="0"/>
    <m/>
    <m/>
    <s v=""/>
    <s v=""/>
    <m/>
    <s v="0"/>
    <m/>
    <m/>
    <s v=""/>
    <m/>
  </r>
  <r>
    <x v="2373"/>
    <m/>
    <x v="0"/>
    <s v="Z2.60'"/>
    <m/>
    <n v="10.171067034796261"/>
    <d v="1899-12-30T00:00:00"/>
    <m/>
    <n v="72.25"/>
    <m/>
    <m/>
    <s v=""/>
    <m/>
  </r>
  <r>
    <x v="2374"/>
    <m/>
    <x v="0"/>
    <s v="Z2.30'"/>
    <m/>
    <n v="5.0855335173981304"/>
    <d v="1899-12-30T00:00:00"/>
    <m/>
    <n v="36.125"/>
    <m/>
    <m/>
    <s v=""/>
    <m/>
  </r>
  <r>
    <x v="2375"/>
    <m/>
    <x v="0"/>
    <s v="Z2.30'"/>
    <m/>
    <n v="5.0855335173981304"/>
    <d v="1899-12-30T00:00:00"/>
    <m/>
    <n v="36.125"/>
    <m/>
    <m/>
    <s v=""/>
    <m/>
  </r>
  <r>
    <x v="2376"/>
    <m/>
    <x v="0"/>
    <m/>
    <m/>
    <s v=""/>
    <s v=""/>
    <m/>
    <s v="0"/>
    <m/>
    <m/>
    <s v=""/>
    <m/>
  </r>
  <r>
    <x v="2377"/>
    <m/>
    <x v="0"/>
    <s v="Z2.40'"/>
    <m/>
    <n v="6.7807113565308406"/>
    <d v="1899-12-30T00:00:00"/>
    <m/>
    <n v="48.166666666666671"/>
    <m/>
    <m/>
    <s v=""/>
    <m/>
  </r>
  <r>
    <x v="2378"/>
    <m/>
    <x v="0"/>
    <s v="Z2.30'"/>
    <m/>
    <n v="5.0855335173981304"/>
    <d v="1899-12-30T00:00:00"/>
    <m/>
    <n v="36.125"/>
    <m/>
    <m/>
    <s v=""/>
    <m/>
  </r>
  <r>
    <x v="2379"/>
    <m/>
    <x v="0"/>
    <m/>
    <m/>
    <s v=""/>
    <s v=""/>
    <m/>
    <s v="0"/>
    <m/>
    <m/>
    <s v=""/>
    <m/>
  </r>
  <r>
    <x v="2380"/>
    <m/>
    <x v="0"/>
    <s v="Z2.60'"/>
    <m/>
    <n v="10.171067034796261"/>
    <d v="1899-12-30T00:00:00"/>
    <m/>
    <n v="72.25"/>
    <m/>
    <m/>
    <s v=""/>
    <m/>
  </r>
  <r>
    <x v="2381"/>
    <m/>
    <x v="0"/>
    <s v="Z2.30'"/>
    <m/>
    <n v="5.0855335173981304"/>
    <d v="1899-12-30T00:00:00"/>
    <m/>
    <n v="36.125"/>
    <m/>
    <m/>
    <s v=""/>
    <m/>
  </r>
  <r>
    <x v="2382"/>
    <m/>
    <x v="0"/>
    <s v="Z2.30'"/>
    <m/>
    <n v="5.0855335173981304"/>
    <d v="1899-12-30T00:00:00"/>
    <m/>
    <n v="36.125"/>
    <m/>
    <m/>
    <s v=""/>
    <m/>
  </r>
  <r>
    <x v="2383"/>
    <m/>
    <x v="0"/>
    <m/>
    <m/>
    <s v=""/>
    <s v=""/>
    <m/>
    <s v="0"/>
    <m/>
    <m/>
    <s v=""/>
    <m/>
  </r>
  <r>
    <x v="2384"/>
    <m/>
    <x v="0"/>
    <s v="Z2.40'"/>
    <m/>
    <n v="6.7807113565308406"/>
    <d v="1899-12-30T00:00:00"/>
    <m/>
    <n v="48.166666666666671"/>
    <m/>
    <m/>
    <s v=""/>
    <m/>
  </r>
  <r>
    <x v="2385"/>
    <m/>
    <x v="0"/>
    <s v="Z2.30'"/>
    <m/>
    <n v="5.0855335173981304"/>
    <d v="1899-12-30T00:00:00"/>
    <m/>
    <n v="36.125"/>
    <m/>
    <m/>
    <s v=""/>
    <m/>
  </r>
  <r>
    <x v="2386"/>
    <m/>
    <x v="0"/>
    <m/>
    <m/>
    <s v=""/>
    <s v=""/>
    <m/>
    <s v="0"/>
    <m/>
    <m/>
    <s v=""/>
    <m/>
  </r>
  <r>
    <x v="2387"/>
    <m/>
    <x v="0"/>
    <s v="Z2.60'"/>
    <m/>
    <n v="10.171067034796261"/>
    <d v="1899-12-30T00:00:00"/>
    <m/>
    <n v="72.25"/>
    <m/>
    <m/>
    <s v=""/>
    <m/>
  </r>
  <r>
    <x v="2388"/>
    <m/>
    <x v="0"/>
    <s v="Z2.30'"/>
    <m/>
    <n v="5.0855335173981304"/>
    <d v="1899-12-30T00:00:00"/>
    <m/>
    <n v="36.125"/>
    <m/>
    <m/>
    <s v=""/>
    <m/>
  </r>
  <r>
    <x v="2389"/>
    <m/>
    <x v="0"/>
    <s v="Z2.30'"/>
    <m/>
    <n v="5.0855335173981304"/>
    <d v="1899-12-30T00:00:00"/>
    <m/>
    <n v="36.125"/>
    <m/>
    <m/>
    <s v=""/>
    <m/>
  </r>
  <r>
    <x v="2390"/>
    <m/>
    <x v="0"/>
    <m/>
    <m/>
    <s v=""/>
    <s v=""/>
    <m/>
    <s v="0"/>
    <m/>
    <m/>
    <s v=""/>
    <m/>
  </r>
  <r>
    <x v="2391"/>
    <m/>
    <x v="0"/>
    <s v="Z2.40'"/>
    <m/>
    <n v="6.7807113565308406"/>
    <d v="1899-12-30T00:00:00"/>
    <m/>
    <n v="48.166666666666671"/>
    <m/>
    <m/>
    <s v=""/>
    <m/>
  </r>
  <r>
    <x v="2392"/>
    <m/>
    <x v="0"/>
    <s v="Z2.30'"/>
    <m/>
    <n v="5.0855335173981304"/>
    <d v="1899-12-30T00:00:00"/>
    <m/>
    <n v="36.125"/>
    <m/>
    <m/>
    <s v=""/>
    <m/>
  </r>
  <r>
    <x v="2393"/>
    <m/>
    <x v="0"/>
    <m/>
    <m/>
    <s v=""/>
    <s v=""/>
    <m/>
    <s v="0"/>
    <m/>
    <m/>
    <s v=""/>
    <m/>
  </r>
  <r>
    <x v="2394"/>
    <m/>
    <x v="0"/>
    <s v="Z2.60'"/>
    <m/>
    <n v="10.171067034796261"/>
    <d v="1899-12-30T00:00:00"/>
    <m/>
    <n v="72.25"/>
    <m/>
    <m/>
    <s v=""/>
    <m/>
  </r>
  <r>
    <x v="2395"/>
    <m/>
    <x v="0"/>
    <s v="Z2.45'"/>
    <m/>
    <n v="7.6283002760971961"/>
    <d v="1899-12-30T00:00:00"/>
    <m/>
    <n v="54.1875"/>
    <m/>
    <m/>
    <s v=""/>
    <m/>
  </r>
  <r>
    <x v="2396"/>
    <m/>
    <x v="0"/>
    <s v="Z2.45'"/>
    <m/>
    <n v="7.6283002760971961"/>
    <d v="1899-12-30T00:00:00"/>
    <m/>
    <n v="54.1875"/>
    <m/>
    <m/>
    <s v=""/>
    <m/>
  </r>
  <r>
    <x v="2397"/>
    <m/>
    <x v="0"/>
    <s v="Z6.6x90''"/>
    <m/>
    <n v="7.5625738372723088"/>
    <d v="1899-12-30T00:00:00"/>
    <m/>
    <n v="58.644125782313438"/>
    <m/>
    <m/>
    <s v=""/>
    <m/>
  </r>
  <r>
    <x v="2398"/>
    <m/>
    <x v="0"/>
    <s v="Z2.45'"/>
    <m/>
    <n v="7.6283002760971961"/>
    <d v="1899-12-30T00:00:00"/>
    <m/>
    <n v="54.1875"/>
    <m/>
    <m/>
    <s v=""/>
    <m/>
  </r>
  <r>
    <x v="2399"/>
    <m/>
    <x v="0"/>
    <s v="Z2.45'"/>
    <m/>
    <n v="7.6283002760971961"/>
    <d v="1899-12-30T00:00:00"/>
    <m/>
    <n v="54.1875"/>
    <m/>
    <m/>
    <s v=""/>
    <m/>
  </r>
  <r>
    <x v="2400"/>
    <m/>
    <x v="0"/>
    <s v="Z2.90'"/>
    <m/>
    <n v="15.256600552194392"/>
    <d v="1899-12-30T00:00:00"/>
    <m/>
    <n v="108.375"/>
    <m/>
    <m/>
    <s v=""/>
    <m/>
  </r>
  <r>
    <x v="2401"/>
    <m/>
    <x v="0"/>
    <m/>
    <m/>
    <s v=""/>
    <s v=""/>
    <m/>
    <s v="0"/>
    <m/>
    <m/>
    <s v=""/>
    <m/>
  </r>
  <r>
    <x v="2402"/>
    <m/>
    <x v="0"/>
    <s v="Z2.45'"/>
    <m/>
    <n v="7.6283002760971961"/>
    <d v="1899-12-30T00:00:00"/>
    <m/>
    <n v="54.1875"/>
    <m/>
    <m/>
    <s v=""/>
    <m/>
  </r>
  <r>
    <x v="2403"/>
    <m/>
    <x v="0"/>
    <s v="Z2.45'"/>
    <m/>
    <n v="7.6283002760971961"/>
    <d v="1899-12-30T00:00:00"/>
    <m/>
    <n v="54.1875"/>
    <m/>
    <m/>
    <s v=""/>
    <m/>
  </r>
  <r>
    <x v="2404"/>
    <m/>
    <x v="0"/>
    <s v="Z6.6x90''"/>
    <m/>
    <n v="7.5625738372723088"/>
    <d v="1899-12-30T00:00:00"/>
    <m/>
    <n v="58.644125782313438"/>
    <m/>
    <m/>
    <s v=""/>
    <m/>
  </r>
  <r>
    <x v="2405"/>
    <m/>
    <x v="0"/>
    <s v="Z2.45'"/>
    <m/>
    <n v="7.6283002760971961"/>
    <d v="1899-12-30T00:00:00"/>
    <m/>
    <n v="54.1875"/>
    <m/>
    <m/>
    <s v=""/>
    <m/>
  </r>
  <r>
    <x v="2406"/>
    <m/>
    <x v="0"/>
    <s v="Z2.45'"/>
    <m/>
    <n v="7.6283002760971961"/>
    <d v="1899-12-30T00:00:00"/>
    <m/>
    <n v="54.1875"/>
    <m/>
    <m/>
    <s v=""/>
    <m/>
  </r>
  <r>
    <x v="2407"/>
    <m/>
    <x v="0"/>
    <s v="Z2.100'"/>
    <m/>
    <n v="16.9517783913271"/>
    <d v="1899-12-30T00:00:00"/>
    <m/>
    <n v="120.41666666666664"/>
    <m/>
    <m/>
    <s v=""/>
    <m/>
  </r>
  <r>
    <x v="2408"/>
    <m/>
    <x v="0"/>
    <m/>
    <m/>
    <s v=""/>
    <s v=""/>
    <m/>
    <s v="0"/>
    <m/>
    <m/>
    <s v=""/>
    <m/>
  </r>
  <r>
    <x v="2409"/>
    <m/>
    <x v="0"/>
    <s v="Z2.45'"/>
    <m/>
    <n v="7.6283002760971961"/>
    <d v="1899-12-30T00:00:00"/>
    <m/>
    <n v="54.1875"/>
    <m/>
    <m/>
    <s v=""/>
    <m/>
  </r>
  <r>
    <x v="2410"/>
    <m/>
    <x v="0"/>
    <s v="Z6.8x90''"/>
    <m/>
    <n v="8.7500984496964129"/>
    <d v="1899-12-30T00:00:00"/>
    <m/>
    <n v="68.069125782313449"/>
    <m/>
    <m/>
    <s v=""/>
    <m/>
  </r>
  <r>
    <x v="2411"/>
    <m/>
    <x v="0"/>
    <s v="Z2.45'"/>
    <m/>
    <n v="7.6283002760971961"/>
    <d v="1899-12-30T00:00:00"/>
    <m/>
    <n v="54.1875"/>
    <m/>
    <m/>
    <s v=""/>
    <m/>
  </r>
  <r>
    <x v="2412"/>
    <m/>
    <x v="0"/>
    <s v="Z4.4x5'"/>
    <m/>
    <n v="9.3343054014628528"/>
    <d v="1899-12-30T00:00:00"/>
    <m/>
    <n v="72.139959115646775"/>
    <m/>
    <m/>
    <s v=""/>
    <m/>
  </r>
  <r>
    <x v="2413"/>
    <m/>
    <x v="0"/>
    <s v="Z2.45'"/>
    <m/>
    <n v="7.6283002760971961"/>
    <d v="1899-12-30T00:00:00"/>
    <m/>
    <n v="54.1875"/>
    <m/>
    <m/>
    <s v=""/>
    <m/>
  </r>
  <r>
    <x v="2414"/>
    <m/>
    <x v="0"/>
    <s v="Z2.110'"/>
    <m/>
    <n v="18.646956230459814"/>
    <d v="1899-12-30T00:00:00"/>
    <m/>
    <n v="132.45833333333337"/>
    <m/>
    <m/>
    <s v=""/>
    <m/>
  </r>
  <r>
    <x v="2415"/>
    <m/>
    <x v="0"/>
    <m/>
    <m/>
    <s v=""/>
    <s v=""/>
    <m/>
    <s v="0"/>
    <m/>
    <m/>
    <s v=""/>
    <m/>
  </r>
  <r>
    <x v="2416"/>
    <m/>
    <x v="0"/>
    <m/>
    <m/>
    <s v=""/>
    <s v=""/>
    <m/>
    <s v="0"/>
    <m/>
    <m/>
    <s v=""/>
    <m/>
  </r>
  <r>
    <x v="2417"/>
    <m/>
    <x v="0"/>
    <s v="Z2.45'"/>
    <m/>
    <n v="7.6283002760971961"/>
    <d v="1899-12-30T00:00:00"/>
    <m/>
    <n v="54.1875"/>
    <m/>
    <m/>
    <s v=""/>
    <m/>
  </r>
  <r>
    <x v="2418"/>
    <m/>
    <x v="0"/>
    <m/>
    <m/>
    <s v=""/>
    <s v=""/>
    <m/>
    <s v="0"/>
    <m/>
    <m/>
    <s v=""/>
    <m/>
  </r>
  <r>
    <x v="2419"/>
    <m/>
    <x v="0"/>
    <s v="Z2.45'"/>
    <m/>
    <n v="7.6283002760971961"/>
    <d v="1899-12-30T00:00:00"/>
    <m/>
    <n v="54.1875"/>
    <m/>
    <m/>
    <s v=""/>
    <m/>
  </r>
  <r>
    <x v="2420"/>
    <m/>
    <x v="0"/>
    <m/>
    <m/>
    <s v=""/>
    <s v=""/>
    <m/>
    <s v="0"/>
    <m/>
    <m/>
    <s v=""/>
    <m/>
  </r>
  <r>
    <x v="2421"/>
    <m/>
    <x v="0"/>
    <s v="Z2.60'"/>
    <m/>
    <n v="10.171067034796261"/>
    <d v="1899-12-30T00:00:00"/>
    <m/>
    <n v="72.25"/>
    <m/>
    <m/>
    <s v=""/>
    <m/>
  </r>
  <r>
    <x v="2422"/>
    <m/>
    <x v="0"/>
    <m/>
    <m/>
    <s v=""/>
    <s v=""/>
    <m/>
    <s v="0"/>
    <m/>
    <m/>
    <s v=""/>
    <m/>
  </r>
  <r>
    <x v="2423"/>
    <m/>
    <x v="0"/>
    <s v="Z2.45'"/>
    <m/>
    <n v="7.6283002760971961"/>
    <d v="1899-12-30T00:00:00"/>
    <m/>
    <n v="54.1875"/>
    <m/>
    <m/>
    <s v=""/>
    <m/>
  </r>
  <r>
    <x v="2424"/>
    <m/>
    <x v="0"/>
    <s v="Z2.45'"/>
    <m/>
    <n v="7.6283002760971961"/>
    <d v="1899-12-30T00:00:00"/>
    <m/>
    <n v="54.1875"/>
    <m/>
    <m/>
    <s v=""/>
    <m/>
  </r>
  <r>
    <x v="2425"/>
    <m/>
    <x v="0"/>
    <s v="Z5.6x3'"/>
    <m/>
    <n v="10.168100893300783"/>
    <d v="1899-12-30T00:00:00"/>
    <m/>
    <n v="80.731625782313444"/>
    <m/>
    <m/>
    <s v=""/>
    <m/>
  </r>
  <r>
    <x v="2426"/>
    <m/>
    <x v="0"/>
    <s v="Z2.45'"/>
    <m/>
    <n v="7.6283002760971961"/>
    <d v="1899-12-30T00:00:00"/>
    <m/>
    <n v="54.1875"/>
    <m/>
    <m/>
    <s v=""/>
    <m/>
  </r>
  <r>
    <x v="2427"/>
    <m/>
    <x v="0"/>
    <s v="Z2.45'"/>
    <m/>
    <n v="7.6283002760971961"/>
    <d v="1899-12-30T00:00:00"/>
    <m/>
    <n v="54.1875"/>
    <m/>
    <m/>
    <s v=""/>
    <m/>
  </r>
  <r>
    <x v="2428"/>
    <m/>
    <x v="0"/>
    <s v="Z2.100'"/>
    <m/>
    <n v="16.9517783913271"/>
    <d v="1899-12-30T00:00:00"/>
    <m/>
    <n v="120.41666666666664"/>
    <m/>
    <m/>
    <s v=""/>
    <m/>
  </r>
  <r>
    <x v="2429"/>
    <m/>
    <x v="0"/>
    <m/>
    <m/>
    <s v=""/>
    <s v=""/>
    <m/>
    <s v="0"/>
    <m/>
    <m/>
    <s v=""/>
    <m/>
  </r>
  <r>
    <x v="2430"/>
    <m/>
    <x v="0"/>
    <s v="Z2.45'"/>
    <m/>
    <n v="7.6283002760971961"/>
    <d v="1899-12-30T00:00:00"/>
    <m/>
    <n v="54.1875"/>
    <m/>
    <m/>
    <s v=""/>
    <m/>
  </r>
  <r>
    <x v="2431"/>
    <m/>
    <x v="0"/>
    <s v="Z2.45'"/>
    <m/>
    <n v="7.6283002760971961"/>
    <d v="1899-12-30T00:00:00"/>
    <m/>
    <n v="54.1875"/>
    <m/>
    <m/>
    <s v=""/>
    <m/>
  </r>
  <r>
    <x v="2432"/>
    <m/>
    <x v="0"/>
    <s v="Z5.6x3'"/>
    <m/>
    <n v="10.168100893300783"/>
    <d v="1899-12-30T00:00:00"/>
    <m/>
    <n v="80.731625782313444"/>
    <m/>
    <m/>
    <s v=""/>
    <m/>
  </r>
  <r>
    <x v="2433"/>
    <m/>
    <x v="0"/>
    <s v="Z2.45'"/>
    <m/>
    <n v="7.6283002760971961"/>
    <d v="1899-12-30T00:00:00"/>
    <m/>
    <n v="54.1875"/>
    <m/>
    <m/>
    <s v=""/>
    <m/>
  </r>
  <r>
    <x v="2434"/>
    <m/>
    <x v="0"/>
    <s v="Z2.45'"/>
    <m/>
    <n v="7.6283002760971961"/>
    <d v="1899-12-30T00:00:00"/>
    <m/>
    <n v="54.1875"/>
    <m/>
    <m/>
    <s v=""/>
    <m/>
  </r>
  <r>
    <x v="2435"/>
    <m/>
    <x v="0"/>
    <s v="Z2.110'"/>
    <m/>
    <n v="18.646956230459814"/>
    <d v="1899-12-30T00:00:00"/>
    <m/>
    <n v="132.45833333333337"/>
    <m/>
    <m/>
    <s v=""/>
    <m/>
  </r>
  <r>
    <x v="2436"/>
    <m/>
    <x v="0"/>
    <m/>
    <m/>
    <s v=""/>
    <s v=""/>
    <m/>
    <s v="0"/>
    <m/>
    <m/>
    <s v=""/>
    <m/>
  </r>
  <r>
    <x v="2437"/>
    <m/>
    <x v="0"/>
    <s v="Z2.45'"/>
    <m/>
    <n v="7.6283002760971961"/>
    <d v="1899-12-30T00:00:00"/>
    <m/>
    <n v="54.1875"/>
    <m/>
    <m/>
    <s v=""/>
    <m/>
  </r>
  <r>
    <x v="2438"/>
    <m/>
    <x v="0"/>
    <s v="Z5.8x3'"/>
    <m/>
    <n v="12.362515195287774"/>
    <d v="1899-12-30T00:00:00"/>
    <m/>
    <n v="98.456625782313438"/>
    <m/>
    <m/>
    <s v=""/>
    <m/>
  </r>
  <r>
    <x v="2439"/>
    <m/>
    <x v="0"/>
    <s v="Z2.45'"/>
    <m/>
    <n v="7.6283002760971961"/>
    <d v="1899-12-30T00:00:00"/>
    <m/>
    <n v="54.1875"/>
    <m/>
    <m/>
    <s v=""/>
    <m/>
  </r>
  <r>
    <x v="2440"/>
    <m/>
    <x v="0"/>
    <s v="Z4.4x6'"/>
    <m/>
    <n v="10.152081274159309"/>
    <d v="1899-12-30T00:00:00"/>
    <m/>
    <n v="78.806625782313432"/>
    <m/>
    <m/>
    <s v=""/>
    <m/>
  </r>
  <r>
    <x v="2441"/>
    <m/>
    <x v="0"/>
    <s v="Z2.45'"/>
    <m/>
    <n v="7.6283002760971961"/>
    <d v="1899-12-30T00:00:00"/>
    <m/>
    <n v="54.1875"/>
    <m/>
    <m/>
    <s v=""/>
    <m/>
  </r>
  <r>
    <x v="2442"/>
    <m/>
    <x v="0"/>
    <s v="Z2.2h"/>
    <m/>
    <n v="20.342134069592522"/>
    <d v="1899-12-30T00:00:00"/>
    <m/>
    <n v="144.5"/>
    <m/>
    <m/>
    <s v=""/>
    <m/>
  </r>
  <r>
    <x v="2443"/>
    <m/>
    <x v="0"/>
    <m/>
    <m/>
    <s v=""/>
    <s v=""/>
    <m/>
    <s v="0"/>
    <m/>
    <m/>
    <s v=""/>
    <m/>
  </r>
  <r>
    <x v="2444"/>
    <m/>
    <x v="0"/>
    <m/>
    <m/>
    <s v=""/>
    <s v=""/>
    <m/>
    <s v="0"/>
    <m/>
    <m/>
    <s v=""/>
    <m/>
  </r>
  <r>
    <x v="2445"/>
    <m/>
    <x v="0"/>
    <s v="Z2.45'"/>
    <m/>
    <n v="7.6283002760971961"/>
    <d v="1899-12-30T00:00:00"/>
    <m/>
    <n v="54.1875"/>
    <m/>
    <m/>
    <s v=""/>
    <m/>
  </r>
  <r>
    <x v="2446"/>
    <m/>
    <x v="0"/>
    <m/>
    <m/>
    <s v=""/>
    <s v=""/>
    <m/>
    <s v="0"/>
    <m/>
    <m/>
    <s v=""/>
    <m/>
  </r>
  <r>
    <x v="2447"/>
    <m/>
    <x v="0"/>
    <s v="Z2.45'"/>
    <m/>
    <n v="7.6283002760971961"/>
    <d v="1899-12-30T00:00:00"/>
    <m/>
    <n v="54.1875"/>
    <m/>
    <m/>
    <s v=""/>
    <m/>
  </r>
  <r>
    <x v="2448"/>
    <m/>
    <x v="0"/>
    <m/>
    <m/>
    <s v=""/>
    <s v=""/>
    <m/>
    <s v="0"/>
    <m/>
    <m/>
    <s v=""/>
    <m/>
  </r>
  <r>
    <x v="2449"/>
    <m/>
    <x v="0"/>
    <s v="Z2.60'"/>
    <m/>
    <n v="10.171067034796261"/>
    <d v="1899-12-30T00:00:00"/>
    <m/>
    <n v="72.25"/>
    <m/>
    <m/>
    <s v=""/>
    <m/>
  </r>
  <r>
    <x v="2450"/>
    <m/>
    <x v="0"/>
    <m/>
    <m/>
    <s v=""/>
    <s v=""/>
    <m/>
    <s v="0"/>
    <m/>
    <m/>
    <s v=""/>
    <m/>
  </r>
  <r>
    <x v="2451"/>
    <m/>
    <x v="0"/>
    <s v="Z2.45'"/>
    <m/>
    <n v="7.6283002760971961"/>
    <d v="1899-12-30T00:00:00"/>
    <m/>
    <n v="54.1875"/>
    <m/>
    <m/>
    <s v=""/>
    <m/>
  </r>
  <r>
    <x v="2452"/>
    <m/>
    <x v="0"/>
    <s v="Z2.45'"/>
    <m/>
    <n v="7.6283002760971961"/>
    <d v="1899-12-30T00:00:00"/>
    <m/>
    <n v="54.1875"/>
    <m/>
    <m/>
    <s v=""/>
    <m/>
  </r>
  <r>
    <x v="2453"/>
    <m/>
    <x v="0"/>
    <s v="Z4.4x6'"/>
    <m/>
    <n v="10.152081274159309"/>
    <d v="1899-12-30T00:00:00"/>
    <m/>
    <n v="78.806625782313432"/>
    <m/>
    <m/>
    <s v=""/>
    <m/>
  </r>
  <r>
    <x v="2454"/>
    <m/>
    <x v="0"/>
    <s v="Z2.45'"/>
    <m/>
    <n v="7.6283002760971961"/>
    <d v="1899-12-30T00:00:00"/>
    <m/>
    <n v="54.1875"/>
    <m/>
    <m/>
    <s v=""/>
    <m/>
  </r>
  <r>
    <x v="2455"/>
    <m/>
    <x v="0"/>
    <s v="Z2.45'"/>
    <m/>
    <n v="7.6283002760971961"/>
    <d v="1899-12-30T00:00:00"/>
    <m/>
    <n v="54.1875"/>
    <m/>
    <m/>
    <s v=""/>
    <m/>
  </r>
  <r>
    <x v="2456"/>
    <m/>
    <x v="0"/>
    <s v="Z2.110'"/>
    <m/>
    <n v="18.646956230459814"/>
    <d v="1899-12-30T00:00:00"/>
    <m/>
    <n v="132.45833333333337"/>
    <m/>
    <m/>
    <s v=""/>
    <m/>
  </r>
  <r>
    <x v="2457"/>
    <m/>
    <x v="0"/>
    <m/>
    <m/>
    <s v=""/>
    <s v=""/>
    <m/>
    <s v="0"/>
    <m/>
    <m/>
    <s v=""/>
    <m/>
  </r>
  <r>
    <x v="2458"/>
    <m/>
    <x v="0"/>
    <s v="Z2.45'"/>
    <m/>
    <n v="7.6283002760971961"/>
    <d v="1899-12-30T00:00:00"/>
    <m/>
    <n v="54.1875"/>
    <m/>
    <m/>
    <s v=""/>
    <m/>
  </r>
  <r>
    <x v="2459"/>
    <m/>
    <x v="0"/>
    <s v="Z2.45'"/>
    <m/>
    <n v="7.6283002760971961"/>
    <d v="1899-12-30T00:00:00"/>
    <m/>
    <n v="54.1875"/>
    <m/>
    <m/>
    <s v=""/>
    <m/>
  </r>
  <r>
    <x v="2460"/>
    <m/>
    <x v="0"/>
    <s v="Z4.4x8'"/>
    <m/>
    <n v="11.787633019552224"/>
    <d v="1899-12-30T00:00:00"/>
    <m/>
    <n v="92.139959115646775"/>
    <m/>
    <m/>
    <s v=""/>
    <m/>
  </r>
  <r>
    <x v="2461"/>
    <m/>
    <x v="0"/>
    <s v="Z2.45'"/>
    <m/>
    <n v="7.6283002760971961"/>
    <d v="1899-12-30T00:00:00"/>
    <m/>
    <n v="54.1875"/>
    <m/>
    <m/>
    <s v=""/>
    <m/>
  </r>
  <r>
    <x v="2462"/>
    <m/>
    <x v="0"/>
    <s v="Z2.45'"/>
    <m/>
    <n v="7.6283002760971961"/>
    <d v="1899-12-30T00:00:00"/>
    <m/>
    <n v="54.1875"/>
    <m/>
    <m/>
    <s v=""/>
    <m/>
  </r>
  <r>
    <x v="2463"/>
    <m/>
    <x v="0"/>
    <s v="Z2.2h"/>
    <m/>
    <n v="20.342134069592522"/>
    <d v="1899-12-30T00:00:00"/>
    <m/>
    <n v="144.5"/>
    <m/>
    <m/>
    <s v=""/>
    <m/>
  </r>
  <r>
    <x v="2464"/>
    <m/>
    <x v="0"/>
    <m/>
    <m/>
    <s v=""/>
    <s v=""/>
    <m/>
    <s v="0"/>
    <m/>
    <m/>
    <s v=""/>
    <m/>
  </r>
  <r>
    <x v="2465"/>
    <m/>
    <x v="0"/>
    <s v="Z2.45'"/>
    <m/>
    <n v="7.6283002760971961"/>
    <d v="1899-12-30T00:00:00"/>
    <m/>
    <n v="54.1875"/>
    <m/>
    <m/>
    <s v=""/>
    <m/>
  </r>
  <r>
    <x v="2466"/>
    <m/>
    <x v="0"/>
    <s v="Z2.45'"/>
    <m/>
    <n v="7.6283002760971961"/>
    <d v="1899-12-30T00:00:00"/>
    <m/>
    <n v="54.1875"/>
    <m/>
    <m/>
    <s v=""/>
    <m/>
  </r>
  <r>
    <x v="2467"/>
    <m/>
    <x v="0"/>
    <s v="Z4.4x10'"/>
    <m/>
    <n v="13.423184764945141"/>
    <d v="1899-12-30T00:00:00"/>
    <m/>
    <n v="105.47329244898009"/>
    <m/>
    <m/>
    <s v=""/>
    <m/>
  </r>
  <r>
    <x v="2468"/>
    <m/>
    <x v="0"/>
    <s v="Z2.45'"/>
    <m/>
    <n v="7.6283002760971961"/>
    <d v="1899-12-30T00:00:00"/>
    <m/>
    <n v="54.1875"/>
    <m/>
    <m/>
    <s v=""/>
    <m/>
  </r>
  <r>
    <x v="2469"/>
    <m/>
    <x v="0"/>
    <s v="Z2.45'"/>
    <m/>
    <n v="7.6283002760971961"/>
    <d v="1899-12-30T00:00:00"/>
    <m/>
    <n v="54.1875"/>
    <m/>
    <m/>
    <s v=""/>
    <m/>
  </r>
  <r>
    <x v="2470"/>
    <m/>
    <x v="0"/>
    <s v="Z2.25"/>
    <m/>
    <n v="25"/>
    <d v="1899-12-30T00:00:00"/>
    <m/>
    <n v="177.58707064073354"/>
    <m/>
    <m/>
    <s v=""/>
    <m/>
  </r>
  <r>
    <x v="2471"/>
    <m/>
    <x v="0"/>
    <m/>
    <m/>
    <s v=""/>
    <s v=""/>
    <m/>
    <s v="0"/>
    <m/>
    <m/>
    <s v=""/>
    <m/>
  </r>
  <r>
    <x v="2472"/>
    <m/>
    <x v="0"/>
    <s v="Z2.45'"/>
    <m/>
    <n v="7.6283002760971961"/>
    <d v="1899-12-30T00:00:00"/>
    <m/>
    <n v="54.1875"/>
    <m/>
    <m/>
    <s v=""/>
    <m/>
  </r>
  <r>
    <x v="2473"/>
    <m/>
    <x v="0"/>
    <m/>
    <m/>
    <s v=""/>
    <s v=""/>
    <m/>
    <s v="0"/>
    <m/>
    <m/>
    <s v=""/>
    <m/>
  </r>
  <r>
    <x v="2474"/>
    <m/>
    <x v="0"/>
    <s v="Z2.60'"/>
    <m/>
    <n v="10.171067034796261"/>
    <d v="1899-12-30T00:00:00"/>
    <m/>
    <n v="72.25"/>
    <m/>
    <m/>
    <s v=""/>
    <m/>
  </r>
  <r>
    <x v="2475"/>
    <m/>
    <x v="0"/>
    <m/>
    <m/>
    <s v=""/>
    <s v=""/>
    <m/>
    <s v="0"/>
    <m/>
    <m/>
    <s v=""/>
    <m/>
  </r>
  <r>
    <x v="2476"/>
    <m/>
    <x v="0"/>
    <s v="Z6.6x90''"/>
    <m/>
    <n v="7.5625738372723088"/>
    <d v="1899-12-30T00:00:00"/>
    <m/>
    <n v="58.644125782313438"/>
    <m/>
    <m/>
    <s v=""/>
    <m/>
  </r>
  <r>
    <x v="2477"/>
    <m/>
    <x v="0"/>
    <m/>
    <m/>
    <s v=""/>
    <s v=""/>
    <m/>
    <s v="0"/>
    <m/>
    <m/>
    <s v=""/>
    <m/>
  </r>
  <r>
    <x v="2478"/>
    <m/>
    <x v="0"/>
    <s v="Z2.14"/>
    <m/>
    <n v="14"/>
    <d v="1899-12-30T00:00:00"/>
    <m/>
    <n v="99.448759558810778"/>
    <m/>
    <m/>
    <s v=""/>
    <m/>
  </r>
  <r>
    <x v="2479"/>
    <m/>
    <x v="0"/>
    <m/>
    <m/>
    <s v=""/>
    <s v=""/>
    <m/>
    <s v="0"/>
    <m/>
    <m/>
    <s v=""/>
    <m/>
  </r>
  <r>
    <x v="2480"/>
    <m/>
    <x v="0"/>
    <s v="Z2.60'"/>
    <m/>
    <n v="10.171067034796261"/>
    <d v="1899-12-30T00:00:00"/>
    <m/>
    <n v="72.25"/>
    <m/>
    <m/>
    <s v=""/>
    <m/>
  </r>
  <r>
    <x v="2481"/>
    <m/>
    <x v="0"/>
    <m/>
    <m/>
    <s v=""/>
    <s v=""/>
    <m/>
    <s v="0"/>
    <m/>
    <m/>
    <s v=""/>
    <m/>
  </r>
  <r>
    <x v="2482"/>
    <m/>
    <x v="0"/>
    <s v="Z2.6"/>
    <m/>
    <n v="6"/>
    <d v="1899-12-30T00:00:00"/>
    <m/>
    <n v="42.620896953776047"/>
    <m/>
    <m/>
    <s v=""/>
    <m/>
  </r>
  <r>
    <x v="2483"/>
    <m/>
    <x v="0"/>
    <m/>
    <m/>
    <s v=""/>
    <s v=""/>
    <m/>
    <s v="0"/>
    <m/>
    <m/>
    <s v=""/>
    <m/>
  </r>
  <r>
    <x v="2484"/>
    <m/>
    <x v="0"/>
    <s v="Z2.4"/>
    <m/>
    <n v="4"/>
    <d v="1899-12-30T00:00:00"/>
    <m/>
    <n v="28.413931302517366"/>
    <m/>
    <m/>
    <s v=""/>
    <m/>
  </r>
  <r>
    <x v="2485"/>
    <m/>
    <x v="0"/>
    <s v="wk"/>
    <m/>
    <n v="21"/>
    <d v="1899-12-30T00:00:00"/>
    <m/>
    <s v="0"/>
    <m/>
    <m/>
    <s v=""/>
    <m/>
  </r>
  <r>
    <x v="2486"/>
    <m/>
    <x v="0"/>
    <m/>
    <m/>
    <s v=""/>
    <s v=""/>
    <m/>
    <s v="0"/>
    <m/>
    <m/>
    <s v=""/>
    <m/>
  </r>
  <r>
    <x v="2487"/>
    <m/>
    <x v="0"/>
    <m/>
    <m/>
    <s v=""/>
    <s v=""/>
    <m/>
    <s v="0"/>
    <m/>
    <m/>
    <s v=""/>
    <m/>
  </r>
  <r>
    <x v="2488"/>
    <m/>
    <x v="0"/>
    <m/>
    <m/>
    <s v=""/>
    <s v=""/>
    <m/>
    <s v="0"/>
    <m/>
    <m/>
    <s v=""/>
    <m/>
  </r>
  <r>
    <x v="2489"/>
    <m/>
    <x v="0"/>
    <m/>
    <m/>
    <s v=""/>
    <s v=""/>
    <m/>
    <s v="0"/>
    <m/>
    <m/>
    <s v=""/>
    <m/>
  </r>
  <r>
    <x v="2490"/>
    <m/>
    <x v="0"/>
    <m/>
    <m/>
    <s v=""/>
    <s v=""/>
    <m/>
    <s v="0"/>
    <m/>
    <m/>
    <s v=""/>
    <m/>
  </r>
  <r>
    <x v="2491"/>
    <m/>
    <x v="0"/>
    <m/>
    <m/>
    <s v=""/>
    <s v=""/>
    <m/>
    <s v="0"/>
    <m/>
    <m/>
    <s v=""/>
    <m/>
  </r>
  <r>
    <x v="2492"/>
    <m/>
    <x v="0"/>
    <m/>
    <m/>
    <s v=""/>
    <s v=""/>
    <m/>
    <s v="0"/>
    <m/>
    <m/>
    <s v=""/>
    <m/>
  </r>
  <r>
    <x v="2493"/>
    <m/>
    <x v="0"/>
    <s v="Z2.30'"/>
    <m/>
    <n v="5.0855335173981304"/>
    <d v="1899-12-30T00:00:00"/>
    <m/>
    <n v="36.125"/>
    <m/>
    <m/>
    <s v=""/>
    <m/>
  </r>
  <r>
    <x v="2494"/>
    <m/>
    <x v="0"/>
    <s v="Z2.30'"/>
    <m/>
    <n v="5.0855335173981304"/>
    <d v="1899-12-30T00:00:00"/>
    <m/>
    <n v="36.125"/>
    <m/>
    <m/>
    <s v=""/>
    <m/>
  </r>
  <r>
    <x v="2495"/>
    <m/>
    <x v="0"/>
    <m/>
    <m/>
    <s v=""/>
    <s v=""/>
    <m/>
    <s v="0"/>
    <m/>
    <m/>
    <s v=""/>
    <m/>
  </r>
  <r>
    <x v="2496"/>
    <m/>
    <x v="0"/>
    <s v="Z2.30'"/>
    <m/>
    <n v="5.0855335173981304"/>
    <d v="1899-12-30T00:00:00"/>
    <m/>
    <n v="36.125"/>
    <m/>
    <m/>
    <s v=""/>
    <m/>
  </r>
  <r>
    <x v="2497"/>
    <m/>
    <x v="0"/>
    <s v="Z2.30'"/>
    <m/>
    <n v="5.0855335173981304"/>
    <d v="1899-12-30T00:00:00"/>
    <m/>
    <n v="36.125"/>
    <m/>
    <m/>
    <s v=""/>
    <m/>
  </r>
  <r>
    <x v="2498"/>
    <m/>
    <x v="0"/>
    <m/>
    <m/>
    <s v=""/>
    <s v=""/>
    <m/>
    <s v="0"/>
    <m/>
    <m/>
    <s v=""/>
    <m/>
  </r>
  <r>
    <x v="2499"/>
    <m/>
    <x v="0"/>
    <s v="Z2.60'"/>
    <m/>
    <n v="10.171067034796261"/>
    <d v="1899-12-30T00:00:00"/>
    <m/>
    <n v="72.25"/>
    <m/>
    <m/>
    <s v=""/>
    <m/>
  </r>
  <r>
    <x v="2500"/>
    <m/>
    <x v="0"/>
    <s v="Z2.30'"/>
    <m/>
    <n v="5.0855335173981304"/>
    <d v="1899-12-30T00:00:00"/>
    <m/>
    <n v="36.125"/>
    <m/>
    <m/>
    <s v=""/>
    <m/>
  </r>
  <r>
    <x v="2501"/>
    <m/>
    <x v="0"/>
    <s v="Z2.30'"/>
    <m/>
    <n v="5.0855335173981304"/>
    <d v="1899-12-30T00:00:00"/>
    <m/>
    <n v="36.125"/>
    <m/>
    <m/>
    <s v=""/>
    <m/>
  </r>
  <r>
    <x v="2502"/>
    <m/>
    <x v="0"/>
    <m/>
    <m/>
    <s v=""/>
    <s v=""/>
    <m/>
    <s v="0"/>
    <m/>
    <m/>
    <s v=""/>
    <m/>
  </r>
  <r>
    <x v="2503"/>
    <m/>
    <x v="0"/>
    <s v="Z2.30'"/>
    <m/>
    <n v="5.0855335173981304"/>
    <d v="1899-12-30T00:00:00"/>
    <m/>
    <n v="36.125"/>
    <m/>
    <m/>
    <s v=""/>
    <m/>
  </r>
  <r>
    <x v="2504"/>
    <m/>
    <x v="0"/>
    <s v="Z2.30'"/>
    <m/>
    <n v="5.0855335173981304"/>
    <d v="1899-12-30T00:00:00"/>
    <m/>
    <n v="36.125"/>
    <m/>
    <m/>
    <s v=""/>
    <m/>
  </r>
  <r>
    <x v="2505"/>
    <m/>
    <x v="0"/>
    <m/>
    <m/>
    <s v=""/>
    <s v=""/>
    <m/>
    <s v="0"/>
    <m/>
    <m/>
    <s v=""/>
    <m/>
  </r>
  <r>
    <x v="2506"/>
    <m/>
    <x v="0"/>
    <s v="Z2.60'"/>
    <m/>
    <n v="10.171067034796261"/>
    <d v="1899-12-30T00:00:00"/>
    <m/>
    <n v="72.25"/>
    <m/>
    <m/>
    <s v=""/>
    <m/>
  </r>
  <r>
    <x v="2507"/>
    <m/>
    <x v="0"/>
    <s v="Z2.30'"/>
    <m/>
    <n v="5.0855335173981304"/>
    <d v="1899-12-30T00:00:00"/>
    <m/>
    <n v="36.125"/>
    <m/>
    <m/>
    <s v=""/>
    <m/>
  </r>
  <r>
    <x v="2508"/>
    <m/>
    <x v="0"/>
    <s v="Z2.30'"/>
    <m/>
    <n v="5.0855335173981304"/>
    <d v="1899-12-30T00:00:00"/>
    <m/>
    <n v="36.125"/>
    <m/>
    <m/>
    <s v=""/>
    <m/>
  </r>
  <r>
    <x v="2509"/>
    <m/>
    <x v="0"/>
    <m/>
    <m/>
    <s v=""/>
    <s v=""/>
    <m/>
    <s v="0"/>
    <m/>
    <m/>
    <s v=""/>
    <m/>
  </r>
  <r>
    <x v="2510"/>
    <m/>
    <x v="0"/>
    <s v="Z2.30'"/>
    <m/>
    <n v="5.0855335173981304"/>
    <d v="1899-12-30T00:00:00"/>
    <m/>
    <n v="36.125"/>
    <m/>
    <m/>
    <s v=""/>
    <m/>
  </r>
  <r>
    <x v="2511"/>
    <m/>
    <x v="0"/>
    <s v="Z2.30'"/>
    <m/>
    <n v="5.0855335173981304"/>
    <d v="1899-12-30T00:00:00"/>
    <m/>
    <n v="36.125"/>
    <m/>
    <m/>
    <s v=""/>
    <m/>
  </r>
  <r>
    <x v="2512"/>
    <m/>
    <x v="0"/>
    <m/>
    <m/>
    <s v=""/>
    <s v=""/>
    <m/>
    <s v="0"/>
    <m/>
    <m/>
    <s v=""/>
    <m/>
  </r>
  <r>
    <x v="2513"/>
    <m/>
    <x v="0"/>
    <s v="Z2.60'"/>
    <m/>
    <n v="10.171067034796261"/>
    <d v="1899-12-30T00:00:00"/>
    <m/>
    <n v="72.25"/>
    <m/>
    <m/>
    <s v=""/>
    <m/>
  </r>
  <r>
    <x v="2514"/>
    <m/>
    <x v="0"/>
    <s v="Z2.30'"/>
    <m/>
    <n v="5.0855335173981304"/>
    <d v="1899-12-30T00:00:00"/>
    <m/>
    <n v="36.125"/>
    <m/>
    <m/>
    <s v=""/>
    <m/>
  </r>
  <r>
    <x v="2515"/>
    <m/>
    <x v="0"/>
    <s v="Z2.30'"/>
    <m/>
    <n v="5.0855335173981304"/>
    <d v="1899-12-30T00:00:00"/>
    <m/>
    <n v="36.125"/>
    <m/>
    <m/>
    <s v=""/>
    <m/>
  </r>
  <r>
    <x v="2516"/>
    <m/>
    <x v="0"/>
    <m/>
    <m/>
    <s v=""/>
    <s v=""/>
    <m/>
    <s v="0"/>
    <m/>
    <m/>
    <s v=""/>
    <m/>
  </r>
  <r>
    <x v="2517"/>
    <m/>
    <x v="0"/>
    <s v="Z2.30'"/>
    <m/>
    <n v="5.0855335173981304"/>
    <d v="1899-12-30T00:00:00"/>
    <m/>
    <n v="36.125"/>
    <m/>
    <m/>
    <s v=""/>
    <m/>
  </r>
  <r>
    <x v="2518"/>
    <m/>
    <x v="0"/>
    <s v="Z2.30'"/>
    <m/>
    <n v="5.0855335173981304"/>
    <d v="1899-12-30T00:00:00"/>
    <m/>
    <n v="36.125"/>
    <m/>
    <m/>
    <s v=""/>
    <m/>
  </r>
  <r>
    <x v="2519"/>
    <m/>
    <x v="0"/>
    <m/>
    <m/>
    <s v=""/>
    <s v=""/>
    <m/>
    <s v="0"/>
    <m/>
    <m/>
    <s v=""/>
    <m/>
  </r>
  <r>
    <x v="2520"/>
    <m/>
    <x v="0"/>
    <s v="Z2.60'"/>
    <m/>
    <n v="10.171067034796261"/>
    <d v="1899-12-30T00:00:00"/>
    <m/>
    <n v="72.25"/>
    <m/>
    <m/>
    <s v=""/>
    <m/>
  </r>
  <r>
    <x v="2521"/>
    <m/>
    <x v="0"/>
    <s v="Z2.30'"/>
    <m/>
    <n v="5.0855335173981304"/>
    <d v="1899-12-30T00:00:00"/>
    <m/>
    <n v="36.125"/>
    <m/>
    <m/>
    <s v=""/>
    <m/>
  </r>
  <r>
    <x v="2522"/>
    <m/>
    <x v="0"/>
    <s v="Z2.30'"/>
    <m/>
    <n v="5.0855335173981304"/>
    <d v="1899-12-30T00:00:00"/>
    <m/>
    <n v="36.125"/>
    <m/>
    <m/>
    <s v=""/>
    <m/>
  </r>
  <r>
    <x v="2523"/>
    <m/>
    <x v="0"/>
    <m/>
    <m/>
    <s v=""/>
    <s v=""/>
    <m/>
    <s v="0"/>
    <m/>
    <m/>
    <s v=""/>
    <m/>
  </r>
  <r>
    <x v="2524"/>
    <m/>
    <x v="0"/>
    <s v="Z2.30'"/>
    <m/>
    <n v="5.0855335173981304"/>
    <d v="1899-12-30T00:00:00"/>
    <m/>
    <n v="36.125"/>
    <m/>
    <m/>
    <s v=""/>
    <m/>
  </r>
  <r>
    <x v="2525"/>
    <m/>
    <x v="0"/>
    <s v="Z2.30'"/>
    <m/>
    <n v="5.0855335173981304"/>
    <d v="1899-12-30T00:00:00"/>
    <m/>
    <n v="36.125"/>
    <m/>
    <m/>
    <s v=""/>
    <m/>
  </r>
  <r>
    <x v="2526"/>
    <m/>
    <x v="0"/>
    <m/>
    <m/>
    <s v=""/>
    <s v=""/>
    <m/>
    <s v="0"/>
    <m/>
    <m/>
    <s v=""/>
    <m/>
  </r>
  <r>
    <x v="2527"/>
    <m/>
    <x v="0"/>
    <s v="Z2.60'"/>
    <m/>
    <n v="10.171067034796261"/>
    <d v="1899-12-30T00:00:00"/>
    <m/>
    <n v="72.25"/>
    <m/>
    <m/>
    <s v=""/>
    <m/>
  </r>
  <r>
    <x v="2528"/>
    <m/>
    <x v="0"/>
    <s v="Z2.30'"/>
    <m/>
    <n v="5.0855335173981304"/>
    <d v="1899-12-30T00:00:00"/>
    <m/>
    <n v="36.125"/>
    <m/>
    <m/>
    <s v=""/>
    <m/>
  </r>
  <r>
    <x v="2529"/>
    <m/>
    <x v="0"/>
    <s v="Z2.30'"/>
    <m/>
    <n v="5.0855335173981304"/>
    <d v="1899-12-30T00:00:00"/>
    <m/>
    <n v="36.125"/>
    <m/>
    <m/>
    <s v=""/>
    <m/>
  </r>
  <r>
    <x v="2530"/>
    <m/>
    <x v="0"/>
    <m/>
    <m/>
    <s v=""/>
    <s v=""/>
    <m/>
    <s v="0"/>
    <m/>
    <m/>
    <s v=""/>
    <m/>
  </r>
  <r>
    <x v="2531"/>
    <m/>
    <x v="0"/>
    <s v="Z2.30'"/>
    <m/>
    <n v="5.0855335173981304"/>
    <d v="1899-12-30T00:00:00"/>
    <m/>
    <n v="36.125"/>
    <m/>
    <m/>
    <s v=""/>
    <m/>
  </r>
  <r>
    <x v="2532"/>
    <m/>
    <x v="0"/>
    <s v="Z2.30'"/>
    <m/>
    <n v="5.0855335173981304"/>
    <d v="1899-12-30T00:00:00"/>
    <m/>
    <n v="36.125"/>
    <m/>
    <m/>
    <s v=""/>
    <m/>
  </r>
  <r>
    <x v="2533"/>
    <m/>
    <x v="0"/>
    <m/>
    <m/>
    <s v=""/>
    <s v=""/>
    <m/>
    <s v="0"/>
    <m/>
    <m/>
    <s v=""/>
    <m/>
  </r>
  <r>
    <x v="2534"/>
    <m/>
    <x v="0"/>
    <s v="Z2.60'"/>
    <m/>
    <n v="10.171067034796261"/>
    <d v="1899-12-30T00:00:00"/>
    <m/>
    <n v="72.25"/>
    <m/>
    <m/>
    <s v=""/>
    <m/>
  </r>
  <r>
    <x v="2535"/>
    <m/>
    <x v="0"/>
    <s v="Z2.30'"/>
    <m/>
    <n v="5.0855335173981304"/>
    <d v="1899-12-30T00:00:00"/>
    <m/>
    <n v="36.125"/>
    <m/>
    <m/>
    <s v=""/>
    <m/>
  </r>
  <r>
    <x v="2536"/>
    <m/>
    <x v="0"/>
    <s v="Z2.30'"/>
    <m/>
    <n v="5.0855335173981304"/>
    <d v="1899-12-30T00:00:00"/>
    <m/>
    <n v="36.125"/>
    <m/>
    <m/>
    <s v=""/>
    <m/>
  </r>
  <r>
    <x v="2537"/>
    <m/>
    <x v="0"/>
    <m/>
    <m/>
    <s v=""/>
    <s v=""/>
    <m/>
    <s v="0"/>
    <m/>
    <m/>
    <s v=""/>
    <m/>
  </r>
  <r>
    <x v="2538"/>
    <m/>
    <x v="0"/>
    <s v="Z2.30'"/>
    <m/>
    <n v="5.0855335173981304"/>
    <d v="1899-12-30T00:00:00"/>
    <m/>
    <n v="36.125"/>
    <m/>
    <m/>
    <s v=""/>
    <m/>
  </r>
  <r>
    <x v="2539"/>
    <m/>
    <x v="0"/>
    <s v="Z2.30'"/>
    <m/>
    <n v="5.0855335173981304"/>
    <d v="1899-12-30T00:00:00"/>
    <m/>
    <n v="36.125"/>
    <m/>
    <m/>
    <s v=""/>
    <m/>
  </r>
  <r>
    <x v="2540"/>
    <m/>
    <x v="0"/>
    <m/>
    <m/>
    <s v=""/>
    <s v=""/>
    <m/>
    <s v="0"/>
    <m/>
    <m/>
    <s v=""/>
    <m/>
  </r>
  <r>
    <x v="2541"/>
    <m/>
    <x v="0"/>
    <s v="Z2.60'"/>
    <m/>
    <n v="10.171067034796261"/>
    <d v="1899-12-30T00:00:00"/>
    <m/>
    <n v="72.25"/>
    <m/>
    <m/>
    <s v=""/>
    <m/>
  </r>
  <r>
    <x v="2542"/>
    <m/>
    <x v="0"/>
    <s v="Z2.30'"/>
    <m/>
    <n v="5.0855335173981304"/>
    <d v="1899-12-30T00:00:00"/>
    <m/>
    <n v="36.125"/>
    <m/>
    <m/>
    <s v=""/>
    <m/>
  </r>
  <r>
    <x v="2543"/>
    <m/>
    <x v="0"/>
    <s v="Z2.30'"/>
    <m/>
    <n v="5.0855335173981304"/>
    <d v="1899-12-30T00:00:00"/>
    <m/>
    <n v="36.125"/>
    <m/>
    <m/>
    <s v=""/>
    <m/>
  </r>
  <r>
    <x v="2544"/>
    <m/>
    <x v="0"/>
    <m/>
    <m/>
    <s v=""/>
    <s v=""/>
    <m/>
    <s v="0"/>
    <m/>
    <m/>
    <s v=""/>
    <m/>
  </r>
  <r>
    <x v="2545"/>
    <m/>
    <x v="0"/>
    <s v="Z2.30'"/>
    <m/>
    <n v="5.0855335173981304"/>
    <d v="1899-12-30T00:00:00"/>
    <m/>
    <n v="36.125"/>
    <m/>
    <m/>
    <s v=""/>
    <m/>
  </r>
  <r>
    <x v="2546"/>
    <m/>
    <x v="0"/>
    <s v="Z2.30'"/>
    <m/>
    <n v="5.0855335173981304"/>
    <d v="1899-12-30T00:00:00"/>
    <m/>
    <n v="36.125"/>
    <m/>
    <m/>
    <s v=""/>
    <m/>
  </r>
  <r>
    <x v="2547"/>
    <m/>
    <x v="0"/>
    <m/>
    <m/>
    <s v=""/>
    <s v=""/>
    <m/>
    <s v="0"/>
    <m/>
    <m/>
    <s v=""/>
    <m/>
  </r>
  <r>
    <x v="2548"/>
    <m/>
    <x v="0"/>
    <s v="Z2.60'"/>
    <m/>
    <n v="10.171067034796261"/>
    <d v="1899-12-30T00:00:00"/>
    <m/>
    <n v="72.25"/>
    <m/>
    <m/>
    <s v=""/>
    <m/>
  </r>
  <r>
    <x v="2549"/>
    <m/>
    <x v="0"/>
    <s v="Z2.30'"/>
    <m/>
    <n v="5.0855335173981304"/>
    <d v="1899-12-30T00:00:00"/>
    <m/>
    <n v="36.125"/>
    <m/>
    <m/>
    <s v=""/>
    <m/>
  </r>
  <r>
    <x v="2550"/>
    <m/>
    <x v="0"/>
    <s v="Z2.30'"/>
    <m/>
    <n v="5.0855335173981304"/>
    <d v="1899-12-30T00:00:00"/>
    <m/>
    <n v="36.125"/>
    <m/>
    <m/>
    <s v=""/>
    <m/>
  </r>
  <r>
    <x v="2551"/>
    <m/>
    <x v="0"/>
    <m/>
    <m/>
    <s v=""/>
    <s v=""/>
    <m/>
    <s v="0"/>
    <m/>
    <m/>
    <s v=""/>
    <m/>
  </r>
  <r>
    <x v="2552"/>
    <m/>
    <x v="0"/>
    <s v="Z2.30'"/>
    <m/>
    <n v="5.0855335173981304"/>
    <d v="1899-12-30T00:00:00"/>
    <m/>
    <n v="36.125"/>
    <m/>
    <m/>
    <s v=""/>
    <m/>
  </r>
  <r>
    <x v="2553"/>
    <m/>
    <x v="0"/>
    <s v="Z2.30'"/>
    <m/>
    <n v="5.0855335173981304"/>
    <d v="1899-12-30T00:00:00"/>
    <m/>
    <n v="36.125"/>
    <m/>
    <m/>
    <s v=""/>
    <m/>
  </r>
  <r>
    <x v="2554"/>
    <m/>
    <x v="0"/>
    <m/>
    <m/>
    <s v=""/>
    <s v=""/>
    <m/>
    <s v="0"/>
    <m/>
    <m/>
    <s v=""/>
    <m/>
  </r>
  <r>
    <x v="2555"/>
    <m/>
    <x v="0"/>
    <s v="Z2.60'"/>
    <m/>
    <n v="10.171067034796261"/>
    <d v="1899-12-30T00:00:00"/>
    <m/>
    <n v="72.25"/>
    <m/>
    <m/>
    <s v=""/>
    <m/>
  </r>
  <r>
    <x v="2556"/>
    <m/>
    <x v="0"/>
    <m/>
    <m/>
    <s v=""/>
    <s v=""/>
    <m/>
    <s v="0"/>
    <m/>
    <m/>
    <s v=""/>
    <m/>
  </r>
  <r>
    <x v="2557"/>
    <m/>
    <x v="0"/>
    <s v="Z2.60'"/>
    <m/>
    <n v="10.171067034796261"/>
    <d v="1899-12-30T00:00:00"/>
    <m/>
    <n v="72.25"/>
    <m/>
    <m/>
    <s v=""/>
    <m/>
  </r>
  <r>
    <x v="2558"/>
    <m/>
    <x v="0"/>
    <m/>
    <m/>
    <s v=""/>
    <s v=""/>
    <m/>
    <s v="0"/>
    <m/>
    <m/>
    <s v=""/>
    <m/>
  </r>
  <r>
    <x v="2559"/>
    <m/>
    <x v="0"/>
    <m/>
    <m/>
    <s v=""/>
    <s v=""/>
    <m/>
    <s v="0"/>
    <m/>
    <m/>
    <s v=""/>
    <m/>
  </r>
  <r>
    <x v="2560"/>
    <m/>
    <x v="0"/>
    <m/>
    <m/>
    <s v=""/>
    <s v=""/>
    <m/>
    <s v="0"/>
    <m/>
    <m/>
    <s v=""/>
    <m/>
  </r>
  <r>
    <x v="2561"/>
    <m/>
    <x v="0"/>
    <m/>
    <m/>
    <s v=""/>
    <s v=""/>
    <m/>
    <s v="0"/>
    <m/>
    <m/>
    <s v=""/>
    <m/>
  </r>
  <r>
    <x v="2562"/>
    <m/>
    <x v="0"/>
    <m/>
    <m/>
    <s v=""/>
    <s v=""/>
    <m/>
    <s v="0"/>
    <m/>
    <m/>
    <s v=""/>
    <m/>
  </r>
  <r>
    <x v="2563"/>
    <m/>
    <x v="0"/>
    <m/>
    <m/>
    <m/>
    <m/>
    <m/>
    <m/>
    <m/>
    <m/>
    <m/>
    <m/>
  </r>
  <r>
    <x v="2563"/>
    <m/>
    <x v="0"/>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5">
  <r>
    <m/>
    <m/>
    <x v="0"/>
    <d v="1899-12-30T00:56:09"/>
    <n v="10.9"/>
    <d v="1899-12-30T00:05:09"/>
    <n v="159"/>
    <m/>
    <n v="231"/>
    <m/>
    <n v="1.0499716675661088"/>
    <x v="0"/>
  </r>
  <r>
    <m/>
    <m/>
    <x v="1"/>
    <m/>
    <m/>
    <m/>
    <m/>
    <m/>
    <m/>
    <m/>
    <s v=""/>
    <x v="0"/>
  </r>
  <r>
    <m/>
    <m/>
    <x v="1"/>
    <m/>
    <m/>
    <m/>
    <m/>
    <m/>
    <m/>
    <m/>
    <s v=""/>
    <x v="0"/>
  </r>
  <r>
    <m/>
    <m/>
    <x v="1"/>
    <m/>
    <m/>
    <m/>
    <m/>
    <m/>
    <m/>
    <m/>
    <s v=""/>
    <x v="0"/>
  </r>
  <r>
    <m/>
    <m/>
    <x v="1"/>
    <m/>
    <m/>
    <m/>
    <m/>
    <m/>
    <m/>
    <m/>
    <s v=""/>
    <x v="0"/>
  </r>
  <r>
    <m/>
    <m/>
    <x v="1"/>
    <m/>
    <m/>
    <m/>
    <m/>
    <m/>
    <m/>
    <m/>
    <s v=""/>
    <x v="0"/>
  </r>
  <r>
    <s v="001"/>
    <m/>
    <x v="2"/>
    <d v="1899-12-30T00:40:46"/>
    <n v="7.18"/>
    <d v="1899-12-30T00:05:41"/>
    <n v="140"/>
    <n v="42"/>
    <n v="210"/>
    <m/>
    <n v="1.0520645584138948"/>
    <x v="1"/>
  </r>
  <r>
    <m/>
    <m/>
    <x v="1"/>
    <m/>
    <m/>
    <m/>
    <m/>
    <m/>
    <m/>
    <m/>
    <s v=""/>
    <x v="0"/>
  </r>
  <r>
    <s v="002"/>
    <m/>
    <x v="2"/>
    <d v="1899-12-30T00:43:26"/>
    <n v="7.72"/>
    <d v="1899-12-30T00:05:38"/>
    <n v="141"/>
    <n v="46"/>
    <n v="215"/>
    <m/>
    <n v="1.0673003657421514"/>
    <x v="1"/>
  </r>
  <r>
    <m/>
    <m/>
    <x v="1"/>
    <m/>
    <m/>
    <m/>
    <m/>
    <m/>
    <m/>
    <m/>
    <s v=""/>
    <x v="0"/>
  </r>
  <r>
    <m/>
    <m/>
    <x v="1"/>
    <m/>
    <m/>
    <m/>
    <m/>
    <m/>
    <m/>
    <m/>
    <s v=""/>
    <x v="0"/>
  </r>
  <r>
    <m/>
    <m/>
    <x v="1"/>
    <m/>
    <m/>
    <m/>
    <m/>
    <m/>
    <m/>
    <m/>
    <s v=""/>
    <x v="0"/>
  </r>
  <r>
    <m/>
    <m/>
    <x v="1"/>
    <m/>
    <m/>
    <m/>
    <m/>
    <m/>
    <m/>
    <m/>
    <s v=""/>
    <x v="0"/>
  </r>
  <r>
    <s v="003"/>
    <m/>
    <x v="0"/>
    <d v="1899-12-30T00:51:42"/>
    <n v="10.02"/>
    <d v="1899-12-30T00:05:10"/>
    <n v="152"/>
    <n v="66"/>
    <n v="235"/>
    <m/>
    <n v="1.0698749559704122"/>
    <x v="2"/>
  </r>
  <r>
    <s v="004"/>
    <m/>
    <x v="2"/>
    <d v="1899-12-30T01:26:33"/>
    <n v="15.15"/>
    <d v="1899-12-30T00:05:43"/>
    <n v="141"/>
    <n v="91"/>
    <n v="213"/>
    <m/>
    <n v="1.0736837507280139"/>
    <x v="2"/>
  </r>
  <r>
    <m/>
    <m/>
    <x v="1"/>
    <m/>
    <m/>
    <m/>
    <m/>
    <m/>
    <m/>
    <m/>
    <s v=""/>
    <x v="0"/>
  </r>
  <r>
    <s v="005"/>
    <m/>
    <x v="2"/>
    <d v="1899-12-30T01:01:49"/>
    <n v="9.9"/>
    <d v="1899-12-30T00:06:15"/>
    <n v="134"/>
    <n v="56"/>
    <n v="195"/>
    <m/>
    <n v="1.0743538324420676"/>
    <x v="2"/>
  </r>
  <r>
    <m/>
    <m/>
    <x v="1"/>
    <m/>
    <m/>
    <m/>
    <m/>
    <m/>
    <m/>
    <m/>
    <s v=""/>
    <x v="0"/>
  </r>
  <r>
    <s v="006"/>
    <m/>
    <x v="3"/>
    <d v="1899-12-30T01:00:15"/>
    <n v="10.88"/>
    <d v="1899-12-30T00:05:32"/>
    <n v="147"/>
    <n v="71"/>
    <n v="214"/>
    <m/>
    <n v="1.0456450043252594"/>
    <x v="1"/>
  </r>
  <r>
    <s v="007"/>
    <m/>
    <x v="2"/>
    <d v="1899-12-30T01:09:03"/>
    <n v="12.2"/>
    <d v="1899-12-30T00:05:40"/>
    <n v="137"/>
    <n v="70"/>
    <n v="210"/>
    <m/>
    <n v="1.0487343297974927"/>
    <x v="2"/>
  </r>
  <r>
    <m/>
    <m/>
    <x v="1"/>
    <m/>
    <m/>
    <m/>
    <m/>
    <m/>
    <m/>
    <m/>
    <s v=""/>
    <x v="0"/>
  </r>
  <r>
    <s v="008"/>
    <s v="n"/>
    <x v="4"/>
    <d v="1899-12-30T00:44:14"/>
    <n v="10"/>
    <d v="1899-12-30T00:04:25"/>
    <n v="161"/>
    <n v="66"/>
    <n v="255"/>
    <m/>
    <n v="0.99524999999999986"/>
    <x v="1"/>
  </r>
  <r>
    <m/>
    <m/>
    <x v="1"/>
    <m/>
    <m/>
    <m/>
    <m/>
    <m/>
    <m/>
    <m/>
    <s v=""/>
    <x v="0"/>
  </r>
  <r>
    <s v="009"/>
    <m/>
    <x v="2"/>
    <d v="1899-12-30T01:25:35"/>
    <n v="15.01"/>
    <d v="1899-12-30T00:05:42"/>
    <n v="137"/>
    <n v="84"/>
    <n v="208"/>
    <m/>
    <n v="1.0464396284829722"/>
    <x v="2"/>
  </r>
  <r>
    <s v="010"/>
    <m/>
    <x v="5"/>
    <d v="1899-12-30T00:59:49"/>
    <n v="11.57"/>
    <d v="1899-12-30T00:05:10"/>
    <n v="153"/>
    <n v="74"/>
    <n v="223"/>
    <m/>
    <n v="1.0172695612384972"/>
    <x v="1"/>
  </r>
  <r>
    <s v="011"/>
    <m/>
    <x v="0"/>
    <d v="1899-12-30T01:04:01"/>
    <n v="12.07"/>
    <d v="1899-12-30T00:05:18"/>
    <n v="145"/>
    <n v="73"/>
    <n v="223"/>
    <m/>
    <n v="1.0435973975339929"/>
    <x v="3"/>
  </r>
  <r>
    <m/>
    <m/>
    <x v="1"/>
    <m/>
    <m/>
    <m/>
    <m/>
    <m/>
    <m/>
    <m/>
    <s v=""/>
    <x v="0"/>
  </r>
  <r>
    <s v="012"/>
    <m/>
    <x v="6"/>
    <d v="1899-12-30T00:46:28"/>
    <n v="10.07"/>
    <d v="1899-12-30T00:04:37"/>
    <n v="151"/>
    <n v="64"/>
    <n v="247"/>
    <m/>
    <n v="1.0056603773584907"/>
    <x v="1"/>
  </r>
  <r>
    <s v="013"/>
    <m/>
    <x v="2"/>
    <d v="1899-12-30T01:13:41"/>
    <n v="12.06"/>
    <d v="1899-12-30T00:06:07"/>
    <n v="123"/>
    <n v="65"/>
    <n v="193"/>
    <m/>
    <n v="1.0404509316164279"/>
    <x v="2"/>
  </r>
  <r>
    <m/>
    <m/>
    <x v="1"/>
    <m/>
    <m/>
    <m/>
    <m/>
    <m/>
    <m/>
    <m/>
    <s v=""/>
    <x v="0"/>
  </r>
  <r>
    <s v="014"/>
    <m/>
    <x v="2"/>
    <d v="1899-12-30T01:24:34"/>
    <n v="15.21"/>
    <d v="1899-12-30T00:05:34"/>
    <n v="138"/>
    <n v="87"/>
    <n v="212"/>
    <m/>
    <n v="1.0400355803070735"/>
    <x v="2"/>
  </r>
  <r>
    <s v="015"/>
    <m/>
    <x v="0"/>
    <d v="1899-12-30T01:00:03"/>
    <n v="11.45"/>
    <d v="1899-12-30T00:05:15"/>
    <n v="146"/>
    <n v="72"/>
    <n v="230"/>
    <m/>
    <n v="1.0643334189571023"/>
    <x v="3"/>
  </r>
  <r>
    <m/>
    <m/>
    <x v="1"/>
    <m/>
    <m/>
    <m/>
    <m/>
    <m/>
    <m/>
    <m/>
    <s v=""/>
    <x v="0"/>
  </r>
  <r>
    <s v="016"/>
    <m/>
    <x v="0"/>
    <d v="1899-12-30T01:05:17"/>
    <n v="13.3"/>
    <d v="1899-12-30T00:04:55"/>
    <n v="148"/>
    <n v="83"/>
    <n v="236"/>
    <m/>
    <n v="1.0221273772666961"/>
    <x v="3"/>
  </r>
  <r>
    <s v="017"/>
    <m/>
    <x v="2"/>
    <d v="1899-12-30T02:08:09"/>
    <n v="22.07"/>
    <d v="1899-12-30T00:05:48"/>
    <n v="130"/>
    <n v="123"/>
    <n v="202"/>
    <m/>
    <n v="1.03492763666409"/>
    <x v="2"/>
  </r>
  <r>
    <s v="018"/>
    <m/>
    <x v="2"/>
    <d v="1899-12-30T01:01:51"/>
    <n v="8.01"/>
    <d v="1899-12-30T00:07:43"/>
    <n v="108"/>
    <n v="33"/>
    <n v="153"/>
    <m/>
    <n v="1.0424157303370787"/>
    <x v="2"/>
  </r>
  <r>
    <s v="019"/>
    <m/>
    <x v="7"/>
    <d v="1899-12-30T00:50:04"/>
    <n v="9.1999999999999993"/>
    <d v="1899-12-30T00:05:27"/>
    <n v="139"/>
    <n v="61"/>
    <n v="206"/>
    <m/>
    <n v="0.98916879795396451"/>
    <x v="1"/>
  </r>
  <r>
    <m/>
    <m/>
    <x v="1"/>
    <m/>
    <m/>
    <m/>
    <m/>
    <m/>
    <m/>
    <m/>
    <s v=""/>
    <x v="0"/>
  </r>
  <r>
    <s v="020"/>
    <m/>
    <x v="2"/>
    <d v="1899-12-30T00:56:09"/>
    <n v="10.06"/>
    <d v="1899-12-30T00:05:35"/>
    <n v="135"/>
    <n v="57"/>
    <n v="211"/>
    <m/>
    <n v="1.0391460063150506"/>
    <x v="2"/>
  </r>
  <r>
    <s v="021"/>
    <m/>
    <x v="0"/>
    <d v="1899-12-30T01:07:28"/>
    <n v="11.91"/>
    <d v="1899-12-30T00:05:40"/>
    <n v="135"/>
    <n v="74"/>
    <n v="212"/>
    <m/>
    <n v="1.0596335259544623"/>
    <x v="3"/>
  </r>
  <r>
    <m/>
    <m/>
    <x v="1"/>
    <m/>
    <m/>
    <m/>
    <m/>
    <m/>
    <m/>
    <m/>
    <s v=""/>
    <x v="0"/>
  </r>
  <r>
    <s v="022"/>
    <m/>
    <x v="6"/>
    <d v="1899-12-30T00:44:30"/>
    <n v="10.199999999999999"/>
    <d v="1899-12-30T00:04:22"/>
    <n v="159"/>
    <n v="68"/>
    <n v="259"/>
    <m/>
    <n v="0.99701557093425597"/>
    <x v="1"/>
  </r>
  <r>
    <m/>
    <m/>
    <x v="1"/>
    <m/>
    <m/>
    <m/>
    <m/>
    <m/>
    <m/>
    <m/>
    <s v=""/>
    <x v="0"/>
  </r>
  <r>
    <s v="023"/>
    <m/>
    <x v="0"/>
    <d v="1899-12-30T01:24:25"/>
    <n v="16.2"/>
    <d v="1899-12-30T00:05:13"/>
    <n v="142"/>
    <n v="104"/>
    <n v="232"/>
    <m/>
    <n v="1.0667029774872914"/>
    <x v="3"/>
  </r>
  <r>
    <m/>
    <m/>
    <x v="1"/>
    <m/>
    <m/>
    <m/>
    <m/>
    <m/>
    <m/>
    <m/>
    <s v=""/>
    <x v="0"/>
  </r>
  <r>
    <s v="024"/>
    <m/>
    <x v="3"/>
    <d v="1899-12-30T01:22:50"/>
    <n v="15.23"/>
    <d v="1899-12-30T00:05:26"/>
    <n v="143"/>
    <n v="98"/>
    <n v="206"/>
    <m/>
    <n v="0.98858676760264197"/>
    <x v="1"/>
  </r>
  <r>
    <s v="025"/>
    <m/>
    <x v="2"/>
    <d v="1899-12-30T01:01:33"/>
    <n v="9.77"/>
    <d v="1899-12-30T00:06:18"/>
    <n v="125"/>
    <n v="53"/>
    <n v="192"/>
    <m/>
    <n v="1.0672767776506715"/>
    <x v="2"/>
  </r>
  <r>
    <m/>
    <m/>
    <x v="1"/>
    <m/>
    <m/>
    <m/>
    <m/>
    <m/>
    <m/>
    <m/>
    <s v=""/>
    <x v="0"/>
  </r>
  <r>
    <s v="026"/>
    <m/>
    <x v="0"/>
    <d v="1899-12-30T01:04:29"/>
    <n v="12.1"/>
    <d v="1899-12-30T00:05:20"/>
    <n v="138"/>
    <n v="75"/>
    <n v="225"/>
    <m/>
    <n v="1.0580031599416626"/>
    <x v="3"/>
  </r>
  <r>
    <s v="027"/>
    <m/>
    <x v="2"/>
    <d v="1899-12-30T02:09:25"/>
    <n v="22.81"/>
    <d v="1899-12-30T00:05:40"/>
    <n v="134"/>
    <n v="134"/>
    <n v="209"/>
    <m/>
    <n v="1.046293550300436"/>
    <x v="2"/>
  </r>
  <r>
    <s v="028"/>
    <m/>
    <x v="2"/>
    <d v="1899-12-30T00:57:29"/>
    <n v="9.92"/>
    <d v="1899-12-30T00:05:48"/>
    <n v="128"/>
    <n v="57"/>
    <n v="208"/>
    <m/>
    <n v="1.0634962049335861"/>
    <x v="2"/>
  </r>
  <r>
    <m/>
    <m/>
    <x v="1"/>
    <m/>
    <m/>
    <m/>
    <m/>
    <m/>
    <m/>
    <m/>
    <s v=""/>
    <x v="0"/>
  </r>
  <r>
    <m/>
    <m/>
    <x v="1"/>
    <m/>
    <m/>
    <m/>
    <m/>
    <m/>
    <m/>
    <m/>
    <s v=""/>
    <x v="0"/>
  </r>
  <r>
    <s v="029"/>
    <m/>
    <x v="5"/>
    <d v="1899-12-30T00:58:44"/>
    <n v="11.3"/>
    <d v="1899-12-30T00:05:12"/>
    <n v="146"/>
    <n v="75"/>
    <n v="231"/>
    <m/>
    <n v="1.0594013534617386"/>
    <x v="3"/>
  </r>
  <r>
    <s v="030"/>
    <m/>
    <x v="2"/>
    <d v="1899-12-30T00:53:28"/>
    <n v="9.1300000000000008"/>
    <d v="1899-12-30T00:05:51"/>
    <n v="127"/>
    <n v="54"/>
    <n v="206"/>
    <m/>
    <n v="1.064441724115714"/>
    <x v="2"/>
  </r>
  <r>
    <m/>
    <m/>
    <x v="1"/>
    <m/>
    <m/>
    <m/>
    <m/>
    <m/>
    <m/>
    <m/>
    <s v=""/>
    <x v="0"/>
  </r>
  <r>
    <s v="031"/>
    <s v="n"/>
    <x v="4"/>
    <d v="1899-12-30T00:58:58"/>
    <n v="13.61"/>
    <d v="1899-12-30T00:04:20"/>
    <n v="164"/>
    <n v="98"/>
    <n v="266"/>
    <m/>
    <n v="1.0168863724769848"/>
    <x v="1"/>
  </r>
  <r>
    <m/>
    <m/>
    <x v="1"/>
    <m/>
    <m/>
    <m/>
    <m/>
    <m/>
    <m/>
    <m/>
    <s v=""/>
    <x v="0"/>
  </r>
  <r>
    <s v="032"/>
    <m/>
    <x v="2"/>
    <d v="1899-12-30T00:55:19"/>
    <n v="9.6199999999999992"/>
    <d v="1899-12-30T00:05:45"/>
    <n v="129"/>
    <n v="55"/>
    <n v="210"/>
    <m/>
    <n v="1.065473278708573"/>
    <x v="2"/>
  </r>
  <r>
    <s v="033"/>
    <m/>
    <x v="8"/>
    <d v="1899-12-30T00:39:39"/>
    <n v="8.14"/>
    <d v="1899-12-30T00:04:52"/>
    <n v="145"/>
    <n v="56"/>
    <n v="231"/>
    <m/>
    <n v="0.99282591414944332"/>
    <x v="1"/>
  </r>
  <r>
    <s v="034"/>
    <m/>
    <x v="2"/>
    <d v="1899-12-30T01:07:28"/>
    <n v="11.6"/>
    <d v="1899-12-30T00:05:49"/>
    <n v="128"/>
    <n v="70"/>
    <n v="213"/>
    <m/>
    <n v="1.0930831643002028"/>
    <x v="3"/>
  </r>
  <r>
    <s v="035"/>
    <m/>
    <x v="5"/>
    <d v="1899-12-30T01:03:23"/>
    <n v="13.8"/>
    <d v="1899-12-30T00:04:36"/>
    <n v="152"/>
    <n v="92"/>
    <n v="245"/>
    <m/>
    <n v="0.99289748508098896"/>
    <x v="1"/>
  </r>
  <r>
    <s v="036"/>
    <m/>
    <x v="2"/>
    <d v="1899-12-30T00:46:44"/>
    <n v="8.32"/>
    <d v="1899-12-30T00:05:37"/>
    <n v="131"/>
    <n v="48"/>
    <n v="214"/>
    <m/>
    <n v="1.0606193438914024"/>
    <x v="3"/>
  </r>
  <r>
    <s v="037"/>
    <m/>
    <x v="2"/>
    <d v="1899-12-30T02:21:44"/>
    <n v="23.67"/>
    <d v="1899-12-30T00:05:59"/>
    <n v="136"/>
    <n v="132"/>
    <n v="200"/>
    <m/>
    <n v="1.056686299361316"/>
    <x v="2"/>
  </r>
  <r>
    <m/>
    <m/>
    <x v="1"/>
    <m/>
    <m/>
    <m/>
    <m/>
    <m/>
    <m/>
    <m/>
    <s v=""/>
    <x v="0"/>
  </r>
  <r>
    <s v="038"/>
    <m/>
    <x v="9"/>
    <d v="1899-12-30T00:56:30"/>
    <n v="12.6"/>
    <d v="1899-12-30T00:04:29"/>
    <n v="155"/>
    <n v="87"/>
    <n v="252"/>
    <m/>
    <n v="0.99705882352941189"/>
    <x v="1"/>
  </r>
  <r>
    <s v="039"/>
    <m/>
    <x v="2"/>
    <d v="1899-12-30T01:04:43"/>
    <n v="11.42"/>
    <d v="1899-12-30T00:05:40"/>
    <n v="134"/>
    <n v="67"/>
    <n v="216"/>
    <m/>
    <n v="1.0800556299577622"/>
    <x v="2"/>
  </r>
  <r>
    <s v="040"/>
    <m/>
    <x v="0"/>
    <d v="1899-12-30T01:05:58"/>
    <n v="12.46"/>
    <d v="1899-12-30T00:05:18"/>
    <n v="135"/>
    <n v="80"/>
    <n v="232"/>
    <m/>
    <n v="1.0837692380322914"/>
    <x v="3"/>
  </r>
  <r>
    <m/>
    <m/>
    <x v="1"/>
    <m/>
    <m/>
    <m/>
    <m/>
    <m/>
    <m/>
    <m/>
    <s v=""/>
    <x v="0"/>
  </r>
  <r>
    <s v="041"/>
    <m/>
    <x v="6"/>
    <d v="1899-12-30T01:00:29"/>
    <n v="14.03"/>
    <d v="1899-12-30T00:04:19"/>
    <n v="159"/>
    <n v="96"/>
    <n v="267"/>
    <m/>
    <n v="1.0156209383254369"/>
    <x v="1"/>
  </r>
  <r>
    <m/>
    <m/>
    <x v="1"/>
    <m/>
    <m/>
    <m/>
    <m/>
    <m/>
    <m/>
    <m/>
    <s v=""/>
    <x v="0"/>
  </r>
  <r>
    <s v="042"/>
    <m/>
    <x v="10"/>
    <d v="1899-12-30T01:58:11"/>
    <n v="20.91"/>
    <d v="1899-12-30T00:05:39"/>
    <n v="137"/>
    <n v="120"/>
    <n v="213"/>
    <m/>
    <n v="1.0622436492531016"/>
    <x v="2"/>
  </r>
  <r>
    <m/>
    <m/>
    <x v="1"/>
    <m/>
    <s v=""/>
    <m/>
    <m/>
    <m/>
    <m/>
    <m/>
    <s v=""/>
    <x v="0"/>
  </r>
  <r>
    <s v="043"/>
    <m/>
    <x v="11"/>
    <d v="1899-12-30T00:42:18"/>
    <n v="7.46"/>
    <d v="1899-12-30T00:05:40"/>
    <n v="128"/>
    <n v="42"/>
    <n v="210"/>
    <m/>
    <n v="1.0506623560952533"/>
    <x v="3"/>
  </r>
  <r>
    <m/>
    <m/>
    <x v="1"/>
    <m/>
    <s v=""/>
    <m/>
    <m/>
    <m/>
    <m/>
    <m/>
    <s v=""/>
    <x v="0"/>
  </r>
  <r>
    <s v="044"/>
    <m/>
    <x v="12"/>
    <d v="1899-12-30T00:42:34"/>
    <n v="8.15"/>
    <d v="1899-12-30T00:05:13"/>
    <n v="140"/>
    <n v="56"/>
    <n v="223"/>
    <m/>
    <n v="1.0276831468783831"/>
    <x v="1"/>
  </r>
  <r>
    <m/>
    <m/>
    <x v="1"/>
    <m/>
    <s v=""/>
    <m/>
    <m/>
    <m/>
    <m/>
    <m/>
    <s v=""/>
    <x v="0"/>
  </r>
  <r>
    <s v="045"/>
    <m/>
    <x v="13"/>
    <d v="1899-12-30T00:39:47"/>
    <n v="7.28"/>
    <d v="1899-12-30T00:05:28"/>
    <n v="135"/>
    <n v="46"/>
    <n v="219"/>
    <m/>
    <n v="1.0559813348416289"/>
    <x v="3"/>
  </r>
  <r>
    <m/>
    <m/>
    <x v="1"/>
    <m/>
    <s v=""/>
    <m/>
    <m/>
    <m/>
    <m/>
    <m/>
    <s v=""/>
    <x v="0"/>
  </r>
  <r>
    <s v="046"/>
    <m/>
    <x v="12"/>
    <d v="1899-12-30T00:41:27"/>
    <n v="8.1300000000000008"/>
    <d v="1899-12-30T00:05:06"/>
    <n v="143"/>
    <n v="52"/>
    <n v="232"/>
    <m/>
    <n v="1.0436726720208378"/>
    <x v="3"/>
  </r>
  <r>
    <m/>
    <m/>
    <x v="1"/>
    <m/>
    <s v=""/>
    <m/>
    <m/>
    <m/>
    <m/>
    <m/>
    <s v=""/>
    <x v="0"/>
  </r>
  <r>
    <s v="047"/>
    <m/>
    <x v="14"/>
    <d v="1899-12-30T00:38:42"/>
    <n v="6.66"/>
    <d v="1899-12-30T00:05:49"/>
    <n v="124"/>
    <n v="38"/>
    <n v="209"/>
    <m/>
    <n v="1.0715818759936409"/>
    <x v="3"/>
  </r>
  <r>
    <m/>
    <m/>
    <x v="1"/>
    <m/>
    <s v=""/>
    <m/>
    <m/>
    <m/>
    <m/>
    <m/>
    <s v=""/>
    <x v="0"/>
  </r>
  <r>
    <s v="048"/>
    <m/>
    <x v="15"/>
    <d v="1899-12-30T00:33:16"/>
    <n v="4.51"/>
    <d v="1899-12-30T00:07:23"/>
    <n v="113"/>
    <n v="20"/>
    <n v="161"/>
    <m/>
    <n v="1.047854441111256"/>
    <x v="3"/>
  </r>
  <r>
    <s v="049"/>
    <s v="n"/>
    <x v="4"/>
    <d v="1899-12-30T01:32:38"/>
    <n v="21.094999999999999"/>
    <d v="1899-12-30T00:04:23"/>
    <n v="157"/>
    <n v="149"/>
    <n v="267"/>
    <m/>
    <n v="1.0345258843048952"/>
    <x v="1"/>
  </r>
  <r>
    <m/>
    <m/>
    <x v="1"/>
    <m/>
    <s v=""/>
    <m/>
    <m/>
    <m/>
    <m/>
    <m/>
    <s v=""/>
    <x v="0"/>
  </r>
  <r>
    <s v="050"/>
    <m/>
    <x v="15"/>
    <d v="1899-12-30T00:29:29"/>
    <n v="4.7"/>
    <d v="1899-12-30T00:06:16"/>
    <m/>
    <n v="17"/>
    <n v="192"/>
    <m/>
    <n v="1.0627284105131416"/>
    <x v="3"/>
  </r>
  <r>
    <m/>
    <m/>
    <x v="1"/>
    <m/>
    <m/>
    <m/>
    <m/>
    <m/>
    <m/>
    <m/>
    <s v=""/>
    <x v="0"/>
  </r>
  <r>
    <m/>
    <m/>
    <x v="1"/>
    <m/>
    <s v=""/>
    <m/>
    <m/>
    <m/>
    <m/>
    <m/>
    <s v=""/>
    <x v="0"/>
  </r>
  <r>
    <s v="051"/>
    <m/>
    <x v="0"/>
    <d v="1899-12-30T01:06:54"/>
    <n v="12.3"/>
    <d v="1899-12-30T00:05:26"/>
    <m/>
    <n v="74"/>
    <n v="222"/>
    <m/>
    <n v="1.065408895265423"/>
    <x v="3"/>
  </r>
  <r>
    <s v="052"/>
    <m/>
    <x v="16"/>
    <d v="1899-12-30T00:51:46"/>
    <n v="9.77"/>
    <d v="1899-12-30T00:05:18"/>
    <m/>
    <n v="56"/>
    <n v="221"/>
    <m/>
    <n v="1.0332139201637665"/>
    <x v="3"/>
  </r>
  <r>
    <m/>
    <m/>
    <x v="1"/>
    <m/>
    <m/>
    <m/>
    <m/>
    <m/>
    <m/>
    <m/>
    <s v=""/>
    <x v="0"/>
  </r>
  <r>
    <s v="053"/>
    <m/>
    <x v="0"/>
    <d v="1899-12-30T00:54:08"/>
    <n v="10.4"/>
    <d v="1899-12-30T00:05:12"/>
    <m/>
    <n v="63"/>
    <n v="230"/>
    <m/>
    <n v="1.0563348416289593"/>
    <x v="3"/>
  </r>
  <r>
    <s v="054"/>
    <m/>
    <x v="15"/>
    <d v="1899-12-30T00:29:30"/>
    <n v="3.97"/>
    <d v="1899-12-30T00:07:26"/>
    <n v="113"/>
    <n v="17"/>
    <n v="161"/>
    <m/>
    <n v="1.0556008297525556"/>
    <x v="3"/>
  </r>
  <r>
    <s v="055"/>
    <m/>
    <x v="16"/>
    <d v="1899-12-30T00:45:04"/>
    <n v="8.27"/>
    <d v="1899-12-30T00:05:27"/>
    <n v="136"/>
    <n v="48"/>
    <n v="219"/>
    <m/>
    <n v="1.0530194181662995"/>
    <x v="3"/>
  </r>
  <r>
    <m/>
    <m/>
    <x v="1"/>
    <m/>
    <s v=""/>
    <m/>
    <m/>
    <m/>
    <m/>
    <m/>
    <s v=""/>
    <x v="0"/>
  </r>
  <r>
    <m/>
    <m/>
    <x v="1"/>
    <m/>
    <s v=""/>
    <m/>
    <m/>
    <m/>
    <m/>
    <m/>
    <s v=""/>
    <x v="0"/>
  </r>
  <r>
    <s v="056"/>
    <m/>
    <x v="0"/>
    <d v="1899-12-30T01:00:22"/>
    <n v="11.4"/>
    <d v="1899-12-30T00:05:18"/>
    <n v="141"/>
    <n v="72"/>
    <n v="229"/>
    <m/>
    <n v="1.0699664602683179"/>
    <x v="3"/>
  </r>
  <r>
    <s v="057"/>
    <m/>
    <x v="16"/>
    <d v="1899-12-30T01:03:15"/>
    <n v="10.3"/>
    <d v="1899-12-30T00:06:08"/>
    <n v="127"/>
    <n v="56"/>
    <m/>
    <m/>
    <m/>
    <x v="3"/>
  </r>
  <r>
    <m/>
    <m/>
    <x v="1"/>
    <m/>
    <s v=""/>
    <m/>
    <m/>
    <m/>
    <m/>
    <m/>
    <s v=""/>
    <x v="0"/>
  </r>
  <r>
    <s v="058"/>
    <m/>
    <x v="16"/>
    <d v="1899-12-30T01:02:34"/>
    <n v="10.199999999999999"/>
    <d v="1899-12-30T00:06:08"/>
    <n v="124"/>
    <n v="56"/>
    <n v="194"/>
    <m/>
    <n v="1.0499942329873129"/>
    <x v="3"/>
  </r>
  <r>
    <s v="059"/>
    <m/>
    <x v="0"/>
    <d v="1899-12-30T00:38:09"/>
    <n v="7.22"/>
    <d v="1899-12-30T00:05:17"/>
    <n v="139"/>
    <n v="45"/>
    <n v="225"/>
    <m/>
    <n v="1.0490162131334531"/>
    <x v="3"/>
  </r>
  <r>
    <m/>
    <m/>
    <x v="1"/>
    <m/>
    <s v=""/>
    <m/>
    <m/>
    <m/>
    <m/>
    <m/>
    <s v=""/>
    <x v="0"/>
  </r>
  <r>
    <s v="060"/>
    <m/>
    <x v="16"/>
    <d v="1899-12-30T01:04:24"/>
    <n v="11.39"/>
    <d v="1899-12-30T00:05:39"/>
    <n v="129"/>
    <n v="65"/>
    <n v="213"/>
    <m/>
    <n v="1.0626349222744409"/>
    <x v="3"/>
  </r>
  <r>
    <m/>
    <m/>
    <x v="1"/>
    <m/>
    <s v=""/>
    <m/>
    <m/>
    <m/>
    <m/>
    <m/>
    <s v=""/>
    <x v="0"/>
  </r>
  <r>
    <s v="061"/>
    <m/>
    <x v="17"/>
    <d v="1899-12-30T00:59:58"/>
    <n v="9.39"/>
    <d v="1899-12-30T00:06:23"/>
    <n v="135"/>
    <n v="49"/>
    <n v="189"/>
    <m/>
    <n v="1.0649971809810186"/>
    <x v="3"/>
  </r>
  <r>
    <m/>
    <m/>
    <x v="1"/>
    <m/>
    <s v=""/>
    <m/>
    <m/>
    <m/>
    <m/>
    <m/>
    <s v=""/>
    <x v="0"/>
  </r>
  <r>
    <m/>
    <m/>
    <x v="1"/>
    <m/>
    <s v=""/>
    <m/>
    <m/>
    <m/>
    <m/>
    <m/>
    <s v=""/>
    <x v="0"/>
  </r>
  <r>
    <s v="062"/>
    <m/>
    <x v="17"/>
    <d v="1899-12-30T01:06:50"/>
    <n v="11.92"/>
    <d v="1899-12-30T00:05:36"/>
    <n v="133"/>
    <n v="67"/>
    <n v="213"/>
    <m/>
    <n v="1.0537529609159102"/>
    <x v="4"/>
  </r>
  <r>
    <s v="063"/>
    <m/>
    <x v="14"/>
    <d v="1899-12-30T00:37:59"/>
    <n v="6.01"/>
    <d v="1899-12-30T00:06:19"/>
    <n v="122"/>
    <n v="30"/>
    <m/>
    <m/>
    <m/>
    <x v="4"/>
  </r>
  <r>
    <m/>
    <m/>
    <x v="1"/>
    <m/>
    <s v=""/>
    <m/>
    <m/>
    <m/>
    <m/>
    <m/>
    <s v=""/>
    <x v="0"/>
  </r>
  <r>
    <m/>
    <m/>
    <x v="1"/>
    <m/>
    <s v=""/>
    <m/>
    <m/>
    <m/>
    <m/>
    <m/>
    <s v=""/>
    <x v="0"/>
  </r>
  <r>
    <s v="064"/>
    <m/>
    <x v="16"/>
    <d v="1899-12-30T00:55:53"/>
    <n v="10.44"/>
    <d v="1899-12-30T00:05:21"/>
    <n v="146"/>
    <n v="62"/>
    <m/>
    <m/>
    <m/>
    <x v="3"/>
  </r>
  <r>
    <m/>
    <m/>
    <x v="1"/>
    <m/>
    <s v=""/>
    <m/>
    <m/>
    <m/>
    <m/>
    <m/>
    <s v=""/>
    <x v="0"/>
  </r>
  <r>
    <m/>
    <m/>
    <x v="1"/>
    <m/>
    <s v=""/>
    <m/>
    <m/>
    <m/>
    <m/>
    <m/>
    <s v=""/>
    <x v="0"/>
  </r>
  <r>
    <s v="065"/>
    <m/>
    <x v="16"/>
    <d v="1899-12-30T01:02:33"/>
    <n v="11.46"/>
    <d v="1899-12-30T00:05:27"/>
    <n v="134"/>
    <n v="65"/>
    <n v="216"/>
    <m/>
    <n v="1.0402525408068986"/>
    <x v="3"/>
  </r>
  <r>
    <s v="066"/>
    <m/>
    <x v="14"/>
    <d v="1899-12-30T00:21:54"/>
    <n v="4.01"/>
    <d v="1899-12-30T00:05:28"/>
    <n v="124"/>
    <n v="23"/>
    <n v="218"/>
    <m/>
    <n v="1.0505060877218717"/>
    <x v="3"/>
  </r>
  <r>
    <s v="067"/>
    <m/>
    <x v="18"/>
    <d v="1899-12-30T00:38:49"/>
    <n v="9.18"/>
    <d v="1899-12-30T00:04:14"/>
    <n v="163"/>
    <n v="63"/>
    <n v="279"/>
    <m/>
    <n v="1.0409313725490197"/>
    <x v="3"/>
  </r>
  <r>
    <s v="068"/>
    <m/>
    <x v="16"/>
    <d v="1899-12-30T00:56:33"/>
    <n v="9.83"/>
    <d v="1899-12-30T00:05:45"/>
    <n v="127"/>
    <n v="55"/>
    <n v="209"/>
    <m/>
    <n v="1.0608835497576445"/>
    <x v="3"/>
  </r>
  <r>
    <m/>
    <m/>
    <x v="1"/>
    <m/>
    <s v=""/>
    <m/>
    <m/>
    <m/>
    <m/>
    <m/>
    <s v=""/>
    <x v="0"/>
  </r>
  <r>
    <m/>
    <m/>
    <x v="1"/>
    <m/>
    <s v=""/>
    <m/>
    <m/>
    <m/>
    <m/>
    <m/>
    <s v=""/>
    <x v="0"/>
  </r>
  <r>
    <s v="069"/>
    <m/>
    <x v="16"/>
    <d v="1899-12-30T01:03:32"/>
    <n v="11.4"/>
    <d v="1899-12-30T00:05:34"/>
    <n v="129"/>
    <n v="66"/>
    <n v="216"/>
    <m/>
    <n v="1.0621671826625385"/>
    <x v="4"/>
  </r>
  <r>
    <s v="070"/>
    <m/>
    <x v="16"/>
    <d v="1899-12-30T00:51:39"/>
    <n v="8.91"/>
    <d v="1899-12-30T00:05:48"/>
    <n v="127"/>
    <n v="51"/>
    <n v="211"/>
    <m/>
    <n v="1.0792384630619927"/>
    <x v="3"/>
  </r>
  <r>
    <m/>
    <m/>
    <x v="1"/>
    <m/>
    <s v=""/>
    <m/>
    <m/>
    <m/>
    <m/>
    <m/>
    <s v=""/>
    <x v="0"/>
  </r>
  <r>
    <s v="071"/>
    <m/>
    <x v="16"/>
    <d v="1899-12-30T01:02:21"/>
    <n v="11.2"/>
    <d v="1899-12-30T00:05:34"/>
    <n v="135"/>
    <n v="72"/>
    <m/>
    <m/>
    <m/>
    <x v="3"/>
  </r>
  <r>
    <m/>
    <m/>
    <x v="1"/>
    <m/>
    <s v=""/>
    <m/>
    <m/>
    <m/>
    <m/>
    <m/>
    <s v=""/>
    <x v="0"/>
  </r>
  <r>
    <s v="072"/>
    <m/>
    <x v="19"/>
    <d v="1899-12-30T00:54:26"/>
    <n v="10.3"/>
    <d v="1899-12-30T00:05:17"/>
    <n v="140"/>
    <n v="66"/>
    <n v="226"/>
    <m/>
    <n v="1.0538492290119932"/>
    <x v="4"/>
  </r>
  <r>
    <m/>
    <m/>
    <x v="1"/>
    <m/>
    <s v=""/>
    <m/>
    <m/>
    <m/>
    <m/>
    <m/>
    <s v=""/>
    <x v="0"/>
  </r>
  <r>
    <s v="073"/>
    <m/>
    <x v="16"/>
    <d v="1899-12-30T01:23:07"/>
    <n v="14.9"/>
    <d v="1899-12-30T00:05:35"/>
    <n v="140"/>
    <n v="87"/>
    <n v="217"/>
    <m/>
    <n v="1.0680803395183578"/>
    <x v="3"/>
  </r>
  <r>
    <s v="074"/>
    <m/>
    <x v="16"/>
    <d v="1899-12-30T00:42:43"/>
    <n v="7.54"/>
    <d v="1899-12-30T00:05:40"/>
    <n v="138"/>
    <n v="43"/>
    <n v="212"/>
    <m/>
    <n v="1.0597519113746297"/>
    <x v="3"/>
  </r>
  <r>
    <m/>
    <m/>
    <x v="1"/>
    <m/>
    <s v=""/>
    <m/>
    <m/>
    <m/>
    <m/>
    <m/>
    <s v=""/>
    <x v="0"/>
  </r>
  <r>
    <s v="075"/>
    <m/>
    <x v="16"/>
    <d v="1899-12-30T00:48:09"/>
    <n v="8.3800000000000008"/>
    <d v="1899-12-30T00:05:45"/>
    <n v="134"/>
    <n v="49"/>
    <n v="212"/>
    <m/>
    <n v="1.0748069633581356"/>
    <x v="3"/>
  </r>
  <r>
    <m/>
    <m/>
    <x v="1"/>
    <m/>
    <s v=""/>
    <m/>
    <m/>
    <m/>
    <m/>
    <m/>
    <s v=""/>
    <x v="0"/>
  </r>
  <r>
    <m/>
    <m/>
    <x v="1"/>
    <m/>
    <s v=""/>
    <m/>
    <m/>
    <m/>
    <m/>
    <m/>
    <s v=""/>
    <x v="0"/>
  </r>
  <r>
    <s v="076"/>
    <m/>
    <x v="16"/>
    <d v="1899-12-30T00:45:56"/>
    <n v="8.4"/>
    <d v="1899-12-30T00:05:28"/>
    <n v="137"/>
    <n v="52"/>
    <m/>
    <m/>
    <m/>
    <x v="3"/>
  </r>
  <r>
    <m/>
    <m/>
    <x v="1"/>
    <m/>
    <s v=""/>
    <m/>
    <m/>
    <m/>
    <m/>
    <m/>
    <m/>
    <x v="0"/>
  </r>
  <r>
    <s v="077"/>
    <m/>
    <x v="16"/>
    <d v="1899-12-30T00:53:58"/>
    <n v="9.6999999999999993"/>
    <d v="1899-12-30T00:05:34"/>
    <n v="151"/>
    <n v="63"/>
    <m/>
    <m/>
    <m/>
    <x v="3"/>
  </r>
  <r>
    <m/>
    <m/>
    <x v="1"/>
    <m/>
    <s v=""/>
    <m/>
    <m/>
    <m/>
    <m/>
    <m/>
    <s v=""/>
    <x v="0"/>
  </r>
  <r>
    <m/>
    <m/>
    <x v="1"/>
    <m/>
    <s v=""/>
    <m/>
    <m/>
    <m/>
    <m/>
    <m/>
    <s v=""/>
    <x v="0"/>
  </r>
  <r>
    <m/>
    <m/>
    <x v="1"/>
    <m/>
    <s v=""/>
    <m/>
    <m/>
    <m/>
    <m/>
    <m/>
    <s v=""/>
    <x v="0"/>
  </r>
  <r>
    <m/>
    <m/>
    <x v="1"/>
    <m/>
    <s v=""/>
    <m/>
    <m/>
    <m/>
    <m/>
    <m/>
    <s v=""/>
    <x v="0"/>
  </r>
  <r>
    <m/>
    <m/>
    <x v="1"/>
    <m/>
    <s v=""/>
    <m/>
    <m/>
    <m/>
    <m/>
    <m/>
    <s v=""/>
    <x v="0"/>
  </r>
  <r>
    <m/>
    <m/>
    <x v="1"/>
    <m/>
    <s v=""/>
    <m/>
    <m/>
    <m/>
    <m/>
    <m/>
    <s v=""/>
    <x v="0"/>
  </r>
  <r>
    <m/>
    <m/>
    <x v="1"/>
    <m/>
    <s v=""/>
    <m/>
    <m/>
    <m/>
    <m/>
    <m/>
    <s v=""/>
    <x v="0"/>
  </r>
  <r>
    <m/>
    <m/>
    <x v="1"/>
    <m/>
    <s v=""/>
    <m/>
    <m/>
    <m/>
    <m/>
    <m/>
    <s v=""/>
    <x v="0"/>
  </r>
  <r>
    <s v="078"/>
    <m/>
    <x v="11"/>
    <d v="1899-12-30T00:49:11"/>
    <n v="8.43"/>
    <d v="1899-12-30T00:05:50"/>
    <n v="136"/>
    <n v="48"/>
    <n v="211"/>
    <m/>
    <n v="1.0862134533528716"/>
    <x v="3"/>
  </r>
  <r>
    <m/>
    <m/>
    <x v="1"/>
    <m/>
    <s v=""/>
    <m/>
    <m/>
    <m/>
    <m/>
    <m/>
    <s v=""/>
    <x v="0"/>
  </r>
  <r>
    <s v="079"/>
    <m/>
    <x v="16"/>
    <d v="1899-12-30T00:58:07"/>
    <n v="10.199999999999999"/>
    <d v="1899-12-30T00:05:42"/>
    <n v="144"/>
    <n v="59"/>
    <n v="215"/>
    <m/>
    <n v="1.080889561707036"/>
    <x v="3"/>
  </r>
  <r>
    <m/>
    <m/>
    <x v="1"/>
    <m/>
    <s v=""/>
    <m/>
    <m/>
    <m/>
    <m/>
    <m/>
    <s v=""/>
    <x v="0"/>
  </r>
  <r>
    <s v="080"/>
    <m/>
    <x v="16"/>
    <d v="1899-12-30T01:03:45"/>
    <n v="11.4"/>
    <d v="1899-12-30T00:05:36"/>
    <n v="130"/>
    <n v="67"/>
    <n v="217"/>
    <m/>
    <n v="1.0707236842105265"/>
    <x v="4"/>
  </r>
  <r>
    <s v="081"/>
    <m/>
    <x v="16"/>
    <d v="1899-12-30T01:02:38"/>
    <n v="11.4"/>
    <d v="1899-12-30T00:05:30"/>
    <n v="139"/>
    <n v="67"/>
    <n v="218"/>
    <m/>
    <n v="1.0568163054695563"/>
    <x v="4"/>
  </r>
  <r>
    <m/>
    <m/>
    <x v="1"/>
    <m/>
    <s v=""/>
    <m/>
    <m/>
    <m/>
    <m/>
    <m/>
    <s v=""/>
    <x v="0"/>
  </r>
  <r>
    <s v="082"/>
    <m/>
    <x v="16"/>
    <d v="1899-12-30T01:04:29"/>
    <n v="11.28"/>
    <d v="1899-12-30T00:05:43"/>
    <n v="136"/>
    <n v="66"/>
    <n v="214"/>
    <m/>
    <n v="1.0794300166875259"/>
    <x v="4"/>
  </r>
  <r>
    <m/>
    <m/>
    <x v="1"/>
    <m/>
    <s v=""/>
    <m/>
    <m/>
    <m/>
    <m/>
    <m/>
    <s v=""/>
    <x v="0"/>
  </r>
  <r>
    <m/>
    <m/>
    <x v="1"/>
    <m/>
    <s v=""/>
    <m/>
    <m/>
    <m/>
    <m/>
    <m/>
    <s v=""/>
    <x v="0"/>
  </r>
  <r>
    <m/>
    <m/>
    <x v="1"/>
    <m/>
    <s v=""/>
    <m/>
    <m/>
    <m/>
    <m/>
    <m/>
    <s v=""/>
    <x v="0"/>
  </r>
  <r>
    <s v="083"/>
    <m/>
    <x v="16"/>
    <d v="1899-12-30T00:52:43"/>
    <n v="9.3699999999999992"/>
    <d v="1899-12-30T00:05:38"/>
    <n v="134"/>
    <n v="55"/>
    <n v="217"/>
    <m/>
    <n v="1.0772349174461677"/>
    <x v="4"/>
  </r>
  <r>
    <s v="084"/>
    <m/>
    <x v="17"/>
    <d v="1899-12-30T01:11:25"/>
    <n v="12.9"/>
    <d v="1899-12-30T00:05:32"/>
    <n v="136"/>
    <n v="74"/>
    <n v="217"/>
    <m/>
    <n v="1.0600148198814408"/>
    <x v="4"/>
  </r>
  <r>
    <m/>
    <m/>
    <x v="1"/>
    <m/>
    <s v=""/>
    <m/>
    <m/>
    <m/>
    <m/>
    <m/>
    <s v=""/>
    <x v="0"/>
  </r>
  <r>
    <s v="085"/>
    <m/>
    <x v="20"/>
    <d v="1899-12-30T01:08:05"/>
    <n v="14.3"/>
    <d v="1899-12-30T00:04:46"/>
    <n v="157"/>
    <n v="91"/>
    <n v="242"/>
    <m/>
    <n v="1.0166289592760178"/>
    <x v="1"/>
  </r>
  <r>
    <m/>
    <m/>
    <x v="1"/>
    <m/>
    <s v=""/>
    <m/>
    <m/>
    <m/>
    <m/>
    <m/>
    <s v=""/>
    <x v="0"/>
  </r>
  <r>
    <s v="086"/>
    <m/>
    <x v="21"/>
    <d v="1899-12-30T01:17:49"/>
    <n v="13.26"/>
    <d v="1899-12-30T00:05:52"/>
    <n v="132"/>
    <n v="72"/>
    <n v="205"/>
    <m/>
    <n v="1.0615129535977286"/>
    <x v="4"/>
  </r>
  <r>
    <m/>
    <m/>
    <x v="1"/>
    <m/>
    <s v=""/>
    <m/>
    <m/>
    <m/>
    <m/>
    <m/>
    <s v=""/>
    <x v="0"/>
  </r>
  <r>
    <s v="087"/>
    <m/>
    <x v="22"/>
    <d v="1899-12-30T00:35:25"/>
    <n v="5.86"/>
    <d v="1899-12-30T00:06:03"/>
    <n v="146"/>
    <n v="39"/>
    <n v="196"/>
    <m/>
    <n v="1.045221843003413"/>
    <x v="1"/>
  </r>
  <r>
    <s v="088"/>
    <m/>
    <x v="16"/>
    <d v="1899-12-30T00:51:39"/>
    <n v="9.83"/>
    <d v="1899-12-30T00:05:15"/>
    <n v="141"/>
    <n v="60"/>
    <n v="228"/>
    <m/>
    <n v="1.0570462569564958"/>
    <x v="0"/>
  </r>
  <r>
    <m/>
    <m/>
    <x v="1"/>
    <m/>
    <s v=""/>
    <m/>
    <m/>
    <m/>
    <m/>
    <m/>
    <s v=""/>
    <x v="0"/>
  </r>
  <r>
    <s v="089"/>
    <m/>
    <x v="17"/>
    <d v="1899-12-30T01:09:18"/>
    <n v="12.1"/>
    <d v="1899-12-30T00:05:44"/>
    <n v="127"/>
    <n v="70"/>
    <n v="212"/>
    <m/>
    <n v="1.0713368983957219"/>
    <x v="4"/>
  </r>
  <r>
    <s v="090"/>
    <m/>
    <x v="16"/>
    <d v="1899-12-30T01:07:41"/>
    <n v="11.5"/>
    <d v="1899-12-30T00:05:53"/>
    <n v="146"/>
    <n v="64"/>
    <n v="206"/>
    <m/>
    <n v="1.0697774936061382"/>
    <x v="4"/>
  </r>
  <r>
    <s v="091"/>
    <m/>
    <x v="19"/>
    <d v="1899-12-30T01:33:45"/>
    <n v="16.600000000000001"/>
    <d v="1899-12-30T00:05:39"/>
    <n v="147"/>
    <n v="89"/>
    <n v="207"/>
    <m/>
    <n v="1.0315157689581858"/>
    <x v="2"/>
  </r>
  <r>
    <m/>
    <m/>
    <x v="1"/>
    <m/>
    <s v=""/>
    <m/>
    <m/>
    <m/>
    <m/>
    <m/>
    <s v=""/>
    <x v="0"/>
  </r>
  <r>
    <s v="092"/>
    <m/>
    <x v="13"/>
    <d v="1899-12-30T00:39:49"/>
    <n v="6.85"/>
    <d v="1899-12-30T00:05:49"/>
    <n v="143"/>
    <n v="46"/>
    <n v="199"/>
    <m/>
    <n v="1.0206333190210393"/>
    <x v="1"/>
  </r>
  <r>
    <s v="093"/>
    <m/>
    <x v="16"/>
    <d v="1899-12-30T01:04:06"/>
    <n v="11.3"/>
    <d v="1899-12-30T00:05:40"/>
    <n v="130"/>
    <n v="64"/>
    <n v="211"/>
    <m/>
    <n v="1.0560983862571576"/>
    <x v="4"/>
  </r>
  <r>
    <s v="094"/>
    <m/>
    <x v="23"/>
    <d v="1899-12-30T00:40:41"/>
    <n v="7.81"/>
    <d v="1899-12-30T00:05:13"/>
    <n v="149"/>
    <n v="51"/>
    <n v="221"/>
    <m/>
    <n v="1.0157810499359796"/>
    <x v="1"/>
  </r>
  <r>
    <s v="095"/>
    <m/>
    <x v="16"/>
    <d v="1899-12-30T01:03:31"/>
    <n v="11.3"/>
    <d v="1899-12-30T00:05:37"/>
    <n v="127"/>
    <n v="64"/>
    <n v="214"/>
    <m/>
    <n v="1.0613664757938572"/>
    <x v="4"/>
  </r>
  <r>
    <m/>
    <m/>
    <x v="1"/>
    <m/>
    <s v=""/>
    <m/>
    <m/>
    <m/>
    <m/>
    <m/>
    <s v=""/>
    <x v="0"/>
  </r>
  <r>
    <s v="096"/>
    <m/>
    <x v="24"/>
    <d v="1899-12-30T01:41:53"/>
    <n v="18.07"/>
    <d v="1899-12-30T00:05:38"/>
    <n v="136"/>
    <n v="101"/>
    <n v="212"/>
    <m/>
    <n v="1.0546860249357073"/>
    <x v="2"/>
  </r>
  <r>
    <m/>
    <m/>
    <x v="1"/>
    <m/>
    <s v=""/>
    <m/>
    <m/>
    <m/>
    <m/>
    <m/>
    <s v=""/>
    <x v="0"/>
  </r>
  <r>
    <s v="097"/>
    <m/>
    <x v="25"/>
    <d v="1899-12-30T00:51:31"/>
    <n v="9.1199999999999992"/>
    <d v="1899-12-30T00:05:39"/>
    <n v="147"/>
    <n v="59"/>
    <n v="202"/>
    <m/>
    <n v="1.0068079205366356"/>
    <x v="1"/>
  </r>
  <r>
    <s v="098"/>
    <m/>
    <x v="16"/>
    <d v="1899-12-30T01:05:04"/>
    <n v="11.4"/>
    <d v="1899-12-30T00:05:42"/>
    <n v="131"/>
    <n v="63"/>
    <n v="209"/>
    <m/>
    <n v="1.0525490196078433"/>
    <x v="4"/>
  </r>
  <r>
    <m/>
    <m/>
    <x v="1"/>
    <m/>
    <s v=""/>
    <m/>
    <m/>
    <m/>
    <m/>
    <m/>
    <s v=""/>
    <x v="0"/>
  </r>
  <r>
    <s v="099"/>
    <m/>
    <x v="26"/>
    <d v="1899-12-30T00:49:50"/>
    <n v="9.02"/>
    <d v="1899-12-30T00:05:31"/>
    <n v="151"/>
    <n v="60"/>
    <n v="213"/>
    <m/>
    <n v="1.0383298552236859"/>
    <x v="1"/>
  </r>
  <r>
    <s v="100"/>
    <m/>
    <x v="16"/>
    <d v="1899-12-30T01:04:42"/>
    <n v="11.4"/>
    <d v="1899-12-30T00:05:41"/>
    <n v="134"/>
    <n v="65"/>
    <n v="213"/>
    <m/>
    <n v="1.0666486068111456"/>
    <x v="4"/>
  </r>
  <r>
    <s v="101"/>
    <m/>
    <x v="10"/>
    <d v="1899-12-30T01:53:14"/>
    <n v="19.95"/>
    <d v="1899-12-30T00:05:41"/>
    <n v="136"/>
    <n v="114"/>
    <n v="214"/>
    <m/>
    <n v="1.0717352204039512"/>
    <x v="2"/>
  </r>
  <r>
    <m/>
    <m/>
    <x v="1"/>
    <m/>
    <s v=""/>
    <m/>
    <m/>
    <m/>
    <m/>
    <m/>
    <s v=""/>
    <x v="0"/>
  </r>
  <r>
    <s v="102"/>
    <m/>
    <x v="27"/>
    <d v="1899-12-30T00:59:37"/>
    <n v="10.8"/>
    <d v="1899-12-30T00:05:31"/>
    <n v="149"/>
    <n v="73"/>
    <n v="210"/>
    <m/>
    <n v="1.0228349673202615"/>
    <x v="4"/>
  </r>
  <r>
    <s v="103"/>
    <m/>
    <x v="16"/>
    <d v="1899-12-30T01:03:31"/>
    <n v="11.4"/>
    <d v="1899-12-30T00:05:34"/>
    <n v="129"/>
    <n v="66"/>
    <n v="216"/>
    <m/>
    <n v="1.0618885448916409"/>
    <x v="4"/>
  </r>
  <r>
    <m/>
    <m/>
    <x v="1"/>
    <m/>
    <s v=""/>
    <s v=""/>
    <m/>
    <m/>
    <m/>
    <m/>
    <s v=""/>
    <x v="0"/>
  </r>
  <r>
    <s v="104"/>
    <m/>
    <x v="28"/>
    <d v="1899-12-30T00:57:23"/>
    <n v="10.8"/>
    <d v="1899-12-30T00:05:19"/>
    <n v="146"/>
    <n v="72"/>
    <n v="218"/>
    <m/>
    <n v="1.0220234204793028"/>
    <x v="1"/>
  </r>
  <r>
    <s v="105"/>
    <m/>
    <x v="16"/>
    <d v="1899-12-30T01:04:12"/>
    <n v="11.42"/>
    <d v="1899-12-30T00:05:37"/>
    <n v="132"/>
    <n v="66"/>
    <n v="215"/>
    <m/>
    <n v="1.0664726486041001"/>
    <x v="4"/>
  </r>
  <r>
    <s v="106"/>
    <m/>
    <x v="29"/>
    <d v="1899-12-30T01:55:59"/>
    <n v="21.4"/>
    <d v="1899-12-30T00:05:25"/>
    <n v="139"/>
    <n v="129"/>
    <m/>
    <m/>
    <m/>
    <x v="2"/>
  </r>
  <r>
    <m/>
    <m/>
    <x v="1"/>
    <m/>
    <s v=""/>
    <s v=""/>
    <m/>
    <m/>
    <m/>
    <m/>
    <s v=""/>
    <x v="0"/>
  </r>
  <r>
    <s v="107"/>
    <m/>
    <x v="16"/>
    <d v="1899-12-30T01:05:44"/>
    <n v="11.38"/>
    <d v="1899-12-30T00:05:47"/>
    <n v="120"/>
    <n v="64"/>
    <n v="210"/>
    <m/>
    <n v="1.0702987697715292"/>
    <x v="4"/>
  </r>
  <r>
    <s v="108"/>
    <m/>
    <x v="16"/>
    <d v="1899-12-30T01:05:11"/>
    <n v="11.36"/>
    <d v="1899-12-30T00:05:44"/>
    <n v="118"/>
    <n v="64"/>
    <n v="211"/>
    <m/>
    <n v="1.0682749067937036"/>
    <x v="4"/>
  </r>
  <r>
    <m/>
    <m/>
    <x v="1"/>
    <m/>
    <s v=""/>
    <s v=""/>
    <m/>
    <m/>
    <m/>
    <m/>
    <s v=""/>
    <x v="0"/>
  </r>
  <r>
    <s v="109"/>
    <m/>
    <x v="16"/>
    <d v="1899-12-30T01:05:44"/>
    <n v="11.49"/>
    <d v="1899-12-30T00:05:43"/>
    <n v="133"/>
    <n v="65"/>
    <n v="211"/>
    <m/>
    <n v="1.065100087032202"/>
    <x v="4"/>
  </r>
  <r>
    <m/>
    <m/>
    <x v="1"/>
    <m/>
    <s v=""/>
    <s v=""/>
    <m/>
    <m/>
    <m/>
    <m/>
    <s v=""/>
    <x v="0"/>
  </r>
  <r>
    <s v="110"/>
    <m/>
    <x v="21"/>
    <d v="1899-12-30T01:24:32"/>
    <n v="15.1"/>
    <d v="1899-12-30T00:05:36"/>
    <n v="131"/>
    <n v="85"/>
    <n v="214"/>
    <m/>
    <n v="1.0570783015192833"/>
    <x v="5"/>
  </r>
  <r>
    <m/>
    <m/>
    <x v="1"/>
    <m/>
    <s v=""/>
    <s v=""/>
    <m/>
    <m/>
    <m/>
    <m/>
    <s v=""/>
    <x v="0"/>
  </r>
  <r>
    <s v="111"/>
    <m/>
    <x v="30"/>
    <d v="1899-12-30T01:02:55"/>
    <n v="12.2"/>
    <d v="1899-12-30T00:05:09"/>
    <n v="148"/>
    <n v="83"/>
    <n v="225"/>
    <m/>
    <n v="1.0238367888138862"/>
    <x v="5"/>
  </r>
  <r>
    <s v="112"/>
    <m/>
    <x v="16"/>
    <d v="1899-12-30T01:04:38"/>
    <n v="11.37"/>
    <d v="1899-12-30T00:05:41"/>
    <n v="129"/>
    <n v="64"/>
    <n v="212"/>
    <m/>
    <n v="1.0633452325521242"/>
    <x v="4"/>
  </r>
  <r>
    <m/>
    <m/>
    <x v="1"/>
    <m/>
    <s v=""/>
    <s v=""/>
    <m/>
    <m/>
    <m/>
    <m/>
    <s v=""/>
    <x v="0"/>
  </r>
  <r>
    <s v="113"/>
    <m/>
    <x v="31"/>
    <d v="1899-12-30T01:08:46"/>
    <n v="13.46"/>
    <d v="1899-12-30T00:05:07"/>
    <n v="149"/>
    <n v="88"/>
    <m/>
    <m/>
    <m/>
    <x v="5"/>
  </r>
  <r>
    <s v="114"/>
    <m/>
    <x v="16"/>
    <d v="1899-12-30T01:03:17"/>
    <n v="11.21"/>
    <d v="1899-12-30T00:05:39"/>
    <n v="130"/>
    <n v="63"/>
    <n v="212"/>
    <m/>
    <n v="1.0559951723776038"/>
    <x v="4"/>
  </r>
  <r>
    <s v="115"/>
    <m/>
    <x v="24"/>
    <d v="1899-12-30T01:44:41"/>
    <n v="18.8"/>
    <d v="1899-12-30T00:05:34"/>
    <n v="134"/>
    <n v="107"/>
    <n v="215"/>
    <m/>
    <n v="1.0563321339173968"/>
    <x v="2"/>
  </r>
  <r>
    <m/>
    <m/>
    <x v="1"/>
    <m/>
    <s v=""/>
    <s v=""/>
    <m/>
    <m/>
    <m/>
    <m/>
    <s v=""/>
    <x v="0"/>
  </r>
  <r>
    <s v="116"/>
    <m/>
    <x v="9"/>
    <d v="1899-12-30T01:13:28"/>
    <n v="14.47"/>
    <d v="1899-12-30T00:05:05"/>
    <n v="155"/>
    <n v="100"/>
    <n v="227"/>
    <m/>
    <n v="1.0169275173787553"/>
    <x v="5"/>
  </r>
  <r>
    <s v="117"/>
    <m/>
    <x v="16"/>
    <d v="1899-12-30T01:04:12"/>
    <n v="11.48"/>
    <d v="1899-12-30T00:05:36"/>
    <n v="127"/>
    <n v="65"/>
    <n v="214"/>
    <m/>
    <n v="1.0559643369542939"/>
    <x v="4"/>
  </r>
  <r>
    <s v="118"/>
    <m/>
    <x v="32"/>
    <d v="1899-12-30T01:07:36"/>
    <n v="13.73"/>
    <d v="1899-12-30T00:04:55"/>
    <n v="150"/>
    <n v="90"/>
    <n v="239"/>
    <m/>
    <n v="1.0382845636433744"/>
    <x v="5"/>
  </r>
  <r>
    <s v="119"/>
    <m/>
    <x v="16"/>
    <d v="1899-12-30T01:02:59"/>
    <n v="11.47"/>
    <d v="1899-12-30T00:05:29"/>
    <n v="129"/>
    <n v="66"/>
    <n v="218"/>
    <m/>
    <n v="1.05623621724191"/>
    <x v="4"/>
  </r>
  <r>
    <m/>
    <m/>
    <x v="1"/>
    <m/>
    <s v=""/>
    <s v=""/>
    <m/>
    <m/>
    <m/>
    <m/>
    <s v=""/>
    <x v="0"/>
  </r>
  <r>
    <s v="120"/>
    <m/>
    <x v="10"/>
    <d v="1899-12-30T01:56:46"/>
    <n v="20.84"/>
    <d v="1899-12-30T00:05:36"/>
    <n v="141"/>
    <n v="118"/>
    <n v="214"/>
    <m/>
    <n v="1.0579795641865191"/>
    <x v="2"/>
  </r>
  <r>
    <m/>
    <m/>
    <x v="1"/>
    <m/>
    <s v=""/>
    <s v=""/>
    <m/>
    <m/>
    <m/>
    <m/>
    <s v=""/>
    <x v="0"/>
  </r>
  <r>
    <s v="121"/>
    <m/>
    <x v="18"/>
    <d v="1899-12-30T01:11:04"/>
    <n v="13.87"/>
    <d v="1899-12-30T00:05:07"/>
    <n v="143"/>
    <n v="87"/>
    <n v="225"/>
    <m/>
    <n v="1.0172187115653759"/>
    <x v="5"/>
  </r>
  <r>
    <m/>
    <m/>
    <x v="1"/>
    <m/>
    <s v=""/>
    <s v=""/>
    <m/>
    <m/>
    <m/>
    <m/>
    <s v=""/>
    <x v="0"/>
  </r>
  <r>
    <s v="122"/>
    <m/>
    <x v="33"/>
    <d v="1899-12-30T01:35:24"/>
    <n v="18.84"/>
    <d v="1899-12-30T00:05:04"/>
    <n v="146"/>
    <n v="127"/>
    <n v="229"/>
    <m/>
    <n v="1.0231641064068939"/>
    <x v="5"/>
  </r>
  <r>
    <s v="123"/>
    <m/>
    <x v="16"/>
    <d v="1899-12-30T01:02:23"/>
    <n v="11.4"/>
    <d v="1899-12-30T00:05:28"/>
    <n v="129"/>
    <n v="67"/>
    <n v="220"/>
    <m/>
    <n v="1.0622549019607843"/>
    <x v="4"/>
  </r>
  <r>
    <m/>
    <m/>
    <x v="1"/>
    <m/>
    <s v=""/>
    <s v=""/>
    <m/>
    <m/>
    <m/>
    <m/>
    <s v=""/>
    <x v="0"/>
  </r>
  <r>
    <s v="124"/>
    <m/>
    <x v="29"/>
    <d v="1899-12-30T01:42:24"/>
    <n v="18.79"/>
    <d v="1899-12-30T00:05:27"/>
    <n v="142"/>
    <n v="111"/>
    <n v="221"/>
    <m/>
    <n v="1.0626929217668974"/>
    <x v="2"/>
  </r>
  <r>
    <m/>
    <m/>
    <x v="1"/>
    <m/>
    <s v=""/>
    <s v=""/>
    <m/>
    <m/>
    <m/>
    <m/>
    <s v=""/>
    <x v="0"/>
  </r>
  <r>
    <s v="125"/>
    <m/>
    <x v="16"/>
    <d v="1899-12-30T00:53:33"/>
    <n v="9.51"/>
    <d v="1899-12-30T00:05:38"/>
    <n v="124"/>
    <n v="55"/>
    <n v="215"/>
    <m/>
    <n v="1.0682176656151421"/>
    <x v="4"/>
  </r>
  <r>
    <s v="126"/>
    <m/>
    <x v="16"/>
    <d v="1899-12-30T00:53:50"/>
    <n v="9.5399999999999991"/>
    <d v="1899-12-30T00:05:39"/>
    <n v="122"/>
    <n v="54"/>
    <n v="214"/>
    <m/>
    <n v="1.0655136268343817"/>
    <x v="4"/>
  </r>
  <r>
    <m/>
    <m/>
    <x v="1"/>
    <m/>
    <s v=""/>
    <s v=""/>
    <m/>
    <m/>
    <m/>
    <m/>
    <s v=""/>
    <x v="0"/>
  </r>
  <r>
    <s v="127"/>
    <m/>
    <x v="0"/>
    <d v="1899-12-30T01:04:47"/>
    <n v="13.2"/>
    <d v="1899-12-30T00:04:54"/>
    <n v="140"/>
    <n v="87"/>
    <n v="243"/>
    <m/>
    <n v="1.0522961229946526"/>
    <x v="4"/>
  </r>
  <r>
    <s v="128"/>
    <m/>
    <x v="21"/>
    <d v="1899-12-30T01:20:42"/>
    <n v="14.4"/>
    <d v="1899-12-30T00:05:36"/>
    <n v="129"/>
    <n v="82"/>
    <n v="215"/>
    <m/>
    <n v="1.063143382352941"/>
    <x v="4"/>
  </r>
  <r>
    <m/>
    <m/>
    <x v="1"/>
    <m/>
    <m/>
    <m/>
    <m/>
    <m/>
    <m/>
    <m/>
    <m/>
    <x v="0"/>
  </r>
  <r>
    <m/>
    <m/>
    <x v="1"/>
    <m/>
    <s v=""/>
    <s v=""/>
    <m/>
    <m/>
    <m/>
    <m/>
    <s v=""/>
    <x v="0"/>
  </r>
  <r>
    <s v="129"/>
    <m/>
    <x v="18"/>
    <d v="1899-12-30T00:48:26"/>
    <n v="10.199999999999999"/>
    <d v="1899-12-30T00:04:45"/>
    <n v="154"/>
    <n v="64"/>
    <n v="243"/>
    <m/>
    <n v="1.0333011413520634"/>
    <x v="5"/>
  </r>
  <r>
    <s v="130"/>
    <m/>
    <x v="16"/>
    <d v="1899-12-30T01:07:03"/>
    <n v="11.64"/>
    <d v="1899-12-30T00:05:46"/>
    <n v="131"/>
    <n v="64"/>
    <n v="207"/>
    <m/>
    <n v="1.0678065856285581"/>
    <x v="4"/>
  </r>
  <r>
    <s v="131"/>
    <m/>
    <x v="31"/>
    <d v="1899-12-30T00:55:12"/>
    <n v="11.91"/>
    <d v="1899-12-30T00:04:38"/>
    <n v="150"/>
    <n v="80"/>
    <n v="246"/>
    <m/>
    <n v="1.0210308658220235"/>
    <x v="5"/>
  </r>
  <r>
    <s v="132"/>
    <m/>
    <x v="16"/>
    <d v="1899-12-30T00:56:45"/>
    <n v="10.4"/>
    <d v="1899-12-30T00:05:27"/>
    <n v="122"/>
    <n v="57"/>
    <n v="215"/>
    <m/>
    <n v="1.0506242824339838"/>
    <x v="4"/>
  </r>
  <r>
    <m/>
    <m/>
    <x v="1"/>
    <m/>
    <s v=""/>
    <s v=""/>
    <m/>
    <m/>
    <m/>
    <m/>
    <s v=""/>
    <x v="0"/>
  </r>
  <r>
    <s v="133"/>
    <m/>
    <x v="24"/>
    <d v="1899-12-30T01:50:23"/>
    <n v="19.899999999999999"/>
    <d v="1899-12-30T00:05:33"/>
    <n v="141"/>
    <n v="112"/>
    <n v="213"/>
    <m/>
    <n v="1.0580507012675318"/>
    <x v="2"/>
  </r>
  <r>
    <m/>
    <m/>
    <x v="1"/>
    <m/>
    <s v=""/>
    <s v=""/>
    <m/>
    <m/>
    <m/>
    <m/>
    <s v=""/>
    <x v="0"/>
  </r>
  <r>
    <s v="134"/>
    <m/>
    <x v="32"/>
    <d v="1899-12-30T01:10:31"/>
    <n v="14.3"/>
    <d v="1899-12-30T00:04:56"/>
    <n v="141"/>
    <n v="93"/>
    <n v="234"/>
    <m/>
    <n v="1.0333514246947084"/>
    <x v="5"/>
  </r>
  <r>
    <s v="135"/>
    <m/>
    <x v="16"/>
    <d v="1899-12-30T01:05:15"/>
    <n v="11.6"/>
    <d v="1899-12-30T00:05:37"/>
    <n v="123"/>
    <n v="63"/>
    <n v="210"/>
    <m/>
    <n v="1.0578358208955225"/>
    <x v="4"/>
  </r>
  <r>
    <s v="136"/>
    <m/>
    <x v="20"/>
    <d v="1899-12-30T00:55:54"/>
    <n v="12.86"/>
    <d v="1899-12-30T00:04:21"/>
    <n v="155"/>
    <n v="85"/>
    <n v="262"/>
    <m/>
    <n v="1.0198788328961723"/>
    <x v="5"/>
  </r>
  <r>
    <s v="137"/>
    <m/>
    <x v="16"/>
    <d v="1899-12-30T01:04:35"/>
    <n v="11.6"/>
    <d v="1899-12-30T00:05:34"/>
    <n v="128"/>
    <n v="65"/>
    <n v="214"/>
    <m/>
    <n v="1.0669711785898095"/>
    <x v="4"/>
  </r>
  <r>
    <s v="138"/>
    <m/>
    <x v="10"/>
    <d v="1899-12-30T01:44:04"/>
    <n v="20"/>
    <d v="1899-12-30T00:05:12"/>
    <n v="135"/>
    <n v="119"/>
    <n v="225"/>
    <m/>
    <n v="1.0484328358208956"/>
    <x v="2"/>
  </r>
  <r>
    <m/>
    <m/>
    <x v="1"/>
    <m/>
    <s v=""/>
    <s v=""/>
    <m/>
    <m/>
    <m/>
    <m/>
    <s v=""/>
    <x v="0"/>
  </r>
  <r>
    <s v="139"/>
    <m/>
    <x v="34"/>
    <d v="1899-12-30T01:12:41"/>
    <n v="15"/>
    <d v="1899-12-30T00:04:51"/>
    <n v="149"/>
    <n v="100"/>
    <n v="236"/>
    <m/>
    <n v="1.0240756218905471"/>
    <x v="5"/>
  </r>
  <r>
    <m/>
    <m/>
    <x v="1"/>
    <m/>
    <s v=""/>
    <s v=""/>
    <m/>
    <m/>
    <m/>
    <m/>
    <s v=""/>
    <x v="0"/>
  </r>
  <r>
    <s v="140"/>
    <m/>
    <x v="16"/>
    <d v="1899-12-30T01:05:37"/>
    <n v="11.6"/>
    <d v="1899-12-30T00:05:39"/>
    <n v="127"/>
    <n v="64"/>
    <n v="210"/>
    <m/>
    <n v="1.0637802367472982"/>
    <x v="4"/>
  </r>
  <r>
    <m/>
    <m/>
    <x v="1"/>
    <m/>
    <s v=""/>
    <s v=""/>
    <m/>
    <m/>
    <m/>
    <m/>
    <s v=""/>
    <x v="0"/>
  </r>
  <r>
    <s v="141"/>
    <m/>
    <x v="35"/>
    <d v="1899-12-30T01:29:35"/>
    <n v="19.2"/>
    <d v="1899-12-30T00:04:40"/>
    <n v="151"/>
    <n v="125"/>
    <n v="246"/>
    <m/>
    <n v="1.0278684701492538"/>
    <x v="5"/>
  </r>
  <r>
    <s v="142"/>
    <m/>
    <x v="16"/>
    <d v="1899-12-30T00:55:04"/>
    <n v="10.1"/>
    <d v="1899-12-30T00:05:27"/>
    <n v="132"/>
    <n v="59"/>
    <n v="216"/>
    <m/>
    <n v="1.0546239101522095"/>
    <x v="4"/>
  </r>
  <r>
    <s v="143"/>
    <m/>
    <x v="29"/>
    <d v="1899-12-30T02:06:57"/>
    <n v="23.4"/>
    <d v="1899-12-30T00:05:26"/>
    <n v="134"/>
    <n v="131"/>
    <n v="216"/>
    <m/>
    <n v="1.049414466130884"/>
    <x v="4"/>
  </r>
  <r>
    <m/>
    <m/>
    <x v="1"/>
    <m/>
    <s v=""/>
    <s v=""/>
    <m/>
    <m/>
    <m/>
    <m/>
    <s v=""/>
    <x v="0"/>
  </r>
  <r>
    <m/>
    <m/>
    <x v="1"/>
    <m/>
    <s v=""/>
    <s v=""/>
    <m/>
    <m/>
    <m/>
    <m/>
    <s v=""/>
    <x v="0"/>
  </r>
  <r>
    <s v="144"/>
    <m/>
    <x v="16"/>
    <d v="1899-12-30T01:04:16"/>
    <n v="11.6"/>
    <d v="1899-12-30T00:05:32"/>
    <n v="126"/>
    <n v="64"/>
    <n v="213"/>
    <m/>
    <n v="1.0567781780751415"/>
    <x v="4"/>
  </r>
  <r>
    <m/>
    <m/>
    <x v="1"/>
    <m/>
    <s v=""/>
    <s v=""/>
    <m/>
    <m/>
    <m/>
    <m/>
    <s v=""/>
    <x v="0"/>
  </r>
  <r>
    <s v="145"/>
    <m/>
    <x v="12"/>
    <d v="1899-12-30T00:51:17"/>
    <n v="10"/>
    <d v="1899-12-30T00:05:08"/>
    <n v="140"/>
    <n v="63"/>
    <n v="227"/>
    <m/>
    <n v="1.0425059701492536"/>
    <x v="5"/>
  </r>
  <r>
    <s v="146"/>
    <m/>
    <x v="21"/>
    <d v="1899-12-30T01:05:06"/>
    <n v="11.6"/>
    <d v="1899-12-30T00:05:37"/>
    <n v="132"/>
    <n v="65"/>
    <n v="211"/>
    <m/>
    <n v="1.0604297478126608"/>
    <x v="4"/>
  </r>
  <r>
    <m/>
    <m/>
    <x v="1"/>
    <m/>
    <s v=""/>
    <s v=""/>
    <m/>
    <m/>
    <m/>
    <m/>
    <s v=""/>
    <x v="0"/>
  </r>
  <r>
    <s v="147"/>
    <m/>
    <x v="13"/>
    <d v="1899-12-30T00:29:36"/>
    <n v="5.4"/>
    <d v="1899-12-30T00:05:29"/>
    <n v="139"/>
    <n v="36"/>
    <n v="211"/>
    <m/>
    <n v="1.0357545605306799"/>
    <x v="5"/>
  </r>
  <r>
    <m/>
    <m/>
    <x v="1"/>
    <m/>
    <s v=""/>
    <s v=""/>
    <m/>
    <m/>
    <m/>
    <m/>
    <s v=""/>
    <x v="0"/>
  </r>
  <r>
    <s v="148"/>
    <m/>
    <x v="14"/>
    <d v="1899-12-30T00:40:20"/>
    <n v="6.9"/>
    <d v="1899-12-30T00:05:51"/>
    <n v="131"/>
    <n v="37"/>
    <n v="203"/>
    <m/>
    <n v="1.062643305213065"/>
    <x v="5"/>
  </r>
  <r>
    <m/>
    <m/>
    <x v="1"/>
    <m/>
    <s v=""/>
    <s v=""/>
    <m/>
    <m/>
    <m/>
    <m/>
    <s v=""/>
    <x v="0"/>
  </r>
  <r>
    <m/>
    <m/>
    <x v="1"/>
    <m/>
    <s v=""/>
    <s v=""/>
    <m/>
    <m/>
    <m/>
    <m/>
    <s v=""/>
    <x v="0"/>
  </r>
  <r>
    <s v="149"/>
    <s v="n"/>
    <x v="4"/>
    <d v="1899-12-30T01:32:27"/>
    <n v="21.094999999999999"/>
    <d v="1899-12-30T00:04:23"/>
    <n v="164"/>
    <n v="142"/>
    <n v="266"/>
    <m/>
    <n v="1.0439638734509487"/>
    <x v="5"/>
  </r>
  <r>
    <m/>
    <m/>
    <x v="1"/>
    <m/>
    <m/>
    <s v=""/>
    <m/>
    <m/>
    <m/>
    <m/>
    <s v=""/>
    <x v="0"/>
  </r>
  <r>
    <m/>
    <m/>
    <x v="1"/>
    <m/>
    <s v=""/>
    <s v=""/>
    <m/>
    <m/>
    <m/>
    <m/>
    <s v=""/>
    <x v="0"/>
  </r>
  <r>
    <m/>
    <m/>
    <x v="1"/>
    <m/>
    <s v=""/>
    <s v=""/>
    <m/>
    <m/>
    <m/>
    <m/>
    <s v=""/>
    <x v="0"/>
  </r>
  <r>
    <m/>
    <m/>
    <x v="1"/>
    <m/>
    <s v=""/>
    <s v=""/>
    <m/>
    <m/>
    <m/>
    <m/>
    <s v=""/>
    <x v="0"/>
  </r>
  <r>
    <s v="150"/>
    <m/>
    <x v="16"/>
    <d v="1899-12-30T01:04:00"/>
    <n v="11.51"/>
    <d v="1899-12-30T00:05:34"/>
    <n v="138"/>
    <n v="67"/>
    <n v="215"/>
    <m/>
    <n v="1.0705810651347953"/>
    <x v="4"/>
  </r>
  <r>
    <m/>
    <m/>
    <x v="1"/>
    <m/>
    <m/>
    <m/>
    <m/>
    <m/>
    <m/>
    <m/>
    <s v=""/>
    <x v="0"/>
  </r>
  <r>
    <s v="151"/>
    <m/>
    <x v="36"/>
    <d v="1899-12-30T00:54:18"/>
    <n v="9.9700000000000006"/>
    <d v="1899-12-30T00:05:27"/>
    <n v="135"/>
    <n v="64"/>
    <n v="221"/>
    <m/>
    <n v="1.0778873935238549"/>
    <x v="4"/>
  </r>
  <r>
    <m/>
    <m/>
    <x v="1"/>
    <m/>
    <s v=""/>
    <s v=""/>
    <m/>
    <m/>
    <m/>
    <m/>
    <s v=""/>
    <x v="0"/>
  </r>
  <r>
    <m/>
    <m/>
    <x v="1"/>
    <m/>
    <s v=""/>
    <s v=""/>
    <m/>
    <m/>
    <m/>
    <m/>
    <s v=""/>
    <x v="0"/>
  </r>
  <r>
    <m/>
    <m/>
    <x v="1"/>
    <m/>
    <s v=""/>
    <s v=""/>
    <m/>
    <m/>
    <m/>
    <m/>
    <s v=""/>
    <x v="0"/>
  </r>
  <r>
    <s v="152"/>
    <m/>
    <x v="16"/>
    <d v="1899-12-30T00:56:36"/>
    <n v="10.7"/>
    <d v="1899-12-30T00:05:17"/>
    <n v="137"/>
    <n v="65"/>
    <m/>
    <m/>
    <m/>
    <x v="4"/>
  </r>
  <r>
    <m/>
    <m/>
    <x v="1"/>
    <m/>
    <s v=""/>
    <s v=""/>
    <m/>
    <m/>
    <m/>
    <m/>
    <s v=""/>
    <x v="0"/>
  </r>
  <r>
    <s v="153"/>
    <m/>
    <x v="37"/>
    <d v="1899-12-30T00:53:17"/>
    <n v="9.56"/>
    <d v="1899-12-30T00:05:34"/>
    <n v="137"/>
    <n v="55"/>
    <n v="213"/>
    <m/>
    <n v="1.0631377630675074"/>
    <x v="4"/>
  </r>
  <r>
    <m/>
    <m/>
    <x v="1"/>
    <m/>
    <m/>
    <m/>
    <m/>
    <m/>
    <m/>
    <m/>
    <s v=""/>
    <x v="0"/>
  </r>
  <r>
    <m/>
    <m/>
    <x v="1"/>
    <m/>
    <s v=""/>
    <s v=""/>
    <m/>
    <m/>
    <m/>
    <m/>
    <s v=""/>
    <x v="0"/>
  </r>
  <r>
    <s v="154"/>
    <m/>
    <x v="37"/>
    <d v="1899-12-30T00:53:11"/>
    <n v="9.5500000000000007"/>
    <d v="1899-12-30T00:05:34"/>
    <n v="132"/>
    <n v="56"/>
    <n v="213"/>
    <m/>
    <n v="1.0622536531999687"/>
    <x v="4"/>
  </r>
  <r>
    <m/>
    <m/>
    <x v="1"/>
    <m/>
    <s v=""/>
    <s v=""/>
    <m/>
    <m/>
    <m/>
    <m/>
    <s v=""/>
    <x v="0"/>
  </r>
  <r>
    <s v="155"/>
    <m/>
    <x v="6"/>
    <d v="1899-12-30T00:35:21"/>
    <n v="7.77"/>
    <d v="1899-12-30T00:04:01"/>
    <m/>
    <n v="50"/>
    <n v="278"/>
    <m/>
    <n v="0.99997014925373129"/>
    <x v="5"/>
  </r>
  <r>
    <m/>
    <m/>
    <x v="1"/>
    <m/>
    <s v=""/>
    <s v=""/>
    <m/>
    <m/>
    <m/>
    <m/>
    <s v=""/>
    <x v="0"/>
  </r>
  <r>
    <s v="156"/>
    <m/>
    <x v="37"/>
    <d v="1899-12-30T00:55:50"/>
    <n v="10"/>
    <d v="1899-12-30T00:05:35"/>
    <n v="134"/>
    <n v="59"/>
    <n v="213"/>
    <m/>
    <n v="1.0650000000000002"/>
    <x v="4"/>
  </r>
  <r>
    <m/>
    <m/>
    <x v="1"/>
    <m/>
    <m/>
    <s v=""/>
    <m/>
    <m/>
    <m/>
    <m/>
    <s v=""/>
    <x v="0"/>
  </r>
  <r>
    <s v="157"/>
    <m/>
    <x v="36"/>
    <d v="1899-12-30T00:54:27"/>
    <n v="9.91"/>
    <d v="1899-12-30T00:05:30"/>
    <n v="138"/>
    <n v="65"/>
    <n v="221"/>
    <m/>
    <n v="1.0874090696868837"/>
    <x v="4"/>
  </r>
  <r>
    <m/>
    <m/>
    <x v="1"/>
    <m/>
    <s v=""/>
    <s v=""/>
    <m/>
    <m/>
    <m/>
    <m/>
    <s v=""/>
    <x v="0"/>
  </r>
  <r>
    <s v="158"/>
    <m/>
    <x v="11"/>
    <d v="1899-12-30T00:46:34"/>
    <n v="8.57"/>
    <d v="1899-12-30T00:05:26"/>
    <n v="137"/>
    <n v="52"/>
    <n v="220"/>
    <m/>
    <n v="1.0705167279123637"/>
    <x v="4"/>
  </r>
  <r>
    <m/>
    <m/>
    <x v="1"/>
    <m/>
    <s v=""/>
    <s v=""/>
    <m/>
    <m/>
    <m/>
    <m/>
    <s v=""/>
    <x v="0"/>
  </r>
  <r>
    <s v="159"/>
    <m/>
    <x v="16"/>
    <d v="1899-12-30T00:58:33"/>
    <n v="10.7"/>
    <d v="1899-12-30T00:05:28"/>
    <n v="140"/>
    <n v="64"/>
    <n v="217"/>
    <m/>
    <n v="1.063357511507881"/>
    <x v="2"/>
  </r>
  <r>
    <m/>
    <m/>
    <x v="1"/>
    <m/>
    <s v=""/>
    <s v=""/>
    <m/>
    <m/>
    <m/>
    <m/>
    <s v=""/>
    <x v="0"/>
  </r>
  <r>
    <s v="160"/>
    <m/>
    <x v="36"/>
    <d v="1899-12-30T00:50:01"/>
    <n v="9.7100000000000009"/>
    <d v="1899-12-30T00:05:09"/>
    <n v="141"/>
    <n v="63"/>
    <n v="233"/>
    <m/>
    <n v="1.0748005595093533"/>
    <x v="4"/>
  </r>
  <r>
    <m/>
    <m/>
    <x v="1"/>
    <m/>
    <s v=""/>
    <s v=""/>
    <m/>
    <m/>
    <m/>
    <m/>
    <s v=""/>
    <x v="0"/>
  </r>
  <r>
    <s v="161"/>
    <m/>
    <x v="11"/>
    <d v="1899-12-30T00:47:29"/>
    <n v="8.09"/>
    <d v="1899-12-30T00:05:52"/>
    <n v="124"/>
    <n v="45"/>
    <n v="202"/>
    <m/>
    <n v="1.0617456598343264"/>
    <x v="4"/>
  </r>
  <r>
    <m/>
    <m/>
    <x v="1"/>
    <m/>
    <s v=""/>
    <s v=""/>
    <m/>
    <m/>
    <m/>
    <m/>
    <s v=""/>
    <x v="0"/>
  </r>
  <r>
    <s v="162"/>
    <m/>
    <x v="16"/>
    <d v="1899-12-30T01:02:44"/>
    <n v="11.5"/>
    <d v="1899-12-30T00:05:27"/>
    <n v="135"/>
    <n v="70"/>
    <n v="219"/>
    <m/>
    <n v="1.0698455548345231"/>
    <x v="5"/>
  </r>
  <r>
    <m/>
    <m/>
    <x v="1"/>
    <m/>
    <s v=""/>
    <s v=""/>
    <m/>
    <m/>
    <m/>
    <m/>
    <s v=""/>
    <x v="0"/>
  </r>
  <r>
    <s v="163"/>
    <m/>
    <x v="16"/>
    <d v="1899-12-30T01:04:04"/>
    <n v="11.49"/>
    <d v="1899-12-30T00:05:35"/>
    <n v="133"/>
    <n v="68"/>
    <n v="215"/>
    <m/>
    <n v="1.0735616954392528"/>
    <x v="4"/>
  </r>
  <r>
    <m/>
    <m/>
    <x v="1"/>
    <m/>
    <s v=""/>
    <s v=""/>
    <m/>
    <m/>
    <m/>
    <m/>
    <s v=""/>
    <x v="0"/>
  </r>
  <r>
    <s v="164"/>
    <m/>
    <x v="38"/>
    <d v="1899-12-30T00:59:15"/>
    <n v="11.3"/>
    <d v="1899-12-30T00:05:15"/>
    <n v="138"/>
    <n v="72"/>
    <n v="228"/>
    <m/>
    <n v="1.0705851274600449"/>
    <x v="4"/>
  </r>
  <r>
    <m/>
    <m/>
    <x v="1"/>
    <m/>
    <s v=""/>
    <s v=""/>
    <m/>
    <m/>
    <m/>
    <m/>
    <s v=""/>
    <x v="0"/>
  </r>
  <r>
    <s v="165"/>
    <m/>
    <x v="16"/>
    <d v="1899-12-30T00:58:31"/>
    <n v="10.7"/>
    <d v="1899-12-30T00:05:28"/>
    <n v="131"/>
    <n v="66"/>
    <n v="218"/>
    <m/>
    <n v="1.0676496024550148"/>
    <x v="4"/>
  </r>
  <r>
    <m/>
    <m/>
    <x v="1"/>
    <m/>
    <s v=""/>
    <s v=""/>
    <m/>
    <m/>
    <m/>
    <m/>
    <s v=""/>
    <x v="0"/>
  </r>
  <r>
    <m/>
    <m/>
    <x v="1"/>
    <m/>
    <s v=""/>
    <s v=""/>
    <m/>
    <m/>
    <m/>
    <m/>
    <s v=""/>
    <x v="0"/>
  </r>
  <r>
    <m/>
    <m/>
    <x v="1"/>
    <m/>
    <s v=""/>
    <s v=""/>
    <m/>
    <m/>
    <m/>
    <m/>
    <s v=""/>
    <x v="0"/>
  </r>
  <r>
    <m/>
    <m/>
    <x v="1"/>
    <m/>
    <s v=""/>
    <s v=""/>
    <m/>
    <m/>
    <m/>
    <m/>
    <s v=""/>
    <x v="0"/>
  </r>
  <r>
    <s v="166"/>
    <m/>
    <x v="16"/>
    <d v="1899-12-30T00:42:59"/>
    <n v="7.65"/>
    <d v="1899-12-30T00:05:37"/>
    <m/>
    <n v="46"/>
    <n v="211"/>
    <m/>
    <n v="1.0616895912593891"/>
    <x v="2"/>
  </r>
  <r>
    <m/>
    <m/>
    <x v="1"/>
    <m/>
    <s v=""/>
    <s v=""/>
    <m/>
    <m/>
    <m/>
    <m/>
    <s v=""/>
    <x v="0"/>
  </r>
  <r>
    <s v="167"/>
    <m/>
    <x v="16"/>
    <d v="1899-12-30T01:04:00"/>
    <n v="11.34"/>
    <d v="1899-12-30T00:05:39"/>
    <n v="134"/>
    <n v="68"/>
    <n v="211"/>
    <m/>
    <n v="1.06641396193635"/>
    <x v="4"/>
  </r>
  <r>
    <m/>
    <m/>
    <x v="1"/>
    <m/>
    <s v=""/>
    <s v=""/>
    <m/>
    <m/>
    <m/>
    <m/>
    <s v=""/>
    <x v="0"/>
  </r>
  <r>
    <s v="168"/>
    <m/>
    <x v="16"/>
    <d v="1899-12-30T01:00:05"/>
    <n v="10.6"/>
    <d v="1899-12-30T00:05:40"/>
    <n v="134"/>
    <n v="62"/>
    <n v="212"/>
    <m/>
    <n v="1.0761194029850745"/>
    <x v="4"/>
  </r>
  <r>
    <m/>
    <m/>
    <x v="1"/>
    <m/>
    <s v=""/>
    <s v=""/>
    <m/>
    <m/>
    <m/>
    <m/>
    <s v=""/>
    <x v="0"/>
  </r>
  <r>
    <s v="169"/>
    <m/>
    <x v="36"/>
    <d v="1899-12-30T00:55:38"/>
    <n v="7.81"/>
    <d v="1899-12-30T00:07:07"/>
    <n v="141"/>
    <n v="58"/>
    <n v="194"/>
    <m/>
    <m/>
    <x v="4"/>
  </r>
  <r>
    <m/>
    <m/>
    <x v="1"/>
    <m/>
    <s v=""/>
    <s v=""/>
    <m/>
    <m/>
    <m/>
    <m/>
    <s v=""/>
    <x v="0"/>
  </r>
  <r>
    <m/>
    <m/>
    <x v="1"/>
    <m/>
    <s v=""/>
    <s v=""/>
    <m/>
    <m/>
    <m/>
    <m/>
    <s v=""/>
    <x v="0"/>
  </r>
  <r>
    <s v="170"/>
    <m/>
    <x v="7"/>
    <d v="1899-12-30T00:58:38"/>
    <n v="10.6"/>
    <d v="1899-12-30T00:05:32"/>
    <n v="139"/>
    <n v="69"/>
    <n v="209"/>
    <m/>
    <n v="1.0352886510842016"/>
    <x v="5"/>
  </r>
  <r>
    <m/>
    <m/>
    <x v="1"/>
    <m/>
    <m/>
    <m/>
    <m/>
    <m/>
    <m/>
    <m/>
    <m/>
    <x v="0"/>
  </r>
  <r>
    <m/>
    <m/>
    <x v="1"/>
    <m/>
    <m/>
    <m/>
    <m/>
    <m/>
    <m/>
    <m/>
    <m/>
    <x v="0"/>
  </r>
  <r>
    <s v="171"/>
    <m/>
    <x v="36"/>
    <d v="1899-12-30T00:53:57"/>
    <n v="10.4"/>
    <d v="1899-12-30T00:05:11"/>
    <n v="143"/>
    <n v="66"/>
    <n v="230"/>
    <m/>
    <n v="1.0684701492537314"/>
    <x v="4"/>
  </r>
  <r>
    <m/>
    <m/>
    <x v="1"/>
    <m/>
    <s v=""/>
    <s v=""/>
    <m/>
    <m/>
    <m/>
    <m/>
    <s v=""/>
    <x v="0"/>
  </r>
  <r>
    <s v="172"/>
    <m/>
    <x v="21"/>
    <d v="1899-12-30T01:12:25"/>
    <n v="13.5"/>
    <d v="1899-12-30T00:05:22"/>
    <n v="139"/>
    <n v="83"/>
    <n v="221"/>
    <m/>
    <n v="1.0616307352128247"/>
    <x v="2"/>
  </r>
  <r>
    <m/>
    <m/>
    <x v="1"/>
    <m/>
    <s v=""/>
    <s v=""/>
    <m/>
    <m/>
    <m/>
    <m/>
    <s v=""/>
    <x v="0"/>
  </r>
  <r>
    <s v="173"/>
    <m/>
    <x v="13"/>
    <d v="1899-12-30T00:49:58"/>
    <n v="8.98"/>
    <d v="1899-12-30T00:05:34"/>
    <n v="138"/>
    <n v="58"/>
    <n v="215"/>
    <m/>
    <n v="1.0713193497988898"/>
    <x v="5"/>
  </r>
  <r>
    <s v="174"/>
    <m/>
    <x v="16"/>
    <d v="1899-12-30T00:53:45"/>
    <n v="9.74"/>
    <d v="1899-12-30T00:05:31"/>
    <n v="139"/>
    <n v="59"/>
    <n v="216"/>
    <m/>
    <n v="1.0674553311471391"/>
    <x v="4"/>
  </r>
  <r>
    <m/>
    <m/>
    <x v="1"/>
    <m/>
    <s v=""/>
    <s v=""/>
    <m/>
    <m/>
    <m/>
    <m/>
    <s v=""/>
    <x v="0"/>
  </r>
  <r>
    <s v="175"/>
    <m/>
    <x v="16"/>
    <d v="1899-12-30T00:57:08"/>
    <n v="9.9700000000000006"/>
    <d v="1899-12-30T00:05:44"/>
    <n v="134"/>
    <n v="58"/>
    <n v="209"/>
    <m/>
    <n v="1.072548990254345"/>
    <x v="4"/>
  </r>
  <r>
    <m/>
    <m/>
    <x v="1"/>
    <m/>
    <s v=""/>
    <s v=""/>
    <m/>
    <m/>
    <m/>
    <m/>
    <s v=""/>
    <x v="0"/>
  </r>
  <r>
    <s v="176"/>
    <m/>
    <x v="19"/>
    <d v="1899-12-30T01:30:24"/>
    <n v="16.899999999999999"/>
    <d v="1899-12-30T00:05:21"/>
    <n v="142"/>
    <n v="105"/>
    <n v="223"/>
    <m/>
    <n v="1.0682257352291795"/>
    <x v="2"/>
  </r>
  <r>
    <m/>
    <m/>
    <x v="1"/>
    <m/>
    <s v=""/>
    <s v=""/>
    <m/>
    <m/>
    <m/>
    <m/>
    <s v=""/>
    <x v="0"/>
  </r>
  <r>
    <m/>
    <m/>
    <x v="1"/>
    <m/>
    <s v=""/>
    <s v=""/>
    <m/>
    <m/>
    <m/>
    <m/>
    <s v=""/>
    <x v="0"/>
  </r>
  <r>
    <s v="177"/>
    <m/>
    <x v="16"/>
    <d v="1899-12-30T01:01:17"/>
    <n v="11.3"/>
    <d v="1899-12-30T00:05:25"/>
    <n v="140"/>
    <n v="70"/>
    <n v="222"/>
    <m/>
    <n v="1.0781851802932241"/>
    <x v="4"/>
  </r>
  <r>
    <m/>
    <m/>
    <x v="1"/>
    <m/>
    <s v=""/>
    <s v=""/>
    <m/>
    <m/>
    <m/>
    <m/>
    <s v=""/>
    <x v="0"/>
  </r>
  <r>
    <m/>
    <m/>
    <x v="1"/>
    <m/>
    <s v=""/>
    <s v=""/>
    <m/>
    <m/>
    <m/>
    <m/>
    <s v=""/>
    <x v="0"/>
  </r>
  <r>
    <s v="178"/>
    <m/>
    <x v="16"/>
    <d v="1899-12-30T01:01:58"/>
    <n v="11.2"/>
    <d v="1899-12-30T00:05:32"/>
    <n v="142"/>
    <n v="65"/>
    <m/>
    <m/>
    <m/>
    <x v="4"/>
  </r>
  <r>
    <m/>
    <m/>
    <x v="1"/>
    <m/>
    <s v=""/>
    <s v=""/>
    <m/>
    <m/>
    <m/>
    <m/>
    <s v=""/>
    <x v="0"/>
  </r>
  <r>
    <m/>
    <m/>
    <x v="1"/>
    <m/>
    <s v=""/>
    <s v=""/>
    <m/>
    <m/>
    <m/>
    <m/>
    <s v=""/>
    <x v="0"/>
  </r>
  <r>
    <s v="179"/>
    <m/>
    <x v="13"/>
    <d v="1899-12-30T00:48:08"/>
    <n v="8.1999999999999993"/>
    <d v="1899-12-30T00:05:52"/>
    <n v="139"/>
    <n v="53"/>
    <n v="205"/>
    <m/>
    <n v="1.0776119402985076"/>
    <x v="5"/>
  </r>
  <r>
    <s v="180"/>
    <m/>
    <x v="16"/>
    <d v="1899-12-30T00:59:51"/>
    <n v="11.1"/>
    <d v="1899-12-30T00:05:24"/>
    <n v="138"/>
    <n v="68"/>
    <n v="222"/>
    <m/>
    <n v="1.0719402985074629"/>
    <x v="4"/>
  </r>
  <r>
    <m/>
    <m/>
    <x v="1"/>
    <m/>
    <s v=""/>
    <s v=""/>
    <m/>
    <m/>
    <m/>
    <m/>
    <s v=""/>
    <x v="0"/>
  </r>
  <r>
    <s v="181"/>
    <m/>
    <x v="38"/>
    <d v="1899-12-30T01:04:47"/>
    <n v="11.7"/>
    <d v="1899-12-30T00:05:32"/>
    <n v="139"/>
    <n v="78"/>
    <n v="218"/>
    <m/>
    <n v="1.0809618573797679"/>
    <x v="4"/>
  </r>
  <r>
    <m/>
    <m/>
    <x v="1"/>
    <m/>
    <s v=""/>
    <s v=""/>
    <m/>
    <m/>
    <m/>
    <m/>
    <s v=""/>
    <x v="0"/>
  </r>
  <r>
    <m/>
    <m/>
    <x v="1"/>
    <m/>
    <m/>
    <m/>
    <m/>
    <m/>
    <m/>
    <m/>
    <m/>
    <x v="0"/>
  </r>
  <r>
    <m/>
    <m/>
    <x v="1"/>
    <m/>
    <s v=""/>
    <s v=""/>
    <m/>
    <m/>
    <m/>
    <m/>
    <s v=""/>
    <x v="0"/>
  </r>
  <r>
    <s v="182"/>
    <m/>
    <x v="13"/>
    <d v="1899-12-30T00:55:12"/>
    <n v="9.56"/>
    <d v="1899-12-30T00:05:46"/>
    <n v="135"/>
    <n v="63"/>
    <n v="204"/>
    <m/>
    <n v="1.0548429401111599"/>
    <x v="5"/>
  </r>
  <r>
    <m/>
    <m/>
    <x v="1"/>
    <m/>
    <s v=""/>
    <s v=""/>
    <m/>
    <m/>
    <m/>
    <m/>
    <s v=""/>
    <x v="0"/>
  </r>
  <r>
    <s v="183"/>
    <m/>
    <x v="16"/>
    <d v="1899-12-30T01:00:09"/>
    <n v="10.4"/>
    <d v="1899-12-30T00:05:47"/>
    <n v="141"/>
    <n v="61"/>
    <n v="209"/>
    <m/>
    <n v="1.0824928243398393"/>
    <x v="4"/>
  </r>
  <r>
    <m/>
    <m/>
    <x v="1"/>
    <m/>
    <s v=""/>
    <s v=""/>
    <m/>
    <m/>
    <m/>
    <m/>
    <s v=""/>
    <x v="0"/>
  </r>
  <r>
    <m/>
    <m/>
    <x v="1"/>
    <m/>
    <s v=""/>
    <s v=""/>
    <m/>
    <m/>
    <m/>
    <m/>
    <s v=""/>
    <x v="0"/>
  </r>
  <r>
    <s v="184"/>
    <m/>
    <x v="17"/>
    <d v="1899-12-30T01:10:31"/>
    <n v="12.3"/>
    <d v="1899-12-30T00:05:44"/>
    <n v="134"/>
    <n v="70"/>
    <n v="208"/>
    <m/>
    <n v="1.0678898191966997"/>
    <x v="2"/>
  </r>
  <r>
    <m/>
    <m/>
    <x v="1"/>
    <m/>
    <s v=""/>
    <s v=""/>
    <m/>
    <m/>
    <m/>
    <m/>
    <s v=""/>
    <x v="0"/>
  </r>
  <r>
    <m/>
    <m/>
    <x v="1"/>
    <m/>
    <s v=""/>
    <s v=""/>
    <m/>
    <m/>
    <m/>
    <m/>
    <s v=""/>
    <x v="0"/>
  </r>
  <r>
    <s v="185"/>
    <m/>
    <x v="16"/>
    <d v="1899-12-30T01:03:38"/>
    <n v="11.4"/>
    <d v="1899-12-30T00:05:35"/>
    <n v="138"/>
    <n v="67"/>
    <n v="213"/>
    <m/>
    <n v="1.0647211311861744"/>
    <x v="4"/>
  </r>
  <r>
    <m/>
    <m/>
    <x v="1"/>
    <m/>
    <s v=""/>
    <s v=""/>
    <m/>
    <m/>
    <m/>
    <m/>
    <s v=""/>
    <x v="0"/>
  </r>
  <r>
    <s v="186"/>
    <m/>
    <x v="38"/>
    <d v="1899-12-30T01:06:50"/>
    <n v="12.3"/>
    <d v="1899-12-30T00:05:26"/>
    <n v="137"/>
    <n v="75"/>
    <n v="220"/>
    <m/>
    <n v="1.0705011527727217"/>
    <x v="4"/>
  </r>
  <r>
    <m/>
    <m/>
    <x v="1"/>
    <m/>
    <s v=""/>
    <s v=""/>
    <m/>
    <m/>
    <m/>
    <m/>
    <s v=""/>
    <x v="0"/>
  </r>
  <r>
    <s v="187"/>
    <m/>
    <x v="39"/>
    <d v="1899-12-30T01:15:56"/>
    <n v="14.2"/>
    <d v="1899-12-30T00:05:21"/>
    <n v="162"/>
    <n v="87"/>
    <n v="218"/>
    <m/>
    <n v="1.0439436619718312"/>
    <x v="2"/>
  </r>
  <r>
    <m/>
    <m/>
    <x v="1"/>
    <m/>
    <s v=""/>
    <s v=""/>
    <m/>
    <m/>
    <m/>
    <m/>
    <s v=""/>
    <x v="0"/>
  </r>
  <r>
    <s v="188"/>
    <m/>
    <x v="13"/>
    <d v="1899-12-30T00:51:22"/>
    <n v="9.25"/>
    <d v="1899-12-30T00:05:33"/>
    <n v="136"/>
    <n v="67"/>
    <n v="214"/>
    <m/>
    <n v="1.0642162162162163"/>
    <x v="5"/>
  </r>
  <r>
    <s v="189"/>
    <m/>
    <x v="37"/>
    <d v="1899-12-30T00:53:05"/>
    <n v="9.19"/>
    <d v="1899-12-30T00:05:47"/>
    <n v="134"/>
    <n v="52"/>
    <n v="204"/>
    <m/>
    <n v="1.0552352492163775"/>
    <x v="4"/>
  </r>
  <r>
    <m/>
    <m/>
    <x v="1"/>
    <m/>
    <s v=""/>
    <s v=""/>
    <m/>
    <m/>
    <m/>
    <m/>
    <s v=""/>
    <x v="0"/>
  </r>
  <r>
    <m/>
    <m/>
    <x v="1"/>
    <m/>
    <s v=""/>
    <s v=""/>
    <m/>
    <m/>
    <m/>
    <m/>
    <s v=""/>
    <x v="0"/>
  </r>
  <r>
    <s v="190"/>
    <m/>
    <x v="38"/>
    <d v="1899-12-30T01:17:33"/>
    <n v="14"/>
    <d v="1899-12-30T00:05:32"/>
    <n v="136"/>
    <n v="86"/>
    <n v="215"/>
    <m/>
    <n v="1.0665191897654587"/>
    <x v="4"/>
  </r>
  <r>
    <m/>
    <m/>
    <x v="1"/>
    <m/>
    <s v=""/>
    <s v=""/>
    <m/>
    <m/>
    <m/>
    <m/>
    <s v=""/>
    <x v="0"/>
  </r>
  <r>
    <m/>
    <m/>
    <x v="1"/>
    <m/>
    <s v=""/>
    <s v=""/>
    <m/>
    <m/>
    <m/>
    <m/>
    <s v=""/>
    <x v="0"/>
  </r>
  <r>
    <m/>
    <m/>
    <x v="1"/>
    <m/>
    <s v=""/>
    <s v=""/>
    <m/>
    <m/>
    <m/>
    <m/>
    <s v=""/>
    <x v="0"/>
  </r>
  <r>
    <m/>
    <m/>
    <x v="1"/>
    <m/>
    <s v=""/>
    <s v=""/>
    <m/>
    <m/>
    <m/>
    <m/>
    <s v=""/>
    <x v="0"/>
  </r>
  <r>
    <s v="191"/>
    <m/>
    <x v="16"/>
    <d v="1899-12-30T01:03:12"/>
    <n v="11.1"/>
    <d v="1899-12-30T00:05:42"/>
    <n v="136"/>
    <n v="67"/>
    <n v="207"/>
    <m/>
    <n v="1.055457845905607"/>
    <x v="4"/>
  </r>
  <r>
    <m/>
    <m/>
    <x v="1"/>
    <m/>
    <s v=""/>
    <s v=""/>
    <m/>
    <m/>
    <m/>
    <m/>
    <s v=""/>
    <x v="0"/>
  </r>
  <r>
    <s v="192"/>
    <m/>
    <x v="16"/>
    <d v="1899-12-30T00:45:38"/>
    <n v="8.08"/>
    <d v="1899-12-30T00:05:39"/>
    <n v="131"/>
    <n v="49"/>
    <n v="211"/>
    <m/>
    <n v="1.067160484705187"/>
    <x v="4"/>
  </r>
  <r>
    <m/>
    <m/>
    <x v="1"/>
    <m/>
    <s v=""/>
    <s v=""/>
    <m/>
    <m/>
    <m/>
    <m/>
    <s v=""/>
    <x v="0"/>
  </r>
  <r>
    <n v="193"/>
    <m/>
    <x v="40"/>
    <d v="1899-12-30T00:44:58"/>
    <n v="10"/>
    <d v="1899-12-30T00:04:30"/>
    <n v="163"/>
    <n v="68"/>
    <n v="254"/>
    <m/>
    <n v="1.0228238805970151"/>
    <x v="5"/>
  </r>
  <r>
    <m/>
    <m/>
    <x v="1"/>
    <m/>
    <s v=""/>
    <m/>
    <m/>
    <s v="0"/>
    <m/>
    <m/>
    <s v=""/>
    <x v="0"/>
  </r>
  <r>
    <m/>
    <m/>
    <x v="1"/>
    <m/>
    <s v=""/>
    <m/>
    <m/>
    <s v="0"/>
    <m/>
    <m/>
    <s v=""/>
    <x v="0"/>
  </r>
  <r>
    <s v="001"/>
    <m/>
    <x v="16"/>
    <d v="1899-12-30T01:00:20"/>
    <n v="10.7"/>
    <d v="1899-12-30T00:05:38"/>
    <n v="139"/>
    <n v="67"/>
    <n v="208"/>
    <m/>
    <n v="1.0502999023573723"/>
    <x v="4"/>
  </r>
  <r>
    <m/>
    <m/>
    <x v="1"/>
    <m/>
    <s v=""/>
    <s v=""/>
    <m/>
    <s v="0"/>
    <m/>
    <m/>
    <s v=""/>
    <x v="0"/>
  </r>
  <r>
    <s v="002"/>
    <m/>
    <x v="38"/>
    <d v="1899-12-30T01:09:24"/>
    <n v="12.5"/>
    <d v="1899-12-30T00:05:33"/>
    <n v="143"/>
    <n v="79"/>
    <n v="215"/>
    <m/>
    <n v="1.0689671641791048"/>
    <x v="4"/>
  </r>
  <r>
    <s v="003"/>
    <m/>
    <x v="39"/>
    <d v="1899-12-30T01:14:44"/>
    <n v="14.3"/>
    <d v="1899-12-30T00:05:14"/>
    <n v="142"/>
    <n v="97"/>
    <n v="224"/>
    <m/>
    <n v="1.0483415092370316"/>
    <x v="5"/>
  </r>
  <r>
    <m/>
    <m/>
    <x v="1"/>
    <m/>
    <s v=""/>
    <s v=""/>
    <m/>
    <s v="0"/>
    <m/>
    <m/>
    <s v=""/>
    <x v="0"/>
  </r>
  <r>
    <s v="004"/>
    <m/>
    <x v="36"/>
    <d v="1899-12-30T00:48:48"/>
    <n v="9.06"/>
    <d v="1899-12-30T00:05:23"/>
    <n v="143"/>
    <n v="59"/>
    <n v="220"/>
    <m/>
    <n v="1.0611841454976771"/>
    <x v="2"/>
  </r>
  <r>
    <s v="005"/>
    <m/>
    <x v="11"/>
    <d v="1899-12-30T00:44:55"/>
    <n v="7.72"/>
    <d v="1899-12-30T00:05:49"/>
    <n v="136"/>
    <n v="47"/>
    <n v="205"/>
    <m/>
    <n v="1.0681211816564846"/>
    <x v="2"/>
  </r>
  <r>
    <m/>
    <m/>
    <x v="1"/>
    <m/>
    <s v=""/>
    <s v=""/>
    <m/>
    <s v="0"/>
    <m/>
    <m/>
    <s v=""/>
    <x v="0"/>
  </r>
  <r>
    <m/>
    <m/>
    <x v="1"/>
    <m/>
    <s v=""/>
    <s v=""/>
    <m/>
    <s v="0"/>
    <m/>
    <m/>
    <s v=""/>
    <x v="0"/>
  </r>
  <r>
    <s v="006"/>
    <m/>
    <x v="16"/>
    <d v="1899-12-30T00:51:46"/>
    <n v="9.2799999999999994"/>
    <d v="1899-12-30T00:05:35"/>
    <n v="142"/>
    <n v="58"/>
    <n v="212"/>
    <m/>
    <n v="1.0590452907874421"/>
    <x v="4"/>
  </r>
  <r>
    <s v="007"/>
    <m/>
    <x v="17"/>
    <d v="1899-12-30T01:11:32"/>
    <n v="12.2"/>
    <d v="1899-12-30T00:05:52"/>
    <n v="135"/>
    <n v="74"/>
    <n v="203"/>
    <m/>
    <n v="1.0659114264741867"/>
    <x v="2"/>
  </r>
  <r>
    <m/>
    <m/>
    <x v="1"/>
    <m/>
    <s v=""/>
    <s v=""/>
    <m/>
    <s v="0"/>
    <m/>
    <m/>
    <s v=""/>
    <x v="0"/>
  </r>
  <r>
    <s v="008"/>
    <m/>
    <x v="13"/>
    <d v="1899-12-30T00:33:19"/>
    <n v="6.38"/>
    <d v="1899-12-30T00:05:13"/>
    <n v="144"/>
    <n v="46"/>
    <n v="219"/>
    <m/>
    <n v="1.0241449492350163"/>
    <x v="5"/>
  </r>
  <r>
    <s v="009"/>
    <m/>
    <x v="16"/>
    <d v="1899-12-30T01:04:10"/>
    <n v="11.4"/>
    <d v="1899-12-30T00:05:38"/>
    <n v="136"/>
    <n v="70"/>
    <n v="209"/>
    <m/>
    <n v="1.0534825870646767"/>
    <x v="4"/>
  </r>
  <r>
    <m/>
    <m/>
    <x v="1"/>
    <m/>
    <s v=""/>
    <s v=""/>
    <m/>
    <s v="0"/>
    <m/>
    <m/>
    <s v=""/>
    <x v="0"/>
  </r>
  <r>
    <m/>
    <m/>
    <x v="1"/>
    <m/>
    <m/>
    <m/>
    <m/>
    <s v="0"/>
    <m/>
    <m/>
    <s v=""/>
    <x v="0"/>
  </r>
  <r>
    <m/>
    <m/>
    <x v="1"/>
    <m/>
    <s v=""/>
    <s v=""/>
    <m/>
    <s v="0"/>
    <m/>
    <m/>
    <s v=""/>
    <x v="0"/>
  </r>
  <r>
    <s v="010"/>
    <s v="n"/>
    <x v="4"/>
    <d v="1899-12-30T00:42:13"/>
    <n v="9.86"/>
    <d v="1899-12-30T00:04:17"/>
    <n v="163"/>
    <n v="75"/>
    <n v="267"/>
    <m/>
    <n v="1.023751930005147"/>
    <x v="4"/>
  </r>
  <r>
    <m/>
    <m/>
    <x v="1"/>
    <m/>
    <s v=""/>
    <s v=""/>
    <m/>
    <s v="0"/>
    <m/>
    <m/>
    <s v=""/>
    <x v="0"/>
  </r>
  <r>
    <m/>
    <m/>
    <x v="1"/>
    <m/>
    <s v=""/>
    <s v=""/>
    <m/>
    <s v="0"/>
    <m/>
    <m/>
    <s v=""/>
    <x v="0"/>
  </r>
  <r>
    <s v="011"/>
    <m/>
    <x v="16"/>
    <d v="1899-12-30T01:03:36"/>
    <n v="11.3"/>
    <d v="1899-12-30T00:05:38"/>
    <n v="135"/>
    <n v="68"/>
    <n v="211"/>
    <m/>
    <n v="1.0635001981244221"/>
    <x v="4"/>
  </r>
  <r>
    <m/>
    <m/>
    <x v="1"/>
    <m/>
    <s v=""/>
    <s v=""/>
    <m/>
    <s v="0"/>
    <m/>
    <m/>
    <s v=""/>
    <x v="0"/>
  </r>
  <r>
    <s v="012"/>
    <m/>
    <x v="38"/>
    <d v="1899-12-30T01:02:40"/>
    <n v="12.5"/>
    <d v="1899-12-30T00:05:01"/>
    <n v="149"/>
    <n v="86"/>
    <n v="234"/>
    <m/>
    <n v="1.0505552238805971"/>
    <x v="4"/>
  </r>
  <r>
    <m/>
    <m/>
    <x v="1"/>
    <m/>
    <s v=""/>
    <s v=""/>
    <m/>
    <s v="0"/>
    <m/>
    <m/>
    <s v=""/>
    <x v="0"/>
  </r>
  <r>
    <s v="013"/>
    <m/>
    <x v="41"/>
    <d v="1899-12-30T01:34:05"/>
    <n v="17.2"/>
    <d v="1899-12-30T00:05:28"/>
    <n v="134"/>
    <n v="108"/>
    <n v="214"/>
    <m/>
    <n v="1.0482731690385283"/>
    <x v="4"/>
  </r>
  <r>
    <m/>
    <m/>
    <x v="1"/>
    <m/>
    <s v=""/>
    <s v=""/>
    <m/>
    <s v="0"/>
    <m/>
    <m/>
    <s v=""/>
    <x v="0"/>
  </r>
  <r>
    <s v="014"/>
    <m/>
    <x v="30"/>
    <d v="1899-12-30T00:56:20"/>
    <n v="11.2"/>
    <d v="1899-12-30T00:05:02"/>
    <n v="152"/>
    <n v="80"/>
    <n v="227"/>
    <m/>
    <n v="1.0224680170575693"/>
    <x v="5"/>
  </r>
  <r>
    <s v="015"/>
    <m/>
    <x v="16"/>
    <d v="1899-12-30T01:01:15"/>
    <n v="10.7"/>
    <d v="1899-12-30T00:05:43"/>
    <n v="137"/>
    <n v="64"/>
    <n v="208"/>
    <m/>
    <n v="1.0662574975589345"/>
    <x v="2"/>
  </r>
  <r>
    <m/>
    <m/>
    <x v="1"/>
    <m/>
    <s v=""/>
    <s v=""/>
    <m/>
    <s v="0"/>
    <m/>
    <m/>
    <s v=""/>
    <x v="0"/>
  </r>
  <r>
    <s v="016"/>
    <m/>
    <x v="38"/>
    <d v="1899-12-30T01:03:11"/>
    <n v="12.45"/>
    <d v="1899-12-30T00:05:04"/>
    <n v="145"/>
    <n v="89"/>
    <n v="235"/>
    <m/>
    <n v="1.0680153449619374"/>
    <x v="5"/>
  </r>
  <r>
    <s v="017"/>
    <m/>
    <x v="16"/>
    <d v="1899-12-30T01:07:38"/>
    <n v="11.6"/>
    <d v="1899-12-30T00:05:50"/>
    <n v="134"/>
    <n v="67"/>
    <n v="202"/>
    <m/>
    <n v="1.0547040658775089"/>
    <x v="4"/>
  </r>
  <r>
    <m/>
    <m/>
    <x v="1"/>
    <m/>
    <s v=""/>
    <s v=""/>
    <m/>
    <s v="0"/>
    <m/>
    <m/>
    <s v=""/>
    <x v="0"/>
  </r>
  <r>
    <s v="018"/>
    <m/>
    <x v="16"/>
    <d v="1899-12-30T01:07:18"/>
    <n v="11.6"/>
    <d v="1899-12-30T00:05:48"/>
    <n v="132"/>
    <n v="68"/>
    <n v="204"/>
    <m/>
    <n v="1.0598970663921772"/>
    <x v="4"/>
  </r>
  <r>
    <m/>
    <m/>
    <x v="1"/>
    <m/>
    <s v=""/>
    <s v=""/>
    <m/>
    <s v="0"/>
    <m/>
    <m/>
    <s v=""/>
    <x v="0"/>
  </r>
  <r>
    <s v="019"/>
    <m/>
    <x v="16"/>
    <d v="1899-12-30T01:03:07"/>
    <n v="11.52"/>
    <d v="1899-12-30T00:05:29"/>
    <n v="136"/>
    <n v="72"/>
    <n v="216"/>
    <m/>
    <n v="1.0597947761194029"/>
    <x v="4"/>
  </r>
  <r>
    <m/>
    <m/>
    <x v="1"/>
    <m/>
    <s v=""/>
    <s v=""/>
    <m/>
    <s v="0"/>
    <m/>
    <m/>
    <s v=""/>
    <x v="0"/>
  </r>
  <r>
    <s v="020"/>
    <m/>
    <x v="30"/>
    <d v="1899-12-30T01:05:08"/>
    <n v="12.2"/>
    <d v="1899-12-30T00:05:20"/>
    <n v="144"/>
    <n v="90"/>
    <n v="216"/>
    <m/>
    <n v="1.0326988010765845"/>
    <x v="5"/>
  </r>
  <r>
    <m/>
    <m/>
    <x v="1"/>
    <m/>
    <s v=""/>
    <s v=""/>
    <m/>
    <s v="0"/>
    <m/>
    <m/>
    <s v=""/>
    <x v="0"/>
  </r>
  <r>
    <s v="021"/>
    <m/>
    <x v="21"/>
    <d v="1899-12-30T01:19:43"/>
    <n v="14.17"/>
    <d v="1899-12-30T00:05:38"/>
    <n v="128"/>
    <n v="88"/>
    <n v="212"/>
    <m/>
    <n v="1.0680500110597329"/>
    <x v="6"/>
  </r>
  <r>
    <m/>
    <m/>
    <x v="1"/>
    <m/>
    <s v=""/>
    <s v=""/>
    <m/>
    <s v="0"/>
    <m/>
    <m/>
    <s v=""/>
    <x v="0"/>
  </r>
  <r>
    <s v="022"/>
    <m/>
    <x v="31"/>
    <d v="1899-12-30T00:50:32"/>
    <n v="10.4"/>
    <d v="1899-12-30T00:04:52"/>
    <n v="149"/>
    <n v="75"/>
    <n v="235"/>
    <m/>
    <n v="1.0225602755453502"/>
    <x v="5"/>
  </r>
  <r>
    <s v="023"/>
    <m/>
    <x v="16"/>
    <d v="1899-12-30T01:03:14"/>
    <n v="11.6"/>
    <d v="1899-12-30T00:05:27"/>
    <n v="134"/>
    <n v="73"/>
    <n v="217"/>
    <m/>
    <n v="1.0593129181677816"/>
    <x v="7"/>
  </r>
  <r>
    <m/>
    <m/>
    <x v="1"/>
    <m/>
    <s v=""/>
    <s v=""/>
    <m/>
    <s v="0"/>
    <m/>
    <m/>
    <s v=""/>
    <x v="0"/>
  </r>
  <r>
    <s v="024"/>
    <m/>
    <x v="42"/>
    <d v="1899-12-30T00:43:54"/>
    <n v="9.5399999999999991"/>
    <d v="1899-12-30T00:04:36"/>
    <n v="152"/>
    <n v="68"/>
    <n v="249"/>
    <m/>
    <n v="1.0261053224443821"/>
    <x v="5"/>
  </r>
  <r>
    <m/>
    <m/>
    <x v="1"/>
    <m/>
    <s v=""/>
    <s v=""/>
    <m/>
    <s v="0"/>
    <m/>
    <m/>
    <s v=""/>
    <x v="0"/>
  </r>
  <r>
    <s v="025"/>
    <m/>
    <x v="21"/>
    <d v="1899-12-30T01:19:45"/>
    <n v="14.53"/>
    <d v="1899-12-30T00:05:29"/>
    <n v="132"/>
    <n v="91"/>
    <n v="216"/>
    <m/>
    <n v="1.0616840094092512"/>
    <x v="6"/>
  </r>
  <r>
    <m/>
    <m/>
    <x v="1"/>
    <m/>
    <s v=""/>
    <s v=""/>
    <m/>
    <s v="0"/>
    <m/>
    <m/>
    <s v=""/>
    <x v="0"/>
  </r>
  <r>
    <s v="026"/>
    <m/>
    <x v="7"/>
    <d v="1899-12-30T00:56:20"/>
    <n v="10.5"/>
    <d v="1899-12-30T00:05:22"/>
    <n v="139"/>
    <n v="72"/>
    <n v="216"/>
    <m/>
    <n v="1.0377825159914713"/>
    <x v="5"/>
  </r>
  <r>
    <s v="027"/>
    <m/>
    <x v="16"/>
    <d v="1899-12-30T01:05:23"/>
    <n v="11.62"/>
    <d v="1899-12-30T00:05:38"/>
    <n v="128"/>
    <n v="71"/>
    <n v="212"/>
    <m/>
    <n v="1.0682508284738099"/>
    <x v="7"/>
  </r>
  <r>
    <m/>
    <m/>
    <x v="1"/>
    <m/>
    <s v=""/>
    <s v=""/>
    <m/>
    <s v="0"/>
    <m/>
    <m/>
    <s v=""/>
    <x v="0"/>
  </r>
  <r>
    <s v="028"/>
    <m/>
    <x v="37"/>
    <d v="1899-12-30T01:01:22"/>
    <n v="10.6"/>
    <d v="1899-12-30T00:05:47"/>
    <n v="135"/>
    <n v="64"/>
    <n v="206"/>
    <m/>
    <n v="1.0679977471134892"/>
    <x v="8"/>
  </r>
  <r>
    <m/>
    <m/>
    <x v="1"/>
    <m/>
    <s v=""/>
    <s v=""/>
    <m/>
    <s v="0"/>
    <m/>
    <m/>
    <s v=""/>
    <x v="0"/>
  </r>
  <r>
    <s v="029"/>
    <s v="n"/>
    <x v="4"/>
    <d v="1899-12-30T00:58:37"/>
    <n v="14.02"/>
    <d v="1899-12-30T00:04:11"/>
    <n v="165"/>
    <n v="105"/>
    <n v="273"/>
    <m/>
    <n v="1.0221442715097837"/>
    <x v="5"/>
  </r>
  <r>
    <m/>
    <m/>
    <x v="1"/>
    <m/>
    <s v=""/>
    <s v=""/>
    <m/>
    <s v="0"/>
    <m/>
    <m/>
    <s v=""/>
    <x v="0"/>
  </r>
  <r>
    <m/>
    <m/>
    <x v="1"/>
    <m/>
    <s v=""/>
    <s v=""/>
    <m/>
    <s v="0"/>
    <m/>
    <m/>
    <s v=""/>
    <x v="0"/>
  </r>
  <r>
    <s v="030"/>
    <m/>
    <x v="16"/>
    <d v="1899-12-30T00:59:20"/>
    <n v="10.58"/>
    <d v="1899-12-30T00:05:36"/>
    <n v="128"/>
    <n v="63"/>
    <n v="213"/>
    <m/>
    <n v="1.0697175746974015"/>
    <x v="7"/>
  </r>
  <r>
    <m/>
    <m/>
    <x v="1"/>
    <m/>
    <s v=""/>
    <s v=""/>
    <m/>
    <s v="0"/>
    <m/>
    <m/>
    <s v=""/>
    <x v="0"/>
  </r>
  <r>
    <m/>
    <m/>
    <x v="1"/>
    <m/>
    <s v=""/>
    <s v=""/>
    <m/>
    <s v="0"/>
    <m/>
    <m/>
    <s v=""/>
    <x v="0"/>
  </r>
  <r>
    <m/>
    <m/>
    <x v="1"/>
    <m/>
    <s v=""/>
    <s v=""/>
    <m/>
    <s v="0"/>
    <m/>
    <m/>
    <s v=""/>
    <x v="0"/>
  </r>
  <r>
    <m/>
    <m/>
    <x v="1"/>
    <m/>
    <s v=""/>
    <s v=""/>
    <m/>
    <s v="0"/>
    <m/>
    <m/>
    <s v=""/>
    <x v="0"/>
  </r>
  <r>
    <m/>
    <m/>
    <x v="1"/>
    <m/>
    <s v=""/>
    <s v=""/>
    <m/>
    <s v="0"/>
    <m/>
    <m/>
    <s v=""/>
    <x v="0"/>
  </r>
  <r>
    <s v="031"/>
    <m/>
    <x v="16"/>
    <d v="1899-12-30T01:04:27"/>
    <n v="11.6"/>
    <d v="1899-12-30T00:05:33"/>
    <n v="137"/>
    <n v="70"/>
    <n v="215"/>
    <m/>
    <n v="1.0697439526505406"/>
    <x v="7"/>
  </r>
  <r>
    <s v="032"/>
    <m/>
    <x v="16"/>
    <d v="1899-12-30T01:03:16"/>
    <n v="11.55"/>
    <d v="1899-12-30T00:05:29"/>
    <n v="139"/>
    <n v="71"/>
    <n v="219"/>
    <m/>
    <n v="1.0742702074045356"/>
    <x v="7"/>
  </r>
  <r>
    <s v="033"/>
    <m/>
    <x v="25"/>
    <d v="1899-12-30T00:55:04"/>
    <n v="10.02"/>
    <d v="1899-12-30T00:05:30"/>
    <n v="146"/>
    <n v="68"/>
    <n v="208"/>
    <m/>
    <n v="1.0236720588673403"/>
    <x v="5"/>
  </r>
  <r>
    <s v="034"/>
    <m/>
    <x v="37"/>
    <d v="1899-12-30T01:00:35"/>
    <n v="10.7"/>
    <d v="1899-12-30T00:05:40"/>
    <n v="135"/>
    <n v="64"/>
    <n v="213"/>
    <m/>
    <n v="1.0800041846840567"/>
    <x v="4"/>
  </r>
  <r>
    <s v="035"/>
    <m/>
    <x v="43"/>
    <d v="1899-12-30T01:58:25"/>
    <n v="20.79"/>
    <d v="1899-12-30T00:05:42"/>
    <n v="143"/>
    <n v="125"/>
    <n v="213"/>
    <m/>
    <n v="1.0864616312377504"/>
    <x v="6"/>
  </r>
  <r>
    <m/>
    <m/>
    <x v="1"/>
    <m/>
    <s v=""/>
    <s v=""/>
    <m/>
    <s v="0"/>
    <m/>
    <m/>
    <s v=""/>
    <x v="0"/>
  </r>
  <r>
    <m/>
    <m/>
    <x v="1"/>
    <m/>
    <s v=""/>
    <s v=""/>
    <m/>
    <s v="0"/>
    <m/>
    <m/>
    <s v=""/>
    <x v="0"/>
  </r>
  <r>
    <s v="036"/>
    <m/>
    <x v="27"/>
    <d v="1899-12-30T00:59:27"/>
    <n v="10.7"/>
    <d v="1899-12-30T00:05:33"/>
    <n v="144"/>
    <n v="76"/>
    <n v="206"/>
    <m/>
    <n v="1.0249714046589484"/>
    <x v="5"/>
  </r>
  <r>
    <s v="037"/>
    <m/>
    <x v="16"/>
    <d v="1899-12-30T01:04:29"/>
    <n v="11.6"/>
    <d v="1899-12-30T00:05:34"/>
    <n v="138"/>
    <n v="70"/>
    <n v="214"/>
    <m/>
    <n v="1.065319094184251"/>
    <x v="7"/>
  </r>
  <r>
    <m/>
    <m/>
    <x v="1"/>
    <m/>
    <s v=""/>
    <s v=""/>
    <m/>
    <s v="0"/>
    <m/>
    <m/>
    <s v=""/>
    <x v="0"/>
  </r>
  <r>
    <s v="038"/>
    <m/>
    <x v="26"/>
    <d v="1899-12-30T00:51:38"/>
    <n v="9.19"/>
    <d v="1899-12-30T00:05:37"/>
    <n v="140"/>
    <n v="62"/>
    <n v="205"/>
    <m/>
    <n v="1.0314423529793906"/>
    <x v="8"/>
  </r>
  <r>
    <s v="039"/>
    <m/>
    <x v="16"/>
    <d v="1899-12-30T01:06:04"/>
    <n v="11.96"/>
    <d v="1899-12-30T00:05:31"/>
    <n v="129"/>
    <n v="72"/>
    <n v="215"/>
    <m/>
    <n v="1.0635701093196228"/>
    <x v="7"/>
  </r>
  <r>
    <s v="040"/>
    <m/>
    <x v="10"/>
    <d v="1899-12-30T01:54:24"/>
    <n v="20.6"/>
    <d v="1899-12-30T00:05:33"/>
    <n v="131"/>
    <n v="124"/>
    <n v="215"/>
    <m/>
    <n v="1.0692363425590492"/>
    <x v="6"/>
  </r>
  <r>
    <m/>
    <m/>
    <x v="1"/>
    <m/>
    <s v=""/>
    <s v=""/>
    <m/>
    <s v="0"/>
    <m/>
    <m/>
    <s v=""/>
    <x v="0"/>
  </r>
  <r>
    <s v="041"/>
    <m/>
    <x v="44"/>
    <d v="1899-12-30T01:10:12"/>
    <n v="12.4"/>
    <d v="1899-12-30T00:05:40"/>
    <n v="141"/>
    <n v="87"/>
    <n v="201"/>
    <m/>
    <n v="1.0190322580645159"/>
    <x v="5"/>
  </r>
  <r>
    <s v="042"/>
    <m/>
    <x v="16"/>
    <d v="1899-12-30T01:06:04"/>
    <n v="11.64"/>
    <d v="1899-12-30T00:05:41"/>
    <n v="125"/>
    <n v="67"/>
    <n v="208"/>
    <m/>
    <n v="1.0572293173308716"/>
    <x v="7"/>
  </r>
  <r>
    <s v="043"/>
    <m/>
    <x v="42"/>
    <d v="1899-12-30T00:47:08"/>
    <n v="9.9700000000000006"/>
    <d v="1899-12-30T00:04:44"/>
    <n v="154"/>
    <n v="66"/>
    <n v="242"/>
    <m/>
    <n v="1.0245303073399301"/>
    <x v="8"/>
  </r>
  <r>
    <s v="044"/>
    <m/>
    <x v="37"/>
    <d v="1899-12-30T00:59:56"/>
    <n v="10.74"/>
    <d v="1899-12-30T00:05:35"/>
    <n v="126"/>
    <n v="62"/>
    <n v="211"/>
    <m/>
    <n v="1.0544428694516244"/>
    <x v="7"/>
  </r>
  <r>
    <s v="045"/>
    <m/>
    <x v="19"/>
    <d v="1899-12-30T01:42:50"/>
    <n v="16.850000000000001"/>
    <d v="1899-12-30T00:06:06"/>
    <n v="120"/>
    <n v="94"/>
    <n v="196"/>
    <m/>
    <n v="1.0711900438460515"/>
    <x v="6"/>
  </r>
  <r>
    <m/>
    <m/>
    <x v="1"/>
    <m/>
    <s v=""/>
    <s v=""/>
    <m/>
    <s v="0"/>
    <m/>
    <m/>
    <s v=""/>
    <x v="0"/>
  </r>
  <r>
    <m/>
    <m/>
    <x v="1"/>
    <m/>
    <s v=""/>
    <s v=""/>
    <m/>
    <s v="0"/>
    <m/>
    <m/>
    <s v=""/>
    <x v="0"/>
  </r>
  <r>
    <s v="046"/>
    <m/>
    <x v="16"/>
    <d v="1899-12-30T01:01:17"/>
    <n v="10.74"/>
    <d v="1899-12-30T00:05:42"/>
    <n v="120"/>
    <n v="62"/>
    <n v="207"/>
    <m/>
    <n v="1.0577545234720251"/>
    <x v="6"/>
  </r>
  <r>
    <s v="047"/>
    <m/>
    <x v="16"/>
    <d v="1899-12-30T00:58:49"/>
    <n v="10.73"/>
    <d v="1899-12-30T00:05:29"/>
    <n v="125"/>
    <n v="62"/>
    <n v="214"/>
    <m/>
    <n v="1.0504875436424586"/>
    <x v="7"/>
  </r>
  <r>
    <m/>
    <m/>
    <x v="1"/>
    <m/>
    <s v=""/>
    <s v=""/>
    <m/>
    <s v="0"/>
    <m/>
    <m/>
    <s v=""/>
    <x v="0"/>
  </r>
  <r>
    <s v="048"/>
    <m/>
    <x v="7"/>
    <d v="1899-12-30T01:05:51"/>
    <n v="11.53"/>
    <d v="1899-12-30T00:05:43"/>
    <n v="140"/>
    <n v="74"/>
    <n v="203"/>
    <m/>
    <n v="1.0382428706424511"/>
    <x v="5"/>
  </r>
  <r>
    <m/>
    <m/>
    <x v="1"/>
    <m/>
    <s v=""/>
    <s v=""/>
    <m/>
    <s v="0"/>
    <m/>
    <m/>
    <s v=""/>
    <x v="0"/>
  </r>
  <r>
    <s v="049"/>
    <m/>
    <x v="37"/>
    <d v="1899-12-30T00:57:54"/>
    <n v="10.4"/>
    <d v="1899-12-30T00:05:34"/>
    <n v="130"/>
    <n v="61"/>
    <n v="213"/>
    <m/>
    <n v="1.0619431687715268"/>
    <x v="6"/>
  </r>
  <r>
    <m/>
    <m/>
    <x v="1"/>
    <m/>
    <s v=""/>
    <s v=""/>
    <m/>
    <s v="0"/>
    <m/>
    <m/>
    <s v=""/>
    <x v="0"/>
  </r>
  <r>
    <s v="050"/>
    <m/>
    <x v="30"/>
    <d v="1899-12-30T01:03:37"/>
    <n v="12.41"/>
    <d v="1899-12-30T00:05:08"/>
    <n v="150"/>
    <n v="87"/>
    <n v="223"/>
    <m/>
    <n v="1.0237182339711597"/>
    <x v="5"/>
  </r>
  <r>
    <s v="051"/>
    <m/>
    <x v="16"/>
    <d v="1899-12-30T01:04:34"/>
    <n v="11.61"/>
    <d v="1899-12-30T00:05:34"/>
    <n v="133"/>
    <n v="69"/>
    <n v="214"/>
    <m/>
    <n v="1.0657770578631391"/>
    <x v="7"/>
  </r>
  <r>
    <s v="052"/>
    <m/>
    <x v="31"/>
    <d v="1899-12-30T01:05:12"/>
    <n v="13.02"/>
    <d v="1899-12-30T00:05:00"/>
    <n v="145"/>
    <n v="85"/>
    <n v="229"/>
    <m/>
    <n v="1.0269482082674188"/>
    <x v="8"/>
  </r>
  <r>
    <s v="053"/>
    <m/>
    <x v="16"/>
    <d v="1899-12-30T00:58:56"/>
    <n v="10.75"/>
    <d v="1899-12-30T00:05:29"/>
    <n v="128"/>
    <n v="60"/>
    <n v="216"/>
    <m/>
    <n v="1.0604317945157933"/>
    <x v="7"/>
  </r>
  <r>
    <m/>
    <m/>
    <x v="1"/>
    <m/>
    <s v=""/>
    <s v=""/>
    <m/>
    <s v="0"/>
    <m/>
    <m/>
    <s v=""/>
    <x v="0"/>
  </r>
  <r>
    <s v="054"/>
    <m/>
    <x v="29"/>
    <d v="1899-12-30T02:06:02"/>
    <n v="22.23"/>
    <d v="1899-12-30T00:05:40"/>
    <n v="131"/>
    <n v="121"/>
    <n v="210"/>
    <m/>
    <n v="1.0662074244163797"/>
    <x v="6"/>
  </r>
  <r>
    <s v="055"/>
    <m/>
    <x v="9"/>
    <d v="1899-12-30T01:15:24"/>
    <n v="14.32"/>
    <d v="1899-12-30T00:05:16"/>
    <n v="138"/>
    <n v="96"/>
    <n v="216"/>
    <m/>
    <n v="1.018494121570916"/>
    <x v="5"/>
  </r>
  <r>
    <s v="056"/>
    <m/>
    <x v="16"/>
    <d v="1899-12-30T01:03:13"/>
    <n v="11.58"/>
    <d v="1899-12-30T00:05:28"/>
    <n v="126"/>
    <n v="64"/>
    <n v="215"/>
    <m/>
    <n v="1.0510852473384373"/>
    <x v="7"/>
  </r>
  <r>
    <m/>
    <m/>
    <x v="1"/>
    <m/>
    <s v=""/>
    <s v=""/>
    <m/>
    <s v="0"/>
    <m/>
    <m/>
    <s v=""/>
    <x v="0"/>
  </r>
  <r>
    <s v="057"/>
    <m/>
    <x v="32"/>
    <d v="1899-12-30T01:09:01"/>
    <n v="13.63"/>
    <d v="1899-12-30T00:05:04"/>
    <n v="144"/>
    <n v="86"/>
    <n v="228"/>
    <m/>
    <n v="1.033878297434325"/>
    <x v="8"/>
  </r>
  <r>
    <s v="058"/>
    <m/>
    <x v="16"/>
    <d v="1899-12-30T01:05:25"/>
    <n v="11.53"/>
    <d v="1899-12-30T00:05:40"/>
    <n v="124"/>
    <n v="63"/>
    <n v="210"/>
    <m/>
    <n v="1.0669764792688767"/>
    <x v="7"/>
  </r>
  <r>
    <m/>
    <m/>
    <x v="1"/>
    <m/>
    <s v=""/>
    <s v=""/>
    <m/>
    <s v="0"/>
    <m/>
    <m/>
    <s v=""/>
    <x v="0"/>
  </r>
  <r>
    <s v="059"/>
    <m/>
    <x v="43"/>
    <d v="1899-12-30T01:53:12"/>
    <n v="21.1"/>
    <d v="1899-12-30T00:05:22"/>
    <n v="134"/>
    <n v="120"/>
    <n v="218"/>
    <m/>
    <n v="1.0473622409280612"/>
    <x v="6"/>
  </r>
  <r>
    <m/>
    <m/>
    <x v="1"/>
    <m/>
    <s v=""/>
    <s v=""/>
    <m/>
    <s v="0"/>
    <m/>
    <m/>
    <s v=""/>
    <x v="0"/>
  </r>
  <r>
    <s v="060"/>
    <m/>
    <x v="33"/>
    <d v="1899-12-30T01:20:27"/>
    <n v="16.63"/>
    <d v="1899-12-30T00:04:50"/>
    <n v="146"/>
    <n v="113"/>
    <n v="234"/>
    <m/>
    <n v="1.0137388822573843"/>
    <x v="5"/>
  </r>
  <r>
    <s v="061"/>
    <m/>
    <x v="16"/>
    <d v="1899-12-30T01:04:17"/>
    <n v="11.5"/>
    <d v="1899-12-30T00:05:35"/>
    <n v="133"/>
    <n v="64"/>
    <n v="213"/>
    <m/>
    <n v="1.066243997404283"/>
    <x v="7"/>
  </r>
  <r>
    <s v="062"/>
    <m/>
    <x v="40"/>
    <d v="1899-12-30T00:57:09"/>
    <n v="12.24"/>
    <d v="1899-12-30T00:04:40"/>
    <n v="153"/>
    <n v="77"/>
    <n v="246"/>
    <m/>
    <n v="1.0285996488147497"/>
    <x v="8"/>
  </r>
  <r>
    <s v="063"/>
    <m/>
    <x v="16"/>
    <d v="1899-12-30T01:06:17"/>
    <n v="12.13"/>
    <d v="1899-12-30T00:05:28"/>
    <n v="137"/>
    <n v="68"/>
    <n v="217"/>
    <m/>
    <n v="1.061890465233601"/>
    <x v="7"/>
  </r>
  <r>
    <s v="064"/>
    <m/>
    <x v="10"/>
    <d v="1899-12-30T01:54:08"/>
    <n v="20.8"/>
    <d v="1899-12-30T00:05:29"/>
    <n v="140"/>
    <n v="116"/>
    <n v="217"/>
    <m/>
    <n v="1.0663145809414467"/>
    <x v="6"/>
  </r>
  <r>
    <m/>
    <m/>
    <x v="1"/>
    <m/>
    <s v=""/>
    <s v=""/>
    <m/>
    <s v="0"/>
    <m/>
    <m/>
    <s v=""/>
    <x v="0"/>
  </r>
  <r>
    <m/>
    <m/>
    <x v="1"/>
    <m/>
    <s v=""/>
    <s v=""/>
    <m/>
    <s v="0"/>
    <m/>
    <m/>
    <s v=""/>
    <x v="0"/>
  </r>
  <r>
    <m/>
    <m/>
    <x v="1"/>
    <m/>
    <s v=""/>
    <s v=""/>
    <m/>
    <s v="0"/>
    <m/>
    <m/>
    <s v=""/>
    <x v="0"/>
  </r>
  <r>
    <s v="065"/>
    <m/>
    <x v="16"/>
    <d v="1899-12-30T01:04:53"/>
    <n v="11.59"/>
    <d v="1899-12-30T00:05:36"/>
    <n v="135"/>
    <n v="64"/>
    <n v="213"/>
    <m/>
    <n v="1.0678389759571429"/>
    <x v="7"/>
  </r>
  <r>
    <s v="066"/>
    <m/>
    <x v="7"/>
    <d v="1899-12-30T01:02:51"/>
    <n v="10.5"/>
    <d v="1899-12-30T00:05:59"/>
    <n v="137"/>
    <n v="68"/>
    <n v="191"/>
    <m/>
    <n v="1.0238251599147123"/>
    <x v="5"/>
  </r>
  <r>
    <m/>
    <m/>
    <x v="1"/>
    <m/>
    <s v=""/>
    <s v=""/>
    <m/>
    <s v="0"/>
    <m/>
    <m/>
    <s v=""/>
    <x v="0"/>
  </r>
  <r>
    <s v="067"/>
    <m/>
    <x v="21"/>
    <d v="1899-12-30T01:19:58"/>
    <n v="14.13"/>
    <d v="1899-12-30T00:05:40"/>
    <n v="126"/>
    <n v="75"/>
    <n v="209"/>
    <m/>
    <n v="1.0592282747620707"/>
    <x v="6"/>
  </r>
  <r>
    <m/>
    <m/>
    <x v="1"/>
    <m/>
    <s v=""/>
    <s v=""/>
    <m/>
    <s v="0"/>
    <m/>
    <m/>
    <s v=""/>
    <x v="0"/>
  </r>
  <r>
    <s v="068"/>
    <m/>
    <x v="40"/>
    <d v="1899-12-30T00:54:13"/>
    <n v="12.36"/>
    <d v="1899-12-30T00:04:23"/>
    <n v="154"/>
    <n v="80"/>
    <n v="258"/>
    <m/>
    <n v="1.0134690624547169"/>
    <x v="5"/>
  </r>
  <r>
    <s v="069"/>
    <m/>
    <x v="16"/>
    <d v="1899-12-30T01:04:40"/>
    <n v="11.59"/>
    <d v="1899-12-30T00:05:35"/>
    <n v="124"/>
    <n v="64"/>
    <n v="212"/>
    <m/>
    <n v="1.0592765250537648"/>
    <x v="7"/>
  </r>
  <r>
    <s v="070"/>
    <m/>
    <x v="34"/>
    <d v="1899-12-30T01:06:43"/>
    <n v="13.16"/>
    <d v="1899-12-30T00:05:04"/>
    <n v="145"/>
    <n v="87"/>
    <n v="225"/>
    <m/>
    <n v="1.0214977543891486"/>
    <x v="8"/>
  </r>
  <r>
    <m/>
    <m/>
    <x v="1"/>
    <m/>
    <s v=""/>
    <s v=""/>
    <m/>
    <s v="0"/>
    <m/>
    <m/>
    <s v=""/>
    <x v="0"/>
  </r>
  <r>
    <s v="071"/>
    <m/>
    <x v="16"/>
    <d v="1899-12-30T00:59:16"/>
    <n v="10.69"/>
    <d v="1899-12-30T00:05:33"/>
    <n v="127"/>
    <n v="57"/>
    <n v="212"/>
    <m/>
    <n v="1.0525557432668275"/>
    <x v="8"/>
  </r>
  <r>
    <m/>
    <m/>
    <x v="1"/>
    <m/>
    <s v=""/>
    <s v=""/>
    <m/>
    <s v="0"/>
    <m/>
    <m/>
    <s v=""/>
    <x v="0"/>
  </r>
  <r>
    <s v="072"/>
    <m/>
    <x v="29"/>
    <d v="1899-12-30T02:00:10"/>
    <n v="22.02"/>
    <d v="1899-12-30T00:05:27"/>
    <n v="135"/>
    <n v="121"/>
    <n v="216"/>
    <m/>
    <n v="1.055593964781"/>
    <x v="6"/>
  </r>
  <r>
    <m/>
    <m/>
    <x v="1"/>
    <m/>
    <s v=""/>
    <s v=""/>
    <m/>
    <s v="0"/>
    <m/>
    <m/>
    <s v=""/>
    <x v="0"/>
  </r>
  <r>
    <s v="073"/>
    <m/>
    <x v="45"/>
    <d v="1899-12-30T01:04:53"/>
    <n v="14.41"/>
    <d v="1899-12-30T00:04:30"/>
    <n v="156"/>
    <n v="92"/>
    <n v="253"/>
    <m/>
    <n v="1.0201549504386465"/>
    <x v="5"/>
  </r>
  <r>
    <s v="074"/>
    <m/>
    <x v="16"/>
    <d v="1899-12-30T01:04:13"/>
    <n v="11.57"/>
    <d v="1899-12-30T00:05:33"/>
    <n v="138"/>
    <n v="63"/>
    <n v="214"/>
    <m/>
    <n v="1.0636643919555206"/>
    <x v="7"/>
  </r>
  <r>
    <m/>
    <m/>
    <x v="1"/>
    <m/>
    <s v=""/>
    <s v=""/>
    <m/>
    <s v="0"/>
    <m/>
    <m/>
    <s v=""/>
    <x v="0"/>
  </r>
  <r>
    <s v="075"/>
    <m/>
    <x v="31"/>
    <d v="1899-12-30T01:10:11"/>
    <n v="13.03"/>
    <d v="1899-12-30T00:05:23"/>
    <n v="144"/>
    <n v="85"/>
    <n v="211"/>
    <m/>
    <n v="1.0177672649797826"/>
    <x v="8"/>
  </r>
  <r>
    <s v="076"/>
    <m/>
    <x v="16"/>
    <d v="1899-12-30T00:48:43"/>
    <n v="8.57"/>
    <d v="1899-12-30T00:05:41"/>
    <n v="124"/>
    <n v="46"/>
    <n v="209"/>
    <m/>
    <n v="1.063945732248907"/>
    <x v="7"/>
  </r>
  <r>
    <s v="077"/>
    <m/>
    <x v="10"/>
    <d v="1899-12-30T01:57:05"/>
    <n v="20.5"/>
    <d v="1899-12-30T00:05:43"/>
    <n v="128"/>
    <n v="110"/>
    <n v="208"/>
    <m/>
    <n v="1.0638514743356386"/>
    <x v="6"/>
  </r>
  <r>
    <m/>
    <m/>
    <x v="1"/>
    <m/>
    <s v=""/>
    <s v=""/>
    <m/>
    <s v="0"/>
    <m/>
    <m/>
    <s v=""/>
    <x v="0"/>
  </r>
  <r>
    <s v="078"/>
    <m/>
    <x v="46"/>
    <d v="1899-12-30T01:14:16"/>
    <n v="17.04"/>
    <d v="1899-12-30T00:04:22"/>
    <n v="155"/>
    <n v="110"/>
    <n v="260"/>
    <m/>
    <n v="1.0147852287856494"/>
    <x v="5"/>
  </r>
  <r>
    <s v="079"/>
    <m/>
    <x v="16"/>
    <d v="1899-12-30T01:03:51"/>
    <n v="11.53"/>
    <d v="1899-12-30T00:05:32"/>
    <n v="129"/>
    <n v="63"/>
    <n v="214"/>
    <m/>
    <n v="1.0612600484136128"/>
    <x v="7"/>
  </r>
  <r>
    <m/>
    <m/>
    <x v="1"/>
    <m/>
    <s v=""/>
    <s v=""/>
    <m/>
    <s v="0"/>
    <m/>
    <m/>
    <s v=""/>
    <x v="0"/>
  </r>
  <r>
    <s v="080"/>
    <m/>
    <x v="32"/>
    <d v="1899-12-30T01:01:15"/>
    <n v="12.4"/>
    <d v="1899-12-30T00:04:56"/>
    <n v="146"/>
    <n v="79"/>
    <n v="240"/>
    <m/>
    <n v="1.0616273471352913"/>
    <x v="8"/>
  </r>
  <r>
    <s v="081"/>
    <m/>
    <x v="16"/>
    <d v="1899-12-30T01:04:49"/>
    <n v="11.57"/>
    <d v="1899-12-30T00:05:36"/>
    <n v="132"/>
    <n v="63"/>
    <n v="212"/>
    <m/>
    <n v="1.0635689314877641"/>
    <x v="7"/>
  </r>
  <r>
    <s v="082"/>
    <m/>
    <x v="29"/>
    <d v="1899-12-30T02:07:46"/>
    <n v="22.2"/>
    <d v="1899-12-30T00:05:45"/>
    <n v="134"/>
    <n v="116"/>
    <n v="205"/>
    <m/>
    <n v="1.0565617856662632"/>
    <x v="6"/>
  </r>
  <r>
    <m/>
    <m/>
    <x v="1"/>
    <m/>
    <s v=""/>
    <s v=""/>
    <m/>
    <s v="0"/>
    <m/>
    <m/>
    <s v=""/>
    <x v="0"/>
  </r>
  <r>
    <s v="083"/>
    <m/>
    <x v="47"/>
    <d v="1899-12-30T00:48:10"/>
    <n v="9.6"/>
    <d v="1899-12-30T00:05:01"/>
    <n v="141"/>
    <n v="61"/>
    <s v="-"/>
    <m/>
    <s v=""/>
    <x v="5"/>
  </r>
  <r>
    <s v="084"/>
    <m/>
    <x v="16"/>
    <d v="1899-12-30T01:04:26"/>
    <n v="11.57"/>
    <d v="1899-12-30T00:05:34"/>
    <n v="130"/>
    <n v="63"/>
    <n v="213"/>
    <m/>
    <n v="1.062266025103523"/>
    <x v="7"/>
  </r>
  <r>
    <m/>
    <m/>
    <x v="1"/>
    <m/>
    <s v=""/>
    <s v=""/>
    <m/>
    <s v="0"/>
    <m/>
    <m/>
    <s v=""/>
    <x v="0"/>
  </r>
  <r>
    <s v="085"/>
    <m/>
    <x v="16"/>
    <d v="1899-12-30T01:02:54"/>
    <s v=""/>
    <s v=""/>
    <n v="131"/>
    <n v="65"/>
    <n v="219"/>
    <m/>
    <s v=""/>
    <x v="7"/>
  </r>
  <r>
    <m/>
    <m/>
    <x v="1"/>
    <m/>
    <s v=""/>
    <s v=""/>
    <m/>
    <s v="0"/>
    <m/>
    <m/>
    <s v=""/>
    <x v="0"/>
  </r>
  <r>
    <s v="086"/>
    <m/>
    <x v="39"/>
    <d v="1899-12-30T01:17:49"/>
    <n v="14.3"/>
    <d v="1899-12-30T00:05:27"/>
    <n v="133"/>
    <n v="81"/>
    <n v="218"/>
    <m/>
    <n v="1.0623546602651082"/>
    <x v="6"/>
  </r>
  <r>
    <m/>
    <m/>
    <x v="1"/>
    <m/>
    <s v=""/>
    <s v=""/>
    <m/>
    <s v="0"/>
    <m/>
    <m/>
    <s v=""/>
    <x v="0"/>
  </r>
  <r>
    <m/>
    <m/>
    <x v="1"/>
    <m/>
    <s v=""/>
    <s v=""/>
    <m/>
    <s v="0"/>
    <m/>
    <m/>
    <s v=""/>
    <x v="0"/>
  </r>
  <r>
    <s v="087"/>
    <m/>
    <x v="12"/>
    <d v="1899-12-30T00:39:29"/>
    <n v="8.19"/>
    <d v="1899-12-30T00:04:49"/>
    <n v="144"/>
    <n v="51"/>
    <n v="240"/>
    <m/>
    <n v="1.0361379913618722"/>
    <x v="8"/>
  </r>
  <r>
    <m/>
    <m/>
    <x v="1"/>
    <m/>
    <s v=""/>
    <s v=""/>
    <m/>
    <s v="0"/>
    <m/>
    <m/>
    <s v=""/>
    <x v="0"/>
  </r>
  <r>
    <s v="088"/>
    <m/>
    <x v="14"/>
    <d v="1899-12-30T00:38:46"/>
    <n v="6.91"/>
    <d v="1899-12-30T00:05:37"/>
    <n v="137"/>
    <n v="38"/>
    <n v="215"/>
    <m/>
    <n v="1.0801779812946843"/>
    <x v="6"/>
  </r>
  <r>
    <m/>
    <m/>
    <x v="1"/>
    <m/>
    <s v=""/>
    <s v=""/>
    <m/>
    <s v="0"/>
    <m/>
    <m/>
    <s v=""/>
    <x v="0"/>
  </r>
  <r>
    <s v="089"/>
    <s v="n"/>
    <x v="4"/>
    <d v="1899-12-30T00:53:38"/>
    <n v="12.2"/>
    <d v="1899-12-30T00:04:24"/>
    <n v="166"/>
    <n v="78"/>
    <n v="261"/>
    <m/>
    <n v="1.0275238561291902"/>
    <x v="5"/>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s v="090"/>
    <m/>
    <x v="16"/>
    <d v="1899-12-30T00:48:08"/>
    <n v="8.3800000000000008"/>
    <d v="1899-12-30T00:05:45"/>
    <n v="141"/>
    <n v="46"/>
    <n v="210"/>
    <m/>
    <n v="1.0801838065044704"/>
    <x v="7"/>
  </r>
  <r>
    <m/>
    <m/>
    <x v="1"/>
    <m/>
    <s v=""/>
    <s v=""/>
    <m/>
    <s v="0"/>
    <m/>
    <m/>
    <s v=""/>
    <x v="0"/>
  </r>
  <r>
    <s v="091"/>
    <m/>
    <x v="11"/>
    <d v="1899-12-30T00:48:02"/>
    <n v="8.48"/>
    <d v="1899-12-30T00:05:40"/>
    <n v="132"/>
    <n v="46"/>
    <n v="211"/>
    <m/>
    <n v="1.0703006195437903"/>
    <x v="7"/>
  </r>
  <r>
    <m/>
    <m/>
    <x v="1"/>
    <m/>
    <s v=""/>
    <s v=""/>
    <m/>
    <s v="0"/>
    <m/>
    <m/>
    <s v=""/>
    <x v="0"/>
  </r>
  <r>
    <s v="092"/>
    <m/>
    <x v="11"/>
    <d v="1899-12-30T00:47:43"/>
    <n v="8.4"/>
    <d v="1899-12-30T00:05:41"/>
    <n v="135"/>
    <n v="45"/>
    <n v="210"/>
    <m/>
    <n v="1.0682835820895524"/>
    <x v="7"/>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s v="093"/>
    <m/>
    <x v="11"/>
    <d v="1899-12-30T00:46:41"/>
    <n v="8.2899999999999991"/>
    <d v="1899-12-30T00:05:38"/>
    <n v="131"/>
    <n v="45"/>
    <n v="212"/>
    <m/>
    <n v="1.0691032173271158"/>
    <x v="6"/>
  </r>
  <r>
    <m/>
    <m/>
    <x v="1"/>
    <m/>
    <s v=""/>
    <s v=""/>
    <m/>
    <s v="0"/>
    <m/>
    <m/>
    <s v=""/>
    <x v="0"/>
  </r>
  <r>
    <m/>
    <m/>
    <x v="1"/>
    <m/>
    <s v=""/>
    <s v=""/>
    <m/>
    <s v="0"/>
    <m/>
    <m/>
    <s v=""/>
    <x v="0"/>
  </r>
  <r>
    <s v="094"/>
    <m/>
    <x v="11"/>
    <d v="1899-12-30T00:47:50"/>
    <n v="8.4"/>
    <d v="1899-12-30T00:05:42"/>
    <n v="134"/>
    <n v="46"/>
    <n v="210"/>
    <m/>
    <n v="1.0708955223880599"/>
    <x v="6"/>
  </r>
  <r>
    <m/>
    <m/>
    <x v="1"/>
    <m/>
    <s v=""/>
    <s v=""/>
    <m/>
    <s v="0"/>
    <m/>
    <m/>
    <s v=""/>
    <x v="0"/>
  </r>
  <r>
    <m/>
    <m/>
    <x v="1"/>
    <m/>
    <s v=""/>
    <s v=""/>
    <m/>
    <s v="0"/>
    <m/>
    <m/>
    <s v=""/>
    <x v="0"/>
  </r>
  <r>
    <s v="095"/>
    <m/>
    <x v="36"/>
    <d v="1899-12-30T00:41:10"/>
    <n v="6.87"/>
    <d v="1899-12-30T00:06:00"/>
    <n v="129"/>
    <n v="40"/>
    <n v="208"/>
    <m/>
    <m/>
    <x v="6"/>
  </r>
  <r>
    <m/>
    <m/>
    <x v="1"/>
    <m/>
    <s v=""/>
    <s v=""/>
    <m/>
    <s v="0"/>
    <m/>
    <m/>
    <s v=""/>
    <x v="0"/>
  </r>
  <r>
    <m/>
    <m/>
    <x v="1"/>
    <m/>
    <s v=""/>
    <s v=""/>
    <m/>
    <s v="0"/>
    <m/>
    <m/>
    <s v=""/>
    <x v="0"/>
  </r>
  <r>
    <s v="096"/>
    <m/>
    <x v="11"/>
    <d v="1899-12-30T00:47:16"/>
    <n v="8.32"/>
    <d v="1899-12-30T00:05:41"/>
    <n v="141"/>
    <n v="45"/>
    <n v="211"/>
    <m/>
    <n v="1.0734715843857636"/>
    <x v="6"/>
  </r>
  <r>
    <m/>
    <m/>
    <x v="1"/>
    <m/>
    <m/>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s v="097"/>
    <m/>
    <x v="11"/>
    <d v="1899-12-30T00:44:09"/>
    <n v="8.0399999999999991"/>
    <d v="1899-12-30T00:05:29"/>
    <n v="143"/>
    <n v="46"/>
    <n v="216"/>
    <m/>
    <n v="1.0621964802851414"/>
    <x v="5"/>
  </r>
  <r>
    <m/>
    <m/>
    <x v="1"/>
    <m/>
    <s v=""/>
    <s v=""/>
    <m/>
    <s v="0"/>
    <m/>
    <m/>
    <s v=""/>
    <x v="0"/>
  </r>
  <r>
    <m/>
    <m/>
    <x v="1"/>
    <m/>
    <s v=""/>
    <s v=""/>
    <m/>
    <s v="0"/>
    <m/>
    <m/>
    <s v=""/>
    <x v="0"/>
  </r>
  <r>
    <s v="098"/>
    <m/>
    <x v="11"/>
    <d v="1899-12-30T00:51:53"/>
    <n v="8.91"/>
    <d v="1899-12-30T00:05:49"/>
    <n v="146"/>
    <n v="48"/>
    <n v="207"/>
    <m/>
    <n v="1.079436152570481"/>
    <x v="7"/>
  </r>
  <r>
    <m/>
    <m/>
    <x v="1"/>
    <m/>
    <s v=""/>
    <s v=""/>
    <m/>
    <s v="0"/>
    <m/>
    <m/>
    <s v=""/>
    <x v="0"/>
  </r>
  <r>
    <m/>
    <m/>
    <x v="1"/>
    <m/>
    <s v=""/>
    <s v=""/>
    <m/>
    <s v="0"/>
    <m/>
    <m/>
    <s v=""/>
    <x v="0"/>
  </r>
  <r>
    <s v="099"/>
    <m/>
    <x v="11"/>
    <d v="1899-12-30T00:46:16"/>
    <n v="8.2899999999999991"/>
    <d v="1899-12-30T00:05:35"/>
    <n v="147"/>
    <n v="46"/>
    <n v="215"/>
    <m/>
    <n v="1.0745548493959636"/>
    <x v="8"/>
  </r>
  <r>
    <m/>
    <m/>
    <x v="1"/>
    <m/>
    <s v=""/>
    <s v=""/>
    <m/>
    <s v="0"/>
    <m/>
    <m/>
    <s v=""/>
    <x v="0"/>
  </r>
  <r>
    <m/>
    <m/>
    <x v="1"/>
    <m/>
    <s v=""/>
    <s v=""/>
    <m/>
    <s v="0"/>
    <m/>
    <m/>
    <s v=""/>
    <x v="0"/>
  </r>
  <r>
    <s v="100"/>
    <m/>
    <x v="11"/>
    <d v="1899-12-30T00:54:04"/>
    <n v="9.52"/>
    <d v="1899-12-30T00:05:41"/>
    <n v="130"/>
    <n v="53"/>
    <n v="211"/>
    <m/>
    <n v="1.0731280571930266"/>
    <x v="7"/>
  </r>
  <r>
    <m/>
    <m/>
    <x v="1"/>
    <m/>
    <s v=""/>
    <s v=""/>
    <m/>
    <s v="0"/>
    <m/>
    <m/>
    <s v=""/>
    <x v="0"/>
  </r>
  <r>
    <m/>
    <m/>
    <x v="1"/>
    <m/>
    <s v=""/>
    <s v=""/>
    <m/>
    <s v="0"/>
    <m/>
    <m/>
    <s v=""/>
    <x v="0"/>
  </r>
  <r>
    <s v="101"/>
    <m/>
    <x v="48"/>
    <d v="1899-12-30T01:00:43"/>
    <n v="10.68"/>
    <d v="1899-12-30T00:05:41"/>
    <n v="132"/>
    <n v="59"/>
    <n v="211"/>
    <m/>
    <n v="1.0742257812063281"/>
    <x v="7"/>
  </r>
  <r>
    <m/>
    <m/>
    <x v="1"/>
    <m/>
    <s v=""/>
    <s v=""/>
    <m/>
    <s v="0"/>
    <m/>
    <m/>
    <s v=""/>
    <x v="0"/>
  </r>
  <r>
    <s v="102"/>
    <m/>
    <x v="11"/>
    <d v="1899-12-30T00:49:36"/>
    <n v="8.83"/>
    <d v="1899-12-30T00:05:37"/>
    <n v="143"/>
    <n v="48"/>
    <n v="214"/>
    <m/>
    <n v="1.076492959889116"/>
    <x v="7"/>
  </r>
  <r>
    <m/>
    <m/>
    <x v="1"/>
    <m/>
    <s v=""/>
    <s v=""/>
    <m/>
    <s v="0"/>
    <m/>
    <m/>
    <s v=""/>
    <x v="0"/>
  </r>
  <r>
    <m/>
    <m/>
    <x v="1"/>
    <m/>
    <s v=""/>
    <s v=""/>
    <m/>
    <s v="0"/>
    <m/>
    <m/>
    <s v=""/>
    <x v="0"/>
  </r>
  <r>
    <s v="103"/>
    <m/>
    <x v="48"/>
    <d v="1899-12-30T00:59:19"/>
    <n v="10.59"/>
    <d v="1899-12-30T00:05:36"/>
    <n v="129"/>
    <n v="59"/>
    <n v="213"/>
    <m/>
    <n v="1.0684072555071669"/>
    <x v="8"/>
  </r>
  <r>
    <m/>
    <m/>
    <x v="1"/>
    <m/>
    <s v=""/>
    <s v=""/>
    <m/>
    <s v="0"/>
    <m/>
    <m/>
    <s v=""/>
    <x v="0"/>
  </r>
  <r>
    <s v="104"/>
    <m/>
    <x v="48"/>
    <d v="1899-12-30T00:57:30"/>
    <n v="10.61"/>
    <d v="1899-12-30T00:05:25"/>
    <n v="131"/>
    <n v="60"/>
    <n v="220"/>
    <m/>
    <n v="1.0677057689872973"/>
    <x v="6"/>
  </r>
  <r>
    <m/>
    <m/>
    <x v="1"/>
    <m/>
    <s v=""/>
    <s v=""/>
    <m/>
    <s v="0"/>
    <m/>
    <m/>
    <s v=""/>
    <x v="0"/>
  </r>
  <r>
    <m/>
    <m/>
    <x v="1"/>
    <m/>
    <s v=""/>
    <s v=""/>
    <m/>
    <s v="0"/>
    <m/>
    <m/>
    <s v=""/>
    <x v="0"/>
  </r>
  <r>
    <m/>
    <m/>
    <x v="1"/>
    <m/>
    <s v=""/>
    <s v=""/>
    <m/>
    <s v="0"/>
    <m/>
    <m/>
    <s v=""/>
    <x v="0"/>
  </r>
  <r>
    <m/>
    <m/>
    <x v="1"/>
    <m/>
    <s v=""/>
    <s v=""/>
    <m/>
    <s v="0"/>
    <m/>
    <m/>
    <s v=""/>
    <x v="0"/>
  </r>
  <r>
    <m/>
    <m/>
    <x v="1"/>
    <m/>
    <s v=""/>
    <s v=""/>
    <m/>
    <s v="0"/>
    <m/>
    <m/>
    <s v=""/>
    <x v="0"/>
  </r>
  <r>
    <s v="105"/>
    <m/>
    <x v="17"/>
    <d v="1899-12-30T01:03:27"/>
    <n v="11.46"/>
    <d v="1899-12-30T00:05:32"/>
    <n v="148"/>
    <n v="64"/>
    <n v="216"/>
    <m/>
    <n v="1.0709697585371574"/>
    <x v="6"/>
  </r>
  <r>
    <m/>
    <m/>
    <x v="1"/>
    <m/>
    <s v=""/>
    <s v=""/>
    <m/>
    <s v="0"/>
    <m/>
    <m/>
    <s v=""/>
    <x v="0"/>
  </r>
  <r>
    <m/>
    <m/>
    <x v="1"/>
    <m/>
    <s v=""/>
    <s v=""/>
    <m/>
    <s v="0"/>
    <m/>
    <m/>
    <s v=""/>
    <x v="0"/>
  </r>
  <r>
    <s v="106"/>
    <m/>
    <x v="17"/>
    <d v="1899-12-30T01:07:46"/>
    <n v="12.19"/>
    <d v="1899-12-30T00:05:34"/>
    <n v="147"/>
    <n v="67"/>
    <n v="215"/>
    <m/>
    <n v="1.0703537276700992"/>
    <x v="6"/>
  </r>
  <r>
    <m/>
    <m/>
    <x v="1"/>
    <m/>
    <s v=""/>
    <s v=""/>
    <m/>
    <s v="0"/>
    <m/>
    <m/>
    <s v=""/>
    <x v="0"/>
  </r>
  <r>
    <s v="107"/>
    <m/>
    <x v="36"/>
    <d v="1899-12-30T00:44:17"/>
    <n v="8.86"/>
    <d v="1899-12-30T00:05:00"/>
    <n v="145"/>
    <n v="53"/>
    <n v="234"/>
    <m/>
    <n v="1.0473670024594859"/>
    <x v="5"/>
  </r>
  <r>
    <s v="108"/>
    <m/>
    <x v="48"/>
    <d v="1899-12-30T00:47:44"/>
    <n v="8.2799999999999994"/>
    <d v="1899-12-30T00:05:46"/>
    <n v="127"/>
    <n v="44"/>
    <n v="206"/>
    <m/>
    <n v="1.063494123584974"/>
    <x v="5"/>
  </r>
  <r>
    <m/>
    <m/>
    <x v="1"/>
    <m/>
    <s v=""/>
    <s v=""/>
    <m/>
    <s v="0"/>
    <m/>
    <m/>
    <s v=""/>
    <x v="0"/>
  </r>
  <r>
    <s v="109"/>
    <m/>
    <x v="16"/>
    <d v="1899-12-30T01:02:39"/>
    <n v="11.26"/>
    <d v="1899-12-30T00:05:34"/>
    <n v="140"/>
    <n v="63"/>
    <n v="216"/>
    <m/>
    <n v="1.0762493041011638"/>
    <x v="8"/>
  </r>
  <r>
    <m/>
    <m/>
    <x v="1"/>
    <m/>
    <s v=""/>
    <s v=""/>
    <m/>
    <s v="0"/>
    <m/>
    <m/>
    <s v=""/>
    <x v="0"/>
  </r>
  <r>
    <s v="110"/>
    <m/>
    <x v="16"/>
    <d v="1899-12-30T01:06:24"/>
    <n v="12.09"/>
    <d v="1899-12-30T00:05:30"/>
    <n v="145"/>
    <n v="69"/>
    <n v="218"/>
    <m/>
    <n v="1.0721973260249622"/>
    <x v="6"/>
  </r>
  <r>
    <m/>
    <m/>
    <x v="1"/>
    <m/>
    <s v=""/>
    <s v=""/>
    <m/>
    <s v="0"/>
    <m/>
    <m/>
    <s v=""/>
    <x v="0"/>
  </r>
  <r>
    <s v="111"/>
    <m/>
    <x v="37"/>
    <d v="1899-12-30T00:57:52"/>
    <n v="9.99"/>
    <d v="1899-12-30T00:05:48"/>
    <n v="140"/>
    <n v="55"/>
    <n v="209"/>
    <m/>
    <n v="1.0841408572751858"/>
    <x v="8"/>
  </r>
  <r>
    <s v="112"/>
    <m/>
    <x v="28"/>
    <d v="1899-12-30T00:50:49"/>
    <n v="9.1199999999999992"/>
    <d v="1899-12-30T00:05:34"/>
    <n v="146"/>
    <n v="57"/>
    <n v="210"/>
    <m/>
    <n v="1.0478692065985864"/>
    <x v="5"/>
  </r>
  <r>
    <m/>
    <m/>
    <x v="1"/>
    <m/>
    <s v=""/>
    <s v=""/>
    <m/>
    <s v="0"/>
    <m/>
    <m/>
    <s v=""/>
    <x v="0"/>
  </r>
  <r>
    <s v="113"/>
    <m/>
    <x v="48"/>
    <d v="1899-12-30T01:01:08"/>
    <n v="10.74"/>
    <d v="1899-12-30T00:05:42"/>
    <n v="142"/>
    <n v="61"/>
    <n v="211"/>
    <m/>
    <n v="1.0755551849690097"/>
    <x v="6"/>
  </r>
  <r>
    <m/>
    <m/>
    <x v="1"/>
    <m/>
    <s v=""/>
    <s v=""/>
    <m/>
    <s v="0"/>
    <m/>
    <m/>
    <s v=""/>
    <x v="0"/>
  </r>
  <r>
    <s v="114"/>
    <m/>
    <x v="21"/>
    <d v="1899-12-30T01:16:53"/>
    <n v="13.6"/>
    <d v="1899-12-30T00:05:39"/>
    <n v="143"/>
    <n v="74"/>
    <n v="211"/>
    <m/>
    <n v="1.0681990781387183"/>
    <x v="8"/>
  </r>
  <r>
    <m/>
    <m/>
    <x v="1"/>
    <m/>
    <s v=""/>
    <s v=""/>
    <m/>
    <s v="0"/>
    <m/>
    <m/>
    <s v=""/>
    <x v="0"/>
  </r>
  <r>
    <s v="115"/>
    <m/>
    <x v="11"/>
    <d v="1899-12-30T01:09:55"/>
    <n v="9.19"/>
    <d v="1899-12-30T00:07:36"/>
    <n v="124"/>
    <n v="39"/>
    <n v="160"/>
    <m/>
    <n v="1.0900881880044824"/>
    <x v="6"/>
  </r>
  <r>
    <s v="116"/>
    <m/>
    <x v="30"/>
    <d v="1899-12-30T01:03:36"/>
    <n v="11.57"/>
    <d v="1899-12-30T00:05:30"/>
    <n v="146"/>
    <n v="71"/>
    <n v="211"/>
    <m/>
    <n v="1.0386821295424347"/>
    <x v="5"/>
  </r>
  <r>
    <m/>
    <m/>
    <x v="1"/>
    <m/>
    <s v=""/>
    <s v=""/>
    <m/>
    <s v="0"/>
    <m/>
    <m/>
    <s v=""/>
    <x v="0"/>
  </r>
  <r>
    <s v="117"/>
    <m/>
    <x v="16"/>
    <d v="1899-12-30T00:59:44"/>
    <n v="10.75"/>
    <d v="1899-12-30T00:05:33"/>
    <n v="129"/>
    <n v="60"/>
    <n v="213"/>
    <m/>
    <n v="1.0598986463033671"/>
    <x v="8"/>
  </r>
  <r>
    <m/>
    <m/>
    <x v="1"/>
    <m/>
    <s v=""/>
    <s v=""/>
    <m/>
    <s v="0"/>
    <m/>
    <m/>
    <s v=""/>
    <x v="0"/>
  </r>
  <r>
    <s v="118"/>
    <m/>
    <x v="19"/>
    <d v="1899-12-30T01:31:17"/>
    <n v="16.86"/>
    <d v="1899-12-30T00:05:25"/>
    <n v="141"/>
    <n v="97"/>
    <n v="219"/>
    <m/>
    <n v="1.0618287565730069"/>
    <x v="6"/>
  </r>
  <r>
    <m/>
    <m/>
    <x v="1"/>
    <m/>
    <s v=""/>
    <s v=""/>
    <m/>
    <s v="0"/>
    <m/>
    <m/>
    <s v=""/>
    <x v="0"/>
  </r>
  <r>
    <m/>
    <m/>
    <x v="1"/>
    <m/>
    <s v=""/>
    <s v=""/>
    <m/>
    <s v="0"/>
    <m/>
    <m/>
    <s v=""/>
    <x v="0"/>
  </r>
  <r>
    <s v="119"/>
    <m/>
    <x v="16"/>
    <d v="1899-12-30T00:57:59"/>
    <n v="10.5"/>
    <d v="1899-12-30T00:05:31"/>
    <n v="141"/>
    <n v="59"/>
    <n v="215"/>
    <m/>
    <n v="1.0632338308457712"/>
    <x v="6"/>
  </r>
  <r>
    <m/>
    <m/>
    <x v="1"/>
    <m/>
    <s v=""/>
    <s v=""/>
    <m/>
    <s v="0"/>
    <m/>
    <m/>
    <s v=""/>
    <x v="0"/>
  </r>
  <r>
    <s v="120"/>
    <m/>
    <x v="36"/>
    <d v="1899-12-30T00:51:09"/>
    <n v="10.11"/>
    <d v="1899-12-30T00:05:04"/>
    <n v="147"/>
    <n v="60"/>
    <n v="231"/>
    <m/>
    <n v="1.0466052526684084"/>
    <x v="8"/>
  </r>
  <r>
    <m/>
    <m/>
    <x v="1"/>
    <m/>
    <s v=""/>
    <s v=""/>
    <m/>
    <s v="0"/>
    <m/>
    <m/>
    <s v=""/>
    <x v="0"/>
  </r>
  <r>
    <s v="121"/>
    <m/>
    <x v="21"/>
    <d v="1899-12-30T01:13:31"/>
    <n v="13.17"/>
    <d v="1899-12-30T00:05:35"/>
    <n v="135"/>
    <n v="72"/>
    <n v="213"/>
    <m/>
    <n v="1.0647706796314556"/>
    <x v="6"/>
  </r>
  <r>
    <m/>
    <m/>
    <x v="1"/>
    <m/>
    <s v=""/>
    <s v=""/>
    <m/>
    <s v="0"/>
    <m/>
    <m/>
    <s v=""/>
    <x v="0"/>
  </r>
  <r>
    <m/>
    <m/>
    <x v="1"/>
    <m/>
    <s v=""/>
    <s v=""/>
    <m/>
    <s v="0"/>
    <m/>
    <m/>
    <s v=""/>
    <x v="0"/>
  </r>
  <r>
    <n v="122"/>
    <m/>
    <x v="16"/>
    <d v="1899-12-30T00:53:36"/>
    <n v="9.9700000000000006"/>
    <d v="1899-12-30T00:05:23"/>
    <n v="138"/>
    <n v="58"/>
    <n v="222"/>
    <m/>
    <n v="1.0688064192577731"/>
    <x v="6"/>
  </r>
  <r>
    <m/>
    <m/>
    <x v="1"/>
    <m/>
    <s v=""/>
    <s v=""/>
    <m/>
    <s v="0"/>
    <m/>
    <m/>
    <s v=""/>
    <x v="0"/>
  </r>
  <r>
    <m/>
    <m/>
    <x v="1"/>
    <m/>
    <s v=""/>
    <s v=""/>
    <m/>
    <s v="0"/>
    <m/>
    <m/>
    <s v=""/>
    <x v="0"/>
  </r>
  <r>
    <s v="123"/>
    <m/>
    <x v="16"/>
    <d v="1899-12-30T00:55:48"/>
    <n v="10.73"/>
    <d v="1899-12-30T00:05:12"/>
    <n v="148"/>
    <n v="64"/>
    <n v="227"/>
    <m/>
    <n v="1.0571504082569445"/>
    <x v="6"/>
  </r>
  <r>
    <m/>
    <m/>
    <x v="1"/>
    <m/>
    <s v=""/>
    <s v=""/>
    <m/>
    <s v="0"/>
    <m/>
    <m/>
    <s v=""/>
    <x v="0"/>
  </r>
  <r>
    <m/>
    <m/>
    <x v="1"/>
    <m/>
    <s v=""/>
    <s v=""/>
    <m/>
    <s v="0"/>
    <m/>
    <m/>
    <s v=""/>
    <x v="0"/>
  </r>
  <r>
    <s v="124"/>
    <m/>
    <x v="16"/>
    <d v="1899-12-30T00:46:21"/>
    <n v="8.5299999999999994"/>
    <d v="1899-12-30T00:05:26"/>
    <n v="140"/>
    <n v="48"/>
    <n v="218"/>
    <m/>
    <n v="1.0608003359521267"/>
    <x v="8"/>
  </r>
  <r>
    <m/>
    <m/>
    <x v="1"/>
    <m/>
    <s v=""/>
    <s v=""/>
    <m/>
    <s v="0"/>
    <m/>
    <m/>
    <s v=""/>
    <x v="0"/>
  </r>
  <r>
    <s v="125"/>
    <m/>
    <x v="16"/>
    <d v="1899-12-30T01:06:43"/>
    <n v="12.73"/>
    <d v="1899-12-30T00:05:14"/>
    <n v="138"/>
    <n v="74"/>
    <n v="226"/>
    <m/>
    <n v="1.0606957357751696"/>
    <x v="8"/>
  </r>
  <r>
    <m/>
    <m/>
    <x v="1"/>
    <m/>
    <s v=""/>
    <s v=""/>
    <m/>
    <s v="0"/>
    <m/>
    <m/>
    <s v=""/>
    <x v="0"/>
  </r>
  <r>
    <s v="126"/>
    <m/>
    <x v="42"/>
    <d v="1899-12-30T01:14:07"/>
    <n v="14.97"/>
    <d v="1899-12-30T00:04:57"/>
    <n v="150"/>
    <n v="92"/>
    <n v="237"/>
    <m/>
    <n v="1.0507971166213022"/>
    <x v="5"/>
  </r>
  <r>
    <m/>
    <m/>
    <x v="1"/>
    <m/>
    <s v=""/>
    <s v=""/>
    <m/>
    <s v="0"/>
    <m/>
    <m/>
    <s v=""/>
    <x v="0"/>
  </r>
  <r>
    <m/>
    <m/>
    <x v="1"/>
    <m/>
    <s v=""/>
    <s v=""/>
    <m/>
    <s v="0"/>
    <m/>
    <m/>
    <s v=""/>
    <x v="0"/>
  </r>
  <r>
    <s v="127"/>
    <m/>
    <x v="16"/>
    <d v="1899-12-30T00:52:58"/>
    <n v="10.1"/>
    <d v="1899-12-30T00:05:15"/>
    <n v="138"/>
    <n v="59"/>
    <n v="227"/>
    <m/>
    <n v="1.0660647258755729"/>
    <x v="6"/>
  </r>
  <r>
    <m/>
    <m/>
    <x v="1"/>
    <m/>
    <s v=""/>
    <s v=""/>
    <m/>
    <s v="0"/>
    <m/>
    <m/>
    <s v=""/>
    <x v="0"/>
  </r>
  <r>
    <m/>
    <m/>
    <x v="1"/>
    <m/>
    <s v=""/>
    <s v=""/>
    <m/>
    <s v="0"/>
    <m/>
    <m/>
    <s v=""/>
    <x v="0"/>
  </r>
  <r>
    <s v="128"/>
    <m/>
    <x v="16"/>
    <d v="1899-12-30T01:00:24"/>
    <n v="11.2"/>
    <d v="1899-12-30T00:05:24"/>
    <n v="140"/>
    <n v="63"/>
    <n v="220"/>
    <m/>
    <n v="1.0624733475479746"/>
    <x v="8"/>
  </r>
  <r>
    <m/>
    <m/>
    <x v="1"/>
    <m/>
    <s v=""/>
    <s v=""/>
    <m/>
    <s v="0"/>
    <m/>
    <m/>
    <s v=""/>
    <x v="0"/>
  </r>
  <r>
    <s v="129"/>
    <m/>
    <x v="24"/>
    <d v="1899-12-30T01:37:31"/>
    <n v="17.850000000000001"/>
    <d v="1899-12-30T00:05:28"/>
    <n v="143"/>
    <n v="103"/>
    <n v="219"/>
    <m/>
    <n v="1.0714235544964255"/>
    <x v="6"/>
  </r>
  <r>
    <m/>
    <m/>
    <x v="1"/>
    <m/>
    <s v=""/>
    <s v=""/>
    <m/>
    <s v="0"/>
    <m/>
    <m/>
    <s v=""/>
    <x v="0"/>
  </r>
  <r>
    <s v="130"/>
    <m/>
    <x v="48"/>
    <d v="1899-12-30T01:01:26"/>
    <n v="11.2"/>
    <d v="1899-12-30T00:05:29"/>
    <n v="132"/>
    <n v="64"/>
    <n v="218"/>
    <m/>
    <n v="1.0708262260127932"/>
    <x v="8"/>
  </r>
  <r>
    <m/>
    <m/>
    <x v="1"/>
    <m/>
    <s v=""/>
    <s v=""/>
    <m/>
    <s v="0"/>
    <m/>
    <m/>
    <s v=""/>
    <x v="0"/>
  </r>
  <r>
    <m/>
    <m/>
    <x v="1"/>
    <m/>
    <s v=""/>
    <s v=""/>
    <m/>
    <s v="0"/>
    <m/>
    <m/>
    <s v=""/>
    <x v="0"/>
  </r>
  <r>
    <s v="131"/>
    <m/>
    <x v="11"/>
    <d v="1899-12-30T00:46:19"/>
    <n v="8.84"/>
    <d v="1899-12-30T00:05:14"/>
    <n v="138"/>
    <n v="53"/>
    <n v="224"/>
    <m/>
    <n v="1.0510164111568854"/>
    <x v="8"/>
  </r>
  <r>
    <m/>
    <m/>
    <x v="1"/>
    <m/>
    <s v=""/>
    <m/>
    <m/>
    <s v="0"/>
    <m/>
    <m/>
    <s v=""/>
    <x v="0"/>
  </r>
  <r>
    <s v="132"/>
    <m/>
    <x v="32"/>
    <d v="1899-12-30T00:44:28"/>
    <n v="8.56"/>
    <d v="1899-12-30T00:05:12"/>
    <n v="134"/>
    <n v="55"/>
    <n v="229"/>
    <m/>
    <n v="1.0653019946994002"/>
    <x v="5"/>
  </r>
  <r>
    <m/>
    <m/>
    <x v="1"/>
    <m/>
    <s v=""/>
    <s v=""/>
    <m/>
    <s v="0"/>
    <m/>
    <m/>
    <s v=""/>
    <x v="0"/>
  </r>
  <r>
    <s v="133"/>
    <m/>
    <x v="11"/>
    <d v="1899-12-30T00:51:53"/>
    <n v="8.84"/>
    <d v="1899-12-30T00:05:52"/>
    <n v="123"/>
    <n v="48"/>
    <n v="205"/>
    <m/>
    <n v="1.077471803876545"/>
    <x v="6"/>
  </r>
  <r>
    <m/>
    <m/>
    <x v="1"/>
    <m/>
    <s v=""/>
    <s v=""/>
    <m/>
    <s v="0"/>
    <m/>
    <m/>
    <s v=""/>
    <x v="0"/>
  </r>
  <r>
    <s v="134"/>
    <m/>
    <x v="14"/>
    <d v="1899-12-30T00:40:11"/>
    <n v="7.09"/>
    <d v="1899-12-30T00:05:40"/>
    <n v="126"/>
    <n v="39"/>
    <n v="209"/>
    <m/>
    <n v="1.0607730038102854"/>
    <x v="8"/>
  </r>
  <r>
    <m/>
    <m/>
    <x v="1"/>
    <m/>
    <s v=""/>
    <s v=""/>
    <m/>
    <s v="0"/>
    <m/>
    <m/>
    <s v=""/>
    <x v="0"/>
  </r>
  <r>
    <m/>
    <m/>
    <x v="1"/>
    <m/>
    <s v=""/>
    <s v=""/>
    <m/>
    <s v="0"/>
    <m/>
    <m/>
    <s v=""/>
    <x v="0"/>
  </r>
  <r>
    <s v="135"/>
    <m/>
    <x v="4"/>
    <d v="1899-12-30T01:45:04"/>
    <n v="21.1"/>
    <d v="1899-12-30T00:04:59"/>
    <n v="162"/>
    <n v="129"/>
    <n v="236"/>
    <m/>
    <n v="1.0523760345193462"/>
    <x v="5"/>
  </r>
  <r>
    <m/>
    <m/>
    <x v="1"/>
    <m/>
    <s v=""/>
    <s v=""/>
    <m/>
    <s v="0"/>
    <m/>
    <m/>
    <s v=""/>
    <x v="0"/>
  </r>
  <r>
    <m/>
    <m/>
    <x v="1"/>
    <m/>
    <s v=""/>
    <s v=""/>
    <m/>
    <s v="0"/>
    <m/>
    <m/>
    <s v=""/>
    <x v="0"/>
  </r>
  <r>
    <m/>
    <m/>
    <x v="1"/>
    <m/>
    <s v=""/>
    <s v=""/>
    <m/>
    <s v="0"/>
    <m/>
    <m/>
    <s v=""/>
    <x v="0"/>
  </r>
  <r>
    <m/>
    <m/>
    <x v="1"/>
    <m/>
    <s v=""/>
    <s v=""/>
    <m/>
    <s v="0"/>
    <m/>
    <m/>
    <s v=""/>
    <x v="0"/>
  </r>
  <r>
    <m/>
    <m/>
    <x v="1"/>
    <m/>
    <s v=""/>
    <s v=""/>
    <m/>
    <s v="0"/>
    <m/>
    <m/>
    <s v=""/>
    <x v="0"/>
  </r>
  <r>
    <s v="136"/>
    <m/>
    <x v="48"/>
    <d v="1899-12-30T01:01:59"/>
    <n v="11.1"/>
    <d v="1899-12-30T00:05:35"/>
    <n v="137"/>
    <n v="72"/>
    <n v="214"/>
    <m/>
    <n v="1.070143875218502"/>
    <x v="8"/>
  </r>
  <r>
    <m/>
    <m/>
    <x v="1"/>
    <m/>
    <s v=""/>
    <s v=""/>
    <m/>
    <s v="0"/>
    <m/>
    <m/>
    <s v=""/>
    <x v="0"/>
  </r>
  <r>
    <m/>
    <m/>
    <x v="1"/>
    <m/>
    <s v=""/>
    <s v=""/>
    <m/>
    <s v="0"/>
    <m/>
    <m/>
    <s v=""/>
    <x v="0"/>
  </r>
  <r>
    <s v="137"/>
    <m/>
    <x v="48"/>
    <d v="1899-12-30T00:52:04"/>
    <n v="9.5"/>
    <d v="1899-12-30T00:05:29"/>
    <n v="134"/>
    <n v="64"/>
    <n v="217"/>
    <m/>
    <n v="1.0650557737627653"/>
    <x v="8"/>
  </r>
  <r>
    <m/>
    <m/>
    <x v="1"/>
    <m/>
    <s v=""/>
    <s v=""/>
    <m/>
    <s v="0"/>
    <m/>
    <m/>
    <s v=""/>
    <x v="0"/>
  </r>
  <r>
    <m/>
    <m/>
    <x v="1"/>
    <m/>
    <s v=""/>
    <s v=""/>
    <m/>
    <s v="0"/>
    <m/>
    <m/>
    <s v=""/>
    <x v="0"/>
  </r>
  <r>
    <s v="138"/>
    <m/>
    <x v="48"/>
    <d v="1899-12-30T00:56:02"/>
    <n v="9.94"/>
    <d v="1899-12-30T00:05:38"/>
    <n v="132"/>
    <n v="65"/>
    <n v="214"/>
    <m/>
    <n v="1.0803147241658908"/>
    <x v="6"/>
  </r>
  <r>
    <m/>
    <m/>
    <x v="1"/>
    <m/>
    <s v=""/>
    <s v=""/>
    <m/>
    <s v="0"/>
    <m/>
    <m/>
    <s v=""/>
    <x v="0"/>
  </r>
  <r>
    <s v="139"/>
    <m/>
    <x v="7"/>
    <d v="1899-12-30T01:03:28"/>
    <n v="11.6"/>
    <d v="1899-12-30T00:05:28"/>
    <n v="137"/>
    <n v="78"/>
    <n v="214"/>
    <m/>
    <n v="1.0485229027277407"/>
    <x v="5"/>
  </r>
  <r>
    <m/>
    <m/>
    <x v="1"/>
    <m/>
    <s v=""/>
    <s v=""/>
    <m/>
    <s v="0"/>
    <m/>
    <m/>
    <s v=""/>
    <x v="0"/>
  </r>
  <r>
    <m/>
    <m/>
    <x v="1"/>
    <m/>
    <s v=""/>
    <s v=""/>
    <m/>
    <s v="0"/>
    <m/>
    <m/>
    <s v=""/>
    <x v="0"/>
  </r>
  <r>
    <m/>
    <m/>
    <x v="1"/>
    <m/>
    <m/>
    <s v=""/>
    <m/>
    <m/>
    <m/>
    <m/>
    <s v=""/>
    <x v="0"/>
  </r>
  <r>
    <s v="140"/>
    <m/>
    <x v="16"/>
    <d v="1899-12-30T00:52:43"/>
    <n v="10.6"/>
    <d v="1899-12-30T00:04:58"/>
    <n v="141"/>
    <n v="76"/>
    <n v="237"/>
    <m/>
    <n v="1.0555209800056324"/>
    <x v="5"/>
  </r>
  <r>
    <m/>
    <m/>
    <x v="1"/>
    <m/>
    <s v=""/>
    <s v=""/>
    <m/>
    <s v="0"/>
    <m/>
    <m/>
    <s v=""/>
    <x v="0"/>
  </r>
  <r>
    <m/>
    <m/>
    <x v="1"/>
    <m/>
    <s v=""/>
    <s v=""/>
    <m/>
    <s v="0"/>
    <m/>
    <m/>
    <s v=""/>
    <x v="0"/>
  </r>
  <r>
    <s v="141"/>
    <m/>
    <x v="16"/>
    <d v="1899-12-30T01:05:25"/>
    <n v="11.38"/>
    <d v="1899-12-30T00:05:45"/>
    <n v="138"/>
    <n v="72"/>
    <n v="208"/>
    <m/>
    <n v="1.0707446948036616"/>
    <x v="8"/>
  </r>
  <r>
    <m/>
    <m/>
    <x v="1"/>
    <m/>
    <s v=""/>
    <s v=""/>
    <m/>
    <s v="0"/>
    <m/>
    <m/>
    <s v=""/>
    <x v="0"/>
  </r>
  <r>
    <m/>
    <m/>
    <x v="1"/>
    <m/>
    <s v=""/>
    <s v=""/>
    <m/>
    <s v="0"/>
    <m/>
    <m/>
    <s v=""/>
    <x v="0"/>
  </r>
  <r>
    <s v="142"/>
    <m/>
    <x v="16"/>
    <d v="1899-12-30T01:07:45"/>
    <n v="12.4"/>
    <d v="1899-12-30T00:05:28"/>
    <n v="138"/>
    <n v="84"/>
    <n v="220"/>
    <m/>
    <n v="1.076432354357246"/>
    <x v="7"/>
  </r>
  <r>
    <m/>
    <m/>
    <x v="1"/>
    <m/>
    <s v=""/>
    <s v=""/>
    <m/>
    <s v="0"/>
    <m/>
    <m/>
    <s v=""/>
    <x v="0"/>
  </r>
  <r>
    <s v="143"/>
    <m/>
    <x v="48"/>
    <d v="1899-12-30T00:50:58"/>
    <n v="9.43"/>
    <d v="1899-12-30T00:05:24"/>
    <n v="138"/>
    <n v="62"/>
    <n v="219"/>
    <m/>
    <n v="1.0599737262784699"/>
    <x v="8"/>
  </r>
  <r>
    <m/>
    <m/>
    <x v="1"/>
    <m/>
    <s v=""/>
    <s v=""/>
    <m/>
    <s v="0"/>
    <m/>
    <m/>
    <s v=""/>
    <x v="0"/>
  </r>
  <r>
    <s v="144"/>
    <m/>
    <x v="21"/>
    <d v="1899-12-30T01:17:59"/>
    <n v="14.2"/>
    <d v="1899-12-30T00:05:30"/>
    <n v="140"/>
    <n v="93"/>
    <n v="216"/>
    <m/>
    <n v="1.0622913601009041"/>
    <x v="8"/>
  </r>
  <r>
    <m/>
    <m/>
    <x v="1"/>
    <m/>
    <s v=""/>
    <s v=""/>
    <m/>
    <s v="0"/>
    <m/>
    <m/>
    <s v=""/>
    <x v="0"/>
  </r>
  <r>
    <s v="145"/>
    <m/>
    <x v="48"/>
    <d v="1899-12-30T00:54:00"/>
    <n v="9.68"/>
    <d v="1899-12-30T00:05:35"/>
    <n v="141"/>
    <n v="63"/>
    <n v="214"/>
    <m/>
    <n v="1.0690761070679657"/>
    <x v="6"/>
  </r>
  <r>
    <m/>
    <m/>
    <x v="1"/>
    <m/>
    <s v=""/>
    <s v=""/>
    <m/>
    <s v="0"/>
    <m/>
    <m/>
    <s v=""/>
    <x v="0"/>
  </r>
  <r>
    <n v="146"/>
    <m/>
    <x v="48"/>
    <d v="1899-12-30T00:52:20"/>
    <n v="9.69"/>
    <d v="1899-12-30T00:05:24"/>
    <n v="140"/>
    <n v="64"/>
    <n v="219"/>
    <m/>
    <n v="1.0591931980962064"/>
    <x v="6"/>
  </r>
  <r>
    <m/>
    <m/>
    <x v="1"/>
    <m/>
    <s v=""/>
    <s v=""/>
    <m/>
    <s v="0"/>
    <m/>
    <m/>
    <s v=""/>
    <x v="0"/>
  </r>
  <r>
    <m/>
    <m/>
    <x v="1"/>
    <m/>
    <s v=""/>
    <s v=""/>
    <m/>
    <s v="0"/>
    <m/>
    <m/>
    <s v=""/>
    <x v="0"/>
  </r>
  <r>
    <n v="147"/>
    <m/>
    <x v="48"/>
    <d v="1899-12-30T01:00:47"/>
    <n v="10.5"/>
    <d v="1899-12-30T00:05:47"/>
    <n v="136"/>
    <n v="66"/>
    <n v="207"/>
    <m/>
    <n v="1.0731044776119405"/>
    <x v="8"/>
  </r>
  <r>
    <m/>
    <m/>
    <x v="1"/>
    <m/>
    <s v=""/>
    <s v=""/>
    <m/>
    <s v="0"/>
    <m/>
    <m/>
    <s v=""/>
    <x v="0"/>
  </r>
  <r>
    <n v="148"/>
    <m/>
    <x v="48"/>
    <d v="1899-12-30T00:58:20"/>
    <n v="10.6"/>
    <d v="1899-12-30T00:05:30"/>
    <n v="136"/>
    <n v="69"/>
    <n v="216"/>
    <m/>
    <n v="1.0644888763728528"/>
    <x v="8"/>
  </r>
  <r>
    <m/>
    <m/>
    <x v="1"/>
    <m/>
    <s v=""/>
    <s v=""/>
    <m/>
    <s v="0"/>
    <m/>
    <m/>
    <s v=""/>
    <x v="0"/>
  </r>
  <r>
    <m/>
    <m/>
    <x v="1"/>
    <m/>
    <s v=""/>
    <s v=""/>
    <m/>
    <s v="0"/>
    <m/>
    <m/>
    <s v=""/>
    <x v="0"/>
  </r>
  <r>
    <m/>
    <m/>
    <x v="1"/>
    <m/>
    <s v=""/>
    <s v=""/>
    <m/>
    <s v="0"/>
    <m/>
    <m/>
    <s v=""/>
    <x v="0"/>
  </r>
  <r>
    <m/>
    <m/>
    <x v="1"/>
    <m/>
    <s v=""/>
    <s v=""/>
    <m/>
    <s v="0"/>
    <m/>
    <m/>
    <s v=""/>
    <x v="0"/>
  </r>
  <r>
    <n v="149"/>
    <m/>
    <x v="16"/>
    <d v="1899-12-30T01:02:16"/>
    <n v="11.34"/>
    <d v="1899-12-30T00:05:29"/>
    <n v="138"/>
    <n v="72"/>
    <n v="211"/>
    <m/>
    <n v="1.0375319171339072"/>
    <x v="8"/>
  </r>
  <r>
    <m/>
    <m/>
    <x v="1"/>
    <m/>
    <s v=""/>
    <s v=""/>
    <m/>
    <s v="0"/>
    <m/>
    <m/>
    <s v=""/>
    <x v="0"/>
  </r>
  <r>
    <m/>
    <m/>
    <x v="1"/>
    <m/>
    <s v=""/>
    <s v=""/>
    <m/>
    <s v="0"/>
    <m/>
    <m/>
    <s v=""/>
    <x v="0"/>
  </r>
  <r>
    <n v="150"/>
    <m/>
    <x v="48"/>
    <d v="1899-12-30T00:58:30"/>
    <n v="10.7"/>
    <d v="1899-12-30T00:05:28"/>
    <n v="152"/>
    <n v="72"/>
    <n v="220"/>
    <m/>
    <n v="1.0771376761054543"/>
    <x v="8"/>
  </r>
  <r>
    <m/>
    <m/>
    <x v="1"/>
    <m/>
    <s v=""/>
    <s v=""/>
    <m/>
    <s v="0"/>
    <m/>
    <m/>
    <s v=""/>
    <x v="0"/>
  </r>
  <r>
    <n v="151"/>
    <m/>
    <x v="48"/>
    <d v="1899-12-30T00:58:09"/>
    <n v="10.6"/>
    <d v="1899-12-30T00:05:29"/>
    <n v="141"/>
    <n v="69"/>
    <n v="216"/>
    <m/>
    <n v="1.0611433399042522"/>
    <x v="8"/>
  </r>
  <r>
    <m/>
    <m/>
    <x v="1"/>
    <m/>
    <s v=""/>
    <s v=""/>
    <m/>
    <s v="0"/>
    <m/>
    <m/>
    <s v=""/>
    <x v="0"/>
  </r>
  <r>
    <n v="152"/>
    <m/>
    <x v="17"/>
    <d v="1899-12-30T01:05:48"/>
    <n v="12"/>
    <d v="1899-12-30T00:05:29"/>
    <n v="133"/>
    <n v="80"/>
    <n v="216"/>
    <m/>
    <n v="1.0606567164179106"/>
    <x v="5"/>
  </r>
  <r>
    <m/>
    <m/>
    <x v="1"/>
    <m/>
    <s v=""/>
    <s v=""/>
    <m/>
    <s v="0"/>
    <m/>
    <m/>
    <s v=""/>
    <x v="0"/>
  </r>
  <r>
    <n v="153"/>
    <m/>
    <x v="48"/>
    <d v="1899-12-30T00:57:53"/>
    <n v="10.68"/>
    <d v="1899-12-30T00:05:25"/>
    <n v="142"/>
    <n v="72"/>
    <n v="221"/>
    <m/>
    <n v="1.0726326233998547"/>
    <x v="5"/>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54"/>
    <m/>
    <x v="11"/>
    <d v="1899-12-30T00:47:54"/>
    <n v="8.33"/>
    <d v="1899-12-30T00:05:45"/>
    <n v="147"/>
    <n v="53"/>
    <n v="208"/>
    <m/>
    <n v="1.0711006790776014"/>
    <x v="8"/>
  </r>
  <r>
    <m/>
    <m/>
    <x v="1"/>
    <m/>
    <s v=""/>
    <s v=""/>
    <m/>
    <s v="0"/>
    <m/>
    <m/>
    <s v=""/>
    <x v="0"/>
  </r>
  <r>
    <n v="155"/>
    <m/>
    <x v="36"/>
    <d v="1899-12-30T00:49:26"/>
    <n v="9.5299999999999994"/>
    <d v="1899-12-30T00:05:11"/>
    <n v="152"/>
    <n v="65"/>
    <n v="227"/>
    <m/>
    <n v="1.0544580351129975"/>
    <x v="8"/>
  </r>
  <r>
    <m/>
    <m/>
    <x v="1"/>
    <m/>
    <s v=""/>
    <s v=""/>
    <m/>
    <s v="0"/>
    <m/>
    <m/>
    <s v=""/>
    <x v="0"/>
  </r>
  <r>
    <m/>
    <m/>
    <x v="1"/>
    <m/>
    <s v=""/>
    <s v=""/>
    <m/>
    <s v="0"/>
    <m/>
    <m/>
    <s v=""/>
    <x v="0"/>
  </r>
  <r>
    <m/>
    <m/>
    <x v="1"/>
    <m/>
    <m/>
    <s v=""/>
    <m/>
    <s v="0"/>
    <m/>
    <m/>
    <s v=""/>
    <x v="0"/>
  </r>
  <r>
    <m/>
    <m/>
    <x v="1"/>
    <m/>
    <s v=""/>
    <s v=""/>
    <m/>
    <s v="0"/>
    <m/>
    <m/>
    <s v=""/>
    <x v="0"/>
  </r>
  <r>
    <n v="156"/>
    <m/>
    <x v="11"/>
    <d v="1899-12-30T00:47:52"/>
    <n v="8.39"/>
    <d v="1899-12-30T00:05:42"/>
    <n v="141"/>
    <n v="53"/>
    <n v="210"/>
    <m/>
    <n v="1.0729190756586557"/>
    <x v="8"/>
  </r>
  <r>
    <m/>
    <m/>
    <x v="1"/>
    <m/>
    <s v=""/>
    <s v=""/>
    <m/>
    <s v="0"/>
    <m/>
    <m/>
    <s v=""/>
    <x v="0"/>
  </r>
  <r>
    <n v="157"/>
    <m/>
    <x v="11"/>
    <d v="1899-12-30T00:47:31"/>
    <n v="8.51"/>
    <d v="1899-12-30T00:05:35"/>
    <n v="142"/>
    <n v="54"/>
    <n v="213"/>
    <m/>
    <n v="1.0650560359191119"/>
    <x v="9"/>
  </r>
  <r>
    <m/>
    <m/>
    <x v="1"/>
    <m/>
    <s v=""/>
    <s v=""/>
    <m/>
    <s v="0"/>
    <m/>
    <m/>
    <s v=""/>
    <x v="0"/>
  </r>
  <r>
    <m/>
    <m/>
    <x v="1"/>
    <m/>
    <s v=""/>
    <s v=""/>
    <m/>
    <s v="0"/>
    <m/>
    <m/>
    <s v=""/>
    <x v="0"/>
  </r>
  <r>
    <m/>
    <m/>
    <x v="1"/>
    <m/>
    <s v=""/>
    <s v=""/>
    <m/>
    <s v="0"/>
    <m/>
    <m/>
    <s v=""/>
    <x v="0"/>
  </r>
  <r>
    <n v="158"/>
    <m/>
    <x v="11"/>
    <d v="1899-12-30T00:42:35"/>
    <n v="8.09"/>
    <d v="1899-12-30T00:05:16"/>
    <n v="147"/>
    <n v="55"/>
    <n v="226"/>
    <m/>
    <n v="1.0653100381897682"/>
    <x v="9"/>
  </r>
  <r>
    <m/>
    <m/>
    <x v="1"/>
    <m/>
    <s v=""/>
    <s v=""/>
    <m/>
    <s v="0"/>
    <m/>
    <m/>
    <s v=""/>
    <x v="0"/>
  </r>
  <r>
    <n v="159"/>
    <m/>
    <x v="37"/>
    <d v="1899-12-30T00:51:51"/>
    <n v="9.5299999999999994"/>
    <d v="1899-12-30T00:05:26"/>
    <n v="142"/>
    <n v="63"/>
    <n v="220"/>
    <m/>
    <n v="1.0719017713113344"/>
    <x v="9"/>
  </r>
  <r>
    <m/>
    <m/>
    <x v="1"/>
    <m/>
    <s v=""/>
    <s v=""/>
    <m/>
    <s v="0"/>
    <m/>
    <m/>
    <s v=""/>
    <x v="0"/>
  </r>
  <r>
    <m/>
    <m/>
    <x v="1"/>
    <m/>
    <s v=""/>
    <s v=""/>
    <m/>
    <s v="0"/>
    <m/>
    <m/>
    <s v=""/>
    <x v="0"/>
  </r>
  <r>
    <n v="160"/>
    <m/>
    <x v="42"/>
    <d v="1899-12-30T01:04:39"/>
    <n v="12.39"/>
    <d v="1899-12-30T00:05:13"/>
    <n v="150"/>
    <n v="86"/>
    <n v="226"/>
    <m/>
    <n v="1.0560442340356329"/>
    <x v="8"/>
  </r>
  <r>
    <m/>
    <m/>
    <x v="1"/>
    <m/>
    <s v=""/>
    <s v=""/>
    <m/>
    <s v="0"/>
    <m/>
    <m/>
    <s v=""/>
    <x v="0"/>
  </r>
  <r>
    <n v="1"/>
    <s v="n"/>
    <x v="49"/>
    <d v="1899-12-30T00:51:55"/>
    <n v="9.5500000000000007"/>
    <d v="1899-12-30T00:05:26"/>
    <n v="144"/>
    <n v="64"/>
    <n v="219"/>
    <m/>
    <n v="1.066163944674533"/>
    <x v="9"/>
  </r>
  <r>
    <m/>
    <m/>
    <x v="1"/>
    <m/>
    <s v=""/>
    <s v=""/>
    <m/>
    <s v="0"/>
    <m/>
    <m/>
    <s v=""/>
    <x v="0"/>
  </r>
  <r>
    <n v="2"/>
    <s v="n"/>
    <x v="50"/>
    <d v="1899-12-30T00:57:51"/>
    <n v="10.54"/>
    <d v="1899-12-30T00:05:29"/>
    <n v="147"/>
    <n v="68"/>
    <n v="216"/>
    <m/>
    <n v="1.0616783256393554"/>
    <x v="9"/>
  </r>
  <r>
    <m/>
    <m/>
    <x v="1"/>
    <m/>
    <s v=""/>
    <s v=""/>
    <m/>
    <s v="0"/>
    <m/>
    <m/>
    <s v=""/>
    <x v="0"/>
  </r>
  <r>
    <n v="3"/>
    <s v="n"/>
    <x v="7"/>
    <d v="1899-12-30T00:49:18"/>
    <n v="9.14"/>
    <d v="1899-12-30T00:05:24"/>
    <n v="144"/>
    <n v="65"/>
    <n v="216"/>
    <m/>
    <n v="1.0433521669551586"/>
    <x v="5"/>
  </r>
  <r>
    <m/>
    <m/>
    <x v="1"/>
    <m/>
    <s v=""/>
    <s v=""/>
    <m/>
    <s v="0"/>
    <m/>
    <m/>
    <s v=""/>
    <x v="0"/>
  </r>
  <r>
    <m/>
    <m/>
    <x v="1"/>
    <m/>
    <s v=""/>
    <s v=""/>
    <m/>
    <s v="0"/>
    <m/>
    <m/>
    <s v=""/>
    <x v="0"/>
  </r>
  <r>
    <m/>
    <m/>
    <x v="1"/>
    <m/>
    <s v=""/>
    <s v=""/>
    <m/>
    <s v="0"/>
    <m/>
    <m/>
    <s v=""/>
    <x v="0"/>
  </r>
  <r>
    <m/>
    <m/>
    <x v="1"/>
    <m/>
    <m/>
    <s v=""/>
    <m/>
    <s v="0"/>
    <m/>
    <m/>
    <s v=""/>
    <x v="0"/>
  </r>
  <r>
    <n v="4"/>
    <s v="n"/>
    <x v="50"/>
    <d v="1899-12-30T00:52:24"/>
    <n v="9.52"/>
    <d v="1899-12-30T00:05:30"/>
    <n v="139"/>
    <n v="63"/>
    <n v="216"/>
    <m/>
    <n v="1.0646933400225762"/>
    <x v="9"/>
  </r>
  <r>
    <m/>
    <m/>
    <x v="1"/>
    <m/>
    <s v=""/>
    <s v=""/>
    <m/>
    <s v="0"/>
    <m/>
    <m/>
    <s v=""/>
    <x v="0"/>
  </r>
  <r>
    <m/>
    <m/>
    <x v="1"/>
    <m/>
    <s v=""/>
    <s v=""/>
    <m/>
    <s v="0"/>
    <m/>
    <m/>
    <s v=""/>
    <x v="0"/>
  </r>
  <r>
    <n v="5"/>
    <s v="n"/>
    <x v="49"/>
    <d v="1899-12-30T00:48:29"/>
    <n v="8.65"/>
    <d v="1899-12-30T00:05:36"/>
    <n v="139"/>
    <n v="56"/>
    <n v="212"/>
    <m/>
    <n v="1.0641152618410834"/>
    <x v="9"/>
  </r>
  <r>
    <m/>
    <m/>
    <x v="1"/>
    <m/>
    <s v=""/>
    <s v=""/>
    <m/>
    <s v="0"/>
    <m/>
    <m/>
    <s v=""/>
    <x v="0"/>
  </r>
  <r>
    <n v="6"/>
    <s v="n"/>
    <x v="51"/>
    <d v="1899-12-30T00:54:03"/>
    <n v="10.130000000000001"/>
    <d v="1899-12-30T00:05:20"/>
    <n v="144"/>
    <n v="68"/>
    <n v="223"/>
    <m/>
    <n v="1.0655346171413416"/>
    <x v="9"/>
  </r>
  <r>
    <m/>
    <m/>
    <x v="1"/>
    <m/>
    <s v=""/>
    <s v=""/>
    <m/>
    <s v="0"/>
    <m/>
    <m/>
    <s v=""/>
    <x v="0"/>
  </r>
  <r>
    <m/>
    <m/>
    <x v="1"/>
    <m/>
    <s v=""/>
    <s v=""/>
    <m/>
    <s v="0"/>
    <m/>
    <m/>
    <s v=""/>
    <x v="0"/>
  </r>
  <r>
    <n v="7"/>
    <s v="n"/>
    <x v="52"/>
    <d v="1899-12-30T00:49:24"/>
    <n v="8.36"/>
    <d v="1899-12-30T00:05:55"/>
    <n v="131"/>
    <n v="53.216789258291044"/>
    <n v="204"/>
    <m/>
    <n v="1.0795115332428766"/>
    <x v="9"/>
  </r>
  <r>
    <m/>
    <m/>
    <x v="1"/>
    <m/>
    <s v=""/>
    <s v=""/>
    <m/>
    <s v="0"/>
    <m/>
    <m/>
    <s v=""/>
    <x v="0"/>
  </r>
  <r>
    <n v="8"/>
    <s v="n"/>
    <x v="51"/>
    <d v="1899-12-30T00:54:29"/>
    <n v="10.01"/>
    <d v="1899-12-30T00:05:27"/>
    <n v="139"/>
    <n v="67"/>
    <n v="219"/>
    <m/>
    <n v="1.0674564241728424"/>
    <x v="8"/>
  </r>
  <r>
    <m/>
    <m/>
    <x v="1"/>
    <m/>
    <s v=""/>
    <s v=""/>
    <m/>
    <s v="0"/>
    <m/>
    <m/>
    <s v=""/>
    <x v="0"/>
  </r>
  <r>
    <m/>
    <m/>
    <x v="1"/>
    <m/>
    <s v=""/>
    <s v=""/>
    <m/>
    <s v="0"/>
    <m/>
    <m/>
    <s v=""/>
    <x v="0"/>
  </r>
  <r>
    <n v="9"/>
    <s v="n"/>
    <x v="42"/>
    <d v="1899-12-30T00:52:59"/>
    <n v="10.84"/>
    <d v="1899-12-30T00:04:53"/>
    <n v="152"/>
    <n v="78"/>
    <n v="238"/>
    <m/>
    <n v="1.0417497383929062"/>
    <x v="8"/>
  </r>
  <r>
    <m/>
    <m/>
    <x v="1"/>
    <m/>
    <s v=""/>
    <s v=""/>
    <m/>
    <s v="0"/>
    <m/>
    <m/>
    <s v=""/>
    <x v="0"/>
  </r>
  <r>
    <n v="10"/>
    <s v="n"/>
    <x v="50"/>
    <d v="1899-12-30T01:02:29"/>
    <n v="11.43"/>
    <d v="1899-12-30T00:05:28"/>
    <n v="137"/>
    <n v="75"/>
    <n v="219"/>
    <m/>
    <n v="1.0721079641164257"/>
    <x v="9"/>
  </r>
  <r>
    <m/>
    <m/>
    <x v="1"/>
    <m/>
    <s v=""/>
    <s v=""/>
    <m/>
    <s v="0"/>
    <m/>
    <m/>
    <s v=""/>
    <x v="0"/>
  </r>
  <r>
    <n v="11"/>
    <s v="n"/>
    <x v="53"/>
    <d v="1899-12-30T01:05:44"/>
    <n v="11.44"/>
    <d v="1899-12-30T00:05:45"/>
    <n v="132"/>
    <n v="72"/>
    <n v="208"/>
    <m/>
    <n v="1.0702849389416556"/>
    <x v="8"/>
  </r>
  <r>
    <n v="12"/>
    <s v="n"/>
    <x v="54"/>
    <d v="1899-12-30T00:45:20"/>
    <n v="8.42"/>
    <d v="1899-12-30T00:05:23"/>
    <n v="136"/>
    <n v="56"/>
    <n v="220"/>
    <m/>
    <n v="1.0607296061261393"/>
    <x v="9"/>
  </r>
  <r>
    <m/>
    <m/>
    <x v="1"/>
    <m/>
    <s v=""/>
    <s v=""/>
    <m/>
    <s v="0"/>
    <m/>
    <m/>
    <s v=""/>
    <x v="0"/>
  </r>
  <r>
    <n v="13"/>
    <s v="n"/>
    <x v="42"/>
    <d v="1899-12-30T01:01:34"/>
    <n v="11.46"/>
    <d v="1899-12-30T00:05:22"/>
    <n v="150"/>
    <n v="80"/>
    <n v="218"/>
    <m/>
    <n v="1.0488031048943762"/>
    <x v="8"/>
  </r>
  <r>
    <m/>
    <m/>
    <x v="1"/>
    <m/>
    <s v=""/>
    <s v=""/>
    <m/>
    <s v="0"/>
    <m/>
    <m/>
    <s v=""/>
    <x v="0"/>
  </r>
  <r>
    <n v="14"/>
    <s v="n"/>
    <x v="51"/>
    <d v="1899-12-30T00:54:15"/>
    <n v="10.4"/>
    <d v="1899-12-30T00:05:13"/>
    <n v="139"/>
    <n v="69"/>
    <n v="226"/>
    <m/>
    <n v="1.0557261768082664"/>
    <x v="9"/>
  </r>
  <r>
    <m/>
    <m/>
    <x v="1"/>
    <m/>
    <s v=""/>
    <s v=""/>
    <m/>
    <s v="0"/>
    <m/>
    <m/>
    <s v=""/>
    <x v="0"/>
  </r>
  <r>
    <n v="15"/>
    <s v="n"/>
    <x v="51"/>
    <d v="1899-12-30T00:53:45"/>
    <n v="10.16"/>
    <d v="1899-12-30T00:05:17"/>
    <n v="141"/>
    <n v="67"/>
    <n v="223"/>
    <m/>
    <n v="1.0564916558937596"/>
    <x v="9"/>
  </r>
  <r>
    <m/>
    <m/>
    <x v="1"/>
    <m/>
    <s v=""/>
    <s v=""/>
    <m/>
    <s v="0"/>
    <m/>
    <m/>
    <s v=""/>
    <x v="0"/>
  </r>
  <r>
    <n v="16"/>
    <s v="n"/>
    <x v="51"/>
    <d v="1899-12-30T00:53:17"/>
    <n v="10.050000000000001"/>
    <d v="1899-12-30T00:05:18"/>
    <n v="140"/>
    <n v="67"/>
    <n v="223"/>
    <m/>
    <n v="1.0587822083611791"/>
    <x v="8"/>
  </r>
  <r>
    <m/>
    <m/>
    <x v="1"/>
    <m/>
    <s v=""/>
    <s v=""/>
    <m/>
    <s v="0"/>
    <m/>
    <m/>
    <s v=""/>
    <x v="0"/>
  </r>
  <r>
    <n v="17"/>
    <s v="n"/>
    <x v="55"/>
    <d v="1899-12-30T00:55:45"/>
    <n v="10.53"/>
    <d v="1899-12-30T00:05:18"/>
    <n v="136"/>
    <n v="69"/>
    <n v="222"/>
    <m/>
    <n v="1.0525577241995152"/>
    <x v="9"/>
  </r>
  <r>
    <m/>
    <m/>
    <x v="1"/>
    <m/>
    <s v=""/>
    <s v=""/>
    <m/>
    <s v="0"/>
    <m/>
    <m/>
    <s v=""/>
    <x v="0"/>
  </r>
  <r>
    <m/>
    <m/>
    <x v="1"/>
    <m/>
    <s v=""/>
    <s v=""/>
    <m/>
    <s v="0"/>
    <m/>
    <m/>
    <s v=""/>
    <x v="0"/>
  </r>
  <r>
    <n v="18"/>
    <s v="n"/>
    <x v="51"/>
    <d v="1899-12-30T00:52:47"/>
    <n v="10.17"/>
    <d v="1899-12-30T00:05:11"/>
    <n v="140"/>
    <n v="67"/>
    <n v="225"/>
    <m/>
    <n v="1.0457667415136707"/>
    <x v="9"/>
  </r>
  <r>
    <m/>
    <m/>
    <x v="1"/>
    <m/>
    <s v=""/>
    <s v=""/>
    <m/>
    <s v="0"/>
    <m/>
    <m/>
    <s v=""/>
    <x v="0"/>
  </r>
  <r>
    <n v="19"/>
    <s v="n"/>
    <x v="54"/>
    <d v="1899-12-30T00:43:22"/>
    <n v="8.7100000000000009"/>
    <d v="1899-12-30T00:04:59"/>
    <n v="145"/>
    <n v="62"/>
    <n v="237"/>
    <m/>
    <n v="1.0567266994533646"/>
    <x v="9"/>
  </r>
  <r>
    <n v="20"/>
    <s v="n"/>
    <x v="51"/>
    <d v="1899-12-30T00:49:15"/>
    <n v="9.43"/>
    <d v="1899-12-30T00:05:13"/>
    <n v="137"/>
    <n v="63"/>
    <n v="226"/>
    <m/>
    <n v="1.0570108102119307"/>
    <x v="8"/>
  </r>
  <r>
    <m/>
    <m/>
    <x v="1"/>
    <m/>
    <s v=""/>
    <s v=""/>
    <m/>
    <s v="0"/>
    <m/>
    <m/>
    <s v=""/>
    <x v="0"/>
  </r>
  <r>
    <n v="21"/>
    <s v="n"/>
    <x v="42"/>
    <d v="1899-12-30T00:56:57"/>
    <n v="11.4"/>
    <d v="1899-12-30T00:05:00"/>
    <n v="149"/>
    <n v="83"/>
    <n v="234"/>
    <m/>
    <n v="1.0468421052631578"/>
    <x v="9"/>
  </r>
  <r>
    <m/>
    <m/>
    <x v="1"/>
    <m/>
    <s v=""/>
    <s v=""/>
    <m/>
    <s v="0"/>
    <m/>
    <m/>
    <s v=""/>
    <x v="0"/>
  </r>
  <r>
    <n v="22"/>
    <s v="n"/>
    <x v="54"/>
    <d v="1899-12-30T00:44:51"/>
    <n v="8.41"/>
    <d v="1899-12-30T00:05:20"/>
    <n v="133"/>
    <n v="54"/>
    <n v="222"/>
    <m/>
    <n v="1.0602197100111808"/>
    <x v="9"/>
  </r>
  <r>
    <m/>
    <m/>
    <x v="1"/>
    <m/>
    <s v=""/>
    <s v=""/>
    <m/>
    <s v="0"/>
    <m/>
    <m/>
    <s v=""/>
    <x v="0"/>
  </r>
  <r>
    <m/>
    <m/>
    <x v="1"/>
    <m/>
    <s v=""/>
    <s v=""/>
    <m/>
    <s v="0"/>
    <m/>
    <m/>
    <s v=""/>
    <x v="0"/>
  </r>
  <r>
    <m/>
    <m/>
    <x v="1"/>
    <m/>
    <s v=""/>
    <s v=""/>
    <m/>
    <s v="0"/>
    <m/>
    <m/>
    <s v=""/>
    <x v="0"/>
  </r>
  <r>
    <m/>
    <m/>
    <x v="1"/>
    <m/>
    <s v=""/>
    <s v=""/>
    <m/>
    <s v="0"/>
    <m/>
    <m/>
    <s v=""/>
    <x v="0"/>
  </r>
  <r>
    <n v="23"/>
    <s v="n"/>
    <x v="50"/>
    <d v="1899-12-30T01:01:47"/>
    <n v="11.37"/>
    <d v="1899-12-30T00:05:26"/>
    <n v="135"/>
    <n v="73"/>
    <n v="219"/>
    <m/>
    <n v="1.0656913322569213"/>
    <x v="9"/>
  </r>
  <r>
    <m/>
    <m/>
    <x v="1"/>
    <m/>
    <s v=""/>
    <s v=""/>
    <m/>
    <s v="0"/>
    <m/>
    <m/>
    <s v=""/>
    <x v="0"/>
  </r>
  <r>
    <m/>
    <m/>
    <x v="1"/>
    <m/>
    <s v=""/>
    <s v=""/>
    <m/>
    <s v="0"/>
    <m/>
    <m/>
    <s v=""/>
    <x v="0"/>
  </r>
  <r>
    <n v="24"/>
    <s v="n"/>
    <x v="50"/>
    <d v="1899-12-30T00:53:13"/>
    <n v="10.18"/>
    <d v="1899-12-30T00:05:14"/>
    <n v="137"/>
    <n v="66"/>
    <n v="225"/>
    <m/>
    <n v="1.0533164237750345"/>
    <x v="9"/>
  </r>
  <r>
    <m/>
    <m/>
    <x v="1"/>
    <m/>
    <s v=""/>
    <s v=""/>
    <m/>
    <s v="0"/>
    <m/>
    <m/>
    <s v=""/>
    <x v="0"/>
  </r>
  <r>
    <m/>
    <m/>
    <x v="1"/>
    <m/>
    <s v=""/>
    <s v=""/>
    <m/>
    <s v="0"/>
    <m/>
    <m/>
    <s v=""/>
    <x v="0"/>
  </r>
  <r>
    <m/>
    <m/>
    <x v="1"/>
    <m/>
    <s v=""/>
    <s v=""/>
    <m/>
    <s v="0"/>
    <m/>
    <m/>
    <s v=""/>
    <x v="0"/>
  </r>
  <r>
    <n v="25"/>
    <s v="n"/>
    <x v="56"/>
    <d v="1899-12-30T01:07:14"/>
    <n v="11.55"/>
    <d v="1899-12-30T00:05:49"/>
    <n v="128"/>
    <n v="69"/>
    <n v="203"/>
    <m/>
    <n v="1.0582180009045681"/>
    <x v="9"/>
  </r>
  <r>
    <m/>
    <m/>
    <x v="1"/>
    <m/>
    <s v=""/>
    <s v=""/>
    <m/>
    <s v="0"/>
    <m/>
    <m/>
    <s v=""/>
    <x v="0"/>
  </r>
  <r>
    <m/>
    <m/>
    <x v="1"/>
    <m/>
    <s v=""/>
    <s v=""/>
    <m/>
    <s v="0"/>
    <m/>
    <m/>
    <s v=""/>
    <x v="0"/>
  </r>
  <r>
    <n v="26"/>
    <s v="n"/>
    <x v="50"/>
    <d v="1899-12-30T00:58:16"/>
    <n v="11.11"/>
    <d v="1899-12-30T00:05:15"/>
    <n v="140"/>
    <n v="73"/>
    <n v="226"/>
    <m/>
    <n v="1.0614291279874259"/>
    <x v="9"/>
  </r>
  <r>
    <m/>
    <m/>
    <x v="1"/>
    <m/>
    <s v=""/>
    <s v=""/>
    <m/>
    <s v="0"/>
    <m/>
    <m/>
    <s v=""/>
    <x v="0"/>
  </r>
  <r>
    <n v="27"/>
    <s v="n"/>
    <x v="51"/>
    <d v="1899-12-30T00:49:05"/>
    <n v="9.26"/>
    <d v="1899-12-30T00:05:18"/>
    <n v="141"/>
    <n v="59"/>
    <n v="222"/>
    <m/>
    <n v="1.0537861448696044"/>
    <x v="9"/>
  </r>
  <r>
    <m/>
    <m/>
    <x v="1"/>
    <m/>
    <s v=""/>
    <s v=""/>
    <m/>
    <s v="0"/>
    <m/>
    <m/>
    <s v=""/>
    <x v="0"/>
  </r>
  <r>
    <n v="28"/>
    <s v="n"/>
    <x v="57"/>
    <d v="1899-12-30T01:18:17"/>
    <n v="14.83"/>
    <d v="1899-12-30T00:05:17"/>
    <n v="142"/>
    <n v="97"/>
    <n v="225"/>
    <m/>
    <n v="1.063621541651151"/>
    <x v="8"/>
  </r>
  <r>
    <n v="29"/>
    <s v="n"/>
    <x v="58"/>
    <d v="1899-12-30T00:53:23"/>
    <n v="9.19"/>
    <d v="1899-12-30T00:05:49"/>
    <n v="132"/>
    <n v="55"/>
    <n v="206"/>
    <m/>
    <n v="1.071602812921248"/>
    <x v="8"/>
  </r>
  <r>
    <m/>
    <m/>
    <x v="1"/>
    <m/>
    <s v=""/>
    <s v=""/>
    <m/>
    <s v="0"/>
    <m/>
    <m/>
    <s v=""/>
    <x v="0"/>
  </r>
  <r>
    <n v="30"/>
    <s v="n"/>
    <x v="49"/>
    <d v="1899-12-30T00:47:04"/>
    <n v="9.2899999999999991"/>
    <d v="1899-12-30T00:05:04"/>
    <n v="139"/>
    <n v="61"/>
    <n v="230"/>
    <m/>
    <n v="1.0435229664379932"/>
    <x v="10"/>
  </r>
  <r>
    <m/>
    <m/>
    <x v="1"/>
    <m/>
    <s v=""/>
    <s v=""/>
    <m/>
    <s v="0"/>
    <m/>
    <m/>
    <s v=""/>
    <x v="0"/>
  </r>
  <r>
    <n v="31"/>
    <s v="j"/>
    <x v="59"/>
    <d v="1899-12-30T00:44:10"/>
    <n v="8.65"/>
    <d v="1899-12-30T00:05:06"/>
    <n v="142"/>
    <n v="56"/>
    <n v="228"/>
    <m/>
    <n v="1.0425329997411783"/>
    <x v="10"/>
  </r>
  <r>
    <m/>
    <m/>
    <x v="1"/>
    <m/>
    <m/>
    <s v=""/>
    <m/>
    <m/>
    <m/>
    <m/>
    <s v=""/>
    <x v="0"/>
  </r>
  <r>
    <n v="32"/>
    <s v="j"/>
    <x v="57"/>
    <d v="1899-12-30T01:20:11"/>
    <n v="14.94"/>
    <d v="1899-12-30T00:05:22"/>
    <n v="141"/>
    <n v="93"/>
    <n v="217.7"/>
    <m/>
    <n v="1.0463292972886571"/>
    <x v="8"/>
  </r>
  <r>
    <m/>
    <m/>
    <x v="1"/>
    <m/>
    <s v=""/>
    <s v=""/>
    <m/>
    <s v="0"/>
    <m/>
    <m/>
    <s v=""/>
    <x v="0"/>
  </r>
  <r>
    <n v="33"/>
    <s v="n"/>
    <x v="60"/>
    <d v="1899-12-30T00:47:56"/>
    <n v="10.09"/>
    <d v="1899-12-30T00:04:45"/>
    <n v="148"/>
    <n v="71"/>
    <n v="242"/>
    <m/>
    <n v="1.0295282753723949"/>
    <x v="10"/>
  </r>
  <r>
    <m/>
    <m/>
    <x v="1"/>
    <m/>
    <s v=""/>
    <s v=""/>
    <m/>
    <s v="0"/>
    <m/>
    <m/>
    <s v=""/>
    <x v="0"/>
  </r>
  <r>
    <n v="34"/>
    <s v="j"/>
    <x v="49"/>
    <d v="1899-12-30T00:50:23"/>
    <n v="9.35"/>
    <d v="1899-12-30T00:05:23"/>
    <n v="145"/>
    <n v="58"/>
    <n v="217"/>
    <m/>
    <n v="1.0471561976215182"/>
    <x v="9"/>
  </r>
  <r>
    <n v="35"/>
    <s v="j"/>
    <x v="58"/>
    <d v="1899-12-30T00:45:09"/>
    <n v="7.96"/>
    <d v="1899-12-30T00:05:40"/>
    <n v="134"/>
    <n v="48"/>
    <n v="207.6"/>
    <m/>
    <n v="1.0545046126153153"/>
    <x v="9"/>
  </r>
  <r>
    <m/>
    <m/>
    <x v="1"/>
    <m/>
    <s v=""/>
    <s v=""/>
    <m/>
    <s v="0"/>
    <m/>
    <m/>
    <s v=""/>
    <x v="0"/>
  </r>
  <r>
    <n v="36"/>
    <s v="j"/>
    <x v="61"/>
    <d v="1899-12-30T01:24:45"/>
    <n v="15.78"/>
    <d v="1899-12-30T00:05:22"/>
    <n v="140"/>
    <n v="99"/>
    <n v="218.7"/>
    <m/>
    <n v="1.051859996594972"/>
    <x v="8"/>
  </r>
  <r>
    <m/>
    <m/>
    <x v="1"/>
    <m/>
    <s v=""/>
    <s v=""/>
    <m/>
    <s v="0"/>
    <m/>
    <m/>
    <s v=""/>
    <x v="0"/>
  </r>
  <r>
    <n v="37"/>
    <s v="j"/>
    <x v="49"/>
    <d v="1899-12-30T00:48:58"/>
    <n v="9.33"/>
    <d v="1899-12-30T00:05:15"/>
    <n v="137"/>
    <n v="59"/>
    <n v="222.1"/>
    <m/>
    <n v="1.0438639599430501"/>
    <x v="9"/>
  </r>
  <r>
    <m/>
    <m/>
    <x v="1"/>
    <m/>
    <s v=""/>
    <s v=""/>
    <m/>
    <s v="0"/>
    <m/>
    <m/>
    <s v=""/>
    <x v="0"/>
  </r>
  <r>
    <n v="38"/>
    <s v="n"/>
    <x v="42"/>
    <d v="1899-12-30T00:41:09"/>
    <n v="8.84"/>
    <d v="1899-12-30T00:04:39"/>
    <n v="151"/>
    <n v="63"/>
    <n v="249.2"/>
    <m/>
    <n v="1.0388242047680152"/>
    <x v="10"/>
  </r>
  <r>
    <n v="39"/>
    <s v="j"/>
    <x v="58"/>
    <d v="1899-12-30T00:51:01"/>
    <n v="9.16"/>
    <d v="1899-12-30T00:05:34"/>
    <n v="135"/>
    <n v="56"/>
    <n v="211.4"/>
    <m/>
    <n v="1.0543821286580199"/>
    <x v="9"/>
  </r>
  <r>
    <n v="40"/>
    <s v="j"/>
    <x v="51"/>
    <d v="1899-12-30T00:55:49"/>
    <n v="10.37"/>
    <d v="1899-12-30T00:05:23"/>
    <n v="136"/>
    <n v="65"/>
    <n v="217.9"/>
    <m/>
    <n v="1.0503131881575734"/>
    <x v="9"/>
  </r>
  <r>
    <n v="41"/>
    <s v="j"/>
    <x v="51"/>
    <d v="1899-12-30T01:01:47"/>
    <n v="11.57"/>
    <d v="1899-12-30T00:05:20"/>
    <n v="138"/>
    <n v="72"/>
    <n v="219.5"/>
    <m/>
    <n v="1.0496607283375687"/>
    <x v="8"/>
  </r>
  <r>
    <m/>
    <m/>
    <x v="1"/>
    <m/>
    <s v=""/>
    <s v=""/>
    <m/>
    <s v="0"/>
    <m/>
    <m/>
    <s v=""/>
    <x v="0"/>
  </r>
  <r>
    <m/>
    <m/>
    <x v="1"/>
    <m/>
    <s v=""/>
    <s v=""/>
    <m/>
    <s v="0"/>
    <m/>
    <m/>
    <s v=""/>
    <x v="0"/>
  </r>
  <r>
    <n v="42"/>
    <s v="j"/>
    <x v="49"/>
    <d v="1899-12-30T00:50:53"/>
    <n v="9.64"/>
    <d v="1899-12-30T00:05:17"/>
    <n v="142"/>
    <n v="64"/>
    <n v="222"/>
    <m/>
    <n v="1.0493683037096673"/>
    <x v="9"/>
  </r>
  <r>
    <m/>
    <m/>
    <x v="1"/>
    <m/>
    <s v=""/>
    <s v=""/>
    <m/>
    <s v="0"/>
    <m/>
    <m/>
    <s v=""/>
    <x v="0"/>
  </r>
  <r>
    <n v="43"/>
    <s v="n"/>
    <x v="49"/>
    <d v="1899-12-30T00:49:24"/>
    <n v="9.7100000000000009"/>
    <d v="1899-12-30T00:05:05"/>
    <n v="141"/>
    <n v="64"/>
    <n v="231.3"/>
    <m/>
    <n v="1.0538038950458828"/>
    <x v="9"/>
  </r>
  <r>
    <m/>
    <m/>
    <x v="1"/>
    <m/>
    <s v=""/>
    <s v=""/>
    <m/>
    <s v="0"/>
    <m/>
    <m/>
    <s v=""/>
    <x v="0"/>
  </r>
  <r>
    <n v="44"/>
    <s v="j"/>
    <x v="57"/>
    <d v="1899-12-30T01:18:03"/>
    <n v="14.6"/>
    <d v="1899-12-30T00:05:21"/>
    <n v="136"/>
    <n v="91"/>
    <n v="219"/>
    <m/>
    <n v="1.0484328358208956"/>
    <x v="8"/>
  </r>
  <r>
    <m/>
    <m/>
    <x v="1"/>
    <m/>
    <s v=""/>
    <s v=""/>
    <m/>
    <s v="0"/>
    <m/>
    <m/>
    <s v=""/>
    <x v="0"/>
  </r>
  <r>
    <n v="45"/>
    <s v="j"/>
    <x v="49"/>
    <d v="1899-12-30T00:51:50"/>
    <n v="9.6999999999999993"/>
    <d v="1899-12-30T00:05:21"/>
    <m/>
    <n v="60"/>
    <n v="218"/>
    <m/>
    <n v="1.0432066471764891"/>
    <x v="9"/>
  </r>
  <r>
    <m/>
    <m/>
    <x v="1"/>
    <m/>
    <s v=""/>
    <s v=""/>
    <m/>
    <s v="0"/>
    <m/>
    <m/>
    <s v=""/>
    <x v="0"/>
  </r>
  <r>
    <n v="46"/>
    <s v="n"/>
    <x v="42"/>
    <d v="1899-12-30T00:44:13"/>
    <n v="9.73"/>
    <d v="1899-12-30T00:04:33"/>
    <n v="156"/>
    <n v="70"/>
    <n v="253.6"/>
    <m/>
    <n v="1.032045527756899"/>
    <x v="10"/>
  </r>
  <r>
    <n v="47"/>
    <s v="j"/>
    <x v="49"/>
    <d v="1899-12-30T00:52:15"/>
    <n v="9.56"/>
    <d v="1899-12-30T00:05:28"/>
    <n v="141"/>
    <n v="59"/>
    <n v="216"/>
    <m/>
    <n v="1.0572035221382627"/>
    <x v="9"/>
  </r>
  <r>
    <m/>
    <m/>
    <x v="1"/>
    <m/>
    <s v=""/>
    <s v=""/>
    <m/>
    <s v="0"/>
    <m/>
    <m/>
    <s v=""/>
    <x v="0"/>
  </r>
  <r>
    <n v="48"/>
    <s v="j"/>
    <x v="62"/>
    <d v="1899-12-30T01:31:26"/>
    <n v="16.71"/>
    <d v="1899-12-30T00:05:28"/>
    <n v="140"/>
    <n v="105"/>
    <n v="214"/>
    <m/>
    <n v="1.0486204524951541"/>
    <x v="8"/>
  </r>
  <r>
    <m/>
    <m/>
    <x v="1"/>
    <m/>
    <s v=""/>
    <s v=""/>
    <m/>
    <s v="0"/>
    <m/>
    <m/>
    <s v=""/>
    <x v="0"/>
  </r>
  <r>
    <n v="49"/>
    <s v="j"/>
    <x v="49"/>
    <d v="1899-12-30T00:52:12"/>
    <n v="9.83"/>
    <d v="1899-12-30T00:05:19"/>
    <n v="138"/>
    <n v="60"/>
    <n v="219"/>
    <m/>
    <n v="1.0414478978454622"/>
    <x v="9"/>
  </r>
  <r>
    <m/>
    <m/>
    <x v="1"/>
    <m/>
    <s v=""/>
    <s v=""/>
    <m/>
    <s v="0"/>
    <m/>
    <m/>
    <s v=""/>
    <x v="0"/>
  </r>
  <r>
    <n v="50"/>
    <s v="n"/>
    <x v="42"/>
    <d v="1899-12-30T00:42:56"/>
    <n v="9.44"/>
    <d v="1899-12-30T00:04:33"/>
    <n v="155"/>
    <n v="68"/>
    <n v="256.60000000000002"/>
    <m/>
    <n v="1.0450948646597522"/>
    <x v="10"/>
  </r>
  <r>
    <n v="51"/>
    <s v="j"/>
    <x v="58"/>
    <d v="1899-12-30T00:57:22"/>
    <n v="9.75"/>
    <d v="1899-12-30T00:05:53"/>
    <n v="138"/>
    <n v="57"/>
    <n v="204.4"/>
    <m/>
    <n v="1.07699165709912"/>
    <x v="9"/>
  </r>
  <r>
    <m/>
    <m/>
    <x v="1"/>
    <m/>
    <s v=""/>
    <s v=""/>
    <m/>
    <s v="0"/>
    <m/>
    <m/>
    <s v=""/>
    <x v="0"/>
  </r>
  <r>
    <n v="52"/>
    <s v="j"/>
    <x v="62"/>
    <d v="1899-12-30T01:32:18"/>
    <n v="16.68"/>
    <d v="1899-12-30T00:05:32"/>
    <n v="141"/>
    <n v="101"/>
    <n v="213.7"/>
    <m/>
    <n v="1.0589772361215504"/>
    <x v="8"/>
  </r>
  <r>
    <m/>
    <m/>
    <x v="1"/>
    <m/>
    <s v=""/>
    <s v=""/>
    <m/>
    <s v="0"/>
    <m/>
    <m/>
    <s v=""/>
    <x v="0"/>
  </r>
  <r>
    <n v="53"/>
    <s v="n"/>
    <x v="50"/>
    <d v="1899-12-30T01:00:38"/>
    <n v="11.27"/>
    <d v="1899-12-30T00:05:23"/>
    <n v="144"/>
    <n v="71"/>
    <n v="219.3"/>
    <m/>
    <n v="1.0565805400680717"/>
    <x v="9"/>
  </r>
  <r>
    <m/>
    <m/>
    <x v="1"/>
    <m/>
    <s v=""/>
    <s v=""/>
    <m/>
    <s v="0"/>
    <m/>
    <m/>
    <s v=""/>
    <x v="0"/>
  </r>
  <r>
    <n v="54"/>
    <s v="n"/>
    <x v="42"/>
    <d v="1899-12-30T00:47:44"/>
    <n v="10.32"/>
    <d v="1899-12-30T00:04:38"/>
    <n v="156"/>
    <n v="74"/>
    <n v="250.6"/>
    <m/>
    <n v="1.0380053222260788"/>
    <x v="10"/>
  </r>
  <r>
    <n v="55"/>
    <s v="n"/>
    <x v="58"/>
    <d v="1899-12-30T00:56:49"/>
    <n v="9.8800000000000008"/>
    <d v="1899-12-30T00:05:45"/>
    <n v="128"/>
    <n v="59"/>
    <n v="209"/>
    <m/>
    <n v="1.0763203214695751"/>
    <x v="9"/>
  </r>
  <r>
    <m/>
    <m/>
    <x v="1"/>
    <m/>
    <s v=""/>
    <s v=""/>
    <m/>
    <s v="0"/>
    <m/>
    <m/>
    <s v=""/>
    <x v="0"/>
  </r>
  <r>
    <n v="56"/>
    <s v="j"/>
    <x v="63"/>
    <d v="1899-12-30T01:49:55"/>
    <n v="19.68"/>
    <d v="1899-12-30T00:05:35"/>
    <n v="138"/>
    <n v="117"/>
    <n v="212"/>
    <m/>
    <n v="1.0603537192088337"/>
    <x v="8"/>
  </r>
  <r>
    <m/>
    <m/>
    <x v="1"/>
    <m/>
    <s v=""/>
    <s v=""/>
    <m/>
    <s v="0"/>
    <m/>
    <m/>
    <s v=""/>
    <x v="0"/>
  </r>
  <r>
    <m/>
    <m/>
    <x v="1"/>
    <m/>
    <s v=""/>
    <s v=""/>
    <m/>
    <s v="0"/>
    <m/>
    <m/>
    <s v=""/>
    <x v="0"/>
  </r>
  <r>
    <n v="57"/>
    <s v="j"/>
    <x v="58"/>
    <d v="1899-12-30T00:59:03"/>
    <n v="9.81"/>
    <d v="1899-12-30T00:06:01"/>
    <n v="132"/>
    <n v="55"/>
    <n v="197"/>
    <m/>
    <n v="1.0619243233374411"/>
    <x v="9"/>
  </r>
  <r>
    <m/>
    <m/>
    <x v="1"/>
    <m/>
    <s v=""/>
    <s v=""/>
    <m/>
    <s v="0"/>
    <m/>
    <m/>
    <s v=""/>
    <x v="0"/>
  </r>
  <r>
    <n v="58"/>
    <s v="j"/>
    <x v="49"/>
    <d v="1899-12-30T00:57:29"/>
    <n v="10.32"/>
    <d v="1899-12-30T00:05:34"/>
    <n v="140"/>
    <n v="61"/>
    <n v="211"/>
    <m/>
    <n v="1.0524976859886614"/>
    <x v="9"/>
  </r>
  <r>
    <m/>
    <m/>
    <x v="1"/>
    <m/>
    <s v=""/>
    <s v=""/>
    <m/>
    <s v="0"/>
    <m/>
    <m/>
    <s v=""/>
    <x v="0"/>
  </r>
  <r>
    <n v="59"/>
    <s v="j"/>
    <x v="57"/>
    <d v="1899-12-30T01:22:56"/>
    <n v="13.62"/>
    <d v="1899-12-30T00:06:05"/>
    <n v="138"/>
    <n v="74"/>
    <n v="194"/>
    <m/>
    <n v="1.0578648607184344"/>
    <x v="8"/>
  </r>
  <r>
    <m/>
    <m/>
    <x v="1"/>
    <m/>
    <s v=""/>
    <s v=""/>
    <m/>
    <s v="0"/>
    <m/>
    <m/>
    <s v=""/>
    <x v="0"/>
  </r>
  <r>
    <n v="60"/>
    <s v="j"/>
    <x v="49"/>
    <d v="1899-12-30T00:55:02"/>
    <n v="9.8000000000000007"/>
    <d v="1899-12-30T00:05:37"/>
    <n v="142"/>
    <n v="58"/>
    <n v="210"/>
    <m/>
    <n v="1.0560767590618336"/>
    <x v="9"/>
  </r>
  <r>
    <m/>
    <m/>
    <x v="1"/>
    <m/>
    <s v=""/>
    <s v=""/>
    <m/>
    <s v="0"/>
    <m/>
    <m/>
    <s v=""/>
    <x v="0"/>
  </r>
  <r>
    <n v="61"/>
    <s v="n"/>
    <x v="42"/>
    <d v="1899-12-30T00:45:53"/>
    <n v="9.7899999999999991"/>
    <d v="1899-12-30T00:04:41"/>
    <n v="154"/>
    <n v="68"/>
    <n v="248"/>
    <m/>
    <n v="1.0408793621270565"/>
    <x v="10"/>
  </r>
  <r>
    <n v="62"/>
    <s v="j"/>
    <x v="58"/>
    <d v="1899-12-30T00:57:04"/>
    <n v="9.65"/>
    <d v="1899-12-30T00:05:55"/>
    <n v="133"/>
    <n v="56"/>
    <n v="203"/>
    <m/>
    <n v="1.075047560126827"/>
    <x v="11"/>
  </r>
  <r>
    <m/>
    <m/>
    <x v="1"/>
    <m/>
    <s v=""/>
    <s v=""/>
    <m/>
    <s v="0"/>
    <m/>
    <m/>
    <s v=""/>
    <x v="0"/>
  </r>
  <r>
    <n v="63"/>
    <s v="j"/>
    <x v="63"/>
    <d v="1899-12-30T01:59:47"/>
    <n v="21.38"/>
    <d v="1899-12-30T00:05:36"/>
    <n v="140"/>
    <n v="128"/>
    <n v="212.2"/>
    <m/>
    <n v="1.0646589782611731"/>
    <x v="11"/>
  </r>
  <r>
    <m/>
    <m/>
    <x v="1"/>
    <m/>
    <s v=""/>
    <s v=""/>
    <m/>
    <s v="0"/>
    <m/>
    <m/>
    <s v=""/>
    <x v="0"/>
  </r>
  <r>
    <n v="64"/>
    <s v="n"/>
    <x v="49"/>
    <d v="1899-12-30T00:50:15"/>
    <n v="9.85"/>
    <d v="1899-12-30T00:05:06"/>
    <n v="141"/>
    <n v="64"/>
    <n v="231.5"/>
    <m/>
    <n v="1.0576142131979698"/>
    <x v="9"/>
  </r>
  <r>
    <m/>
    <m/>
    <x v="1"/>
    <m/>
    <s v=""/>
    <s v=""/>
    <m/>
    <s v="0"/>
    <m/>
    <m/>
    <s v=""/>
    <x v="0"/>
  </r>
  <r>
    <n v="65"/>
    <s v="n"/>
    <x v="40"/>
    <d v="1899-12-30T00:53:54"/>
    <n v="11.63"/>
    <d v="1899-12-30T00:04:38"/>
    <n v="156"/>
    <n v="81"/>
    <n v="249"/>
    <m/>
    <n v="1.0334389959061099"/>
    <x v="10"/>
  </r>
  <r>
    <n v="66"/>
    <s v="n"/>
    <x v="58"/>
    <d v="1899-12-30T00:51:12"/>
    <n v="8.82"/>
    <d v="1899-12-30T00:05:48"/>
    <n v="131"/>
    <n v="50"/>
    <n v="203"/>
    <m/>
    <n v="1.0552949538024163"/>
    <x v="8"/>
  </r>
  <r>
    <m/>
    <m/>
    <x v="1"/>
    <m/>
    <s v=""/>
    <s v=""/>
    <m/>
    <s v="0"/>
    <m/>
    <m/>
    <s v=""/>
    <x v="0"/>
  </r>
  <r>
    <n v="67"/>
    <s v="j"/>
    <x v="63"/>
    <d v="1899-12-30T02:00:32"/>
    <n v="21.41"/>
    <d v="1899-12-30T00:05:38"/>
    <n v="135"/>
    <n v="127"/>
    <n v="210.2"/>
    <m/>
    <n v="1.0597408101947061"/>
    <x v="11"/>
  </r>
  <r>
    <m/>
    <m/>
    <x v="1"/>
    <m/>
    <s v=""/>
    <s v=""/>
    <m/>
    <s v="0"/>
    <m/>
    <m/>
    <s v=""/>
    <x v="0"/>
  </r>
  <r>
    <n v="68"/>
    <s v="n"/>
    <x v="49"/>
    <d v="1899-12-30T00:48:29"/>
    <n v="9.8000000000000007"/>
    <d v="1899-12-30T00:04:57"/>
    <n v="148"/>
    <n v="64"/>
    <n v="236.7"/>
    <m/>
    <n v="1.048675449284191"/>
    <x v="9"/>
  </r>
  <r>
    <m/>
    <m/>
    <x v="1"/>
    <m/>
    <s v=""/>
    <s v=""/>
    <m/>
    <s v="0"/>
    <m/>
    <m/>
    <s v=""/>
    <x v="0"/>
  </r>
  <r>
    <m/>
    <m/>
    <x v="1"/>
    <m/>
    <s v=""/>
    <s v=""/>
    <m/>
    <s v="0"/>
    <m/>
    <m/>
    <s v=""/>
    <x v="0"/>
  </r>
  <r>
    <n v="69"/>
    <s v="n"/>
    <x v="50"/>
    <d v="1899-12-30T01:03:19"/>
    <n v="11.95"/>
    <d v="1899-12-30T00:05:18"/>
    <n v="144"/>
    <n v="75"/>
    <n v="222.8"/>
    <m/>
    <n v="1.0571625554237185"/>
    <x v="11"/>
  </r>
  <r>
    <n v="70"/>
    <s v="j"/>
    <x v="58"/>
    <d v="1899-12-30T01:06:48"/>
    <n v="11.27"/>
    <d v="1899-12-30T00:05:56"/>
    <n v="135"/>
    <n v="63"/>
    <n v="199.5"/>
    <m/>
    <n v="1.0589413182534533"/>
    <x v="8"/>
  </r>
  <r>
    <n v="71"/>
    <s v="j"/>
    <x v="64"/>
    <d v="1899-12-30T02:01:24"/>
    <n v="22.11"/>
    <d v="1899-12-30T00:05:29"/>
    <n v="140"/>
    <n v="133"/>
    <n v="214.7"/>
    <m/>
    <n v="1.055694931043561"/>
    <x v="11"/>
  </r>
  <r>
    <m/>
    <m/>
    <x v="1"/>
    <m/>
    <s v=""/>
    <s v=""/>
    <m/>
    <s v="0"/>
    <m/>
    <m/>
    <s v=""/>
    <x v="0"/>
  </r>
  <r>
    <n v="72"/>
    <s v="n"/>
    <x v="65"/>
    <d v="1899-12-30T01:00:37"/>
    <n v="10.79"/>
    <d v="1899-12-30T00:05:37"/>
    <n v="129"/>
    <n v="64"/>
    <n v="212"/>
    <m/>
    <n v="1.0665541615370784"/>
    <x v="9"/>
  </r>
  <r>
    <m/>
    <m/>
    <x v="1"/>
    <m/>
    <s v=""/>
    <s v=""/>
    <m/>
    <s v="0"/>
    <m/>
    <m/>
    <s v=""/>
    <x v="0"/>
  </r>
  <r>
    <n v="73"/>
    <s v="n"/>
    <x v="49"/>
    <d v="1899-12-30T00:50:22"/>
    <n v="9.8800000000000008"/>
    <d v="1899-12-30T00:05:06"/>
    <n v="141"/>
    <n v="64"/>
    <n v="231.8"/>
    <m/>
    <n v="1.0582204362801375"/>
    <x v="9"/>
  </r>
  <r>
    <m/>
    <m/>
    <x v="1"/>
    <m/>
    <s v=""/>
    <s v=""/>
    <m/>
    <s v="0"/>
    <m/>
    <m/>
    <s v=""/>
    <x v="0"/>
  </r>
  <r>
    <n v="74"/>
    <s v="n"/>
    <x v="57"/>
    <d v="1899-12-30T01:20:23"/>
    <n v="14.51"/>
    <d v="1899-12-30T00:05:32"/>
    <n v="133"/>
    <n v="87"/>
    <n v="215.4"/>
    <m/>
    <n v="1.0686137198226648"/>
    <x v="11"/>
  </r>
  <r>
    <m/>
    <m/>
    <x v="1"/>
    <m/>
    <s v=""/>
    <s v=""/>
    <m/>
    <s v="0"/>
    <m/>
    <m/>
    <s v=""/>
    <x v="0"/>
  </r>
  <r>
    <n v="75"/>
    <s v="n"/>
    <x v="50"/>
    <d v="1899-12-30T00:51:47"/>
    <n v="9.49"/>
    <d v="1899-12-30T00:05:27"/>
    <n v="132"/>
    <n v="58"/>
    <n v="216.1"/>
    <m/>
    <n v="1.0559783275403805"/>
    <x v="8"/>
  </r>
  <r>
    <m/>
    <m/>
    <x v="1"/>
    <m/>
    <s v=""/>
    <s v=""/>
    <m/>
    <s v="0"/>
    <m/>
    <m/>
    <s v=""/>
    <x v="0"/>
  </r>
  <r>
    <n v="76"/>
    <s v="j"/>
    <x v="50"/>
    <d v="1899-12-30T00:55:56"/>
    <n v="10.56"/>
    <d v="1899-12-30T00:05:18"/>
    <n v="138"/>
    <n v="65"/>
    <n v="221.1"/>
    <m/>
    <n v="1.0487499999999998"/>
    <x v="9"/>
  </r>
  <r>
    <m/>
    <m/>
    <x v="1"/>
    <m/>
    <s v=""/>
    <s v=""/>
    <m/>
    <s v="0"/>
    <m/>
    <m/>
    <s v=""/>
    <x v="0"/>
  </r>
  <r>
    <n v="77"/>
    <s v="j"/>
    <x v="50"/>
    <d v="1899-12-30T01:03:06"/>
    <n v="11.41"/>
    <d v="1899-12-30T00:05:32"/>
    <n v="139"/>
    <n v="69"/>
    <n v="214.3"/>
    <m/>
    <n v="1.0613101887582248"/>
    <x v="11"/>
  </r>
  <r>
    <m/>
    <m/>
    <x v="1"/>
    <m/>
    <s v=""/>
    <s v=""/>
    <m/>
    <s v="0"/>
    <m/>
    <m/>
    <s v=""/>
    <x v="0"/>
  </r>
  <r>
    <n v="78"/>
    <s v="j"/>
    <x v="64"/>
    <d v="1899-12-30T02:05:20"/>
    <n v="22.95"/>
    <d v="1899-12-30T00:05:28"/>
    <n v="139"/>
    <n v="140"/>
    <n v="216.9"/>
    <m/>
    <n v="1.0607667544629791"/>
    <x v="11"/>
  </r>
  <r>
    <m/>
    <m/>
    <x v="1"/>
    <m/>
    <s v=""/>
    <s v=""/>
    <m/>
    <s v="0"/>
    <m/>
    <m/>
    <s v=""/>
    <x v="0"/>
  </r>
  <r>
    <n v="79"/>
    <s v="n"/>
    <x v="45"/>
    <d v="1899-12-30T01:11:45"/>
    <n v="15.08"/>
    <d v="1899-12-30T00:04:45"/>
    <n v="153"/>
    <n v="103"/>
    <n v="245"/>
    <m/>
    <n v="1.0439100914525516"/>
    <x v="10"/>
  </r>
  <r>
    <m/>
    <m/>
    <x v="1"/>
    <m/>
    <s v=""/>
    <s v=""/>
    <m/>
    <s v="0"/>
    <m/>
    <m/>
    <s v=""/>
    <x v="0"/>
  </r>
  <r>
    <n v="80"/>
    <s v="n"/>
    <x v="50"/>
    <d v="1899-12-30T01:06:45"/>
    <n v="12.22"/>
    <d v="1899-12-30T00:05:28"/>
    <n v="143"/>
    <n v="75"/>
    <n v="217.8"/>
    <m/>
    <n v="1.0654041576080318"/>
    <x v="8"/>
  </r>
  <r>
    <n v="81"/>
    <s v="n"/>
    <x v="58"/>
    <d v="1899-12-30T00:48:54"/>
    <n v="8.3800000000000008"/>
    <d v="1899-12-30T00:05:50"/>
    <n v="130"/>
    <n v="48"/>
    <n v="204.1"/>
    <m/>
    <n v="1.0665575463968937"/>
    <x v="9"/>
  </r>
  <r>
    <m/>
    <m/>
    <x v="1"/>
    <m/>
    <s v=""/>
    <s v=""/>
    <m/>
    <s v="0"/>
    <m/>
    <m/>
    <s v=""/>
    <x v="0"/>
  </r>
  <r>
    <n v="82"/>
    <s v="j"/>
    <x v="64"/>
    <d v="1899-12-30T02:00:04"/>
    <n v="21.48"/>
    <d v="1899-12-30T00:05:35"/>
    <n v="140"/>
    <n v="120"/>
    <n v="211.7"/>
    <m/>
    <n v="1.0597062175157732"/>
    <x v="11"/>
  </r>
  <r>
    <m/>
    <m/>
    <x v="1"/>
    <m/>
    <s v=""/>
    <s v=""/>
    <m/>
    <s v="0"/>
    <m/>
    <m/>
    <s v=""/>
    <x v="0"/>
  </r>
  <r>
    <n v="83"/>
    <s v="n"/>
    <x v="49"/>
    <d v="1899-12-30T00:48:08"/>
    <n v="9.61"/>
    <d v="1899-12-30T00:05:01"/>
    <n v="138"/>
    <n v="63"/>
    <n v="235.6"/>
    <m/>
    <n v="1.0567549350024072"/>
    <x v="9"/>
  </r>
  <r>
    <m/>
    <m/>
    <x v="1"/>
    <m/>
    <s v=""/>
    <s v=""/>
    <m/>
    <s v="0"/>
    <m/>
    <m/>
    <s v=""/>
    <x v="0"/>
  </r>
  <r>
    <n v="84"/>
    <s v="n"/>
    <x v="45"/>
    <d v="1899-12-30T00:59:32"/>
    <n v="13.19"/>
    <d v="1899-12-30T00:04:31"/>
    <n v="157"/>
    <n v="94"/>
    <n v="257.39999999999998"/>
    <m/>
    <n v="1.0404001222092718"/>
    <x v="10"/>
  </r>
  <r>
    <m/>
    <m/>
    <x v="1"/>
    <m/>
    <s v=""/>
    <s v=""/>
    <m/>
    <s v="0"/>
    <m/>
    <m/>
    <s v=""/>
    <x v="0"/>
  </r>
  <r>
    <n v="85"/>
    <s v="j"/>
    <x v="58"/>
    <d v="1899-12-30T01:01:42"/>
    <n v="10.69"/>
    <d v="1899-12-30T00:05:46"/>
    <n v="135"/>
    <n v="62"/>
    <n v="205.8"/>
    <m/>
    <n v="1.0637247811457216"/>
    <x v="8"/>
  </r>
  <r>
    <n v="86"/>
    <s v="j"/>
    <x v="66"/>
    <d v="1899-12-30T02:22:40"/>
    <n v="25.51"/>
    <d v="1899-12-30T00:05:36"/>
    <n v="139"/>
    <n v="153"/>
    <n v="212.8"/>
    <m/>
    <n v="1.0657617440043998"/>
    <x v="11"/>
  </r>
  <r>
    <m/>
    <m/>
    <x v="1"/>
    <m/>
    <s v=""/>
    <s v=""/>
    <m/>
    <s v="0"/>
    <m/>
    <m/>
    <s v=""/>
    <x v="0"/>
  </r>
  <r>
    <m/>
    <m/>
    <x v="1"/>
    <m/>
    <s v=""/>
    <s v=""/>
    <m/>
    <s v="0"/>
    <m/>
    <m/>
    <s v=""/>
    <x v="0"/>
  </r>
  <r>
    <m/>
    <m/>
    <x v="1"/>
    <m/>
    <s v=""/>
    <s v=""/>
    <m/>
    <s v="0"/>
    <m/>
    <m/>
    <s v=""/>
    <x v="0"/>
  </r>
  <r>
    <n v="87"/>
    <s v="n"/>
    <x v="51"/>
    <d v="1899-12-30T00:55:21"/>
    <n v="10.36"/>
    <d v="1899-12-30T00:05:21"/>
    <n v="137"/>
    <n v="64"/>
    <n v="220.4"/>
    <m/>
    <n v="1.0544983576326863"/>
    <x v="9"/>
  </r>
  <r>
    <m/>
    <m/>
    <x v="1"/>
    <m/>
    <s v=""/>
    <s v=""/>
    <m/>
    <s v="0"/>
    <m/>
    <m/>
    <s v=""/>
    <x v="0"/>
  </r>
  <r>
    <n v="88"/>
    <s v="n"/>
    <x v="67"/>
    <d v="1899-12-30T01:34:44"/>
    <n v="16.899999999999999"/>
    <d v="1899-12-30T00:05:36"/>
    <n v="147"/>
    <n v="102"/>
    <n v="213.3"/>
    <m/>
    <n v="1.0707384968647886"/>
    <x v="11"/>
  </r>
  <r>
    <m/>
    <m/>
    <x v="1"/>
    <m/>
    <s v=""/>
    <s v=""/>
    <m/>
    <s v="0"/>
    <m/>
    <m/>
    <s v=""/>
    <x v="0"/>
  </r>
  <r>
    <m/>
    <m/>
    <x v="1"/>
    <m/>
    <s v=""/>
    <s v=""/>
    <m/>
    <s v="0"/>
    <m/>
    <m/>
    <s v=""/>
    <x v="0"/>
  </r>
  <r>
    <n v="89"/>
    <s v="n"/>
    <x v="68"/>
    <d v="1899-12-30T00:59:53"/>
    <n v="9.74"/>
    <d v="1899-12-30T00:06:09"/>
    <n v="146"/>
    <n v="68"/>
    <n v="211.1"/>
    <n v="248"/>
    <m/>
    <x v="9"/>
  </r>
  <r>
    <m/>
    <m/>
    <x v="1"/>
    <m/>
    <s v=""/>
    <s v=""/>
    <m/>
    <s v="0"/>
    <m/>
    <m/>
    <s v=""/>
    <x v="0"/>
  </r>
  <r>
    <m/>
    <m/>
    <x v="1"/>
    <m/>
    <s v=""/>
    <s v=""/>
    <m/>
    <s v="0"/>
    <m/>
    <m/>
    <s v=""/>
    <x v="0"/>
  </r>
  <r>
    <n v="90"/>
    <s v="n"/>
    <x v="52"/>
    <d v="1899-12-30T00:49:53"/>
    <n v="8.73"/>
    <d v="1899-12-30T00:05:43"/>
    <n v="126"/>
    <n v="51"/>
    <n v="208.4"/>
    <m/>
    <n v="1.0663883332478499"/>
    <x v="11"/>
  </r>
  <r>
    <m/>
    <m/>
    <x v="1"/>
    <m/>
    <s v=""/>
    <s v=""/>
    <m/>
    <s v="0"/>
    <m/>
    <m/>
    <s v=""/>
    <x v="0"/>
  </r>
  <r>
    <n v="91"/>
    <s v="n"/>
    <x v="65"/>
    <d v="1899-12-30T00:57:53"/>
    <n v="10.26"/>
    <d v="1899-12-30T00:05:38"/>
    <n v="126"/>
    <n v="61"/>
    <n v="211.2"/>
    <m/>
    <n v="1.0670297634633845"/>
    <x v="8"/>
  </r>
  <r>
    <m/>
    <m/>
    <x v="1"/>
    <m/>
    <s v=""/>
    <s v=""/>
    <m/>
    <s v="0"/>
    <m/>
    <m/>
    <s v=""/>
    <x v="0"/>
  </r>
  <r>
    <n v="92"/>
    <s v="n"/>
    <x v="68"/>
    <d v="1899-12-30T01:59:53"/>
    <n v="16.239999999999998"/>
    <d v="1899-12-30T00:07:23"/>
    <n v="141"/>
    <n v="113"/>
    <n v="187"/>
    <n v="676"/>
    <m/>
    <x v="9"/>
  </r>
  <r>
    <m/>
    <m/>
    <x v="1"/>
    <m/>
    <s v=""/>
    <s v=""/>
    <m/>
    <s v="0"/>
    <m/>
    <m/>
    <s v=""/>
    <x v="0"/>
  </r>
  <r>
    <m/>
    <m/>
    <x v="1"/>
    <m/>
    <s v=""/>
    <s v=""/>
    <m/>
    <s v="0"/>
    <m/>
    <m/>
    <s v=""/>
    <x v="0"/>
  </r>
  <r>
    <n v="93"/>
    <s v="n"/>
    <x v="50"/>
    <d v="1899-12-30T01:07:08"/>
    <n v="10.68"/>
    <d v="1899-12-30T00:06:17"/>
    <n v="121"/>
    <n v="60"/>
    <n v="195"/>
    <m/>
    <m/>
    <x v="11"/>
  </r>
  <r>
    <m/>
    <m/>
    <x v="1"/>
    <m/>
    <s v=""/>
    <s v=""/>
    <m/>
    <s v="0"/>
    <m/>
    <m/>
    <s v=""/>
    <x v="0"/>
  </r>
  <r>
    <n v="94"/>
    <s v="j"/>
    <x v="57"/>
    <d v="1899-12-30T01:28:17"/>
    <n v="15.25"/>
    <d v="1899-12-30T00:05:47"/>
    <n v="132"/>
    <n v="87"/>
    <n v="203.8"/>
    <m/>
    <n v="1.0565486665035477"/>
    <x v="11"/>
  </r>
  <r>
    <m/>
    <m/>
    <x v="1"/>
    <m/>
    <s v=""/>
    <s v=""/>
    <m/>
    <s v="0"/>
    <m/>
    <m/>
    <s v=""/>
    <x v="0"/>
  </r>
  <r>
    <n v="95"/>
    <s v="n"/>
    <x v="68"/>
    <d v="1899-12-30T01:46:48"/>
    <n v="15.32"/>
    <d v="1899-12-30T00:06:58"/>
    <n v="142"/>
    <n v="104"/>
    <n v="195.9"/>
    <n v="567"/>
    <m/>
    <x v="9"/>
  </r>
  <r>
    <m/>
    <m/>
    <x v="1"/>
    <m/>
    <s v=""/>
    <s v=""/>
    <m/>
    <s v="0"/>
    <m/>
    <m/>
    <s v=""/>
    <x v="0"/>
  </r>
  <r>
    <m/>
    <m/>
    <x v="1"/>
    <m/>
    <s v=""/>
    <s v=""/>
    <m/>
    <s v="0"/>
    <m/>
    <m/>
    <s v=""/>
    <x v="0"/>
  </r>
  <r>
    <n v="96"/>
    <s v="n"/>
    <x v="50"/>
    <d v="1899-12-30T00:58:10"/>
    <n v="10.76"/>
    <d v="1899-12-30T00:05:24"/>
    <n v="138"/>
    <n v="67"/>
    <n v="221.3"/>
    <m/>
    <n v="1.071321367141985"/>
    <x v="11"/>
  </r>
  <r>
    <m/>
    <m/>
    <x v="1"/>
    <m/>
    <s v=""/>
    <s v=""/>
    <m/>
    <s v="0"/>
    <m/>
    <m/>
    <s v=""/>
    <x v="0"/>
  </r>
  <r>
    <n v="97"/>
    <s v="j"/>
    <x v="57"/>
    <d v="1899-12-30T01:24:35"/>
    <n v="14.96"/>
    <d v="1899-12-30T00:05:39"/>
    <n v="138"/>
    <n v="88"/>
    <n v="209.2"/>
    <m/>
    <n v="1.0592325804134408"/>
    <x v="8"/>
  </r>
  <r>
    <m/>
    <m/>
    <x v="1"/>
    <m/>
    <s v=""/>
    <s v=""/>
    <m/>
    <s v="0"/>
    <m/>
    <m/>
    <s v=""/>
    <x v="0"/>
  </r>
  <r>
    <m/>
    <m/>
    <x v="1"/>
    <m/>
    <s v=""/>
    <s v=""/>
    <m/>
    <s v="0"/>
    <m/>
    <m/>
    <s v=""/>
    <x v="0"/>
  </r>
  <r>
    <m/>
    <m/>
    <x v="1"/>
    <m/>
    <s v=""/>
    <s v=""/>
    <m/>
    <s v="0"/>
    <m/>
    <m/>
    <s v=""/>
    <x v="0"/>
  </r>
  <r>
    <n v="98"/>
    <s v="n"/>
    <x v="68"/>
    <d v="1899-12-30T00:32:43"/>
    <n v="5.38"/>
    <d v="1899-12-30T00:06:05"/>
    <n v="153"/>
    <n v="42"/>
    <n v="222.7"/>
    <n v="218"/>
    <m/>
    <x v="12"/>
  </r>
  <r>
    <m/>
    <m/>
    <x v="1"/>
    <m/>
    <s v=""/>
    <s v=""/>
    <m/>
    <s v="0"/>
    <m/>
    <m/>
    <s v=""/>
    <x v="0"/>
  </r>
  <r>
    <n v="99"/>
    <s v="n"/>
    <x v="62"/>
    <d v="1899-12-30T01:27:16"/>
    <n v="14.76"/>
    <d v="1899-12-30T00:05:55"/>
    <n v="139"/>
    <n v="85"/>
    <n v="202.4"/>
    <m/>
    <n v="1.0716401731181493"/>
    <x v="9"/>
  </r>
  <r>
    <n v="100"/>
    <s v="j"/>
    <x v="62"/>
    <d v="1899-12-30T01:29:10"/>
    <n v="15.64"/>
    <d v="1899-12-30T00:05:42"/>
    <n v="138"/>
    <n v="91"/>
    <n v="207.8"/>
    <m/>
    <n v="1.0609325495285722"/>
    <x v="11"/>
  </r>
  <r>
    <m/>
    <m/>
    <x v="1"/>
    <m/>
    <s v=""/>
    <s v=""/>
    <m/>
    <s v="0"/>
    <m/>
    <m/>
    <s v=""/>
    <x v="0"/>
  </r>
  <r>
    <n v="101"/>
    <s v="n"/>
    <x v="50"/>
    <d v="1899-12-30T00:54:13"/>
    <n v="10.41"/>
    <d v="1899-12-30T00:05:12"/>
    <n v="140"/>
    <n v="65"/>
    <n v="225.6"/>
    <m/>
    <n v="1.0521983741236183"/>
    <x v="9"/>
  </r>
  <r>
    <m/>
    <m/>
    <x v="1"/>
    <m/>
    <s v=""/>
    <s v=""/>
    <m/>
    <s v="0"/>
    <m/>
    <m/>
    <s v=""/>
    <x v="0"/>
  </r>
  <r>
    <n v="102"/>
    <s v="n"/>
    <x v="13"/>
    <d v="1899-12-30T00:58:01"/>
    <n v="11.03"/>
    <d v="1899-12-30T00:05:16"/>
    <n v="145"/>
    <n v="74"/>
    <n v="220.6"/>
    <m/>
    <n v="1.0391044776119402"/>
    <x v="10"/>
  </r>
  <r>
    <n v="103"/>
    <s v="j"/>
    <x v="58"/>
    <d v="1899-12-30T00:56:24"/>
    <n v="9.81"/>
    <d v="1899-12-30T00:05:45"/>
    <n v="129"/>
    <n v="56"/>
    <n v="205.3"/>
    <m/>
    <n v="1.0570012323702589"/>
    <x v="9"/>
  </r>
  <r>
    <m/>
    <m/>
    <x v="1"/>
    <m/>
    <s v=""/>
    <s v=""/>
    <m/>
    <s v="0"/>
    <m/>
    <m/>
    <s v=""/>
    <x v="0"/>
  </r>
  <r>
    <n v="104"/>
    <s v="n"/>
    <x v="62"/>
    <d v="1899-12-30T01:22:13"/>
    <n v="14.86"/>
    <d v="1899-12-30T00:05:32"/>
    <n v="139"/>
    <n v="91"/>
    <n v="215.2"/>
    <m/>
    <n v="1.0662517828087024"/>
    <x v="11"/>
  </r>
  <r>
    <m/>
    <m/>
    <x v="1"/>
    <m/>
    <s v=""/>
    <s v=""/>
    <m/>
    <s v="0"/>
    <m/>
    <m/>
    <s v=""/>
    <x v="0"/>
  </r>
  <r>
    <n v="105"/>
    <s v="n"/>
    <x v="25"/>
    <d v="1899-12-30T01:05:54"/>
    <n v="12.23"/>
    <d v="1899-12-30T00:05:23"/>
    <n v="144"/>
    <n v="83"/>
    <n v="214.1"/>
    <m/>
    <n v="1.0331231007676256"/>
    <x v="10"/>
  </r>
  <r>
    <n v="106"/>
    <s v="n"/>
    <x v="58"/>
    <d v="1899-12-30T00:54:11"/>
    <n v="9.2899999999999991"/>
    <d v="1899-12-30T00:05:50"/>
    <n v="127"/>
    <n v="53"/>
    <n v="204.1"/>
    <m/>
    <n v="1.0660300756711598"/>
    <x v="9"/>
  </r>
  <r>
    <m/>
    <m/>
    <x v="1"/>
    <m/>
    <s v=""/>
    <s v=""/>
    <m/>
    <s v="0"/>
    <m/>
    <m/>
    <s v=""/>
    <x v="0"/>
  </r>
  <r>
    <n v="107"/>
    <s v="j"/>
    <x v="49"/>
    <d v="1899-12-30T00:52:59"/>
    <n v="9.7200000000000006"/>
    <d v="1899-12-30T00:05:27"/>
    <n v="136"/>
    <n v="58"/>
    <n v="215.4"/>
    <m/>
    <n v="1.0514658190528838"/>
    <x v="8"/>
  </r>
  <r>
    <m/>
    <m/>
    <x v="1"/>
    <m/>
    <s v=""/>
    <s v=""/>
    <m/>
    <s v="0"/>
    <m/>
    <m/>
    <s v=""/>
    <x v="0"/>
  </r>
  <r>
    <n v="108"/>
    <s v="n"/>
    <x v="63"/>
    <d v="1899-12-30T01:49:40"/>
    <n v="20.43"/>
    <d v="1899-12-30T00:05:22"/>
    <n v="141"/>
    <n v="128"/>
    <n v="221.1"/>
    <m/>
    <n v="1.0628487518355361"/>
    <x v="11"/>
  </r>
  <r>
    <m/>
    <m/>
    <x v="1"/>
    <m/>
    <s v=""/>
    <s v=""/>
    <m/>
    <s v="0"/>
    <m/>
    <m/>
    <s v=""/>
    <x v="0"/>
  </r>
  <r>
    <n v="109"/>
    <s v="n"/>
    <x v="69"/>
    <d v="1899-12-30T00:53:53"/>
    <n v="10.050000000000001"/>
    <d v="1899-12-30T00:05:22"/>
    <n v="151"/>
    <n v="66"/>
    <n v="216.8"/>
    <m/>
    <n v="1.0409362144501373"/>
    <x v="10"/>
  </r>
  <r>
    <n v="110"/>
    <s v="n"/>
    <x v="58"/>
    <d v="1899-12-30T00:55:31"/>
    <n v="9.7899999999999991"/>
    <d v="1899-12-30T00:05:40"/>
    <n v="128"/>
    <n v="57"/>
    <n v="209"/>
    <m/>
    <n v="1.0613617306724803"/>
    <x v="9"/>
  </r>
  <r>
    <m/>
    <m/>
    <x v="1"/>
    <m/>
    <s v=""/>
    <s v=""/>
    <m/>
    <s v="0"/>
    <m/>
    <m/>
    <s v=""/>
    <x v="0"/>
  </r>
  <r>
    <n v="111"/>
    <s v="n"/>
    <x v="42"/>
    <d v="1899-12-30T00:51:15"/>
    <n v="10.7"/>
    <d v="1899-12-30T00:04:47"/>
    <n v="151"/>
    <n v="73"/>
    <n v="241"/>
    <m/>
    <n v="1.0337215790207841"/>
    <x v="10"/>
  </r>
  <r>
    <m/>
    <m/>
    <x v="1"/>
    <m/>
    <s v=""/>
    <s v=""/>
    <m/>
    <s v="0"/>
    <m/>
    <m/>
    <s v=""/>
    <x v="0"/>
  </r>
  <r>
    <n v="112"/>
    <s v="j"/>
    <x v="64"/>
    <d v="1899-12-30T01:55:23"/>
    <n v="20.87"/>
    <d v="1899-12-30T00:05:32"/>
    <n v="135"/>
    <n v="125"/>
    <n v="214.7"/>
    <m/>
    <n v="1.0629898661937081"/>
    <x v="11"/>
  </r>
  <r>
    <m/>
    <m/>
    <x v="1"/>
    <m/>
    <s v=""/>
    <s v=""/>
    <m/>
    <s v="0"/>
    <m/>
    <m/>
    <s v=""/>
    <x v="0"/>
  </r>
  <r>
    <n v="113"/>
    <s v="n"/>
    <x v="58"/>
    <d v="1899-12-30T00:43:14"/>
    <n v="7.82"/>
    <d v="1899-12-30T00:05:32"/>
    <n v="130"/>
    <n v="47"/>
    <n v="215"/>
    <m/>
    <n v="1.0644539451082187"/>
    <x v="13"/>
  </r>
  <r>
    <m/>
    <m/>
    <x v="1"/>
    <m/>
    <s v=""/>
    <s v=""/>
    <m/>
    <s v="0"/>
    <m/>
    <m/>
    <s v=""/>
    <x v="0"/>
  </r>
  <r>
    <n v="114"/>
    <s v="n"/>
    <x v="50"/>
    <d v="1899-12-30T00:51:06"/>
    <n v="9.67"/>
    <d v="1899-12-30T00:05:17"/>
    <n v="143"/>
    <n v="60"/>
    <n v="224"/>
    <m/>
    <n v="1.0600317955208445"/>
    <x v="13"/>
  </r>
  <r>
    <m/>
    <m/>
    <x v="1"/>
    <m/>
    <s v=""/>
    <s v=""/>
    <m/>
    <s v="0"/>
    <m/>
    <m/>
    <s v=""/>
    <x v="0"/>
  </r>
  <r>
    <n v="115"/>
    <s v="n"/>
    <x v="57"/>
    <d v="1899-12-30T01:16:06"/>
    <n v="13.37"/>
    <d v="1899-12-30T00:05:42"/>
    <n v="133"/>
    <n v="83"/>
    <n v="213"/>
    <m/>
    <n v="1.0856986570513179"/>
    <x v="9"/>
  </r>
  <r>
    <m/>
    <m/>
    <x v="1"/>
    <m/>
    <s v=""/>
    <s v=""/>
    <m/>
    <s v="0"/>
    <m/>
    <m/>
    <s v=""/>
    <x v="0"/>
  </r>
  <r>
    <m/>
    <m/>
    <x v="1"/>
    <m/>
    <s v=""/>
    <s v=""/>
    <m/>
    <s v="0"/>
    <m/>
    <m/>
    <s v=""/>
    <x v="0"/>
  </r>
  <r>
    <n v="116"/>
    <s v="n"/>
    <x v="50"/>
    <d v="1899-12-30T00:54:26"/>
    <n v="10.210000000000001"/>
    <d v="1899-12-30T00:05:20"/>
    <n v="139"/>
    <n v="64"/>
    <n v="223"/>
    <m/>
    <n v="1.0646834388293596"/>
    <x v="9"/>
  </r>
  <r>
    <m/>
    <m/>
    <x v="1"/>
    <m/>
    <s v=""/>
    <s v=""/>
    <m/>
    <s v="0"/>
    <m/>
    <m/>
    <s v=""/>
    <x v="0"/>
  </r>
  <r>
    <n v="117"/>
    <s v="n"/>
    <x v="70"/>
    <d v="1899-12-30T00:50:33"/>
    <n v="10"/>
    <d v="1899-12-30T00:05:03"/>
    <n v="148"/>
    <n v="68"/>
    <n v="229"/>
    <m/>
    <n v="1.03665223880597"/>
    <x v="10"/>
  </r>
  <r>
    <n v="118"/>
    <s v="n"/>
    <x v="58"/>
    <d v="1899-12-30T00:57:03"/>
    <n v="10.06"/>
    <d v="1899-12-30T00:05:40"/>
    <n v="134"/>
    <n v="60"/>
    <n v="211"/>
    <m/>
    <n v="1.0715601910922523"/>
    <x v="13"/>
  </r>
  <r>
    <m/>
    <m/>
    <x v="1"/>
    <m/>
    <s v=""/>
    <s v=""/>
    <m/>
    <s v="0"/>
    <m/>
    <m/>
    <s v=""/>
    <x v="0"/>
  </r>
  <r>
    <n v="119"/>
    <s v="n"/>
    <x v="63"/>
    <d v="1899-12-30T01:50:50"/>
    <n v="20.72"/>
    <d v="1899-12-30T00:05:21"/>
    <n v="142"/>
    <n v="128"/>
    <n v="222"/>
    <m/>
    <n v="1.0634328358208955"/>
    <x v="11"/>
  </r>
  <r>
    <m/>
    <m/>
    <x v="1"/>
    <m/>
    <s v=""/>
    <s v=""/>
    <m/>
    <s v="0"/>
    <m/>
    <m/>
    <s v=""/>
    <x v="0"/>
  </r>
  <r>
    <n v="120"/>
    <s v="n"/>
    <x v="50"/>
    <d v="1899-12-30T00:52:43"/>
    <n v="10.220000000000001"/>
    <d v="1899-12-30T00:05:09"/>
    <n v="140"/>
    <n v="65"/>
    <n v="229"/>
    <m/>
    <n v="1.0578131845664049"/>
    <x v="9"/>
  </r>
  <r>
    <m/>
    <m/>
    <x v="1"/>
    <m/>
    <s v=""/>
    <s v=""/>
    <m/>
    <s v="0"/>
    <m/>
    <m/>
    <s v=""/>
    <x v="0"/>
  </r>
  <r>
    <n v="121"/>
    <s v="n"/>
    <x v="30"/>
    <d v="1899-12-30T00:54:27"/>
    <n v="10.57"/>
    <d v="1899-12-30T00:05:09"/>
    <n v="148"/>
    <n v="72"/>
    <n v="224"/>
    <m/>
    <n v="1.033349807255115"/>
    <x v="10"/>
  </r>
  <r>
    <m/>
    <m/>
    <x v="1"/>
    <m/>
    <s v=""/>
    <s v=""/>
    <m/>
    <s v="0"/>
    <m/>
    <m/>
    <s v=""/>
    <x v="0"/>
  </r>
  <r>
    <n v="122"/>
    <s v="n"/>
    <x v="58"/>
    <d v="1899-12-30T00:55:44"/>
    <n v="9.64"/>
    <d v="1899-12-30T00:05:47"/>
    <n v="135"/>
    <n v="55"/>
    <n v="206"/>
    <m/>
    <n v="1.0665510621168017"/>
    <x v="13"/>
  </r>
  <r>
    <n v="123"/>
    <s v="n"/>
    <x v="64"/>
    <d v="1899-12-30T02:09:04"/>
    <n v="24.22"/>
    <d v="1899-12-30T00:05:20"/>
    <n v="142"/>
    <n v="148"/>
    <n v="221"/>
    <m/>
    <n v="1.0546507758482566"/>
    <x v="11"/>
  </r>
  <r>
    <m/>
    <m/>
    <x v="1"/>
    <m/>
    <s v=""/>
    <s v=""/>
    <m/>
    <s v="0"/>
    <m/>
    <m/>
    <s v=""/>
    <x v="0"/>
  </r>
  <r>
    <m/>
    <m/>
    <x v="1"/>
    <m/>
    <s v=""/>
    <s v=""/>
    <m/>
    <s v="0"/>
    <m/>
    <m/>
    <s v=""/>
    <x v="0"/>
  </r>
  <r>
    <n v="124"/>
    <s v="n"/>
    <x v="58"/>
    <d v="1899-12-30T00:56:47"/>
    <n v="9.8699999999999992"/>
    <d v="1899-12-30T00:05:45"/>
    <n v="130"/>
    <n v="57"/>
    <n v="206"/>
    <m/>
    <n v="1.0613225664988131"/>
    <x v="13"/>
  </r>
  <r>
    <m/>
    <m/>
    <x v="1"/>
    <m/>
    <s v=""/>
    <s v=""/>
    <m/>
    <s v="0"/>
    <m/>
    <m/>
    <s v=""/>
    <x v="0"/>
  </r>
  <r>
    <n v="125"/>
    <s v="n"/>
    <x v="58"/>
    <d v="1899-12-30T00:56:00"/>
    <n v="9.85"/>
    <d v="1899-12-30T00:05:41"/>
    <n v="131"/>
    <n v="57"/>
    <n v="208"/>
    <m/>
    <n v="1.0589893173725284"/>
    <x v="13"/>
  </r>
  <r>
    <m/>
    <m/>
    <x v="1"/>
    <m/>
    <s v=""/>
    <s v=""/>
    <m/>
    <s v="0"/>
    <m/>
    <m/>
    <s v=""/>
    <x v="0"/>
  </r>
  <r>
    <n v="126"/>
    <s v="n"/>
    <x v="68"/>
    <d v="1899-12-30T01:47:29"/>
    <n v="15.97"/>
    <d v="1899-12-30T00:06:44"/>
    <n v="140"/>
    <n v="103"/>
    <n v="194"/>
    <n v="606"/>
    <m/>
    <x v="12"/>
  </r>
  <r>
    <m/>
    <m/>
    <x v="1"/>
    <m/>
    <s v=""/>
    <s v=""/>
    <m/>
    <s v="0"/>
    <m/>
    <m/>
    <s v=""/>
    <x v="0"/>
  </r>
  <r>
    <n v="127"/>
    <s v="n"/>
    <x v="51"/>
    <d v="1899-12-30T00:51:48"/>
    <n v="9.56"/>
    <d v="1899-12-30T00:05:25"/>
    <n v="140"/>
    <n v="71.034828256293423"/>
    <n v="218"/>
    <m/>
    <n v="1.0578030350340348"/>
    <x v="13"/>
  </r>
  <r>
    <m/>
    <m/>
    <x v="1"/>
    <m/>
    <m/>
    <s v=""/>
    <m/>
    <s v="0"/>
    <m/>
    <m/>
    <s v=""/>
    <x v="0"/>
  </r>
  <r>
    <n v="128"/>
    <s v="n"/>
    <x v="49"/>
    <d v="1899-12-30T00:49:52"/>
    <n v="9.1199999999999992"/>
    <d v="1899-12-30T00:05:28"/>
    <n v="132"/>
    <n v="56"/>
    <n v="218"/>
    <m/>
    <n v="1.067452212621105"/>
    <x v="9"/>
  </r>
  <r>
    <n v="129"/>
    <s v="n"/>
    <x v="58"/>
    <d v="1899-12-30T00:55:07"/>
    <n v="9.6199999999999992"/>
    <d v="1899-12-30T00:05:44"/>
    <n v="126"/>
    <n v="55"/>
    <n v="206"/>
    <m/>
    <n v="1.0569429360474136"/>
    <x v="13"/>
  </r>
  <r>
    <m/>
    <m/>
    <x v="1"/>
    <m/>
    <s v=""/>
    <s v=""/>
    <m/>
    <s v="0"/>
    <m/>
    <m/>
    <s v=""/>
    <x v="0"/>
  </r>
  <r>
    <n v="130"/>
    <s v="n"/>
    <x v="50"/>
    <d v="1899-12-30T00:54:54"/>
    <n v="10.3"/>
    <d v="1899-12-30T00:05:20"/>
    <n v="136"/>
    <n v="64"/>
    <n v="222"/>
    <m/>
    <n v="1.0596551224460222"/>
    <x v="11"/>
  </r>
  <r>
    <m/>
    <m/>
    <x v="1"/>
    <m/>
    <s v=""/>
    <s v=""/>
    <m/>
    <s v="0"/>
    <m/>
    <m/>
    <s v=""/>
    <x v="0"/>
  </r>
  <r>
    <n v="131"/>
    <s v="n"/>
    <x v="50"/>
    <d v="1899-12-30T00:52:06"/>
    <n v="9.73"/>
    <d v="1899-12-30T00:05:21"/>
    <n v="140"/>
    <n v="62"/>
    <n v="221"/>
    <m/>
    <n v="1.0597260358024883"/>
    <x v="9"/>
  </r>
  <r>
    <n v="132"/>
    <s v="n"/>
    <x v="42"/>
    <d v="1899-12-30T00:56:07"/>
    <n v="11.58"/>
    <d v="1899-12-30T00:04:51"/>
    <n v="150"/>
    <n v="78"/>
    <n v="240"/>
    <m/>
    <n v="1.0415281107416285"/>
    <x v="10"/>
  </r>
  <r>
    <n v="133"/>
    <s v="j"/>
    <x v="58"/>
    <d v="1899-12-30T00:56:05"/>
    <n v="9.81"/>
    <d v="1899-12-30T00:05:43"/>
    <n v="136"/>
    <n v="56"/>
    <n v="207"/>
    <m/>
    <n v="1.059769957551691"/>
    <x v="13"/>
  </r>
  <r>
    <m/>
    <m/>
    <x v="1"/>
    <m/>
    <s v=""/>
    <s v=""/>
    <m/>
    <s v="0"/>
    <m/>
    <m/>
    <s v=""/>
    <x v="0"/>
  </r>
  <r>
    <m/>
    <m/>
    <x v="1"/>
    <m/>
    <s v=""/>
    <s v=""/>
    <m/>
    <s v="0"/>
    <m/>
    <m/>
    <s v=""/>
    <x v="0"/>
  </r>
  <r>
    <n v="134"/>
    <s v="j"/>
    <x v="62"/>
    <d v="1899-12-30T01:28:51"/>
    <n v="16.04"/>
    <d v="1899-12-30T00:05:32"/>
    <n v="135"/>
    <n v="95"/>
    <n v="213"/>
    <m/>
    <n v="1.0565963821788813"/>
    <x v="11"/>
  </r>
  <r>
    <m/>
    <m/>
    <x v="1"/>
    <m/>
    <s v=""/>
    <s v=""/>
    <m/>
    <s v="0"/>
    <m/>
    <m/>
    <s v=""/>
    <x v="0"/>
  </r>
  <r>
    <n v="135"/>
    <s v="j"/>
    <x v="50"/>
    <d v="1899-12-30T00:55:58"/>
    <n v="10.57"/>
    <d v="1899-12-30T00:05:18"/>
    <n v="141"/>
    <n v="64"/>
    <n v="221"/>
    <m/>
    <n v="1.0479080472754487"/>
    <x v="9"/>
  </r>
  <r>
    <m/>
    <m/>
    <x v="1"/>
    <m/>
    <s v=""/>
    <s v=""/>
    <m/>
    <s v="0"/>
    <m/>
    <m/>
    <s v=""/>
    <x v="0"/>
  </r>
  <r>
    <m/>
    <m/>
    <x v="1"/>
    <m/>
    <s v=""/>
    <s v=""/>
    <m/>
    <s v="0"/>
    <m/>
    <m/>
    <s v=""/>
    <x v="0"/>
  </r>
  <r>
    <n v="136"/>
    <s v="n"/>
    <x v="40"/>
    <d v="1899-12-30T01:01:59"/>
    <n v="12.97"/>
    <d v="1899-12-30T00:04:47"/>
    <n v="153"/>
    <n v="89"/>
    <n v="243"/>
    <m/>
    <n v="1.0399624851839491"/>
    <x v="10"/>
  </r>
  <r>
    <n v="137"/>
    <s v="n"/>
    <x v="58"/>
    <d v="1899-12-30T00:53:56"/>
    <n v="9.5"/>
    <d v="1899-12-30T00:05:41"/>
    <n v="127"/>
    <n v="55"/>
    <n v="207"/>
    <m/>
    <n v="1.0523990573448543"/>
    <x v="13"/>
  </r>
  <r>
    <n v="138"/>
    <s v="n"/>
    <x v="64"/>
    <d v="1899-12-30T02:02:49"/>
    <n v="24.25"/>
    <d v="1899-12-30T00:05:04"/>
    <n v="142"/>
    <n v="155"/>
    <n v="231"/>
    <m/>
    <n v="1.0476928758270501"/>
    <x v="11"/>
  </r>
  <r>
    <m/>
    <m/>
    <x v="1"/>
    <m/>
    <s v=""/>
    <s v=""/>
    <m/>
    <s v="0"/>
    <m/>
    <m/>
    <s v=""/>
    <x v="0"/>
  </r>
  <r>
    <n v="139"/>
    <s v="n"/>
    <x v="50"/>
    <d v="1899-12-30T00:56:22"/>
    <n v="10.55"/>
    <d v="1899-12-30T00:05:21"/>
    <n v="142"/>
    <n v="66"/>
    <n v="221"/>
    <m/>
    <n v="1.0573983164744996"/>
    <x v="9"/>
  </r>
  <r>
    <m/>
    <m/>
    <x v="1"/>
    <m/>
    <s v=""/>
    <s v=""/>
    <m/>
    <s v="0"/>
    <m/>
    <m/>
    <s v=""/>
    <x v="0"/>
  </r>
  <r>
    <n v="140"/>
    <s v="n"/>
    <x v="71"/>
    <d v="1899-12-30T00:55:48"/>
    <n v="11.62"/>
    <d v="1899-12-30T00:04:48"/>
    <n v="150"/>
    <n v="78"/>
    <n v="241"/>
    <m/>
    <n v="1.0363860559508824"/>
    <x v="10"/>
  </r>
  <r>
    <n v="141"/>
    <s v="j"/>
    <x v="58"/>
    <d v="1899-12-30T00:53:13"/>
    <n v="9.31"/>
    <d v="1899-12-30T00:05:43"/>
    <n v="132"/>
    <n v="53"/>
    <n v="206"/>
    <m/>
    <n v="1.0544880324478574"/>
    <x v="13"/>
  </r>
  <r>
    <m/>
    <m/>
    <x v="1"/>
    <m/>
    <s v=""/>
    <s v=""/>
    <m/>
    <s v="0"/>
    <m/>
    <m/>
    <s v=""/>
    <x v="0"/>
  </r>
  <r>
    <n v="142"/>
    <s v="n"/>
    <x v="66"/>
    <d v="1899-12-30T01:50:14"/>
    <n v="19.7"/>
    <d v="1899-12-30T00:05:36"/>
    <n v="136"/>
    <n v="122"/>
    <n v="217"/>
    <m/>
    <n v="1.0873838927191453"/>
    <x v="11"/>
  </r>
  <r>
    <m/>
    <m/>
    <x v="1"/>
    <m/>
    <s v=""/>
    <s v=""/>
    <m/>
    <s v="0"/>
    <m/>
    <m/>
    <s v=""/>
    <x v="0"/>
  </r>
  <r>
    <n v="143"/>
    <s v="n"/>
    <x v="32"/>
    <d v="1899-12-30T00:52:35"/>
    <n v="10.02"/>
    <d v="1899-12-30T00:05:15"/>
    <n v="146"/>
    <n v="64"/>
    <n v="220"/>
    <m/>
    <n v="1.0339023445646023"/>
    <x v="9"/>
  </r>
  <r>
    <m/>
    <m/>
    <x v="1"/>
    <m/>
    <s v=""/>
    <s v=""/>
    <m/>
    <s v="0"/>
    <m/>
    <m/>
    <s v=""/>
    <x v="0"/>
  </r>
  <r>
    <n v="144"/>
    <s v="n"/>
    <x v="58"/>
    <d v="1899-12-30T00:53:23"/>
    <n v="9.35"/>
    <d v="1899-12-30T00:05:43"/>
    <n v="134"/>
    <n v="53"/>
    <n v="206"/>
    <m/>
    <n v="1.0532652246787453"/>
    <x v="13"/>
  </r>
  <r>
    <m/>
    <m/>
    <x v="1"/>
    <m/>
    <s v=""/>
    <s v=""/>
    <m/>
    <s v="0"/>
    <m/>
    <m/>
    <s v=""/>
    <x v="0"/>
  </r>
  <r>
    <m/>
    <m/>
    <x v="1"/>
    <m/>
    <s v=""/>
    <s v=""/>
    <m/>
    <s v="0"/>
    <m/>
    <m/>
    <s v=""/>
    <x v="0"/>
  </r>
  <r>
    <n v="145"/>
    <s v="n"/>
    <x v="50"/>
    <d v="1899-12-30T00:55:02"/>
    <n v="10.199999999999999"/>
    <d v="1899-12-30T00:05:24"/>
    <n v="137"/>
    <n v="61"/>
    <n v="216"/>
    <m/>
    <n v="1.0436523266022826"/>
    <x v="13"/>
  </r>
  <r>
    <m/>
    <m/>
    <x v="1"/>
    <m/>
    <s v=""/>
    <s v=""/>
    <m/>
    <s v="0"/>
    <m/>
    <m/>
    <s v=""/>
    <x v="0"/>
  </r>
  <r>
    <n v="146"/>
    <s v="n"/>
    <x v="32"/>
    <d v="1899-12-30T00:45:04"/>
    <n v="9.3699999999999992"/>
    <d v="1899-12-30T00:04:49"/>
    <n v="145"/>
    <n v="62"/>
    <n v="238"/>
    <m/>
    <n v="1.0251071218082484"/>
    <x v="9"/>
  </r>
  <r>
    <m/>
    <m/>
    <x v="1"/>
    <m/>
    <s v=""/>
    <s v=""/>
    <m/>
    <s v="0"/>
    <m/>
    <m/>
    <s v=""/>
    <x v="0"/>
  </r>
  <r>
    <m/>
    <m/>
    <x v="1"/>
    <m/>
    <s v=""/>
    <s v=""/>
    <m/>
    <s v="0"/>
    <m/>
    <m/>
    <s v=""/>
    <x v="0"/>
  </r>
  <r>
    <n v="147"/>
    <s v="n"/>
    <x v="52"/>
    <d v="1899-12-30T00:44:11"/>
    <n v="7.99"/>
    <d v="1899-12-30T00:05:32"/>
    <n v="132"/>
    <n v="47"/>
    <n v="212"/>
    <m/>
    <n v="1.0498421534380662"/>
    <x v="9"/>
  </r>
  <r>
    <m/>
    <m/>
    <x v="1"/>
    <m/>
    <s v=""/>
    <s v=""/>
    <m/>
    <s v="0"/>
    <m/>
    <m/>
    <s v=""/>
    <x v="0"/>
  </r>
  <r>
    <n v="148"/>
    <s v="n"/>
    <x v="4"/>
    <d v="1899-12-30T01:00:29"/>
    <n v="13.61"/>
    <d v="1899-12-30T00:04:27"/>
    <n v="158"/>
    <n v="93"/>
    <n v="256"/>
    <m/>
    <n v="1.0188118920460154"/>
    <x v="10"/>
  </r>
  <r>
    <m/>
    <m/>
    <x v="1"/>
    <m/>
    <s v=""/>
    <s v=""/>
    <m/>
    <s v="0"/>
    <m/>
    <m/>
    <s v=""/>
    <x v="0"/>
  </r>
  <r>
    <m/>
    <m/>
    <x v="1"/>
    <m/>
    <s v=""/>
    <s v=""/>
    <m/>
    <s v="0"/>
    <m/>
    <m/>
    <s v=""/>
    <x v="0"/>
  </r>
  <r>
    <m/>
    <m/>
    <x v="1"/>
    <m/>
    <s v=""/>
    <s v=""/>
    <m/>
    <s v="0"/>
    <m/>
    <m/>
    <s v=""/>
    <x v="0"/>
  </r>
  <r>
    <m/>
    <m/>
    <x v="1"/>
    <m/>
    <s v=""/>
    <s v=""/>
    <m/>
    <s v="0"/>
    <m/>
    <m/>
    <s v=""/>
    <x v="0"/>
  </r>
  <r>
    <m/>
    <m/>
    <x v="1"/>
    <m/>
    <s v=""/>
    <s v=""/>
    <m/>
    <s v="0"/>
    <m/>
    <m/>
    <s v=""/>
    <x v="0"/>
  </r>
  <r>
    <m/>
    <m/>
    <x v="1"/>
    <m/>
    <s v=""/>
    <s v=""/>
    <m/>
    <s v="0"/>
    <m/>
    <m/>
    <s v=""/>
    <x v="0"/>
  </r>
  <r>
    <n v="149"/>
    <s v="n"/>
    <x v="58"/>
    <d v="1899-12-30T00:56:15"/>
    <n v="9.6999999999999993"/>
    <d v="1899-12-30T00:05:48"/>
    <n v="132"/>
    <n v="55"/>
    <n v="204"/>
    <m/>
    <n v="1.0593937528850594"/>
    <x v="13"/>
  </r>
  <r>
    <m/>
    <m/>
    <x v="1"/>
    <m/>
    <s v=""/>
    <s v=""/>
    <m/>
    <s v="0"/>
    <m/>
    <m/>
    <s v=""/>
    <x v="0"/>
  </r>
  <r>
    <m/>
    <m/>
    <x v="1"/>
    <m/>
    <m/>
    <s v=""/>
    <m/>
    <s v="0"/>
    <m/>
    <m/>
    <s v=""/>
    <x v="0"/>
  </r>
  <r>
    <n v="150"/>
    <s v="n"/>
    <x v="49"/>
    <d v="1899-12-30T00:54:29"/>
    <n v="9.52"/>
    <d v="1899-12-30T00:05:43"/>
    <n v="142"/>
    <n v="55"/>
    <n v="207"/>
    <m/>
    <n v="1.0608977172958738"/>
    <x v="13"/>
  </r>
  <r>
    <n v="151"/>
    <s v="n"/>
    <x v="49"/>
    <d v="1899-12-30T00:52:17"/>
    <n v="9.56"/>
    <d v="1899-12-30T00:05:28"/>
    <n v="139"/>
    <n v="57"/>
    <n v="215"/>
    <m/>
    <n v="1.0529803909323674"/>
    <x v="13"/>
  </r>
  <r>
    <m/>
    <m/>
    <x v="1"/>
    <m/>
    <s v=""/>
    <s v=""/>
    <m/>
    <s v="0"/>
    <m/>
    <m/>
    <s v=""/>
    <x v="0"/>
  </r>
  <r>
    <n v="152"/>
    <s v="n"/>
    <x v="68"/>
    <d v="1899-12-30T01:33:03"/>
    <n v="13.77"/>
    <d v="1899-12-30T00:06:45"/>
    <n v="147"/>
    <n v="89"/>
    <n v="192"/>
    <n v="504"/>
    <m/>
    <x v="12"/>
  </r>
  <r>
    <m/>
    <m/>
    <x v="1"/>
    <m/>
    <s v=""/>
    <s v=""/>
    <m/>
    <s v="0"/>
    <m/>
    <m/>
    <s v=""/>
    <x v="0"/>
  </r>
  <r>
    <m/>
    <m/>
    <x v="1"/>
    <m/>
    <s v=""/>
    <s v=""/>
    <m/>
    <s v="0"/>
    <m/>
    <m/>
    <s v=""/>
    <x v="0"/>
  </r>
  <r>
    <m/>
    <m/>
    <x v="1"/>
    <m/>
    <s v=""/>
    <s v=""/>
    <m/>
    <s v="0"/>
    <m/>
    <m/>
    <s v=""/>
    <x v="0"/>
  </r>
  <r>
    <n v="153"/>
    <s v="n"/>
    <x v="49"/>
    <d v="1899-12-30T00:51:38"/>
    <n v="9.2799999999999994"/>
    <d v="1899-12-30T00:05:34"/>
    <n v="137"/>
    <n v="54"/>
    <n v="212"/>
    <m/>
    <n v="1.0563175501801341"/>
    <x v="13"/>
  </r>
  <r>
    <m/>
    <m/>
    <x v="1"/>
    <m/>
    <s v=""/>
    <s v=""/>
    <m/>
    <s v="0"/>
    <m/>
    <m/>
    <s v=""/>
    <x v="0"/>
  </r>
  <r>
    <n v="154"/>
    <s v="n"/>
    <x v="50"/>
    <d v="1899-12-30T01:04:27"/>
    <n v="11.66"/>
    <d v="1899-12-30T00:05:32"/>
    <n v="138"/>
    <n v="68"/>
    <n v="211.4"/>
    <m/>
    <n v="1.046419446506746"/>
    <x v="13"/>
  </r>
  <r>
    <m/>
    <m/>
    <x v="1"/>
    <m/>
    <s v=""/>
    <s v=""/>
    <m/>
    <s v="0"/>
    <m/>
    <m/>
    <s v=""/>
    <x v="0"/>
  </r>
  <r>
    <n v="155"/>
    <s v="n"/>
    <x v="50"/>
    <d v="1899-12-30T00:55:27"/>
    <n v="10.58"/>
    <d v="1899-12-30T00:05:14"/>
    <n v="143"/>
    <n v="66"/>
    <n v="222"/>
    <m/>
    <n v="1.0419462235138111"/>
    <x v="9"/>
  </r>
  <r>
    <m/>
    <m/>
    <x v="1"/>
    <m/>
    <s v=""/>
    <s v=""/>
    <m/>
    <s v="0"/>
    <m/>
    <m/>
    <s v=""/>
    <x v="0"/>
  </r>
  <r>
    <m/>
    <m/>
    <x v="1"/>
    <m/>
    <s v=""/>
    <s v=""/>
    <m/>
    <s v="0"/>
    <m/>
    <m/>
    <s v=""/>
    <x v="0"/>
  </r>
  <r>
    <n v="156"/>
    <s v="n"/>
    <x v="50"/>
    <d v="1899-12-30T00:55:47"/>
    <n v="10.69"/>
    <d v="1899-12-30T00:05:13"/>
    <n v="144"/>
    <n v="69"/>
    <n v="224"/>
    <m/>
    <n v="1.0467698923530151"/>
    <x v="9"/>
  </r>
  <r>
    <m/>
    <m/>
    <x v="1"/>
    <m/>
    <s v=""/>
    <s v=""/>
    <m/>
    <s v="0"/>
    <m/>
    <m/>
    <s v=""/>
    <x v="0"/>
  </r>
  <r>
    <n v="157"/>
    <s v="j"/>
    <x v="50"/>
    <d v="1899-12-30T01:00:26"/>
    <n v="11.13"/>
    <d v="1899-12-30T00:05:26"/>
    <n v="147"/>
    <n v="67"/>
    <n v="216"/>
    <m/>
    <n v="1.0502956913545478"/>
    <x v="9"/>
  </r>
  <r>
    <m/>
    <m/>
    <x v="1"/>
    <m/>
    <s v=""/>
    <s v=""/>
    <m/>
    <s v="0"/>
    <m/>
    <m/>
    <s v=""/>
    <x v="0"/>
  </r>
  <r>
    <n v="158"/>
    <s v="n"/>
    <x v="50"/>
    <d v="1899-12-30T00:57:56"/>
    <n v="10.91"/>
    <d v="1899-12-30T00:05:19"/>
    <n v="140"/>
    <n v="68"/>
    <n v="221"/>
    <m/>
    <n v="1.0509268506231446"/>
    <x v="9"/>
  </r>
  <r>
    <m/>
    <m/>
    <x v="1"/>
    <m/>
    <s v=""/>
    <s v=""/>
    <m/>
    <s v="0"/>
    <m/>
    <m/>
    <s v=""/>
    <x v="0"/>
  </r>
  <r>
    <n v="159"/>
    <s v="n"/>
    <x v="72"/>
    <d v="1899-12-30T00:53:43"/>
    <n v="10.210000000000001"/>
    <d v="1899-12-30T00:05:16"/>
    <n v="144"/>
    <n v="70"/>
    <n v="223"/>
    <m/>
    <n v="1.0506658675281768"/>
    <x v="10"/>
  </r>
  <r>
    <m/>
    <m/>
    <x v="1"/>
    <m/>
    <s v=""/>
    <s v=""/>
    <m/>
    <s v="0"/>
    <m/>
    <m/>
    <s v=""/>
    <x v="0"/>
  </r>
  <r>
    <n v="160"/>
    <s v="n"/>
    <x v="49"/>
    <d v="1899-12-30T00:47:38"/>
    <n v="9.06"/>
    <d v="1899-12-30T00:05:15"/>
    <n v="141"/>
    <n v="57"/>
    <n v="223"/>
    <m/>
    <n v="1.0499390464894074"/>
    <x v="13"/>
  </r>
  <r>
    <m/>
    <m/>
    <x v="1"/>
    <m/>
    <s v=""/>
    <s v=""/>
    <m/>
    <s v="0"/>
    <m/>
    <m/>
    <s v=""/>
    <x v="0"/>
  </r>
  <r>
    <n v="161"/>
    <s v="n"/>
    <x v="49"/>
    <d v="1899-12-30T00:55:24"/>
    <n v="10.050000000000001"/>
    <d v="1899-12-30T00:05:31"/>
    <n v="136"/>
    <n v="61"/>
    <n v="213"/>
    <m/>
    <n v="1.0514769436400089"/>
    <x v="13"/>
  </r>
  <r>
    <m/>
    <m/>
    <x v="1"/>
    <m/>
    <s v=""/>
    <s v=""/>
    <m/>
    <s v="0"/>
    <m/>
    <m/>
    <s v=""/>
    <x v="0"/>
  </r>
  <r>
    <n v="162"/>
    <s v="n"/>
    <x v="49"/>
    <d v="1899-12-30T00:50:49"/>
    <n v="9.57"/>
    <d v="1899-12-30T00:05:19"/>
    <n v="139"/>
    <n v="60"/>
    <n v="221"/>
    <m/>
    <n v="1.0509037882686882"/>
    <x v="13"/>
  </r>
  <r>
    <m/>
    <m/>
    <x v="1"/>
    <m/>
    <s v=""/>
    <s v=""/>
    <m/>
    <s v="0"/>
    <m/>
    <m/>
    <s v=""/>
    <x v="0"/>
  </r>
  <r>
    <n v="163"/>
    <s v="n"/>
    <x v="49"/>
    <d v="1899-12-30T00:48:20"/>
    <n v="9.36"/>
    <d v="1899-12-30T00:05:10"/>
    <n v="141"/>
    <n v="60"/>
    <n v="226"/>
    <m/>
    <n v="1.0450950376323513"/>
    <x v="9"/>
  </r>
  <r>
    <n v="164"/>
    <s v="n"/>
    <x v="50"/>
    <d v="1899-12-30T00:45:46"/>
    <n v="9.09"/>
    <d v="1899-12-30T00:05:02"/>
    <n v="142"/>
    <n v="60"/>
    <n v="230"/>
    <m/>
    <n v="1.0370260906687685"/>
    <x v="11"/>
  </r>
  <r>
    <m/>
    <m/>
    <x v="1"/>
    <m/>
    <s v=""/>
    <s v=""/>
    <m/>
    <s v="0"/>
    <m/>
    <m/>
    <s v=""/>
    <x v="0"/>
  </r>
  <r>
    <m/>
    <m/>
    <x v="1"/>
    <m/>
    <s v=""/>
    <s v=""/>
    <m/>
    <s v="0"/>
    <m/>
    <m/>
    <s v=""/>
    <x v="0"/>
  </r>
  <r>
    <n v="165"/>
    <s v="j"/>
    <x v="50"/>
    <d v="1899-12-30T01:07:25"/>
    <n v="11.63"/>
    <d v="1899-12-30T00:05:48"/>
    <n v="139"/>
    <n v="66"/>
    <n v="201"/>
    <m/>
    <n v="1.0434221840068789"/>
    <x v="13"/>
  </r>
  <r>
    <m/>
    <m/>
    <x v="1"/>
    <m/>
    <s v=""/>
    <s v=""/>
    <m/>
    <s v="0"/>
    <m/>
    <m/>
    <s v=""/>
    <x v="0"/>
  </r>
  <r>
    <n v="166"/>
    <s v="n"/>
    <x v="50"/>
    <d v="1899-12-30T00:54:03"/>
    <n v="10.09"/>
    <d v="1899-12-30T00:05:21"/>
    <n v="139"/>
    <n v="62"/>
    <n v="218"/>
    <m/>
    <n v="1.0457731165776667"/>
    <x v="13"/>
  </r>
  <r>
    <m/>
    <m/>
    <x v="1"/>
    <m/>
    <s v=""/>
    <s v=""/>
    <m/>
    <s v="0"/>
    <m/>
    <m/>
    <s v=""/>
    <x v="0"/>
  </r>
  <r>
    <n v="167"/>
    <s v="n"/>
    <x v="49"/>
    <d v="1899-12-30T00:50:03"/>
    <n v="9.69"/>
    <d v="1899-12-30T00:05:10"/>
    <n v="143"/>
    <n v="62"/>
    <n v="225"/>
    <m/>
    <n v="1.0407328681669055"/>
    <x v="9"/>
  </r>
  <r>
    <m/>
    <m/>
    <x v="1"/>
    <m/>
    <s v=""/>
    <s v=""/>
    <m/>
    <s v="0"/>
    <m/>
    <m/>
    <s v=""/>
    <x v="0"/>
  </r>
  <r>
    <m/>
    <m/>
    <x v="1"/>
    <m/>
    <s v=""/>
    <s v=""/>
    <m/>
    <s v="0"/>
    <m/>
    <m/>
    <s v=""/>
    <x v="0"/>
  </r>
  <r>
    <n v="168"/>
    <s v="j"/>
    <x v="50"/>
    <d v="1899-12-30T01:09:08"/>
    <n v="12.4"/>
    <d v="1899-12-30T00:05:35"/>
    <n v="140"/>
    <n v="73"/>
    <n v="208"/>
    <m/>
    <n v="1.0384978334135773"/>
    <x v="9"/>
  </r>
  <r>
    <m/>
    <m/>
    <x v="1"/>
    <m/>
    <s v=""/>
    <s v=""/>
    <m/>
    <s v="0"/>
    <m/>
    <m/>
    <s v=""/>
    <x v="0"/>
  </r>
  <r>
    <n v="169"/>
    <s v="n"/>
    <x v="72"/>
    <d v="1899-12-30T00:56:53"/>
    <n v="10.5"/>
    <d v="1899-12-30T00:05:25"/>
    <n v="145"/>
    <n v="70"/>
    <n v="216"/>
    <m/>
    <n v="1.0479147121535182"/>
    <x v="9"/>
  </r>
  <r>
    <m/>
    <m/>
    <x v="1"/>
    <m/>
    <m/>
    <s v=""/>
    <m/>
    <s v="0"/>
    <m/>
    <m/>
    <s v=""/>
    <x v="0"/>
  </r>
  <r>
    <n v="170"/>
    <s v="n"/>
    <x v="49"/>
    <d v="1899-12-30T00:49:40"/>
    <n v="9.09"/>
    <d v="1899-12-30T00:05:28"/>
    <n v="140"/>
    <n v="55"/>
    <n v="214"/>
    <m/>
    <n v="1.0471076958442112"/>
    <x v="13"/>
  </r>
  <r>
    <m/>
    <m/>
    <x v="1"/>
    <m/>
    <s v=""/>
    <s v=""/>
    <m/>
    <s v="0"/>
    <m/>
    <m/>
    <s v=""/>
    <x v="0"/>
  </r>
  <r>
    <n v="171"/>
    <s v="n"/>
    <x v="50"/>
    <d v="1899-12-30T00:54:40"/>
    <n v="10.41"/>
    <d v="1899-12-30T00:05:15"/>
    <n v="141"/>
    <n v="65"/>
    <n v="221"/>
    <m/>
    <n v="1.0392991813267953"/>
    <x v="13"/>
  </r>
  <r>
    <m/>
    <m/>
    <x v="1"/>
    <m/>
    <s v=""/>
    <s v=""/>
    <m/>
    <s v="0"/>
    <m/>
    <m/>
    <s v=""/>
    <x v="0"/>
  </r>
  <r>
    <n v="172"/>
    <s v="n"/>
    <x v="50"/>
    <d v="1899-12-30T00:52:43"/>
    <n v="9.93"/>
    <d v="1899-12-30T00:05:19"/>
    <n v="141"/>
    <n v="61"/>
    <n v="219"/>
    <m/>
    <n v="1.0411642692880014"/>
    <x v="13"/>
  </r>
  <r>
    <m/>
    <m/>
    <x v="1"/>
    <m/>
    <s v=""/>
    <s v=""/>
    <m/>
    <s v="0"/>
    <m/>
    <m/>
    <s v=""/>
    <x v="0"/>
  </r>
  <r>
    <n v="173"/>
    <s v="j"/>
    <x v="50"/>
    <d v="1899-12-30T01:06:27"/>
    <n v="11.72"/>
    <d v="1899-12-30T00:05:40"/>
    <n v="144"/>
    <n v="68"/>
    <n v="206"/>
    <m/>
    <n v="1.045950282716112"/>
    <x v="13"/>
  </r>
  <r>
    <m/>
    <m/>
    <x v="1"/>
    <m/>
    <s v=""/>
    <s v=""/>
    <m/>
    <s v="0"/>
    <m/>
    <m/>
    <s v=""/>
    <x v="0"/>
  </r>
  <r>
    <n v="174"/>
    <s v="j"/>
    <x v="49"/>
    <d v="1899-12-30T00:56:56"/>
    <n v="10.1"/>
    <d v="1899-12-30T00:05:38"/>
    <n v="140"/>
    <n v="59"/>
    <n v="206"/>
    <m/>
    <n v="1.0398936013004285"/>
    <x v="13"/>
  </r>
  <r>
    <m/>
    <m/>
    <x v="1"/>
    <m/>
    <s v=""/>
    <s v=""/>
    <m/>
    <s v="0"/>
    <m/>
    <m/>
    <s v=""/>
    <x v="0"/>
  </r>
  <r>
    <n v="175"/>
    <s v="j"/>
    <x v="50"/>
    <d v="1899-12-30T01:01:18"/>
    <n v="11.1"/>
    <d v="1899-12-30T00:05:31"/>
    <n v="137"/>
    <n v="65"/>
    <n v="210"/>
    <m/>
    <n v="1.0385639370713999"/>
    <x v="9"/>
  </r>
  <r>
    <m/>
    <m/>
    <x v="1"/>
    <m/>
    <s v=""/>
    <s v=""/>
    <m/>
    <s v="0"/>
    <m/>
    <m/>
    <s v=""/>
    <x v="0"/>
  </r>
  <r>
    <n v="176"/>
    <s v="j"/>
    <x v="50"/>
    <d v="1899-12-30T01:02:40"/>
    <n v="11.1"/>
    <d v="1899-12-30T00:05:39"/>
    <n v="136"/>
    <n v="64"/>
    <n v="205"/>
    <m/>
    <n v="1.0364394244991262"/>
    <x v="9"/>
  </r>
  <r>
    <m/>
    <m/>
    <x v="1"/>
    <m/>
    <s v=""/>
    <s v=""/>
    <m/>
    <s v="0"/>
    <m/>
    <m/>
    <s v=""/>
    <x v="0"/>
  </r>
  <r>
    <n v="177"/>
    <s v="n"/>
    <x v="73"/>
    <d v="1899-12-30T00:53:00"/>
    <n v="7.62"/>
    <d v="1899-12-30T00:06:57"/>
    <n v="150"/>
    <n v="62"/>
    <n v="204"/>
    <n v="401"/>
    <m/>
    <x v="12"/>
  </r>
  <r>
    <m/>
    <m/>
    <x v="1"/>
    <m/>
    <s v=""/>
    <s v=""/>
    <m/>
    <s v="0"/>
    <m/>
    <m/>
    <s v=""/>
    <x v="0"/>
  </r>
  <r>
    <n v="1"/>
    <s v="n"/>
    <x v="50"/>
    <d v="1899-12-30T00:54:11"/>
    <n v="10.1"/>
    <d v="1899-12-30T00:05:22"/>
    <n v="137"/>
    <n v="62"/>
    <n v="217"/>
    <n v="38"/>
    <n v="1.0425107137579428"/>
    <x v="13"/>
  </r>
  <r>
    <n v="2"/>
    <s v="n"/>
    <x v="74"/>
    <d v="1899-12-30T00:58:57"/>
    <n v="10.7"/>
    <d v="1899-12-30T00:05:31"/>
    <n v="137"/>
    <n v="65"/>
    <n v="212"/>
    <n v="27"/>
    <n v="1.0459534105175059"/>
    <x v="13"/>
  </r>
  <r>
    <m/>
    <m/>
    <x v="1"/>
    <m/>
    <s v=""/>
    <s v=""/>
    <m/>
    <s v="0"/>
    <m/>
    <m/>
    <s v=""/>
    <x v="0"/>
  </r>
  <r>
    <n v="3"/>
    <s v="j"/>
    <x v="65"/>
    <d v="1899-12-30T01:01:04"/>
    <n v="11.4"/>
    <d v="1899-12-30T00:05:21"/>
    <n v="141"/>
    <n v="69"/>
    <n v="215"/>
    <n v="29"/>
    <n v="1.0313694684472374"/>
    <x v="9"/>
  </r>
  <r>
    <m/>
    <m/>
    <x v="1"/>
    <m/>
    <s v=""/>
    <s v=""/>
    <m/>
    <s v="0"/>
    <m/>
    <m/>
    <s v=""/>
    <x v="0"/>
  </r>
  <r>
    <n v="4"/>
    <s v="n"/>
    <x v="50"/>
    <d v="1899-12-30T00:52:59"/>
    <n v="10.199999999999999"/>
    <d v="1899-12-30T00:05:12"/>
    <n v="141"/>
    <n v="65"/>
    <n v="224"/>
    <n v="40"/>
    <n v="1.041990049751244"/>
    <x v="9"/>
  </r>
  <r>
    <n v="5"/>
    <s v="n"/>
    <x v="75"/>
    <d v="1899-12-30T00:36:10"/>
    <n v="7.9"/>
    <d v="1899-12-30T00:04:35"/>
    <n v="154"/>
    <n v="55"/>
    <n v="250"/>
    <n v="29"/>
    <n v="1.024938598148498"/>
    <x v="10"/>
  </r>
  <r>
    <m/>
    <m/>
    <x v="1"/>
    <m/>
    <s v=""/>
    <s v=""/>
    <m/>
    <s v="0"/>
    <m/>
    <m/>
    <s v=""/>
    <x v="0"/>
  </r>
  <r>
    <n v="6"/>
    <s v="j"/>
    <x v="76"/>
    <d v="1899-12-30T01:22:56"/>
    <n v="14.63"/>
    <d v="1899-12-30T00:05:40"/>
    <n v="136"/>
    <n v="91"/>
    <n v="207"/>
    <n v="57"/>
    <n v="1.0508278838208138"/>
    <x v="11"/>
  </r>
  <r>
    <m/>
    <m/>
    <x v="1"/>
    <m/>
    <s v=""/>
    <s v=""/>
    <m/>
    <s v="0"/>
    <m/>
    <m/>
    <s v=""/>
    <x v="0"/>
  </r>
  <r>
    <n v="7"/>
    <s v="n"/>
    <x v="49"/>
    <d v="1899-12-30T00:50:39"/>
    <n v="9.1199999999999992"/>
    <d v="1899-12-30T00:05:33"/>
    <n v="143"/>
    <n v="56"/>
    <n v="210"/>
    <n v="29"/>
    <n v="1.0444324430479184"/>
    <x v="13"/>
  </r>
  <r>
    <m/>
    <m/>
    <x v="1"/>
    <m/>
    <s v=""/>
    <s v=""/>
    <m/>
    <s v="0"/>
    <m/>
    <m/>
    <s v=""/>
    <x v="0"/>
  </r>
  <r>
    <n v="8"/>
    <s v="n"/>
    <x v="50"/>
    <d v="1899-12-30T00:54:52"/>
    <n v="10.23"/>
    <d v="1899-12-30T00:05:22"/>
    <n v="141"/>
    <n v="65"/>
    <n v="216"/>
    <n v="52"/>
    <n v="1.0374403641615968"/>
    <x v="13"/>
  </r>
  <r>
    <n v="9"/>
    <s v="j"/>
    <x v="50"/>
    <d v="1899-12-30T01:09:51"/>
    <n v="12.5"/>
    <d v="1899-12-30T00:05:35"/>
    <n v="142"/>
    <n v="72"/>
    <m/>
    <n v="42"/>
    <m/>
    <x v="14"/>
  </r>
  <r>
    <m/>
    <m/>
    <x v="1"/>
    <m/>
    <s v=""/>
    <s v=""/>
    <m/>
    <s v="0"/>
    <m/>
    <m/>
    <s v=""/>
    <x v="0"/>
  </r>
  <r>
    <n v="10"/>
    <s v="n"/>
    <x v="62"/>
    <d v="1899-12-30T01:28:48"/>
    <n v="15.73"/>
    <d v="1899-12-30T00:05:39"/>
    <n v="137"/>
    <n v="95"/>
    <n v="206"/>
    <n v="61"/>
    <n v="1.0414247895930393"/>
    <x v="14"/>
  </r>
  <r>
    <m/>
    <m/>
    <x v="1"/>
    <m/>
    <s v=""/>
    <s v=""/>
    <m/>
    <s v="0"/>
    <m/>
    <m/>
    <s v=""/>
    <x v="0"/>
  </r>
  <r>
    <m/>
    <m/>
    <x v="1"/>
    <m/>
    <s v=""/>
    <s v=""/>
    <m/>
    <s v="0"/>
    <m/>
    <m/>
    <s v=""/>
    <x v="0"/>
  </r>
  <r>
    <n v="11"/>
    <s v="n"/>
    <x v="58"/>
    <d v="1899-12-30T00:54:15"/>
    <n v="9.1300000000000008"/>
    <d v="1899-12-30T00:05:57"/>
    <n v="133"/>
    <n v="54"/>
    <n v="198"/>
    <n v="30"/>
    <n v="1.0535874842654198"/>
    <x v="13"/>
  </r>
  <r>
    <m/>
    <m/>
    <x v="1"/>
    <m/>
    <s v=""/>
    <s v=""/>
    <m/>
    <s v="0"/>
    <m/>
    <m/>
    <s v=""/>
    <x v="0"/>
  </r>
  <r>
    <n v="12"/>
    <s v="n"/>
    <x v="49"/>
    <d v="1899-12-30T00:53:26"/>
    <n v="9.6300000000000008"/>
    <d v="1899-12-30T00:05:33"/>
    <n v="141"/>
    <n v="60"/>
    <n v="210"/>
    <n v="35"/>
    <n v="1.0434742176965639"/>
    <x v="9"/>
  </r>
  <r>
    <m/>
    <m/>
    <x v="1"/>
    <m/>
    <s v=""/>
    <s v=""/>
    <m/>
    <s v="0"/>
    <m/>
    <m/>
    <s v=""/>
    <x v="0"/>
  </r>
  <r>
    <m/>
    <m/>
    <x v="1"/>
    <m/>
    <s v=""/>
    <s v=""/>
    <m/>
    <s v="0"/>
    <m/>
    <m/>
    <s v=""/>
    <x v="0"/>
  </r>
  <r>
    <m/>
    <m/>
    <x v="1"/>
    <m/>
    <s v=""/>
    <s v=""/>
    <m/>
    <s v="0"/>
    <m/>
    <m/>
    <s v=""/>
    <x v="0"/>
  </r>
  <r>
    <n v="13"/>
    <s v="n"/>
    <x v="50"/>
    <d v="1899-12-30T00:55:46"/>
    <n v="10.29"/>
    <d v="1899-12-30T00:05:25"/>
    <n v="140"/>
    <n v="66"/>
    <n v="216"/>
    <n v="47"/>
    <n v="1.0483094730429487"/>
    <x v="14"/>
  </r>
  <r>
    <n v="14"/>
    <s v="n"/>
    <x v="30"/>
    <d v="1899-12-30T00:59:17"/>
    <n v="11.3"/>
    <d v="1899-12-30T00:05:15"/>
    <n v="151"/>
    <n v="80"/>
    <n v="217"/>
    <n v="22"/>
    <n v="1.0195073306036189"/>
    <x v="15"/>
  </r>
  <r>
    <m/>
    <m/>
    <x v="1"/>
    <m/>
    <s v=""/>
    <s v=""/>
    <m/>
    <s v="0"/>
    <m/>
    <m/>
    <s v=""/>
    <x v="0"/>
  </r>
  <r>
    <n v="15"/>
    <s v="n"/>
    <x v="77"/>
    <d v="1899-12-30T00:47:20"/>
    <n v="9.7100000000000009"/>
    <d v="1899-12-30T00:04:52"/>
    <n v="156"/>
    <n v="68"/>
    <n v="235"/>
    <n v="39"/>
    <n v="1.025869622023764"/>
    <x v="15"/>
  </r>
  <r>
    <m/>
    <m/>
    <x v="1"/>
    <m/>
    <s v=""/>
    <s v=""/>
    <m/>
    <s v="0"/>
    <m/>
    <m/>
    <s v=""/>
    <x v="0"/>
  </r>
  <r>
    <n v="16"/>
    <s v="n"/>
    <x v="62"/>
    <d v="1899-12-30T01:31:25"/>
    <n v="16.77"/>
    <d v="1899-12-30T00:05:27"/>
    <n v="142"/>
    <n v="105"/>
    <n v="214"/>
    <n v="43"/>
    <n v="1.0446782189232728"/>
    <x v="14"/>
  </r>
  <r>
    <m/>
    <m/>
    <x v="1"/>
    <m/>
    <s v=""/>
    <s v=""/>
    <m/>
    <s v="0"/>
    <m/>
    <m/>
    <s v=""/>
    <x v="0"/>
  </r>
  <r>
    <n v="17"/>
    <s v="n"/>
    <x v="50"/>
    <d v="1899-12-30T00:53:38"/>
    <n v="9.9499999999999993"/>
    <d v="1899-12-30T00:05:23"/>
    <n v="141"/>
    <n v="76.7176145167969"/>
    <n v="217"/>
    <n v="31"/>
    <n v="1.047485187129678"/>
    <x v="13"/>
  </r>
  <r>
    <m/>
    <m/>
    <x v="1"/>
    <m/>
    <s v=""/>
    <s v=""/>
    <m/>
    <s v="0"/>
    <m/>
    <m/>
    <s v=""/>
    <x v="0"/>
  </r>
  <r>
    <n v="18"/>
    <s v="n"/>
    <x v="78"/>
    <d v="1899-12-30T01:01:35"/>
    <n v="12.71"/>
    <d v="1899-12-30T00:04:51"/>
    <n v="155"/>
    <n v="92"/>
    <n v="236"/>
    <n v="38"/>
    <n v="1.0240144673955163"/>
    <x v="15"/>
  </r>
  <r>
    <n v="19"/>
    <s v="n"/>
    <x v="58"/>
    <d v="1899-12-30T00:57:55"/>
    <n v="9.94"/>
    <d v="1899-12-30T00:05:50"/>
    <n v="131"/>
    <n v="58"/>
    <n v="200"/>
    <n v="27"/>
    <n v="1.0435748821285924"/>
    <x v="13"/>
  </r>
  <r>
    <m/>
    <m/>
    <x v="1"/>
    <m/>
    <s v=""/>
    <s v=""/>
    <m/>
    <s v="0"/>
    <m/>
    <m/>
    <s v=""/>
    <x v="0"/>
  </r>
  <r>
    <n v="20"/>
    <s v="n"/>
    <x v="62"/>
    <d v="1899-12-30T01:32:37"/>
    <n v="16.78"/>
    <d v="1899-12-30T00:05:31"/>
    <n v="142"/>
    <n v="106"/>
    <n v="213"/>
    <n v="47"/>
    <n v="1.0528178535214276"/>
    <x v="14"/>
  </r>
  <r>
    <m/>
    <m/>
    <x v="1"/>
    <m/>
    <s v=""/>
    <s v=""/>
    <m/>
    <s v="0"/>
    <m/>
    <m/>
    <s v=""/>
    <x v="0"/>
  </r>
  <r>
    <m/>
    <m/>
    <x v="1"/>
    <m/>
    <s v=""/>
    <s v=""/>
    <m/>
    <s v="0"/>
    <m/>
    <m/>
    <s v=""/>
    <x v="0"/>
  </r>
  <r>
    <n v="21"/>
    <s v="n"/>
    <x v="49"/>
    <d v="1899-12-30T00:49:07"/>
    <n v="9.1199999999999992"/>
    <d v="1899-12-30T00:05:23"/>
    <n v="139"/>
    <n v="58"/>
    <n v="218"/>
    <n v="33"/>
    <n v="1.0513976171772716"/>
    <x v="9"/>
  </r>
  <r>
    <m/>
    <m/>
    <x v="1"/>
    <m/>
    <s v=""/>
    <s v=""/>
    <m/>
    <s v="0"/>
    <m/>
    <m/>
    <s v=""/>
    <x v="0"/>
  </r>
  <r>
    <n v="22"/>
    <s v="n"/>
    <x v="50"/>
    <d v="1899-12-30T00:57:13"/>
    <n v="10.220000000000001"/>
    <d v="1899-12-30T00:05:36"/>
    <n v="144"/>
    <n v="64"/>
    <n v="211"/>
    <n v="31"/>
    <n v="1.057865759266291"/>
    <x v="13"/>
  </r>
  <r>
    <m/>
    <m/>
    <x v="1"/>
    <m/>
    <s v=""/>
    <s v=""/>
    <m/>
    <s v="0"/>
    <m/>
    <m/>
    <s v=""/>
    <x v="0"/>
  </r>
  <r>
    <n v="23"/>
    <s v="n"/>
    <x v="50"/>
    <d v="1899-12-30T00:56:48"/>
    <n v="10.56"/>
    <d v="1899-12-30T00:05:23"/>
    <n v="139"/>
    <n v="68"/>
    <n v="218"/>
    <n v="30"/>
    <n v="1.050067842605156"/>
    <x v="14"/>
  </r>
  <r>
    <m/>
    <m/>
    <x v="1"/>
    <m/>
    <s v=""/>
    <s v=""/>
    <m/>
    <s v="0"/>
    <m/>
    <m/>
    <s v=""/>
    <x v="0"/>
  </r>
  <r>
    <n v="24"/>
    <s v="n"/>
    <x v="50"/>
    <d v="1899-12-30T00:57:00"/>
    <n v="10.55"/>
    <d v="1899-12-30T00:05:24"/>
    <n v="140"/>
    <n v="68"/>
    <n v="218"/>
    <n v="29"/>
    <n v="1.0547640942208389"/>
    <x v="9"/>
  </r>
  <r>
    <n v="25"/>
    <s v="n"/>
    <x v="79"/>
    <d v="1899-12-30T01:07:10"/>
    <n v="12.45"/>
    <d v="1899-12-30T00:05:24"/>
    <n v="148"/>
    <n v="92"/>
    <n v="211"/>
    <n v="28"/>
    <n v="1.01939699094887"/>
    <x v="15"/>
  </r>
  <r>
    <n v="26"/>
    <s v="n"/>
    <x v="58"/>
    <d v="1899-12-30T00:48:54"/>
    <n v="8.11"/>
    <d v="1899-12-30T00:06:02"/>
    <n v="135"/>
    <n v="47"/>
    <n v="196"/>
    <n v="18"/>
    <n v="1.0583285790529473"/>
    <x v="13"/>
  </r>
  <r>
    <m/>
    <m/>
    <x v="1"/>
    <m/>
    <s v=""/>
    <s v=""/>
    <m/>
    <s v="0"/>
    <m/>
    <m/>
    <s v=""/>
    <x v="0"/>
  </r>
  <r>
    <n v="27"/>
    <s v="j"/>
    <x v="80"/>
    <d v="1899-12-30T01:40:14"/>
    <n v="17.27"/>
    <d v="1899-12-30T00:05:48"/>
    <n v="134"/>
    <n v="103"/>
    <n v="201"/>
    <n v="65"/>
    <n v="1.0447017950202664"/>
    <x v="11"/>
  </r>
  <r>
    <m/>
    <m/>
    <x v="1"/>
    <m/>
    <s v=""/>
    <s v=""/>
    <m/>
    <s v="0"/>
    <m/>
    <m/>
    <s v=""/>
    <x v="0"/>
  </r>
  <r>
    <n v="28"/>
    <s v="n"/>
    <x v="55"/>
    <d v="1899-12-30T00:56:26"/>
    <n v="10.32"/>
    <d v="1899-12-30T00:05:28"/>
    <n v="138"/>
    <n v="65"/>
    <n v="214"/>
    <n v="27"/>
    <n v="1.0479636700219828"/>
    <x v="14"/>
  </r>
  <r>
    <m/>
    <m/>
    <x v="1"/>
    <m/>
    <s v=""/>
    <s v=""/>
    <m/>
    <s v="0"/>
    <m/>
    <m/>
    <s v=""/>
    <x v="0"/>
  </r>
  <r>
    <n v="29"/>
    <s v="n"/>
    <x v="81"/>
    <d v="1899-12-30T00:57:25"/>
    <n v="11.47"/>
    <d v="1899-12-30T00:05:00"/>
    <n v="150"/>
    <n v="83"/>
    <n v="228"/>
    <n v="30"/>
    <n v="1.0220822652214083"/>
    <x v="15"/>
  </r>
  <r>
    <n v="30"/>
    <s v="n"/>
    <x v="58"/>
    <d v="1899-12-30T00:53:54"/>
    <n v="9.39"/>
    <d v="1899-12-30T00:05:44"/>
    <n v="130"/>
    <n v="57"/>
    <n v="205"/>
    <n v="32"/>
    <n v="1.0537885651614134"/>
    <x v="13"/>
  </r>
  <r>
    <m/>
    <m/>
    <x v="1"/>
    <m/>
    <s v=""/>
    <s v=""/>
    <m/>
    <s v="0"/>
    <m/>
    <m/>
    <s v=""/>
    <x v="0"/>
  </r>
  <r>
    <n v="31"/>
    <s v="j"/>
    <x v="63"/>
    <d v="1899-12-30T01:46:50"/>
    <n v="19.63"/>
    <d v="1899-12-30T00:05:27"/>
    <n v="136"/>
    <n v="124"/>
    <n v="213"/>
    <n v="76"/>
    <n v="1.0381079827556052"/>
    <x v="14"/>
  </r>
  <r>
    <m/>
    <m/>
    <x v="1"/>
    <m/>
    <s v=""/>
    <s v=""/>
    <m/>
    <s v="0"/>
    <m/>
    <m/>
    <s v=""/>
    <x v="0"/>
  </r>
  <r>
    <n v="32"/>
    <s v="n"/>
    <x v="55"/>
    <d v="1899-12-30T00:53:09"/>
    <n v="10.199999999999999"/>
    <d v="1899-12-30T00:05:13"/>
    <m/>
    <n v="62"/>
    <m/>
    <n v="30"/>
    <m/>
    <x v="9"/>
  </r>
  <r>
    <m/>
    <m/>
    <x v="1"/>
    <m/>
    <s v=""/>
    <s v=""/>
    <m/>
    <s v="0"/>
    <m/>
    <m/>
    <s v=""/>
    <x v="0"/>
  </r>
  <r>
    <n v="33"/>
    <s v="n"/>
    <x v="82"/>
    <d v="1899-12-30T01:00:13"/>
    <n v="12.47"/>
    <d v="1899-12-30T00:04:50"/>
    <n v="153"/>
    <n v="90"/>
    <n v="239"/>
    <n v="41"/>
    <n v="1.0335336150043686"/>
    <x v="15"/>
  </r>
  <r>
    <n v="34"/>
    <s v="n"/>
    <x v="58"/>
    <d v="1899-12-30T00:52:21"/>
    <n v="9.26"/>
    <d v="1899-12-30T00:05:39"/>
    <n v="129"/>
    <n v="57"/>
    <n v="207"/>
    <n v="27"/>
    <n v="1.0479787885625864"/>
    <x v="13"/>
  </r>
  <r>
    <m/>
    <m/>
    <x v="1"/>
    <m/>
    <s v=""/>
    <s v=""/>
    <m/>
    <s v="0"/>
    <m/>
    <m/>
    <s v=""/>
    <x v="0"/>
  </r>
  <r>
    <n v="35"/>
    <s v="n"/>
    <x v="83"/>
    <d v="1899-12-30T01:32:15"/>
    <n v="19.04"/>
    <d v="1899-12-30T00:04:51"/>
    <n v="147"/>
    <n v="135"/>
    <n v="240"/>
    <n v="77"/>
    <n v="1.0413269785526154"/>
    <x v="14"/>
  </r>
  <r>
    <m/>
    <m/>
    <x v="1"/>
    <m/>
    <s v=""/>
    <s v=""/>
    <m/>
    <s v="0"/>
    <m/>
    <m/>
    <s v=""/>
    <x v="0"/>
  </r>
  <r>
    <n v="36"/>
    <s v="n"/>
    <x v="55"/>
    <d v="1899-12-30T00:54:45"/>
    <n v="10.1"/>
    <d v="1899-12-30T00:05:25"/>
    <n v="138"/>
    <n v="64"/>
    <n v="216"/>
    <n v="29"/>
    <n v="1.0485591842766366"/>
    <x v="9"/>
  </r>
  <r>
    <m/>
    <m/>
    <x v="1"/>
    <m/>
    <s v=""/>
    <s v=""/>
    <m/>
    <s v="0"/>
    <m/>
    <m/>
    <s v=""/>
    <x v="0"/>
  </r>
  <r>
    <n v="37"/>
    <s v="n"/>
    <x v="49"/>
    <d v="1899-12-30T00:52:41"/>
    <n v="9.5500000000000007"/>
    <d v="1899-12-30T00:05:31"/>
    <n v="136"/>
    <n v="60"/>
    <n v="213"/>
    <n v="32"/>
    <n v="1.0522669375634914"/>
    <x v="13"/>
  </r>
  <r>
    <m/>
    <m/>
    <x v="1"/>
    <m/>
    <s v=""/>
    <s v=""/>
    <m/>
    <s v="0"/>
    <m/>
    <m/>
    <s v=""/>
    <x v="0"/>
  </r>
  <r>
    <n v="38"/>
    <s v="n"/>
    <x v="32"/>
    <d v="1899-12-30T00:53:59"/>
    <n v="10.61"/>
    <d v="1899-12-30T00:05:05"/>
    <n v="145"/>
    <n v="72"/>
    <n v="227"/>
    <n v="48"/>
    <n v="1.0343002236695877"/>
    <x v="15"/>
  </r>
  <r>
    <m/>
    <m/>
    <x v="1"/>
    <m/>
    <s v=""/>
    <s v=""/>
    <m/>
    <s v="0"/>
    <m/>
    <m/>
    <s v=""/>
    <x v="0"/>
  </r>
  <r>
    <n v="39"/>
    <s v="n"/>
    <x v="62"/>
    <d v="1899-12-30T01:25:18"/>
    <n v="15.5"/>
    <d v="1899-12-30T00:05:30"/>
    <n v="134"/>
    <n v="97"/>
    <n v="212"/>
    <n v="82"/>
    <n v="1.0447915262397689"/>
    <x v="14"/>
  </r>
  <r>
    <m/>
    <m/>
    <x v="1"/>
    <m/>
    <s v=""/>
    <s v=""/>
    <m/>
    <s v="0"/>
    <m/>
    <m/>
    <s v=""/>
    <x v="0"/>
  </r>
  <r>
    <n v="40"/>
    <s v="n"/>
    <x v="58"/>
    <d v="1899-12-30T00:46:03"/>
    <n v="8.2200000000000006"/>
    <d v="1899-12-30T00:05:36"/>
    <n v="131"/>
    <n v="51"/>
    <n v="209"/>
    <n v="42"/>
    <n v="1.0485292515524565"/>
    <x v="13"/>
  </r>
  <r>
    <m/>
    <m/>
    <x v="1"/>
    <m/>
    <s v=""/>
    <s v=""/>
    <m/>
    <s v="0"/>
    <m/>
    <m/>
    <s v=""/>
    <x v="0"/>
  </r>
  <r>
    <n v="41"/>
    <s v="n"/>
    <x v="84"/>
    <d v="1899-12-30T00:51:33"/>
    <n v="9.52"/>
    <d v="1899-12-30T00:05:25"/>
    <n v="145"/>
    <n v="68"/>
    <n v="211"/>
    <n v="21"/>
    <n v="1.0231766587231907"/>
    <x v="15"/>
  </r>
  <r>
    <m/>
    <m/>
    <x v="1"/>
    <m/>
    <s v=""/>
    <s v=""/>
    <m/>
    <s v="0"/>
    <m/>
    <m/>
    <s v=""/>
    <x v="0"/>
  </r>
  <r>
    <n v="42"/>
    <s v="n"/>
    <x v="55"/>
    <d v="1899-12-30T00:48:05"/>
    <n v="8.67"/>
    <d v="1899-12-30T00:05:33"/>
    <n v="138"/>
    <n v="54"/>
    <n v="211"/>
    <n v="29"/>
    <n v="1.0479350651586361"/>
    <x v="13"/>
  </r>
  <r>
    <m/>
    <m/>
    <x v="1"/>
    <m/>
    <s v=""/>
    <s v=""/>
    <m/>
    <s v="0"/>
    <m/>
    <m/>
    <s v=""/>
    <x v="0"/>
  </r>
  <r>
    <n v="43"/>
    <s v="n"/>
    <x v="51"/>
    <d v="1899-12-30T00:54:44"/>
    <n v="9.7799999999999994"/>
    <d v="1899-12-30T00:05:36"/>
    <n v="142"/>
    <n v="61"/>
    <n v="209"/>
    <n v="19"/>
    <n v="1.0474559716753657"/>
    <x v="14"/>
  </r>
  <r>
    <m/>
    <m/>
    <x v="1"/>
    <m/>
    <s v=""/>
    <s v=""/>
    <m/>
    <s v="0"/>
    <m/>
    <m/>
    <s v=""/>
    <x v="0"/>
  </r>
  <r>
    <n v="44"/>
    <s v="n"/>
    <x v="32"/>
    <d v="1899-12-30T00:43:39"/>
    <n v="8.4499999999999993"/>
    <d v="1899-12-30T00:05:10"/>
    <n v="144"/>
    <n v="60"/>
    <n v="224"/>
    <n v="34"/>
    <n v="1.0362200830168684"/>
    <x v="10"/>
  </r>
  <r>
    <m/>
    <m/>
    <x v="1"/>
    <m/>
    <s v=""/>
    <s v=""/>
    <m/>
    <s v="0"/>
    <m/>
    <m/>
    <s v=""/>
    <x v="0"/>
  </r>
  <r>
    <n v="45"/>
    <s v="j"/>
    <x v="52"/>
    <d v="1899-12-30T00:35:24"/>
    <n v="6.23"/>
    <d v="1899-12-30T00:05:41"/>
    <n v="132"/>
    <n v="37"/>
    <n v="205"/>
    <n v="24"/>
    <n v="1.0431470257061404"/>
    <x v="13"/>
  </r>
  <r>
    <m/>
    <m/>
    <x v="1"/>
    <m/>
    <s v=""/>
    <s v=""/>
    <m/>
    <s v="0"/>
    <m/>
    <m/>
    <s v=""/>
    <x v="0"/>
  </r>
  <r>
    <m/>
    <m/>
    <x v="1"/>
    <m/>
    <m/>
    <s v=""/>
    <m/>
    <s v="0"/>
    <m/>
    <m/>
    <s v=""/>
    <x v="0"/>
  </r>
  <r>
    <n v="46"/>
    <s v="n"/>
    <x v="49"/>
    <d v="1899-12-30T00:45:48"/>
    <n v="8.1199999999999992"/>
    <d v="1899-12-30T00:05:38"/>
    <n v="135"/>
    <n v="51"/>
    <n v="209"/>
    <n v="20"/>
    <n v="1.0556797294316593"/>
    <x v="13"/>
  </r>
  <r>
    <m/>
    <m/>
    <x v="1"/>
    <m/>
    <s v=""/>
    <s v=""/>
    <m/>
    <s v="0"/>
    <m/>
    <m/>
    <s v=""/>
    <x v="0"/>
  </r>
  <r>
    <n v="47"/>
    <s v="n"/>
    <x v="59"/>
    <d v="1899-12-30T00:47:37"/>
    <n v="8.4"/>
    <d v="1899-12-30T00:05:40"/>
    <n v="138"/>
    <n v="53"/>
    <n v="210"/>
    <n v="29"/>
    <n v="1.066044776119403"/>
    <x v="14"/>
  </r>
  <r>
    <m/>
    <m/>
    <x v="1"/>
    <m/>
    <s v=""/>
    <s v=""/>
    <m/>
    <s v="0"/>
    <m/>
    <m/>
    <s v=""/>
    <x v="0"/>
  </r>
  <r>
    <n v="48"/>
    <s v="n"/>
    <x v="4"/>
    <d v="1899-12-30T00:43:30"/>
    <n v="10"/>
    <d v="1899-12-30T00:04:21"/>
    <n v="161"/>
    <n v="74"/>
    <n v="261"/>
    <n v="57"/>
    <n v="1.0167313432835821"/>
    <x v="15"/>
  </r>
  <r>
    <m/>
    <m/>
    <x v="1"/>
    <m/>
    <s v=""/>
    <s v=""/>
    <m/>
    <s v="0"/>
    <m/>
    <m/>
    <s v=""/>
    <x v="0"/>
  </r>
  <r>
    <m/>
    <m/>
    <x v="1"/>
    <m/>
    <s v=""/>
    <s v=""/>
    <m/>
    <s v="0"/>
    <m/>
    <m/>
    <s v=""/>
    <x v="0"/>
  </r>
  <r>
    <m/>
    <m/>
    <x v="1"/>
    <m/>
    <s v=""/>
    <s v=""/>
    <m/>
    <s v="0"/>
    <m/>
    <m/>
    <s v=""/>
    <x v="0"/>
  </r>
  <r>
    <m/>
    <m/>
    <x v="1"/>
    <m/>
    <s v=""/>
    <s v=""/>
    <m/>
    <s v="0"/>
    <m/>
    <m/>
    <s v=""/>
    <x v="0"/>
  </r>
  <r>
    <m/>
    <m/>
    <x v="1"/>
    <m/>
    <s v=""/>
    <s v=""/>
    <m/>
    <s v="0"/>
    <m/>
    <m/>
    <s v=""/>
    <x v="0"/>
  </r>
  <r>
    <n v="49"/>
    <s v="j"/>
    <x v="50"/>
    <d v="1899-12-30T01:04:57"/>
    <n v="11.1"/>
    <d v="1899-12-30T00:05:51"/>
    <n v="133"/>
    <n v="67"/>
    <n v="202"/>
    <n v="47"/>
    <n v="1.0584832593787816"/>
    <x v="13"/>
  </r>
  <r>
    <m/>
    <m/>
    <x v="1"/>
    <m/>
    <s v=""/>
    <s v=""/>
    <m/>
    <s v="0"/>
    <m/>
    <m/>
    <s v=""/>
    <x v="0"/>
  </r>
  <r>
    <n v="50"/>
    <s v="j"/>
    <x v="50"/>
    <d v="1899-12-30T01:04:11"/>
    <n v="11.2"/>
    <d v="1899-12-30T00:05:44"/>
    <n v="130"/>
    <n v="68"/>
    <n v="205"/>
    <n v="45"/>
    <n v="1.0520455756929641"/>
    <x v="14"/>
  </r>
  <r>
    <m/>
    <m/>
    <x v="1"/>
    <m/>
    <s v=""/>
    <s v=""/>
    <m/>
    <s v="0"/>
    <m/>
    <m/>
    <s v=""/>
    <x v="0"/>
  </r>
  <r>
    <m/>
    <m/>
    <x v="1"/>
    <m/>
    <s v=""/>
    <s v=""/>
    <m/>
    <s v="0"/>
    <m/>
    <m/>
    <s v=""/>
    <x v="0"/>
  </r>
  <r>
    <n v="51"/>
    <s v="n"/>
    <x v="49"/>
    <d v="1899-12-30T00:47:37"/>
    <n v="8.3800000000000008"/>
    <d v="1899-12-30T00:05:41"/>
    <n v="136"/>
    <n v="52"/>
    <n v="207"/>
    <n v="37"/>
    <n v="1.0533234780750187"/>
    <x v="13"/>
  </r>
  <r>
    <m/>
    <m/>
    <x v="1"/>
    <m/>
    <s v=""/>
    <s v=""/>
    <m/>
    <s v="0"/>
    <m/>
    <m/>
    <s v=""/>
    <x v="0"/>
  </r>
  <r>
    <m/>
    <m/>
    <x v="1"/>
    <m/>
    <s v=""/>
    <s v=""/>
    <m/>
    <s v="0"/>
    <m/>
    <m/>
    <s v=""/>
    <x v="0"/>
  </r>
  <r>
    <m/>
    <m/>
    <x v="1"/>
    <m/>
    <s v=""/>
    <s v=""/>
    <m/>
    <s v="0"/>
    <m/>
    <m/>
    <s v=""/>
    <x v="0"/>
  </r>
  <r>
    <n v="52"/>
    <s v="n"/>
    <x v="50"/>
    <d v="1899-12-30T00:57:00"/>
    <n v="10.4"/>
    <d v="1899-12-30T00:05:29"/>
    <n v="139"/>
    <n v="66"/>
    <n v="214"/>
    <n v="38"/>
    <n v="1.0503444316877151"/>
    <x v="14"/>
  </r>
  <r>
    <m/>
    <m/>
    <x v="1"/>
    <m/>
    <s v=""/>
    <s v=""/>
    <m/>
    <s v="0"/>
    <m/>
    <m/>
    <s v=""/>
    <x v="0"/>
  </r>
  <r>
    <m/>
    <m/>
    <x v="1"/>
    <m/>
    <s v=""/>
    <s v=""/>
    <m/>
    <s v="0"/>
    <m/>
    <m/>
    <s v=""/>
    <x v="0"/>
  </r>
  <r>
    <n v="53"/>
    <s v="n"/>
    <x v="84"/>
    <d v="1899-12-30T00:39:50"/>
    <n v="7.01"/>
    <d v="1899-12-30T00:05:41"/>
    <n v="149"/>
    <n v="48"/>
    <n v="201"/>
    <n v="18"/>
    <n v="1.0228245363766053"/>
    <x v="15"/>
  </r>
  <r>
    <m/>
    <m/>
    <x v="1"/>
    <m/>
    <s v=""/>
    <s v=""/>
    <m/>
    <s v="0"/>
    <m/>
    <m/>
    <s v=""/>
    <x v="0"/>
  </r>
  <r>
    <n v="54"/>
    <s v="n"/>
    <x v="49"/>
    <d v="1899-12-30T00:48:07"/>
    <n v="8.64"/>
    <d v="1899-12-30T00:05:34"/>
    <n v="144"/>
    <n v="55"/>
    <n v="212"/>
    <n v="35"/>
    <n v="1.0572899391929242"/>
    <x v="14"/>
  </r>
  <r>
    <m/>
    <m/>
    <x v="1"/>
    <m/>
    <s v=""/>
    <s v=""/>
    <m/>
    <s v="0"/>
    <m/>
    <m/>
    <s v=""/>
    <x v="0"/>
  </r>
  <r>
    <n v="55"/>
    <s v="n"/>
    <x v="85"/>
    <d v="1899-12-30T00:21:03"/>
    <n v="5"/>
    <d v="1899-12-30T00:04:13"/>
    <n v="170"/>
    <n v="38"/>
    <n v="269"/>
    <n v="24"/>
    <n v="1.0141701492537314"/>
    <x v="15"/>
  </r>
  <r>
    <m/>
    <m/>
    <x v="1"/>
    <m/>
    <s v=""/>
    <s v=""/>
    <m/>
    <s v="0"/>
    <m/>
    <m/>
    <s v=""/>
    <x v="0"/>
  </r>
  <r>
    <n v="56"/>
    <s v="n"/>
    <x v="52"/>
    <d v="1899-12-30T00:45:16"/>
    <n v="7.9"/>
    <d v="1899-12-30T00:05:44"/>
    <n v="139"/>
    <n v="46"/>
    <n v="207"/>
    <n v="30"/>
    <n v="1.062180238050255"/>
    <x v="13"/>
  </r>
  <r>
    <m/>
    <m/>
    <x v="1"/>
    <m/>
    <s v=""/>
    <s v=""/>
    <m/>
    <s v="0"/>
    <m/>
    <m/>
    <s v=""/>
    <x v="0"/>
  </r>
  <r>
    <n v="57"/>
    <s v="n"/>
    <x v="49"/>
    <d v="1899-12-30T00:57:36"/>
    <n v="10.1"/>
    <d v="1899-12-30T00:05:42"/>
    <n v="137"/>
    <n v="60"/>
    <n v="208"/>
    <n v="29"/>
    <n v="1.0622846165213538"/>
    <x v="14"/>
  </r>
  <r>
    <m/>
    <m/>
    <x v="1"/>
    <m/>
    <s v=""/>
    <s v=""/>
    <m/>
    <s v="0"/>
    <m/>
    <m/>
    <s v=""/>
    <x v="0"/>
  </r>
  <r>
    <m/>
    <m/>
    <x v="1"/>
    <m/>
    <s v=""/>
    <s v=""/>
    <m/>
    <s v="0"/>
    <m/>
    <m/>
    <s v=""/>
    <x v="0"/>
  </r>
  <r>
    <n v="58"/>
    <s v="j"/>
    <x v="55"/>
    <d v="1899-12-30T01:01:38"/>
    <n v="10.5"/>
    <d v="1899-12-30T00:05:52"/>
    <n v="127"/>
    <n v="59"/>
    <n v="199"/>
    <n v="34"/>
    <n v="1.0460582800284295"/>
    <x v="14"/>
  </r>
  <r>
    <m/>
    <m/>
    <x v="1"/>
    <m/>
    <s v=""/>
    <s v=""/>
    <m/>
    <s v="0"/>
    <m/>
    <m/>
    <s v=""/>
    <x v="0"/>
  </r>
  <r>
    <n v="59"/>
    <s v="n"/>
    <x v="50"/>
    <d v="1899-12-30T00:51:13"/>
    <n v="9.77"/>
    <d v="1899-12-30T00:05:15"/>
    <n v="143"/>
    <n v="61"/>
    <n v="224"/>
    <n v="42"/>
    <n v="1.0515773232099481"/>
    <x v="10"/>
  </r>
  <r>
    <n v="60"/>
    <s v="n"/>
    <x v="49"/>
    <d v="1899-12-30T00:44:22"/>
    <n v="7.91"/>
    <d v="1899-12-30T00:05:37"/>
    <n v="138"/>
    <n v="47"/>
    <n v="210"/>
    <n v="59"/>
    <n v="1.054814423457932"/>
    <x v="14"/>
  </r>
  <r>
    <m/>
    <m/>
    <x v="1"/>
    <m/>
    <s v=""/>
    <s v=""/>
    <m/>
    <s v="0"/>
    <m/>
    <m/>
    <s v=""/>
    <x v="0"/>
  </r>
  <r>
    <m/>
    <m/>
    <x v="1"/>
    <m/>
    <s v=""/>
    <s v=""/>
    <m/>
    <s v="0"/>
    <m/>
    <m/>
    <s v=""/>
    <x v="0"/>
  </r>
  <r>
    <m/>
    <m/>
    <x v="1"/>
    <m/>
    <s v=""/>
    <s v=""/>
    <m/>
    <s v="0"/>
    <m/>
    <m/>
    <s v=""/>
    <x v="0"/>
  </r>
  <r>
    <n v="61"/>
    <s v="n"/>
    <x v="86"/>
    <d v="1899-12-30T00:59:13"/>
    <n v="8"/>
    <d v="1899-12-30T00:07:24"/>
    <n v="145"/>
    <n v="59"/>
    <n v="193"/>
    <n v="402"/>
    <m/>
    <x v="12"/>
  </r>
  <r>
    <m/>
    <m/>
    <x v="1"/>
    <m/>
    <s v=""/>
    <s v=""/>
    <m/>
    <s v="0"/>
    <m/>
    <m/>
    <s v=""/>
    <x v="0"/>
  </r>
  <r>
    <m/>
    <m/>
    <x v="1"/>
    <m/>
    <s v=""/>
    <s v=""/>
    <m/>
    <s v="0"/>
    <m/>
    <m/>
    <s v=""/>
    <x v="0"/>
  </r>
  <r>
    <m/>
    <m/>
    <x v="1"/>
    <m/>
    <s v=""/>
    <s v=""/>
    <m/>
    <s v="0"/>
    <m/>
    <m/>
    <s v=""/>
    <x v="0"/>
  </r>
  <r>
    <m/>
    <m/>
    <x v="1"/>
    <m/>
    <s v=""/>
    <s v=""/>
    <m/>
    <s v="0"/>
    <m/>
    <m/>
    <s v=""/>
    <x v="0"/>
  </r>
  <r>
    <m/>
    <m/>
    <x v="1"/>
    <m/>
    <s v=""/>
    <s v=""/>
    <m/>
    <s v="0"/>
    <m/>
    <m/>
    <s v=""/>
    <x v="0"/>
  </r>
  <r>
    <n v="62"/>
    <s v="j"/>
    <x v="65"/>
    <d v="1899-12-30T01:02:48"/>
    <n v="10.38"/>
    <d v="1899-12-30T00:06:03"/>
    <n v="124"/>
    <n v="57"/>
    <n v="194"/>
    <n v="34"/>
    <n v="1.0510913639893018"/>
    <x v="13"/>
  </r>
  <r>
    <m/>
    <m/>
    <x v="1"/>
    <m/>
    <s v=""/>
    <s v=""/>
    <m/>
    <s v="0"/>
    <m/>
    <m/>
    <s v=""/>
    <x v="0"/>
  </r>
  <r>
    <m/>
    <m/>
    <x v="1"/>
    <m/>
    <s v=""/>
    <s v=""/>
    <m/>
    <s v="0"/>
    <m/>
    <m/>
    <s v=""/>
    <x v="0"/>
  </r>
  <r>
    <n v="63"/>
    <s v="j"/>
    <x v="50"/>
    <d v="1899-12-30T01:02:55"/>
    <n v="10.46"/>
    <d v="1899-12-30T00:06:01"/>
    <n v="131"/>
    <n v="57"/>
    <n v="195"/>
    <n v="36"/>
    <n v="1.0503767015781513"/>
    <x v="13"/>
  </r>
  <r>
    <m/>
    <m/>
    <x v="1"/>
    <m/>
    <s v=""/>
    <s v=""/>
    <m/>
    <s v="0"/>
    <m/>
    <m/>
    <s v=""/>
    <x v="0"/>
  </r>
  <r>
    <n v="64"/>
    <s v="j"/>
    <x v="50"/>
    <d v="1899-12-30T00:57:08"/>
    <n v="9.99"/>
    <d v="1899-12-30T00:05:43"/>
    <n v="137"/>
    <n v="58"/>
    <n v="206"/>
    <n v="25"/>
    <n v="1.0550371266789176"/>
    <x v="14"/>
  </r>
  <r>
    <m/>
    <m/>
    <x v="1"/>
    <m/>
    <s v=""/>
    <s v=""/>
    <m/>
    <s v="0"/>
    <m/>
    <m/>
    <s v=""/>
    <x v="0"/>
  </r>
  <r>
    <m/>
    <m/>
    <x v="1"/>
    <m/>
    <s v=""/>
    <s v=""/>
    <m/>
    <s v="0"/>
    <m/>
    <m/>
    <s v=""/>
    <x v="0"/>
  </r>
  <r>
    <n v="65"/>
    <s v="n"/>
    <x v="50"/>
    <d v="1899-12-30T00:58:57"/>
    <n v="10.54"/>
    <d v="1899-12-30T00:05:36"/>
    <n v="149"/>
    <n v="64"/>
    <n v="213"/>
    <n v="46"/>
    <n v="1.0668398991758477"/>
    <x v="14"/>
  </r>
  <r>
    <m/>
    <m/>
    <x v="1"/>
    <m/>
    <s v=""/>
    <s v=""/>
    <m/>
    <s v="0"/>
    <m/>
    <m/>
    <s v=""/>
    <x v="0"/>
  </r>
  <r>
    <m/>
    <m/>
    <x v="1"/>
    <m/>
    <s v=""/>
    <s v=""/>
    <m/>
    <s v="0"/>
    <m/>
    <m/>
    <s v=""/>
    <x v="0"/>
  </r>
  <r>
    <m/>
    <m/>
    <x v="1"/>
    <m/>
    <s v=""/>
    <s v=""/>
    <m/>
    <s v="0"/>
    <m/>
    <m/>
    <s v=""/>
    <x v="0"/>
  </r>
  <r>
    <m/>
    <m/>
    <x v="1"/>
    <m/>
    <s v=""/>
    <s v=""/>
    <m/>
    <s v="0"/>
    <m/>
    <m/>
    <s v=""/>
    <x v="0"/>
  </r>
  <r>
    <n v="66"/>
    <s v="j"/>
    <x v="50"/>
    <d v="1899-12-30T01:04:35"/>
    <n v="11"/>
    <d v="1899-12-30T00:05:52"/>
    <n v="139"/>
    <n v="63"/>
    <n v="201"/>
    <n v="34"/>
    <n v="1.0568181818181817"/>
    <x v="14"/>
  </r>
  <r>
    <m/>
    <m/>
    <x v="1"/>
    <m/>
    <s v=""/>
    <s v=""/>
    <m/>
    <s v="0"/>
    <m/>
    <m/>
    <s v=""/>
    <x v="0"/>
  </r>
  <r>
    <n v="67"/>
    <s v="n"/>
    <x v="50"/>
    <d v="1899-12-30T00:58:44"/>
    <n v="10.6"/>
    <d v="1899-12-30T00:05:32"/>
    <n v="141"/>
    <n v="64"/>
    <n v="214"/>
    <n v="36"/>
    <n v="1.061864263587722"/>
    <x v="14"/>
  </r>
  <r>
    <m/>
    <m/>
    <x v="1"/>
    <m/>
    <s v=""/>
    <s v=""/>
    <m/>
    <s v="0"/>
    <m/>
    <m/>
    <s v=""/>
    <x v="0"/>
  </r>
  <r>
    <m/>
    <m/>
    <x v="1"/>
    <m/>
    <s v=""/>
    <s v=""/>
    <m/>
    <s v="0"/>
    <m/>
    <m/>
    <s v=""/>
    <x v="0"/>
  </r>
  <r>
    <n v="68"/>
    <s v="n"/>
    <x v="50"/>
    <d v="1899-12-30T00:51:11"/>
    <n v="9.36"/>
    <d v="1899-12-30T00:05:28"/>
    <n v="147"/>
    <n v="57"/>
    <n v="216"/>
    <n v="19"/>
    <n v="1.0577497129735933"/>
    <x v="14"/>
  </r>
  <r>
    <m/>
    <m/>
    <x v="1"/>
    <m/>
    <s v=""/>
    <s v=""/>
    <m/>
    <s v="0"/>
    <m/>
    <m/>
    <s v=""/>
    <x v="0"/>
  </r>
  <r>
    <n v="69"/>
    <s v="j"/>
    <x v="50"/>
    <d v="1899-12-30T01:01:55"/>
    <n v="10.65"/>
    <d v="1899-12-30T00:05:49"/>
    <n v="146"/>
    <n v="61"/>
    <n v="203"/>
    <n v="34"/>
    <n v="1.0568915983462968"/>
    <x v="14"/>
  </r>
  <r>
    <m/>
    <m/>
    <x v="1"/>
    <m/>
    <m/>
    <s v=""/>
    <m/>
    <s v="0"/>
    <m/>
    <m/>
    <s v=""/>
    <x v="0"/>
  </r>
  <r>
    <m/>
    <m/>
    <x v="1"/>
    <m/>
    <s v=""/>
    <s v=""/>
    <m/>
    <s v="0"/>
    <m/>
    <m/>
    <s v=""/>
    <x v="0"/>
  </r>
  <r>
    <n v="70"/>
    <s v="j"/>
    <x v="50"/>
    <d v="1899-12-30T00:53:13"/>
    <n v="8.9700000000000006"/>
    <d v="1899-12-30T00:05:56"/>
    <n v="133"/>
    <n v="50"/>
    <n v="199"/>
    <n v="33"/>
    <n v="1.0572671758265528"/>
    <x v="14"/>
  </r>
  <r>
    <m/>
    <m/>
    <x v="1"/>
    <m/>
    <s v=""/>
    <s v=""/>
    <m/>
    <s v="0"/>
    <m/>
    <m/>
    <s v=""/>
    <x v="0"/>
  </r>
  <r>
    <m/>
    <m/>
    <x v="1"/>
    <m/>
    <s v=""/>
    <s v=""/>
    <m/>
    <s v="0"/>
    <m/>
    <m/>
    <s v=""/>
    <x v="0"/>
  </r>
  <r>
    <m/>
    <m/>
    <x v="1"/>
    <m/>
    <s v=""/>
    <s v=""/>
    <m/>
    <s v="0"/>
    <m/>
    <m/>
    <s v=""/>
    <x v="0"/>
  </r>
  <r>
    <m/>
    <m/>
    <x v="1"/>
    <m/>
    <s v=""/>
    <s v=""/>
    <m/>
    <s v="0"/>
    <m/>
    <m/>
    <s v=""/>
    <x v="0"/>
  </r>
  <r>
    <m/>
    <m/>
    <x v="1"/>
    <m/>
    <s v=""/>
    <s v=""/>
    <m/>
    <s v="0"/>
    <m/>
    <m/>
    <s v=""/>
    <x v="0"/>
  </r>
  <r>
    <n v="71"/>
    <s v="n"/>
    <x v="49"/>
    <d v="1899-12-30T00:49:03"/>
    <n v="8.68"/>
    <d v="1899-12-30T00:05:39"/>
    <n v="140"/>
    <n v="51"/>
    <n v="209"/>
    <n v="12"/>
    <n v="1.0576501134878604"/>
    <x v="14"/>
  </r>
  <r>
    <m/>
    <m/>
    <x v="1"/>
    <m/>
    <s v=""/>
    <s v=""/>
    <m/>
    <s v="0"/>
    <m/>
    <m/>
    <s v=""/>
    <x v="0"/>
  </r>
  <r>
    <m/>
    <m/>
    <x v="1"/>
    <m/>
    <s v=""/>
    <s v=""/>
    <m/>
    <s v="0"/>
    <m/>
    <m/>
    <s v=""/>
    <x v="0"/>
  </r>
  <r>
    <n v="72"/>
    <s v="n"/>
    <x v="49"/>
    <d v="1899-12-30T00:48:22"/>
    <n v="8.42"/>
    <d v="1899-12-30T00:05:45"/>
    <n v="139"/>
    <n v="49"/>
    <n v="205"/>
    <n v="12"/>
    <n v="1.0545431984968272"/>
    <x v="14"/>
  </r>
  <r>
    <m/>
    <m/>
    <x v="1"/>
    <m/>
    <s v=""/>
    <s v=""/>
    <m/>
    <s v="0"/>
    <m/>
    <m/>
    <s v=""/>
    <x v="0"/>
  </r>
  <r>
    <m/>
    <m/>
    <x v="1"/>
    <m/>
    <s v=""/>
    <s v=""/>
    <m/>
    <s v="0"/>
    <m/>
    <m/>
    <s v=""/>
    <x v="0"/>
  </r>
  <r>
    <n v="73"/>
    <s v="n"/>
    <x v="49"/>
    <d v="1899-12-30T00:48:25"/>
    <n v="8.36"/>
    <d v="1899-12-30T00:05:47"/>
    <n v="137"/>
    <n v="47"/>
    <n v="202"/>
    <n v="12"/>
    <n v="1.0476505034635435"/>
    <x v="13"/>
  </r>
  <r>
    <m/>
    <m/>
    <x v="1"/>
    <m/>
    <s v=""/>
    <s v=""/>
    <m/>
    <s v="0"/>
    <m/>
    <m/>
    <s v=""/>
    <x v="0"/>
  </r>
  <r>
    <m/>
    <m/>
    <x v="1"/>
    <m/>
    <s v=""/>
    <s v=""/>
    <m/>
    <s v="0"/>
    <m/>
    <m/>
    <s v=""/>
    <x v="0"/>
  </r>
  <r>
    <n v="74"/>
    <s v="n"/>
    <x v="50"/>
    <d v="1899-12-30T00:48:11"/>
    <n v="8.5"/>
    <d v="1899-12-30T00:05:40"/>
    <n v="142"/>
    <n v="49"/>
    <n v="206"/>
    <n v="23"/>
    <n v="1.0457348551360843"/>
    <x v="13"/>
  </r>
  <r>
    <m/>
    <m/>
    <x v="1"/>
    <m/>
    <s v=""/>
    <s v=""/>
    <m/>
    <s v="0"/>
    <m/>
    <m/>
    <s v=""/>
    <x v="0"/>
  </r>
  <r>
    <n v="75"/>
    <s v="j"/>
    <x v="50"/>
    <d v="1899-12-30T00:59:57"/>
    <n v="10.3"/>
    <d v="1899-12-30T00:05:49"/>
    <n v="135"/>
    <n v="58"/>
    <n v="201"/>
    <n v="29"/>
    <n v="1.0476699029126215"/>
    <x v="14"/>
  </r>
  <r>
    <m/>
    <m/>
    <x v="1"/>
    <m/>
    <s v=""/>
    <s v=""/>
    <m/>
    <s v="0"/>
    <m/>
    <m/>
    <s v=""/>
    <x v="0"/>
  </r>
  <r>
    <n v="76"/>
    <s v="n"/>
    <x v="59"/>
    <d v="1899-12-30T00:39:02"/>
    <n v="6.71"/>
    <d v="1899-12-30T00:05:49"/>
    <n v="138"/>
    <n v="39"/>
    <n v="204"/>
    <n v="11"/>
    <n v="1.0627221567275396"/>
    <x v="14"/>
  </r>
  <r>
    <m/>
    <m/>
    <x v="1"/>
    <m/>
    <s v=""/>
    <s v=""/>
    <m/>
    <s v="0"/>
    <m/>
    <m/>
    <s v=""/>
    <x v="0"/>
  </r>
  <r>
    <m/>
    <m/>
    <x v="1"/>
    <m/>
    <s v=""/>
    <s v=""/>
    <m/>
    <s v="0"/>
    <m/>
    <m/>
    <s v=""/>
    <x v="0"/>
  </r>
  <r>
    <m/>
    <m/>
    <x v="1"/>
    <m/>
    <s v=""/>
    <s v=""/>
    <m/>
    <s v="0"/>
    <m/>
    <m/>
    <s v=""/>
    <x v="0"/>
  </r>
  <r>
    <m/>
    <m/>
    <x v="1"/>
    <m/>
    <s v=""/>
    <s v=""/>
    <m/>
    <s v="0"/>
    <m/>
    <m/>
    <s v=""/>
    <x v="0"/>
  </r>
  <r>
    <n v="77"/>
    <s v="n"/>
    <x v="59"/>
    <d v="1899-12-30T00:36:36"/>
    <n v="6.14"/>
    <d v="1899-12-30T00:05:58"/>
    <n v="146"/>
    <n v="35"/>
    <n v="198"/>
    <n v="18"/>
    <n v="1.05694977879333"/>
    <x v="13"/>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78"/>
    <s v="n"/>
    <x v="49"/>
    <d v="1899-12-30T00:51:59"/>
    <n v="8.32"/>
    <d v="1899-12-30T00:06:15"/>
    <n v="134"/>
    <n v="44"/>
    <n v="188"/>
    <n v="23"/>
    <n v="1.0519015499425948"/>
    <x v="13"/>
  </r>
  <r>
    <m/>
    <m/>
    <x v="1"/>
    <m/>
    <s v=""/>
    <s v=""/>
    <m/>
    <s v="0"/>
    <m/>
    <m/>
    <s v=""/>
    <x v="0"/>
  </r>
  <r>
    <m/>
    <m/>
    <x v="1"/>
    <m/>
    <s v=""/>
    <s v=""/>
    <m/>
    <s v="0"/>
    <m/>
    <m/>
    <s v=""/>
    <x v="0"/>
  </r>
  <r>
    <m/>
    <m/>
    <x v="1"/>
    <m/>
    <s v=""/>
    <s v=""/>
    <m/>
    <s v="0"/>
    <m/>
    <m/>
    <s v=""/>
    <x v="0"/>
  </r>
  <r>
    <m/>
    <m/>
    <x v="1"/>
    <m/>
    <s v=""/>
    <s v=""/>
    <m/>
    <s v="0"/>
    <m/>
    <m/>
    <s v=""/>
    <x v="0"/>
  </r>
  <r>
    <n v="79"/>
    <s v="j"/>
    <x v="49"/>
    <d v="1899-12-30T00:48:17"/>
    <n v="8.01"/>
    <d v="1899-12-30T00:06:02"/>
    <n v="145"/>
    <n v="44"/>
    <n v="197"/>
    <n v="17"/>
    <n v="1.0634263141222724"/>
    <x v="14"/>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80"/>
    <s v="n"/>
    <x v="87"/>
    <d v="1899-12-30T00:28:15"/>
    <n v="5.04"/>
    <d v="1899-12-30T00:05:36"/>
    <n v="146"/>
    <n v="41"/>
    <n v="210"/>
    <n v="12"/>
    <n v="1.0541044776119404"/>
    <x v="13"/>
  </r>
  <r>
    <m/>
    <m/>
    <x v="1"/>
    <m/>
    <s v=""/>
    <s v=""/>
    <m/>
    <s v="0"/>
    <m/>
    <m/>
    <s v=""/>
    <x v="0"/>
  </r>
  <r>
    <n v="81"/>
    <s v="n"/>
    <x v="87"/>
    <d v="1899-12-30T00:34:55"/>
    <n v="6.25"/>
    <d v="1899-12-30T00:05:35"/>
    <n v="146"/>
    <n v="50"/>
    <n v="212"/>
    <n v="12"/>
    <n v="1.0606328358208954"/>
    <x v="14"/>
  </r>
  <r>
    <m/>
    <m/>
    <x v="1"/>
    <m/>
    <s v=""/>
    <s v=""/>
    <m/>
    <s v="0"/>
    <m/>
    <m/>
    <s v=""/>
    <x v="0"/>
  </r>
  <r>
    <n v="82"/>
    <s v="j"/>
    <x v="87"/>
    <d v="1899-12-30T00:39:48"/>
    <n v="6.95"/>
    <d v="1899-12-30T00:05:44"/>
    <n v="136"/>
    <n v="54"/>
    <n v="204"/>
    <n v="20"/>
    <n v="1.0461763126811983"/>
    <x v="14"/>
  </r>
  <r>
    <m/>
    <m/>
    <x v="1"/>
    <m/>
    <s v=""/>
    <s v=""/>
    <m/>
    <s v="0"/>
    <m/>
    <m/>
    <s v=""/>
    <x v="0"/>
  </r>
  <r>
    <n v="83"/>
    <s v="n"/>
    <x v="54"/>
    <d v="1899-12-30T00:38:54"/>
    <n v="6.6"/>
    <d v="1899-12-30T00:05:54"/>
    <n v="140"/>
    <n v="49"/>
    <n v="200"/>
    <n v="18"/>
    <n v="1.0556309362279515"/>
    <x v="13"/>
  </r>
  <r>
    <m/>
    <m/>
    <x v="1"/>
    <m/>
    <s v=""/>
    <s v=""/>
    <m/>
    <s v="0"/>
    <m/>
    <m/>
    <s v=""/>
    <x v="0"/>
  </r>
  <r>
    <m/>
    <m/>
    <x v="1"/>
    <m/>
    <s v=""/>
    <s v=""/>
    <m/>
    <s v="0"/>
    <m/>
    <m/>
    <s v=""/>
    <x v="0"/>
  </r>
  <r>
    <n v="84"/>
    <s v="n"/>
    <x v="54"/>
    <d v="1899-12-30T00:39:52"/>
    <n v="6.96"/>
    <d v="1899-12-30T00:05:44"/>
    <n v="144"/>
    <n v="54"/>
    <n v="206"/>
    <n v="21"/>
    <n v="1.0566821067078402"/>
    <x v="14"/>
  </r>
  <r>
    <m/>
    <m/>
    <x v="1"/>
    <m/>
    <s v=""/>
    <s v=""/>
    <m/>
    <s v="0"/>
    <m/>
    <m/>
    <s v=""/>
    <x v="0"/>
  </r>
  <r>
    <n v="85"/>
    <s v="n"/>
    <x v="88"/>
    <d v="1899-12-30T00:41:19"/>
    <n v="7.84"/>
    <d v="1899-12-30T00:05:16"/>
    <n v="150"/>
    <n v="65"/>
    <n v="221"/>
    <n v="15"/>
    <n v="1.0429846938775513"/>
    <x v="14"/>
  </r>
  <r>
    <m/>
    <m/>
    <x v="1"/>
    <m/>
    <s v=""/>
    <s v=""/>
    <m/>
    <s v="0"/>
    <m/>
    <m/>
    <s v=""/>
    <x v="0"/>
  </r>
  <r>
    <n v="86"/>
    <s v="j"/>
    <x v="88"/>
    <d v="1899-12-30T00:38:41"/>
    <n v="6.56"/>
    <d v="1899-12-30T00:05:54"/>
    <n v="144"/>
    <n v="46"/>
    <n v="199"/>
    <n v="15"/>
    <n v="1.0508714051692756"/>
    <x v="13"/>
  </r>
  <r>
    <m/>
    <m/>
    <x v="1"/>
    <m/>
    <s v=""/>
    <s v=""/>
    <m/>
    <s v="0"/>
    <m/>
    <m/>
    <s v=""/>
    <x v="0"/>
  </r>
  <r>
    <n v="87"/>
    <s v="n"/>
    <x v="55"/>
    <d v="1899-12-30T00:57:16"/>
    <n v="10.1"/>
    <d v="1899-12-30T00:05:40"/>
    <n v="154"/>
    <n v="75"/>
    <n v="209"/>
    <n v="26"/>
    <n v="1.0612147184867742"/>
    <x v="14"/>
  </r>
  <r>
    <m/>
    <m/>
    <x v="1"/>
    <m/>
    <s v=""/>
    <s v=""/>
    <m/>
    <s v="0"/>
    <m/>
    <m/>
    <s v=""/>
    <x v="0"/>
  </r>
  <r>
    <m/>
    <m/>
    <x v="1"/>
    <m/>
    <s v=""/>
    <s v=""/>
    <m/>
    <s v="0"/>
    <m/>
    <m/>
    <s v=""/>
    <x v="0"/>
  </r>
  <r>
    <n v="88"/>
    <s v="j"/>
    <x v="88"/>
    <d v="1899-12-30T00:38:01"/>
    <n v="6.49"/>
    <d v="1899-12-30T00:05:51"/>
    <n v="141"/>
    <n v="45"/>
    <n v="199"/>
    <n v="18"/>
    <n v="1.0438999149092749"/>
    <x v="14"/>
  </r>
  <r>
    <m/>
    <m/>
    <x v="1"/>
    <m/>
    <s v=""/>
    <s v=""/>
    <m/>
    <s v="0"/>
    <m/>
    <m/>
    <s v=""/>
    <x v="0"/>
  </r>
  <r>
    <n v="89"/>
    <s v="j"/>
    <x v="55"/>
    <d v="1899-12-30T01:05:15"/>
    <n v="10.8"/>
    <d v="1899-12-30T00:06:02"/>
    <n v="137"/>
    <n v="74"/>
    <n v="194"/>
    <n v="36"/>
    <n v="1.0496268656716417"/>
    <x v="13"/>
  </r>
  <r>
    <m/>
    <m/>
    <x v="1"/>
    <m/>
    <s v=""/>
    <s v=""/>
    <m/>
    <s v="0"/>
    <m/>
    <m/>
    <s v=""/>
    <x v="0"/>
  </r>
  <r>
    <n v="90"/>
    <s v="n"/>
    <x v="88"/>
    <d v="1899-12-30T00:41:37"/>
    <n v="7.38"/>
    <d v="1899-12-30T00:05:38"/>
    <n v="139"/>
    <n v="54"/>
    <n v="209"/>
    <n v="26"/>
    <n v="1.0554402782833796"/>
    <x v="14"/>
  </r>
  <r>
    <m/>
    <m/>
    <x v="1"/>
    <m/>
    <s v=""/>
    <s v=""/>
    <m/>
    <s v="0"/>
    <m/>
    <m/>
    <s v=""/>
    <x v="0"/>
  </r>
  <r>
    <n v="91"/>
    <s v="n"/>
    <x v="88"/>
    <d v="1899-12-30T00:38:52"/>
    <n v="7.13"/>
    <d v="1899-12-30T00:05:27"/>
    <n v="143"/>
    <n v="54"/>
    <n v="215"/>
    <n v="17"/>
    <n v="1.049548889493626"/>
    <x v="13"/>
  </r>
  <r>
    <m/>
    <m/>
    <x v="1"/>
    <m/>
    <s v=""/>
    <s v=""/>
    <m/>
    <s v="0"/>
    <m/>
    <m/>
    <s v=""/>
    <x v="0"/>
  </r>
  <r>
    <m/>
    <m/>
    <x v="1"/>
    <m/>
    <s v=""/>
    <s v=""/>
    <m/>
    <s v="0"/>
    <m/>
    <m/>
    <s v=""/>
    <x v="0"/>
  </r>
  <r>
    <n v="92"/>
    <s v="j"/>
    <x v="88"/>
    <d v="1899-12-30T00:49:35"/>
    <n v="8.65"/>
    <d v="1899-12-30T00:05:44"/>
    <n v="140"/>
    <n v="62"/>
    <n v="204"/>
    <n v="32"/>
    <n v="1.0471917867310845"/>
    <x v="14"/>
  </r>
  <r>
    <m/>
    <m/>
    <x v="1"/>
    <m/>
    <s v=""/>
    <s v=""/>
    <m/>
    <s v="0"/>
    <m/>
    <m/>
    <s v=""/>
    <x v="0"/>
  </r>
  <r>
    <n v="93"/>
    <s v="n"/>
    <x v="88"/>
    <d v="1899-12-30T00:41:11"/>
    <n v="7.51"/>
    <d v="1899-12-30T00:05:29"/>
    <n v="150"/>
    <n v="54"/>
    <n v="214"/>
    <n v="24"/>
    <n v="1.0509251346463422"/>
    <x v="13"/>
  </r>
  <r>
    <m/>
    <m/>
    <x v="1"/>
    <m/>
    <s v=""/>
    <s v=""/>
    <m/>
    <s v="0"/>
    <m/>
    <m/>
    <s v=""/>
    <x v="0"/>
  </r>
  <r>
    <n v="94"/>
    <s v="n"/>
    <x v="89"/>
    <d v="1899-12-30T00:43:41"/>
    <n v="8.33"/>
    <d v="1899-12-30T00:05:15"/>
    <n v="149"/>
    <n v="66"/>
    <n v="223"/>
    <n v="34"/>
    <n v="1.047254125530809"/>
    <x v="14"/>
  </r>
  <r>
    <m/>
    <m/>
    <x v="1"/>
    <m/>
    <s v=""/>
    <s v=""/>
    <m/>
    <s v="0"/>
    <m/>
    <m/>
    <s v=""/>
    <x v="0"/>
  </r>
  <r>
    <n v="95"/>
    <s v="j"/>
    <x v="55"/>
    <d v="1899-12-30T00:58:05"/>
    <n v="9.93"/>
    <d v="1899-12-30T00:05:51"/>
    <n v="136"/>
    <n v="67"/>
    <n v="200"/>
    <n v="25"/>
    <n v="1.0476319309795434"/>
    <x v="13"/>
  </r>
  <r>
    <m/>
    <m/>
    <x v="1"/>
    <m/>
    <s v=""/>
    <s v=""/>
    <m/>
    <s v="0"/>
    <m/>
    <m/>
    <s v=""/>
    <x v="0"/>
  </r>
  <r>
    <m/>
    <m/>
    <x v="1"/>
    <m/>
    <s v=""/>
    <s v=""/>
    <m/>
    <s v="0"/>
    <m/>
    <m/>
    <s v=""/>
    <x v="0"/>
  </r>
  <r>
    <n v="96"/>
    <s v="n"/>
    <x v="55"/>
    <d v="1899-12-30T00:58:16"/>
    <n v="10.49"/>
    <d v="1899-12-30T00:05:33"/>
    <n v="146"/>
    <n v="75"/>
    <n v="213"/>
    <n v="32"/>
    <n v="1.0594994522146182"/>
    <x v="14"/>
  </r>
  <r>
    <m/>
    <m/>
    <x v="1"/>
    <m/>
    <s v=""/>
    <s v=""/>
    <m/>
    <s v="0"/>
    <m/>
    <m/>
    <s v=""/>
    <x v="0"/>
  </r>
  <r>
    <n v="97"/>
    <s v="n"/>
    <x v="90"/>
    <d v="1899-12-30T00:45:56"/>
    <n v="8.9700000000000006"/>
    <d v="1899-12-30T00:05:07"/>
    <n v="152"/>
    <n v="69"/>
    <n v="226"/>
    <n v="16"/>
    <n v="1.0363833008868699"/>
    <x v="15"/>
  </r>
  <r>
    <m/>
    <m/>
    <x v="1"/>
    <m/>
    <s v=""/>
    <s v=""/>
    <m/>
    <s v="0"/>
    <m/>
    <m/>
    <s v=""/>
    <x v="0"/>
  </r>
  <r>
    <n v="98"/>
    <s v="j"/>
    <x v="55"/>
    <d v="1899-12-30T01:02:18"/>
    <n v="10.64"/>
    <d v="1899-12-30T00:05:51"/>
    <n v="134"/>
    <n v="71"/>
    <n v="200"/>
    <n v="39"/>
    <n v="1.0487038491751768"/>
    <x v="13"/>
  </r>
  <r>
    <m/>
    <m/>
    <x v="1"/>
    <m/>
    <s v=""/>
    <s v=""/>
    <m/>
    <s v="0"/>
    <m/>
    <m/>
    <s v=""/>
    <x v="0"/>
  </r>
  <r>
    <m/>
    <m/>
    <x v="1"/>
    <m/>
    <s v=""/>
    <s v=""/>
    <m/>
    <s v="0"/>
    <m/>
    <m/>
    <s v=""/>
    <x v="0"/>
  </r>
  <r>
    <n v="99"/>
    <s v="n"/>
    <x v="55"/>
    <d v="1899-12-30T01:01:47"/>
    <n v="11.3"/>
    <d v="1899-12-30T00:05:28"/>
    <n v="139"/>
    <n v="78"/>
    <n v="215"/>
    <n v="33"/>
    <n v="1.0527077004358736"/>
    <x v="14"/>
  </r>
  <r>
    <m/>
    <m/>
    <x v="1"/>
    <m/>
    <s v=""/>
    <s v=""/>
    <m/>
    <s v="0"/>
    <m/>
    <m/>
    <s v=""/>
    <x v="0"/>
  </r>
  <r>
    <n v="100"/>
    <s v="j"/>
    <x v="55"/>
    <d v="1899-12-30T01:00:21"/>
    <n v="10.52"/>
    <d v="1899-12-30T00:05:44"/>
    <n v="136"/>
    <n v="69"/>
    <n v="203"/>
    <n v="26"/>
    <n v="1.0428792350036891"/>
    <x v="10"/>
  </r>
  <r>
    <m/>
    <m/>
    <x v="1"/>
    <m/>
    <s v=""/>
    <s v=""/>
    <m/>
    <s v="0"/>
    <m/>
    <m/>
    <s v=""/>
    <x v="0"/>
  </r>
  <r>
    <m/>
    <m/>
    <x v="1"/>
    <m/>
    <s v=""/>
    <s v=""/>
    <m/>
    <s v="0"/>
    <m/>
    <m/>
    <s v=""/>
    <x v="0"/>
  </r>
  <r>
    <n v="101"/>
    <s v="n"/>
    <x v="68"/>
    <d v="1899-12-30T01:09:37"/>
    <n v="9.7100000000000009"/>
    <d v="1899-12-30T00:07:10"/>
    <n v="140"/>
    <n v="74"/>
    <n v="188"/>
    <n v="381"/>
    <m/>
    <x v="12"/>
  </r>
  <r>
    <m/>
    <m/>
    <x v="1"/>
    <m/>
    <s v=""/>
    <s v=""/>
    <m/>
    <s v="0"/>
    <m/>
    <m/>
    <s v=""/>
    <x v="0"/>
  </r>
  <r>
    <n v="102"/>
    <s v="n"/>
    <x v="88"/>
    <d v="1899-12-30T00:36:39"/>
    <n v="6.24"/>
    <d v="1899-12-30T00:05:52"/>
    <n v="140"/>
    <n v="40"/>
    <n v="201"/>
    <n v="15"/>
    <n v="1.0572115384615384"/>
    <x v="13"/>
  </r>
  <r>
    <m/>
    <m/>
    <x v="1"/>
    <m/>
    <s v=""/>
    <s v=""/>
    <m/>
    <s v="0"/>
    <m/>
    <m/>
    <s v=""/>
    <x v="0"/>
  </r>
  <r>
    <n v="103"/>
    <s v="n"/>
    <x v="88"/>
    <d v="1899-12-30T00:42:47"/>
    <n v="7.46"/>
    <d v="1899-12-30T00:05:44"/>
    <n v="141"/>
    <n v="49"/>
    <n v="205"/>
    <n v="19"/>
    <n v="1.0528490256492342"/>
    <x v="14"/>
  </r>
  <r>
    <m/>
    <m/>
    <x v="1"/>
    <m/>
    <s v=""/>
    <s v=""/>
    <m/>
    <s v="0"/>
    <m/>
    <m/>
    <s v=""/>
    <x v="0"/>
  </r>
  <r>
    <n v="104"/>
    <s v="j"/>
    <x v="55"/>
    <d v="1899-12-30T00:56:05"/>
    <n v="9.8800000000000008"/>
    <d v="1899-12-30T00:05:41"/>
    <n v="140"/>
    <n v="66"/>
    <n v="205"/>
    <n v="30"/>
    <n v="1.0420946885008158"/>
    <x v="13"/>
  </r>
  <r>
    <m/>
    <m/>
    <x v="1"/>
    <m/>
    <s v=""/>
    <s v=""/>
    <m/>
    <s v="0"/>
    <m/>
    <m/>
    <s v=""/>
    <x v="0"/>
  </r>
  <r>
    <n v="105"/>
    <s v="n"/>
    <x v="50"/>
    <d v="1899-12-30T00:55:02"/>
    <n v="9.99"/>
    <d v="1899-12-30T00:05:31"/>
    <n v="141"/>
    <n v="69"/>
    <n v="213"/>
    <n v="28"/>
    <n v="1.0507910895970598"/>
    <x v="14"/>
  </r>
  <r>
    <m/>
    <m/>
    <x v="1"/>
    <m/>
    <s v=""/>
    <s v=""/>
    <m/>
    <s v="0"/>
    <m/>
    <m/>
    <s v=""/>
    <x v="0"/>
  </r>
  <r>
    <n v="106"/>
    <s v="n"/>
    <x v="91"/>
    <d v="1899-12-30T00:45:17"/>
    <n v="8.9600000000000009"/>
    <d v="1899-12-30T00:05:03"/>
    <n v="155"/>
    <n v="68"/>
    <n v="228"/>
    <n v="24"/>
    <n v="1.0319096481876333"/>
    <x v="15"/>
  </r>
  <r>
    <n v="107"/>
    <s v="n"/>
    <x v="92"/>
    <d v="1899-12-30T00:44:11"/>
    <n v="7.4"/>
    <d v="1899-12-30T00:05:58"/>
    <n v="138"/>
    <n v="46"/>
    <n v="198"/>
    <n v="21"/>
    <n v="1.0586889874949577"/>
    <x v="13"/>
  </r>
  <r>
    <m/>
    <m/>
    <x v="1"/>
    <m/>
    <s v=""/>
    <s v=""/>
    <m/>
    <s v="0"/>
    <m/>
    <m/>
    <s v=""/>
    <x v="0"/>
  </r>
  <r>
    <n v="108"/>
    <s v="n"/>
    <x v="68"/>
    <d v="1899-12-30T00:43:25"/>
    <n v="5.57"/>
    <d v="1899-12-30T00:07:48"/>
    <n v="151"/>
    <n v="50"/>
    <n v="191"/>
    <n v="334"/>
    <m/>
    <x v="12"/>
  </r>
  <r>
    <m/>
    <m/>
    <x v="1"/>
    <m/>
    <s v=""/>
    <s v=""/>
    <m/>
    <s v="0"/>
    <m/>
    <m/>
    <s v=""/>
    <x v="0"/>
  </r>
  <r>
    <n v="109"/>
    <s v="n"/>
    <x v="50"/>
    <d v="1899-12-30T01:01:27"/>
    <n v="10.8"/>
    <d v="1899-12-30T00:05:41"/>
    <n v="141"/>
    <n v="72"/>
    <n v="208"/>
    <n v="28"/>
    <n v="1.0598341625207297"/>
    <x v="14"/>
  </r>
  <r>
    <m/>
    <m/>
    <x v="1"/>
    <m/>
    <s v=""/>
    <s v=""/>
    <m/>
    <s v="0"/>
    <m/>
    <m/>
    <s v=""/>
    <x v="0"/>
  </r>
  <r>
    <n v="110"/>
    <s v="n"/>
    <x v="92"/>
    <d v="1899-12-30T00:37:31"/>
    <n v="6.42"/>
    <d v="1899-12-30T00:05:51"/>
    <n v="133"/>
    <n v="41"/>
    <n v="202"/>
    <n v="17"/>
    <n v="1.0571023387734224"/>
    <x v="14"/>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11"/>
    <s v="n"/>
    <x v="88"/>
    <d v="1899-12-30T00:36:00"/>
    <n v="6.26"/>
    <d v="1899-12-30T00:05:45"/>
    <n v="143"/>
    <n v="40"/>
    <n v="205"/>
    <n v="16"/>
    <n v="1.0557436459873157"/>
    <x v="14"/>
  </r>
  <r>
    <m/>
    <m/>
    <x v="1"/>
    <m/>
    <s v=""/>
    <s v=""/>
    <m/>
    <s v="0"/>
    <m/>
    <m/>
    <s v=""/>
    <x v="0"/>
  </r>
  <r>
    <n v="112"/>
    <s v="n"/>
    <x v="88"/>
    <d v="1899-12-30T00:42:09"/>
    <n v="7.54"/>
    <d v="1899-12-30T00:05:35"/>
    <n v="143"/>
    <n v="42"/>
    <m/>
    <n v="19"/>
    <m/>
    <x v="13"/>
  </r>
  <r>
    <m/>
    <m/>
    <x v="1"/>
    <m/>
    <s v=""/>
    <s v=""/>
    <m/>
    <s v="0"/>
    <m/>
    <m/>
    <s v=""/>
    <x v="0"/>
  </r>
  <r>
    <n v="113"/>
    <s v="n"/>
    <x v="88"/>
    <d v="1899-12-30T00:44:25"/>
    <n v="8.01"/>
    <d v="1899-12-30T00:05:33"/>
    <n v="146"/>
    <n v="53"/>
    <n v="211"/>
    <n v="20"/>
    <n v="1.047785417481879"/>
    <x v="14"/>
  </r>
  <r>
    <m/>
    <m/>
    <x v="1"/>
    <m/>
    <s v=""/>
    <s v=""/>
    <m/>
    <s v="0"/>
    <m/>
    <m/>
    <s v=""/>
    <x v="0"/>
  </r>
  <r>
    <n v="114"/>
    <s v="j"/>
    <x v="88"/>
    <d v="1899-12-30T00:40:28"/>
    <n v="7.27"/>
    <d v="1899-12-30T00:05:34"/>
    <n v="141"/>
    <n v="48"/>
    <n v="210"/>
    <n v="26"/>
    <n v="1.0467880679135273"/>
    <x v="14"/>
  </r>
  <r>
    <m/>
    <m/>
    <x v="1"/>
    <m/>
    <s v=""/>
    <s v=""/>
    <m/>
    <s v="0"/>
    <m/>
    <m/>
    <s v=""/>
    <x v="0"/>
  </r>
  <r>
    <n v="115"/>
    <s v="j"/>
    <x v="55"/>
    <d v="1899-12-30T00:53:51"/>
    <n v="9.1300000000000008"/>
    <d v="1899-12-30T00:05:54"/>
    <n v="139"/>
    <n v="57"/>
    <n v="198"/>
    <n v="21"/>
    <n v="1.0458190972846613"/>
    <x v="13"/>
  </r>
  <r>
    <m/>
    <m/>
    <x v="1"/>
    <m/>
    <s v=""/>
    <s v=""/>
    <m/>
    <s v="0"/>
    <m/>
    <m/>
    <s v=""/>
    <x v="0"/>
  </r>
  <r>
    <m/>
    <m/>
    <x v="1"/>
    <m/>
    <s v=""/>
    <s v=""/>
    <m/>
    <s v="0"/>
    <m/>
    <m/>
    <s v=""/>
    <x v="0"/>
  </r>
  <r>
    <m/>
    <m/>
    <x v="1"/>
    <m/>
    <s v=""/>
    <s v=""/>
    <m/>
    <s v="0"/>
    <m/>
    <m/>
    <s v=""/>
    <x v="0"/>
  </r>
  <r>
    <n v="116"/>
    <s v="n"/>
    <x v="88"/>
    <d v="1899-12-30T00:33:08"/>
    <n v="6.26"/>
    <d v="1899-12-30T00:05:18"/>
    <n v="149"/>
    <n v="43"/>
    <n v="220"/>
    <n v="21"/>
    <n v="1.0427733536788899"/>
    <x v="14"/>
  </r>
  <r>
    <m/>
    <m/>
    <x v="1"/>
    <m/>
    <s v=""/>
    <s v=""/>
    <m/>
    <s v="0"/>
    <m/>
    <m/>
    <s v=""/>
    <x v="0"/>
  </r>
  <r>
    <m/>
    <m/>
    <x v="1"/>
    <m/>
    <s v=""/>
    <s v=""/>
    <m/>
    <s v="0"/>
    <m/>
    <m/>
    <s v=""/>
    <x v="0"/>
  </r>
  <r>
    <n v="117"/>
    <s v="j"/>
    <x v="88"/>
    <d v="1899-12-30T00:42:45"/>
    <n v="7.21"/>
    <d v="1899-12-30T00:05:56"/>
    <n v="135"/>
    <n v="46"/>
    <n v="198"/>
    <n v="20"/>
    <n v="1.0513383153580227"/>
    <x v="14"/>
  </r>
  <r>
    <m/>
    <m/>
    <x v="1"/>
    <m/>
    <s v=""/>
    <s v=""/>
    <m/>
    <s v="0"/>
    <m/>
    <m/>
    <s v=""/>
    <x v="0"/>
  </r>
  <r>
    <m/>
    <m/>
    <x v="1"/>
    <m/>
    <s v=""/>
    <s v=""/>
    <m/>
    <s v="0"/>
    <m/>
    <m/>
    <s v=""/>
    <x v="0"/>
  </r>
  <r>
    <n v="118"/>
    <s v="n"/>
    <x v="88"/>
    <d v="1899-12-30T00:34:29"/>
    <n v="6.28"/>
    <d v="1899-12-30T00:05:29"/>
    <n v="145"/>
    <n v="42"/>
    <n v="211"/>
    <n v="11"/>
    <n v="1.0375487213613463"/>
    <x v="13"/>
  </r>
  <r>
    <m/>
    <m/>
    <x v="1"/>
    <m/>
    <m/>
    <s v=""/>
    <m/>
    <s v="0"/>
    <m/>
    <m/>
    <s v=""/>
    <x v="0"/>
  </r>
  <r>
    <m/>
    <m/>
    <x v="1"/>
    <m/>
    <s v=""/>
    <s v=""/>
    <m/>
    <s v="0"/>
    <m/>
    <m/>
    <s v=""/>
    <x v="0"/>
  </r>
  <r>
    <n v="119"/>
    <s v="n"/>
    <x v="55"/>
    <d v="1899-12-30T01:02:27"/>
    <n v="11.6"/>
    <d v="1899-12-30T00:05:23"/>
    <n v="148"/>
    <n v="80"/>
    <n v="217"/>
    <n v="44"/>
    <n v="1.046190169840453"/>
    <x v="14"/>
  </r>
  <r>
    <m/>
    <m/>
    <x v="1"/>
    <m/>
    <s v=""/>
    <s v=""/>
    <m/>
    <s v="0"/>
    <m/>
    <m/>
    <s v=""/>
    <x v="0"/>
  </r>
  <r>
    <n v="120"/>
    <s v="n"/>
    <x v="88"/>
    <d v="1899-12-30T00:35:15"/>
    <n v="6.13"/>
    <d v="1899-12-30T00:05:45"/>
    <n v="148"/>
    <n v="39"/>
    <n v="204"/>
    <n v="19"/>
    <n v="1.0505222663193008"/>
    <x v="13"/>
  </r>
  <r>
    <m/>
    <m/>
    <x v="1"/>
    <m/>
    <s v=""/>
    <s v=""/>
    <m/>
    <s v="0"/>
    <m/>
    <m/>
    <s v=""/>
    <x v="0"/>
  </r>
  <r>
    <n v="121"/>
    <s v="n"/>
    <x v="88"/>
    <d v="1899-12-30T00:42:59"/>
    <n v="7.87"/>
    <d v="1899-12-30T00:05:28"/>
    <n v="146"/>
    <n v="53"/>
    <n v="215"/>
    <n v="19"/>
    <n v="1.0515750346109352"/>
    <x v="14"/>
  </r>
  <r>
    <m/>
    <m/>
    <x v="1"/>
    <m/>
    <s v=""/>
    <s v=""/>
    <m/>
    <s v="0"/>
    <m/>
    <m/>
    <s v=""/>
    <x v="0"/>
  </r>
  <r>
    <m/>
    <m/>
    <x v="1"/>
    <m/>
    <s v=""/>
    <s v=""/>
    <m/>
    <s v="0"/>
    <m/>
    <m/>
    <s v=""/>
    <x v="0"/>
  </r>
  <r>
    <m/>
    <m/>
    <x v="1"/>
    <m/>
    <s v=""/>
    <s v=""/>
    <m/>
    <s v="0"/>
    <m/>
    <m/>
    <s v=""/>
    <x v="0"/>
  </r>
  <r>
    <n v="122"/>
    <s v="n"/>
    <x v="55"/>
    <d v="1899-12-30T00:54:16"/>
    <n v="9.73"/>
    <d v="1899-12-30T00:05:35"/>
    <n v="146"/>
    <n v="65"/>
    <n v="211"/>
    <n v="37"/>
    <n v="1.0538509917013084"/>
    <x v="14"/>
  </r>
  <r>
    <m/>
    <m/>
    <x v="1"/>
    <m/>
    <s v=""/>
    <s v=""/>
    <m/>
    <s v="0"/>
    <m/>
    <m/>
    <s v=""/>
    <x v="0"/>
  </r>
  <r>
    <m/>
    <m/>
    <x v="1"/>
    <m/>
    <s v=""/>
    <s v=""/>
    <m/>
    <s v="0"/>
    <m/>
    <m/>
    <s v=""/>
    <x v="0"/>
  </r>
  <r>
    <m/>
    <m/>
    <x v="1"/>
    <m/>
    <s v=""/>
    <s v=""/>
    <m/>
    <s v="0"/>
    <m/>
    <m/>
    <s v=""/>
    <x v="0"/>
  </r>
  <r>
    <m/>
    <m/>
    <x v="1"/>
    <m/>
    <s v=""/>
    <s v=""/>
    <m/>
    <s v="0"/>
    <m/>
    <m/>
    <s v=""/>
    <x v="0"/>
  </r>
  <r>
    <n v="123"/>
    <s v="n"/>
    <x v="88"/>
    <d v="1899-12-30T00:35:04"/>
    <n v="6.16"/>
    <d v="1899-12-30T00:05:42"/>
    <n v="138"/>
    <n v="40"/>
    <n v="206"/>
    <n v="17"/>
    <n v="1.050164760612522"/>
    <x v="14"/>
  </r>
  <r>
    <m/>
    <m/>
    <x v="1"/>
    <m/>
    <s v=""/>
    <s v=""/>
    <m/>
    <s v="0"/>
    <m/>
    <m/>
    <s v=""/>
    <x v="0"/>
  </r>
  <r>
    <n v="124"/>
    <s v="j"/>
    <x v="55"/>
    <d v="1899-12-30T01:00:03"/>
    <n v="10.4"/>
    <d v="1899-12-30T00:05:46"/>
    <n v="142"/>
    <n v="66"/>
    <n v="202"/>
    <n v="27"/>
    <n v="1.0444977037887484"/>
    <x v="14"/>
  </r>
  <r>
    <m/>
    <m/>
    <x v="1"/>
    <m/>
    <s v=""/>
    <s v=""/>
    <m/>
    <s v="0"/>
    <m/>
    <m/>
    <s v=""/>
    <x v="0"/>
  </r>
  <r>
    <n v="125"/>
    <s v="n"/>
    <x v="55"/>
    <d v="1899-12-30T00:56:31"/>
    <n v="10.6"/>
    <d v="1899-12-30T00:05:20"/>
    <n v="146"/>
    <n v="75"/>
    <n v="217"/>
    <n v="39"/>
    <n v="1.0361123627147282"/>
    <x v="10"/>
  </r>
  <r>
    <m/>
    <m/>
    <x v="1"/>
    <m/>
    <s v=""/>
    <s v=""/>
    <m/>
    <s v="0"/>
    <m/>
    <m/>
    <s v=""/>
    <x v="0"/>
  </r>
  <r>
    <m/>
    <m/>
    <x v="1"/>
    <m/>
    <s v=""/>
    <s v=""/>
    <m/>
    <s v="0"/>
    <m/>
    <m/>
    <s v=""/>
    <x v="0"/>
  </r>
  <r>
    <n v="126"/>
    <s v="j"/>
    <x v="55"/>
    <d v="1899-12-30T01:09:56"/>
    <n v="11.8"/>
    <d v="1899-12-30T00:05:56"/>
    <n v="141"/>
    <n v="72"/>
    <n v="196"/>
    <n v="45"/>
    <n v="1.0402428535289654"/>
    <x v="13"/>
  </r>
  <r>
    <m/>
    <m/>
    <x v="1"/>
    <m/>
    <s v=""/>
    <s v=""/>
    <m/>
    <s v="0"/>
    <m/>
    <m/>
    <s v=""/>
    <x v="0"/>
  </r>
  <r>
    <n v="127"/>
    <s v="n"/>
    <x v="55"/>
    <d v="1899-12-30T01:07:42"/>
    <n v="12.7"/>
    <d v="1899-12-30T00:05:20"/>
    <n v="150"/>
    <n v="87"/>
    <n v="221"/>
    <n v="44"/>
    <n v="1.0550029380655777"/>
    <x v="14"/>
  </r>
  <r>
    <m/>
    <m/>
    <x v="1"/>
    <m/>
    <s v=""/>
    <s v=""/>
    <m/>
    <s v="0"/>
    <m/>
    <m/>
    <s v=""/>
    <x v="0"/>
  </r>
  <r>
    <m/>
    <m/>
    <x v="1"/>
    <m/>
    <s v=""/>
    <s v=""/>
    <m/>
    <s v="0"/>
    <m/>
    <m/>
    <s v=""/>
    <x v="0"/>
  </r>
  <r>
    <n v="128"/>
    <s v="n"/>
    <x v="88"/>
    <d v="1899-12-30T00:44:21"/>
    <n v="7.96"/>
    <d v="1899-12-30T00:05:34"/>
    <n v="140"/>
    <n v="52"/>
    <n v="211"/>
    <n v="26"/>
    <n v="1.0527844446111152"/>
    <x v="14"/>
  </r>
  <r>
    <m/>
    <m/>
    <x v="1"/>
    <m/>
    <s v=""/>
    <s v=""/>
    <m/>
    <s v="0"/>
    <m/>
    <m/>
    <s v=""/>
    <x v="0"/>
  </r>
  <r>
    <n v="129"/>
    <s v="j"/>
    <x v="55"/>
    <d v="1899-12-30T00:57:42"/>
    <n v="10.4"/>
    <d v="1899-12-30T00:05:33"/>
    <n v="141"/>
    <n v="68"/>
    <n v="210"/>
    <n v="33"/>
    <n v="1.0433696900114811"/>
    <x v="14"/>
  </r>
  <r>
    <m/>
    <m/>
    <x v="1"/>
    <m/>
    <s v=""/>
    <s v=""/>
    <m/>
    <s v="0"/>
    <m/>
    <m/>
    <s v=""/>
    <x v="0"/>
  </r>
  <r>
    <n v="130"/>
    <s v="j"/>
    <x v="74"/>
    <d v="1899-12-30T01:23:40"/>
    <n v="14.9"/>
    <d v="1899-12-30T00:05:37"/>
    <n v="144"/>
    <n v="96"/>
    <n v="209"/>
    <n v="64"/>
    <n v="1.0509666432935989"/>
    <x v="14"/>
  </r>
  <r>
    <m/>
    <m/>
    <x v="1"/>
    <m/>
    <s v=""/>
    <s v=""/>
    <m/>
    <s v="0"/>
    <m/>
    <m/>
    <s v=""/>
    <x v="0"/>
  </r>
  <r>
    <n v="131"/>
    <s v="n"/>
    <x v="55"/>
    <d v="1899-12-30T00:53:45"/>
    <n v="9.67"/>
    <d v="1899-12-30T00:05:34"/>
    <n v="143"/>
    <n v="64"/>
    <n v="212"/>
    <n v="35"/>
    <n v="1.0552717282254702"/>
    <x v="13"/>
  </r>
  <r>
    <n v="132"/>
    <s v="n"/>
    <x v="88"/>
    <d v="1899-12-30T00:38:09"/>
    <n v="6.83"/>
    <d v="1899-12-30T00:05:35"/>
    <n v="135"/>
    <n v="44"/>
    <n v="212"/>
    <n v="23"/>
    <n v="1.0604401127597738"/>
    <x v="14"/>
  </r>
  <r>
    <m/>
    <m/>
    <x v="1"/>
    <m/>
    <s v=""/>
    <s v=""/>
    <m/>
    <s v="0"/>
    <m/>
    <m/>
    <s v=""/>
    <x v="0"/>
  </r>
  <r>
    <n v="133"/>
    <s v="n"/>
    <x v="93"/>
    <d v="1899-12-30T00:52:15"/>
    <n v="10.6"/>
    <d v="1899-12-30T00:04:56"/>
    <n v="151"/>
    <n v="76"/>
    <n v="235"/>
    <n v="38"/>
    <n v="1.0373486341875531"/>
    <x v="15"/>
  </r>
  <r>
    <n v="134"/>
    <s v="j"/>
    <x v="55"/>
    <d v="1899-12-30T01:03:14"/>
    <n v="10.6"/>
    <d v="1899-12-30T00:05:58"/>
    <n v="136"/>
    <n v="65"/>
    <n v="197"/>
    <n v="36"/>
    <n v="1.0524049563503237"/>
    <x v="14"/>
  </r>
  <r>
    <m/>
    <m/>
    <x v="1"/>
    <m/>
    <s v=""/>
    <s v=""/>
    <m/>
    <s v="0"/>
    <m/>
    <m/>
    <s v=""/>
    <x v="0"/>
  </r>
  <r>
    <n v="135"/>
    <s v="n"/>
    <x v="88"/>
    <d v="1899-12-30T00:39:11"/>
    <n v="7.02"/>
    <d v="1899-12-30T00:05:35"/>
    <n v="138"/>
    <n v="45"/>
    <n v="210"/>
    <n v="18"/>
    <n v="1.0496874601352213"/>
    <x v="13"/>
  </r>
  <r>
    <m/>
    <m/>
    <x v="1"/>
    <m/>
    <s v=""/>
    <s v=""/>
    <m/>
    <s v="0"/>
    <m/>
    <m/>
    <s v=""/>
    <x v="0"/>
  </r>
  <r>
    <n v="136"/>
    <s v="n"/>
    <x v="55"/>
    <d v="1899-12-30T00:55:01"/>
    <n v="10.1"/>
    <d v="1899-12-30T00:05:27"/>
    <n v="140"/>
    <n v="67"/>
    <n v="214"/>
    <n v="39"/>
    <n v="1.0439101522092509"/>
    <x v="13"/>
  </r>
  <r>
    <m/>
    <m/>
    <x v="1"/>
    <m/>
    <s v=""/>
    <s v=""/>
    <m/>
    <s v="0"/>
    <m/>
    <m/>
    <s v=""/>
    <x v="0"/>
  </r>
  <r>
    <m/>
    <m/>
    <x v="1"/>
    <m/>
    <m/>
    <s v=""/>
    <m/>
    <s v="0"/>
    <m/>
    <m/>
    <s v=""/>
    <x v="0"/>
  </r>
  <r>
    <m/>
    <m/>
    <x v="1"/>
    <m/>
    <m/>
    <s v=""/>
    <m/>
    <s v="0"/>
    <m/>
    <m/>
    <s v=""/>
    <x v="0"/>
  </r>
  <r>
    <m/>
    <m/>
    <x v="1"/>
    <m/>
    <m/>
    <s v=""/>
    <m/>
    <s v="0"/>
    <m/>
    <m/>
    <s v=""/>
    <x v="0"/>
  </r>
  <r>
    <m/>
    <m/>
    <x v="1"/>
    <m/>
    <m/>
    <s v=""/>
    <m/>
    <s v="0"/>
    <m/>
    <m/>
    <s v=""/>
    <x v="0"/>
  </r>
  <r>
    <m/>
    <m/>
    <x v="1"/>
    <m/>
    <m/>
    <s v=""/>
    <m/>
    <s v="0"/>
    <m/>
    <m/>
    <s v=""/>
    <x v="0"/>
  </r>
  <r>
    <m/>
    <m/>
    <x v="1"/>
    <m/>
    <m/>
    <s v=""/>
    <m/>
    <s v="0"/>
    <m/>
    <m/>
    <s v=""/>
    <x v="0"/>
  </r>
  <r>
    <m/>
    <m/>
    <x v="1"/>
    <m/>
    <m/>
    <s v=""/>
    <m/>
    <s v="0"/>
    <m/>
    <m/>
    <s v=""/>
    <x v="0"/>
  </r>
  <r>
    <m/>
    <m/>
    <x v="1"/>
    <m/>
    <s v=""/>
    <s v=""/>
    <m/>
    <s v="0"/>
    <m/>
    <m/>
    <s v=""/>
    <x v="0"/>
  </r>
  <r>
    <m/>
    <m/>
    <x v="1"/>
    <m/>
    <s v=""/>
    <s v=""/>
    <m/>
    <s v="0"/>
    <m/>
    <m/>
    <s v=""/>
    <x v="0"/>
  </r>
  <r>
    <m/>
    <m/>
    <x v="1"/>
    <m/>
    <s v=""/>
    <s v=""/>
    <m/>
    <s v="0"/>
    <m/>
    <m/>
    <s v=""/>
    <x v="0"/>
  </r>
  <r>
    <m/>
    <m/>
    <x v="1"/>
    <m/>
    <s v=""/>
    <s v=""/>
    <m/>
    <s v="0"/>
    <m/>
    <m/>
    <s v=""/>
    <x v="0"/>
  </r>
  <r>
    <m/>
    <m/>
    <x v="1"/>
    <m/>
    <s v=""/>
    <s v=""/>
    <m/>
    <s v="0"/>
    <m/>
    <m/>
    <s v=""/>
    <x v="0"/>
  </r>
  <r>
    <n v="137"/>
    <s v="n"/>
    <x v="88"/>
    <d v="1899-12-30T00:39:39"/>
    <n v="7.1"/>
    <d v="1899-12-30T00:05:35"/>
    <n v="149"/>
    <n v="46"/>
    <n v="210"/>
    <n v="21"/>
    <n v="1.0502207273491697"/>
    <x v="16"/>
  </r>
  <r>
    <m/>
    <m/>
    <x v="1"/>
    <m/>
    <s v=""/>
    <s v=""/>
    <m/>
    <s v="0"/>
    <m/>
    <m/>
    <s v=""/>
    <x v="0"/>
  </r>
  <r>
    <n v="138"/>
    <s v="n"/>
    <x v="93"/>
    <d v="1899-12-30T00:51:43"/>
    <n v="10.199999999999999"/>
    <d v="1899-12-30T00:05:04"/>
    <n v="155"/>
    <n v="72"/>
    <n v="228"/>
    <n v="31"/>
    <n v="1.035241439859526"/>
    <x v="10"/>
  </r>
  <r>
    <m/>
    <m/>
    <x v="1"/>
    <m/>
    <s v=""/>
    <s v=""/>
    <m/>
    <s v="0"/>
    <m/>
    <m/>
    <s v=""/>
    <x v="0"/>
  </r>
  <r>
    <n v="1"/>
    <s v="n"/>
    <x v="55"/>
    <d v="1899-12-30T00:58:59"/>
    <n v="10.7"/>
    <d v="1899-12-30T00:05:31"/>
    <n v="141"/>
    <n v="71"/>
    <n v="213"/>
    <n v="38"/>
    <n v="1.0514813781559493"/>
    <x v="16"/>
  </r>
  <r>
    <m/>
    <m/>
    <x v="1"/>
    <m/>
    <s v=""/>
    <s v=""/>
    <m/>
    <s v="0"/>
    <m/>
    <m/>
    <s v=""/>
    <x v="0"/>
  </r>
  <r>
    <n v="2"/>
    <s v="n"/>
    <x v="55"/>
    <d v="1899-12-30T01:00:22"/>
    <n v="10.83"/>
    <d v="1899-12-30T00:05:34"/>
    <n v="149"/>
    <n v="71"/>
    <n v="212"/>
    <n v="40"/>
    <n v="1.0582323837874339"/>
    <x v="14"/>
  </r>
  <r>
    <m/>
    <m/>
    <x v="1"/>
    <m/>
    <s v=""/>
    <s v=""/>
    <m/>
    <s v="0"/>
    <m/>
    <m/>
    <s v=""/>
    <x v="0"/>
  </r>
  <r>
    <n v="3"/>
    <s v="n"/>
    <x v="55"/>
    <d v="1899-12-30T00:59:26"/>
    <n v="10.64"/>
    <d v="1899-12-30T00:05:35"/>
    <n v="141"/>
    <n v="68"/>
    <n v="210"/>
    <n v="39"/>
    <n v="1.0504713275726629"/>
    <x v="13"/>
  </r>
  <r>
    <m/>
    <m/>
    <x v="1"/>
    <m/>
    <s v=""/>
    <s v=""/>
    <m/>
    <s v="0"/>
    <m/>
    <m/>
    <s v=""/>
    <x v="0"/>
  </r>
  <r>
    <n v="4"/>
    <s v="n"/>
    <x v="55"/>
    <d v="1899-12-30T00:49:06"/>
    <n v="8.94"/>
    <d v="1899-12-30T00:05:30"/>
    <n v="143"/>
    <n v="58"/>
    <n v="214"/>
    <n v="28"/>
    <n v="1.0525292998096765"/>
    <x v="16"/>
  </r>
  <r>
    <m/>
    <m/>
    <x v="1"/>
    <m/>
    <s v=""/>
    <s v=""/>
    <m/>
    <s v="0"/>
    <m/>
    <m/>
    <s v=""/>
    <x v="0"/>
  </r>
  <r>
    <n v="5"/>
    <s v="n"/>
    <x v="88"/>
    <d v="1899-12-30T00:45:47"/>
    <n v="8.31"/>
    <d v="1899-12-30T00:05:31"/>
    <n v="140"/>
    <n v="54"/>
    <n v="212"/>
    <n v="23"/>
    <n v="1.0459687123947048"/>
    <x v="13"/>
  </r>
  <r>
    <n v="6"/>
    <s v="n"/>
    <x v="55"/>
    <d v="1899-12-30T00:55:35"/>
    <n v="10.14"/>
    <d v="1899-12-30T00:05:29"/>
    <n v="139"/>
    <n v="66"/>
    <n v="212"/>
    <n v="39"/>
    <n v="1.0406841531985043"/>
    <x v="14"/>
  </r>
  <r>
    <m/>
    <m/>
    <x v="1"/>
    <m/>
    <s v=""/>
    <s v=""/>
    <m/>
    <s v="0"/>
    <m/>
    <m/>
    <s v=""/>
    <x v="0"/>
  </r>
  <r>
    <n v="7"/>
    <s v="n"/>
    <x v="55"/>
    <d v="1899-12-30T00:53:43"/>
    <n v="10.130000000000001"/>
    <d v="1899-12-30T00:05:18"/>
    <n v="142"/>
    <n v="74"/>
    <n v="219"/>
    <n v="66"/>
    <n v="1.0399684695967348"/>
    <x v="10"/>
  </r>
  <r>
    <m/>
    <m/>
    <x v="1"/>
    <m/>
    <s v=""/>
    <s v=""/>
    <m/>
    <s v="0"/>
    <m/>
    <m/>
    <s v=""/>
    <x v="0"/>
  </r>
  <r>
    <n v="8"/>
    <s v="j"/>
    <x v="74"/>
    <d v="1899-12-30T01:06:32"/>
    <n v="11.44"/>
    <d v="1899-12-30T00:05:49"/>
    <n v="139"/>
    <n v="70"/>
    <n v="201"/>
    <n v="38"/>
    <n v="1.0468531468531468"/>
    <x v="16"/>
  </r>
  <r>
    <m/>
    <m/>
    <x v="1"/>
    <m/>
    <s v=""/>
    <s v=""/>
    <m/>
    <s v="0"/>
    <m/>
    <m/>
    <s v=""/>
    <x v="0"/>
  </r>
  <r>
    <n v="9"/>
    <s v="n"/>
    <x v="55"/>
    <d v="1899-12-30T00:55:37"/>
    <n v="10.14"/>
    <d v="1899-12-30T00:05:29"/>
    <n v="143"/>
    <n v="66"/>
    <n v="214"/>
    <n v="61"/>
    <n v="1.0511319143925342"/>
    <x v="14"/>
  </r>
  <r>
    <n v="10"/>
    <s v="n"/>
    <x v="55"/>
    <d v="1899-12-30T00:56:02"/>
    <n v="10.44"/>
    <d v="1899-12-30T00:05:22"/>
    <n v="142"/>
    <n v="68"/>
    <n v="216"/>
    <n v="19"/>
    <n v="1.0381883685023161"/>
    <x v="13"/>
  </r>
  <r>
    <m/>
    <m/>
    <x v="1"/>
    <m/>
    <s v=""/>
    <s v=""/>
    <m/>
    <s v="0"/>
    <m/>
    <m/>
    <s v=""/>
    <x v="0"/>
  </r>
  <r>
    <n v="11"/>
    <s v="n"/>
    <x v="93"/>
    <d v="1899-12-30T00:54:40"/>
    <n v="10.65"/>
    <d v="1899-12-30T00:05:08"/>
    <n v="151"/>
    <n v="75"/>
    <n v="224"/>
    <n v="48"/>
    <n v="1.029668558615374"/>
    <x v="10"/>
  </r>
  <r>
    <m/>
    <m/>
    <x v="1"/>
    <m/>
    <s v=""/>
    <s v=""/>
    <m/>
    <s v="0"/>
    <m/>
    <m/>
    <s v=""/>
    <x v="0"/>
  </r>
  <r>
    <n v="12"/>
    <s v="j"/>
    <x v="74"/>
    <d v="1899-12-30T01:09:20"/>
    <n v="12.42"/>
    <d v="1899-12-30T00:05:35"/>
    <n v="142"/>
    <n v="79"/>
    <n v="208"/>
    <n v="50"/>
    <n v="1.0398250294421609"/>
    <x v="16"/>
  </r>
  <r>
    <m/>
    <m/>
    <x v="1"/>
    <m/>
    <s v=""/>
    <s v=""/>
    <m/>
    <s v="0"/>
    <m/>
    <m/>
    <s v=""/>
    <x v="0"/>
  </r>
  <r>
    <n v="13"/>
    <s v="n"/>
    <x v="93"/>
    <d v="1899-12-30T00:54:47"/>
    <n v="10.63"/>
    <d v="1899-12-30T00:05:09"/>
    <n v="148"/>
    <n v="83.722499999999997"/>
    <n v="225"/>
    <n v="35"/>
    <n v="1.0384226562390304"/>
    <x v="14"/>
  </r>
  <r>
    <n v="14"/>
    <s v="n"/>
    <x v="88"/>
    <d v="1899-12-30T00:48:30"/>
    <n v="8.51"/>
    <d v="1899-12-30T00:05:42"/>
    <n v="133"/>
    <n v="54"/>
    <n v="206"/>
    <n v="24"/>
    <n v="1.0513706438430643"/>
    <x v="13"/>
  </r>
  <r>
    <m/>
    <m/>
    <x v="1"/>
    <m/>
    <s v=""/>
    <s v=""/>
    <m/>
    <s v="0"/>
    <m/>
    <m/>
    <s v=""/>
    <x v="0"/>
  </r>
  <r>
    <n v="15"/>
    <s v="n"/>
    <x v="93"/>
    <d v="1899-12-30T01:02:02"/>
    <n v="12.74"/>
    <d v="1899-12-30T00:04:52"/>
    <n v="150"/>
    <n v="92"/>
    <n v="236"/>
    <n v="54"/>
    <n v="1.0290681599850042"/>
    <x v="15"/>
  </r>
  <r>
    <m/>
    <m/>
    <x v="1"/>
    <m/>
    <s v=""/>
    <s v=""/>
    <m/>
    <s v="0"/>
    <m/>
    <m/>
    <s v=""/>
    <x v="0"/>
  </r>
  <r>
    <n v="16"/>
    <s v="n"/>
    <x v="62"/>
    <d v="1899-12-30T01:26:03"/>
    <n v="16.16"/>
    <d v="1899-12-30T00:05:19"/>
    <n v="142"/>
    <n v="108"/>
    <n v="220"/>
    <n v="59"/>
    <n v="1.0490800945766221"/>
    <x v="16"/>
  </r>
  <r>
    <m/>
    <m/>
    <x v="1"/>
    <m/>
    <s v=""/>
    <s v=""/>
    <m/>
    <s v="0"/>
    <m/>
    <m/>
    <s v=""/>
    <x v="0"/>
  </r>
  <r>
    <n v="17"/>
    <s v="n"/>
    <x v="88"/>
    <d v="1899-12-30T00:44:47"/>
    <n v="7.84"/>
    <d v="1899-12-30T00:05:43"/>
    <n v="133"/>
    <n v="49"/>
    <n v="206"/>
    <n v="33"/>
    <n v="1.0537656107219007"/>
    <x v="14"/>
  </r>
  <r>
    <m/>
    <m/>
    <x v="1"/>
    <m/>
    <s v=""/>
    <s v=""/>
    <m/>
    <s v="0"/>
    <m/>
    <m/>
    <s v=""/>
    <x v="0"/>
  </r>
  <r>
    <n v="18"/>
    <s v="n"/>
    <x v="55"/>
    <d v="1899-12-30T00:50:09"/>
    <n v="9.25"/>
    <d v="1899-12-30T00:05:25"/>
    <n v="142"/>
    <n v="59"/>
    <n v="214"/>
    <n v="39"/>
    <n v="1.0390092779346511"/>
    <x v="13"/>
  </r>
  <r>
    <m/>
    <m/>
    <x v="1"/>
    <m/>
    <s v=""/>
    <s v=""/>
    <m/>
    <s v="0"/>
    <m/>
    <m/>
    <s v=""/>
    <x v="0"/>
  </r>
  <r>
    <n v="19"/>
    <s v="j"/>
    <x v="55"/>
    <d v="1899-12-30T00:49:54"/>
    <n v="9.07"/>
    <d v="1899-12-30T00:05:30"/>
    <n v="139"/>
    <n v="59"/>
    <n v="213"/>
    <n v="28"/>
    <n v="1.0494199345060802"/>
    <x v="16"/>
  </r>
  <r>
    <m/>
    <m/>
    <x v="1"/>
    <m/>
    <s v=""/>
    <s v=""/>
    <m/>
    <s v="0"/>
    <m/>
    <m/>
    <s v=""/>
    <x v="0"/>
  </r>
  <r>
    <m/>
    <m/>
    <x v="1"/>
    <m/>
    <s v=""/>
    <s v=""/>
    <m/>
    <s v="0"/>
    <m/>
    <m/>
    <s v=""/>
    <x v="0"/>
  </r>
  <r>
    <n v="20"/>
    <s v="n"/>
    <x v="55"/>
    <d v="1899-12-30T00:55:27"/>
    <n v="10.130000000000001"/>
    <d v="1899-12-30T00:05:28"/>
    <n v="141"/>
    <n v="65"/>
    <n v="214"/>
    <n v="63"/>
    <n v="1.0490165166271308"/>
    <x v="14"/>
  </r>
  <r>
    <n v="21"/>
    <s v="n"/>
    <x v="94"/>
    <d v="1899-12-30T00:43:07"/>
    <n v="7.94"/>
    <d v="1899-12-30T00:05:26"/>
    <n v="140"/>
    <n v="57"/>
    <n v="210"/>
    <n v="26"/>
    <n v="1.0212226023534718"/>
    <x v="15"/>
  </r>
  <r>
    <n v="22"/>
    <s v="n"/>
    <x v="55"/>
    <d v="1899-12-30T00:57:24"/>
    <n v="10.07"/>
    <d v="1899-12-30T00:05:42"/>
    <n v="135"/>
    <n v="64"/>
    <n v="207"/>
    <n v="37"/>
    <n v="1.0566452741258949"/>
    <x v="13"/>
  </r>
  <r>
    <n v="23"/>
    <s v="n"/>
    <x v="74"/>
    <d v="1899-12-30T01:05:52"/>
    <n v="12.72"/>
    <d v="1899-12-30T00:05:11"/>
    <n v="142"/>
    <n v="88"/>
    <n v="227"/>
    <n v="52"/>
    <n v="1.052642448136675"/>
    <x v="16"/>
  </r>
  <r>
    <m/>
    <m/>
    <x v="1"/>
    <m/>
    <s v=""/>
    <s v=""/>
    <m/>
    <s v="0"/>
    <m/>
    <m/>
    <s v=""/>
    <x v="0"/>
  </r>
  <r>
    <n v="24"/>
    <s v="n"/>
    <x v="80"/>
    <d v="1899-12-30T01:38:38"/>
    <n v="18.14"/>
    <d v="1899-12-30T00:05:26"/>
    <n v="144"/>
    <n v="118"/>
    <n v="215"/>
    <n v="80"/>
    <n v="1.0468906843950039"/>
    <x v="16"/>
  </r>
  <r>
    <m/>
    <m/>
    <x v="1"/>
    <m/>
    <s v=""/>
    <s v=""/>
    <m/>
    <s v="0"/>
    <m/>
    <m/>
    <s v=""/>
    <x v="0"/>
  </r>
  <r>
    <n v="25"/>
    <s v="n"/>
    <x v="55"/>
    <d v="1899-12-30T00:54:21"/>
    <n v="10.14"/>
    <d v="1899-12-30T00:05:22"/>
    <n v="140"/>
    <n v="67"/>
    <n v="219"/>
    <n v="38"/>
    <n v="1.0511922635343991"/>
    <x v="14"/>
  </r>
  <r>
    <n v="26"/>
    <s v="n"/>
    <x v="94"/>
    <d v="1899-12-30T00:48:59"/>
    <n v="8.16"/>
    <d v="1899-12-30T00:06:00"/>
    <n v="140"/>
    <n v="59"/>
    <n v="188"/>
    <n v="24"/>
    <n v="1.0106306701785195"/>
    <x v="15"/>
  </r>
  <r>
    <n v="27"/>
    <s v="n"/>
    <x v="92"/>
    <d v="1899-12-30T00:44:35"/>
    <n v="7.85"/>
    <d v="1899-12-30T00:05:41"/>
    <n v="131"/>
    <n v="49"/>
    <n v="206"/>
    <n v="22"/>
    <n v="1.0477231676014831"/>
    <x v="13"/>
  </r>
  <r>
    <m/>
    <m/>
    <x v="1"/>
    <m/>
    <s v=""/>
    <s v=""/>
    <m/>
    <s v="0"/>
    <m/>
    <m/>
    <s v=""/>
    <x v="0"/>
  </r>
  <r>
    <n v="28"/>
    <s v="n"/>
    <x v="74"/>
    <d v="1899-12-30T01:09:46"/>
    <n v="13.24"/>
    <d v="1899-12-30T00:05:16"/>
    <n v="137"/>
    <n v="99"/>
    <n v="234"/>
    <n v="56"/>
    <n v="1.1042115705460613"/>
    <x v="16"/>
  </r>
  <r>
    <n v="29"/>
    <s v="n"/>
    <x v="63"/>
    <d v="1899-12-30T01:49:16"/>
    <n v="20"/>
    <d v="1899-12-30T00:05:28"/>
    <n v="137"/>
    <n v="147"/>
    <n v="228"/>
    <n v="120"/>
    <n v="1.1154985074626866"/>
    <x v="16"/>
  </r>
  <r>
    <m/>
    <m/>
    <x v="1"/>
    <m/>
    <s v=""/>
    <s v=""/>
    <m/>
    <s v="0"/>
    <m/>
    <m/>
    <s v=""/>
    <x v="0"/>
  </r>
  <r>
    <m/>
    <m/>
    <x v="1"/>
    <m/>
    <s v=""/>
    <s v=""/>
    <m/>
    <s v="0"/>
    <m/>
    <m/>
    <s v=""/>
    <x v="0"/>
  </r>
  <r>
    <n v="30"/>
    <s v="n"/>
    <x v="74"/>
    <d v="1899-12-30T01:07:52"/>
    <n v="12.57"/>
    <d v="1899-12-30T00:05:24"/>
    <n v="135"/>
    <n v="93"/>
    <n v="230"/>
    <n v="61"/>
    <n v="1.1120530996568472"/>
    <x v="14"/>
  </r>
  <r>
    <n v="31"/>
    <s v="n"/>
    <x v="55"/>
    <d v="1899-12-30T00:55:20"/>
    <n v="10.199999999999999"/>
    <d v="1899-12-30T00:05:25"/>
    <n v="135"/>
    <n v="73"/>
    <n v="226"/>
    <n v="37"/>
    <n v="1.0979221539362014"/>
    <x v="13"/>
  </r>
  <r>
    <n v="32"/>
    <s v="n"/>
    <x v="91"/>
    <d v="1899-12-30T01:01:47"/>
    <n v="12.3"/>
    <d v="1899-12-30T00:05:01"/>
    <n v="152"/>
    <n v="98"/>
    <n v="244"/>
    <n v="50"/>
    <n v="1.097570683169518"/>
    <x v="15"/>
  </r>
  <r>
    <n v="33"/>
    <s v="n"/>
    <x v="88"/>
    <d v="1899-12-30T00:43:26"/>
    <n v="7.93"/>
    <d v="1899-12-30T00:05:29"/>
    <n v="137"/>
    <n v="54"/>
    <n v="224"/>
    <n v="25"/>
    <n v="1.0986881481620898"/>
    <x v="16"/>
  </r>
  <r>
    <m/>
    <m/>
    <x v="1"/>
    <m/>
    <s v=""/>
    <s v=""/>
    <m/>
    <s v="0"/>
    <m/>
    <m/>
    <s v=""/>
    <x v="0"/>
  </r>
  <r>
    <n v="34"/>
    <s v="j"/>
    <x v="64"/>
    <d v="1899-12-30T01:58:45"/>
    <n v="21.18"/>
    <d v="1899-12-30T00:05:36"/>
    <n v="137"/>
    <n v="137"/>
    <n v="216"/>
    <n v="107"/>
    <n v="1.0845207390807998"/>
    <x v="16"/>
  </r>
  <r>
    <m/>
    <m/>
    <x v="1"/>
    <m/>
    <s v=""/>
    <s v=""/>
    <m/>
    <s v="0"/>
    <m/>
    <m/>
    <s v=""/>
    <x v="0"/>
  </r>
  <r>
    <n v="35"/>
    <s v="n"/>
    <x v="74"/>
    <d v="1899-12-30T01:06:10"/>
    <n v="12.5"/>
    <d v="1899-12-30T00:05:18"/>
    <n v="136"/>
    <n v="88"/>
    <n v="232"/>
    <n v="54"/>
    <n v="1.0997492537313434"/>
    <x v="13"/>
  </r>
  <r>
    <n v="36"/>
    <s v="n"/>
    <x v="95"/>
    <d v="1899-12-30T00:45:04"/>
    <n v="8.09"/>
    <d v="1899-12-30T00:05:34"/>
    <n v="135"/>
    <n v="60"/>
    <n v="211"/>
    <n v="13"/>
    <n v="1.0526059443204254"/>
    <x v="15"/>
  </r>
  <r>
    <m/>
    <m/>
    <x v="1"/>
    <m/>
    <s v=""/>
    <s v=""/>
    <m/>
    <s v="0"/>
    <m/>
    <m/>
    <s v=""/>
    <x v="0"/>
  </r>
  <r>
    <n v="37"/>
    <s v="n"/>
    <x v="68"/>
    <d v="1899-12-30T01:10:31"/>
    <n v="8.9700000000000006"/>
    <d v="1899-12-30T00:07:52"/>
    <n v="142"/>
    <n v="74"/>
    <n v="192"/>
    <n v="501"/>
    <m/>
    <x v="12"/>
  </r>
  <r>
    <m/>
    <m/>
    <x v="1"/>
    <m/>
    <s v=""/>
    <s v=""/>
    <m/>
    <s v="0"/>
    <m/>
    <m/>
    <s v=""/>
    <x v="0"/>
  </r>
  <r>
    <n v="38"/>
    <s v="j"/>
    <x v="92"/>
    <d v="1899-12-30T00:32:22"/>
    <n v="5.46"/>
    <d v="1899-12-30T00:05:56"/>
    <n v="126"/>
    <n v="32"/>
    <n v="202"/>
    <n v="8"/>
    <n v="1.0723415887594994"/>
    <x v="16"/>
  </r>
  <r>
    <m/>
    <m/>
    <x v="1"/>
    <m/>
    <s v=""/>
    <s v=""/>
    <m/>
    <s v="0"/>
    <m/>
    <m/>
    <s v=""/>
    <x v="0"/>
  </r>
  <r>
    <n v="39"/>
    <s v="n"/>
    <x v="55"/>
    <d v="1899-12-30T00:56:44"/>
    <n v="10.119999999999999"/>
    <d v="1899-12-30T00:05:36"/>
    <n v="132"/>
    <n v="67"/>
    <n v="219"/>
    <n v="33"/>
    <n v="1.0994572591587517"/>
    <x v="16"/>
  </r>
  <r>
    <m/>
    <m/>
    <x v="1"/>
    <m/>
    <s v=""/>
    <s v=""/>
    <m/>
    <s v="0"/>
    <m/>
    <m/>
    <s v=""/>
    <x v="0"/>
  </r>
  <r>
    <n v="40"/>
    <s v="n"/>
    <x v="55"/>
    <d v="1899-12-30T00:55:08"/>
    <n v="10.119999999999999"/>
    <d v="1899-12-30T00:05:27"/>
    <n v="136"/>
    <n v="69"/>
    <n v="226"/>
    <n v="34"/>
    <n v="1.1026016164238097"/>
    <x v="14"/>
  </r>
  <r>
    <m/>
    <m/>
    <x v="1"/>
    <m/>
    <s v=""/>
    <s v=""/>
    <m/>
    <s v="0"/>
    <m/>
    <m/>
    <s v=""/>
    <x v="0"/>
  </r>
  <r>
    <n v="41"/>
    <s v="n"/>
    <x v="62"/>
    <d v="1899-12-30T01:26:15"/>
    <n v="15.54"/>
    <d v="1899-12-30T00:05:33"/>
    <n v="139"/>
    <n v="104"/>
    <n v="221"/>
    <n v="63"/>
    <n v="1.0984411917247741"/>
    <x v="16"/>
  </r>
  <r>
    <m/>
    <m/>
    <x v="1"/>
    <m/>
    <s v=""/>
    <s v=""/>
    <m/>
    <s v="0"/>
    <m/>
    <m/>
    <s v=""/>
    <x v="0"/>
  </r>
  <r>
    <n v="42"/>
    <s v="n"/>
    <x v="84"/>
    <d v="1899-12-30T00:53:46"/>
    <n v="9.74"/>
    <d v="1899-12-30T00:05:31"/>
    <n v="141"/>
    <n v="75"/>
    <n v="213"/>
    <n v="30"/>
    <n v="1.0529559594225997"/>
    <x v="15"/>
  </r>
  <r>
    <n v="43"/>
    <s v="n"/>
    <x v="92"/>
    <d v="1899-12-30T00:46:38"/>
    <n v="8.11"/>
    <d v="1899-12-30T00:05:45"/>
    <n v="127"/>
    <n v="52"/>
    <n v="212"/>
    <n v="23"/>
    <n v="1.0916612989307468"/>
    <x v="13"/>
  </r>
  <r>
    <m/>
    <m/>
    <x v="1"/>
    <m/>
    <s v=""/>
    <s v=""/>
    <m/>
    <s v="0"/>
    <m/>
    <m/>
    <s v=""/>
    <x v="0"/>
  </r>
  <r>
    <n v="44"/>
    <s v="n"/>
    <x v="77"/>
    <d v="1899-12-30T00:48:24"/>
    <n v="9.75"/>
    <d v="1899-12-30T00:04:58"/>
    <n v="152"/>
    <n v="74"/>
    <n v="239"/>
    <n v="17"/>
    <n v="1.0624661308840413"/>
    <x v="15"/>
  </r>
  <r>
    <n v="45"/>
    <s v="n"/>
    <x v="92"/>
    <d v="1899-12-30T00:44:34"/>
    <n v="8.09"/>
    <d v="1899-12-30T00:05:31"/>
    <n v="129"/>
    <n v="53"/>
    <n v="219"/>
    <n v="21"/>
    <n v="1.0803940741287383"/>
    <x v="13"/>
  </r>
  <r>
    <m/>
    <m/>
    <x v="1"/>
    <m/>
    <s v=""/>
    <s v=""/>
    <m/>
    <s v="0"/>
    <m/>
    <m/>
    <s v=""/>
    <x v="0"/>
  </r>
  <r>
    <n v="46"/>
    <s v="n"/>
    <x v="80"/>
    <d v="1899-12-30T01:36:46"/>
    <n v="17.579999999999998"/>
    <d v="1899-12-30T00:05:30"/>
    <n v="134"/>
    <n v="122"/>
    <n v="222"/>
    <n v="58"/>
    <n v="1.0942998318985278"/>
    <x v="16"/>
  </r>
  <r>
    <m/>
    <m/>
    <x v="1"/>
    <m/>
    <s v=""/>
    <s v=""/>
    <m/>
    <s v="0"/>
    <m/>
    <m/>
    <s v=""/>
    <x v="0"/>
  </r>
  <r>
    <n v="47"/>
    <s v="n"/>
    <x v="74"/>
    <d v="1899-12-30T01:06:55"/>
    <n v="12.71"/>
    <d v="1899-12-30T00:05:16"/>
    <n v="143"/>
    <n v="90"/>
    <n v="234"/>
    <n v="50"/>
    <n v="1.1032680813086415"/>
    <x v="14"/>
  </r>
  <r>
    <n v="48"/>
    <s v="n"/>
    <x v="96"/>
    <d v="1899-12-30T01:03:06"/>
    <n v="12.38"/>
    <d v="1899-12-30T00:05:06"/>
    <n v="144"/>
    <n v="96"/>
    <n v="234"/>
    <n v="22"/>
    <n v="1.0680732042533696"/>
    <x v="15"/>
  </r>
  <r>
    <n v="49"/>
    <s v="n"/>
    <x v="55"/>
    <d v="1899-12-30T00:57:07"/>
    <n v="10.7"/>
    <d v="1899-12-30T00:05:20"/>
    <n v="140"/>
    <n v="72"/>
    <n v="226"/>
    <n v="32"/>
    <n v="1.0803487236713629"/>
    <x v="13"/>
  </r>
  <r>
    <m/>
    <m/>
    <x v="1"/>
    <m/>
    <s v=""/>
    <s v=""/>
    <m/>
    <s v="0"/>
    <m/>
    <m/>
    <s v=""/>
    <x v="0"/>
  </r>
  <r>
    <n v="50"/>
    <s v="n"/>
    <x v="68"/>
    <d v="1899-12-30T02:07:16"/>
    <n v="15.09"/>
    <d v="1899-12-30T00:08:26"/>
    <n v="135"/>
    <n v="97"/>
    <n v="160"/>
    <n v="668"/>
    <m/>
    <x v="12"/>
  </r>
  <r>
    <m/>
    <m/>
    <x v="1"/>
    <m/>
    <s v=""/>
    <s v=""/>
    <m/>
    <s v="0"/>
    <m/>
    <m/>
    <s v=""/>
    <x v="0"/>
  </r>
  <r>
    <n v="51"/>
    <s v="n"/>
    <x v="55"/>
    <d v="1899-12-30T00:56:56"/>
    <n v="10.119999999999999"/>
    <d v="1899-12-30T00:05:38"/>
    <n v="133"/>
    <n v="64"/>
    <n v="217"/>
    <n v="33"/>
    <n v="1.0932570349831867"/>
    <x v="13"/>
  </r>
  <r>
    <m/>
    <m/>
    <x v="1"/>
    <m/>
    <s v=""/>
    <s v=""/>
    <m/>
    <s v="0"/>
    <m/>
    <m/>
    <s v=""/>
    <x v="0"/>
  </r>
  <r>
    <n v="52"/>
    <s v="n"/>
    <x v="78"/>
    <d v="1899-12-30T01:04:22"/>
    <n v="12.63"/>
    <d v="1899-12-30T00:05:06"/>
    <n v="145"/>
    <n v="89"/>
    <n v="232"/>
    <n v="21"/>
    <n v="1.0588199146783897"/>
    <x v="15"/>
  </r>
  <r>
    <n v="53"/>
    <s v="n"/>
    <x v="92"/>
    <d v="1899-12-30T00:40:51"/>
    <n v="7.25"/>
    <d v="1899-12-30T00:05:38"/>
    <n v="130"/>
    <n v="46"/>
    <n v="217"/>
    <n v="27"/>
    <n v="1.0949397838394237"/>
    <x v="14"/>
  </r>
  <r>
    <n v="54"/>
    <s v="n"/>
    <x v="55"/>
    <d v="1899-12-30T01:03:19"/>
    <n v="12.23"/>
    <d v="1899-12-30T00:05:11"/>
    <n v="138"/>
    <n v="87"/>
    <n v="239"/>
    <n v="40"/>
    <n v="1.1080667797561659"/>
    <x v="17"/>
  </r>
  <r>
    <m/>
    <m/>
    <x v="1"/>
    <m/>
    <s v=""/>
    <s v=""/>
    <m/>
    <s v="0"/>
    <m/>
    <m/>
    <s v=""/>
    <x v="0"/>
  </r>
  <r>
    <n v="55"/>
    <s v="n"/>
    <x v="64"/>
    <d v="1899-12-30T01:51:51"/>
    <n v="21.4"/>
    <d v="1899-12-30T00:05:14"/>
    <n v="142"/>
    <n v="144"/>
    <n v="232"/>
    <n v="91"/>
    <n v="1.0858920351513461"/>
    <x v="16"/>
  </r>
  <r>
    <m/>
    <m/>
    <x v="1"/>
    <m/>
    <s v=""/>
    <s v=""/>
    <m/>
    <s v="0"/>
    <m/>
    <m/>
    <s v=""/>
    <x v="0"/>
  </r>
  <r>
    <n v="56"/>
    <s v="n"/>
    <x v="55"/>
    <d v="1899-12-30T00:53:40"/>
    <n v="10.1"/>
    <d v="1899-12-30T00:05:19"/>
    <m/>
    <n v="67"/>
    <n v="230"/>
    <n v="43"/>
    <n v="1.0944288458696616"/>
    <x v="18"/>
  </r>
  <r>
    <n v="57"/>
    <s v="n"/>
    <x v="32"/>
    <d v="1899-12-30T01:03:29"/>
    <n v="12.41"/>
    <d v="1899-12-30T00:05:07"/>
    <n v="142"/>
    <n v="89"/>
    <n v="237"/>
    <n v="50"/>
    <n v="1.0857072413917521"/>
    <x v="10"/>
  </r>
  <r>
    <m/>
    <m/>
    <x v="1"/>
    <m/>
    <s v=""/>
    <s v=""/>
    <m/>
    <s v="0"/>
    <m/>
    <m/>
    <s v=""/>
    <x v="0"/>
  </r>
  <r>
    <n v="58"/>
    <s v="n"/>
    <x v="55"/>
    <d v="1899-12-30T00:52:31"/>
    <n v="10.08"/>
    <d v="1899-12-30T00:05:13"/>
    <n v="137"/>
    <n v="68"/>
    <n v="234"/>
    <n v="37"/>
    <n v="1.0917643923240936"/>
    <x v="17"/>
  </r>
  <r>
    <m/>
    <m/>
    <x v="1"/>
    <m/>
    <s v=""/>
    <s v=""/>
    <m/>
    <s v="0"/>
    <m/>
    <m/>
    <s v=""/>
    <x v="0"/>
  </r>
  <r>
    <n v="59"/>
    <s v="n"/>
    <x v="55"/>
    <d v="1899-12-30T00:55:02"/>
    <n v="10.44"/>
    <d v="1899-12-30T00:05:16"/>
    <n v="136"/>
    <n v="71"/>
    <n v="234"/>
    <n v="35"/>
    <n v="1.1046320123520328"/>
    <x v="18"/>
  </r>
  <r>
    <m/>
    <m/>
    <x v="1"/>
    <m/>
    <s v=""/>
    <s v=""/>
    <m/>
    <s v="0"/>
    <m/>
    <m/>
    <s v=""/>
    <x v="0"/>
  </r>
  <r>
    <n v="60"/>
    <s v="n"/>
    <x v="55"/>
    <d v="1899-12-30T00:54:41"/>
    <n v="10.33"/>
    <d v="1899-12-30T00:05:18"/>
    <n v="142"/>
    <n v="69"/>
    <n v="231"/>
    <n v="35"/>
    <n v="1.0950730375229372"/>
    <x v="13"/>
  </r>
  <r>
    <m/>
    <m/>
    <x v="1"/>
    <m/>
    <s v=""/>
    <s v=""/>
    <m/>
    <s v="0"/>
    <m/>
    <m/>
    <s v=""/>
    <x v="0"/>
  </r>
  <r>
    <n v="61"/>
    <s v="n"/>
    <x v="55"/>
    <d v="1899-12-30T00:55:21"/>
    <n v="10.09"/>
    <d v="1899-12-30T00:05:29"/>
    <n v="139"/>
    <n v="66"/>
    <n v="225"/>
    <n v="33"/>
    <n v="1.1053133736668492"/>
    <x v="14"/>
  </r>
  <r>
    <m/>
    <m/>
    <x v="1"/>
    <m/>
    <s v=""/>
    <s v=""/>
    <m/>
    <s v="0"/>
    <m/>
    <m/>
    <s v=""/>
    <x v="0"/>
  </r>
  <r>
    <n v="62"/>
    <s v="n"/>
    <x v="55"/>
    <d v="1899-12-30T00:52:21"/>
    <n v="9.6"/>
    <d v="1899-12-30T00:05:27"/>
    <n v="129"/>
    <n v="63"/>
    <n v="225"/>
    <n v="69"/>
    <n v="1.0987639925373134"/>
    <x v="18"/>
  </r>
  <r>
    <m/>
    <m/>
    <x v="1"/>
    <m/>
    <s v=""/>
    <s v=""/>
    <m/>
    <s v="0"/>
    <m/>
    <m/>
    <s v=""/>
    <x v="0"/>
  </r>
  <r>
    <m/>
    <m/>
    <x v="1"/>
    <m/>
    <s v=""/>
    <s v=""/>
    <m/>
    <s v="0"/>
    <m/>
    <m/>
    <s v=""/>
    <x v="0"/>
  </r>
  <r>
    <n v="63"/>
    <s v="n"/>
    <x v="55"/>
    <d v="1899-12-30T00:55:57"/>
    <n v="10.77"/>
    <d v="1899-12-30T00:05:12"/>
    <n v="140"/>
    <n v="74"/>
    <n v="236"/>
    <n v="39"/>
    <n v="1.0979254147091839"/>
    <x v="17"/>
  </r>
  <r>
    <m/>
    <m/>
    <x v="1"/>
    <m/>
    <s v=""/>
    <s v=""/>
    <m/>
    <s v="0"/>
    <m/>
    <m/>
    <s v=""/>
    <x v="0"/>
  </r>
  <r>
    <n v="64"/>
    <s v="n"/>
    <x v="55"/>
    <d v="1899-12-30T00:54:23"/>
    <n v="10.3"/>
    <d v="1899-12-30T00:05:17"/>
    <n v="134"/>
    <n v="69"/>
    <n v="231"/>
    <n v="30"/>
    <n v="1.0922373569047965"/>
    <x v="18"/>
  </r>
  <r>
    <m/>
    <m/>
    <x v="1"/>
    <m/>
    <s v=""/>
    <s v=""/>
    <m/>
    <s v="0"/>
    <m/>
    <m/>
    <s v=""/>
    <x v="0"/>
  </r>
  <r>
    <n v="65"/>
    <s v="n"/>
    <x v="62"/>
    <d v="1899-12-30T01:31:52"/>
    <n v="17.350000000000001"/>
    <d v="1899-12-30T00:05:18"/>
    <n v="137"/>
    <n v="117"/>
    <n v="231"/>
    <n v="69"/>
    <n v="1.0953348531119618"/>
    <x v="16"/>
  </r>
  <r>
    <m/>
    <m/>
    <x v="1"/>
    <m/>
    <s v=""/>
    <s v=""/>
    <m/>
    <s v="0"/>
    <m/>
    <m/>
    <s v=""/>
    <x v="0"/>
  </r>
  <r>
    <n v="66"/>
    <s v="n"/>
    <x v="55"/>
    <d v="1899-12-30T00:57:00"/>
    <n v="11.29"/>
    <d v="1899-12-30T00:05:03"/>
    <n v="138"/>
    <n v="79"/>
    <n v="241"/>
    <n v="35"/>
    <n v="1.0896183387755642"/>
    <x v="18"/>
  </r>
  <r>
    <m/>
    <m/>
    <x v="1"/>
    <m/>
    <s v=""/>
    <s v=""/>
    <m/>
    <s v="0"/>
    <m/>
    <m/>
    <s v=""/>
    <x v="0"/>
  </r>
  <r>
    <n v="67"/>
    <s v="n"/>
    <x v="96"/>
    <d v="1899-12-30T00:50:00"/>
    <n v="9.68"/>
    <d v="1899-12-30T00:05:10"/>
    <n v="146"/>
    <n v="72"/>
    <n v="226"/>
    <n v="26"/>
    <n v="1.0453928703589492"/>
    <x v="15"/>
  </r>
  <r>
    <n v="68"/>
    <s v="n"/>
    <x v="92"/>
    <d v="1899-12-30T00:40:51"/>
    <n v="7.45"/>
    <d v="1899-12-30T00:05:29"/>
    <n v="134"/>
    <n v="48"/>
    <n v="222"/>
    <n v="24"/>
    <n v="1.0900971651808073"/>
    <x v="13"/>
  </r>
  <r>
    <m/>
    <m/>
    <x v="1"/>
    <m/>
    <s v=""/>
    <s v=""/>
    <m/>
    <s v="0"/>
    <m/>
    <m/>
    <s v=""/>
    <x v="0"/>
  </r>
  <r>
    <n v="69"/>
    <s v="n"/>
    <x v="80"/>
    <d v="1899-12-30T01:46:31"/>
    <n v="20.58"/>
    <d v="1899-12-30T00:05:11"/>
    <n v="140"/>
    <n v="140"/>
    <n v="235"/>
    <n v="79"/>
    <n v="1.0892222560666058"/>
    <x v="16"/>
  </r>
  <r>
    <m/>
    <m/>
    <x v="1"/>
    <m/>
    <s v=""/>
    <s v=""/>
    <m/>
    <s v="0"/>
    <m/>
    <m/>
    <s v=""/>
    <x v="0"/>
  </r>
  <r>
    <n v="70"/>
    <s v="n"/>
    <x v="74"/>
    <d v="1899-12-30T01:06:46"/>
    <n v="12.79"/>
    <d v="1899-12-30T00:05:13"/>
    <n v="138"/>
    <n v="87"/>
    <n v="236"/>
    <n v="38"/>
    <n v="1.1032593093951666"/>
    <x v="18"/>
  </r>
  <r>
    <m/>
    <m/>
    <x v="1"/>
    <m/>
    <s v=""/>
    <s v=""/>
    <m/>
    <s v="0"/>
    <m/>
    <m/>
    <s v=""/>
    <x v="0"/>
  </r>
  <r>
    <n v="71"/>
    <s v="n"/>
    <x v="79"/>
    <d v="1899-12-30T01:04:55"/>
    <n v="12.1"/>
    <d v="1899-12-30T00:05:22"/>
    <n v="145"/>
    <n v="91"/>
    <n v="218"/>
    <n v="31"/>
    <n v="1.0473788084371531"/>
    <x v="15"/>
  </r>
  <r>
    <n v="72"/>
    <s v="n"/>
    <x v="92"/>
    <d v="1899-12-30T00:41:19"/>
    <n v="7.47"/>
    <d v="1899-12-30T00:05:32"/>
    <n v="132"/>
    <n v="47"/>
    <n v="222"/>
    <n v="17"/>
    <n v="1.0995983935742975"/>
    <x v="17"/>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73"/>
    <s v="n"/>
    <x v="88"/>
    <d v="1899-12-30T00:41:31"/>
    <n v="7.36"/>
    <d v="1899-12-30T00:05:38"/>
    <n v="142"/>
    <n v="47"/>
    <n v="220"/>
    <n v="24"/>
    <n v="1.111331927319922"/>
    <x v="18"/>
  </r>
  <r>
    <m/>
    <m/>
    <x v="1"/>
    <m/>
    <s v=""/>
    <s v=""/>
    <m/>
    <s v="0"/>
    <m/>
    <m/>
    <s v=""/>
    <x v="0"/>
  </r>
  <r>
    <n v="74"/>
    <s v="n"/>
    <x v="88"/>
    <d v="1899-12-30T00:47:49"/>
    <n v="8.66"/>
    <d v="1899-12-30T00:05:31"/>
    <n v="139"/>
    <n v="55"/>
    <n v="222"/>
    <n v="23"/>
    <n v="1.0977181069249595"/>
    <x v="18"/>
  </r>
  <r>
    <m/>
    <m/>
    <x v="1"/>
    <m/>
    <s v=""/>
    <s v=""/>
    <m/>
    <s v="0"/>
    <m/>
    <m/>
    <s v=""/>
    <x v="0"/>
  </r>
  <r>
    <n v="75"/>
    <s v="n"/>
    <x v="88"/>
    <d v="1899-12-30T00:46:09"/>
    <n v="8.3800000000000008"/>
    <d v="1899-12-30T00:05:30"/>
    <n v="139"/>
    <n v="54"/>
    <n v="224"/>
    <n v="21"/>
    <n v="1.1047198375663447"/>
    <x v="17"/>
  </r>
  <r>
    <m/>
    <m/>
    <x v="1"/>
    <m/>
    <s v=""/>
    <s v=""/>
    <m/>
    <s v="0"/>
    <m/>
    <m/>
    <s v=""/>
    <x v="0"/>
  </r>
  <r>
    <n v="76"/>
    <s v="n"/>
    <x v="88"/>
    <d v="1899-12-30T00:46:46"/>
    <n v="8.43"/>
    <d v="1899-12-30T00:05:33"/>
    <n v="143"/>
    <n v="54"/>
    <n v="222"/>
    <n v="23"/>
    <n v="1.1029054018165401"/>
    <x v="18"/>
  </r>
  <r>
    <m/>
    <m/>
    <x v="1"/>
    <m/>
    <m/>
    <s v=""/>
    <m/>
    <s v="0"/>
    <m/>
    <m/>
    <s v=""/>
    <x v="0"/>
  </r>
  <r>
    <n v="77"/>
    <s v="n"/>
    <x v="88"/>
    <d v="1899-12-30T00:49:19"/>
    <n v="8.7899999999999991"/>
    <d v="1899-12-30T00:05:37"/>
    <n v="141"/>
    <n v="55"/>
    <n v="219"/>
    <n v="39"/>
    <n v="1.1003362029443229"/>
    <x v="18"/>
  </r>
  <r>
    <m/>
    <m/>
    <x v="1"/>
    <m/>
    <s v=""/>
    <s v=""/>
    <m/>
    <s v="0"/>
    <m/>
    <m/>
    <s v=""/>
    <x v="0"/>
  </r>
  <r>
    <n v="78"/>
    <s v="n"/>
    <x v="55"/>
    <d v="1899-12-30T00:55:17"/>
    <n v="10.43"/>
    <d v="1899-12-30T00:05:18"/>
    <n v="141"/>
    <n v="68"/>
    <n v="229"/>
    <n v="34"/>
    <n v="1.0869807243742933"/>
    <x v="13"/>
  </r>
  <r>
    <m/>
    <m/>
    <x v="1"/>
    <m/>
    <s v=""/>
    <s v=""/>
    <m/>
    <s v="0"/>
    <m/>
    <m/>
    <s v=""/>
    <x v="0"/>
  </r>
  <r>
    <n v="79"/>
    <s v="n"/>
    <x v="68"/>
    <d v="1899-12-30T00:51:28"/>
    <n v="8.0500000000000007"/>
    <d v="1899-12-30T00:06:24"/>
    <n v="141"/>
    <n v="52"/>
    <n v="204"/>
    <n v="185"/>
    <m/>
    <x v="12"/>
  </r>
  <r>
    <m/>
    <m/>
    <x v="1"/>
    <m/>
    <s v=""/>
    <s v=""/>
    <m/>
    <s v="0"/>
    <m/>
    <m/>
    <s v=""/>
    <x v="0"/>
  </r>
  <r>
    <n v="80"/>
    <s v="n"/>
    <x v="55"/>
    <d v="1899-12-30T01:00:52"/>
    <n v="11.08"/>
    <d v="1899-12-30T00:05:30"/>
    <n v="138"/>
    <n v="71"/>
    <n v="224"/>
    <n v="34"/>
    <n v="1.1019559243493722"/>
    <x v="18"/>
  </r>
  <r>
    <n v="81"/>
    <s v="n"/>
    <x v="88"/>
    <d v="1899-12-30T00:41:04"/>
    <n v="7.53"/>
    <d v="1899-12-30T00:05:27"/>
    <n v="134"/>
    <n v="48"/>
    <n v="225"/>
    <n v="26"/>
    <n v="1.0988880299696737"/>
    <x v="17"/>
  </r>
  <r>
    <m/>
    <m/>
    <x v="1"/>
    <m/>
    <s v=""/>
    <s v=""/>
    <m/>
    <s v="0"/>
    <m/>
    <m/>
    <s v=""/>
    <x v="0"/>
  </r>
  <r>
    <n v="82"/>
    <s v="n"/>
    <x v="88"/>
    <d v="1899-12-30T00:38:10"/>
    <n v="7.11"/>
    <d v="1899-12-30T00:05:22"/>
    <m/>
    <n v="46"/>
    <n v="227"/>
    <n v="17"/>
    <n v="1.0912316056846569"/>
    <x v="14"/>
  </r>
  <r>
    <n v="83"/>
    <s v="n"/>
    <x v="55"/>
    <d v="1899-12-30T00:55:14"/>
    <n v="10.14"/>
    <d v="1899-12-30T00:05:27"/>
    <n v="151"/>
    <n v="66"/>
    <n v="226"/>
    <n v="28"/>
    <n v="1.1024227972563219"/>
    <x v="18"/>
  </r>
  <r>
    <m/>
    <m/>
    <x v="97"/>
    <m/>
    <s v=""/>
    <s v=""/>
    <m/>
    <s v="0"/>
    <m/>
    <m/>
    <s v=""/>
    <x v="0"/>
  </r>
  <r>
    <n v="84"/>
    <s v="j"/>
    <x v="55"/>
    <d v="1899-12-30T01:01:24"/>
    <n v="11.1"/>
    <d v="1899-12-30T00:05:32"/>
    <n v="140"/>
    <n v="68"/>
    <n v="217"/>
    <n v="33"/>
    <n v="1.0749334409035902"/>
    <x v="16"/>
  </r>
  <r>
    <m/>
    <m/>
    <x v="1"/>
    <m/>
    <s v=""/>
    <s v=""/>
    <m/>
    <s v="0"/>
    <m/>
    <m/>
    <s v=""/>
    <x v="0"/>
  </r>
  <r>
    <n v="85"/>
    <s v="j"/>
    <x v="76"/>
    <d v="1899-12-30T01:17:46"/>
    <n v="13.55"/>
    <d v="1899-12-30T00:05:44"/>
    <n v="141"/>
    <n v="82"/>
    <n v="211"/>
    <n v="47"/>
    <n v="1.0844588863799085"/>
    <x v="18"/>
  </r>
  <r>
    <m/>
    <m/>
    <x v="1"/>
    <m/>
    <s v=""/>
    <s v=""/>
    <m/>
    <s v="0"/>
    <m/>
    <m/>
    <s v=""/>
    <x v="0"/>
  </r>
  <r>
    <n v="86"/>
    <s v="n"/>
    <x v="55"/>
    <d v="1899-12-30T00:56:42"/>
    <n v="10.199999999999999"/>
    <d v="1899-12-30T00:05:34"/>
    <n v="150"/>
    <n v="65"/>
    <n v="221"/>
    <n v="29"/>
    <n v="1.1001492537313433"/>
    <x v="17"/>
  </r>
  <r>
    <n v="87"/>
    <s v="n"/>
    <x v="88"/>
    <d v="1899-12-30T00:47:56"/>
    <n v="8.73"/>
    <d v="1899-12-30T00:05:29"/>
    <n v="138"/>
    <n v="55"/>
    <n v="222"/>
    <n v="26"/>
    <n v="1.0915730625224394"/>
    <x v="13"/>
  </r>
  <r>
    <m/>
    <m/>
    <x v="1"/>
    <m/>
    <s v=""/>
    <s v=""/>
    <m/>
    <s v="0"/>
    <m/>
    <m/>
    <s v=""/>
    <x v="0"/>
  </r>
  <r>
    <n v="88"/>
    <s v="n"/>
    <x v="68"/>
    <d v="1899-12-30T01:33:32"/>
    <n v="14.54"/>
    <d v="1899-12-30T00:06:26"/>
    <n v="150"/>
    <n v="100"/>
    <n v="208"/>
    <n v="457"/>
    <m/>
    <x v="12"/>
  </r>
  <r>
    <m/>
    <m/>
    <x v="1"/>
    <m/>
    <s v=""/>
    <s v=""/>
    <m/>
    <s v="0"/>
    <m/>
    <m/>
    <s v=""/>
    <x v="0"/>
  </r>
  <r>
    <n v="89"/>
    <s v="n"/>
    <x v="88"/>
    <d v="1899-12-30T00:47:33"/>
    <n v="8.81"/>
    <d v="1899-12-30T00:05:24"/>
    <n v="136"/>
    <n v="56"/>
    <n v="226"/>
    <n v="11"/>
    <n v="1.0923441814762733"/>
    <x v="18"/>
  </r>
  <r>
    <m/>
    <m/>
    <x v="1"/>
    <m/>
    <s v=""/>
    <s v=""/>
    <m/>
    <s v="0"/>
    <m/>
    <m/>
    <s v=""/>
    <x v="0"/>
  </r>
  <r>
    <m/>
    <m/>
    <x v="1"/>
    <m/>
    <s v=""/>
    <s v=""/>
    <m/>
    <s v="0"/>
    <m/>
    <m/>
    <s v=""/>
    <x v="0"/>
  </r>
  <r>
    <n v="90"/>
    <s v="n"/>
    <x v="68"/>
    <d v="1899-12-30T01:20:15"/>
    <n v="12.93"/>
    <d v="1899-12-30T00:06:12"/>
    <n v="145"/>
    <n v="85"/>
    <n v="210"/>
    <n v="293"/>
    <m/>
    <x v="12"/>
  </r>
  <r>
    <m/>
    <m/>
    <x v="1"/>
    <m/>
    <s v=""/>
    <s v=""/>
    <m/>
    <s v="0"/>
    <m/>
    <m/>
    <s v=""/>
    <x v="0"/>
  </r>
  <r>
    <m/>
    <m/>
    <x v="1"/>
    <m/>
    <s v=""/>
    <s v=""/>
    <m/>
    <s v="0"/>
    <m/>
    <m/>
    <s v=""/>
    <x v="0"/>
  </r>
  <r>
    <m/>
    <m/>
    <x v="1"/>
    <m/>
    <s v=""/>
    <s v=""/>
    <m/>
    <s v="0"/>
    <m/>
    <m/>
    <s v=""/>
    <x v="0"/>
  </r>
  <r>
    <m/>
    <m/>
    <x v="1"/>
    <m/>
    <s v=""/>
    <s v=""/>
    <m/>
    <s v="0"/>
    <m/>
    <m/>
    <s v=""/>
    <x v="0"/>
  </r>
  <r>
    <n v="91"/>
    <s v="n"/>
    <x v="55"/>
    <d v="1899-12-30T00:51:42"/>
    <n v="9.57"/>
    <d v="1899-12-30T00:05:24"/>
    <n v="138"/>
    <n v="62"/>
    <n v="227"/>
    <n v="28"/>
    <n v="1.0981986618630981"/>
    <x v="18"/>
  </r>
  <r>
    <m/>
    <m/>
    <x v="1"/>
    <m/>
    <s v=""/>
    <s v=""/>
    <m/>
    <s v="0"/>
    <m/>
    <m/>
    <s v=""/>
    <x v="0"/>
  </r>
  <r>
    <n v="92"/>
    <s v="n"/>
    <x v="55"/>
    <d v="1899-12-30T00:56:02"/>
    <n v="9.51"/>
    <d v="1899-12-30T00:05:54"/>
    <n v="131"/>
    <n v="56"/>
    <n v="208"/>
    <n v="29"/>
    <n v="1.0975030211717438"/>
    <x v="13"/>
  </r>
  <r>
    <m/>
    <m/>
    <x v="1"/>
    <m/>
    <s v=""/>
    <s v=""/>
    <m/>
    <s v="0"/>
    <m/>
    <m/>
    <s v=""/>
    <x v="0"/>
  </r>
  <r>
    <n v="93"/>
    <s v="n"/>
    <x v="74"/>
    <d v="1899-12-30T01:11:15"/>
    <n v="13"/>
    <d v="1899-12-30T00:05:29"/>
    <n v="137"/>
    <n v="85"/>
    <n v="226"/>
    <n v="48"/>
    <n v="1.1092422502870265"/>
    <x v="18"/>
  </r>
  <r>
    <m/>
    <m/>
    <x v="1"/>
    <m/>
    <s v=""/>
    <s v=""/>
    <m/>
    <s v="0"/>
    <m/>
    <m/>
    <s v=""/>
    <x v="0"/>
  </r>
  <r>
    <n v="94"/>
    <s v="n"/>
    <x v="88"/>
    <d v="1899-12-30T00:49:06"/>
    <n v="8.5399999999999991"/>
    <d v="1899-12-30T00:05:45"/>
    <n v="128"/>
    <n v="47"/>
    <m/>
    <n v="23"/>
    <m/>
    <x v="0"/>
  </r>
  <r>
    <m/>
    <m/>
    <x v="1"/>
    <m/>
    <s v=""/>
    <s v=""/>
    <m/>
    <s v="0"/>
    <m/>
    <m/>
    <s v=""/>
    <x v="0"/>
  </r>
  <r>
    <n v="95"/>
    <s v="n"/>
    <x v="55"/>
    <d v="1899-12-30T00:57:08"/>
    <n v="10.88"/>
    <d v="1899-12-30T00:05:15"/>
    <n v="145"/>
    <n v="73"/>
    <n v="232"/>
    <n v="33"/>
    <n v="1.0910008779631253"/>
    <x v="10"/>
  </r>
  <r>
    <m/>
    <m/>
    <x v="1"/>
    <m/>
    <s v=""/>
    <s v=""/>
    <m/>
    <s v="0"/>
    <m/>
    <m/>
    <s v=""/>
    <x v="0"/>
  </r>
  <r>
    <m/>
    <m/>
    <x v="1"/>
    <m/>
    <m/>
    <s v=""/>
    <m/>
    <s v="0"/>
    <m/>
    <m/>
    <s v=""/>
    <x v="0"/>
  </r>
  <r>
    <n v="96"/>
    <s v="n"/>
    <x v="88"/>
    <d v="1899-12-30T00:44:31"/>
    <n v="7.83"/>
    <d v="1899-12-30T00:05:41"/>
    <n v="129"/>
    <n v="48"/>
    <n v="215"/>
    <n v="24"/>
    <n v="1.0946512647490518"/>
    <x v="13"/>
  </r>
  <r>
    <m/>
    <m/>
    <x v="1"/>
    <m/>
    <s v=""/>
    <s v=""/>
    <m/>
    <s v="0"/>
    <m/>
    <m/>
    <s v=""/>
    <x v="0"/>
  </r>
  <r>
    <n v="97"/>
    <s v="n"/>
    <x v="88"/>
    <d v="1899-12-30T00:50:04"/>
    <n v="9.08"/>
    <d v="1899-12-30T00:05:31"/>
    <m/>
    <n v="59"/>
    <n v="223"/>
    <n v="27"/>
    <n v="1.1011440594384905"/>
    <x v="18"/>
  </r>
  <r>
    <m/>
    <m/>
    <x v="1"/>
    <m/>
    <s v=""/>
    <s v=""/>
    <m/>
    <s v="0"/>
    <m/>
    <m/>
    <s v=""/>
    <x v="0"/>
  </r>
  <r>
    <n v="98"/>
    <s v="j"/>
    <x v="55"/>
    <d v="1899-12-30T00:55:05"/>
    <n v="9.8699999999999992"/>
    <d v="1899-12-30T00:05:35"/>
    <n v="130"/>
    <n v="59"/>
    <n v="214"/>
    <n v="20"/>
    <n v="1.0695307656247637"/>
    <x v="17"/>
  </r>
  <r>
    <n v="99"/>
    <s v="n"/>
    <x v="88"/>
    <d v="1899-12-30T00:45:33"/>
    <n v="8.48"/>
    <d v="1899-12-30T00:05:22"/>
    <n v="138"/>
    <n v="55"/>
    <n v="228"/>
    <n v="19"/>
    <n v="1.0967403548296253"/>
    <x v="18"/>
  </r>
  <r>
    <m/>
    <m/>
    <x v="1"/>
    <m/>
    <s v=""/>
    <s v=""/>
    <m/>
    <s v="0"/>
    <m/>
    <m/>
    <s v=""/>
    <x v="0"/>
  </r>
  <r>
    <n v="100"/>
    <s v="n"/>
    <x v="68"/>
    <d v="1899-12-30T01:26:11"/>
    <n v="11.01"/>
    <d v="1899-12-30T00:07:50"/>
    <n v="140"/>
    <n v="78"/>
    <n v="188"/>
    <n v="522"/>
    <m/>
    <x v="12"/>
  </r>
  <r>
    <m/>
    <m/>
    <x v="1"/>
    <m/>
    <s v=""/>
    <s v=""/>
    <m/>
    <s v="0"/>
    <m/>
    <m/>
    <s v=""/>
    <x v="0"/>
  </r>
  <r>
    <m/>
    <m/>
    <x v="1"/>
    <m/>
    <s v=""/>
    <s v=""/>
    <m/>
    <s v="0"/>
    <m/>
    <m/>
    <s v=""/>
    <x v="0"/>
  </r>
  <r>
    <n v="101"/>
    <s v="n"/>
    <x v="88"/>
    <d v="1899-12-30T00:48:51"/>
    <n v="8.9700000000000006"/>
    <d v="1899-12-30T00:05:27"/>
    <n v="139"/>
    <n v="57"/>
    <n v="223"/>
    <n v="24"/>
    <n v="1.0875605251335299"/>
    <x v="16"/>
  </r>
  <r>
    <n v="102"/>
    <s v="n"/>
    <x v="88"/>
    <d v="1899-12-30T00:39:21"/>
    <n v="7.31"/>
    <d v="1899-12-30T00:05:23"/>
    <n v="142"/>
    <n v="47"/>
    <n v="224"/>
    <n v="16"/>
    <n v="1.0798211405353535"/>
    <x v="16"/>
  </r>
  <r>
    <n v="103"/>
    <s v="n"/>
    <x v="88"/>
    <d v="1899-12-30T00:45:18"/>
    <n v="8.3000000000000007"/>
    <d v="1899-12-30T00:05:27"/>
    <n v="142"/>
    <n v="52"/>
    <n v="222"/>
    <n v="19"/>
    <n v="1.0850494515374929"/>
    <x v="17"/>
  </r>
  <r>
    <m/>
    <m/>
    <x v="1"/>
    <m/>
    <s v=""/>
    <s v=""/>
    <m/>
    <s v="0"/>
    <m/>
    <m/>
    <s v=""/>
    <x v="0"/>
  </r>
  <r>
    <n v="104"/>
    <s v="j"/>
    <x v="88"/>
    <d v="1899-12-30T00:49:48"/>
    <n v="8.86"/>
    <d v="1899-12-30T00:05:37"/>
    <n v="136"/>
    <n v="53"/>
    <n v="212"/>
    <n v="17"/>
    <n v="1.0671069034062195"/>
    <x v="18"/>
  </r>
  <r>
    <m/>
    <m/>
    <x v="1"/>
    <m/>
    <s v=""/>
    <s v=""/>
    <m/>
    <s v="0"/>
    <m/>
    <m/>
    <s v=""/>
    <x v="0"/>
  </r>
  <r>
    <n v="105"/>
    <s v="n"/>
    <x v="88"/>
    <d v="1899-12-30T00:44:38"/>
    <n v="7.89"/>
    <d v="1899-12-30T00:05:39"/>
    <n v="135"/>
    <n v="48"/>
    <n v="214"/>
    <n v="22"/>
    <n v="1.0841079772241455"/>
    <x v="18"/>
  </r>
  <r>
    <n v="106"/>
    <s v="n"/>
    <x v="88"/>
    <d v="1899-12-30T00:35:30"/>
    <n v="6.01"/>
    <d v="1899-12-30T00:05:54"/>
    <n v="128"/>
    <n v="35"/>
    <n v="207"/>
    <n v="12"/>
    <n v="1.094966101273996"/>
    <x v="17"/>
  </r>
  <r>
    <n v="107"/>
    <s v="n"/>
    <x v="32"/>
    <d v="1899-12-30T01:01:12"/>
    <n v="11.5"/>
    <d v="1899-12-30T00:05:19"/>
    <n v="151"/>
    <n v="80"/>
    <n v="228"/>
    <n v="40"/>
    <n v="1.0865879299156394"/>
    <x v="18"/>
  </r>
  <r>
    <m/>
    <m/>
    <x v="1"/>
    <m/>
    <s v=""/>
    <s v=""/>
    <m/>
    <s v="0"/>
    <m/>
    <m/>
    <s v=""/>
    <x v="0"/>
  </r>
  <r>
    <m/>
    <m/>
    <x v="1"/>
    <m/>
    <s v=""/>
    <s v=""/>
    <m/>
    <s v="0"/>
    <m/>
    <m/>
    <s v=""/>
    <x v="0"/>
  </r>
  <r>
    <n v="108"/>
    <s v="n"/>
    <x v="55"/>
    <d v="1899-12-30T00:49:10"/>
    <n v="8.76"/>
    <d v="1899-12-30T00:05:37"/>
    <n v="140"/>
    <n v="54"/>
    <n v="217"/>
    <n v="21"/>
    <n v="1.0906937913173858"/>
    <x v="13"/>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09"/>
    <s v="j"/>
    <x v="55"/>
    <d v="1899-12-30T00:56:44"/>
    <n v="9.92"/>
    <d v="1899-12-30T00:05:43"/>
    <n v="146"/>
    <n v="58"/>
    <n v="209"/>
    <n v="24"/>
    <n v="1.0704080404429466"/>
    <x v="18"/>
  </r>
  <r>
    <m/>
    <m/>
    <x v="1"/>
    <m/>
    <s v=""/>
    <s v=""/>
    <m/>
    <s v="0"/>
    <m/>
    <m/>
    <s v=""/>
    <x v="0"/>
  </r>
  <r>
    <n v="110"/>
    <s v="j"/>
    <x v="55"/>
    <d v="1899-12-30T00:56:02"/>
    <n v="10"/>
    <d v="1899-12-30T00:05:36"/>
    <n v="137"/>
    <n v="60"/>
    <n v="214"/>
    <n v="17"/>
    <n v="1.0738328358208955"/>
    <x v="16"/>
  </r>
  <r>
    <m/>
    <m/>
    <x v="1"/>
    <m/>
    <s v=""/>
    <s v=""/>
    <m/>
    <s v="0"/>
    <m/>
    <m/>
    <s v=""/>
    <x v="0"/>
  </r>
  <r>
    <n v="111"/>
    <s v="j"/>
    <x v="55"/>
    <d v="1899-12-30T00:56:58"/>
    <n v="9.75"/>
    <d v="1899-12-30T00:05:51"/>
    <n v="138"/>
    <n v="57"/>
    <n v="206"/>
    <n v="27"/>
    <n v="1.0778538078836586"/>
    <x v="17"/>
  </r>
  <r>
    <m/>
    <m/>
    <x v="1"/>
    <m/>
    <s v=""/>
    <s v=""/>
    <m/>
    <s v="0"/>
    <m/>
    <m/>
    <s v=""/>
    <x v="0"/>
  </r>
  <r>
    <n v="112"/>
    <s v="j"/>
    <x v="74"/>
    <d v="1899-12-30T01:15:24"/>
    <n v="13.2"/>
    <d v="1899-12-30T00:05:43"/>
    <n v="137"/>
    <n v="80"/>
    <n v="211"/>
    <n v="50"/>
    <n v="1.079335142469471"/>
    <x v="16"/>
  </r>
  <r>
    <m/>
    <m/>
    <x v="1"/>
    <m/>
    <s v=""/>
    <s v=""/>
    <m/>
    <s v="0"/>
    <m/>
    <m/>
    <s v=""/>
    <x v="0"/>
  </r>
  <r>
    <n v="113"/>
    <s v="n"/>
    <x v="88"/>
    <d v="1899-12-30T00:46:31"/>
    <n v="9.01"/>
    <d v="1899-12-30T00:05:10"/>
    <n v="146"/>
    <n v="63"/>
    <n v="236"/>
    <n v="17"/>
    <n v="1.0911193201583647"/>
    <x v="18"/>
  </r>
  <r>
    <m/>
    <m/>
    <x v="1"/>
    <m/>
    <s v=""/>
    <s v=""/>
    <m/>
    <s v="0"/>
    <m/>
    <m/>
    <s v=""/>
    <x v="0"/>
  </r>
  <r>
    <n v="114"/>
    <s v="j"/>
    <x v="88"/>
    <d v="1899-12-30T00:35:59"/>
    <n v="6.16"/>
    <d v="1899-12-30T00:05:50"/>
    <n v="124"/>
    <n v="34"/>
    <n v="202"/>
    <n v="14"/>
    <n v="1.0566921884086065"/>
    <x v="13"/>
  </r>
  <r>
    <m/>
    <m/>
    <x v="1"/>
    <m/>
    <s v=""/>
    <s v=""/>
    <m/>
    <s v="0"/>
    <m/>
    <m/>
    <s v=""/>
    <x v="0"/>
  </r>
  <r>
    <m/>
    <m/>
    <x v="1"/>
    <m/>
    <s v=""/>
    <s v=""/>
    <m/>
    <s v="0"/>
    <m/>
    <m/>
    <s v=""/>
    <x v="0"/>
  </r>
  <r>
    <m/>
    <m/>
    <x v="1"/>
    <m/>
    <s v=""/>
    <s v=""/>
    <m/>
    <s v="0"/>
    <m/>
    <m/>
    <s v=""/>
    <x v="0"/>
  </r>
  <r>
    <m/>
    <m/>
    <x v="1"/>
    <m/>
    <s v=""/>
    <s v=""/>
    <m/>
    <s v="0"/>
    <m/>
    <m/>
    <s v=""/>
    <x v="0"/>
  </r>
  <r>
    <m/>
    <m/>
    <x v="1"/>
    <m/>
    <s v=""/>
    <s v=""/>
    <m/>
    <s v="0"/>
    <m/>
    <m/>
    <s v=""/>
    <x v="0"/>
  </r>
  <r>
    <n v="115"/>
    <s v="n"/>
    <x v="68"/>
    <d v="1899-12-30T01:16:09"/>
    <n v="11.2"/>
    <d v="1899-12-30T00:06:48"/>
    <n v="137"/>
    <n v="72"/>
    <n v="195"/>
    <n v="301"/>
    <m/>
    <x v="12"/>
  </r>
  <r>
    <m/>
    <m/>
    <x v="1"/>
    <m/>
    <s v=""/>
    <s v=""/>
    <m/>
    <s v="0"/>
    <m/>
    <m/>
    <s v=""/>
    <x v="0"/>
  </r>
  <r>
    <n v="116"/>
    <s v="j"/>
    <x v="55"/>
    <d v="1899-12-30T00:59:49"/>
    <n v="10.5"/>
    <d v="1899-12-30T00:05:42"/>
    <n v="138"/>
    <n v="62"/>
    <n v="211"/>
    <n v="20"/>
    <n v="1.0764449182658138"/>
    <x v="17"/>
  </r>
  <r>
    <m/>
    <m/>
    <x v="1"/>
    <m/>
    <s v=""/>
    <s v=""/>
    <m/>
    <s v="0"/>
    <m/>
    <m/>
    <s v=""/>
    <x v="0"/>
  </r>
  <r>
    <n v="117"/>
    <s v="n"/>
    <x v="55"/>
    <d v="1899-12-30T00:56:04"/>
    <n v="10.5"/>
    <d v="1899-12-30T00:05:20"/>
    <n v="137"/>
    <n v="72"/>
    <n v="230"/>
    <n v="30"/>
    <n v="1.0998152096659561"/>
    <x v="18"/>
  </r>
  <r>
    <m/>
    <m/>
    <x v="1"/>
    <m/>
    <s v=""/>
    <s v=""/>
    <m/>
    <s v="0"/>
    <m/>
    <m/>
    <s v=""/>
    <x v="0"/>
  </r>
  <r>
    <n v="118"/>
    <s v="n"/>
    <x v="88"/>
    <d v="1899-12-30T00:40:19"/>
    <n v="7.68"/>
    <d v="1899-12-30T00:05:15"/>
    <n v="139"/>
    <n v="50"/>
    <n v="231"/>
    <n v="15"/>
    <n v="1.0859549906716419"/>
    <x v="16"/>
  </r>
  <r>
    <m/>
    <m/>
    <x v="1"/>
    <m/>
    <s v=""/>
    <s v=""/>
    <m/>
    <s v="0"/>
    <m/>
    <m/>
    <s v=""/>
    <x v="0"/>
  </r>
  <r>
    <n v="119"/>
    <s v="n"/>
    <x v="88"/>
    <d v="1899-12-30T00:48:40"/>
    <n v="9.06"/>
    <d v="1899-12-30T00:05:22"/>
    <n v="138"/>
    <n v="58"/>
    <n v="226"/>
    <n v="22"/>
    <n v="1.0871470462258244"/>
    <x v="18"/>
  </r>
  <r>
    <n v="120"/>
    <s v="n"/>
    <x v="88"/>
    <d v="1899-12-30T00:39:38"/>
    <n v="7.28"/>
    <d v="1899-12-30T00:05:27"/>
    <n v="132"/>
    <n v="45"/>
    <n v="221"/>
    <n v="16"/>
    <n v="1.0774520255863538"/>
    <x v="13"/>
  </r>
  <r>
    <m/>
    <m/>
    <x v="1"/>
    <m/>
    <s v=""/>
    <s v=""/>
    <m/>
    <s v="0"/>
    <m/>
    <m/>
    <s v=""/>
    <x v="0"/>
  </r>
  <r>
    <n v="121"/>
    <s v="n"/>
    <x v="68"/>
    <d v="1899-12-30T01:29:47"/>
    <n v="9.77"/>
    <d v="1899-12-30T00:09:11"/>
    <n v="147"/>
    <n v="69"/>
    <n v="157"/>
    <n v="526"/>
    <m/>
    <x v="12"/>
  </r>
  <r>
    <m/>
    <m/>
    <x v="1"/>
    <m/>
    <s v=""/>
    <s v=""/>
    <m/>
    <s v="0"/>
    <m/>
    <m/>
    <s v=""/>
    <x v="0"/>
  </r>
  <r>
    <m/>
    <m/>
    <x v="1"/>
    <m/>
    <s v=""/>
    <s v=""/>
    <m/>
    <s v="0"/>
    <m/>
    <m/>
    <s v=""/>
    <x v="0"/>
  </r>
  <r>
    <m/>
    <m/>
    <x v="1"/>
    <m/>
    <s v=""/>
    <s v=""/>
    <m/>
    <s v="0"/>
    <m/>
    <m/>
    <s v=""/>
    <x v="0"/>
  </r>
  <r>
    <n v="122"/>
    <s v="n"/>
    <x v="88"/>
    <d v="1899-12-30T00:35:41"/>
    <n v="6.9"/>
    <d v="1899-12-30T00:05:10"/>
    <n v="135"/>
    <n v="46"/>
    <n v="234"/>
    <n v="18"/>
    <n v="1.0836988968202463"/>
    <x v="18"/>
  </r>
  <r>
    <m/>
    <m/>
    <x v="1"/>
    <m/>
    <s v=""/>
    <s v=""/>
    <m/>
    <s v="0"/>
    <m/>
    <m/>
    <s v=""/>
    <x v="0"/>
  </r>
  <r>
    <m/>
    <m/>
    <x v="1"/>
    <m/>
    <s v=""/>
    <s v=""/>
    <m/>
    <s v="0"/>
    <m/>
    <m/>
    <s v=""/>
    <x v="0"/>
  </r>
  <r>
    <n v="123"/>
    <s v="j"/>
    <x v="88"/>
    <d v="1899-12-30T00:45:53"/>
    <n v="8.15"/>
    <d v="1899-12-30T00:05:38"/>
    <n v="136"/>
    <n v="49"/>
    <n v="211"/>
    <n v="18"/>
    <n v="1.0637908616427068"/>
    <x v="17"/>
  </r>
  <r>
    <m/>
    <m/>
    <x v="1"/>
    <m/>
    <s v=""/>
    <s v=""/>
    <m/>
    <s v="0"/>
    <m/>
    <m/>
    <s v=""/>
    <x v="0"/>
  </r>
  <r>
    <n v="124"/>
    <s v="j"/>
    <x v="55"/>
    <d v="1899-12-30T00:57:14"/>
    <n v="10.199999999999999"/>
    <d v="1899-12-30T00:05:37"/>
    <n v="134"/>
    <n v="61"/>
    <n v="213"/>
    <n v="29"/>
    <n v="1.0702985074626867"/>
    <x v="18"/>
  </r>
  <r>
    <m/>
    <m/>
    <x v="1"/>
    <m/>
    <s v=""/>
    <s v=""/>
    <m/>
    <s v="0"/>
    <m/>
    <m/>
    <s v=""/>
    <x v="0"/>
  </r>
  <r>
    <n v="125"/>
    <s v="n"/>
    <x v="55"/>
    <d v="1899-12-30T00:54:49"/>
    <n v="10.1"/>
    <d v="1899-12-30T00:05:26"/>
    <n v="144"/>
    <n v="65"/>
    <n v="225"/>
    <n v="29"/>
    <n v="1.0935791340328063"/>
    <x v="16"/>
  </r>
  <r>
    <m/>
    <m/>
    <x v="1"/>
    <m/>
    <s v=""/>
    <s v=""/>
    <m/>
    <s v="0"/>
    <m/>
    <m/>
    <s v=""/>
    <x v="0"/>
  </r>
  <r>
    <n v="126"/>
    <s v="n"/>
    <x v="55"/>
    <d v="1899-12-30T00:52:02"/>
    <n v="9.6"/>
    <d v="1899-12-30T00:05:25"/>
    <n v="135"/>
    <n v="63"/>
    <n v="226"/>
    <n v="32"/>
    <n v="1.0969713930348259"/>
    <x v="18"/>
  </r>
  <r>
    <m/>
    <m/>
    <x v="1"/>
    <m/>
    <s v=""/>
    <s v=""/>
    <m/>
    <s v="0"/>
    <m/>
    <m/>
    <s v=""/>
    <x v="0"/>
  </r>
  <r>
    <m/>
    <m/>
    <x v="1"/>
    <m/>
    <s v=""/>
    <s v=""/>
    <m/>
    <s v="0"/>
    <m/>
    <m/>
    <s v=""/>
    <x v="0"/>
  </r>
  <r>
    <n v="127"/>
    <s v="n"/>
    <x v="74"/>
    <d v="1899-12-30T01:07:58"/>
    <n v="12.4"/>
    <d v="1899-12-30T00:05:29"/>
    <n v="138"/>
    <n v="81"/>
    <n v="225"/>
    <n v="47"/>
    <n v="1.1044174289841115"/>
    <x v="18"/>
  </r>
  <r>
    <m/>
    <m/>
    <x v="1"/>
    <m/>
    <s v=""/>
    <s v=""/>
    <m/>
    <s v="0"/>
    <m/>
    <m/>
    <s v=""/>
    <x v="0"/>
  </r>
  <r>
    <n v="128"/>
    <s v="n"/>
    <x v="88"/>
    <d v="1899-12-30T00:41:35"/>
    <n v="7.44"/>
    <d v="1899-12-30T00:05:35"/>
    <n v="141"/>
    <n v="47"/>
    <n v="221"/>
    <n v="23"/>
    <n v="1.1061527042208315"/>
    <x v="17"/>
  </r>
  <r>
    <m/>
    <m/>
    <x v="1"/>
    <m/>
    <s v=""/>
    <s v=""/>
    <m/>
    <s v="0"/>
    <m/>
    <m/>
    <s v=""/>
    <x v="0"/>
  </r>
  <r>
    <m/>
    <m/>
    <x v="1"/>
    <m/>
    <s v=""/>
    <s v=""/>
    <m/>
    <s v="0"/>
    <m/>
    <m/>
    <s v=""/>
    <x v="0"/>
  </r>
  <r>
    <n v="129"/>
    <s v="n"/>
    <x v="93"/>
    <d v="1899-12-30T00:46:39"/>
    <n v="9.31"/>
    <d v="1899-12-30T00:05:01"/>
    <n v="151"/>
    <n v="66"/>
    <n v="246"/>
    <n v="39"/>
    <n v="1.1038587941068021"/>
    <x v="18"/>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30"/>
    <s v="j"/>
    <x v="55"/>
    <d v="1899-12-30T01:03:11"/>
    <n v="10.6"/>
    <d v="1899-12-30T00:05:58"/>
    <n v="134"/>
    <n v="59"/>
    <n v="201"/>
    <n v="32"/>
    <n v="1.0729245283018871"/>
    <x v="18"/>
  </r>
  <r>
    <m/>
    <m/>
    <x v="1"/>
    <m/>
    <s v=""/>
    <s v=""/>
    <m/>
    <s v="0"/>
    <m/>
    <m/>
    <s v=""/>
    <x v="0"/>
  </r>
  <r>
    <n v="131"/>
    <s v="n"/>
    <x v="88"/>
    <d v="1899-12-30T00:33:50"/>
    <n v="6.26"/>
    <d v="1899-12-30T00:05:24"/>
    <n v="140"/>
    <n v="40"/>
    <n v="226"/>
    <n v="19"/>
    <n v="1.0938438796433172"/>
    <x v="18"/>
  </r>
  <r>
    <m/>
    <m/>
    <x v="1"/>
    <m/>
    <s v=""/>
    <s v=""/>
    <m/>
    <s v="0"/>
    <m/>
    <m/>
    <s v=""/>
    <x v="0"/>
  </r>
  <r>
    <m/>
    <m/>
    <x v="1"/>
    <m/>
    <s v=""/>
    <s v=""/>
    <m/>
    <s v="0"/>
    <m/>
    <m/>
    <s v=""/>
    <x v="0"/>
  </r>
  <r>
    <m/>
    <m/>
    <x v="1"/>
    <m/>
    <s v=""/>
    <s v=""/>
    <m/>
    <s v="0"/>
    <m/>
    <m/>
    <s v=""/>
    <x v="0"/>
  </r>
  <r>
    <n v="132"/>
    <s v="n"/>
    <x v="76"/>
    <d v="1899-12-30T01:21:34"/>
    <n v="14.3"/>
    <d v="1899-12-30T00:05:42"/>
    <n v="138"/>
    <n v="86"/>
    <n v="211"/>
    <n v="55"/>
    <n v="1.077793549733848"/>
    <x v="16"/>
  </r>
  <r>
    <m/>
    <m/>
    <x v="1"/>
    <m/>
    <s v=""/>
    <s v=""/>
    <m/>
    <s v="0"/>
    <m/>
    <m/>
    <s v=""/>
    <x v="0"/>
  </r>
  <r>
    <m/>
    <m/>
    <x v="1"/>
    <m/>
    <s v=""/>
    <s v=""/>
    <m/>
    <s v="0"/>
    <m/>
    <m/>
    <s v=""/>
    <x v="0"/>
  </r>
  <r>
    <m/>
    <m/>
    <x v="1"/>
    <m/>
    <s v=""/>
    <s v=""/>
    <m/>
    <s v="0"/>
    <m/>
    <m/>
    <s v=""/>
    <x v="0"/>
  </r>
  <r>
    <n v="133"/>
    <s v="n"/>
    <x v="88"/>
    <d v="1899-12-30T00:41:31"/>
    <n v="7.55"/>
    <d v="1899-12-30T00:05:30"/>
    <n v="137"/>
    <n v="49"/>
    <n v="225"/>
    <n v="23"/>
    <n v="1.1079865572798262"/>
    <x v="18"/>
  </r>
  <r>
    <m/>
    <m/>
    <x v="1"/>
    <m/>
    <s v=""/>
    <s v=""/>
    <m/>
    <s v="0"/>
    <m/>
    <m/>
    <s v=""/>
    <x v="0"/>
  </r>
  <r>
    <m/>
    <m/>
    <x v="1"/>
    <m/>
    <s v=""/>
    <s v=""/>
    <m/>
    <s v="0"/>
    <m/>
    <m/>
    <s v=""/>
    <x v="0"/>
  </r>
  <r>
    <m/>
    <m/>
    <x v="1"/>
    <m/>
    <s v=""/>
    <s v=""/>
    <m/>
    <s v="0"/>
    <m/>
    <m/>
    <s v=""/>
    <x v="0"/>
  </r>
  <r>
    <n v="134"/>
    <s v="n"/>
    <x v="55"/>
    <d v="1899-12-30T00:59:41"/>
    <n v="10.1"/>
    <d v="1899-12-30T00:05:55"/>
    <n v="145"/>
    <n v="61"/>
    <n v="206"/>
    <n v="30"/>
    <n v="1.0901226540564506"/>
    <x v="16"/>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35"/>
    <s v="n"/>
    <x v="88"/>
    <d v="1899-12-30T00:32:14"/>
    <n v="5.37"/>
    <d v="1899-12-30T00:06:00"/>
    <n v="143"/>
    <n v="32"/>
    <n v="205"/>
    <n v="18"/>
    <n v="1.1019483587648353"/>
    <x v="18"/>
  </r>
  <r>
    <m/>
    <m/>
    <x v="1"/>
    <m/>
    <s v=""/>
    <s v=""/>
    <m/>
    <s v="0"/>
    <m/>
    <m/>
    <s v=""/>
    <x v="0"/>
  </r>
  <r>
    <n v="136"/>
    <s v="n"/>
    <x v="88"/>
    <d v="1899-12-30T00:35:45"/>
    <n v="5.98"/>
    <d v="1899-12-30T00:05:59"/>
    <n v="141"/>
    <n v="34"/>
    <n v="202"/>
    <n v="10"/>
    <n v="1.0814406229720959"/>
    <x v="18"/>
  </r>
  <r>
    <m/>
    <m/>
    <x v="1"/>
    <m/>
    <s v=""/>
    <s v=""/>
    <m/>
    <s v="0"/>
    <m/>
    <m/>
    <s v=""/>
    <x v="0"/>
  </r>
  <r>
    <m/>
    <m/>
    <x v="1"/>
    <m/>
    <s v=""/>
    <s v=""/>
    <m/>
    <s v="0"/>
    <m/>
    <m/>
    <s v=""/>
    <x v="0"/>
  </r>
  <r>
    <n v="137"/>
    <s v="n"/>
    <x v="88"/>
    <d v="1899-12-30T00:31:40"/>
    <n v="5.5"/>
    <d v="1899-12-30T00:05:45"/>
    <n v="145"/>
    <n v="33"/>
    <n v="213"/>
    <n v="17"/>
    <n v="1.0982360922659431"/>
    <x v="18"/>
  </r>
  <r>
    <m/>
    <m/>
    <x v="1"/>
    <m/>
    <s v=""/>
    <s v=""/>
    <m/>
    <s v="0"/>
    <m/>
    <m/>
    <s v=""/>
    <x v="0"/>
  </r>
  <r>
    <m/>
    <m/>
    <x v="1"/>
    <m/>
    <s v=""/>
    <s v=""/>
    <m/>
    <s v="0"/>
    <m/>
    <m/>
    <s v=""/>
    <x v="0"/>
  </r>
  <r>
    <n v="138"/>
    <s v="n"/>
    <x v="87"/>
    <d v="1899-12-30T00:36:00"/>
    <n v="6.23"/>
    <d v="1899-12-30T00:05:47"/>
    <n v="145"/>
    <n v="37"/>
    <n v="212"/>
    <n v="22"/>
    <n v="1.0970508612635057"/>
    <x v="18"/>
  </r>
  <r>
    <m/>
    <m/>
    <x v="1"/>
    <m/>
    <s v=""/>
    <s v=""/>
    <m/>
    <s v="0"/>
    <m/>
    <m/>
    <s v=""/>
    <x v="0"/>
  </r>
  <r>
    <n v="139"/>
    <s v="n"/>
    <x v="87"/>
    <d v="1899-12-30T00:37:37"/>
    <n v="6.67"/>
    <d v="1899-12-30T00:05:38"/>
    <n v="143"/>
    <n v="41"/>
    <n v="217"/>
    <n v="18"/>
    <n v="1.0959497863008794"/>
    <x v="18"/>
  </r>
  <r>
    <m/>
    <m/>
    <x v="1"/>
    <m/>
    <s v=""/>
    <s v=""/>
    <m/>
    <s v="0"/>
    <m/>
    <m/>
    <s v=""/>
    <x v="0"/>
  </r>
  <r>
    <n v="140"/>
    <s v="n"/>
    <x v="87"/>
    <d v="1899-12-30T00:38:47"/>
    <n v="6.92"/>
    <d v="1899-12-30T00:05:36"/>
    <n v="138"/>
    <n v="43"/>
    <n v="217"/>
    <n v="24"/>
    <n v="1.0891187127944093"/>
    <x v="18"/>
  </r>
  <r>
    <m/>
    <m/>
    <x v="1"/>
    <m/>
    <s v=""/>
    <s v=""/>
    <m/>
    <s v="0"/>
    <m/>
    <m/>
    <s v=""/>
    <x v="0"/>
  </r>
  <r>
    <n v="141"/>
    <s v="n"/>
    <x v="87"/>
    <d v="1899-12-30T00:40:21"/>
    <n v="7.27"/>
    <d v="1899-12-30T00:05:33"/>
    <n v="144"/>
    <n v="50"/>
    <n v="217"/>
    <n v="14"/>
    <n v="1.0785624833193044"/>
    <x v="16"/>
  </r>
  <r>
    <m/>
    <m/>
    <x v="1"/>
    <m/>
    <s v=""/>
    <s v=""/>
    <m/>
    <s v="0"/>
    <m/>
    <m/>
    <s v=""/>
    <x v="0"/>
  </r>
  <r>
    <n v="142"/>
    <s v="n"/>
    <x v="87"/>
    <d v="1899-12-30T00:39:39"/>
    <n v="7.17"/>
    <d v="1899-12-30T00:05:32"/>
    <n v="143"/>
    <n v="51"/>
    <n v="220"/>
    <n v="13"/>
    <n v="1.0894897895459938"/>
    <x v="18"/>
  </r>
  <r>
    <m/>
    <m/>
    <x v="1"/>
    <m/>
    <s v=""/>
    <s v=""/>
    <m/>
    <s v="0"/>
    <m/>
    <m/>
    <s v=""/>
    <x v="0"/>
  </r>
  <r>
    <n v="143"/>
    <s v="j"/>
    <x v="54"/>
    <d v="1899-12-30T00:48:51"/>
    <n v="8.43"/>
    <d v="1899-12-30T00:05:48"/>
    <n v="145"/>
    <n v="57"/>
    <n v="208"/>
    <n v="18"/>
    <n v="1.0793859882084245"/>
    <x v="18"/>
  </r>
  <r>
    <m/>
    <m/>
    <x v="1"/>
    <m/>
    <s v=""/>
    <s v=""/>
    <m/>
    <s v="0"/>
    <m/>
    <m/>
    <s v=""/>
    <x v="0"/>
  </r>
  <r>
    <m/>
    <m/>
    <x v="1"/>
    <m/>
    <s v=""/>
    <s v=""/>
    <m/>
    <s v="0"/>
    <m/>
    <m/>
    <s v=""/>
    <x v="0"/>
  </r>
  <r>
    <n v="144"/>
    <s v="n"/>
    <x v="87"/>
    <d v="1899-12-30T00:36:58"/>
    <n v="6.54"/>
    <d v="1899-12-30T00:05:39"/>
    <n v="136"/>
    <n v="45"/>
    <n v="214"/>
    <n v="19"/>
    <n v="1.0832352001460588"/>
    <x v="17"/>
  </r>
  <r>
    <m/>
    <m/>
    <x v="1"/>
    <m/>
    <s v=""/>
    <s v=""/>
    <m/>
    <s v="0"/>
    <m/>
    <m/>
    <s v=""/>
    <x v="0"/>
  </r>
  <r>
    <n v="145"/>
    <s v="n"/>
    <x v="87"/>
    <d v="1899-12-30T00:35:39"/>
    <n v="6.24"/>
    <d v="1899-12-30T00:05:43"/>
    <n v="150"/>
    <n v="43"/>
    <n v="214"/>
    <n v="20"/>
    <n v="1.0948765786452352"/>
    <x v="18"/>
  </r>
  <r>
    <m/>
    <m/>
    <x v="1"/>
    <m/>
    <s v=""/>
    <s v=""/>
    <m/>
    <s v="0"/>
    <m/>
    <m/>
    <s v=""/>
    <x v="0"/>
  </r>
  <r>
    <m/>
    <m/>
    <x v="1"/>
    <m/>
    <s v=""/>
    <s v=""/>
    <m/>
    <s v="0"/>
    <m/>
    <m/>
    <s v=""/>
    <x v="0"/>
  </r>
  <r>
    <m/>
    <m/>
    <x v="1"/>
    <m/>
    <s v=""/>
    <s v=""/>
    <m/>
    <s v="0"/>
    <m/>
    <m/>
    <s v=""/>
    <x v="0"/>
  </r>
  <r>
    <m/>
    <m/>
    <x v="1"/>
    <m/>
    <s v=""/>
    <s v=""/>
    <m/>
    <s v="0"/>
    <m/>
    <m/>
    <s v=""/>
    <x v="0"/>
  </r>
  <r>
    <m/>
    <m/>
    <x v="1"/>
    <m/>
    <s v=""/>
    <s v=""/>
    <m/>
    <s v="0"/>
    <m/>
    <m/>
    <s v=""/>
    <x v="0"/>
  </r>
  <r>
    <n v="146"/>
    <s v="n"/>
    <x v="54"/>
    <d v="1899-12-30T00:50:50"/>
    <n v="8.74"/>
    <d v="1899-12-30T00:05:49"/>
    <n v="140"/>
    <n v="59"/>
    <n v="209"/>
    <n v="28"/>
    <n v="1.0885788449059055"/>
    <x v="18"/>
  </r>
  <r>
    <m/>
    <m/>
    <x v="1"/>
    <m/>
    <s v=""/>
    <s v=""/>
    <m/>
    <s v="0"/>
    <m/>
    <m/>
    <s v=""/>
    <x v="0"/>
  </r>
  <r>
    <m/>
    <m/>
    <x v="1"/>
    <m/>
    <s v=""/>
    <s v=""/>
    <m/>
    <s v="0"/>
    <m/>
    <m/>
    <s v=""/>
    <x v="0"/>
  </r>
  <r>
    <m/>
    <m/>
    <x v="1"/>
    <m/>
    <s v=""/>
    <s v=""/>
    <m/>
    <s v="0"/>
    <m/>
    <m/>
    <s v=""/>
    <x v="0"/>
  </r>
  <r>
    <n v="147"/>
    <s v="n"/>
    <x v="87"/>
    <d v="1899-12-30T00:32:28"/>
    <n v="5.59"/>
    <d v="1899-12-30T00:05:48"/>
    <n v="139"/>
    <n v="36"/>
    <n v="207"/>
    <n v="12"/>
    <n v="1.0766453955624382"/>
    <x v="18"/>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48"/>
    <s v="n"/>
    <x v="87"/>
    <d v="1899-12-30T00:39:39"/>
    <n v="6.71"/>
    <d v="1899-12-30T00:05:55"/>
    <n v="138"/>
    <n v="44"/>
    <n v="206"/>
    <n v="15"/>
    <n v="1.0900949796472184"/>
    <x v="16"/>
  </r>
  <r>
    <m/>
    <m/>
    <x v="1"/>
    <m/>
    <s v=""/>
    <s v=""/>
    <m/>
    <s v="0"/>
    <m/>
    <m/>
    <s v=""/>
    <x v="0"/>
  </r>
  <r>
    <n v="149"/>
    <s v="n"/>
    <x v="88"/>
    <d v="1899-12-30T00:47:35"/>
    <n v="8.85"/>
    <d v="1899-12-30T00:05:23"/>
    <n v="143"/>
    <n v="66"/>
    <n v="226"/>
    <n v="29"/>
    <n v="1.0881693228771399"/>
    <x v="16"/>
  </r>
  <r>
    <m/>
    <m/>
    <x v="1"/>
    <m/>
    <s v=""/>
    <s v=""/>
    <m/>
    <s v="0"/>
    <m/>
    <m/>
    <s v=""/>
    <x v="0"/>
  </r>
  <r>
    <m/>
    <m/>
    <x v="1"/>
    <m/>
    <s v=""/>
    <s v=""/>
    <m/>
    <s v="0"/>
    <m/>
    <m/>
    <s v=""/>
    <x v="0"/>
  </r>
  <r>
    <n v="150"/>
    <s v="j"/>
    <x v="55"/>
    <d v="1899-12-30T01:00:33"/>
    <n v="10.3"/>
    <d v="1899-12-30T00:05:53"/>
    <n v="137"/>
    <n v="66"/>
    <n v="203"/>
    <n v="38"/>
    <n v="1.0686842486596144"/>
    <x v="18"/>
  </r>
  <r>
    <m/>
    <m/>
    <x v="1"/>
    <m/>
    <s v=""/>
    <s v=""/>
    <m/>
    <s v="0"/>
    <m/>
    <m/>
    <s v=""/>
    <x v="0"/>
  </r>
  <r>
    <m/>
    <m/>
    <x v="1"/>
    <m/>
    <s v=""/>
    <s v=""/>
    <m/>
    <s v="0"/>
    <m/>
    <m/>
    <s v=""/>
    <x v="0"/>
  </r>
  <r>
    <n v="151"/>
    <s v="j"/>
    <x v="55"/>
    <d v="1899-12-30T01:09:46"/>
    <n v="12.1"/>
    <d v="1899-12-30T00:05:46"/>
    <n v="145"/>
    <n v="81"/>
    <n v="209"/>
    <n v="50"/>
    <n v="1.0791587516960657"/>
    <x v="18"/>
  </r>
  <r>
    <m/>
    <m/>
    <x v="1"/>
    <m/>
    <s v=""/>
    <s v=""/>
    <m/>
    <s v="0"/>
    <m/>
    <m/>
    <s v=""/>
    <x v="0"/>
  </r>
  <r>
    <n v="152"/>
    <s v="n"/>
    <x v="55"/>
    <d v="1899-12-30T00:51:19"/>
    <n v="9.36"/>
    <d v="1899-12-30T00:05:29"/>
    <n v="134"/>
    <n v="67"/>
    <n v="222"/>
    <n v="32"/>
    <n v="1.0899636433218522"/>
    <x v="16"/>
  </r>
  <r>
    <m/>
    <m/>
    <x v="1"/>
    <m/>
    <s v=""/>
    <s v=""/>
    <m/>
    <s v="0"/>
    <m/>
    <m/>
    <s v=""/>
    <x v="0"/>
  </r>
  <r>
    <n v="153"/>
    <s v="j"/>
    <x v="93"/>
    <d v="1899-12-30T01:14:58"/>
    <n v="13.2"/>
    <d v="1899-12-30T00:05:41"/>
    <n v="143"/>
    <n v="88"/>
    <n v="211"/>
    <n v="47"/>
    <n v="1.0731320669380369"/>
    <x v="18"/>
  </r>
  <r>
    <m/>
    <m/>
    <x v="1"/>
    <m/>
    <s v=""/>
    <s v=""/>
    <m/>
    <s v="0"/>
    <m/>
    <m/>
    <s v=""/>
    <x v="0"/>
  </r>
  <r>
    <m/>
    <m/>
    <x v="1"/>
    <m/>
    <s v=""/>
    <s v=""/>
    <m/>
    <s v="0"/>
    <m/>
    <m/>
    <s v=""/>
    <x v="0"/>
  </r>
  <r>
    <n v="1"/>
    <s v="j"/>
    <x v="88"/>
    <d v="1899-12-30T00:47:05"/>
    <n v="8.01"/>
    <d v="1899-12-30T00:05:53"/>
    <n v="144"/>
    <n v="51"/>
    <n v="203"/>
    <n v="13"/>
    <n v="1.0685803193768981"/>
    <x v="18"/>
  </r>
  <r>
    <m/>
    <m/>
    <x v="1"/>
    <m/>
    <s v=""/>
    <s v=""/>
    <m/>
    <s v="0"/>
    <m/>
    <m/>
    <s v=""/>
    <x v="0"/>
  </r>
  <r>
    <n v="2"/>
    <s v="n"/>
    <x v="93"/>
    <d v="1899-12-30T00:46:31"/>
    <n v="9.31"/>
    <d v="1899-12-30T00:05:00"/>
    <n v="152"/>
    <n v="72"/>
    <n v="241"/>
    <n v="40"/>
    <n v="1.0783317568975743"/>
    <x v="10"/>
  </r>
  <r>
    <m/>
    <m/>
    <x v="1"/>
    <m/>
    <s v=""/>
    <s v=""/>
    <m/>
    <s v="0"/>
    <m/>
    <m/>
    <s v=""/>
    <x v="0"/>
  </r>
  <r>
    <n v="3"/>
    <s v="j"/>
    <x v="74"/>
    <d v="1899-12-30T01:10:50"/>
    <n v="12.6"/>
    <d v="1899-12-30T00:05:37"/>
    <n v="139"/>
    <n v="85"/>
    <n v="213"/>
    <n v="50"/>
    <n v="1.0723169864960911"/>
    <x v="13"/>
  </r>
  <r>
    <m/>
    <m/>
    <x v="1"/>
    <m/>
    <s v=""/>
    <s v=""/>
    <m/>
    <s v="0"/>
    <m/>
    <m/>
    <s v=""/>
    <x v="0"/>
  </r>
  <r>
    <m/>
    <m/>
    <x v="1"/>
    <m/>
    <s v=""/>
    <s v=""/>
    <m/>
    <s v="0"/>
    <m/>
    <m/>
    <s v=""/>
    <x v="0"/>
  </r>
  <r>
    <m/>
    <m/>
    <x v="1"/>
    <m/>
    <s v=""/>
    <s v=""/>
    <m/>
    <s v="0"/>
    <m/>
    <m/>
    <s v=""/>
    <x v="0"/>
  </r>
  <r>
    <n v="4"/>
    <s v="j"/>
    <x v="55"/>
    <d v="1899-12-30T01:01:04"/>
    <n v="10.3"/>
    <d v="1899-12-30T00:05:56"/>
    <n v="132"/>
    <n v="68"/>
    <n v="204"/>
    <n v="29"/>
    <n v="1.0831125923779159"/>
    <x v="18"/>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5"/>
    <s v="j"/>
    <x v="88"/>
    <d v="1899-12-30T00:45:54"/>
    <n v="7.54"/>
    <d v="1899-12-30T00:06:05"/>
    <n v="133"/>
    <n v="48"/>
    <n v="196"/>
    <n v="28"/>
    <n v="1.0684983570212598"/>
    <x v="18"/>
  </r>
  <r>
    <m/>
    <m/>
    <x v="1"/>
    <m/>
    <s v=""/>
    <s v=""/>
    <m/>
    <s v="0"/>
    <m/>
    <m/>
    <s v=""/>
    <x v="0"/>
  </r>
  <r>
    <n v="6"/>
    <s v="j"/>
    <x v="88"/>
    <d v="1899-12-30T00:40:06"/>
    <n v="6.92"/>
    <d v="1899-12-30T00:05:48"/>
    <n v="132"/>
    <n v="45"/>
    <n v="206"/>
    <n v="29"/>
    <n v="1.0690104391338107"/>
    <x v="16"/>
  </r>
  <r>
    <m/>
    <m/>
    <x v="1"/>
    <m/>
    <s v=""/>
    <s v=""/>
    <m/>
    <s v="0"/>
    <m/>
    <m/>
    <s v=""/>
    <x v="0"/>
  </r>
  <r>
    <n v="7"/>
    <s v="n"/>
    <x v="7"/>
    <d v="1899-12-30T00:47:35"/>
    <n v="8.68"/>
    <d v="1899-12-30T00:05:29"/>
    <n v="147"/>
    <n v="62"/>
    <n v="216"/>
    <n v="27"/>
    <n v="1.0603892977508771"/>
    <x v="15"/>
  </r>
  <r>
    <n v="8"/>
    <s v="n"/>
    <x v="98"/>
    <d v="1899-12-30T00:32:19"/>
    <n v="5.58"/>
    <d v="1899-12-30T00:05:47"/>
    <n v="133"/>
    <n v="38"/>
    <n v="207"/>
    <n v="20"/>
    <n v="1.0735917188252286"/>
    <x v="16"/>
  </r>
  <r>
    <m/>
    <m/>
    <x v="1"/>
    <m/>
    <s v=""/>
    <s v=""/>
    <m/>
    <s v="0"/>
    <m/>
    <m/>
    <s v=""/>
    <x v="0"/>
  </r>
  <r>
    <n v="9"/>
    <s v="j"/>
    <x v="88"/>
    <d v="1899-12-30T00:43:10"/>
    <n v="7.08"/>
    <d v="1899-12-30T00:06:06"/>
    <n v="139"/>
    <n v="44"/>
    <n v="195"/>
    <n v="26"/>
    <n v="1.0646976979509235"/>
    <x v="16"/>
  </r>
  <r>
    <m/>
    <m/>
    <x v="1"/>
    <m/>
    <s v=""/>
    <s v=""/>
    <m/>
    <s v="0"/>
    <m/>
    <m/>
    <s v=""/>
    <x v="0"/>
  </r>
  <r>
    <m/>
    <m/>
    <x v="1"/>
    <m/>
    <s v=""/>
    <s v=""/>
    <m/>
    <s v="0"/>
    <m/>
    <m/>
    <s v=""/>
    <x v="0"/>
  </r>
  <r>
    <n v="10"/>
    <s v="j"/>
    <x v="88"/>
    <d v="1899-12-30T00:36:38"/>
    <n v="6.33"/>
    <d v="1899-12-30T00:05:47"/>
    <n v="133"/>
    <n v="41"/>
    <n v="207"/>
    <n v="23"/>
    <n v="1.0728018674400508"/>
    <x v="16"/>
  </r>
  <r>
    <m/>
    <m/>
    <x v="1"/>
    <m/>
    <s v=""/>
    <s v=""/>
    <m/>
    <s v="0"/>
    <m/>
    <m/>
    <s v=""/>
    <x v="0"/>
  </r>
  <r>
    <n v="11"/>
    <s v="j"/>
    <x v="87"/>
    <d v="1899-12-30T00:35:47"/>
    <n v="5.84"/>
    <d v="1899-12-30T00:06:08"/>
    <n v="137"/>
    <n v="37"/>
    <n v="193"/>
    <n v="15"/>
    <n v="1.0590140053158863"/>
    <x v="16"/>
  </r>
  <r>
    <n v="12"/>
    <s v="j"/>
    <x v="88"/>
    <d v="1899-12-30T00:34:37"/>
    <n v="5.53"/>
    <d v="1899-12-30T00:06:16"/>
    <n v="138"/>
    <n v="36"/>
    <n v="192"/>
    <n v="21"/>
    <n v="1.0763110307414103"/>
    <x v="17"/>
  </r>
  <r>
    <m/>
    <m/>
    <x v="1"/>
    <m/>
    <s v=""/>
    <s v=""/>
    <m/>
    <s v="0"/>
    <m/>
    <m/>
    <s v=""/>
    <x v="0"/>
  </r>
  <r>
    <n v="13"/>
    <s v="j"/>
    <x v="55"/>
    <d v="1899-12-30T00:59:23"/>
    <n v="9.7899999999999991"/>
    <d v="1899-12-30T00:06:04"/>
    <n v="132"/>
    <n v="64"/>
    <n v="198"/>
    <n v="33"/>
    <n v="1.0755324501090058"/>
    <x v="18"/>
  </r>
  <r>
    <n v="14"/>
    <s v="j"/>
    <x v="88"/>
    <d v="1899-12-30T00:40:26"/>
    <n v="6.81"/>
    <d v="1899-12-30T00:05:56"/>
    <n v="135"/>
    <n v="44"/>
    <n v="202"/>
    <n v="22"/>
    <n v="1.0740394941591602"/>
    <x v="18"/>
  </r>
  <r>
    <n v="15"/>
    <s v="n"/>
    <x v="99"/>
    <d v="1899-12-30T00:40:34"/>
    <n v="7.27"/>
    <d v="1899-12-30T00:05:35"/>
    <n v="136"/>
    <n v="52"/>
    <n v="213"/>
    <n v="19"/>
    <n v="1.0643659282678768"/>
    <x v="18"/>
  </r>
  <r>
    <m/>
    <m/>
    <x v="1"/>
    <m/>
    <s v=""/>
    <s v=""/>
    <m/>
    <s v="0"/>
    <m/>
    <m/>
    <s v=""/>
    <x v="0"/>
  </r>
  <r>
    <n v="16"/>
    <s v="n"/>
    <x v="98"/>
    <d v="1899-12-30T00:34:26"/>
    <n v="5.99"/>
    <d v="1899-12-30T00:05:45"/>
    <n v="136"/>
    <n v="40"/>
    <n v="205"/>
    <n v="19"/>
    <n v="1.055316074053771"/>
    <x v="10"/>
  </r>
  <r>
    <n v="17"/>
    <s v="n"/>
    <x v="88"/>
    <d v="1899-12-30T00:37:43"/>
    <n v="6.34"/>
    <d v="1899-12-30T00:05:57"/>
    <n v="129"/>
    <n v="39"/>
    <n v="196"/>
    <n v="17"/>
    <n v="1.0441828711332926"/>
    <x v="13"/>
  </r>
  <r>
    <m/>
    <m/>
    <x v="1"/>
    <m/>
    <s v=""/>
    <s v=""/>
    <m/>
    <s v="0"/>
    <m/>
    <m/>
    <s v=""/>
    <x v="0"/>
  </r>
  <r>
    <n v="18"/>
    <s v="j"/>
    <x v="88"/>
    <d v="1899-12-30T00:42:55"/>
    <n v="6.99"/>
    <d v="1899-12-30T00:06:08"/>
    <n v="129"/>
    <n v="44"/>
    <n v="195"/>
    <n v="24"/>
    <n v="1.0721606559477292"/>
    <x v="16"/>
  </r>
  <r>
    <n v="19"/>
    <s v="n"/>
    <x v="87"/>
    <d v="1899-12-30T00:37:28"/>
    <n v="6.56"/>
    <d v="1899-12-30T00:05:43"/>
    <n v="126"/>
    <n v="43"/>
    <n v="209"/>
    <n v="19"/>
    <n v="1.0689661448853296"/>
    <x v="18"/>
  </r>
  <r>
    <n v="20"/>
    <s v="n"/>
    <x v="84"/>
    <d v="1899-12-30T00:54:21"/>
    <n v="9.74"/>
    <d v="1899-12-30T00:05:35"/>
    <n v="143"/>
    <n v="72"/>
    <n v="213"/>
    <n v="24"/>
    <n v="1.0643798461491312"/>
    <x v="15"/>
  </r>
  <r>
    <m/>
    <m/>
    <x v="1"/>
    <m/>
    <s v=""/>
    <s v=""/>
    <m/>
    <s v="0"/>
    <m/>
    <m/>
    <s v=""/>
    <x v="0"/>
  </r>
  <r>
    <n v="21"/>
    <s v="n"/>
    <x v="98"/>
    <d v="1899-12-30T00:37:05"/>
    <n v="6.52"/>
    <d v="1899-12-30T00:05:41"/>
    <n v="138"/>
    <n v="44"/>
    <n v="208"/>
    <n v="20"/>
    <n v="1.059426792418277"/>
    <x v="19"/>
  </r>
  <r>
    <m/>
    <m/>
    <x v="1"/>
    <m/>
    <s v=""/>
    <s v=""/>
    <m/>
    <s v="0"/>
    <m/>
    <m/>
    <s v=""/>
    <x v="0"/>
  </r>
  <r>
    <n v="22"/>
    <s v="j"/>
    <x v="55"/>
    <d v="1899-12-30T00:59:41"/>
    <n v="10.029999999999999"/>
    <d v="1899-12-30T00:05:57"/>
    <n v="133"/>
    <n v="69"/>
    <n v="200"/>
    <n v="35"/>
    <n v="1.0657579500305057"/>
    <x v="18"/>
  </r>
  <r>
    <m/>
    <m/>
    <x v="1"/>
    <m/>
    <s v=""/>
    <s v=""/>
    <m/>
    <s v="0"/>
    <m/>
    <m/>
    <s v=""/>
    <x v="0"/>
  </r>
  <r>
    <n v="23"/>
    <s v="n"/>
    <x v="87"/>
    <d v="1899-12-30T00:39:20"/>
    <n v="6.72"/>
    <d v="1899-12-30T00:05:51"/>
    <n v="133"/>
    <n v="43"/>
    <n v="202"/>
    <n v="14"/>
    <n v="1.0588130774697939"/>
    <x v="19"/>
  </r>
  <r>
    <n v="24"/>
    <s v="n"/>
    <x v="84"/>
    <d v="1899-12-30T00:50:28"/>
    <n v="9.2200000000000006"/>
    <d v="1899-12-30T00:05:28"/>
    <n v="135"/>
    <n v="67"/>
    <n v="215"/>
    <n v="15"/>
    <n v="1.0538737980380095"/>
    <x v="15"/>
  </r>
  <r>
    <m/>
    <m/>
    <x v="1"/>
    <m/>
    <s v=""/>
    <s v=""/>
    <m/>
    <s v="0"/>
    <m/>
    <m/>
    <s v=""/>
    <x v="0"/>
  </r>
  <r>
    <n v="25"/>
    <s v="n"/>
    <x v="98"/>
    <d v="1899-12-30T00:35:45"/>
    <n v="6.2"/>
    <d v="1899-12-30T00:05:46"/>
    <n v="136"/>
    <n v="41"/>
    <n v="205"/>
    <n v="12"/>
    <n v="1.0585580163697641"/>
    <x v="18"/>
  </r>
  <r>
    <n v="26"/>
    <s v="j"/>
    <x v="88"/>
    <d v="1899-12-30T00:38:48"/>
    <n v="6.41"/>
    <d v="1899-12-30T00:06:03"/>
    <n v="132"/>
    <n v="40"/>
    <n v="193"/>
    <n v="14"/>
    <n v="1.0461825040165784"/>
    <x v="19"/>
  </r>
  <r>
    <n v="27"/>
    <s v="j"/>
    <x v="55"/>
    <d v="1899-12-30T01:10:39"/>
    <n v="11.7"/>
    <d v="1899-12-30T00:06:02"/>
    <n v="131"/>
    <n v="80"/>
    <n v="199"/>
    <n v="45"/>
    <n v="1.0761079219288177"/>
    <x v="16"/>
  </r>
  <r>
    <m/>
    <m/>
    <x v="1"/>
    <m/>
    <s v=""/>
    <s v=""/>
    <m/>
    <s v="0"/>
    <m/>
    <m/>
    <s v=""/>
    <x v="0"/>
  </r>
  <r>
    <n v="28"/>
    <s v="n"/>
    <x v="88"/>
    <d v="1899-12-30T00:41:45"/>
    <n v="7.24"/>
    <d v="1899-12-30T00:05:46"/>
    <n v="133"/>
    <n v="47"/>
    <n v="205"/>
    <n v="21"/>
    <n v="1.0586398119897749"/>
    <x v="19"/>
  </r>
  <r>
    <n v="29"/>
    <s v="n"/>
    <x v="100"/>
    <d v="1899-12-30T00:51:02"/>
    <n v="9.0399999999999991"/>
    <d v="1899-12-30T00:05:39"/>
    <n v="137"/>
    <n v="65"/>
    <n v="209"/>
    <n v="15"/>
    <n v="1.0565942411834632"/>
    <x v="15"/>
  </r>
  <r>
    <m/>
    <m/>
    <x v="1"/>
    <m/>
    <s v=""/>
    <s v=""/>
    <m/>
    <s v="0"/>
    <m/>
    <m/>
    <s v=""/>
    <x v="0"/>
  </r>
  <r>
    <n v="30"/>
    <s v="n"/>
    <x v="98"/>
    <d v="1899-12-30T00:40:57"/>
    <n v="7.46"/>
    <d v="1899-12-30T00:05:29"/>
    <n v="134"/>
    <n v="54"/>
    <n v="222"/>
    <n v="21"/>
    <n v="1.0913008683125927"/>
    <x v="18"/>
  </r>
  <r>
    <n v="31"/>
    <s v="n"/>
    <x v="88"/>
    <d v="1899-12-30T00:40:14"/>
    <n v="7.14"/>
    <d v="1899-12-30T00:05:38"/>
    <n v="129"/>
    <n v="48"/>
    <n v="212"/>
    <n v="17"/>
    <n v="1.0697938877043356"/>
    <x v="19"/>
  </r>
  <r>
    <m/>
    <m/>
    <x v="1"/>
    <m/>
    <s v=""/>
    <s v=""/>
    <m/>
    <s v="0"/>
    <m/>
    <m/>
    <s v=""/>
    <x v="0"/>
  </r>
  <r>
    <n v="32"/>
    <s v="n"/>
    <x v="55"/>
    <d v="1899-12-30T00:56:11"/>
    <n v="9.8699999999999992"/>
    <d v="1899-12-30T00:05:42"/>
    <n v="130"/>
    <n v="69"/>
    <n v="216"/>
    <n v="23"/>
    <n v="1.1010842444313389"/>
    <x v="16"/>
  </r>
  <r>
    <m/>
    <m/>
    <x v="1"/>
    <m/>
    <s v=""/>
    <s v=""/>
    <m/>
    <s v="0"/>
    <m/>
    <m/>
    <s v=""/>
    <x v="0"/>
  </r>
  <r>
    <n v="33"/>
    <s v="n"/>
    <x v="88"/>
    <d v="1899-12-30T00:40:08"/>
    <n v="7.32"/>
    <d v="1899-12-30T00:05:29"/>
    <n v="138"/>
    <n v="53"/>
    <n v="223"/>
    <n v="19"/>
    <n v="1.0949025364978384"/>
    <x v="18"/>
  </r>
  <r>
    <n v="34"/>
    <s v="n"/>
    <x v="100"/>
    <d v="1899-12-30T00:41:12"/>
    <n v="7.92"/>
    <d v="1899-12-30T00:05:12"/>
    <n v="141"/>
    <n v="58"/>
    <n v="228"/>
    <n v="19"/>
    <n v="1.062143826322931"/>
    <x v="15"/>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35"/>
    <s v="n"/>
    <x v="88"/>
    <d v="1899-12-30T00:31:54"/>
    <n v="5.52"/>
    <d v="1899-12-30T00:05:47"/>
    <n v="137"/>
    <n v="37"/>
    <n v="210"/>
    <n v="11"/>
    <n v="1.0867942894224529"/>
    <x v="18"/>
  </r>
  <r>
    <m/>
    <m/>
    <x v="1"/>
    <m/>
    <s v=""/>
    <s v=""/>
    <m/>
    <s v="0"/>
    <m/>
    <m/>
    <s v=""/>
    <x v="0"/>
  </r>
  <r>
    <n v="36"/>
    <s v="n"/>
    <x v="98"/>
    <d v="1899-12-30T00:38:58"/>
    <n v="6.95"/>
    <d v="1899-12-30T00:05:36"/>
    <n v="143"/>
    <n v="48"/>
    <n v="215"/>
    <n v="18"/>
    <n v="1.0795017717169548"/>
    <x v="18"/>
  </r>
  <r>
    <m/>
    <m/>
    <x v="1"/>
    <m/>
    <s v=""/>
    <s v=""/>
    <m/>
    <s v="0"/>
    <m/>
    <m/>
    <s v=""/>
    <x v="0"/>
  </r>
  <r>
    <n v="37"/>
    <s v="j"/>
    <x v="88"/>
    <d v="1899-12-30T00:36:01"/>
    <n v="6.18"/>
    <d v="1899-12-30T00:05:50"/>
    <n v="139"/>
    <n v="40"/>
    <n v="202"/>
    <n v="26"/>
    <n v="1.0542481765927645"/>
    <x v="19"/>
  </r>
  <r>
    <m/>
    <m/>
    <x v="1"/>
    <m/>
    <s v=""/>
    <s v=""/>
    <m/>
    <s v="0"/>
    <m/>
    <m/>
    <s v=""/>
    <x v="0"/>
  </r>
  <r>
    <n v="38"/>
    <s v="n"/>
    <x v="88"/>
    <d v="1899-12-30T00:35:46"/>
    <n v="6.24"/>
    <d v="1899-12-30T00:05:44"/>
    <n v="144"/>
    <n v="41"/>
    <n v="210"/>
    <n v="20"/>
    <n v="1.0779276693455799"/>
    <x v="19"/>
  </r>
  <r>
    <m/>
    <m/>
    <x v="1"/>
    <m/>
    <s v=""/>
    <s v=""/>
    <m/>
    <s v="0"/>
    <m/>
    <m/>
    <s v=""/>
    <x v="0"/>
  </r>
  <r>
    <n v="39"/>
    <s v="j"/>
    <x v="88"/>
    <d v="1899-12-30T00:47:10"/>
    <n v="8.06"/>
    <d v="1899-12-30T00:05:51"/>
    <n v="143"/>
    <n v="52"/>
    <n v="203"/>
    <n v="31"/>
    <n v="1.0638309692233618"/>
    <x v="19"/>
  </r>
  <r>
    <n v="40"/>
    <s v="n"/>
    <x v="88"/>
    <d v="1899-12-30T00:37:31"/>
    <n v="6.44"/>
    <d v="1899-12-30T00:05:50"/>
    <n v="139"/>
    <n v="42"/>
    <n v="206"/>
    <n v="15"/>
    <n v="1.0746871233892648"/>
    <x v="19"/>
  </r>
  <r>
    <n v="41"/>
    <s v="n"/>
    <x v="55"/>
    <d v="1899-12-30T00:57:04"/>
    <n v="10.15"/>
    <d v="1899-12-30T00:05:37"/>
    <n v="138"/>
    <n v="72"/>
    <n v="219"/>
    <n v="35"/>
    <n v="1.1026483346812734"/>
    <x v="16"/>
  </r>
  <r>
    <m/>
    <m/>
    <x v="1"/>
    <m/>
    <s v=""/>
    <s v=""/>
    <m/>
    <s v="0"/>
    <m/>
    <m/>
    <s v=""/>
    <x v="0"/>
  </r>
  <r>
    <n v="42"/>
    <s v="j"/>
    <x v="74"/>
    <d v="1899-12-30T01:15:40"/>
    <n v="12.7"/>
    <d v="1899-12-30T00:05:57"/>
    <n v="131"/>
    <n v="82"/>
    <n v="192"/>
    <n v="41"/>
    <n v="1.0244212010812079"/>
    <x v="18"/>
  </r>
  <r>
    <m/>
    <m/>
    <x v="1"/>
    <m/>
    <s v=""/>
    <s v=""/>
    <m/>
    <s v="0"/>
    <m/>
    <m/>
    <s v=""/>
    <x v="0"/>
  </r>
  <r>
    <n v="43"/>
    <s v="n"/>
    <x v="88"/>
    <d v="1899-12-30T00:36:54"/>
    <n v="6.65"/>
    <d v="1899-12-30T00:05:33"/>
    <n v="137"/>
    <n v="47"/>
    <n v="220"/>
    <n v="23"/>
    <n v="1.09321063853664"/>
    <x v="18"/>
  </r>
  <r>
    <n v="44"/>
    <s v="n"/>
    <x v="101"/>
    <d v="1899-12-30T00:50:16"/>
    <n v="9.1999999999999993"/>
    <d v="1899-12-30T00:05:28"/>
    <n v="137"/>
    <n v="65"/>
    <n v="217"/>
    <n v="18"/>
    <n v="1.061765087605451"/>
    <x v="15"/>
  </r>
  <r>
    <n v="45"/>
    <s v="n"/>
    <x v="98"/>
    <d v="1899-12-30T00:40:18"/>
    <n v="7.07"/>
    <d v="1899-12-30T00:05:42"/>
    <n v="134"/>
    <n v="49"/>
    <n v="210"/>
    <n v="19"/>
    <n v="1.0719668981823556"/>
    <x v="17"/>
  </r>
  <r>
    <n v="46"/>
    <s v="n"/>
    <x v="88"/>
    <d v="1899-12-30T00:36:58"/>
    <n v="6.53"/>
    <d v="1899-12-30T00:05:40"/>
    <n v="132"/>
    <n v="46"/>
    <n v="217"/>
    <n v="26"/>
    <n v="1.1001028547918905"/>
    <x v="17"/>
  </r>
  <r>
    <n v="47"/>
    <s v="j"/>
    <x v="63"/>
    <d v="1899-12-30T01:47:08"/>
    <n v="17.899999999999999"/>
    <d v="1899-12-30T00:05:59"/>
    <n v="136"/>
    <n v="121"/>
    <n v="200"/>
    <n v="78"/>
    <n v="1.0719586425414829"/>
    <x v="16"/>
  </r>
  <r>
    <m/>
    <m/>
    <x v="1"/>
    <m/>
    <s v=""/>
    <s v=""/>
    <m/>
    <s v="0"/>
    <m/>
    <m/>
    <s v=""/>
    <x v="0"/>
  </r>
  <r>
    <m/>
    <m/>
    <x v="1"/>
    <m/>
    <s v=""/>
    <s v=""/>
    <m/>
    <s v="0"/>
    <m/>
    <m/>
    <s v=""/>
    <x v="0"/>
  </r>
  <r>
    <n v="48"/>
    <s v="j"/>
    <x v="88"/>
    <d v="1899-12-30T00:43:54"/>
    <n v="7.49"/>
    <d v="1899-12-30T00:05:52"/>
    <n v="130"/>
    <n v="48"/>
    <n v="205"/>
    <n v="27"/>
    <n v="1.076001833290158"/>
    <x v="13"/>
  </r>
  <r>
    <m/>
    <m/>
    <x v="1"/>
    <m/>
    <s v=""/>
    <s v=""/>
    <m/>
    <s v="0"/>
    <m/>
    <m/>
    <s v=""/>
    <x v="0"/>
  </r>
  <r>
    <m/>
    <m/>
    <x v="1"/>
    <m/>
    <s v=""/>
    <s v=""/>
    <m/>
    <s v="0"/>
    <m/>
    <m/>
    <s v=""/>
    <x v="0"/>
  </r>
  <r>
    <m/>
    <m/>
    <x v="1"/>
    <m/>
    <s v=""/>
    <s v=""/>
    <m/>
    <s v="0"/>
    <m/>
    <m/>
    <s v=""/>
    <x v="0"/>
  </r>
  <r>
    <n v="49"/>
    <s v="n"/>
    <x v="55"/>
    <d v="1899-12-30T00:53:19"/>
    <n v="9.51"/>
    <d v="1899-12-30T00:05:36"/>
    <n v="134"/>
    <n v="65"/>
    <n v="216"/>
    <n v="34"/>
    <n v="1.0844578369979756"/>
    <x v="19"/>
  </r>
  <r>
    <n v="50"/>
    <s v="j"/>
    <x v="88"/>
    <d v="1899-12-30T00:37:15"/>
    <n v="6.27"/>
    <d v="1899-12-30T00:05:56"/>
    <n v="127"/>
    <n v="40"/>
    <n v="202"/>
    <n v="12"/>
    <n v="1.0746982789402271"/>
    <x v="16"/>
  </r>
  <r>
    <n v="51"/>
    <s v="n"/>
    <x v="88"/>
    <d v="1899-12-30T00:34:37"/>
    <n v="5.92"/>
    <d v="1899-12-30T00:05:51"/>
    <n v="128"/>
    <n v="38"/>
    <n v="201"/>
    <n v="19"/>
    <n v="1.052533783783784"/>
    <x v="19"/>
  </r>
  <r>
    <n v="52"/>
    <s v="n"/>
    <x v="101"/>
    <d v="1899-12-30T00:46:36"/>
    <n v="8.61"/>
    <d v="1899-12-30T00:05:25"/>
    <n v="143"/>
    <n v="63"/>
    <n v="221"/>
    <n v="16"/>
    <n v="1.0711529460710387"/>
    <x v="10"/>
  </r>
  <r>
    <m/>
    <m/>
    <x v="1"/>
    <m/>
    <s v=""/>
    <s v=""/>
    <m/>
    <s v="0"/>
    <m/>
    <m/>
    <s v=""/>
    <x v="0"/>
  </r>
  <r>
    <n v="53"/>
    <s v="n"/>
    <x v="98"/>
    <d v="1899-12-30T00:39:46"/>
    <n v="7.03"/>
    <d v="1899-12-30T00:05:39"/>
    <n v="134"/>
    <n v="48"/>
    <n v="211"/>
    <n v="21"/>
    <n v="1.0688647799409781"/>
    <x v="18"/>
  </r>
  <r>
    <n v="54"/>
    <s v="n"/>
    <x v="88"/>
    <d v="1899-12-30T00:36:36"/>
    <n v="6.21"/>
    <d v="1899-12-30T00:05:54"/>
    <n v="132"/>
    <n v="39"/>
    <n v="200"/>
    <n v="20"/>
    <n v="1.0555916071814837"/>
    <x v="19"/>
  </r>
  <r>
    <m/>
    <m/>
    <x v="1"/>
    <m/>
    <s v=""/>
    <s v=""/>
    <m/>
    <s v="0"/>
    <m/>
    <m/>
    <s v=""/>
    <x v="0"/>
  </r>
  <r>
    <n v="55"/>
    <s v="j"/>
    <x v="55"/>
    <d v="1899-12-30T00:55:55"/>
    <n v="9.24"/>
    <d v="1899-12-30T00:06:03"/>
    <n v="127"/>
    <n v="58"/>
    <n v="197"/>
    <n v="29"/>
    <n v="1.0676083866382371"/>
    <x v="16"/>
  </r>
  <r>
    <n v="56"/>
    <s v="n"/>
    <x v="102"/>
    <d v="1899-12-30T00:35:08"/>
    <n v="5.92"/>
    <d v="1899-12-30T00:05:56"/>
    <n v="120"/>
    <n v="37"/>
    <n v="200"/>
    <n v="13"/>
    <n v="1.0629286002420328"/>
    <x v="19"/>
  </r>
  <r>
    <n v="57"/>
    <s v="n"/>
    <x v="101"/>
    <d v="1899-12-30T00:30:02"/>
    <n v="5.51"/>
    <d v="1899-12-30T00:05:27"/>
    <n v="143"/>
    <n v="40"/>
    <n v="217"/>
    <n v="25"/>
    <n v="1.0592247474063439"/>
    <x v="15"/>
  </r>
  <r>
    <m/>
    <m/>
    <x v="1"/>
    <m/>
    <s v=""/>
    <s v=""/>
    <m/>
    <s v="0"/>
    <m/>
    <m/>
    <s v=""/>
    <x v="0"/>
  </r>
  <r>
    <n v="58"/>
    <s v="n"/>
    <x v="98"/>
    <d v="1899-12-30T00:38:46"/>
    <n v="6.63"/>
    <d v="1899-12-30T00:05:51"/>
    <n v="129"/>
    <n v="45"/>
    <n v="206"/>
    <n v="22"/>
    <n v="1.0786699984241688"/>
    <x v="18"/>
  </r>
  <r>
    <n v="59"/>
    <s v="n"/>
    <x v="102"/>
    <d v="1899-12-30T00:31:47"/>
    <n v="5.3"/>
    <d v="1899-12-30T00:06:00"/>
    <n v="123"/>
    <n v="33"/>
    <n v="197"/>
    <n v="16"/>
    <n v="1.057952689383272"/>
    <x v="19"/>
  </r>
  <r>
    <m/>
    <m/>
    <x v="1"/>
    <m/>
    <s v=""/>
    <s v=""/>
    <m/>
    <s v="0"/>
    <m/>
    <m/>
    <s v=""/>
    <x v="0"/>
  </r>
  <r>
    <n v="60"/>
    <s v="n"/>
    <x v="4"/>
    <d v="1899-12-30T00:22:09"/>
    <n v="5"/>
    <d v="1899-12-30T00:04:26"/>
    <n v="165"/>
    <n v="41"/>
    <n v="268"/>
    <n v="29"/>
    <n v="1.0631999999999997"/>
    <x v="15"/>
  </r>
  <r>
    <m/>
    <m/>
    <x v="1"/>
    <m/>
    <s v=""/>
    <s v=""/>
    <m/>
    <s v="0"/>
    <m/>
    <m/>
    <s v=""/>
    <x v="0"/>
  </r>
  <r>
    <m/>
    <m/>
    <x v="1"/>
    <m/>
    <s v=""/>
    <s v=""/>
    <m/>
    <s v="0"/>
    <m/>
    <m/>
    <s v=""/>
    <x v="0"/>
  </r>
  <r>
    <n v="61"/>
    <s v="n"/>
    <x v="102"/>
    <d v="1899-12-30T00:27:42"/>
    <n v="4.6900000000000004"/>
    <d v="1899-12-30T00:05:54"/>
    <n v="124"/>
    <n v="26"/>
    <n v="200"/>
    <n v="10"/>
    <n v="1.0578238869617795"/>
    <x v="19"/>
  </r>
  <r>
    <n v="62"/>
    <s v="n"/>
    <x v="102"/>
    <d v="1899-12-30T00:31:26"/>
    <n v="5.45"/>
    <d v="1899-12-30T00:05:46"/>
    <n v="124"/>
    <n v="31"/>
    <n v="208"/>
    <n v="10"/>
    <n v="1.0743201424072297"/>
    <x v="18"/>
  </r>
  <r>
    <n v="63"/>
    <s v="n"/>
    <x v="102"/>
    <d v="1899-12-30T00:32:56"/>
    <n v="5.73"/>
    <d v="1899-12-30T00:05:45"/>
    <n v="127"/>
    <n v="34"/>
    <n v="206"/>
    <n v="19"/>
    <n v="1.0602901721757703"/>
    <x v="17"/>
  </r>
  <r>
    <m/>
    <m/>
    <x v="1"/>
    <m/>
    <s v=""/>
    <s v=""/>
    <m/>
    <s v="0"/>
    <m/>
    <m/>
    <s v=""/>
    <x v="0"/>
  </r>
  <r>
    <m/>
    <m/>
    <x v="1"/>
    <m/>
    <s v=""/>
    <s v=""/>
    <m/>
    <s v="0"/>
    <m/>
    <m/>
    <s v=""/>
    <x v="0"/>
  </r>
  <r>
    <n v="64"/>
    <s v="n"/>
    <x v="87"/>
    <d v="1899-12-30T00:33:49"/>
    <n v="5.68"/>
    <d v="1899-12-30T00:05:57"/>
    <n v="123"/>
    <n v="32"/>
    <n v="201"/>
    <n v="23"/>
    <n v="1.0716549295774649"/>
    <x v="18"/>
  </r>
  <r>
    <n v="65"/>
    <s v="n"/>
    <x v="87"/>
    <d v="1899-12-30T00:39:03"/>
    <n v="6.71"/>
    <d v="1899-12-30T00:05:49"/>
    <n v="128"/>
    <n v="38"/>
    <n v="202"/>
    <n v="16"/>
    <n v="1.0527526302911667"/>
    <x v="19"/>
  </r>
  <r>
    <m/>
    <m/>
    <x v="1"/>
    <m/>
    <s v=""/>
    <s v=""/>
    <m/>
    <s v="0"/>
    <m/>
    <m/>
    <s v=""/>
    <x v="0"/>
  </r>
  <r>
    <n v="66"/>
    <s v="j"/>
    <x v="87"/>
    <d v="1899-12-30T00:39:55"/>
    <n v="6.94"/>
    <d v="1899-12-30T00:05:45"/>
    <n v="134"/>
    <n v="40"/>
    <n v="205"/>
    <n v="16"/>
    <n v="1.0559056303496923"/>
    <x v="19"/>
  </r>
  <r>
    <m/>
    <m/>
    <x v="1"/>
    <m/>
    <s v=""/>
    <s v=""/>
    <m/>
    <s v="0"/>
    <m/>
    <m/>
    <s v=""/>
    <x v="0"/>
  </r>
  <r>
    <m/>
    <m/>
    <x v="1"/>
    <m/>
    <s v=""/>
    <s v=""/>
    <m/>
    <s v="0"/>
    <m/>
    <m/>
    <s v=""/>
    <x v="0"/>
  </r>
  <r>
    <m/>
    <m/>
    <x v="1"/>
    <m/>
    <s v=""/>
    <s v=""/>
    <m/>
    <s v="0"/>
    <m/>
    <m/>
    <s v=""/>
    <x v="0"/>
  </r>
  <r>
    <m/>
    <m/>
    <x v="1"/>
    <m/>
    <s v=""/>
    <s v=""/>
    <m/>
    <s v="0"/>
    <m/>
    <m/>
    <s v=""/>
    <x v="0"/>
  </r>
  <r>
    <n v="67"/>
    <s v="n"/>
    <x v="68"/>
    <d v="1899-12-30T01:00:56"/>
    <n v="7.69"/>
    <d v="1899-12-30T00:07:55"/>
    <n v="128"/>
    <n v="55"/>
    <n v="182"/>
    <n v="370"/>
    <m/>
    <x v="12"/>
  </r>
  <r>
    <m/>
    <m/>
    <x v="1"/>
    <m/>
    <s v=""/>
    <s v=""/>
    <m/>
    <s v="0"/>
    <m/>
    <m/>
    <s v=""/>
    <x v="0"/>
  </r>
  <r>
    <m/>
    <m/>
    <x v="1"/>
    <m/>
    <s v=""/>
    <s v=""/>
    <m/>
    <s v="0"/>
    <m/>
    <m/>
    <s v=""/>
    <x v="0"/>
  </r>
  <r>
    <m/>
    <m/>
    <x v="1"/>
    <m/>
    <s v=""/>
    <s v=""/>
    <m/>
    <s v="0"/>
    <m/>
    <m/>
    <s v=""/>
    <x v="0"/>
  </r>
  <r>
    <m/>
    <m/>
    <x v="1"/>
    <m/>
    <s v=""/>
    <s v=""/>
    <m/>
    <s v="0"/>
    <m/>
    <m/>
    <s v=""/>
    <x v="0"/>
  </r>
  <r>
    <n v="68"/>
    <s v="j"/>
    <x v="88"/>
    <d v="1899-12-30T00:44:55"/>
    <n v="6.9"/>
    <d v="1899-12-30T00:06:31"/>
    <n v="127"/>
    <n v="35"/>
    <n v="182"/>
    <n v="28"/>
    <n v="1.0609777200951762"/>
    <x v="19"/>
  </r>
  <r>
    <n v="69"/>
    <s v="n"/>
    <x v="87"/>
    <d v="1899-12-30T00:36:11"/>
    <n v="6.1"/>
    <d v="1899-12-30T00:05:56"/>
    <n v="122"/>
    <n v="35"/>
    <n v="200"/>
    <n v="10"/>
    <n v="1.0623929532664547"/>
    <x v="18"/>
  </r>
  <r>
    <m/>
    <m/>
    <x v="1"/>
    <m/>
    <s v=""/>
    <s v=""/>
    <m/>
    <s v="0"/>
    <m/>
    <m/>
    <s v=""/>
    <x v="0"/>
  </r>
  <r>
    <n v="70"/>
    <s v="n"/>
    <x v="87"/>
    <d v="1899-12-30T00:35:35"/>
    <n v="6.01"/>
    <d v="1899-12-30T00:05:55"/>
    <n v="127"/>
    <n v="34"/>
    <n v="200"/>
    <n v="14"/>
    <n v="1.06042168525095"/>
    <x v="19"/>
  </r>
  <r>
    <n v="71"/>
    <s v="n"/>
    <x v="98"/>
    <d v="1899-12-30T00:39:34"/>
    <n v="6.96"/>
    <d v="1899-12-30T00:05:41"/>
    <n v="126"/>
    <n v="43"/>
    <n v="210"/>
    <n v="14"/>
    <n v="1.0690941842511581"/>
    <x v="18"/>
  </r>
  <r>
    <n v="72"/>
    <s v="n"/>
    <x v="87"/>
    <d v="1899-12-30T00:38:16"/>
    <n v="6.74"/>
    <d v="1899-12-30T00:05:41"/>
    <n v="129"/>
    <n v="40"/>
    <n v="209"/>
    <n v="14"/>
    <n v="1.0626334204349173"/>
    <x v="16"/>
  </r>
  <r>
    <m/>
    <m/>
    <x v="1"/>
    <m/>
    <s v=""/>
    <s v=""/>
    <m/>
    <s v="0"/>
    <m/>
    <m/>
    <s v=""/>
    <x v="0"/>
  </r>
  <r>
    <m/>
    <m/>
    <x v="1"/>
    <m/>
    <s v=""/>
    <s v=""/>
    <m/>
    <s v="0"/>
    <m/>
    <m/>
    <s v=""/>
    <x v="0"/>
  </r>
  <r>
    <m/>
    <m/>
    <x v="1"/>
    <m/>
    <s v=""/>
    <s v=""/>
    <m/>
    <s v="0"/>
    <m/>
    <m/>
    <s v=""/>
    <x v="0"/>
  </r>
  <r>
    <n v="73"/>
    <s v="n"/>
    <x v="87"/>
    <d v="1899-12-30T00:32:40"/>
    <n v="5.55"/>
    <d v="1899-12-30T00:05:53"/>
    <n v="130"/>
    <n v="32"/>
    <n v="204"/>
    <n v="14"/>
    <n v="1.0752722872125857"/>
    <x v="16"/>
  </r>
  <r>
    <n v="74"/>
    <s v="n"/>
    <x v="87"/>
    <d v="1899-12-30T00:39:33"/>
    <n v="7.06"/>
    <d v="1899-12-30T00:05:36"/>
    <n v="128"/>
    <n v="42"/>
    <n v="210"/>
    <n v="15"/>
    <n v="1.0535072512790156"/>
    <x v="19"/>
  </r>
  <r>
    <n v="75"/>
    <s v="n"/>
    <x v="98"/>
    <d v="1899-12-30T00:39:03"/>
    <n v="6.99"/>
    <d v="1899-12-30T00:05:35"/>
    <n v="128"/>
    <n v="44"/>
    <n v="212"/>
    <n v="12"/>
    <n v="1.0606111075523665"/>
    <x v="18"/>
  </r>
  <r>
    <n v="76"/>
    <s v="n"/>
    <x v="87"/>
    <d v="1899-12-30T00:32:03"/>
    <n v="6.11"/>
    <d v="1899-12-30T00:05:15"/>
    <n v="136"/>
    <n v="40"/>
    <n v="230"/>
    <n v="12"/>
    <n v="1.0804162493587706"/>
    <x v="17"/>
  </r>
  <r>
    <m/>
    <m/>
    <x v="1"/>
    <m/>
    <s v=""/>
    <s v=""/>
    <m/>
    <s v="0"/>
    <m/>
    <m/>
    <s v=""/>
    <x v="0"/>
  </r>
  <r>
    <n v="77"/>
    <s v="j"/>
    <x v="74"/>
    <d v="1899-12-30T01:12:09"/>
    <n v="12.4"/>
    <d v="1899-12-30T00:05:49"/>
    <n v="137"/>
    <n v="72"/>
    <n v="206"/>
    <n v="31"/>
    <n v="1.0733919114106887"/>
    <x v="16"/>
  </r>
  <r>
    <m/>
    <m/>
    <x v="1"/>
    <m/>
    <s v=""/>
    <s v=""/>
    <m/>
    <s v="0"/>
    <m/>
    <m/>
    <s v=""/>
    <x v="0"/>
  </r>
  <r>
    <n v="78"/>
    <s v="j"/>
    <x v="88"/>
    <d v="1899-12-30T00:46:50"/>
    <n v="8.11"/>
    <d v="1899-12-30T00:05:46"/>
    <n v="127"/>
    <n v="46"/>
    <n v="203"/>
    <n v="19"/>
    <n v="1.0498003202237887"/>
    <x v="19"/>
  </r>
  <r>
    <m/>
    <m/>
    <x v="1"/>
    <m/>
    <s v=""/>
    <s v=""/>
    <m/>
    <s v="0"/>
    <m/>
    <m/>
    <s v=""/>
    <x v="0"/>
  </r>
  <r>
    <m/>
    <m/>
    <x v="1"/>
    <m/>
    <s v=""/>
    <s v=""/>
    <m/>
    <s v="0"/>
    <m/>
    <m/>
    <s v=""/>
    <x v="0"/>
  </r>
  <r>
    <n v="79"/>
    <s v="j"/>
    <x v="55"/>
    <d v="1899-12-30T00:55:06"/>
    <n v="9.35"/>
    <d v="1899-12-30T00:05:54"/>
    <n v="128"/>
    <n v="52"/>
    <n v="202"/>
    <n v="24"/>
    <n v="1.066026019634448"/>
    <x v="18"/>
  </r>
  <r>
    <m/>
    <m/>
    <x v="1"/>
    <m/>
    <s v=""/>
    <s v=""/>
    <m/>
    <s v="0"/>
    <m/>
    <m/>
    <s v=""/>
    <x v="0"/>
  </r>
  <r>
    <n v="80"/>
    <s v="n"/>
    <x v="68"/>
    <d v="1899-12-30T01:27:59"/>
    <n v="11.7"/>
    <d v="1899-12-30T00:07:31"/>
    <n v="133"/>
    <n v="76"/>
    <n v="179"/>
    <n v="490"/>
    <m/>
    <x v="12"/>
  </r>
  <r>
    <n v="81"/>
    <s v="n"/>
    <x v="87"/>
    <d v="1899-12-30T00:35:51"/>
    <n v="6.22"/>
    <d v="1899-12-30T00:05:46"/>
    <n v="121"/>
    <n v="36"/>
    <n v="206"/>
    <n v="11"/>
    <n v="1.063267264961367"/>
    <x v="18"/>
  </r>
  <r>
    <n v="82"/>
    <s v="n"/>
    <x v="87"/>
    <d v="1899-12-30T00:37:41"/>
    <n v="6.67"/>
    <d v="1899-12-30T00:05:39"/>
    <n v="125"/>
    <n v="39"/>
    <n v="208"/>
    <n v="16"/>
    <n v="1.0523574033878582"/>
    <x v="19"/>
  </r>
  <r>
    <m/>
    <m/>
    <x v="1"/>
    <m/>
    <s v=""/>
    <s v=""/>
    <m/>
    <s v="0"/>
    <m/>
    <m/>
    <s v=""/>
    <x v="0"/>
  </r>
  <r>
    <n v="83"/>
    <s v="n"/>
    <x v="98"/>
    <d v="1899-12-30T00:39:24"/>
    <n v="7.06"/>
    <d v="1899-12-30T00:05:35"/>
    <n v="126"/>
    <n v="44"/>
    <n v="213"/>
    <n v="12"/>
    <n v="1.0645046721068878"/>
    <x v="17"/>
  </r>
  <r>
    <n v="84"/>
    <s v="n"/>
    <x v="87"/>
    <d v="1899-12-30T00:42:54"/>
    <n v="7.51"/>
    <d v="1899-12-30T00:05:43"/>
    <n v="125"/>
    <n v="43"/>
    <n v="206"/>
    <n v="12"/>
    <n v="1.0538068644792018"/>
    <x v="19"/>
  </r>
  <r>
    <m/>
    <m/>
    <x v="1"/>
    <m/>
    <s v=""/>
    <s v=""/>
    <m/>
    <s v="0"/>
    <m/>
    <m/>
    <s v=""/>
    <x v="0"/>
  </r>
  <r>
    <n v="85"/>
    <s v="j"/>
    <x v="74"/>
    <d v="1899-12-30T01:14:49"/>
    <n v="12.98"/>
    <d v="1899-12-30T00:05:46"/>
    <n v="137"/>
    <n v="77"/>
    <n v="208"/>
    <n v="33"/>
    <n v="1.0736517719568566"/>
    <x v="16"/>
  </r>
  <r>
    <n v="86"/>
    <s v="n"/>
    <x v="87"/>
    <d v="1899-12-30T00:37:01"/>
    <n v="6.51"/>
    <d v="1899-12-30T00:05:41"/>
    <n v="121"/>
    <n v="37"/>
    <n v="206"/>
    <n v="10"/>
    <n v="1.0489625604695418"/>
    <x v="19"/>
  </r>
  <r>
    <n v="87"/>
    <s v="n"/>
    <x v="88"/>
    <d v="1899-12-30T00:44:53"/>
    <n v="8.02"/>
    <d v="1899-12-30T00:05:36"/>
    <n v="123"/>
    <n v="48"/>
    <n v="212"/>
    <n v="12"/>
    <n v="1.0624855771020212"/>
    <x v="18"/>
  </r>
  <r>
    <m/>
    <m/>
    <x v="1"/>
    <m/>
    <s v=""/>
    <s v=""/>
    <m/>
    <s v="0"/>
    <m/>
    <m/>
    <s v=""/>
    <x v="0"/>
  </r>
  <r>
    <n v="88"/>
    <s v="n"/>
    <x v="87"/>
    <d v="1899-12-30T00:34:17"/>
    <n v="5.84"/>
    <d v="1899-12-30T00:05:52"/>
    <n v="125"/>
    <n v="34"/>
    <n v="204"/>
    <n v="12"/>
    <n v="1.0724493968513595"/>
    <x v="17"/>
  </r>
  <r>
    <n v="89"/>
    <s v="j"/>
    <x v="87"/>
    <d v="1899-12-30T00:45:03"/>
    <n v="7.22"/>
    <d v="1899-12-30T00:06:14"/>
    <n v="119"/>
    <n v="38"/>
    <n v="189"/>
    <n v="27"/>
    <n v="1.0560776450159177"/>
    <x v="19"/>
  </r>
  <r>
    <m/>
    <m/>
    <x v="1"/>
    <m/>
    <s v=""/>
    <s v=""/>
    <m/>
    <s v="0"/>
    <m/>
    <m/>
    <s v=""/>
    <x v="0"/>
  </r>
  <r>
    <n v="90"/>
    <s v="j"/>
    <x v="74"/>
    <d v="1899-12-30T01:14:59"/>
    <n v="12.97"/>
    <d v="1899-12-30T00:05:47"/>
    <n v="129"/>
    <n v="77"/>
    <n v="207"/>
    <n v="38"/>
    <n v="1.071695876822518"/>
    <x v="16"/>
  </r>
  <r>
    <n v="91"/>
    <s v="n"/>
    <x v="87"/>
    <d v="1899-12-30T00:34:35"/>
    <n v="5.97"/>
    <d v="1899-12-30T00:05:48"/>
    <n v="121"/>
    <n v="34"/>
    <n v="202"/>
    <n v="8"/>
    <n v="1.0479011975299384"/>
    <x v="19"/>
  </r>
  <r>
    <n v="92"/>
    <s v="n"/>
    <x v="88"/>
    <d v="1899-12-30T00:44:50"/>
    <n v="7.93"/>
    <d v="1899-12-30T00:05:39"/>
    <n v="123"/>
    <n v="47"/>
    <n v="210"/>
    <n v="17"/>
    <n v="1.0632210950292675"/>
    <x v="18"/>
  </r>
  <r>
    <m/>
    <m/>
    <x v="1"/>
    <m/>
    <s v=""/>
    <s v=""/>
    <m/>
    <s v="0"/>
    <m/>
    <m/>
    <s v=""/>
    <x v="0"/>
  </r>
  <r>
    <n v="93"/>
    <s v="n"/>
    <x v="98"/>
    <d v="1899-12-30T00:38:36"/>
    <n v="6.71"/>
    <d v="1899-12-30T00:05:45"/>
    <n v="127"/>
    <n v="41"/>
    <n v="207"/>
    <n v="15"/>
    <n v="1.0663789843628355"/>
    <x v="17"/>
  </r>
  <r>
    <n v="94"/>
    <s v="n"/>
    <x v="88"/>
    <d v="1899-12-30T00:44:43"/>
    <n v="7.93"/>
    <d v="1899-12-30T00:05:38"/>
    <n v="121"/>
    <n v="47"/>
    <n v="210"/>
    <n v="11"/>
    <n v="1.0604543486853253"/>
    <x v="20"/>
  </r>
  <r>
    <m/>
    <m/>
    <x v="1"/>
    <m/>
    <s v=""/>
    <s v=""/>
    <m/>
    <s v="0"/>
    <m/>
    <m/>
    <s v=""/>
    <x v="0"/>
  </r>
  <r>
    <n v="95"/>
    <s v="j"/>
    <x v="74"/>
    <d v="1899-12-30T01:09:16"/>
    <n v="11.99"/>
    <d v="1899-12-30T00:05:47"/>
    <n v="136"/>
    <n v="74"/>
    <n v="208"/>
    <n v="45"/>
    <n v="1.0760808136133344"/>
    <x v="16"/>
  </r>
  <r>
    <n v="96"/>
    <s v="n"/>
    <x v="87"/>
    <d v="1899-12-30T00:36:09"/>
    <n v="6.12"/>
    <d v="1899-12-30T00:05:54"/>
    <n v="117"/>
    <n v="35"/>
    <n v="199"/>
    <n v="14"/>
    <n v="1.0526558384547848"/>
    <x v="19"/>
  </r>
  <r>
    <m/>
    <m/>
    <x v="1"/>
    <m/>
    <s v=""/>
    <s v=""/>
    <m/>
    <s v="0"/>
    <m/>
    <m/>
    <s v=""/>
    <x v="0"/>
  </r>
  <r>
    <m/>
    <m/>
    <x v="1"/>
    <m/>
    <s v=""/>
    <s v=""/>
    <m/>
    <s v="0"/>
    <m/>
    <m/>
    <s v=""/>
    <x v="0"/>
  </r>
  <r>
    <n v="97"/>
    <s v="n"/>
    <x v="101"/>
    <d v="1899-12-30T00:52:33"/>
    <n v="10.31"/>
    <d v="1899-12-30T00:05:06"/>
    <n v="141"/>
    <n v="72"/>
    <n v="233"/>
    <n v="20"/>
    <n v="1.0635218669021524"/>
    <x v="10"/>
  </r>
  <r>
    <n v="98"/>
    <s v="n"/>
    <x v="87"/>
    <d v="1899-12-30T00:35:50"/>
    <n v="6.24"/>
    <d v="1899-12-30T00:05:45"/>
    <n v="124"/>
    <n v="37"/>
    <n v="205"/>
    <n v="12"/>
    <n v="1.0542240719479528"/>
    <x v="19"/>
  </r>
  <r>
    <m/>
    <m/>
    <x v="1"/>
    <m/>
    <s v=""/>
    <s v=""/>
    <m/>
    <s v="0"/>
    <m/>
    <m/>
    <s v=""/>
    <x v="0"/>
  </r>
  <r>
    <n v="99"/>
    <s v="j"/>
    <x v="62"/>
    <d v="1899-12-30T01:32:58"/>
    <n v="15.21"/>
    <d v="1899-12-30T00:06:07"/>
    <n v="128"/>
    <n v="88"/>
    <n v="196"/>
    <n v="43"/>
    <n v="1.0728291481448775"/>
    <x v="16"/>
  </r>
  <r>
    <n v="100"/>
    <s v="n"/>
    <x v="88"/>
    <d v="1899-12-30T00:42:09"/>
    <n v="7.43"/>
    <d v="1899-12-30T00:05:40"/>
    <n v="122"/>
    <n v="45"/>
    <n v="209"/>
    <n v="17"/>
    <n v="1.0617725638295734"/>
    <x v="20"/>
  </r>
  <r>
    <n v="101"/>
    <s v="n"/>
    <x v="87"/>
    <d v="1899-12-30T00:41:29"/>
    <n v="6.96"/>
    <d v="1899-12-30T00:05:58"/>
    <n v="120"/>
    <n v="39"/>
    <n v="196"/>
    <n v="15"/>
    <n v="1.0461571453079432"/>
    <x v="19"/>
  </r>
  <r>
    <m/>
    <m/>
    <x v="1"/>
    <m/>
    <s v=""/>
    <s v=""/>
    <m/>
    <s v="0"/>
    <m/>
    <m/>
    <s v=""/>
    <x v="0"/>
  </r>
  <r>
    <n v="102"/>
    <s v="n"/>
    <x v="88"/>
    <d v="1899-12-30T00:44:00"/>
    <n v="8.06"/>
    <d v="1899-12-30T00:05:28"/>
    <n v="130"/>
    <n v="52"/>
    <n v="220"/>
    <n v="14"/>
    <n v="1.0755157216399394"/>
    <x v="20"/>
  </r>
  <r>
    <n v="103"/>
    <s v="n"/>
    <x v="88"/>
    <d v="1899-12-30T00:38:39"/>
    <n v="6.61"/>
    <d v="1899-12-30T00:05:51"/>
    <n v="117"/>
    <n v="38"/>
    <n v="201"/>
    <n v="13"/>
    <n v="1.0524962178517399"/>
    <x v="18"/>
  </r>
  <r>
    <m/>
    <m/>
    <x v="1"/>
    <m/>
    <s v=""/>
    <s v=""/>
    <m/>
    <s v="0"/>
    <m/>
    <m/>
    <s v=""/>
    <x v="0"/>
  </r>
  <r>
    <n v="104"/>
    <s v="j"/>
    <x v="62"/>
    <d v="1899-12-30T01:31:26"/>
    <n v="15.3"/>
    <d v="1899-12-30T00:05:59"/>
    <n v="128"/>
    <n v="91"/>
    <n v="200"/>
    <n v="54"/>
    <n v="1.0703346015022925"/>
    <x v="16"/>
  </r>
  <r>
    <n v="105"/>
    <s v="n"/>
    <x v="87"/>
    <d v="1899-12-30T00:39:03"/>
    <n v="6.55"/>
    <d v="1899-12-30T00:05:58"/>
    <n v="118"/>
    <n v="36"/>
    <n v="195"/>
    <n v="11"/>
    <n v="1.0410960464851315"/>
    <x v="19"/>
  </r>
  <r>
    <m/>
    <m/>
    <x v="1"/>
    <m/>
    <s v=""/>
    <s v=""/>
    <m/>
    <s v="0"/>
    <m/>
    <m/>
    <s v=""/>
    <x v="0"/>
  </r>
  <r>
    <m/>
    <m/>
    <x v="1"/>
    <m/>
    <s v=""/>
    <s v=""/>
    <m/>
    <s v="0"/>
    <m/>
    <m/>
    <s v=""/>
    <x v="0"/>
  </r>
  <r>
    <n v="106"/>
    <s v="j"/>
    <x v="103"/>
    <d v="1899-12-30T00:38:06"/>
    <n v="5.98"/>
    <d v="1899-12-30T00:06:22"/>
    <n v="116"/>
    <n v="34"/>
    <n v="186"/>
    <n v="17"/>
    <n v="1.0612389557230568"/>
    <x v="20"/>
  </r>
  <r>
    <n v="107"/>
    <s v="n"/>
    <x v="7"/>
    <d v="1899-12-30T00:45:10"/>
    <n v="8.59"/>
    <d v="1899-12-30T00:05:15"/>
    <n v="141"/>
    <n v="60"/>
    <n v="225"/>
    <n v="14"/>
    <n v="1.0594582384932152"/>
    <x v="15"/>
  </r>
  <r>
    <m/>
    <m/>
    <x v="1"/>
    <m/>
    <s v=""/>
    <s v=""/>
    <m/>
    <s v="0"/>
    <m/>
    <m/>
    <s v=""/>
    <x v="0"/>
  </r>
  <r>
    <n v="108"/>
    <s v="j"/>
    <x v="74"/>
    <d v="1899-12-30T01:22:45"/>
    <n v="13.99"/>
    <d v="1899-12-30T00:05:55"/>
    <n v="131"/>
    <n v="85"/>
    <n v="201"/>
    <n v="39"/>
    <n v="1.0646890636168693"/>
    <x v="20"/>
  </r>
  <r>
    <n v="109"/>
    <s v="n"/>
    <x v="103"/>
    <d v="1899-12-30T00:38:54"/>
    <n v="6.72"/>
    <d v="1899-12-30T00:05:47"/>
    <n v="122"/>
    <n v="40"/>
    <n v="204"/>
    <n v="16"/>
    <n v="1.0575159914712151"/>
    <x v="19"/>
  </r>
  <r>
    <m/>
    <m/>
    <x v="1"/>
    <m/>
    <s v=""/>
    <s v=""/>
    <m/>
    <s v="0"/>
    <m/>
    <m/>
    <s v=""/>
    <x v="0"/>
  </r>
  <r>
    <n v="110"/>
    <s v="n"/>
    <x v="94"/>
    <d v="1899-12-30T00:47:45"/>
    <n v="8.7799999999999994"/>
    <d v="1899-12-30T00:05:26"/>
    <n v="136"/>
    <n v="61"/>
    <n v="218"/>
    <n v="14"/>
    <n v="1.061724407574882"/>
    <x v="15"/>
  </r>
  <r>
    <n v="111"/>
    <s v="n"/>
    <x v="103"/>
    <d v="1899-12-30T00:41:20"/>
    <n v="7.06"/>
    <d v="1899-12-30T00:05:51"/>
    <n v="116"/>
    <n v="42"/>
    <n v="204"/>
    <n v="15"/>
    <n v="1.069553084436176"/>
    <x v="17"/>
  </r>
  <r>
    <n v="112"/>
    <s v="n"/>
    <x v="88"/>
    <d v="1899-12-30T00:44:12"/>
    <n v="7.66"/>
    <d v="1899-12-30T00:05:46"/>
    <n v="123"/>
    <n v="46"/>
    <n v="207"/>
    <n v="18"/>
    <n v="1.0696465453411792"/>
    <x v="20"/>
  </r>
  <r>
    <m/>
    <m/>
    <x v="1"/>
    <m/>
    <s v=""/>
    <s v=""/>
    <m/>
    <s v="0"/>
    <m/>
    <m/>
    <s v=""/>
    <x v="0"/>
  </r>
  <r>
    <n v="113"/>
    <s v="j"/>
    <x v="76"/>
    <d v="1899-12-30T01:25:08"/>
    <n v="14.38"/>
    <d v="1899-12-30T00:05:55"/>
    <n v="131"/>
    <n v="85"/>
    <n v="202"/>
    <n v="42"/>
    <n v="1.0709484566043219"/>
    <x v="16"/>
  </r>
  <r>
    <n v="114"/>
    <s v="n"/>
    <x v="88"/>
    <d v="1899-12-30T00:46:18"/>
    <n v="8.02"/>
    <d v="1899-12-30T00:05:46"/>
    <n v="116"/>
    <n v="49"/>
    <n v="206"/>
    <n v="14"/>
    <n v="1.0650016749171847"/>
    <x v="20"/>
  </r>
  <r>
    <m/>
    <m/>
    <x v="1"/>
    <m/>
    <s v=""/>
    <s v=""/>
    <m/>
    <s v="0"/>
    <m/>
    <m/>
    <s v=""/>
    <x v="0"/>
  </r>
  <r>
    <n v="115"/>
    <s v="n"/>
    <x v="94"/>
    <d v="1899-12-30T00:51:18"/>
    <n v="9.16"/>
    <d v="1899-12-30T00:05:36"/>
    <n v="135"/>
    <n v="65"/>
    <n v="210"/>
    <n v="15"/>
    <n v="1.0532164504985986"/>
    <x v="15"/>
  </r>
  <r>
    <n v="116"/>
    <s v="n"/>
    <x v="88"/>
    <d v="1899-12-30T00:44:06"/>
    <n v="7.24"/>
    <d v="1899-12-30T00:06:05"/>
    <n v="120"/>
    <n v="41"/>
    <n v="193"/>
    <n v="24"/>
    <n v="1.0527706770017318"/>
    <x v="19"/>
  </r>
  <r>
    <n v="117"/>
    <s v="n"/>
    <x v="91"/>
    <d v="1899-12-30T00:58:59"/>
    <n v="11.12"/>
    <d v="1899-12-30T00:05:18"/>
    <n v="135"/>
    <n v="80"/>
    <n v="224"/>
    <n v="19"/>
    <n v="1.0640180392999035"/>
    <x v="15"/>
  </r>
  <r>
    <m/>
    <m/>
    <x v="1"/>
    <m/>
    <s v=""/>
    <s v=""/>
    <m/>
    <s v="0"/>
    <m/>
    <m/>
    <s v=""/>
    <x v="0"/>
  </r>
  <r>
    <n v="118"/>
    <s v="j"/>
    <x v="62"/>
    <d v="1899-12-30T01:33:19"/>
    <n v="15.83"/>
    <d v="1899-12-30T00:05:54"/>
    <n v="134"/>
    <n v="98"/>
    <n v="200"/>
    <n v="61"/>
    <n v="1.0558075070006885"/>
    <x v="16"/>
  </r>
  <r>
    <m/>
    <m/>
    <x v="1"/>
    <m/>
    <s v=""/>
    <s v=""/>
    <m/>
    <s v="0"/>
    <m/>
    <m/>
    <s v=""/>
    <x v="0"/>
  </r>
  <r>
    <n v="119"/>
    <s v="j"/>
    <x v="88"/>
    <d v="1899-12-30T00:47:09"/>
    <n v="7.67"/>
    <d v="1899-12-30T00:06:09"/>
    <n v="116"/>
    <n v="43"/>
    <n v="189"/>
    <n v="22"/>
    <n v="1.0404580746852439"/>
    <x v="20"/>
  </r>
  <r>
    <m/>
    <m/>
    <x v="1"/>
    <m/>
    <s v=""/>
    <s v=""/>
    <m/>
    <s v="0"/>
    <m/>
    <m/>
    <s v=""/>
    <x v="0"/>
  </r>
  <r>
    <m/>
    <m/>
    <x v="1"/>
    <m/>
    <s v=""/>
    <s v=""/>
    <m/>
    <s v="0"/>
    <m/>
    <m/>
    <s v=""/>
    <x v="0"/>
  </r>
  <r>
    <n v="120"/>
    <s v="j"/>
    <x v="55"/>
    <d v="1899-12-30T00:55:40"/>
    <n v="8.8699999999999992"/>
    <d v="1899-12-30T00:06:17"/>
    <n v="120"/>
    <n v="50"/>
    <n v="188"/>
    <n v="17"/>
    <n v="1.0565885342173016"/>
    <x v="19"/>
  </r>
  <r>
    <n v="121"/>
    <s v="j"/>
    <x v="88"/>
    <d v="1899-12-30T00:53:02"/>
    <n v="8.9"/>
    <d v="1899-12-30T00:05:58"/>
    <n v="124"/>
    <n v="55"/>
    <n v="202"/>
    <n v="24"/>
    <n v="1.077920509810498"/>
    <x v="20"/>
  </r>
  <r>
    <n v="122"/>
    <s v="n"/>
    <x v="68"/>
    <d v="1899-12-30T02:00:21"/>
    <n v="17.2"/>
    <d v="1899-12-30T00:07:00"/>
    <n v="134"/>
    <n v="115"/>
    <n v="185"/>
    <n v="290"/>
    <m/>
    <x v="21"/>
  </r>
  <r>
    <m/>
    <m/>
    <x v="1"/>
    <m/>
    <s v=""/>
    <s v=""/>
    <m/>
    <s v="0"/>
    <m/>
    <m/>
    <s v=""/>
    <x v="0"/>
  </r>
  <r>
    <n v="123"/>
    <s v="j"/>
    <x v="88"/>
    <d v="1899-12-30T00:55:17"/>
    <n v="8.8800000000000008"/>
    <d v="1899-12-30T00:06:14"/>
    <n v="123"/>
    <n v="49"/>
    <n v="190"/>
    <n v="15"/>
    <n v="1.0592812962215945"/>
    <x v="19"/>
  </r>
  <r>
    <m/>
    <m/>
    <x v="1"/>
    <m/>
    <s v=""/>
    <s v=""/>
    <m/>
    <s v="0"/>
    <m/>
    <m/>
    <s v=""/>
    <x v="0"/>
  </r>
  <r>
    <n v="124"/>
    <s v="j"/>
    <x v="88"/>
    <d v="1899-12-30T00:51:03"/>
    <n v="8.39"/>
    <d v="1899-12-30T00:06:05"/>
    <n v="125"/>
    <n v="49"/>
    <n v="197"/>
    <n v="16"/>
    <n v="1.0734367495063417"/>
    <x v="17"/>
  </r>
  <r>
    <m/>
    <m/>
    <x v="1"/>
    <m/>
    <s v=""/>
    <s v=""/>
    <m/>
    <s v="0"/>
    <m/>
    <m/>
    <s v=""/>
    <x v="0"/>
  </r>
  <r>
    <m/>
    <m/>
    <x v="1"/>
    <m/>
    <s v=""/>
    <s v=""/>
    <m/>
    <s v="0"/>
    <m/>
    <m/>
    <s v=""/>
    <x v="0"/>
  </r>
  <r>
    <n v="125"/>
    <s v="j"/>
    <x v="55"/>
    <d v="1899-12-30T01:13:57"/>
    <n v="11.86"/>
    <d v="1899-12-30T00:06:14"/>
    <n v="123"/>
    <n v="68"/>
    <n v="193"/>
    <n v="33"/>
    <n v="1.077673604993582"/>
    <x v="16"/>
  </r>
  <r>
    <m/>
    <m/>
    <x v="1"/>
    <m/>
    <s v=""/>
    <s v=""/>
    <m/>
    <s v="0"/>
    <m/>
    <m/>
    <s v=""/>
    <x v="0"/>
  </r>
  <r>
    <n v="126"/>
    <s v="j"/>
    <x v="88"/>
    <d v="1899-12-30T00:42:36"/>
    <n v="7.21"/>
    <d v="1899-12-30T00:05:55"/>
    <n v="128"/>
    <n v="42"/>
    <n v="199"/>
    <n v="18"/>
    <n v="1.0529405676195995"/>
    <x v="19"/>
  </r>
  <r>
    <m/>
    <m/>
    <x v="1"/>
    <m/>
    <s v=""/>
    <s v=""/>
    <m/>
    <s v="0"/>
    <m/>
    <m/>
    <s v=""/>
    <x v="0"/>
  </r>
  <r>
    <n v="127"/>
    <s v="n"/>
    <x v="84"/>
    <d v="1899-12-30T00:44:55"/>
    <n v="7.93"/>
    <d v="1899-12-30T00:05:40"/>
    <n v="143"/>
    <n v="59"/>
    <n v="207"/>
    <n v="21"/>
    <n v="1.0499802375261145"/>
    <x v="15"/>
  </r>
  <r>
    <n v="128"/>
    <s v="j"/>
    <x v="88"/>
    <d v="1899-12-30T00:52:28"/>
    <n v="8.56"/>
    <d v="1899-12-30T00:06:08"/>
    <n v="121"/>
    <n v="50"/>
    <n v="193"/>
    <n v="21"/>
    <n v="1.059359743339378"/>
    <x v="20"/>
  </r>
  <r>
    <m/>
    <m/>
    <x v="1"/>
    <m/>
    <s v=""/>
    <s v=""/>
    <m/>
    <s v="0"/>
    <m/>
    <m/>
    <s v=""/>
    <x v="0"/>
  </r>
  <r>
    <n v="129"/>
    <s v="j"/>
    <x v="74"/>
    <d v="1899-12-30T01:21:39"/>
    <n v="13.52"/>
    <d v="1899-12-30T00:06:02"/>
    <n v="130"/>
    <n v="80"/>
    <n v="199"/>
    <n v="43"/>
    <n v="1.0762397332862317"/>
    <x v="16"/>
  </r>
  <r>
    <m/>
    <m/>
    <x v="1"/>
    <m/>
    <s v=""/>
    <s v=""/>
    <m/>
    <s v="0"/>
    <m/>
    <m/>
    <s v=""/>
    <x v="0"/>
  </r>
  <r>
    <n v="130"/>
    <s v="n"/>
    <x v="88"/>
    <d v="1899-12-30T00:49:31"/>
    <n v="8.1999999999999993"/>
    <d v="1899-12-30T00:06:02"/>
    <n v="132"/>
    <n v="48"/>
    <n v="196"/>
    <n v="16"/>
    <n v="1.0599126319621406"/>
    <x v="20"/>
  </r>
  <r>
    <m/>
    <m/>
    <x v="1"/>
    <m/>
    <s v=""/>
    <s v=""/>
    <m/>
    <s v="0"/>
    <m/>
    <m/>
    <s v=""/>
    <x v="0"/>
  </r>
  <r>
    <n v="131"/>
    <s v="n"/>
    <x v="77"/>
    <d v="1899-12-30T01:03:50"/>
    <n v="11.75"/>
    <d v="1899-12-30T00:05:26"/>
    <n v="143"/>
    <n v="82"/>
    <n v="216"/>
    <n v="20"/>
    <n v="1.050847888218482"/>
    <x v="15"/>
  </r>
  <r>
    <n v="132"/>
    <s v="n"/>
    <x v="88"/>
    <d v="1899-12-30T00:40:00"/>
    <n v="6.8"/>
    <d v="1899-12-30T00:05:53"/>
    <n v="135"/>
    <n v="39"/>
    <n v="199"/>
    <n v="18"/>
    <n v="1.0482879719051801"/>
    <x v="19"/>
  </r>
  <r>
    <m/>
    <m/>
    <x v="1"/>
    <m/>
    <s v=""/>
    <s v=""/>
    <m/>
    <s v="0"/>
    <m/>
    <m/>
    <s v=""/>
    <x v="0"/>
  </r>
  <r>
    <n v="133"/>
    <s v="j"/>
    <x v="76"/>
    <d v="1899-12-30T01:25:35"/>
    <n v="14.43"/>
    <d v="1899-12-30T00:05:56"/>
    <n v="132"/>
    <n v="87"/>
    <n v="203"/>
    <n v="43"/>
    <n v="1.0781901304289363"/>
    <x v="16"/>
  </r>
  <r>
    <n v="134"/>
    <s v="n"/>
    <x v="88"/>
    <d v="1899-12-30T00:47:31"/>
    <n v="8.1999999999999993"/>
    <d v="1899-12-30T00:05:48"/>
    <n v="119"/>
    <n v="49"/>
    <n v="204"/>
    <n v="15"/>
    <n v="1.0586166727338915"/>
    <x v="20"/>
  </r>
  <r>
    <n v="135"/>
    <s v="n"/>
    <x v="96"/>
    <d v="1899-12-30T01:03:36"/>
    <n v="11.55"/>
    <d v="1899-12-30T00:05:30"/>
    <n v="138"/>
    <n v="85"/>
    <n v="215"/>
    <n v="20"/>
    <n v="1.0602054661756155"/>
    <x v="10"/>
  </r>
  <r>
    <n v="136"/>
    <s v="n"/>
    <x v="103"/>
    <d v="1899-12-30T00:49:48"/>
    <n v="8.4600000000000009"/>
    <d v="1899-12-30T00:05:53"/>
    <n v="123"/>
    <n v="49"/>
    <n v="199"/>
    <n v="15"/>
    <n v="1.0490314385519213"/>
    <x v="19"/>
  </r>
  <r>
    <m/>
    <m/>
    <x v="1"/>
    <m/>
    <s v=""/>
    <s v=""/>
    <m/>
    <s v="0"/>
    <m/>
    <m/>
    <s v=""/>
    <x v="0"/>
  </r>
  <r>
    <n v="137"/>
    <s v="n"/>
    <x v="77"/>
    <d v="1899-12-30T00:44:40"/>
    <n v="8.25"/>
    <d v="1899-12-30T00:05:25"/>
    <n v="137"/>
    <n v="59"/>
    <n v="220"/>
    <n v="15"/>
    <n v="1.0666666666666667"/>
    <x v="15"/>
  </r>
  <r>
    <n v="138"/>
    <s v="j"/>
    <x v="55"/>
    <d v="1899-12-30T01:21:32"/>
    <n v="13.78"/>
    <d v="1899-12-30T00:05:55"/>
    <n v="133"/>
    <n v="83"/>
    <n v="202"/>
    <n v="35"/>
    <n v="1.0703203864566864"/>
    <x v="16"/>
  </r>
  <r>
    <m/>
    <m/>
    <x v="1"/>
    <m/>
    <s v=""/>
    <s v=""/>
    <m/>
    <s v="0"/>
    <m/>
    <m/>
    <s v=""/>
    <x v="0"/>
  </r>
  <r>
    <n v="139"/>
    <s v="j"/>
    <x v="55"/>
    <d v="1899-12-30T01:01:12"/>
    <n v="10.15"/>
    <d v="1899-12-30T00:06:02"/>
    <n v="129"/>
    <n v="60"/>
    <n v="198"/>
    <n v="31"/>
    <n v="1.0691213881332258"/>
    <x v="20"/>
  </r>
  <r>
    <m/>
    <m/>
    <x v="1"/>
    <m/>
    <s v=""/>
    <s v=""/>
    <m/>
    <s v="0"/>
    <m/>
    <m/>
    <s v=""/>
    <x v="0"/>
  </r>
  <r>
    <n v="140"/>
    <s v="j"/>
    <x v="55"/>
    <d v="1899-12-30T00:54:34"/>
    <n v="9.3000000000000007"/>
    <d v="1899-12-30T00:05:52"/>
    <n v="133"/>
    <n v="57"/>
    <n v="205"/>
    <n v="20"/>
    <n v="1.0771465254373298"/>
    <x v="20"/>
  </r>
  <r>
    <m/>
    <m/>
    <x v="1"/>
    <m/>
    <s v=""/>
    <s v=""/>
    <m/>
    <s v="0"/>
    <m/>
    <m/>
    <s v=""/>
    <x v="0"/>
  </r>
  <r>
    <m/>
    <m/>
    <x v="1"/>
    <m/>
    <s v=""/>
    <s v=""/>
    <m/>
    <s v="0"/>
    <m/>
    <m/>
    <s v=""/>
    <x v="0"/>
  </r>
  <r>
    <m/>
    <m/>
    <x v="1"/>
    <m/>
    <s v=""/>
    <s v=""/>
    <m/>
    <s v="0"/>
    <m/>
    <m/>
    <s v=""/>
    <x v="0"/>
  </r>
  <r>
    <n v="141"/>
    <s v="j"/>
    <x v="62"/>
    <d v="1899-12-30T01:43:59"/>
    <n v="17.36"/>
    <d v="1899-12-30T00:05:59"/>
    <n v="135"/>
    <n v="103"/>
    <n v="199"/>
    <n v="44"/>
    <n v="1.0674401609464201"/>
    <x v="16"/>
  </r>
  <r>
    <n v="142"/>
    <s v="n"/>
    <x v="88"/>
    <d v="1899-12-30T00:53:12"/>
    <n v="8.7100000000000009"/>
    <d v="1899-12-30T00:06:06"/>
    <n v="124"/>
    <n v="49"/>
    <n v="193"/>
    <n v="18"/>
    <n v="1.0556677005329267"/>
    <x v="19"/>
  </r>
  <r>
    <m/>
    <m/>
    <x v="1"/>
    <m/>
    <s v=""/>
    <s v=""/>
    <m/>
    <s v="0"/>
    <m/>
    <m/>
    <s v=""/>
    <x v="0"/>
  </r>
  <r>
    <n v="143"/>
    <s v="n"/>
    <x v="96"/>
    <d v="1899-12-30T01:01:42"/>
    <n v="11.106999999999999"/>
    <d v="1899-12-30T00:05:33"/>
    <n v="140"/>
    <n v="82"/>
    <n v="212"/>
    <n v="20"/>
    <n v="1.0546314076506815"/>
    <x v="15"/>
  </r>
  <r>
    <n v="144"/>
    <s v="n"/>
    <x v="88"/>
    <d v="1899-12-30T00:47:30"/>
    <n v="8.4600000000000009"/>
    <d v="1899-12-30T00:05:37"/>
    <n v="127"/>
    <n v="54"/>
    <n v="212"/>
    <n v="22"/>
    <n v="1.0659468614374932"/>
    <x v="20"/>
  </r>
  <r>
    <m/>
    <m/>
    <x v="1"/>
    <m/>
    <s v=""/>
    <s v=""/>
    <m/>
    <s v="0"/>
    <m/>
    <m/>
    <s v=""/>
    <x v="0"/>
  </r>
  <r>
    <m/>
    <m/>
    <x v="1"/>
    <m/>
    <s v=""/>
    <s v=""/>
    <m/>
    <s v="0"/>
    <m/>
    <m/>
    <s v=""/>
    <x v="0"/>
  </r>
  <r>
    <n v="145"/>
    <s v="n"/>
    <x v="68"/>
    <d v="1899-12-30T02:10:14"/>
    <n v="15.81"/>
    <d v="1899-12-30T00:08:14"/>
    <n v="137"/>
    <n v="114"/>
    <n v="169"/>
    <n v="663"/>
    <m/>
    <x v="21"/>
  </r>
  <r>
    <n v="146"/>
    <s v="n"/>
    <x v="88"/>
    <d v="1899-12-30T00:36:23"/>
    <n v="5.84"/>
    <d v="1899-12-30T00:06:14"/>
    <n v="118"/>
    <n v="32"/>
    <n v="188"/>
    <n v="14"/>
    <n v="1.0488754855857698"/>
    <x v="19"/>
  </r>
  <r>
    <m/>
    <m/>
    <x v="1"/>
    <m/>
    <s v=""/>
    <s v=""/>
    <m/>
    <s v="0"/>
    <m/>
    <m/>
    <s v=""/>
    <x v="0"/>
  </r>
  <r>
    <n v="147"/>
    <s v="n"/>
    <x v="88"/>
    <d v="1899-12-30T00:41:38"/>
    <n v="6.84"/>
    <d v="1899-12-30T00:06:05"/>
    <n v="122"/>
    <n v="39"/>
    <n v="194"/>
    <n v="19"/>
    <n v="1.0574583224229728"/>
    <x v="20"/>
  </r>
  <r>
    <m/>
    <m/>
    <x v="1"/>
    <m/>
    <s v=""/>
    <s v=""/>
    <m/>
    <s v="0"/>
    <m/>
    <m/>
    <s v=""/>
    <x v="0"/>
  </r>
  <r>
    <n v="148"/>
    <s v="j"/>
    <x v="102"/>
    <d v="1899-12-30T00:28:22"/>
    <n v="4.22"/>
    <d v="1899-12-30T00:06:43"/>
    <n v="128"/>
    <n v="23"/>
    <n v="178"/>
    <n v="9"/>
    <n v="1.0715003183136449"/>
    <x v="20"/>
  </r>
  <r>
    <m/>
    <m/>
    <x v="1"/>
    <m/>
    <s v=""/>
    <s v=""/>
    <m/>
    <s v="0"/>
    <m/>
    <m/>
    <s v=""/>
    <x v="0"/>
  </r>
  <r>
    <m/>
    <m/>
    <x v="1"/>
    <m/>
    <s v=""/>
    <s v=""/>
    <m/>
    <s v="0"/>
    <m/>
    <m/>
    <s v=""/>
    <x v="0"/>
  </r>
  <r>
    <n v="149"/>
    <s v="j"/>
    <x v="55"/>
    <d v="1899-12-30T01:04:15"/>
    <n v="10.81"/>
    <d v="1899-12-30T00:05:57"/>
    <n v="133"/>
    <n v="66"/>
    <n v="202"/>
    <n v="35"/>
    <n v="1.0751653388929543"/>
    <x v="20"/>
  </r>
  <r>
    <n v="150"/>
    <s v="j"/>
    <x v="55"/>
    <d v="1899-12-30T00:59:33"/>
    <n v="10.119999999999999"/>
    <d v="1899-12-30T00:05:53"/>
    <n v="126"/>
    <n v="61"/>
    <n v="203"/>
    <n v="28"/>
    <n v="1.0697289245472246"/>
    <x v="20"/>
  </r>
  <r>
    <m/>
    <m/>
    <x v="1"/>
    <m/>
    <s v=""/>
    <s v=""/>
    <m/>
    <s v="0"/>
    <m/>
    <m/>
    <s v=""/>
    <x v="0"/>
  </r>
  <r>
    <n v="151"/>
    <s v="j"/>
    <x v="103"/>
    <d v="1899-12-30T00:48:18"/>
    <n v="8.23"/>
    <d v="1899-12-30T00:05:52"/>
    <n v="124"/>
    <n v="48"/>
    <n v="202"/>
    <n v="20"/>
    <n v="1.0616347182677137"/>
    <x v="19"/>
  </r>
  <r>
    <m/>
    <m/>
    <x v="1"/>
    <m/>
    <s v=""/>
    <s v=""/>
    <m/>
    <s v="0"/>
    <m/>
    <m/>
    <s v=""/>
    <x v="0"/>
  </r>
  <r>
    <n v="152"/>
    <s v="n"/>
    <x v="104"/>
    <d v="1899-12-30T00:21:29"/>
    <n v="5"/>
    <d v="1899-12-30T00:04:18"/>
    <n v="167"/>
    <n v="40"/>
    <n v="277"/>
    <n v="13"/>
    <n v="1.0658298507462685"/>
    <x v="15"/>
  </r>
  <r>
    <m/>
    <m/>
    <x v="1"/>
    <m/>
    <s v=""/>
    <s v=""/>
    <m/>
    <s v="0"/>
    <m/>
    <m/>
    <s v=""/>
    <x v="0"/>
  </r>
  <r>
    <n v="153"/>
    <s v="n"/>
    <x v="103"/>
    <d v="1899-12-30T00:42:47"/>
    <n v="7.31"/>
    <d v="1899-12-30T00:05:51"/>
    <n v="120"/>
    <n v="39"/>
    <n v="202"/>
    <n v="18"/>
    <n v="1.0587296077750783"/>
    <x v="19"/>
  </r>
  <r>
    <n v="154"/>
    <s v="n"/>
    <x v="88"/>
    <d v="1899-12-30T00:48:41"/>
    <n v="8.57"/>
    <d v="1899-12-30T00:05:41"/>
    <n v="127"/>
    <n v="49"/>
    <n v="209"/>
    <n v="20"/>
    <n v="1.0632177502220519"/>
    <x v="20"/>
  </r>
  <r>
    <n v="155"/>
    <s v="n"/>
    <x v="79"/>
    <d v="1899-12-30T01:12:36"/>
    <n v="13.22"/>
    <d v="1899-12-30T00:05:30"/>
    <n v="143"/>
    <n v="90"/>
    <n v="215"/>
    <n v="17"/>
    <n v="1.0573531736175401"/>
    <x v="15"/>
  </r>
  <r>
    <n v="156"/>
    <s v="n"/>
    <x v="103"/>
    <d v="1899-12-30T00:46:32"/>
    <n v="7.46"/>
    <d v="1899-12-30T00:06:14"/>
    <n v="135"/>
    <n v="39"/>
    <n v="189"/>
    <n v="19"/>
    <n v="1.0557560721859871"/>
    <x v="19"/>
  </r>
  <r>
    <n v="157"/>
    <s v="n"/>
    <x v="88"/>
    <d v="1899-12-30T00:48:37"/>
    <n v="8.18"/>
    <d v="1899-12-30T00:05:57"/>
    <n v="122"/>
    <n v="45"/>
    <n v="200"/>
    <n v="18"/>
    <n v="1.0644819910228809"/>
    <x v="20"/>
  </r>
  <r>
    <n v="158"/>
    <s v="j"/>
    <x v="80"/>
    <d v="1899-12-30T01:39:12"/>
    <n v="17.329999999999998"/>
    <d v="1899-12-30T00:05:43"/>
    <n v="132"/>
    <n v="98"/>
    <n v="208"/>
    <n v="60"/>
    <n v="1.066234895918561"/>
    <x v="16"/>
  </r>
  <r>
    <m/>
    <m/>
    <x v="1"/>
    <m/>
    <s v=""/>
    <s v=""/>
    <m/>
    <s v="0"/>
    <m/>
    <m/>
    <s v=""/>
    <x v="0"/>
  </r>
  <r>
    <n v="159"/>
    <s v="n"/>
    <x v="88"/>
    <d v="1899-12-30T00:47:08"/>
    <n v="8.07"/>
    <d v="1899-12-30T00:05:50"/>
    <n v="120"/>
    <n v="45"/>
    <n v="205"/>
    <n v="18"/>
    <n v="1.072222530470325"/>
    <x v="20"/>
  </r>
  <r>
    <m/>
    <m/>
    <x v="1"/>
    <m/>
    <s v=""/>
    <s v=""/>
    <m/>
    <s v="0"/>
    <m/>
    <m/>
    <s v=""/>
    <x v="0"/>
  </r>
  <r>
    <n v="160"/>
    <s v="n"/>
    <x v="105"/>
    <d v="1899-12-30T01:08:36"/>
    <n v="13.55"/>
    <d v="1899-12-30T00:05:04"/>
    <n v="148"/>
    <n v="93"/>
    <n v="234"/>
    <n v="40"/>
    <n v="1.0609065374235831"/>
    <x v="10"/>
  </r>
  <r>
    <n v="161"/>
    <s v="n"/>
    <x v="103"/>
    <d v="1899-12-30T00:39:46"/>
    <n v="6.84"/>
    <d v="1899-12-30T00:05:49"/>
    <n v="127"/>
    <n v="36"/>
    <n v="201"/>
    <n v="21"/>
    <n v="1.0464912280701755"/>
    <x v="19"/>
  </r>
  <r>
    <n v="162"/>
    <s v="n"/>
    <x v="88"/>
    <d v="1899-12-30T00:47:22"/>
    <n v="8.35"/>
    <d v="1899-12-30T00:05:40"/>
    <n v="128"/>
    <n v="47"/>
    <n v="210"/>
    <n v="18"/>
    <n v="1.0667977477880064"/>
    <x v="20"/>
  </r>
  <r>
    <m/>
    <m/>
    <x v="1"/>
    <m/>
    <s v=""/>
    <s v=""/>
    <m/>
    <s v="0"/>
    <m/>
    <m/>
    <s v=""/>
    <x v="0"/>
  </r>
  <r>
    <n v="163"/>
    <s v="j"/>
    <x v="63"/>
    <d v="1899-12-30T01:53:33"/>
    <n v="19.54"/>
    <d v="1899-12-30T00:05:49"/>
    <n v="131"/>
    <n v="110"/>
    <n v="205"/>
    <n v="78"/>
    <n v="1.0668242716815106"/>
    <x v="16"/>
  </r>
  <r>
    <n v="164"/>
    <s v="j"/>
    <x v="103"/>
    <d v="1899-12-30T00:38:58"/>
    <n v="6.31"/>
    <d v="1899-12-30T00:06:11"/>
    <n v="117"/>
    <n v="32"/>
    <n v="191"/>
    <n v="11"/>
    <n v="1.0562670009697948"/>
    <x v="19"/>
  </r>
  <r>
    <m/>
    <m/>
    <x v="1"/>
    <m/>
    <s v=""/>
    <s v=""/>
    <m/>
    <s v="0"/>
    <m/>
    <m/>
    <s v=""/>
    <x v="0"/>
  </r>
  <r>
    <n v="165"/>
    <s v="n"/>
    <x v="78"/>
    <d v="1899-12-30T01:02:48"/>
    <n v="12.01"/>
    <d v="1899-12-30T00:05:14"/>
    <n v="143"/>
    <n v="80"/>
    <n v="229"/>
    <n v="35"/>
    <n v="1.0723302720369841"/>
    <x v="10"/>
  </r>
  <r>
    <m/>
    <m/>
    <x v="1"/>
    <m/>
    <s v=""/>
    <s v=""/>
    <m/>
    <s v="0"/>
    <m/>
    <m/>
    <s v=""/>
    <x v="0"/>
  </r>
  <r>
    <m/>
    <m/>
    <x v="1"/>
    <m/>
    <s v=""/>
    <s v=""/>
    <m/>
    <s v="0"/>
    <m/>
    <m/>
    <s v=""/>
    <x v="0"/>
  </r>
  <r>
    <m/>
    <m/>
    <x v="1"/>
    <m/>
    <s v=""/>
    <s v=""/>
    <m/>
    <s v="0"/>
    <m/>
    <m/>
    <s v=""/>
    <x v="0"/>
  </r>
  <r>
    <m/>
    <m/>
    <x v="1"/>
    <m/>
    <m/>
    <s v=""/>
    <m/>
    <s v="0"/>
    <m/>
    <m/>
    <s v=""/>
    <x v="0"/>
  </r>
  <r>
    <m/>
    <m/>
    <x v="1"/>
    <m/>
    <s v=""/>
    <s v=""/>
    <m/>
    <s v="0"/>
    <m/>
    <m/>
    <s v=""/>
    <x v="0"/>
  </r>
  <r>
    <m/>
    <m/>
    <x v="1"/>
    <m/>
    <s v=""/>
    <s v=""/>
    <m/>
    <s v="0"/>
    <m/>
    <m/>
    <s v=""/>
    <x v="0"/>
  </r>
  <r>
    <m/>
    <m/>
    <x v="1"/>
    <m/>
    <m/>
    <s v=""/>
    <m/>
    <s v="0"/>
    <m/>
    <m/>
    <s v=""/>
    <x v="0"/>
  </r>
  <r>
    <m/>
    <m/>
    <x v="1"/>
    <m/>
    <s v=""/>
    <s v=""/>
    <m/>
    <s v="0"/>
    <m/>
    <m/>
    <s v=""/>
    <x v="0"/>
  </r>
  <r>
    <m/>
    <m/>
    <x v="1"/>
    <m/>
    <s v=""/>
    <s v=""/>
    <m/>
    <s v="0"/>
    <m/>
    <m/>
    <s v=""/>
    <x v="0"/>
  </r>
  <r>
    <m/>
    <m/>
    <x v="1"/>
    <m/>
    <s v=""/>
    <s v=""/>
    <m/>
    <s v="0"/>
    <m/>
    <m/>
    <s v=""/>
    <x v="0"/>
  </r>
  <r>
    <m/>
    <m/>
    <x v="1"/>
    <m/>
    <s v=""/>
    <s v=""/>
    <m/>
    <s v="0"/>
    <m/>
    <m/>
    <s v=""/>
    <x v="0"/>
  </r>
  <r>
    <m/>
    <m/>
    <x v="1"/>
    <m/>
    <s v=""/>
    <s v=""/>
    <m/>
    <s v="0"/>
    <m/>
    <m/>
    <s v=""/>
    <x v="0"/>
  </r>
  <r>
    <n v="166"/>
    <s v="n"/>
    <x v="103"/>
    <d v="1899-12-30T00:34:49"/>
    <n v="5.85"/>
    <d v="1899-12-30T00:05:57"/>
    <n v="125"/>
    <n v="31"/>
    <n v="197"/>
    <n v="13"/>
    <n v="1.0499630054853935"/>
    <x v="19"/>
  </r>
  <r>
    <m/>
    <m/>
    <x v="1"/>
    <m/>
    <s v=""/>
    <s v=""/>
    <m/>
    <s v="0"/>
    <m/>
    <m/>
    <s v=""/>
    <x v="0"/>
  </r>
  <r>
    <m/>
    <m/>
    <x v="1"/>
    <m/>
    <s v=""/>
    <s v=""/>
    <m/>
    <s v="0"/>
    <m/>
    <m/>
    <s v=""/>
    <x v="0"/>
  </r>
  <r>
    <m/>
    <m/>
    <x v="1"/>
    <m/>
    <s v=""/>
    <s v=""/>
    <m/>
    <s v="0"/>
    <m/>
    <m/>
    <s v=""/>
    <x v="0"/>
  </r>
  <r>
    <m/>
    <m/>
    <x v="1"/>
    <m/>
    <s v=""/>
    <s v=""/>
    <m/>
    <s v="0"/>
    <m/>
    <m/>
    <s v=""/>
    <x v="0"/>
  </r>
  <r>
    <n v="167"/>
    <s v="j"/>
    <x v="103"/>
    <d v="1899-12-30T00:39:16"/>
    <n v="6.07"/>
    <d v="1899-12-30T00:06:28"/>
    <n v="129"/>
    <n v="31"/>
    <n v="197"/>
    <n v="19"/>
    <n v="1.1412427155818925"/>
    <x v="19"/>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68"/>
    <s v="n"/>
    <x v="102"/>
    <d v="1899-12-30T00:24:57"/>
    <n v="3.99"/>
    <d v="1899-12-30T00:06:15"/>
    <n v="129"/>
    <n v="20"/>
    <n v="190"/>
    <n v="12"/>
    <n v="1.0639658848614073"/>
    <x v="2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69"/>
    <s v="n"/>
    <x v="102"/>
    <d v="1899-12-30T00:31:08"/>
    <n v="5.37"/>
    <d v="1899-12-30T00:05:48"/>
    <n v="139"/>
    <n v="30"/>
    <n v="207"/>
    <n v="16"/>
    <n v="1.0747269240390227"/>
    <x v="13"/>
  </r>
  <r>
    <m/>
    <m/>
    <x v="1"/>
    <m/>
    <s v=""/>
    <s v=""/>
    <m/>
    <s v="0"/>
    <m/>
    <m/>
    <s v=""/>
    <x v="0"/>
  </r>
  <r>
    <n v="170"/>
    <s v="j"/>
    <x v="102"/>
    <d v="1899-12-30T00:31:53"/>
    <n v="4.8600000000000003"/>
    <d v="1899-12-30T00:06:34"/>
    <n v="122"/>
    <n v="24"/>
    <n v="179"/>
    <n v="17"/>
    <n v="1.0516153798906702"/>
    <x v="20"/>
  </r>
  <r>
    <m/>
    <m/>
    <x v="1"/>
    <m/>
    <s v=""/>
    <s v=""/>
    <m/>
    <s v="0"/>
    <m/>
    <m/>
    <s v=""/>
    <x v="0"/>
  </r>
  <r>
    <n v="171"/>
    <s v="n"/>
    <x v="103"/>
    <d v="1899-12-30T00:48:53"/>
    <n v="7.86"/>
    <d v="1899-12-30T00:06:13"/>
    <n v="139"/>
    <n v="41"/>
    <n v="192"/>
    <n v="16"/>
    <n v="1.0693403212942918"/>
    <x v="20"/>
  </r>
  <r>
    <m/>
    <m/>
    <x v="1"/>
    <m/>
    <s v=""/>
    <s v=""/>
    <m/>
    <s v="0"/>
    <m/>
    <m/>
    <s v=""/>
    <x v="0"/>
  </r>
  <r>
    <m/>
    <m/>
    <x v="1"/>
    <m/>
    <s v=""/>
    <s v=""/>
    <m/>
    <s v="0"/>
    <m/>
    <m/>
    <s v=""/>
    <x v="0"/>
  </r>
  <r>
    <n v="1"/>
    <s v="n"/>
    <x v="88"/>
    <d v="1899-12-30T00:45:06"/>
    <n v="8.1"/>
    <d v="1899-12-30T00:05:34"/>
    <n v="139"/>
    <n v="48"/>
    <n v="219"/>
    <n v="32"/>
    <n v="1.0919734660033167"/>
    <x v="20"/>
  </r>
  <r>
    <m/>
    <m/>
    <x v="1"/>
    <m/>
    <s v=""/>
    <s v=""/>
    <m/>
    <s v="0"/>
    <m/>
    <m/>
    <s v=""/>
    <x v="0"/>
  </r>
  <r>
    <m/>
    <m/>
    <x v="1"/>
    <m/>
    <s v=""/>
    <s v=""/>
    <m/>
    <s v="0"/>
    <m/>
    <m/>
    <s v=""/>
    <x v="0"/>
  </r>
  <r>
    <n v="2"/>
    <s v="j"/>
    <x v="88"/>
    <d v="1899-12-30T00:35:58"/>
    <n v="5.95"/>
    <d v="1899-12-30T00:06:03"/>
    <n v="131"/>
    <n v="34"/>
    <n v="195"/>
    <n v="14"/>
    <n v="1.0555876081775994"/>
    <x v="19"/>
  </r>
  <r>
    <m/>
    <m/>
    <x v="1"/>
    <m/>
    <s v=""/>
    <s v=""/>
    <m/>
    <s v="0"/>
    <m/>
    <m/>
    <s v=""/>
    <x v="0"/>
  </r>
  <r>
    <n v="3"/>
    <s v="n"/>
    <x v="103"/>
    <d v="1899-12-30T00:41:35"/>
    <n v="6.95"/>
    <d v="1899-12-30T00:05:59"/>
    <n v="124"/>
    <n v="39"/>
    <n v="196"/>
    <n v="21"/>
    <n v="1.0501879093739936"/>
    <x v="19"/>
  </r>
  <r>
    <m/>
    <m/>
    <x v="1"/>
    <m/>
    <s v=""/>
    <s v=""/>
    <m/>
    <s v="0"/>
    <m/>
    <m/>
    <s v=""/>
    <x v="0"/>
  </r>
  <r>
    <n v="4"/>
    <s v="n"/>
    <x v="103"/>
    <d v="1899-12-30T00:35:22"/>
    <n v="5.93"/>
    <d v="1899-12-30T00:05:58"/>
    <n v="141"/>
    <n v="34"/>
    <n v="198"/>
    <n v="18"/>
    <n v="1.0575016989252726"/>
    <x v="22"/>
  </r>
  <r>
    <m/>
    <m/>
    <x v="1"/>
    <m/>
    <s v=""/>
    <s v=""/>
    <m/>
    <s v="0"/>
    <m/>
    <m/>
    <s v=""/>
    <x v="0"/>
  </r>
  <r>
    <m/>
    <m/>
    <x v="1"/>
    <m/>
    <s v=""/>
    <s v=""/>
    <m/>
    <s v="0"/>
    <m/>
    <m/>
    <s v=""/>
    <x v="0"/>
  </r>
  <r>
    <m/>
    <m/>
    <x v="1"/>
    <m/>
    <m/>
    <s v=""/>
    <m/>
    <s v="0"/>
    <m/>
    <m/>
    <s v=""/>
    <x v="0"/>
  </r>
  <r>
    <n v="5"/>
    <s v="j"/>
    <x v="88"/>
    <d v="1899-12-30T00:38:21"/>
    <n v="5.72"/>
    <d v="1899-12-30T00:06:42"/>
    <n v="130"/>
    <n v="32"/>
    <n v="180"/>
    <n v="18"/>
    <n v="1.0807327001356855"/>
    <x v="23"/>
  </r>
  <r>
    <n v="6"/>
    <s v="n"/>
    <x v="102"/>
    <d v="1899-12-30T00:33:19"/>
    <n v="5.34"/>
    <d v="1899-12-30T00:06:14"/>
    <n v="121"/>
    <n v="30"/>
    <n v="190"/>
    <n v="20"/>
    <n v="1.0615741517133437"/>
    <x v="23"/>
  </r>
  <r>
    <m/>
    <m/>
    <x v="1"/>
    <m/>
    <s v=""/>
    <s v=""/>
    <m/>
    <s v="0"/>
    <m/>
    <m/>
    <s v=""/>
    <x v="0"/>
  </r>
  <r>
    <n v="7"/>
    <s v="n"/>
    <x v="102"/>
    <d v="1899-12-30T00:33:23"/>
    <n v="5.48"/>
    <d v="1899-12-30T00:06:06"/>
    <n v="130"/>
    <n v="32"/>
    <n v="198"/>
    <n v="25"/>
    <n v="1.0801666848240548"/>
    <x v="21"/>
  </r>
  <r>
    <n v="8"/>
    <s v="n"/>
    <x v="7"/>
    <d v="1899-12-30T00:19:14"/>
    <n v="3.19"/>
    <d v="1899-12-30T00:06:02"/>
    <n v="146"/>
    <n v="25"/>
    <n v="193"/>
    <n v="0"/>
    <n v="1.0420717727974547"/>
    <x v="22"/>
  </r>
  <r>
    <m/>
    <m/>
    <x v="1"/>
    <m/>
    <s v=""/>
    <s v=""/>
    <m/>
    <s v="0"/>
    <m/>
    <m/>
    <s v=""/>
    <x v="0"/>
  </r>
  <r>
    <n v="9"/>
    <m/>
    <x v="103"/>
    <m/>
    <n v="6.7807113565308406"/>
    <d v="1899-12-30T00:00:00"/>
    <m/>
    <n v="32"/>
    <m/>
    <m/>
    <s v=""/>
    <x v="23"/>
  </r>
  <r>
    <m/>
    <m/>
    <x v="1"/>
    <m/>
    <s v=""/>
    <s v=""/>
    <m/>
    <s v="0"/>
    <m/>
    <m/>
    <s v=""/>
    <x v="0"/>
  </r>
  <r>
    <m/>
    <m/>
    <x v="102"/>
    <m/>
    <n v="5.0855335173981304"/>
    <d v="1899-12-30T00:00:00"/>
    <m/>
    <n v="36.125"/>
    <m/>
    <m/>
    <s v=""/>
    <x v="20"/>
  </r>
  <r>
    <m/>
    <m/>
    <x v="7"/>
    <m/>
    <n v="10.232623456990277"/>
    <d v="1899-12-30T00:00:00"/>
    <m/>
    <n v="72.052680000000009"/>
    <m/>
    <m/>
    <s v=""/>
    <x v="22"/>
  </r>
  <r>
    <m/>
    <m/>
    <x v="1"/>
    <m/>
    <s v=""/>
    <s v=""/>
    <m/>
    <s v="0"/>
    <m/>
    <m/>
    <s v=""/>
    <x v="0"/>
  </r>
  <r>
    <m/>
    <m/>
    <x v="102"/>
    <m/>
    <n v="5.0855335173981304"/>
    <d v="1899-12-30T00:00:00"/>
    <m/>
    <n v="36.125"/>
    <m/>
    <m/>
    <s v=""/>
    <x v="19"/>
  </r>
  <r>
    <m/>
    <m/>
    <x v="1"/>
    <m/>
    <s v=""/>
    <s v=""/>
    <m/>
    <s v="0"/>
    <m/>
    <m/>
    <s v=""/>
    <x v="0"/>
  </r>
  <r>
    <m/>
    <m/>
    <x v="7"/>
    <m/>
    <n v="10.232623456990277"/>
    <d v="1899-12-30T00:00:00"/>
    <m/>
    <n v="72.052680000000009"/>
    <m/>
    <m/>
    <s v=""/>
    <x v="22"/>
  </r>
  <r>
    <m/>
    <m/>
    <x v="1"/>
    <m/>
    <s v=""/>
    <s v=""/>
    <m/>
    <s v="0"/>
    <m/>
    <m/>
    <s v=""/>
    <x v="0"/>
  </r>
  <r>
    <m/>
    <m/>
    <x v="91"/>
    <m/>
    <n v="9.3343054014628528"/>
    <d v="1899-12-30T00:00:00"/>
    <m/>
    <n v="72.139959115646775"/>
    <m/>
    <m/>
    <s v=""/>
    <x v="0"/>
  </r>
  <r>
    <m/>
    <m/>
    <x v="102"/>
    <m/>
    <n v="5.0855335173981304"/>
    <d v="1899-12-30T00:00:00"/>
    <m/>
    <n v="36.125"/>
    <m/>
    <m/>
    <s v=""/>
    <x v="0"/>
  </r>
  <r>
    <m/>
    <m/>
    <x v="1"/>
    <m/>
    <n v="9"/>
    <d v="1899-12-30T00:00:00"/>
    <m/>
    <s v="0"/>
    <m/>
    <m/>
    <s v=""/>
    <x v="0"/>
  </r>
  <r>
    <m/>
    <m/>
    <x v="1"/>
    <m/>
    <s v=""/>
    <s v=""/>
    <m/>
    <s v="0"/>
    <m/>
    <m/>
    <s v=""/>
    <x v="0"/>
  </r>
  <r>
    <m/>
    <m/>
    <x v="102"/>
    <m/>
    <n v="5.0855335173981304"/>
    <d v="1899-12-30T00:00:00"/>
    <m/>
    <n v="36.125"/>
    <m/>
    <m/>
    <s v=""/>
    <x v="0"/>
  </r>
  <r>
    <m/>
    <m/>
    <x v="1"/>
    <m/>
    <n v="13.6"/>
    <d v="1899-12-30T00:00:00"/>
    <m/>
    <s v="0"/>
    <m/>
    <m/>
    <s v=""/>
    <x v="0"/>
  </r>
  <r>
    <m/>
    <m/>
    <x v="1"/>
    <m/>
    <s v=""/>
    <s v=""/>
    <m/>
    <s v="0"/>
    <m/>
    <m/>
    <s v=""/>
    <x v="0"/>
  </r>
  <r>
    <m/>
    <m/>
    <x v="102"/>
    <m/>
    <n v="5.0855335173981304"/>
    <d v="1899-12-30T00:00:00"/>
    <m/>
    <n v="36.125"/>
    <m/>
    <m/>
    <s v=""/>
    <x v="0"/>
  </r>
  <r>
    <m/>
    <m/>
    <x v="102"/>
    <m/>
    <n v="5.0855335173981304"/>
    <d v="1899-12-30T00:00:00"/>
    <m/>
    <n v="36.125"/>
    <m/>
    <m/>
    <s v=""/>
    <x v="0"/>
  </r>
  <r>
    <m/>
    <m/>
    <x v="1"/>
    <m/>
    <n v="8"/>
    <d v="1899-12-30T00:00:00"/>
    <m/>
    <s v="0"/>
    <m/>
    <m/>
    <s v=""/>
    <x v="0"/>
  </r>
  <r>
    <m/>
    <m/>
    <x v="1"/>
    <m/>
    <s v=""/>
    <s v=""/>
    <m/>
    <s v="0"/>
    <m/>
    <m/>
    <s v=""/>
    <x v="0"/>
  </r>
  <r>
    <m/>
    <m/>
    <x v="102"/>
    <m/>
    <n v="5.0855335173981304"/>
    <d v="1899-12-30T00:00:00"/>
    <m/>
    <n v="36.125"/>
    <m/>
    <m/>
    <s v=""/>
    <x v="0"/>
  </r>
  <r>
    <m/>
    <m/>
    <x v="1"/>
    <m/>
    <n v="14.5"/>
    <d v="1899-12-30T00:00:00"/>
    <m/>
    <s v="0"/>
    <m/>
    <m/>
    <s v=""/>
    <x v="0"/>
  </r>
  <r>
    <m/>
    <m/>
    <x v="1"/>
    <m/>
    <s v=""/>
    <s v=""/>
    <m/>
    <s v="0"/>
    <m/>
    <m/>
    <s v=""/>
    <x v="0"/>
  </r>
  <r>
    <m/>
    <m/>
    <x v="1"/>
    <m/>
    <n v="8.4"/>
    <d v="1899-12-30T00:00:00"/>
    <m/>
    <s v="0"/>
    <m/>
    <m/>
    <s v=""/>
    <x v="0"/>
  </r>
  <r>
    <m/>
    <m/>
    <x v="102"/>
    <m/>
    <n v="5.0855335173981304"/>
    <d v="1899-12-30T00:00:00"/>
    <m/>
    <n v="36.125"/>
    <m/>
    <m/>
    <s v=""/>
    <x v="0"/>
  </r>
  <r>
    <m/>
    <m/>
    <x v="1"/>
    <m/>
    <n v="8.6"/>
    <d v="1899-12-30T00:00:00"/>
    <m/>
    <s v="0"/>
    <m/>
    <m/>
    <s v=""/>
    <x v="0"/>
  </r>
  <r>
    <m/>
    <m/>
    <x v="1"/>
    <m/>
    <s v=""/>
    <s v=""/>
    <m/>
    <s v="0"/>
    <m/>
    <m/>
    <s v=""/>
    <x v="0"/>
  </r>
  <r>
    <m/>
    <m/>
    <x v="102"/>
    <m/>
    <n v="5.0855335173981304"/>
    <d v="1899-12-30T00:00:00"/>
    <m/>
    <n v="36.125"/>
    <m/>
    <m/>
    <s v=""/>
    <x v="0"/>
  </r>
  <r>
    <m/>
    <m/>
    <x v="1"/>
    <m/>
    <n v="15.3"/>
    <d v="1899-12-30T00:00:00"/>
    <m/>
    <s v="0"/>
    <m/>
    <m/>
    <s v=""/>
    <x v="0"/>
  </r>
  <r>
    <m/>
    <m/>
    <x v="1"/>
    <m/>
    <s v=""/>
    <s v=""/>
    <m/>
    <s v="0"/>
    <m/>
    <m/>
    <s v=""/>
    <x v="0"/>
  </r>
  <r>
    <m/>
    <m/>
    <x v="102"/>
    <m/>
    <n v="5.0855335173981304"/>
    <d v="1899-12-30T00:00:00"/>
    <m/>
    <n v="36.125"/>
    <m/>
    <m/>
    <s v=""/>
    <x v="0"/>
  </r>
  <r>
    <m/>
    <m/>
    <x v="102"/>
    <m/>
    <n v="5.0855335173981304"/>
    <d v="1899-12-30T00:00:00"/>
    <m/>
    <n v="36.125"/>
    <m/>
    <m/>
    <s v=""/>
    <x v="0"/>
  </r>
  <r>
    <m/>
    <m/>
    <x v="1"/>
    <m/>
    <n v="6.9"/>
    <d v="1899-12-30T00:00:00"/>
    <m/>
    <s v="0"/>
    <m/>
    <m/>
    <s v=""/>
    <x v="0"/>
  </r>
  <r>
    <m/>
    <m/>
    <x v="1"/>
    <m/>
    <s v=""/>
    <s v=""/>
    <m/>
    <s v="0"/>
    <m/>
    <m/>
    <s v=""/>
    <x v="0"/>
  </r>
  <r>
    <m/>
    <m/>
    <x v="102"/>
    <m/>
    <n v="5.0855335173981304"/>
    <d v="1899-12-30T00:00:00"/>
    <m/>
    <n v="36.125"/>
    <m/>
    <m/>
    <s v=""/>
    <x v="0"/>
  </r>
  <r>
    <m/>
    <m/>
    <x v="1"/>
    <m/>
    <n v="8"/>
    <d v="1899-12-30T00:00:00"/>
    <m/>
    <s v="0"/>
    <m/>
    <m/>
    <s v=""/>
    <x v="0"/>
  </r>
  <r>
    <m/>
    <m/>
    <x v="1"/>
    <m/>
    <s v=""/>
    <s v=""/>
    <m/>
    <s v="0"/>
    <m/>
    <m/>
    <s v=""/>
    <x v="0"/>
  </r>
  <r>
    <m/>
    <m/>
    <x v="1"/>
    <m/>
    <n v="9"/>
    <d v="1899-12-30T00:00:00"/>
    <m/>
    <s v="0"/>
    <m/>
    <m/>
    <s v=""/>
    <x v="0"/>
  </r>
  <r>
    <m/>
    <m/>
    <x v="102"/>
    <m/>
    <n v="5.0855335173981304"/>
    <d v="1899-12-30T00:00:00"/>
    <m/>
    <n v="36.125"/>
    <m/>
    <m/>
    <s v=""/>
    <x v="0"/>
  </r>
  <r>
    <m/>
    <m/>
    <x v="1"/>
    <m/>
    <n v="9.5"/>
    <d v="1899-12-30T00:00:00"/>
    <m/>
    <s v="0"/>
    <m/>
    <m/>
    <s v=""/>
    <x v="0"/>
  </r>
  <r>
    <m/>
    <m/>
    <x v="1"/>
    <m/>
    <s v=""/>
    <s v=""/>
    <m/>
    <s v="0"/>
    <m/>
    <m/>
    <s v=""/>
    <x v="0"/>
  </r>
  <r>
    <m/>
    <m/>
    <x v="102"/>
    <m/>
    <n v="5.0855335173981304"/>
    <d v="1899-12-30T00:00:00"/>
    <m/>
    <n v="36.125"/>
    <m/>
    <m/>
    <s v=""/>
    <x v="0"/>
  </r>
  <r>
    <m/>
    <m/>
    <x v="1"/>
    <m/>
    <n v="16.2"/>
    <d v="1899-12-30T00:00:00"/>
    <m/>
    <s v="0"/>
    <m/>
    <m/>
    <s v=""/>
    <x v="0"/>
  </r>
  <r>
    <m/>
    <m/>
    <x v="1"/>
    <m/>
    <s v=""/>
    <s v=""/>
    <m/>
    <s v="0"/>
    <m/>
    <m/>
    <s v=""/>
    <x v="0"/>
  </r>
  <r>
    <m/>
    <m/>
    <x v="102"/>
    <m/>
    <n v="5.0855335173981304"/>
    <d v="1899-12-30T00:00:00"/>
    <m/>
    <n v="36.125"/>
    <m/>
    <m/>
    <s v=""/>
    <x v="0"/>
  </r>
  <r>
    <m/>
    <m/>
    <x v="102"/>
    <m/>
    <n v="5.0855335173981304"/>
    <d v="1899-12-30T00:00:00"/>
    <m/>
    <n v="36.125"/>
    <m/>
    <m/>
    <s v=""/>
    <x v="0"/>
  </r>
  <r>
    <m/>
    <m/>
    <x v="1"/>
    <m/>
    <n v="8.5"/>
    <d v="1899-12-30T00:00:00"/>
    <m/>
    <s v="0"/>
    <m/>
    <m/>
    <s v=""/>
    <x v="0"/>
  </r>
  <r>
    <m/>
    <m/>
    <x v="1"/>
    <m/>
    <s v=""/>
    <s v=""/>
    <m/>
    <s v="0"/>
    <m/>
    <m/>
    <s v=""/>
    <x v="0"/>
  </r>
  <r>
    <m/>
    <m/>
    <x v="102"/>
    <m/>
    <n v="5.0855335173981304"/>
    <d v="1899-12-30T00:00:00"/>
    <m/>
    <n v="36.125"/>
    <m/>
    <m/>
    <s v=""/>
    <x v="0"/>
  </r>
  <r>
    <m/>
    <m/>
    <x v="1"/>
    <m/>
    <n v="17"/>
    <d v="1899-12-30T00:00:00"/>
    <m/>
    <s v="0"/>
    <m/>
    <m/>
    <s v=""/>
    <x v="0"/>
  </r>
  <r>
    <m/>
    <m/>
    <x v="1"/>
    <m/>
    <s v=""/>
    <s v=""/>
    <m/>
    <s v="0"/>
    <m/>
    <m/>
    <s v=""/>
    <x v="0"/>
  </r>
  <r>
    <m/>
    <m/>
    <x v="1"/>
    <m/>
    <n v="9"/>
    <d v="1899-12-30T00:00:00"/>
    <m/>
    <s v="0"/>
    <m/>
    <m/>
    <s v=""/>
    <x v="0"/>
  </r>
  <r>
    <m/>
    <m/>
    <x v="102"/>
    <m/>
    <n v="5.0855335173981304"/>
    <d v="1899-12-30T00:00:00"/>
    <m/>
    <n v="36.125"/>
    <m/>
    <m/>
    <s v=""/>
    <x v="0"/>
  </r>
  <r>
    <m/>
    <m/>
    <x v="1"/>
    <m/>
    <n v="8.6999999999999993"/>
    <d v="1899-12-30T00:00:00"/>
    <m/>
    <s v="0"/>
    <m/>
    <m/>
    <s v=""/>
    <x v="0"/>
  </r>
  <r>
    <m/>
    <m/>
    <x v="1"/>
    <m/>
    <s v=""/>
    <s v=""/>
    <m/>
    <s v="0"/>
    <m/>
    <m/>
    <s v=""/>
    <x v="0"/>
  </r>
  <r>
    <m/>
    <m/>
    <x v="102"/>
    <m/>
    <n v="5.0855335173981304"/>
    <d v="1899-12-30T00:00:00"/>
    <m/>
    <n v="36.125"/>
    <m/>
    <m/>
    <s v=""/>
    <x v="0"/>
  </r>
  <r>
    <m/>
    <m/>
    <x v="1"/>
    <m/>
    <n v="17.899999999999999"/>
    <d v="1899-12-30T00:00:00"/>
    <m/>
    <s v="0"/>
    <m/>
    <m/>
    <s v=""/>
    <x v="0"/>
  </r>
  <r>
    <m/>
    <m/>
    <x v="1"/>
    <m/>
    <s v=""/>
    <s v=""/>
    <m/>
    <s v="0"/>
    <m/>
    <m/>
    <s v=""/>
    <x v="0"/>
  </r>
  <r>
    <m/>
    <m/>
    <x v="102"/>
    <m/>
    <n v="5.0855335173981304"/>
    <d v="1899-12-30T00:00:00"/>
    <m/>
    <n v="36.125"/>
    <m/>
    <m/>
    <s v=""/>
    <x v="0"/>
  </r>
  <r>
    <m/>
    <m/>
    <x v="102"/>
    <m/>
    <n v="5.0855335173981304"/>
    <d v="1899-12-30T00:00:00"/>
    <m/>
    <n v="36.125"/>
    <m/>
    <m/>
    <s v=""/>
    <x v="0"/>
  </r>
  <r>
    <m/>
    <m/>
    <x v="1"/>
    <m/>
    <n v="6.7"/>
    <d v="1899-12-30T00:00:00"/>
    <m/>
    <s v="0"/>
    <m/>
    <m/>
    <s v=""/>
    <x v="0"/>
  </r>
  <r>
    <m/>
    <m/>
    <x v="1"/>
    <m/>
    <s v=""/>
    <s v=""/>
    <m/>
    <s v="0"/>
    <m/>
    <m/>
    <s v=""/>
    <x v="0"/>
  </r>
  <r>
    <m/>
    <m/>
    <x v="102"/>
    <m/>
    <n v="5.0855335173981304"/>
    <d v="1899-12-30T00:00:00"/>
    <m/>
    <n v="36.125"/>
    <m/>
    <m/>
    <s v=""/>
    <x v="0"/>
  </r>
  <r>
    <m/>
    <m/>
    <x v="1"/>
    <m/>
    <n v="10.3"/>
    <d v="1899-12-30T00:00:00"/>
    <m/>
    <s v="0"/>
    <m/>
    <m/>
    <s v=""/>
    <x v="0"/>
  </r>
  <r>
    <m/>
    <m/>
    <x v="1"/>
    <m/>
    <s v=""/>
    <s v=""/>
    <m/>
    <s v="0"/>
    <m/>
    <m/>
    <s v=""/>
    <x v="0"/>
  </r>
  <r>
    <m/>
    <m/>
    <x v="1"/>
    <m/>
    <n v="8.1"/>
    <d v="1899-12-30T00:00:00"/>
    <m/>
    <s v="0"/>
    <m/>
    <m/>
    <s v=""/>
    <x v="0"/>
  </r>
  <r>
    <m/>
    <m/>
    <x v="102"/>
    <m/>
    <n v="5.0855335173981304"/>
    <d v="1899-12-30T00:00:00"/>
    <m/>
    <n v="36.125"/>
    <m/>
    <m/>
    <s v=""/>
    <x v="0"/>
  </r>
  <r>
    <m/>
    <m/>
    <x v="1"/>
    <m/>
    <n v="9.5"/>
    <d v="1899-12-30T00:00:00"/>
    <m/>
    <s v="0"/>
    <m/>
    <m/>
    <s v=""/>
    <x v="0"/>
  </r>
  <r>
    <m/>
    <m/>
    <x v="1"/>
    <m/>
    <s v=""/>
    <s v=""/>
    <m/>
    <s v="0"/>
    <m/>
    <m/>
    <s v=""/>
    <x v="0"/>
  </r>
  <r>
    <m/>
    <m/>
    <x v="102"/>
    <m/>
    <n v="5.0855335173981304"/>
    <d v="1899-12-30T00:00:00"/>
    <m/>
    <n v="36.125"/>
    <m/>
    <m/>
    <s v=""/>
    <x v="0"/>
  </r>
  <r>
    <m/>
    <m/>
    <x v="1"/>
    <m/>
    <n v="18.899999999999999"/>
    <d v="1899-12-30T00:00:00"/>
    <m/>
    <s v="0"/>
    <m/>
    <m/>
    <s v=""/>
    <x v="0"/>
  </r>
  <r>
    <m/>
    <m/>
    <x v="1"/>
    <m/>
    <s v=""/>
    <s v=""/>
    <m/>
    <s v="0"/>
    <m/>
    <m/>
    <s v=""/>
    <x v="0"/>
  </r>
  <r>
    <m/>
    <m/>
    <x v="102"/>
    <m/>
    <n v="5.0855335173981304"/>
    <d v="1899-12-30T00:00:00"/>
    <m/>
    <n v="36.125"/>
    <m/>
    <m/>
    <s v=""/>
    <x v="0"/>
  </r>
  <r>
    <m/>
    <m/>
    <x v="102"/>
    <m/>
    <n v="5.0855335173981304"/>
    <d v="1899-12-30T00:00:00"/>
    <m/>
    <n v="36.125"/>
    <m/>
    <m/>
    <s v=""/>
    <x v="0"/>
  </r>
  <r>
    <m/>
    <m/>
    <x v="1"/>
    <m/>
    <n v="8.3000000000000007"/>
    <d v="1899-12-30T00:00:00"/>
    <m/>
    <s v="0"/>
    <m/>
    <m/>
    <s v=""/>
    <x v="0"/>
  </r>
  <r>
    <m/>
    <m/>
    <x v="1"/>
    <m/>
    <s v=""/>
    <s v=""/>
    <m/>
    <s v="0"/>
    <m/>
    <m/>
    <s v=""/>
    <x v="0"/>
  </r>
  <r>
    <m/>
    <m/>
    <x v="102"/>
    <m/>
    <n v="5.0855335173981304"/>
    <d v="1899-12-30T00:00:00"/>
    <m/>
    <n v="36.125"/>
    <m/>
    <m/>
    <s v=""/>
    <x v="0"/>
  </r>
  <r>
    <m/>
    <m/>
    <x v="1"/>
    <m/>
    <n v="19.600000000000001"/>
    <d v="1899-12-30T00:00:00"/>
    <m/>
    <s v="0"/>
    <m/>
    <m/>
    <s v=""/>
    <x v="0"/>
  </r>
  <r>
    <m/>
    <m/>
    <x v="4"/>
    <m/>
    <n v="5"/>
    <d v="1899-12-30T00:00:00"/>
    <m/>
    <n v="40"/>
    <m/>
    <m/>
    <s v=""/>
    <x v="0"/>
  </r>
  <r>
    <m/>
    <m/>
    <x v="102"/>
    <m/>
    <n v="4.8"/>
    <d v="1899-12-30T00:00:00"/>
    <m/>
    <n v="36.125"/>
    <m/>
    <m/>
    <s v=""/>
    <x v="0"/>
  </r>
  <r>
    <m/>
    <m/>
    <x v="102"/>
    <m/>
    <n v="4.9000000000000004"/>
    <d v="1899-12-30T00:00:00"/>
    <m/>
    <n v="36.125"/>
    <m/>
    <m/>
    <s v=""/>
    <x v="0"/>
  </r>
  <r>
    <m/>
    <m/>
    <x v="1"/>
    <m/>
    <n v="7.7"/>
    <d v="1899-12-30T00:00:00"/>
    <m/>
    <s v="0"/>
    <m/>
    <m/>
    <s v=""/>
    <x v="0"/>
  </r>
  <r>
    <m/>
    <m/>
    <x v="1"/>
    <m/>
    <m/>
    <s v=""/>
    <m/>
    <s v="0"/>
    <m/>
    <m/>
    <s v=""/>
    <x v="0"/>
  </r>
  <r>
    <m/>
    <m/>
    <x v="102"/>
    <m/>
    <n v="4.9000000000000004"/>
    <d v="1899-12-30T00:00:00"/>
    <m/>
    <n v="36.125"/>
    <m/>
    <m/>
    <s v=""/>
    <x v="0"/>
  </r>
  <r>
    <m/>
    <m/>
    <x v="1"/>
    <m/>
    <n v="13.6"/>
    <d v="1899-12-30T00:00:00"/>
    <m/>
    <s v="0"/>
    <m/>
    <m/>
    <s v=""/>
    <x v="0"/>
  </r>
  <r>
    <m/>
    <m/>
    <x v="1"/>
    <m/>
    <m/>
    <s v=""/>
    <m/>
    <s v="0"/>
    <m/>
    <m/>
    <s v=""/>
    <x v="0"/>
  </r>
  <r>
    <m/>
    <m/>
    <x v="102"/>
    <m/>
    <n v="5"/>
    <d v="1899-12-30T00:00:00"/>
    <m/>
    <n v="36.125"/>
    <m/>
    <m/>
    <s v=""/>
    <x v="0"/>
  </r>
  <r>
    <m/>
    <m/>
    <x v="1"/>
    <m/>
    <n v="3.3"/>
    <d v="1899-12-30T00:00:00"/>
    <m/>
    <s v="0"/>
    <m/>
    <m/>
    <s v=""/>
    <x v="0"/>
  </r>
  <r>
    <m/>
    <m/>
    <x v="102"/>
    <m/>
    <n v="5"/>
    <d v="1899-12-30T00:00:00"/>
    <m/>
    <n v="36.125"/>
    <m/>
    <m/>
    <s v=""/>
    <x v="0"/>
  </r>
  <r>
    <m/>
    <m/>
    <x v="1"/>
    <m/>
    <m/>
    <s v=""/>
    <m/>
    <s v="0"/>
    <m/>
    <m/>
    <s v=""/>
    <x v="0"/>
  </r>
  <r>
    <m/>
    <m/>
    <x v="1"/>
    <m/>
    <n v="3.3"/>
    <d v="1899-12-30T00:00:00"/>
    <m/>
    <s v="0"/>
    <m/>
    <m/>
    <s v=""/>
    <x v="0"/>
  </r>
  <r>
    <m/>
    <m/>
    <x v="1"/>
    <m/>
    <m/>
    <s v=""/>
    <m/>
    <s v="0"/>
    <m/>
    <m/>
    <s v=""/>
    <x v="0"/>
  </r>
  <r>
    <m/>
    <m/>
    <x v="4"/>
    <m/>
    <n v="10"/>
    <d v="1899-12-30T00:00:00"/>
    <m/>
    <n v="8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m/>
    <s v=""/>
    <m/>
    <s v="0"/>
    <m/>
    <m/>
    <s v=""/>
    <x v="0"/>
  </r>
  <r>
    <m/>
    <m/>
    <x v="102"/>
    <m/>
    <n v="5.0855335173981304"/>
    <d v="1899-12-30T00:00:00"/>
    <m/>
    <n v="36.125"/>
    <m/>
    <m/>
    <s v=""/>
    <x v="0"/>
  </r>
  <r>
    <m/>
    <m/>
    <x v="1"/>
    <m/>
    <s v=""/>
    <s v=""/>
    <m/>
    <s v="0"/>
    <m/>
    <m/>
    <s v=""/>
    <x v="0"/>
  </r>
  <r>
    <m/>
    <m/>
    <x v="103"/>
    <m/>
    <n v="6.7807113565308406"/>
    <d v="1899-12-30T00:00:00"/>
    <m/>
    <n v="48.166666666666671"/>
    <m/>
    <m/>
    <s v=""/>
    <x v="0"/>
  </r>
  <r>
    <m/>
    <m/>
    <x v="1"/>
    <m/>
    <s v=""/>
    <s v=""/>
    <m/>
    <s v="0"/>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
    <m/>
    <s v=""/>
    <s v=""/>
    <m/>
    <s v="0"/>
    <m/>
    <m/>
    <s v=""/>
    <x v="0"/>
  </r>
  <r>
    <m/>
    <m/>
    <x v="103"/>
    <m/>
    <n v="6.7807113565308406"/>
    <d v="1899-12-30T00:00:00"/>
    <m/>
    <n v="48.166666666666671"/>
    <m/>
    <m/>
    <s v=""/>
    <x v="0"/>
  </r>
  <r>
    <m/>
    <m/>
    <x v="1"/>
    <m/>
    <s v=""/>
    <s v=""/>
    <m/>
    <s v="0"/>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
    <m/>
    <s v=""/>
    <s v=""/>
    <m/>
    <s v="0"/>
    <m/>
    <m/>
    <s v=""/>
    <x v="0"/>
  </r>
  <r>
    <m/>
    <m/>
    <x v="103"/>
    <m/>
    <n v="6.7807113565308406"/>
    <d v="1899-12-30T00:00:00"/>
    <m/>
    <n v="48.166666666666671"/>
    <m/>
    <m/>
    <s v=""/>
    <x v="0"/>
  </r>
  <r>
    <m/>
    <m/>
    <x v="1"/>
    <m/>
    <s v=""/>
    <s v=""/>
    <m/>
    <s v="0"/>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
    <m/>
    <s v=""/>
    <s v=""/>
    <m/>
    <s v="0"/>
    <m/>
    <m/>
    <s v=""/>
    <x v="0"/>
  </r>
  <r>
    <m/>
    <m/>
    <x v="103"/>
    <m/>
    <n v="6.7807113565308406"/>
    <d v="1899-12-30T00:00:00"/>
    <m/>
    <n v="48.166666666666671"/>
    <m/>
    <m/>
    <s v=""/>
    <x v="0"/>
  </r>
  <r>
    <m/>
    <m/>
    <x v="1"/>
    <m/>
    <s v=""/>
    <s v=""/>
    <m/>
    <s v="0"/>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88"/>
    <m/>
    <n v="7.6283002760971961"/>
    <d v="1899-12-30T00:00:00"/>
    <m/>
    <n v="54.1875"/>
    <m/>
    <m/>
    <s v=""/>
    <x v="0"/>
  </r>
  <r>
    <m/>
    <m/>
    <x v="88"/>
    <m/>
    <n v="7.6283002760971961"/>
    <d v="1899-12-30T00:00:00"/>
    <m/>
    <n v="54.1875"/>
    <m/>
    <m/>
    <s v=""/>
    <x v="0"/>
  </r>
  <r>
    <m/>
    <m/>
    <x v="94"/>
    <m/>
    <n v="7.5625738372723088"/>
    <d v="1899-12-30T00:00:00"/>
    <m/>
    <n v="58.644125782313438"/>
    <m/>
    <m/>
    <s v=""/>
    <x v="0"/>
  </r>
  <r>
    <m/>
    <m/>
    <x v="88"/>
    <m/>
    <n v="7.6283002760971961"/>
    <d v="1899-12-30T00:00:00"/>
    <m/>
    <n v="54.1875"/>
    <m/>
    <m/>
    <s v=""/>
    <x v="0"/>
  </r>
  <r>
    <m/>
    <m/>
    <x v="88"/>
    <m/>
    <n v="7.6283002760971961"/>
    <d v="1899-12-30T00:00:00"/>
    <m/>
    <n v="54.1875"/>
    <m/>
    <m/>
    <s v=""/>
    <x v="0"/>
  </r>
  <r>
    <m/>
    <m/>
    <x v="62"/>
    <m/>
    <n v="15.256600552194392"/>
    <d v="1899-12-30T00:00:00"/>
    <m/>
    <n v="108.375"/>
    <m/>
    <m/>
    <s v=""/>
    <x v="0"/>
  </r>
  <r>
    <m/>
    <m/>
    <x v="1"/>
    <m/>
    <s v=""/>
    <s v=""/>
    <m/>
    <s v="0"/>
    <m/>
    <m/>
    <s v=""/>
    <x v="0"/>
  </r>
  <r>
    <m/>
    <m/>
    <x v="88"/>
    <m/>
    <n v="7.6283002760971961"/>
    <d v="1899-12-30T00:00:00"/>
    <m/>
    <n v="54.1875"/>
    <m/>
    <m/>
    <s v=""/>
    <x v="0"/>
  </r>
  <r>
    <m/>
    <m/>
    <x v="88"/>
    <m/>
    <n v="7.6283002760971961"/>
    <d v="1899-12-30T00:00:00"/>
    <m/>
    <n v="54.1875"/>
    <m/>
    <m/>
    <s v=""/>
    <x v="0"/>
  </r>
  <r>
    <m/>
    <m/>
    <x v="94"/>
    <m/>
    <n v="7.5625738372723088"/>
    <d v="1899-12-30T00:00:00"/>
    <m/>
    <n v="58.644125782313438"/>
    <m/>
    <m/>
    <s v=""/>
    <x v="0"/>
  </r>
  <r>
    <m/>
    <m/>
    <x v="88"/>
    <m/>
    <n v="7.6283002760971961"/>
    <d v="1899-12-30T00:00:00"/>
    <m/>
    <n v="54.1875"/>
    <m/>
    <m/>
    <s v=""/>
    <x v="0"/>
  </r>
  <r>
    <m/>
    <m/>
    <x v="88"/>
    <m/>
    <n v="7.6283002760971961"/>
    <d v="1899-12-30T00:00:00"/>
    <m/>
    <n v="54.1875"/>
    <m/>
    <m/>
    <s v=""/>
    <x v="0"/>
  </r>
  <r>
    <m/>
    <m/>
    <x v="80"/>
    <m/>
    <n v="16.9517783913271"/>
    <d v="1899-12-30T00:00:00"/>
    <m/>
    <n v="120.41666666666664"/>
    <m/>
    <m/>
    <s v=""/>
    <x v="0"/>
  </r>
  <r>
    <m/>
    <m/>
    <x v="1"/>
    <m/>
    <s v=""/>
    <s v=""/>
    <m/>
    <s v="0"/>
    <m/>
    <m/>
    <s v=""/>
    <x v="0"/>
  </r>
  <r>
    <m/>
    <m/>
    <x v="88"/>
    <m/>
    <n v="7.6283002760971961"/>
    <d v="1899-12-30T00:00:00"/>
    <m/>
    <n v="54.1875"/>
    <m/>
    <m/>
    <s v=""/>
    <x v="0"/>
  </r>
  <r>
    <m/>
    <m/>
    <x v="95"/>
    <m/>
    <n v="8.7500984496964129"/>
    <d v="1899-12-30T00:00:00"/>
    <m/>
    <n v="68.069125782313449"/>
    <m/>
    <m/>
    <s v=""/>
    <x v="0"/>
  </r>
  <r>
    <m/>
    <m/>
    <x v="88"/>
    <m/>
    <n v="7.6283002760971961"/>
    <d v="1899-12-30T00:00:00"/>
    <m/>
    <n v="54.1875"/>
    <m/>
    <m/>
    <s v=""/>
    <x v="0"/>
  </r>
  <r>
    <m/>
    <m/>
    <x v="91"/>
    <m/>
    <n v="9.3343054014628528"/>
    <d v="1899-12-30T00:00:00"/>
    <m/>
    <n v="72.139959115646775"/>
    <m/>
    <m/>
    <s v=""/>
    <x v="0"/>
  </r>
  <r>
    <m/>
    <m/>
    <x v="88"/>
    <m/>
    <n v="7.6283002760971961"/>
    <d v="1899-12-30T00:00:00"/>
    <m/>
    <n v="54.1875"/>
    <m/>
    <m/>
    <s v=""/>
    <x v="0"/>
  </r>
  <r>
    <m/>
    <m/>
    <x v="63"/>
    <m/>
    <n v="18.646956230459814"/>
    <d v="1899-12-30T00:00:00"/>
    <m/>
    <n v="132.45833333333337"/>
    <m/>
    <m/>
    <s v=""/>
    <x v="0"/>
  </r>
  <r>
    <m/>
    <m/>
    <x v="1"/>
    <m/>
    <s v=""/>
    <s v=""/>
    <m/>
    <s v="0"/>
    <m/>
    <m/>
    <s v=""/>
    <x v="0"/>
  </r>
  <r>
    <m/>
    <m/>
    <x v="1"/>
    <m/>
    <s v=""/>
    <s v=""/>
    <m/>
    <s v="0"/>
    <m/>
    <m/>
    <s v=""/>
    <x v="0"/>
  </r>
  <r>
    <m/>
    <m/>
    <x v="88"/>
    <m/>
    <n v="7.6283002760971961"/>
    <d v="1899-12-30T00:00:00"/>
    <m/>
    <n v="54.1875"/>
    <m/>
    <m/>
    <s v=""/>
    <x v="0"/>
  </r>
  <r>
    <m/>
    <m/>
    <x v="1"/>
    <m/>
    <s v=""/>
    <s v=""/>
    <m/>
    <s v="0"/>
    <m/>
    <m/>
    <s v=""/>
    <x v="0"/>
  </r>
  <r>
    <m/>
    <m/>
    <x v="88"/>
    <m/>
    <n v="7.6283002760971961"/>
    <d v="1899-12-30T00:00:00"/>
    <m/>
    <n v="54.1875"/>
    <m/>
    <m/>
    <s v=""/>
    <x v="0"/>
  </r>
  <r>
    <m/>
    <m/>
    <x v="1"/>
    <m/>
    <s v=""/>
    <s v=""/>
    <m/>
    <s v="0"/>
    <m/>
    <m/>
    <s v=""/>
    <x v="0"/>
  </r>
  <r>
    <m/>
    <m/>
    <x v="55"/>
    <m/>
    <n v="10.171067034796261"/>
    <d v="1899-12-30T00:00:00"/>
    <m/>
    <n v="72.25"/>
    <m/>
    <m/>
    <s v=""/>
    <x v="0"/>
  </r>
  <r>
    <m/>
    <m/>
    <x v="1"/>
    <m/>
    <s v=""/>
    <s v=""/>
    <m/>
    <s v="0"/>
    <m/>
    <m/>
    <s v=""/>
    <x v="0"/>
  </r>
  <r>
    <m/>
    <m/>
    <x v="88"/>
    <m/>
    <n v="7.6283002760971961"/>
    <d v="1899-12-30T00:00:00"/>
    <m/>
    <n v="54.1875"/>
    <m/>
    <m/>
    <s v=""/>
    <x v="0"/>
  </r>
  <r>
    <m/>
    <m/>
    <x v="88"/>
    <m/>
    <n v="7.6283002760971961"/>
    <d v="1899-12-30T00:00:00"/>
    <m/>
    <n v="54.1875"/>
    <m/>
    <m/>
    <s v=""/>
    <x v="0"/>
  </r>
  <r>
    <m/>
    <m/>
    <x v="96"/>
    <m/>
    <n v="10.168100893300783"/>
    <d v="1899-12-30T00:00:00"/>
    <m/>
    <n v="80.731625782313444"/>
    <m/>
    <m/>
    <s v=""/>
    <x v="0"/>
  </r>
  <r>
    <m/>
    <m/>
    <x v="88"/>
    <m/>
    <n v="7.6283002760971961"/>
    <d v="1899-12-30T00:00:00"/>
    <m/>
    <n v="54.1875"/>
    <m/>
    <m/>
    <s v=""/>
    <x v="0"/>
  </r>
  <r>
    <m/>
    <m/>
    <x v="88"/>
    <m/>
    <n v="7.6283002760971961"/>
    <d v="1899-12-30T00:00:00"/>
    <m/>
    <n v="54.1875"/>
    <m/>
    <m/>
    <s v=""/>
    <x v="0"/>
  </r>
  <r>
    <m/>
    <m/>
    <x v="80"/>
    <m/>
    <n v="16.9517783913271"/>
    <d v="1899-12-30T00:00:00"/>
    <m/>
    <n v="120.41666666666664"/>
    <m/>
    <m/>
    <s v=""/>
    <x v="0"/>
  </r>
  <r>
    <m/>
    <m/>
    <x v="1"/>
    <m/>
    <s v=""/>
    <s v=""/>
    <m/>
    <s v="0"/>
    <m/>
    <m/>
    <s v=""/>
    <x v="0"/>
  </r>
  <r>
    <m/>
    <m/>
    <x v="88"/>
    <m/>
    <n v="7.6283002760971961"/>
    <d v="1899-12-30T00:00:00"/>
    <m/>
    <n v="54.1875"/>
    <m/>
    <m/>
    <s v=""/>
    <x v="0"/>
  </r>
  <r>
    <m/>
    <m/>
    <x v="88"/>
    <m/>
    <n v="7.6283002760971961"/>
    <d v="1899-12-30T00:00:00"/>
    <m/>
    <n v="54.1875"/>
    <m/>
    <m/>
    <s v=""/>
    <x v="0"/>
  </r>
  <r>
    <m/>
    <m/>
    <x v="96"/>
    <m/>
    <n v="10.168100893300783"/>
    <d v="1899-12-30T00:00:00"/>
    <m/>
    <n v="80.731625782313444"/>
    <m/>
    <m/>
    <s v=""/>
    <x v="0"/>
  </r>
  <r>
    <m/>
    <m/>
    <x v="88"/>
    <m/>
    <n v="7.6283002760971961"/>
    <d v="1899-12-30T00:00:00"/>
    <m/>
    <n v="54.1875"/>
    <m/>
    <m/>
    <s v=""/>
    <x v="0"/>
  </r>
  <r>
    <m/>
    <m/>
    <x v="88"/>
    <m/>
    <n v="7.6283002760971961"/>
    <d v="1899-12-30T00:00:00"/>
    <m/>
    <n v="54.1875"/>
    <m/>
    <m/>
    <s v=""/>
    <x v="0"/>
  </r>
  <r>
    <m/>
    <m/>
    <x v="63"/>
    <m/>
    <n v="18.646956230459814"/>
    <d v="1899-12-30T00:00:00"/>
    <m/>
    <n v="132.45833333333337"/>
    <m/>
    <m/>
    <s v=""/>
    <x v="0"/>
  </r>
  <r>
    <m/>
    <m/>
    <x v="1"/>
    <m/>
    <s v=""/>
    <s v=""/>
    <m/>
    <s v="0"/>
    <m/>
    <m/>
    <s v=""/>
    <x v="0"/>
  </r>
  <r>
    <m/>
    <m/>
    <x v="88"/>
    <m/>
    <n v="7.6283002760971961"/>
    <d v="1899-12-30T00:00:00"/>
    <m/>
    <n v="54.1875"/>
    <m/>
    <m/>
    <s v=""/>
    <x v="0"/>
  </r>
  <r>
    <m/>
    <m/>
    <x v="79"/>
    <m/>
    <n v="12.362515195287774"/>
    <d v="1899-12-30T00:00:00"/>
    <m/>
    <n v="98.456625782313438"/>
    <m/>
    <m/>
    <s v=""/>
    <x v="0"/>
  </r>
  <r>
    <m/>
    <m/>
    <x v="88"/>
    <m/>
    <n v="7.6283002760971961"/>
    <d v="1899-12-30T00:00:00"/>
    <m/>
    <n v="54.1875"/>
    <m/>
    <m/>
    <s v=""/>
    <x v="0"/>
  </r>
  <r>
    <m/>
    <m/>
    <x v="77"/>
    <m/>
    <n v="10.152081274159309"/>
    <d v="1899-12-30T00:00:00"/>
    <m/>
    <n v="78.806625782313432"/>
    <m/>
    <m/>
    <s v=""/>
    <x v="0"/>
  </r>
  <r>
    <m/>
    <m/>
    <x v="88"/>
    <m/>
    <n v="7.6283002760971961"/>
    <d v="1899-12-30T00:00:00"/>
    <m/>
    <n v="54.1875"/>
    <m/>
    <m/>
    <s v=""/>
    <x v="0"/>
  </r>
  <r>
    <m/>
    <m/>
    <x v="64"/>
    <m/>
    <n v="20.342134069592522"/>
    <d v="1899-12-30T00:00:00"/>
    <m/>
    <n v="144.5"/>
    <m/>
    <m/>
    <s v=""/>
    <x v="0"/>
  </r>
  <r>
    <m/>
    <m/>
    <x v="1"/>
    <m/>
    <s v=""/>
    <s v=""/>
    <m/>
    <s v="0"/>
    <m/>
    <m/>
    <s v=""/>
    <x v="0"/>
  </r>
  <r>
    <m/>
    <m/>
    <x v="1"/>
    <m/>
    <s v=""/>
    <s v=""/>
    <m/>
    <s v="0"/>
    <m/>
    <m/>
    <s v=""/>
    <x v="0"/>
  </r>
  <r>
    <m/>
    <m/>
    <x v="88"/>
    <m/>
    <n v="7.6283002760971961"/>
    <d v="1899-12-30T00:00:00"/>
    <m/>
    <n v="54.1875"/>
    <m/>
    <m/>
    <s v=""/>
    <x v="0"/>
  </r>
  <r>
    <m/>
    <m/>
    <x v="1"/>
    <m/>
    <s v=""/>
    <s v=""/>
    <m/>
    <s v="0"/>
    <m/>
    <m/>
    <s v=""/>
    <x v="0"/>
  </r>
  <r>
    <m/>
    <m/>
    <x v="88"/>
    <m/>
    <n v="7.6283002760971961"/>
    <d v="1899-12-30T00:00:00"/>
    <m/>
    <n v="54.1875"/>
    <m/>
    <m/>
    <s v=""/>
    <x v="0"/>
  </r>
  <r>
    <m/>
    <m/>
    <x v="1"/>
    <m/>
    <s v=""/>
    <s v=""/>
    <m/>
    <s v="0"/>
    <m/>
    <m/>
    <s v=""/>
    <x v="0"/>
  </r>
  <r>
    <m/>
    <m/>
    <x v="55"/>
    <m/>
    <n v="10.171067034796261"/>
    <d v="1899-12-30T00:00:00"/>
    <m/>
    <n v="72.25"/>
    <m/>
    <m/>
    <s v=""/>
    <x v="0"/>
  </r>
  <r>
    <m/>
    <m/>
    <x v="1"/>
    <m/>
    <s v=""/>
    <s v=""/>
    <m/>
    <s v="0"/>
    <m/>
    <m/>
    <s v=""/>
    <x v="0"/>
  </r>
  <r>
    <m/>
    <m/>
    <x v="88"/>
    <m/>
    <n v="7.6283002760971961"/>
    <d v="1899-12-30T00:00:00"/>
    <m/>
    <n v="54.1875"/>
    <m/>
    <m/>
    <s v=""/>
    <x v="0"/>
  </r>
  <r>
    <m/>
    <m/>
    <x v="88"/>
    <m/>
    <n v="7.6283002760971961"/>
    <d v="1899-12-30T00:00:00"/>
    <m/>
    <n v="54.1875"/>
    <m/>
    <m/>
    <s v=""/>
    <x v="0"/>
  </r>
  <r>
    <m/>
    <m/>
    <x v="77"/>
    <m/>
    <n v="10.152081274159309"/>
    <d v="1899-12-30T00:00:00"/>
    <m/>
    <n v="78.806625782313432"/>
    <m/>
    <m/>
    <s v=""/>
    <x v="0"/>
  </r>
  <r>
    <m/>
    <m/>
    <x v="88"/>
    <m/>
    <n v="7.6283002760971961"/>
    <d v="1899-12-30T00:00:00"/>
    <m/>
    <n v="54.1875"/>
    <m/>
    <m/>
    <s v=""/>
    <x v="0"/>
  </r>
  <r>
    <m/>
    <m/>
    <x v="88"/>
    <m/>
    <n v="7.6283002760971961"/>
    <d v="1899-12-30T00:00:00"/>
    <m/>
    <n v="54.1875"/>
    <m/>
    <m/>
    <s v=""/>
    <x v="0"/>
  </r>
  <r>
    <m/>
    <m/>
    <x v="63"/>
    <m/>
    <n v="18.646956230459814"/>
    <d v="1899-12-30T00:00:00"/>
    <m/>
    <n v="132.45833333333337"/>
    <m/>
    <m/>
    <s v=""/>
    <x v="0"/>
  </r>
  <r>
    <m/>
    <m/>
    <x v="1"/>
    <m/>
    <s v=""/>
    <s v=""/>
    <m/>
    <s v="0"/>
    <m/>
    <m/>
    <s v=""/>
    <x v="0"/>
  </r>
  <r>
    <m/>
    <m/>
    <x v="88"/>
    <m/>
    <n v="7.6283002760971961"/>
    <d v="1899-12-30T00:00:00"/>
    <m/>
    <n v="54.1875"/>
    <m/>
    <m/>
    <s v=""/>
    <x v="0"/>
  </r>
  <r>
    <m/>
    <m/>
    <x v="88"/>
    <m/>
    <n v="7.6283002760971961"/>
    <d v="1899-12-30T00:00:00"/>
    <m/>
    <n v="54.1875"/>
    <m/>
    <m/>
    <s v=""/>
    <x v="0"/>
  </r>
  <r>
    <m/>
    <m/>
    <x v="78"/>
    <m/>
    <n v="11.787633019552224"/>
    <d v="1899-12-30T00:00:00"/>
    <m/>
    <n v="92.139959115646775"/>
    <m/>
    <m/>
    <s v=""/>
    <x v="0"/>
  </r>
  <r>
    <m/>
    <m/>
    <x v="88"/>
    <m/>
    <n v="7.6283002760971961"/>
    <d v="1899-12-30T00:00:00"/>
    <m/>
    <n v="54.1875"/>
    <m/>
    <m/>
    <s v=""/>
    <x v="0"/>
  </r>
  <r>
    <m/>
    <m/>
    <x v="88"/>
    <m/>
    <n v="7.6283002760971961"/>
    <d v="1899-12-30T00:00:00"/>
    <m/>
    <n v="54.1875"/>
    <m/>
    <m/>
    <s v=""/>
    <x v="0"/>
  </r>
  <r>
    <m/>
    <m/>
    <x v="64"/>
    <m/>
    <n v="20.342134069592522"/>
    <d v="1899-12-30T00:00:00"/>
    <m/>
    <n v="144.5"/>
    <m/>
    <m/>
    <s v=""/>
    <x v="0"/>
  </r>
  <r>
    <m/>
    <m/>
    <x v="1"/>
    <m/>
    <s v=""/>
    <s v=""/>
    <m/>
    <s v="0"/>
    <m/>
    <m/>
    <s v=""/>
    <x v="0"/>
  </r>
  <r>
    <m/>
    <m/>
    <x v="88"/>
    <m/>
    <n v="7.6283002760971961"/>
    <d v="1899-12-30T00:00:00"/>
    <m/>
    <n v="54.1875"/>
    <m/>
    <m/>
    <s v=""/>
    <x v="0"/>
  </r>
  <r>
    <m/>
    <m/>
    <x v="88"/>
    <m/>
    <n v="7.6283002760971961"/>
    <d v="1899-12-30T00:00:00"/>
    <m/>
    <n v="54.1875"/>
    <m/>
    <m/>
    <s v=""/>
    <x v="0"/>
  </r>
  <r>
    <m/>
    <m/>
    <x v="81"/>
    <m/>
    <n v="13.423184764945141"/>
    <d v="1899-12-30T00:00:00"/>
    <m/>
    <n v="105.47329244898009"/>
    <m/>
    <m/>
    <s v=""/>
    <x v="0"/>
  </r>
  <r>
    <m/>
    <m/>
    <x v="88"/>
    <m/>
    <n v="7.6283002760971961"/>
    <d v="1899-12-30T00:00:00"/>
    <m/>
    <n v="54.1875"/>
    <m/>
    <m/>
    <s v=""/>
    <x v="0"/>
  </r>
  <r>
    <m/>
    <m/>
    <x v="88"/>
    <m/>
    <n v="7.6283002760971961"/>
    <d v="1899-12-30T00:00:00"/>
    <m/>
    <n v="54.1875"/>
    <m/>
    <m/>
    <s v=""/>
    <x v="0"/>
  </r>
  <r>
    <m/>
    <m/>
    <x v="66"/>
    <m/>
    <n v="25"/>
    <d v="1899-12-30T00:00:00"/>
    <m/>
    <n v="177.58707064073354"/>
    <m/>
    <m/>
    <s v=""/>
    <x v="0"/>
  </r>
  <r>
    <m/>
    <m/>
    <x v="1"/>
    <m/>
    <s v=""/>
    <s v=""/>
    <m/>
    <s v="0"/>
    <m/>
    <m/>
    <s v=""/>
    <x v="0"/>
  </r>
  <r>
    <m/>
    <m/>
    <x v="88"/>
    <m/>
    <n v="7.6283002760971961"/>
    <d v="1899-12-30T00:00:00"/>
    <m/>
    <n v="54.1875"/>
    <m/>
    <m/>
    <s v=""/>
    <x v="0"/>
  </r>
  <r>
    <m/>
    <m/>
    <x v="1"/>
    <m/>
    <s v=""/>
    <s v=""/>
    <m/>
    <s v="0"/>
    <m/>
    <m/>
    <s v=""/>
    <x v="0"/>
  </r>
  <r>
    <m/>
    <m/>
    <x v="55"/>
    <m/>
    <n v="10.171067034796261"/>
    <d v="1899-12-30T00:00:00"/>
    <m/>
    <n v="72.25"/>
    <m/>
    <m/>
    <s v=""/>
    <x v="0"/>
  </r>
  <r>
    <m/>
    <m/>
    <x v="1"/>
    <m/>
    <s v=""/>
    <s v=""/>
    <m/>
    <s v="0"/>
    <m/>
    <m/>
    <s v=""/>
    <x v="0"/>
  </r>
  <r>
    <m/>
    <m/>
    <x v="94"/>
    <m/>
    <n v="7.5625738372723088"/>
    <d v="1899-12-30T00:00:00"/>
    <m/>
    <n v="58.644125782313438"/>
    <m/>
    <m/>
    <s v=""/>
    <x v="0"/>
  </r>
  <r>
    <m/>
    <m/>
    <x v="1"/>
    <m/>
    <s v=""/>
    <s v=""/>
    <m/>
    <s v="0"/>
    <m/>
    <m/>
    <s v=""/>
    <x v="0"/>
  </r>
  <r>
    <m/>
    <m/>
    <x v="57"/>
    <m/>
    <n v="14"/>
    <d v="1899-12-30T00:00:00"/>
    <m/>
    <n v="99.448759558810778"/>
    <m/>
    <m/>
    <s v=""/>
    <x v="0"/>
  </r>
  <r>
    <m/>
    <m/>
    <x v="1"/>
    <m/>
    <s v=""/>
    <s v=""/>
    <m/>
    <s v="0"/>
    <m/>
    <m/>
    <s v=""/>
    <x v="0"/>
  </r>
  <r>
    <m/>
    <m/>
    <x v="55"/>
    <m/>
    <n v="10.171067034796261"/>
    <d v="1899-12-30T00:00:00"/>
    <m/>
    <n v="72.25"/>
    <m/>
    <m/>
    <s v=""/>
    <x v="0"/>
  </r>
  <r>
    <m/>
    <m/>
    <x v="1"/>
    <m/>
    <s v=""/>
    <s v=""/>
    <m/>
    <s v="0"/>
    <m/>
    <m/>
    <s v=""/>
    <x v="0"/>
  </r>
  <r>
    <m/>
    <m/>
    <x v="87"/>
    <m/>
    <n v="6"/>
    <d v="1899-12-30T00:00:00"/>
    <m/>
    <n v="42.620896953776047"/>
    <m/>
    <m/>
    <s v=""/>
    <x v="0"/>
  </r>
  <r>
    <m/>
    <m/>
    <x v="1"/>
    <m/>
    <s v=""/>
    <s v=""/>
    <m/>
    <s v="0"/>
    <m/>
    <m/>
    <s v=""/>
    <x v="0"/>
  </r>
  <r>
    <m/>
    <m/>
    <x v="106"/>
    <m/>
    <n v="4"/>
    <d v="1899-12-30T00:00:00"/>
    <m/>
    <n v="28.413931302517366"/>
    <m/>
    <m/>
    <s v=""/>
    <x v="0"/>
  </r>
  <r>
    <m/>
    <m/>
    <x v="4"/>
    <m/>
    <n v="21"/>
    <d v="1899-12-30T00:00:00"/>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
    <m/>
    <s v=""/>
    <s v=""/>
    <m/>
    <s v="0"/>
    <m/>
    <m/>
    <s v=""/>
    <x v="0"/>
  </r>
  <r>
    <m/>
    <m/>
    <x v="55"/>
    <m/>
    <n v="10.171067034796261"/>
    <d v="1899-12-30T00:00:00"/>
    <m/>
    <n v="72.25"/>
    <m/>
    <m/>
    <s v=""/>
    <x v="0"/>
  </r>
  <r>
    <m/>
    <m/>
    <x v="1"/>
    <m/>
    <s v=""/>
    <s v=""/>
    <m/>
    <s v="0"/>
    <m/>
    <m/>
    <s v=""/>
    <x v="0"/>
  </r>
  <r>
    <m/>
    <m/>
    <x v="1"/>
    <m/>
    <s v=""/>
    <s v=""/>
    <m/>
    <s v="0"/>
    <m/>
    <m/>
    <s v=""/>
    <x v="0"/>
  </r>
  <r>
    <m/>
    <m/>
    <x v="1"/>
    <m/>
    <s v=""/>
    <s v=""/>
    <m/>
    <s v="0"/>
    <m/>
    <m/>
    <s v=""/>
    <x v="0"/>
  </r>
  <r>
    <m/>
    <m/>
    <x v="1"/>
    <m/>
    <s v=""/>
    <s v=""/>
    <m/>
    <s v="0"/>
    <m/>
    <m/>
    <s v=""/>
    <x v="0"/>
  </r>
  <r>
    <m/>
    <m/>
    <x v="1"/>
    <m/>
    <s v=""/>
    <s v=""/>
    <m/>
    <s v="0"/>
    <m/>
    <m/>
    <s v=""/>
    <x v="0"/>
  </r>
  <r>
    <m/>
    <m/>
    <x v="1"/>
    <m/>
    <m/>
    <m/>
    <m/>
    <m/>
    <m/>
    <m/>
    <m/>
    <x v="0"/>
  </r>
  <r>
    <m/>
    <m/>
    <x v="1"/>
    <m/>
    <m/>
    <m/>
    <m/>
    <m/>
    <m/>
    <m/>
    <m/>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5">
  <r>
    <x v="0"/>
    <m/>
    <m/>
    <x v="0"/>
    <d v="1899-12-30T00:56:09"/>
    <n v="10.9"/>
    <d v="1899-12-30T00:05:09"/>
    <n v="159"/>
    <m/>
    <n v="231"/>
    <m/>
    <n v="1.0499716675661088"/>
    <m/>
    <m/>
    <m/>
    <m/>
    <n v="1.4528301886792452"/>
  </r>
  <r>
    <x v="1"/>
    <m/>
    <m/>
    <x v="1"/>
    <m/>
    <m/>
    <m/>
    <m/>
    <m/>
    <m/>
    <m/>
    <s v=""/>
    <m/>
    <m/>
    <m/>
    <m/>
    <s v=""/>
  </r>
  <r>
    <x v="2"/>
    <m/>
    <m/>
    <x v="1"/>
    <m/>
    <m/>
    <m/>
    <m/>
    <m/>
    <m/>
    <m/>
    <s v=""/>
    <m/>
    <m/>
    <m/>
    <m/>
    <s v=""/>
  </r>
  <r>
    <x v="3"/>
    <m/>
    <m/>
    <x v="1"/>
    <m/>
    <m/>
    <m/>
    <m/>
    <m/>
    <m/>
    <m/>
    <s v=""/>
    <m/>
    <m/>
    <m/>
    <m/>
    <s v=""/>
  </r>
  <r>
    <x v="4"/>
    <m/>
    <m/>
    <x v="1"/>
    <m/>
    <m/>
    <m/>
    <m/>
    <m/>
    <m/>
    <m/>
    <s v=""/>
    <m/>
    <m/>
    <m/>
    <m/>
    <s v=""/>
  </r>
  <r>
    <x v="5"/>
    <m/>
    <m/>
    <x v="1"/>
    <m/>
    <m/>
    <m/>
    <m/>
    <m/>
    <m/>
    <m/>
    <s v=""/>
    <m/>
    <m/>
    <m/>
    <m/>
    <s v=""/>
  </r>
  <r>
    <x v="6"/>
    <s v="001"/>
    <m/>
    <x v="2"/>
    <d v="1899-12-30T00:40:46"/>
    <n v="7.18"/>
    <d v="1899-12-30T00:05:41"/>
    <n v="140"/>
    <n v="42"/>
    <n v="210"/>
    <m/>
    <n v="1.0520645584138948"/>
    <s v="New Balance"/>
    <m/>
    <m/>
    <m/>
    <n v="1.5"/>
  </r>
  <r>
    <x v="7"/>
    <m/>
    <m/>
    <x v="1"/>
    <m/>
    <m/>
    <m/>
    <m/>
    <m/>
    <m/>
    <m/>
    <s v=""/>
    <m/>
    <m/>
    <m/>
    <m/>
    <s v=""/>
  </r>
  <r>
    <x v="8"/>
    <s v="002"/>
    <m/>
    <x v="2"/>
    <d v="1899-12-30T00:43:26"/>
    <n v="7.72"/>
    <d v="1899-12-30T00:05:38"/>
    <n v="141"/>
    <n v="46"/>
    <n v="215"/>
    <m/>
    <n v="1.0673003657421514"/>
    <s v="New Balance"/>
    <m/>
    <m/>
    <m/>
    <n v="1.5248226950354611"/>
  </r>
  <r>
    <x v="9"/>
    <m/>
    <m/>
    <x v="1"/>
    <m/>
    <m/>
    <m/>
    <m/>
    <m/>
    <m/>
    <m/>
    <s v=""/>
    <m/>
    <m/>
    <m/>
    <m/>
    <s v=""/>
  </r>
  <r>
    <x v="10"/>
    <m/>
    <m/>
    <x v="1"/>
    <m/>
    <m/>
    <m/>
    <m/>
    <m/>
    <m/>
    <m/>
    <s v=""/>
    <m/>
    <m/>
    <m/>
    <m/>
    <s v=""/>
  </r>
  <r>
    <x v="11"/>
    <m/>
    <m/>
    <x v="1"/>
    <m/>
    <m/>
    <m/>
    <m/>
    <m/>
    <m/>
    <m/>
    <s v=""/>
    <m/>
    <m/>
    <m/>
    <m/>
    <s v=""/>
  </r>
  <r>
    <x v="12"/>
    <m/>
    <m/>
    <x v="1"/>
    <m/>
    <m/>
    <m/>
    <m/>
    <m/>
    <m/>
    <m/>
    <s v=""/>
    <m/>
    <m/>
    <m/>
    <m/>
    <s v=""/>
  </r>
  <r>
    <x v="13"/>
    <s v="003"/>
    <m/>
    <x v="0"/>
    <d v="1899-12-30T00:51:42"/>
    <n v="10.02"/>
    <d v="1899-12-30T00:05:10"/>
    <n v="152"/>
    <n v="66"/>
    <n v="235"/>
    <m/>
    <n v="1.0698749559704122"/>
    <s v="ASICS DynaFlite"/>
    <m/>
    <m/>
    <m/>
    <n v="1.5460526315789473"/>
  </r>
  <r>
    <x v="14"/>
    <s v="004"/>
    <m/>
    <x v="2"/>
    <d v="1899-12-30T01:26:33"/>
    <n v="15.15"/>
    <d v="1899-12-30T00:05:43"/>
    <n v="141"/>
    <n v="91"/>
    <n v="213"/>
    <m/>
    <n v="1.0736837507280139"/>
    <s v="ASICS DynaFlite"/>
    <m/>
    <m/>
    <m/>
    <n v="1.5106382978723405"/>
  </r>
  <r>
    <x v="15"/>
    <m/>
    <m/>
    <x v="1"/>
    <m/>
    <m/>
    <m/>
    <m/>
    <m/>
    <m/>
    <m/>
    <s v=""/>
    <m/>
    <m/>
    <m/>
    <m/>
    <s v=""/>
  </r>
  <r>
    <x v="16"/>
    <s v="005"/>
    <m/>
    <x v="2"/>
    <d v="1899-12-30T01:01:49"/>
    <n v="9.9"/>
    <d v="1899-12-30T00:06:15"/>
    <n v="134"/>
    <n v="56"/>
    <n v="195"/>
    <m/>
    <n v="1.0743538324420676"/>
    <s v="ASICS DynaFlite"/>
    <m/>
    <m/>
    <m/>
    <n v="1.455223880597015"/>
  </r>
  <r>
    <x v="17"/>
    <m/>
    <m/>
    <x v="1"/>
    <m/>
    <m/>
    <m/>
    <m/>
    <m/>
    <m/>
    <m/>
    <s v=""/>
    <m/>
    <m/>
    <m/>
    <m/>
    <s v=""/>
  </r>
  <r>
    <x v="18"/>
    <s v="006"/>
    <m/>
    <x v="3"/>
    <d v="1899-12-30T01:00:15"/>
    <n v="10.88"/>
    <d v="1899-12-30T00:05:32"/>
    <n v="147"/>
    <n v="71"/>
    <n v="214"/>
    <m/>
    <n v="1.0456450043252594"/>
    <s v="New Balance"/>
    <m/>
    <m/>
    <m/>
    <n v="1.4557823129251701"/>
  </r>
  <r>
    <x v="19"/>
    <s v="007"/>
    <m/>
    <x v="2"/>
    <d v="1899-12-30T01:09:03"/>
    <n v="12.2"/>
    <d v="1899-12-30T00:05:40"/>
    <n v="137"/>
    <n v="70"/>
    <n v="210"/>
    <m/>
    <n v="1.0487343297974927"/>
    <s v="ASICS DynaFlite"/>
    <m/>
    <m/>
    <m/>
    <n v="1.5328467153284671"/>
  </r>
  <r>
    <x v="20"/>
    <m/>
    <m/>
    <x v="1"/>
    <m/>
    <m/>
    <m/>
    <m/>
    <m/>
    <m/>
    <m/>
    <s v=""/>
    <m/>
    <m/>
    <m/>
    <m/>
    <s v=""/>
  </r>
  <r>
    <x v="21"/>
    <s v="008"/>
    <s v="n"/>
    <x v="4"/>
    <d v="1899-12-30T00:44:14"/>
    <n v="10"/>
    <d v="1899-12-30T00:04:25"/>
    <n v="161"/>
    <n v="66"/>
    <n v="255"/>
    <m/>
    <n v="0.99524999999999986"/>
    <s v="New Balance"/>
    <m/>
    <m/>
    <m/>
    <n v="1.5838509316770186"/>
  </r>
  <r>
    <x v="22"/>
    <m/>
    <m/>
    <x v="1"/>
    <m/>
    <m/>
    <m/>
    <m/>
    <m/>
    <m/>
    <m/>
    <s v=""/>
    <m/>
    <m/>
    <m/>
    <m/>
    <s v=""/>
  </r>
  <r>
    <x v="23"/>
    <s v="009"/>
    <m/>
    <x v="2"/>
    <d v="1899-12-30T01:25:35"/>
    <n v="15.01"/>
    <d v="1899-12-30T00:05:42"/>
    <n v="137"/>
    <n v="84"/>
    <n v="208"/>
    <m/>
    <n v="1.0464396284829722"/>
    <s v="ASICS DynaFlite"/>
    <m/>
    <m/>
    <m/>
    <n v="1.5182481751824817"/>
  </r>
  <r>
    <x v="24"/>
    <s v="010"/>
    <m/>
    <x v="5"/>
    <d v="1899-12-30T00:59:49"/>
    <n v="11.57"/>
    <d v="1899-12-30T00:05:10"/>
    <n v="153"/>
    <n v="74"/>
    <n v="223"/>
    <m/>
    <n v="1.0172695612384972"/>
    <s v="New Balance"/>
    <m/>
    <m/>
    <m/>
    <n v="1.457516339869281"/>
  </r>
  <r>
    <x v="25"/>
    <s v="011"/>
    <m/>
    <x v="0"/>
    <d v="1899-12-30T01:04:01"/>
    <n v="12.07"/>
    <d v="1899-12-30T00:05:18"/>
    <n v="145"/>
    <n v="73"/>
    <n v="223"/>
    <m/>
    <n v="1.0435973975339929"/>
    <s v="ASICS GEL-Kayano 20"/>
    <m/>
    <m/>
    <m/>
    <n v="1.5379310344827586"/>
  </r>
  <r>
    <x v="26"/>
    <m/>
    <m/>
    <x v="1"/>
    <m/>
    <m/>
    <m/>
    <m/>
    <m/>
    <m/>
    <m/>
    <s v=""/>
    <m/>
    <m/>
    <m/>
    <m/>
    <s v=""/>
  </r>
  <r>
    <x v="27"/>
    <s v="012"/>
    <m/>
    <x v="6"/>
    <d v="1899-12-30T00:46:28"/>
    <n v="10.07"/>
    <d v="1899-12-30T00:04:37"/>
    <n v="151"/>
    <n v="64"/>
    <n v="247"/>
    <m/>
    <n v="1.0056603773584907"/>
    <s v="New Balance"/>
    <m/>
    <m/>
    <m/>
    <n v="1.6357615894039734"/>
  </r>
  <r>
    <x v="28"/>
    <s v="013"/>
    <m/>
    <x v="2"/>
    <d v="1899-12-30T01:13:41"/>
    <n v="12.06"/>
    <d v="1899-12-30T00:06:07"/>
    <n v="123"/>
    <n v="65"/>
    <n v="193"/>
    <m/>
    <n v="1.0404509316164279"/>
    <s v="ASICS DynaFlite"/>
    <m/>
    <m/>
    <m/>
    <n v="1.5691056910569106"/>
  </r>
  <r>
    <x v="29"/>
    <m/>
    <m/>
    <x v="1"/>
    <m/>
    <m/>
    <m/>
    <m/>
    <m/>
    <m/>
    <m/>
    <s v=""/>
    <m/>
    <m/>
    <m/>
    <m/>
    <s v=""/>
  </r>
  <r>
    <x v="30"/>
    <s v="014"/>
    <m/>
    <x v="2"/>
    <d v="1899-12-30T01:24:34"/>
    <n v="15.21"/>
    <d v="1899-12-30T00:05:34"/>
    <n v="138"/>
    <n v="87"/>
    <n v="212"/>
    <m/>
    <n v="1.0400355803070735"/>
    <s v="ASICS DynaFlite"/>
    <m/>
    <m/>
    <m/>
    <n v="1.536231884057971"/>
  </r>
  <r>
    <x v="31"/>
    <s v="015"/>
    <m/>
    <x v="0"/>
    <d v="1899-12-30T01:00:03"/>
    <n v="11.45"/>
    <d v="1899-12-30T00:05:15"/>
    <n v="146"/>
    <n v="72"/>
    <n v="230"/>
    <m/>
    <n v="1.0643334189571023"/>
    <s v="ASICS GEL-Kayano 20"/>
    <m/>
    <m/>
    <m/>
    <n v="1.5753424657534247"/>
  </r>
  <r>
    <x v="32"/>
    <m/>
    <m/>
    <x v="1"/>
    <m/>
    <m/>
    <m/>
    <m/>
    <m/>
    <m/>
    <m/>
    <s v=""/>
    <m/>
    <m/>
    <m/>
    <m/>
    <s v=""/>
  </r>
  <r>
    <x v="33"/>
    <s v="016"/>
    <m/>
    <x v="0"/>
    <d v="1899-12-30T01:05:17"/>
    <n v="13.3"/>
    <d v="1899-12-30T00:04:55"/>
    <n v="148"/>
    <n v="83"/>
    <n v="236"/>
    <m/>
    <n v="1.0221273772666961"/>
    <s v="ASICS GEL-Kayano 20"/>
    <m/>
    <m/>
    <m/>
    <n v="1.5945945945945945"/>
  </r>
  <r>
    <x v="34"/>
    <s v="017"/>
    <m/>
    <x v="2"/>
    <d v="1899-12-30T02:08:09"/>
    <n v="22.07"/>
    <d v="1899-12-30T00:05:48"/>
    <n v="130"/>
    <n v="123"/>
    <n v="202"/>
    <m/>
    <n v="1.03492763666409"/>
    <s v="ASICS DynaFlite"/>
    <m/>
    <m/>
    <m/>
    <n v="1.5538461538461539"/>
  </r>
  <r>
    <x v="35"/>
    <s v="018"/>
    <m/>
    <x v="2"/>
    <d v="1899-12-30T01:01:51"/>
    <n v="8.01"/>
    <d v="1899-12-30T00:07:43"/>
    <n v="108"/>
    <n v="33"/>
    <n v="153"/>
    <m/>
    <n v="1.0424157303370787"/>
    <s v="ASICS DynaFlite"/>
    <m/>
    <m/>
    <m/>
    <n v="1.4166666666666667"/>
  </r>
  <r>
    <x v="36"/>
    <s v="019"/>
    <m/>
    <x v="7"/>
    <d v="1899-12-30T00:50:04"/>
    <n v="9.1999999999999993"/>
    <d v="1899-12-30T00:05:27"/>
    <n v="139"/>
    <n v="61"/>
    <n v="206"/>
    <m/>
    <n v="0.98916879795396451"/>
    <s v="New Balance"/>
    <m/>
    <m/>
    <m/>
    <n v="1.4820143884892085"/>
  </r>
  <r>
    <x v="37"/>
    <m/>
    <m/>
    <x v="1"/>
    <m/>
    <m/>
    <m/>
    <m/>
    <m/>
    <m/>
    <m/>
    <s v=""/>
    <m/>
    <m/>
    <m/>
    <m/>
    <s v=""/>
  </r>
  <r>
    <x v="38"/>
    <s v="020"/>
    <m/>
    <x v="2"/>
    <d v="1899-12-30T00:56:09"/>
    <n v="10.06"/>
    <d v="1899-12-30T00:05:35"/>
    <n v="135"/>
    <n v="57"/>
    <n v="211"/>
    <m/>
    <n v="1.0391460063150506"/>
    <s v="ASICS DynaFlite"/>
    <m/>
    <m/>
    <m/>
    <n v="1.5629629629629629"/>
  </r>
  <r>
    <x v="39"/>
    <s v="021"/>
    <m/>
    <x v="0"/>
    <d v="1899-12-30T01:07:28"/>
    <n v="11.91"/>
    <d v="1899-12-30T00:05:40"/>
    <n v="135"/>
    <n v="74"/>
    <n v="212"/>
    <m/>
    <n v="1.0596335259544623"/>
    <s v="ASICS GEL-Kayano 20"/>
    <m/>
    <m/>
    <m/>
    <n v="1.5703703703703704"/>
  </r>
  <r>
    <x v="40"/>
    <m/>
    <m/>
    <x v="1"/>
    <m/>
    <m/>
    <m/>
    <m/>
    <m/>
    <m/>
    <m/>
    <s v=""/>
    <m/>
    <m/>
    <m/>
    <m/>
    <s v=""/>
  </r>
  <r>
    <x v="41"/>
    <s v="022"/>
    <m/>
    <x v="6"/>
    <d v="1899-12-30T00:44:30"/>
    <n v="10.199999999999999"/>
    <d v="1899-12-30T00:04:22"/>
    <n v="159"/>
    <n v="68"/>
    <n v="259"/>
    <m/>
    <n v="0.99701557093425597"/>
    <s v="New Balance"/>
    <m/>
    <m/>
    <m/>
    <n v="1.628930817610063"/>
  </r>
  <r>
    <x v="42"/>
    <m/>
    <m/>
    <x v="1"/>
    <m/>
    <m/>
    <m/>
    <m/>
    <m/>
    <m/>
    <m/>
    <s v=""/>
    <m/>
    <m/>
    <m/>
    <m/>
    <s v=""/>
  </r>
  <r>
    <x v="43"/>
    <s v="023"/>
    <m/>
    <x v="0"/>
    <d v="1899-12-30T01:24:25"/>
    <n v="16.2"/>
    <d v="1899-12-30T00:05:13"/>
    <n v="142"/>
    <n v="104"/>
    <n v="232"/>
    <m/>
    <n v="1.0667029774872914"/>
    <s v="ASICS GEL-Kayano 20"/>
    <m/>
    <m/>
    <m/>
    <n v="1.6338028169014085"/>
  </r>
  <r>
    <x v="44"/>
    <m/>
    <m/>
    <x v="1"/>
    <m/>
    <m/>
    <m/>
    <m/>
    <m/>
    <m/>
    <m/>
    <s v=""/>
    <m/>
    <m/>
    <m/>
    <m/>
    <s v=""/>
  </r>
  <r>
    <x v="45"/>
    <s v="024"/>
    <m/>
    <x v="3"/>
    <d v="1899-12-30T01:22:50"/>
    <n v="15.23"/>
    <d v="1899-12-30T00:05:26"/>
    <n v="143"/>
    <n v="98"/>
    <n v="206"/>
    <m/>
    <n v="0.98858676760264197"/>
    <s v="New Balance"/>
    <m/>
    <m/>
    <m/>
    <n v="1.4405594405594406"/>
  </r>
  <r>
    <x v="46"/>
    <s v="025"/>
    <m/>
    <x v="2"/>
    <d v="1899-12-30T01:01:33"/>
    <n v="9.77"/>
    <d v="1899-12-30T00:06:18"/>
    <n v="125"/>
    <n v="53"/>
    <n v="192"/>
    <m/>
    <n v="1.0672767776506715"/>
    <s v="ASICS DynaFlite"/>
    <m/>
    <m/>
    <m/>
    <n v="1.536"/>
  </r>
  <r>
    <x v="47"/>
    <m/>
    <m/>
    <x v="1"/>
    <m/>
    <m/>
    <m/>
    <m/>
    <m/>
    <m/>
    <m/>
    <s v=""/>
    <m/>
    <m/>
    <m/>
    <m/>
    <s v=""/>
  </r>
  <r>
    <x v="48"/>
    <s v="026"/>
    <m/>
    <x v="0"/>
    <d v="1899-12-30T01:04:29"/>
    <n v="12.1"/>
    <d v="1899-12-30T00:05:20"/>
    <n v="138"/>
    <n v="75"/>
    <n v="225"/>
    <m/>
    <n v="1.0580031599416626"/>
    <s v="ASICS GEL-Kayano 20"/>
    <m/>
    <m/>
    <m/>
    <n v="1.6304347826086956"/>
  </r>
  <r>
    <x v="49"/>
    <s v="027"/>
    <m/>
    <x v="2"/>
    <d v="1899-12-30T02:09:25"/>
    <n v="22.81"/>
    <d v="1899-12-30T00:05:40"/>
    <n v="134"/>
    <n v="134"/>
    <n v="209"/>
    <m/>
    <n v="1.046293550300436"/>
    <s v="ASICS DynaFlite"/>
    <m/>
    <m/>
    <m/>
    <n v="1.5597014925373134"/>
  </r>
  <r>
    <x v="50"/>
    <s v="028"/>
    <m/>
    <x v="2"/>
    <d v="1899-12-30T00:57:29"/>
    <n v="9.92"/>
    <d v="1899-12-30T00:05:48"/>
    <n v="128"/>
    <n v="57"/>
    <n v="208"/>
    <m/>
    <n v="1.0634962049335861"/>
    <s v="ASICS DynaFlite"/>
    <m/>
    <m/>
    <m/>
    <n v="1.625"/>
  </r>
  <r>
    <x v="51"/>
    <m/>
    <m/>
    <x v="1"/>
    <m/>
    <m/>
    <m/>
    <m/>
    <m/>
    <m/>
    <m/>
    <s v=""/>
    <m/>
    <m/>
    <m/>
    <m/>
    <s v=""/>
  </r>
  <r>
    <x v="52"/>
    <m/>
    <m/>
    <x v="1"/>
    <m/>
    <m/>
    <m/>
    <m/>
    <m/>
    <m/>
    <m/>
    <s v=""/>
    <m/>
    <m/>
    <m/>
    <m/>
    <s v=""/>
  </r>
  <r>
    <x v="53"/>
    <s v="029"/>
    <m/>
    <x v="5"/>
    <d v="1899-12-30T00:58:44"/>
    <n v="11.3"/>
    <d v="1899-12-30T00:05:12"/>
    <n v="146"/>
    <n v="75"/>
    <n v="231"/>
    <m/>
    <n v="1.0594013534617386"/>
    <s v="ASICS GEL-Kayano 20"/>
    <m/>
    <m/>
    <m/>
    <n v="1.5821917808219179"/>
  </r>
  <r>
    <x v="54"/>
    <s v="030"/>
    <m/>
    <x v="2"/>
    <d v="1899-12-30T00:53:28"/>
    <n v="9.1300000000000008"/>
    <d v="1899-12-30T00:05:51"/>
    <n v="127"/>
    <n v="54"/>
    <n v="206"/>
    <m/>
    <n v="1.064441724115714"/>
    <s v="ASICS DynaFlite"/>
    <m/>
    <m/>
    <m/>
    <n v="1.6220472440944882"/>
  </r>
  <r>
    <x v="55"/>
    <m/>
    <m/>
    <x v="1"/>
    <m/>
    <m/>
    <m/>
    <m/>
    <m/>
    <m/>
    <m/>
    <s v=""/>
    <m/>
    <m/>
    <m/>
    <m/>
    <s v=""/>
  </r>
  <r>
    <x v="56"/>
    <s v="031"/>
    <s v="n"/>
    <x v="4"/>
    <d v="1899-12-30T00:58:58"/>
    <n v="13.61"/>
    <d v="1899-12-30T00:04:20"/>
    <n v="164"/>
    <n v="98"/>
    <n v="266"/>
    <m/>
    <n v="1.0168863724769848"/>
    <s v="New Balance"/>
    <m/>
    <m/>
    <m/>
    <n v="1.6219512195121952"/>
  </r>
  <r>
    <x v="57"/>
    <m/>
    <m/>
    <x v="1"/>
    <m/>
    <m/>
    <m/>
    <m/>
    <m/>
    <m/>
    <m/>
    <s v=""/>
    <m/>
    <m/>
    <m/>
    <m/>
    <s v=""/>
  </r>
  <r>
    <x v="58"/>
    <s v="032"/>
    <m/>
    <x v="2"/>
    <d v="1899-12-30T00:55:19"/>
    <n v="9.6199999999999992"/>
    <d v="1899-12-30T00:05:45"/>
    <n v="129"/>
    <n v="55"/>
    <n v="210"/>
    <m/>
    <n v="1.065473278708573"/>
    <s v="ASICS DynaFlite"/>
    <m/>
    <m/>
    <m/>
    <n v="1.6279069767441861"/>
  </r>
  <r>
    <x v="59"/>
    <s v="033"/>
    <m/>
    <x v="8"/>
    <d v="1899-12-30T00:39:39"/>
    <n v="8.14"/>
    <d v="1899-12-30T00:04:52"/>
    <n v="145"/>
    <n v="56"/>
    <n v="231"/>
    <m/>
    <n v="0.99282591414944332"/>
    <s v="New Balance"/>
    <m/>
    <m/>
    <m/>
    <n v="1.5931034482758621"/>
  </r>
  <r>
    <x v="60"/>
    <s v="034"/>
    <m/>
    <x v="2"/>
    <d v="1899-12-30T01:07:28"/>
    <n v="11.6"/>
    <d v="1899-12-30T00:05:49"/>
    <n v="128"/>
    <n v="70"/>
    <n v="213"/>
    <m/>
    <n v="1.0930831643002028"/>
    <s v="ASICS GEL-Kayano 20"/>
    <m/>
    <m/>
    <m/>
    <n v="1.6640625"/>
  </r>
  <r>
    <x v="61"/>
    <s v="035"/>
    <m/>
    <x v="5"/>
    <d v="1899-12-30T01:03:23"/>
    <n v="13.8"/>
    <d v="1899-12-30T00:04:36"/>
    <n v="152"/>
    <n v="92"/>
    <n v="245"/>
    <m/>
    <n v="0.99289748508098896"/>
    <s v="New Balance"/>
    <m/>
    <m/>
    <m/>
    <n v="1.611842105263158"/>
  </r>
  <r>
    <x v="62"/>
    <s v="036"/>
    <m/>
    <x v="2"/>
    <d v="1899-12-30T00:46:44"/>
    <n v="8.32"/>
    <d v="1899-12-30T00:05:37"/>
    <n v="131"/>
    <n v="48"/>
    <n v="214"/>
    <m/>
    <n v="1.0606193438914024"/>
    <s v="ASICS GEL-Kayano 20"/>
    <m/>
    <m/>
    <m/>
    <n v="1.633587786259542"/>
  </r>
  <r>
    <x v="63"/>
    <s v="037"/>
    <m/>
    <x v="2"/>
    <d v="1899-12-30T02:21:44"/>
    <n v="23.67"/>
    <d v="1899-12-30T00:05:59"/>
    <n v="136"/>
    <n v="132"/>
    <n v="200"/>
    <m/>
    <n v="1.056686299361316"/>
    <s v="ASICS DynaFlite"/>
    <m/>
    <m/>
    <m/>
    <n v="1.4705882352941178"/>
  </r>
  <r>
    <x v="64"/>
    <m/>
    <m/>
    <x v="1"/>
    <m/>
    <m/>
    <m/>
    <m/>
    <m/>
    <m/>
    <m/>
    <s v=""/>
    <m/>
    <m/>
    <m/>
    <m/>
    <s v=""/>
  </r>
  <r>
    <x v="65"/>
    <s v="038"/>
    <m/>
    <x v="9"/>
    <d v="1899-12-30T00:56:30"/>
    <n v="12.6"/>
    <d v="1899-12-30T00:04:29"/>
    <n v="155"/>
    <n v="87"/>
    <n v="252"/>
    <m/>
    <n v="0.99705882352941189"/>
    <s v="New Balance"/>
    <m/>
    <m/>
    <m/>
    <n v="1.6258064516129032"/>
  </r>
  <r>
    <x v="66"/>
    <s v="039"/>
    <m/>
    <x v="2"/>
    <d v="1899-12-30T01:04:43"/>
    <n v="11.42"/>
    <d v="1899-12-30T00:05:40"/>
    <n v="134"/>
    <n v="67"/>
    <n v="216"/>
    <m/>
    <n v="1.0800556299577622"/>
    <s v="ASICS DynaFlite"/>
    <m/>
    <m/>
    <m/>
    <n v="1.6119402985074627"/>
  </r>
  <r>
    <x v="67"/>
    <s v="040"/>
    <m/>
    <x v="0"/>
    <d v="1899-12-30T01:05:58"/>
    <n v="12.46"/>
    <d v="1899-12-30T00:05:18"/>
    <n v="135"/>
    <n v="80"/>
    <n v="232"/>
    <m/>
    <n v="1.0837692380322914"/>
    <s v="ASICS GEL-Kayano 20"/>
    <m/>
    <m/>
    <m/>
    <n v="1.7185185185185186"/>
  </r>
  <r>
    <x v="68"/>
    <m/>
    <m/>
    <x v="1"/>
    <m/>
    <m/>
    <m/>
    <m/>
    <m/>
    <m/>
    <m/>
    <s v=""/>
    <m/>
    <m/>
    <m/>
    <m/>
    <s v=""/>
  </r>
  <r>
    <x v="69"/>
    <s v="041"/>
    <m/>
    <x v="6"/>
    <d v="1899-12-30T01:00:29"/>
    <n v="14.03"/>
    <d v="1899-12-30T00:04:19"/>
    <n v="159"/>
    <n v="96"/>
    <n v="267"/>
    <m/>
    <n v="1.0156209383254369"/>
    <s v="New Balance"/>
    <m/>
    <m/>
    <m/>
    <n v="1.679245283018868"/>
  </r>
  <r>
    <x v="70"/>
    <m/>
    <m/>
    <x v="1"/>
    <m/>
    <m/>
    <m/>
    <m/>
    <m/>
    <m/>
    <m/>
    <s v=""/>
    <m/>
    <m/>
    <m/>
    <m/>
    <s v=""/>
  </r>
  <r>
    <x v="71"/>
    <s v="042"/>
    <m/>
    <x v="10"/>
    <d v="1899-12-30T01:58:11"/>
    <n v="20.91"/>
    <d v="1899-12-30T00:05:39"/>
    <n v="137"/>
    <n v="120"/>
    <n v="213"/>
    <m/>
    <n v="1.0622436492531016"/>
    <s v="ASICS DynaFlite"/>
    <s v=""/>
    <s v="-"/>
    <s v=""/>
    <n v="1.5547445255474452"/>
  </r>
  <r>
    <x v="72"/>
    <m/>
    <m/>
    <x v="1"/>
    <m/>
    <s v=""/>
    <m/>
    <m/>
    <m/>
    <m/>
    <m/>
    <s v=""/>
    <m/>
    <s v=""/>
    <s v="-"/>
    <s v=""/>
    <s v=""/>
  </r>
  <r>
    <x v="73"/>
    <s v="043"/>
    <m/>
    <x v="11"/>
    <d v="1899-12-30T00:42:18"/>
    <n v="7.46"/>
    <d v="1899-12-30T00:05:40"/>
    <n v="128"/>
    <n v="42"/>
    <n v="210"/>
    <m/>
    <n v="1.0506623560952533"/>
    <s v="ASICS GEL-Kayano 20"/>
    <s v=""/>
    <s v="-"/>
    <s v=""/>
    <n v="1.640625"/>
  </r>
  <r>
    <x v="74"/>
    <m/>
    <m/>
    <x v="1"/>
    <m/>
    <s v=""/>
    <m/>
    <m/>
    <m/>
    <m/>
    <m/>
    <s v=""/>
    <m/>
    <s v=""/>
    <s v="-"/>
    <s v=""/>
    <s v=""/>
  </r>
  <r>
    <x v="75"/>
    <s v="044"/>
    <m/>
    <x v="12"/>
    <d v="1899-12-30T00:42:34"/>
    <n v="8.15"/>
    <d v="1899-12-30T00:05:13"/>
    <n v="140"/>
    <n v="56"/>
    <n v="223"/>
    <m/>
    <n v="1.0276831468783831"/>
    <s v="New Balance"/>
    <n v="230.89999999999998"/>
    <s v="-"/>
    <n v="254.10000000000002"/>
    <n v="1.5928571428571427"/>
  </r>
  <r>
    <x v="76"/>
    <m/>
    <m/>
    <x v="1"/>
    <m/>
    <s v=""/>
    <m/>
    <m/>
    <m/>
    <m/>
    <m/>
    <s v=""/>
    <m/>
    <s v=""/>
    <s v="-"/>
    <s v=""/>
    <s v=""/>
  </r>
  <r>
    <x v="77"/>
    <s v="045"/>
    <m/>
    <x v="13"/>
    <d v="1899-12-30T00:39:47"/>
    <n v="7.28"/>
    <d v="1899-12-30T00:05:28"/>
    <n v="135"/>
    <n v="46"/>
    <n v="219"/>
    <m/>
    <n v="1.0559813348416289"/>
    <s v="ASICS GEL-Kayano 20"/>
    <s v=""/>
    <s v="-"/>
    <s v=""/>
    <n v="1.6222222222222222"/>
  </r>
  <r>
    <x v="78"/>
    <m/>
    <m/>
    <x v="1"/>
    <m/>
    <s v=""/>
    <m/>
    <m/>
    <m/>
    <m/>
    <m/>
    <s v=""/>
    <m/>
    <s v=""/>
    <s v="-"/>
    <s v=""/>
    <s v=""/>
  </r>
  <r>
    <x v="79"/>
    <s v="046"/>
    <m/>
    <x v="12"/>
    <d v="1899-12-30T00:41:27"/>
    <n v="8.1300000000000008"/>
    <d v="1899-12-30T00:05:06"/>
    <n v="143"/>
    <n v="52"/>
    <n v="232"/>
    <m/>
    <n v="1.0436726720208378"/>
    <s v="ASICS GEL-Kayano 20"/>
    <n v="230.89999999999998"/>
    <s v="-"/>
    <n v="254.10000000000002"/>
    <n v="1.6223776223776223"/>
  </r>
  <r>
    <x v="80"/>
    <m/>
    <m/>
    <x v="1"/>
    <m/>
    <s v=""/>
    <m/>
    <m/>
    <m/>
    <m/>
    <m/>
    <s v=""/>
    <m/>
    <s v=""/>
    <s v="-"/>
    <s v=""/>
    <s v=""/>
  </r>
  <r>
    <x v="81"/>
    <s v="047"/>
    <m/>
    <x v="14"/>
    <d v="1899-12-30T00:38:42"/>
    <n v="6.66"/>
    <d v="1899-12-30T00:05:49"/>
    <n v="124"/>
    <n v="38"/>
    <n v="209"/>
    <m/>
    <n v="1.0715818759936409"/>
    <s v="ASICS GEL-Kayano 20"/>
    <s v=""/>
    <s v="-"/>
    <s v=""/>
    <n v="1.685483870967742"/>
  </r>
  <r>
    <x v="82"/>
    <m/>
    <m/>
    <x v="1"/>
    <m/>
    <s v=""/>
    <m/>
    <m/>
    <m/>
    <m/>
    <m/>
    <s v=""/>
    <m/>
    <s v=""/>
    <s v="-"/>
    <s v=""/>
    <s v=""/>
  </r>
  <r>
    <x v="83"/>
    <s v="048"/>
    <m/>
    <x v="15"/>
    <d v="1899-12-30T00:33:16"/>
    <n v="4.51"/>
    <d v="1899-12-30T00:07:23"/>
    <n v="113"/>
    <n v="20"/>
    <n v="161"/>
    <m/>
    <n v="1.047854441111256"/>
    <s v="ASICS GEL-Kayano 20"/>
    <s v=""/>
    <s v="-"/>
    <s v=""/>
    <n v="1.4247787610619469"/>
  </r>
  <r>
    <x v="84"/>
    <s v="049"/>
    <s v="n"/>
    <x v="4"/>
    <d v="1899-12-30T01:32:38"/>
    <n v="21.094999999999999"/>
    <d v="1899-12-30T00:04:23"/>
    <n v="157"/>
    <n v="149"/>
    <n v="267"/>
    <m/>
    <n v="1.0345258843048952"/>
    <s v="New Balance"/>
    <s v=""/>
    <s v="-"/>
    <s v=""/>
    <n v="1.7006369426751593"/>
  </r>
  <r>
    <x v="85"/>
    <m/>
    <m/>
    <x v="1"/>
    <m/>
    <s v=""/>
    <m/>
    <m/>
    <m/>
    <m/>
    <m/>
    <s v=""/>
    <m/>
    <s v=""/>
    <s v="-"/>
    <s v=""/>
    <s v=""/>
  </r>
  <r>
    <x v="86"/>
    <s v="050"/>
    <m/>
    <x v="15"/>
    <d v="1899-12-30T00:29:29"/>
    <n v="4.7"/>
    <d v="1899-12-30T00:06:16"/>
    <m/>
    <n v="17"/>
    <n v="192"/>
    <m/>
    <n v="1.0627284105131416"/>
    <s v="ASICS GEL-Kayano 20"/>
    <s v=""/>
    <s v="-"/>
    <s v=""/>
    <s v=""/>
  </r>
  <r>
    <x v="87"/>
    <m/>
    <m/>
    <x v="1"/>
    <m/>
    <m/>
    <m/>
    <m/>
    <m/>
    <m/>
    <m/>
    <s v=""/>
    <m/>
    <s v=""/>
    <s v="-"/>
    <s v=""/>
    <s v=""/>
  </r>
  <r>
    <x v="88"/>
    <m/>
    <m/>
    <x v="1"/>
    <m/>
    <s v=""/>
    <m/>
    <m/>
    <m/>
    <m/>
    <m/>
    <s v=""/>
    <m/>
    <s v=""/>
    <s v="-"/>
    <s v=""/>
    <s v=""/>
  </r>
  <r>
    <x v="89"/>
    <s v="051"/>
    <m/>
    <x v="0"/>
    <d v="1899-12-30T01:06:54"/>
    <n v="12.3"/>
    <d v="1899-12-30T00:05:26"/>
    <m/>
    <n v="74"/>
    <n v="222"/>
    <m/>
    <n v="1.065408895265423"/>
    <s v="ASICS GEL-Kayano 20"/>
    <m/>
    <s v="-"/>
    <m/>
    <s v=""/>
  </r>
  <r>
    <x v="90"/>
    <s v="052"/>
    <m/>
    <x v="16"/>
    <d v="1899-12-30T00:51:46"/>
    <n v="9.77"/>
    <d v="1899-12-30T00:05:18"/>
    <m/>
    <n v="56"/>
    <n v="221"/>
    <m/>
    <n v="1.0332139201637665"/>
    <s v="ASICS GEL-Kayano 20"/>
    <s v=""/>
    <s v="-"/>
    <s v=""/>
    <s v=""/>
  </r>
  <r>
    <x v="91"/>
    <m/>
    <m/>
    <x v="1"/>
    <m/>
    <m/>
    <m/>
    <m/>
    <m/>
    <m/>
    <m/>
    <s v=""/>
    <m/>
    <s v=""/>
    <s v="-"/>
    <s v=""/>
    <s v=""/>
  </r>
  <r>
    <x v="92"/>
    <s v="053"/>
    <m/>
    <x v="0"/>
    <d v="1899-12-30T00:54:08"/>
    <n v="10.4"/>
    <d v="1899-12-30T00:05:12"/>
    <m/>
    <n v="63"/>
    <n v="230"/>
    <m/>
    <n v="1.0563348416289593"/>
    <s v="ASICS GEL-Kayano 20"/>
    <m/>
    <s v="-"/>
    <m/>
    <s v=""/>
  </r>
  <r>
    <x v="93"/>
    <s v="054"/>
    <m/>
    <x v="15"/>
    <d v="1899-12-30T00:29:30"/>
    <n v="3.97"/>
    <d v="1899-12-30T00:07:26"/>
    <n v="113"/>
    <n v="17"/>
    <n v="161"/>
    <m/>
    <n v="1.0556008297525556"/>
    <s v="ASICS GEL-Kayano 20"/>
    <s v=""/>
    <s v="-"/>
    <s v=""/>
    <n v="1.4247787610619469"/>
  </r>
  <r>
    <x v="94"/>
    <s v="055"/>
    <m/>
    <x v="16"/>
    <d v="1899-12-30T00:45:04"/>
    <n v="8.27"/>
    <d v="1899-12-30T00:05:27"/>
    <n v="136"/>
    <n v="48"/>
    <n v="219"/>
    <m/>
    <n v="1.0530194181662995"/>
    <s v="ASICS GEL-Kayano 20"/>
    <s v=""/>
    <s v="-"/>
    <s v=""/>
    <n v="1.6102941176470589"/>
  </r>
  <r>
    <x v="95"/>
    <m/>
    <m/>
    <x v="1"/>
    <m/>
    <s v=""/>
    <m/>
    <m/>
    <m/>
    <m/>
    <m/>
    <s v=""/>
    <m/>
    <s v=""/>
    <s v="-"/>
    <s v=""/>
    <s v=""/>
  </r>
  <r>
    <x v="96"/>
    <m/>
    <m/>
    <x v="1"/>
    <m/>
    <s v=""/>
    <m/>
    <m/>
    <m/>
    <m/>
    <m/>
    <s v=""/>
    <m/>
    <s v=""/>
    <s v="-"/>
    <s v=""/>
    <s v=""/>
  </r>
  <r>
    <x v="97"/>
    <s v="056"/>
    <m/>
    <x v="0"/>
    <d v="1899-12-30T01:00:22"/>
    <n v="11.4"/>
    <d v="1899-12-30T00:05:18"/>
    <n v="141"/>
    <n v="72"/>
    <n v="229"/>
    <m/>
    <n v="1.0699664602683179"/>
    <s v="ASICS GEL-Kayano 20"/>
    <m/>
    <s v="-"/>
    <m/>
    <n v="1.624113475177305"/>
  </r>
  <r>
    <x v="98"/>
    <s v="057"/>
    <m/>
    <x v="16"/>
    <d v="1899-12-30T01:03:15"/>
    <n v="10.3"/>
    <d v="1899-12-30T00:06:08"/>
    <n v="127"/>
    <n v="56"/>
    <m/>
    <m/>
    <m/>
    <s v="ASICS GEL-Kayano 20"/>
    <s v=""/>
    <s v="-"/>
    <s v=""/>
    <m/>
  </r>
  <r>
    <x v="99"/>
    <m/>
    <m/>
    <x v="1"/>
    <m/>
    <s v=""/>
    <m/>
    <m/>
    <m/>
    <m/>
    <m/>
    <s v=""/>
    <m/>
    <s v=""/>
    <s v="-"/>
    <s v=""/>
    <s v=""/>
  </r>
  <r>
    <x v="100"/>
    <s v="058"/>
    <m/>
    <x v="16"/>
    <d v="1899-12-30T01:02:34"/>
    <n v="10.199999999999999"/>
    <d v="1899-12-30T00:06:08"/>
    <n v="124"/>
    <n v="56"/>
    <n v="194"/>
    <m/>
    <n v="1.0499942329873129"/>
    <s v="ASICS GEL-Kayano 20"/>
    <s v=""/>
    <s v="-"/>
    <s v=""/>
    <n v="1.564516129032258"/>
  </r>
  <r>
    <x v="101"/>
    <s v="059"/>
    <m/>
    <x v="0"/>
    <d v="1899-12-30T00:38:09"/>
    <n v="7.22"/>
    <d v="1899-12-30T00:05:17"/>
    <n v="139"/>
    <n v="45"/>
    <n v="225"/>
    <m/>
    <n v="1.0490162131334531"/>
    <s v="ASICS GEL-Kayano 20"/>
    <m/>
    <s v="-"/>
    <m/>
    <n v="1.6187050359712229"/>
  </r>
  <r>
    <x v="102"/>
    <m/>
    <m/>
    <x v="1"/>
    <m/>
    <s v=""/>
    <m/>
    <m/>
    <m/>
    <m/>
    <m/>
    <s v=""/>
    <m/>
    <s v=""/>
    <s v="-"/>
    <s v=""/>
    <s v=""/>
  </r>
  <r>
    <x v="103"/>
    <s v="060"/>
    <m/>
    <x v="16"/>
    <d v="1899-12-30T01:04:24"/>
    <n v="11.39"/>
    <d v="1899-12-30T00:05:39"/>
    <n v="129"/>
    <n v="65"/>
    <n v="213"/>
    <m/>
    <n v="1.0626349222744409"/>
    <s v="ASICS GEL-Kayano 20"/>
    <s v=""/>
    <s v="-"/>
    <s v=""/>
    <n v="1.6511627906976745"/>
  </r>
  <r>
    <x v="104"/>
    <m/>
    <m/>
    <x v="1"/>
    <m/>
    <s v=""/>
    <m/>
    <m/>
    <m/>
    <m/>
    <m/>
    <s v=""/>
    <m/>
    <s v=""/>
    <s v="-"/>
    <s v=""/>
    <s v=""/>
  </r>
  <r>
    <x v="105"/>
    <s v="061"/>
    <m/>
    <x v="17"/>
    <d v="1899-12-30T00:59:58"/>
    <n v="9.39"/>
    <d v="1899-12-30T00:06:23"/>
    <n v="135"/>
    <n v="49"/>
    <n v="189"/>
    <m/>
    <n v="1.0649971809810186"/>
    <s v="ASICS GEL-Kayano 20"/>
    <s v=""/>
    <s v="-"/>
    <s v=""/>
    <n v="1.4"/>
  </r>
  <r>
    <x v="106"/>
    <m/>
    <m/>
    <x v="1"/>
    <m/>
    <s v=""/>
    <m/>
    <m/>
    <m/>
    <m/>
    <m/>
    <s v=""/>
    <m/>
    <s v=""/>
    <s v="-"/>
    <s v=""/>
    <s v=""/>
  </r>
  <r>
    <x v="107"/>
    <m/>
    <m/>
    <x v="1"/>
    <m/>
    <s v=""/>
    <m/>
    <m/>
    <m/>
    <m/>
    <m/>
    <s v=""/>
    <m/>
    <s v=""/>
    <s v="-"/>
    <s v=""/>
    <s v=""/>
  </r>
  <r>
    <x v="108"/>
    <s v="062"/>
    <m/>
    <x v="17"/>
    <d v="1899-12-30T01:06:50"/>
    <n v="11.92"/>
    <d v="1899-12-30T00:05:36"/>
    <n v="133"/>
    <n v="67"/>
    <n v="213"/>
    <m/>
    <n v="1.0537529609159102"/>
    <s v="Saucony München 3"/>
    <s v=""/>
    <s v="-"/>
    <s v=""/>
    <n v="1.6015037593984962"/>
  </r>
  <r>
    <x v="109"/>
    <s v="063"/>
    <m/>
    <x v="14"/>
    <d v="1899-12-30T00:37:59"/>
    <n v="6.01"/>
    <d v="1899-12-30T00:06:19"/>
    <n v="122"/>
    <n v="30"/>
    <m/>
    <m/>
    <m/>
    <s v="Saucony München 3"/>
    <s v=""/>
    <s v="-"/>
    <s v=""/>
    <m/>
  </r>
  <r>
    <x v="110"/>
    <m/>
    <m/>
    <x v="1"/>
    <m/>
    <s v=""/>
    <m/>
    <m/>
    <m/>
    <m/>
    <m/>
    <s v=""/>
    <m/>
    <s v=""/>
    <s v="-"/>
    <s v=""/>
    <s v=""/>
  </r>
  <r>
    <x v="111"/>
    <m/>
    <m/>
    <x v="1"/>
    <m/>
    <s v=""/>
    <m/>
    <m/>
    <m/>
    <m/>
    <m/>
    <s v=""/>
    <m/>
    <s v=""/>
    <s v="-"/>
    <s v=""/>
    <s v=""/>
  </r>
  <r>
    <x v="112"/>
    <s v="064"/>
    <m/>
    <x v="16"/>
    <d v="1899-12-30T00:55:53"/>
    <n v="10.44"/>
    <d v="1899-12-30T00:05:21"/>
    <n v="146"/>
    <n v="62"/>
    <m/>
    <m/>
    <m/>
    <s v="ASICS GEL-Kayano 20"/>
    <s v=""/>
    <s v="-"/>
    <s v=""/>
    <m/>
  </r>
  <r>
    <x v="113"/>
    <m/>
    <m/>
    <x v="1"/>
    <m/>
    <s v=""/>
    <m/>
    <m/>
    <m/>
    <m/>
    <m/>
    <s v=""/>
    <m/>
    <s v=""/>
    <s v="-"/>
    <s v=""/>
    <s v=""/>
  </r>
  <r>
    <x v="114"/>
    <m/>
    <m/>
    <x v="1"/>
    <m/>
    <s v=""/>
    <m/>
    <m/>
    <m/>
    <m/>
    <m/>
    <s v=""/>
    <m/>
    <s v=""/>
    <s v="-"/>
    <s v=""/>
    <s v=""/>
  </r>
  <r>
    <x v="115"/>
    <s v="065"/>
    <m/>
    <x v="16"/>
    <d v="1899-12-30T01:02:33"/>
    <n v="11.46"/>
    <d v="1899-12-30T00:05:27"/>
    <n v="134"/>
    <n v="65"/>
    <n v="216"/>
    <m/>
    <n v="1.0402525408068986"/>
    <s v="ASICS GEL-Kayano 20"/>
    <s v=""/>
    <s v="-"/>
    <s v=""/>
    <n v="1.6119402985074627"/>
  </r>
  <r>
    <x v="116"/>
    <s v="066"/>
    <m/>
    <x v="14"/>
    <d v="1899-12-30T00:21:54"/>
    <n v="4.01"/>
    <d v="1899-12-30T00:05:28"/>
    <n v="124"/>
    <n v="23"/>
    <n v="218"/>
    <m/>
    <n v="1.0505060877218717"/>
    <s v="ASICS GEL-Kayano 20"/>
    <s v=""/>
    <s v="-"/>
    <s v=""/>
    <n v="1.7580645161290323"/>
  </r>
  <r>
    <x v="117"/>
    <s v="067"/>
    <m/>
    <x v="18"/>
    <d v="1899-12-30T00:38:49"/>
    <n v="9.18"/>
    <d v="1899-12-30T00:04:14"/>
    <n v="163"/>
    <n v="63"/>
    <n v="279"/>
    <m/>
    <n v="1.0409313725490197"/>
    <s v="ASICS GEL-Kayano 20"/>
    <s v=""/>
    <s v="-"/>
    <s v=""/>
    <n v="1.7116564417177915"/>
  </r>
  <r>
    <x v="118"/>
    <s v="068"/>
    <m/>
    <x v="16"/>
    <d v="1899-12-30T00:56:33"/>
    <n v="9.83"/>
    <d v="1899-12-30T00:05:45"/>
    <n v="127"/>
    <n v="55"/>
    <n v="209"/>
    <m/>
    <n v="1.0608835497576445"/>
    <s v="ASICS GEL-Kayano 20"/>
    <s v=""/>
    <s v="-"/>
    <s v=""/>
    <n v="1.6456692913385826"/>
  </r>
  <r>
    <x v="119"/>
    <m/>
    <m/>
    <x v="1"/>
    <m/>
    <s v=""/>
    <m/>
    <m/>
    <m/>
    <m/>
    <m/>
    <s v=""/>
    <m/>
    <s v=""/>
    <s v="-"/>
    <s v=""/>
    <s v=""/>
  </r>
  <r>
    <x v="120"/>
    <m/>
    <m/>
    <x v="1"/>
    <m/>
    <s v=""/>
    <m/>
    <m/>
    <m/>
    <m/>
    <m/>
    <s v=""/>
    <m/>
    <s v=""/>
    <s v="-"/>
    <s v=""/>
    <s v=""/>
  </r>
  <r>
    <x v="121"/>
    <s v="069"/>
    <m/>
    <x v="16"/>
    <d v="1899-12-30T01:03:32"/>
    <n v="11.4"/>
    <d v="1899-12-30T00:05:34"/>
    <n v="129"/>
    <n v="66"/>
    <n v="216"/>
    <m/>
    <n v="1.0621671826625385"/>
    <s v="Saucony München 3"/>
    <s v=""/>
    <s v="-"/>
    <s v=""/>
    <n v="1.6744186046511629"/>
  </r>
  <r>
    <x v="122"/>
    <s v="070"/>
    <m/>
    <x v="16"/>
    <d v="1899-12-30T00:51:39"/>
    <n v="8.91"/>
    <d v="1899-12-30T00:05:48"/>
    <n v="127"/>
    <n v="51"/>
    <n v="211"/>
    <m/>
    <n v="1.0792384630619927"/>
    <s v="ASICS GEL-Kayano 20"/>
    <s v=""/>
    <s v="-"/>
    <s v=""/>
    <n v="1.6614173228346456"/>
  </r>
  <r>
    <x v="123"/>
    <m/>
    <m/>
    <x v="1"/>
    <m/>
    <s v=""/>
    <m/>
    <m/>
    <m/>
    <m/>
    <m/>
    <s v=""/>
    <m/>
    <s v=""/>
    <s v="-"/>
    <s v=""/>
    <s v=""/>
  </r>
  <r>
    <x v="124"/>
    <s v="071"/>
    <m/>
    <x v="16"/>
    <d v="1899-12-30T01:02:21"/>
    <n v="11.2"/>
    <d v="1899-12-30T00:05:34"/>
    <n v="135"/>
    <n v="72"/>
    <m/>
    <m/>
    <m/>
    <s v="ASICS GEL-Kayano 20"/>
    <s v=""/>
    <s v="-"/>
    <s v=""/>
    <m/>
  </r>
  <r>
    <x v="125"/>
    <m/>
    <m/>
    <x v="1"/>
    <m/>
    <s v=""/>
    <m/>
    <m/>
    <m/>
    <m/>
    <m/>
    <s v=""/>
    <m/>
    <s v=""/>
    <s v="-"/>
    <s v=""/>
    <s v=""/>
  </r>
  <r>
    <x v="126"/>
    <s v="072"/>
    <m/>
    <x v="19"/>
    <d v="1899-12-30T00:54:26"/>
    <n v="10.3"/>
    <d v="1899-12-30T00:05:17"/>
    <n v="140"/>
    <n v="66"/>
    <n v="226"/>
    <m/>
    <n v="1.0538492290119932"/>
    <s v="Saucony München 3"/>
    <s v=""/>
    <s v="-"/>
    <s v=""/>
    <n v="1.6142857142857143"/>
  </r>
  <r>
    <x v="127"/>
    <m/>
    <m/>
    <x v="1"/>
    <m/>
    <s v=""/>
    <m/>
    <m/>
    <m/>
    <m/>
    <m/>
    <s v=""/>
    <m/>
    <s v=""/>
    <s v="-"/>
    <s v=""/>
    <s v=""/>
  </r>
  <r>
    <x v="128"/>
    <s v="073"/>
    <m/>
    <x v="16"/>
    <d v="1899-12-30T01:23:07"/>
    <n v="14.9"/>
    <d v="1899-12-30T00:05:35"/>
    <n v="140"/>
    <n v="87"/>
    <n v="217"/>
    <m/>
    <n v="1.0680803395183578"/>
    <s v="ASICS GEL-Kayano 20"/>
    <s v=""/>
    <s v="-"/>
    <s v=""/>
    <n v="1.55"/>
  </r>
  <r>
    <x v="129"/>
    <s v="074"/>
    <m/>
    <x v="16"/>
    <d v="1899-12-30T00:42:43"/>
    <n v="7.54"/>
    <d v="1899-12-30T00:05:40"/>
    <n v="138"/>
    <n v="43"/>
    <n v="212"/>
    <m/>
    <n v="1.0597519113746297"/>
    <s v="ASICS GEL-Kayano 20"/>
    <s v=""/>
    <s v="-"/>
    <s v=""/>
    <n v="1.536231884057971"/>
  </r>
  <r>
    <x v="130"/>
    <m/>
    <m/>
    <x v="1"/>
    <m/>
    <s v=""/>
    <m/>
    <m/>
    <m/>
    <m/>
    <m/>
    <s v=""/>
    <m/>
    <s v=""/>
    <s v="-"/>
    <s v=""/>
    <s v=""/>
  </r>
  <r>
    <x v="131"/>
    <s v="075"/>
    <m/>
    <x v="16"/>
    <d v="1899-12-30T00:48:09"/>
    <n v="8.3800000000000008"/>
    <d v="1899-12-30T00:05:45"/>
    <n v="134"/>
    <n v="49"/>
    <n v="212"/>
    <m/>
    <n v="1.0748069633581356"/>
    <s v="ASICS GEL-Kayano 20"/>
    <s v=""/>
    <s v="-"/>
    <s v=""/>
    <n v="1.5820895522388059"/>
  </r>
  <r>
    <x v="132"/>
    <m/>
    <m/>
    <x v="1"/>
    <m/>
    <s v=""/>
    <m/>
    <m/>
    <m/>
    <m/>
    <m/>
    <s v=""/>
    <m/>
    <s v=""/>
    <s v="-"/>
    <s v=""/>
    <s v=""/>
  </r>
  <r>
    <x v="133"/>
    <m/>
    <m/>
    <x v="1"/>
    <m/>
    <s v=""/>
    <m/>
    <m/>
    <m/>
    <m/>
    <m/>
    <s v=""/>
    <m/>
    <s v=""/>
    <s v="-"/>
    <s v=""/>
    <s v=""/>
  </r>
  <r>
    <x v="134"/>
    <s v="076"/>
    <m/>
    <x v="16"/>
    <d v="1899-12-30T00:45:56"/>
    <n v="8.4"/>
    <d v="1899-12-30T00:05:28"/>
    <n v="137"/>
    <n v="52"/>
    <m/>
    <m/>
    <m/>
    <s v="ASICS GEL-Kayano 20"/>
    <s v=""/>
    <s v="-"/>
    <s v=""/>
    <m/>
  </r>
  <r>
    <x v="135"/>
    <m/>
    <m/>
    <x v="1"/>
    <m/>
    <s v=""/>
    <m/>
    <m/>
    <m/>
    <m/>
    <m/>
    <m/>
    <m/>
    <s v=""/>
    <s v="-"/>
    <s v=""/>
    <s v=""/>
  </r>
  <r>
    <x v="136"/>
    <s v="077"/>
    <m/>
    <x v="16"/>
    <d v="1899-12-30T00:53:58"/>
    <n v="9.6999999999999993"/>
    <d v="1899-12-30T00:05:34"/>
    <n v="151"/>
    <n v="63"/>
    <m/>
    <m/>
    <m/>
    <s v="ASICS GEL-Kayano 20"/>
    <s v=""/>
    <s v="-"/>
    <s v=""/>
    <m/>
  </r>
  <r>
    <x v="137"/>
    <m/>
    <m/>
    <x v="1"/>
    <m/>
    <s v=""/>
    <m/>
    <m/>
    <m/>
    <m/>
    <m/>
    <s v=""/>
    <m/>
    <s v=""/>
    <s v="-"/>
    <s v=""/>
    <s v=""/>
  </r>
  <r>
    <x v="138"/>
    <m/>
    <m/>
    <x v="1"/>
    <m/>
    <s v=""/>
    <m/>
    <m/>
    <m/>
    <m/>
    <m/>
    <s v=""/>
    <m/>
    <s v=""/>
    <s v="-"/>
    <s v=""/>
    <s v=""/>
  </r>
  <r>
    <x v="139"/>
    <m/>
    <m/>
    <x v="1"/>
    <m/>
    <s v=""/>
    <m/>
    <m/>
    <m/>
    <m/>
    <m/>
    <s v=""/>
    <m/>
    <s v=""/>
    <s v="-"/>
    <s v=""/>
    <s v=""/>
  </r>
  <r>
    <x v="140"/>
    <m/>
    <m/>
    <x v="1"/>
    <m/>
    <s v=""/>
    <m/>
    <m/>
    <m/>
    <m/>
    <m/>
    <s v=""/>
    <m/>
    <s v=""/>
    <s v="-"/>
    <s v=""/>
    <s v=""/>
  </r>
  <r>
    <x v="141"/>
    <m/>
    <m/>
    <x v="1"/>
    <m/>
    <s v=""/>
    <m/>
    <m/>
    <m/>
    <m/>
    <m/>
    <s v=""/>
    <m/>
    <s v=""/>
    <s v="-"/>
    <s v=""/>
    <s v=""/>
  </r>
  <r>
    <x v="142"/>
    <m/>
    <m/>
    <x v="1"/>
    <m/>
    <s v=""/>
    <m/>
    <m/>
    <m/>
    <m/>
    <m/>
    <s v=""/>
    <m/>
    <s v=""/>
    <s v="-"/>
    <s v=""/>
    <s v=""/>
  </r>
  <r>
    <x v="143"/>
    <m/>
    <m/>
    <x v="1"/>
    <m/>
    <s v=""/>
    <m/>
    <m/>
    <m/>
    <m/>
    <m/>
    <s v=""/>
    <m/>
    <s v=""/>
    <s v="-"/>
    <s v=""/>
    <s v=""/>
  </r>
  <r>
    <x v="144"/>
    <m/>
    <m/>
    <x v="1"/>
    <m/>
    <s v=""/>
    <m/>
    <m/>
    <m/>
    <m/>
    <m/>
    <s v=""/>
    <m/>
    <s v=""/>
    <s v="-"/>
    <s v=""/>
    <s v=""/>
  </r>
  <r>
    <x v="145"/>
    <s v="078"/>
    <m/>
    <x v="11"/>
    <d v="1899-12-30T00:49:11"/>
    <n v="8.43"/>
    <d v="1899-12-30T00:05:50"/>
    <n v="136"/>
    <n v="48"/>
    <n v="211"/>
    <m/>
    <n v="1.0862134533528716"/>
    <s v="ASICS GEL-Kayano 20"/>
    <s v=""/>
    <s v="-"/>
    <s v=""/>
    <n v="1.5514705882352942"/>
  </r>
  <r>
    <x v="146"/>
    <m/>
    <m/>
    <x v="1"/>
    <m/>
    <s v=""/>
    <m/>
    <m/>
    <m/>
    <m/>
    <m/>
    <s v=""/>
    <m/>
    <s v=""/>
    <s v="-"/>
    <s v=""/>
    <s v=""/>
  </r>
  <r>
    <x v="147"/>
    <s v="079"/>
    <m/>
    <x v="16"/>
    <d v="1899-12-30T00:58:07"/>
    <n v="10.199999999999999"/>
    <d v="1899-12-30T00:05:42"/>
    <n v="144"/>
    <n v="59"/>
    <n v="215"/>
    <m/>
    <n v="1.080889561707036"/>
    <s v="ASICS GEL-Kayano 20"/>
    <s v=""/>
    <s v="-"/>
    <s v=""/>
    <n v="1.4930555555555556"/>
  </r>
  <r>
    <x v="148"/>
    <m/>
    <m/>
    <x v="1"/>
    <m/>
    <s v=""/>
    <m/>
    <m/>
    <m/>
    <m/>
    <m/>
    <s v=""/>
    <m/>
    <s v=""/>
    <s v="-"/>
    <s v=""/>
    <s v=""/>
  </r>
  <r>
    <x v="149"/>
    <s v="080"/>
    <m/>
    <x v="16"/>
    <d v="1899-12-30T01:03:45"/>
    <n v="11.4"/>
    <d v="1899-12-30T00:05:36"/>
    <n v="130"/>
    <n v="67"/>
    <n v="217"/>
    <m/>
    <n v="1.0707236842105265"/>
    <s v="Saucony München 3"/>
    <s v=""/>
    <s v="-"/>
    <s v=""/>
    <n v="1.6692307692307693"/>
  </r>
  <r>
    <x v="150"/>
    <s v="081"/>
    <m/>
    <x v="16"/>
    <d v="1899-12-30T01:02:38"/>
    <n v="11.4"/>
    <d v="1899-12-30T00:05:30"/>
    <n v="139"/>
    <n v="67"/>
    <n v="218"/>
    <m/>
    <n v="1.0568163054695563"/>
    <s v="Saucony München 3"/>
    <s v=""/>
    <s v="-"/>
    <s v=""/>
    <n v="1.5683453237410072"/>
  </r>
  <r>
    <x v="151"/>
    <m/>
    <m/>
    <x v="1"/>
    <m/>
    <s v=""/>
    <m/>
    <m/>
    <m/>
    <m/>
    <m/>
    <s v=""/>
    <m/>
    <s v=""/>
    <s v="-"/>
    <s v=""/>
    <s v=""/>
  </r>
  <r>
    <x v="152"/>
    <s v="082"/>
    <m/>
    <x v="16"/>
    <d v="1899-12-30T01:04:29"/>
    <n v="11.28"/>
    <d v="1899-12-30T00:05:43"/>
    <n v="136"/>
    <n v="66"/>
    <n v="214"/>
    <m/>
    <n v="1.0794300166875259"/>
    <s v="Saucony München 3"/>
    <s v=""/>
    <s v="-"/>
    <s v=""/>
    <n v="1.5735294117647058"/>
  </r>
  <r>
    <x v="153"/>
    <m/>
    <m/>
    <x v="1"/>
    <m/>
    <s v=""/>
    <m/>
    <m/>
    <m/>
    <m/>
    <m/>
    <s v=""/>
    <m/>
    <s v=""/>
    <s v="-"/>
    <s v=""/>
    <s v=""/>
  </r>
  <r>
    <x v="154"/>
    <m/>
    <m/>
    <x v="1"/>
    <m/>
    <s v=""/>
    <m/>
    <m/>
    <m/>
    <m/>
    <m/>
    <s v=""/>
    <m/>
    <s v=""/>
    <s v="-"/>
    <s v=""/>
    <s v=""/>
  </r>
  <r>
    <x v="155"/>
    <m/>
    <m/>
    <x v="1"/>
    <m/>
    <s v=""/>
    <m/>
    <m/>
    <m/>
    <m/>
    <m/>
    <s v=""/>
    <m/>
    <s v=""/>
    <s v="-"/>
    <s v=""/>
    <s v=""/>
  </r>
  <r>
    <x v="156"/>
    <s v="083"/>
    <m/>
    <x v="16"/>
    <d v="1899-12-30T00:52:43"/>
    <n v="9.3699999999999992"/>
    <d v="1899-12-30T00:05:38"/>
    <n v="134"/>
    <n v="55"/>
    <n v="217"/>
    <m/>
    <n v="1.0772349174461677"/>
    <s v="Saucony München 3"/>
    <s v=""/>
    <s v="-"/>
    <s v=""/>
    <n v="1.6194029850746268"/>
  </r>
  <r>
    <x v="157"/>
    <s v="084"/>
    <m/>
    <x v="17"/>
    <d v="1899-12-30T01:11:25"/>
    <n v="12.9"/>
    <d v="1899-12-30T00:05:32"/>
    <n v="136"/>
    <n v="74"/>
    <n v="217"/>
    <m/>
    <n v="1.0600148198814408"/>
    <s v="Saucony München 3"/>
    <s v=""/>
    <s v="-"/>
    <s v=""/>
    <n v="1.5955882352941178"/>
  </r>
  <r>
    <x v="158"/>
    <m/>
    <m/>
    <x v="1"/>
    <m/>
    <s v=""/>
    <m/>
    <m/>
    <m/>
    <m/>
    <m/>
    <s v=""/>
    <m/>
    <s v=""/>
    <s v="-"/>
    <s v=""/>
    <s v=""/>
  </r>
  <r>
    <x v="159"/>
    <s v="085"/>
    <m/>
    <x v="20"/>
    <d v="1899-12-30T01:08:05"/>
    <n v="14.3"/>
    <d v="1899-12-30T00:04:46"/>
    <n v="157"/>
    <n v="91"/>
    <n v="242"/>
    <m/>
    <n v="1.0166289592760178"/>
    <s v="New Balance"/>
    <s v=""/>
    <s v="-"/>
    <s v=""/>
    <n v="1.5414012738853504"/>
  </r>
  <r>
    <x v="160"/>
    <m/>
    <m/>
    <x v="1"/>
    <m/>
    <s v=""/>
    <m/>
    <m/>
    <m/>
    <m/>
    <m/>
    <s v=""/>
    <m/>
    <s v=""/>
    <s v="-"/>
    <s v=""/>
    <s v=""/>
  </r>
  <r>
    <x v="161"/>
    <s v="086"/>
    <m/>
    <x v="21"/>
    <d v="1899-12-30T01:17:49"/>
    <n v="13.26"/>
    <d v="1899-12-30T00:05:52"/>
    <n v="132"/>
    <n v="72"/>
    <n v="205"/>
    <m/>
    <n v="1.0615129535977286"/>
    <s v="Saucony München 3"/>
    <s v=""/>
    <s v="-"/>
    <s v=""/>
    <n v="1.553030303030303"/>
  </r>
  <r>
    <x v="162"/>
    <m/>
    <m/>
    <x v="1"/>
    <m/>
    <s v=""/>
    <m/>
    <m/>
    <m/>
    <m/>
    <m/>
    <s v=""/>
    <m/>
    <s v=""/>
    <s v="-"/>
    <s v=""/>
    <s v=""/>
  </r>
  <r>
    <x v="163"/>
    <s v="087"/>
    <m/>
    <x v="22"/>
    <d v="1899-12-30T00:35:25"/>
    <n v="5.86"/>
    <d v="1899-12-30T00:06:03"/>
    <n v="146"/>
    <n v="39"/>
    <n v="196"/>
    <m/>
    <n v="1.045221843003413"/>
    <s v="New Balance"/>
    <s v=""/>
    <s v="-"/>
    <s v=""/>
    <n v="1.3424657534246576"/>
  </r>
  <r>
    <x v="164"/>
    <s v="088"/>
    <m/>
    <x v="16"/>
    <d v="1899-12-30T00:51:39"/>
    <n v="9.83"/>
    <d v="1899-12-30T00:05:15"/>
    <n v="141"/>
    <n v="60"/>
    <n v="228"/>
    <m/>
    <n v="1.0570462569564958"/>
    <m/>
    <s v=""/>
    <s v="-"/>
    <s v=""/>
    <n v="1.6170212765957446"/>
  </r>
  <r>
    <x v="165"/>
    <m/>
    <m/>
    <x v="1"/>
    <m/>
    <s v=""/>
    <m/>
    <m/>
    <m/>
    <m/>
    <m/>
    <s v=""/>
    <m/>
    <s v=""/>
    <s v="-"/>
    <s v=""/>
    <s v=""/>
  </r>
  <r>
    <x v="166"/>
    <s v="089"/>
    <m/>
    <x v="17"/>
    <d v="1899-12-30T01:09:18"/>
    <n v="12.1"/>
    <d v="1899-12-30T00:05:44"/>
    <n v="127"/>
    <n v="70"/>
    <n v="212"/>
    <m/>
    <n v="1.0713368983957219"/>
    <s v="Saucony München 3"/>
    <s v=""/>
    <s v="-"/>
    <s v=""/>
    <n v="1.6692913385826771"/>
  </r>
  <r>
    <x v="167"/>
    <s v="090"/>
    <m/>
    <x v="16"/>
    <d v="1899-12-30T01:07:41"/>
    <n v="11.5"/>
    <d v="1899-12-30T00:05:53"/>
    <n v="146"/>
    <n v="64"/>
    <n v="206"/>
    <m/>
    <n v="1.0697774936061382"/>
    <s v="Saucony München 3"/>
    <s v=""/>
    <s v="-"/>
    <s v=""/>
    <n v="1.4109589041095891"/>
  </r>
  <r>
    <x v="168"/>
    <s v="091"/>
    <m/>
    <x v="19"/>
    <d v="1899-12-30T01:33:45"/>
    <n v="16.600000000000001"/>
    <d v="1899-12-30T00:05:39"/>
    <n v="147"/>
    <n v="89"/>
    <n v="207"/>
    <m/>
    <n v="1.0315157689581858"/>
    <s v="ASICS DynaFlite"/>
    <s v=""/>
    <s v="-"/>
    <s v=""/>
    <n v="1.4081632653061225"/>
  </r>
  <r>
    <x v="169"/>
    <m/>
    <m/>
    <x v="1"/>
    <m/>
    <s v=""/>
    <m/>
    <m/>
    <m/>
    <m/>
    <m/>
    <s v=""/>
    <m/>
    <s v=""/>
    <s v="-"/>
    <s v=""/>
    <s v=""/>
  </r>
  <r>
    <x v="170"/>
    <s v="092"/>
    <m/>
    <x v="13"/>
    <d v="1899-12-30T00:39:49"/>
    <n v="6.85"/>
    <d v="1899-12-30T00:05:49"/>
    <n v="143"/>
    <n v="46"/>
    <n v="199"/>
    <m/>
    <n v="1.0206333190210393"/>
    <s v="New Balance"/>
    <s v=""/>
    <s v="-"/>
    <s v=""/>
    <n v="1.3916083916083917"/>
  </r>
  <r>
    <x v="171"/>
    <s v="093"/>
    <m/>
    <x v="16"/>
    <d v="1899-12-30T01:04:06"/>
    <n v="11.3"/>
    <d v="1899-12-30T00:05:40"/>
    <n v="130"/>
    <n v="64"/>
    <n v="211"/>
    <m/>
    <n v="1.0560983862571576"/>
    <s v="Saucony München 3"/>
    <s v=""/>
    <s v="-"/>
    <s v=""/>
    <n v="1.6230769230769231"/>
  </r>
  <r>
    <x v="172"/>
    <s v="094"/>
    <m/>
    <x v="23"/>
    <d v="1899-12-30T00:40:41"/>
    <n v="7.81"/>
    <d v="1899-12-30T00:05:13"/>
    <n v="149"/>
    <n v="51"/>
    <n v="221"/>
    <m/>
    <n v="1.0157810499359796"/>
    <s v="New Balance"/>
    <n v="279.29999999999995"/>
    <s v="-"/>
    <n v="314.60000000000002"/>
    <n v="1.4832214765100671"/>
  </r>
  <r>
    <x v="173"/>
    <s v="095"/>
    <m/>
    <x v="16"/>
    <d v="1899-12-30T01:03:31"/>
    <n v="11.3"/>
    <d v="1899-12-30T00:05:37"/>
    <n v="127"/>
    <n v="64"/>
    <n v="214"/>
    <m/>
    <n v="1.0613664757938572"/>
    <s v="Saucony München 3"/>
    <s v=""/>
    <s v="-"/>
    <s v=""/>
    <n v="1.6850393700787401"/>
  </r>
  <r>
    <x v="174"/>
    <m/>
    <m/>
    <x v="1"/>
    <m/>
    <s v=""/>
    <m/>
    <m/>
    <m/>
    <m/>
    <m/>
    <s v=""/>
    <m/>
    <s v=""/>
    <s v="-"/>
    <s v=""/>
    <s v=""/>
  </r>
  <r>
    <x v="175"/>
    <s v="096"/>
    <m/>
    <x v="24"/>
    <d v="1899-12-30T01:41:53"/>
    <n v="18.07"/>
    <d v="1899-12-30T00:05:38"/>
    <n v="136"/>
    <n v="101"/>
    <n v="212"/>
    <m/>
    <n v="1.0546860249357073"/>
    <s v="ASICS DynaFlite"/>
    <s v=""/>
    <s v="-"/>
    <s v=""/>
    <n v="1.5588235294117647"/>
  </r>
  <r>
    <x v="176"/>
    <m/>
    <m/>
    <x v="1"/>
    <m/>
    <s v=""/>
    <m/>
    <m/>
    <m/>
    <m/>
    <m/>
    <s v=""/>
    <m/>
    <s v=""/>
    <s v="-"/>
    <s v=""/>
    <s v=""/>
  </r>
  <r>
    <x v="177"/>
    <s v="097"/>
    <m/>
    <x v="25"/>
    <d v="1899-12-30T00:51:31"/>
    <n v="9.1199999999999992"/>
    <d v="1899-12-30T00:05:39"/>
    <n v="147"/>
    <n v="59"/>
    <n v="202"/>
    <m/>
    <n v="1.0068079205366356"/>
    <s v="New Balance"/>
    <s v=""/>
    <s v="-"/>
    <s v=""/>
    <n v="1.3741496598639455"/>
  </r>
  <r>
    <x v="178"/>
    <s v="098"/>
    <m/>
    <x v="16"/>
    <d v="1899-12-30T01:05:04"/>
    <n v="11.4"/>
    <d v="1899-12-30T00:05:42"/>
    <n v="131"/>
    <n v="63"/>
    <n v="209"/>
    <m/>
    <n v="1.0525490196078433"/>
    <s v="Saucony München 3"/>
    <s v=""/>
    <s v="-"/>
    <s v=""/>
    <n v="1.5954198473282444"/>
  </r>
  <r>
    <x v="179"/>
    <m/>
    <m/>
    <x v="1"/>
    <m/>
    <s v=""/>
    <m/>
    <m/>
    <m/>
    <m/>
    <m/>
    <s v=""/>
    <m/>
    <s v=""/>
    <s v="-"/>
    <s v=""/>
    <s v=""/>
  </r>
  <r>
    <x v="180"/>
    <s v="099"/>
    <m/>
    <x v="26"/>
    <d v="1899-12-30T00:49:50"/>
    <n v="9.02"/>
    <d v="1899-12-30T00:05:31"/>
    <n v="151"/>
    <n v="60"/>
    <n v="213"/>
    <m/>
    <n v="1.0383298552236859"/>
    <s v="New Balance"/>
    <n v="279.29999999999995"/>
    <s v="-"/>
    <n v="314.60000000000002"/>
    <n v="1.4105960264900663"/>
  </r>
  <r>
    <x v="181"/>
    <s v="100"/>
    <m/>
    <x v="16"/>
    <d v="1899-12-30T01:04:42"/>
    <n v="11.4"/>
    <d v="1899-12-30T00:05:41"/>
    <n v="134"/>
    <n v="65"/>
    <n v="213"/>
    <m/>
    <n v="1.0666486068111456"/>
    <s v="Saucony München 3"/>
    <s v=""/>
    <s v="-"/>
    <s v=""/>
    <n v="1.5895522388059702"/>
  </r>
  <r>
    <x v="182"/>
    <s v="101"/>
    <m/>
    <x v="10"/>
    <d v="1899-12-30T01:53:14"/>
    <n v="19.95"/>
    <d v="1899-12-30T00:05:41"/>
    <n v="136"/>
    <n v="114"/>
    <n v="214"/>
    <m/>
    <n v="1.0717352204039512"/>
    <s v="ASICS DynaFlite"/>
    <s v=""/>
    <s v="-"/>
    <s v=""/>
    <n v="1.5735294117647058"/>
  </r>
  <r>
    <x v="183"/>
    <m/>
    <m/>
    <x v="1"/>
    <m/>
    <s v=""/>
    <m/>
    <m/>
    <m/>
    <m/>
    <m/>
    <s v=""/>
    <m/>
    <s v=""/>
    <s v="-"/>
    <s v=""/>
    <s v=""/>
  </r>
  <r>
    <x v="184"/>
    <s v="102"/>
    <m/>
    <x v="27"/>
    <d v="1899-12-30T00:59:37"/>
    <n v="10.8"/>
    <d v="1899-12-30T00:05:31"/>
    <n v="149"/>
    <n v="73"/>
    <n v="210"/>
    <m/>
    <n v="1.0228349673202615"/>
    <s v="Saucony München 3"/>
    <s v=""/>
    <s v="-"/>
    <s v=""/>
    <n v="1.4093959731543624"/>
  </r>
  <r>
    <x v="185"/>
    <s v="103"/>
    <m/>
    <x v="16"/>
    <d v="1899-12-30T01:03:31"/>
    <n v="11.4"/>
    <d v="1899-12-30T00:05:34"/>
    <n v="129"/>
    <n v="66"/>
    <n v="216"/>
    <m/>
    <n v="1.0618885448916409"/>
    <s v="Saucony München 3"/>
    <s v=""/>
    <s v="-"/>
    <s v=""/>
    <n v="1.6744186046511629"/>
  </r>
  <r>
    <x v="186"/>
    <m/>
    <m/>
    <x v="1"/>
    <m/>
    <s v=""/>
    <s v=""/>
    <m/>
    <m/>
    <m/>
    <m/>
    <s v=""/>
    <m/>
    <s v=""/>
    <s v="-"/>
    <s v=""/>
    <s v=""/>
  </r>
  <r>
    <x v="187"/>
    <s v="104"/>
    <m/>
    <x v="28"/>
    <d v="1899-12-30T00:57:23"/>
    <n v="10.8"/>
    <d v="1899-12-30T00:05:19"/>
    <n v="146"/>
    <n v="72"/>
    <n v="218"/>
    <m/>
    <n v="1.0220234204793028"/>
    <s v="New Balance"/>
    <s v=""/>
    <s v="-"/>
    <s v=""/>
    <n v="1.4931506849315068"/>
  </r>
  <r>
    <x v="188"/>
    <s v="105"/>
    <m/>
    <x v="16"/>
    <d v="1899-12-30T01:04:12"/>
    <n v="11.42"/>
    <d v="1899-12-30T00:05:37"/>
    <n v="132"/>
    <n v="66"/>
    <n v="215"/>
    <m/>
    <n v="1.0664726486041001"/>
    <s v="Saucony München 3"/>
    <s v=""/>
    <s v="-"/>
    <s v=""/>
    <n v="1.6287878787878789"/>
  </r>
  <r>
    <x v="189"/>
    <s v="106"/>
    <m/>
    <x v="29"/>
    <d v="1899-12-30T01:55:59"/>
    <n v="21.4"/>
    <d v="1899-12-30T00:05:25"/>
    <n v="139"/>
    <n v="129"/>
    <m/>
    <m/>
    <m/>
    <s v="ASICS DynaFlite"/>
    <s v=""/>
    <s v="-"/>
    <s v=""/>
    <m/>
  </r>
  <r>
    <x v="190"/>
    <m/>
    <m/>
    <x v="1"/>
    <m/>
    <s v=""/>
    <s v=""/>
    <m/>
    <m/>
    <m/>
    <m/>
    <s v=""/>
    <m/>
    <s v=""/>
    <s v="-"/>
    <s v=""/>
    <s v=""/>
  </r>
  <r>
    <x v="191"/>
    <s v="107"/>
    <m/>
    <x v="16"/>
    <d v="1899-12-30T01:05:44"/>
    <n v="11.38"/>
    <d v="1899-12-30T00:05:47"/>
    <n v="120"/>
    <n v="64"/>
    <n v="210"/>
    <m/>
    <n v="1.0702987697715292"/>
    <s v="Saucony München 3"/>
    <s v=""/>
    <s v="-"/>
    <s v=""/>
    <n v="1.75"/>
  </r>
  <r>
    <x v="192"/>
    <s v="108"/>
    <m/>
    <x v="16"/>
    <d v="1899-12-30T01:05:11"/>
    <n v="11.36"/>
    <d v="1899-12-30T00:05:44"/>
    <n v="118"/>
    <n v="64"/>
    <n v="211"/>
    <m/>
    <n v="1.0682749067937036"/>
    <s v="Saucony München 3"/>
    <s v=""/>
    <s v="-"/>
    <s v=""/>
    <n v="1.7881355932203389"/>
  </r>
  <r>
    <x v="193"/>
    <m/>
    <m/>
    <x v="1"/>
    <m/>
    <s v=""/>
    <s v=""/>
    <m/>
    <m/>
    <m/>
    <m/>
    <s v=""/>
    <m/>
    <s v=""/>
    <s v="-"/>
    <s v=""/>
    <s v=""/>
  </r>
  <r>
    <x v="194"/>
    <s v="109"/>
    <m/>
    <x v="16"/>
    <d v="1899-12-30T01:05:44"/>
    <n v="11.49"/>
    <d v="1899-12-30T00:05:43"/>
    <n v="133"/>
    <n v="65"/>
    <n v="211"/>
    <m/>
    <n v="1.065100087032202"/>
    <s v="Saucony München 3"/>
    <s v=""/>
    <s v="-"/>
    <s v=""/>
    <n v="1.5864661654135339"/>
  </r>
  <r>
    <x v="195"/>
    <m/>
    <m/>
    <x v="1"/>
    <m/>
    <s v=""/>
    <s v=""/>
    <m/>
    <m/>
    <m/>
    <m/>
    <s v=""/>
    <m/>
    <s v=""/>
    <s v="-"/>
    <s v=""/>
    <s v=""/>
  </r>
  <r>
    <x v="196"/>
    <s v="110"/>
    <m/>
    <x v="21"/>
    <d v="1899-12-30T01:24:32"/>
    <n v="15.1"/>
    <d v="1899-12-30T00:05:36"/>
    <n v="131"/>
    <n v="85"/>
    <n v="214"/>
    <m/>
    <n v="1.0570783015192833"/>
    <s v="Adizero Boston"/>
    <s v=""/>
    <s v="-"/>
    <s v=""/>
    <n v="1.633587786259542"/>
  </r>
  <r>
    <x v="197"/>
    <m/>
    <m/>
    <x v="1"/>
    <m/>
    <s v=""/>
    <s v=""/>
    <m/>
    <m/>
    <m/>
    <m/>
    <s v=""/>
    <m/>
    <s v=""/>
    <s v="-"/>
    <s v=""/>
    <s v=""/>
  </r>
  <r>
    <x v="198"/>
    <s v="111"/>
    <m/>
    <x v="30"/>
    <d v="1899-12-30T01:02:55"/>
    <n v="12.2"/>
    <d v="1899-12-30T00:05:09"/>
    <n v="148"/>
    <n v="83"/>
    <n v="225"/>
    <m/>
    <n v="1.0238367888138862"/>
    <s v="Adizero Boston"/>
    <s v=""/>
    <s v="-"/>
    <s v=""/>
    <n v="1.5202702702702702"/>
  </r>
  <r>
    <x v="199"/>
    <s v="112"/>
    <m/>
    <x v="16"/>
    <d v="1899-12-30T01:04:38"/>
    <n v="11.37"/>
    <d v="1899-12-30T00:05:41"/>
    <n v="129"/>
    <n v="64"/>
    <n v="212"/>
    <m/>
    <n v="1.0633452325521242"/>
    <s v="Saucony München 3"/>
    <s v=""/>
    <s v="-"/>
    <s v=""/>
    <n v="1.6434108527131783"/>
  </r>
  <r>
    <x v="200"/>
    <m/>
    <m/>
    <x v="1"/>
    <m/>
    <s v=""/>
    <s v=""/>
    <m/>
    <m/>
    <m/>
    <m/>
    <s v=""/>
    <m/>
    <s v=""/>
    <s v="-"/>
    <s v=""/>
    <s v=""/>
  </r>
  <r>
    <x v="201"/>
    <s v="113"/>
    <m/>
    <x v="31"/>
    <d v="1899-12-30T01:08:46"/>
    <n v="13.46"/>
    <d v="1899-12-30T00:05:07"/>
    <n v="149"/>
    <n v="88"/>
    <m/>
    <m/>
    <m/>
    <s v="Adizero Boston"/>
    <s v=""/>
    <s v="-"/>
    <s v=""/>
    <m/>
  </r>
  <r>
    <x v="202"/>
    <s v="114"/>
    <m/>
    <x v="16"/>
    <d v="1899-12-30T01:03:17"/>
    <n v="11.21"/>
    <d v="1899-12-30T00:05:39"/>
    <n v="130"/>
    <n v="63"/>
    <n v="212"/>
    <m/>
    <n v="1.0559951723776038"/>
    <s v="Saucony München 3"/>
    <s v=""/>
    <s v="-"/>
    <s v=""/>
    <n v="1.6307692307692307"/>
  </r>
  <r>
    <x v="203"/>
    <s v="115"/>
    <m/>
    <x v="24"/>
    <d v="1899-12-30T01:44:41"/>
    <n v="18.8"/>
    <d v="1899-12-30T00:05:34"/>
    <n v="134"/>
    <n v="107"/>
    <n v="215"/>
    <m/>
    <n v="1.0563321339173968"/>
    <s v="ASICS DynaFlite"/>
    <s v=""/>
    <s v="-"/>
    <s v=""/>
    <n v="1.6044776119402986"/>
  </r>
  <r>
    <x v="204"/>
    <m/>
    <m/>
    <x v="1"/>
    <m/>
    <s v=""/>
    <s v=""/>
    <m/>
    <m/>
    <m/>
    <m/>
    <s v=""/>
    <m/>
    <s v=""/>
    <s v="-"/>
    <s v=""/>
    <s v=""/>
  </r>
  <r>
    <x v="205"/>
    <s v="116"/>
    <m/>
    <x v="9"/>
    <d v="1899-12-30T01:13:28"/>
    <n v="14.47"/>
    <d v="1899-12-30T00:05:05"/>
    <n v="155"/>
    <n v="100"/>
    <n v="227"/>
    <m/>
    <n v="1.0169275173787553"/>
    <s v="Adizero Boston"/>
    <s v=""/>
    <s v="-"/>
    <s v=""/>
    <n v="1.4645161290322581"/>
  </r>
  <r>
    <x v="206"/>
    <s v="117"/>
    <m/>
    <x v="16"/>
    <d v="1899-12-30T01:04:12"/>
    <n v="11.48"/>
    <d v="1899-12-30T00:05:36"/>
    <n v="127"/>
    <n v="65"/>
    <n v="214"/>
    <m/>
    <n v="1.0559643369542939"/>
    <s v="Saucony München 3"/>
    <s v=""/>
    <s v="-"/>
    <s v=""/>
    <n v="1.6850393700787401"/>
  </r>
  <r>
    <x v="207"/>
    <s v="118"/>
    <m/>
    <x v="32"/>
    <d v="1899-12-30T01:07:36"/>
    <n v="13.73"/>
    <d v="1899-12-30T00:04:55"/>
    <n v="150"/>
    <n v="90"/>
    <n v="239"/>
    <m/>
    <n v="1.0382845636433744"/>
    <s v="Adizero Boston"/>
    <s v=""/>
    <s v="-"/>
    <s v=""/>
    <n v="1.5933333333333333"/>
  </r>
  <r>
    <x v="208"/>
    <s v="119"/>
    <m/>
    <x v="16"/>
    <d v="1899-12-30T01:02:59"/>
    <n v="11.47"/>
    <d v="1899-12-30T00:05:29"/>
    <n v="129"/>
    <n v="66"/>
    <n v="218"/>
    <m/>
    <n v="1.05623621724191"/>
    <s v="Saucony München 3"/>
    <s v=""/>
    <s v="-"/>
    <s v=""/>
    <n v="1.6899224806201549"/>
  </r>
  <r>
    <x v="209"/>
    <m/>
    <m/>
    <x v="1"/>
    <m/>
    <s v=""/>
    <s v=""/>
    <m/>
    <m/>
    <m/>
    <m/>
    <s v=""/>
    <m/>
    <s v=""/>
    <s v="-"/>
    <s v=""/>
    <s v=""/>
  </r>
  <r>
    <x v="210"/>
    <s v="120"/>
    <m/>
    <x v="10"/>
    <d v="1899-12-30T01:56:46"/>
    <n v="20.84"/>
    <d v="1899-12-30T00:05:36"/>
    <n v="141"/>
    <n v="118"/>
    <n v="214"/>
    <m/>
    <n v="1.0579795641865191"/>
    <s v="ASICS DynaFlite"/>
    <s v=""/>
    <s v="-"/>
    <s v=""/>
    <n v="1.5177304964539007"/>
  </r>
  <r>
    <x v="211"/>
    <m/>
    <m/>
    <x v="1"/>
    <m/>
    <s v=""/>
    <s v=""/>
    <m/>
    <m/>
    <m/>
    <m/>
    <s v=""/>
    <m/>
    <s v=""/>
    <s v="-"/>
    <s v=""/>
    <s v=""/>
  </r>
  <r>
    <x v="212"/>
    <s v="121"/>
    <m/>
    <x v="18"/>
    <d v="1899-12-30T01:11:04"/>
    <n v="13.87"/>
    <d v="1899-12-30T00:05:07"/>
    <n v="143"/>
    <n v="87"/>
    <n v="225"/>
    <m/>
    <n v="1.0172187115653759"/>
    <s v="Adizero Boston"/>
    <s v=""/>
    <s v="-"/>
    <s v=""/>
    <n v="1.5734265734265733"/>
  </r>
  <r>
    <x v="213"/>
    <m/>
    <m/>
    <x v="1"/>
    <m/>
    <s v=""/>
    <s v=""/>
    <m/>
    <m/>
    <m/>
    <m/>
    <s v=""/>
    <m/>
    <s v=""/>
    <s v="-"/>
    <s v=""/>
    <s v=""/>
  </r>
  <r>
    <x v="214"/>
    <s v="122"/>
    <m/>
    <x v="33"/>
    <d v="1899-12-30T01:35:24"/>
    <n v="18.84"/>
    <d v="1899-12-30T00:05:04"/>
    <n v="146"/>
    <n v="127"/>
    <n v="229"/>
    <m/>
    <n v="1.0231641064068939"/>
    <s v="Adizero Boston"/>
    <s v=""/>
    <s v="-"/>
    <s v=""/>
    <n v="1.5684931506849316"/>
  </r>
  <r>
    <x v="215"/>
    <s v="123"/>
    <m/>
    <x v="16"/>
    <d v="1899-12-30T01:02:23"/>
    <n v="11.4"/>
    <d v="1899-12-30T00:05:28"/>
    <n v="129"/>
    <n v="67"/>
    <n v="220"/>
    <m/>
    <n v="1.0622549019607843"/>
    <s v="Saucony München 3"/>
    <s v=""/>
    <s v="-"/>
    <s v=""/>
    <n v="1.7054263565891472"/>
  </r>
  <r>
    <x v="216"/>
    <m/>
    <m/>
    <x v="1"/>
    <m/>
    <s v=""/>
    <s v=""/>
    <m/>
    <m/>
    <m/>
    <m/>
    <s v=""/>
    <m/>
    <s v=""/>
    <s v="-"/>
    <s v=""/>
    <s v=""/>
  </r>
  <r>
    <x v="217"/>
    <s v="124"/>
    <m/>
    <x v="29"/>
    <d v="1899-12-30T01:42:24"/>
    <n v="18.79"/>
    <d v="1899-12-30T00:05:27"/>
    <n v="142"/>
    <n v="111"/>
    <n v="221"/>
    <m/>
    <n v="1.0626929217668974"/>
    <s v="ASICS DynaFlite"/>
    <s v=""/>
    <s v="-"/>
    <s v=""/>
    <n v="1.556338028169014"/>
  </r>
  <r>
    <x v="218"/>
    <m/>
    <m/>
    <x v="1"/>
    <m/>
    <s v=""/>
    <s v=""/>
    <m/>
    <m/>
    <m/>
    <m/>
    <s v=""/>
    <m/>
    <s v=""/>
    <s v="-"/>
    <s v=""/>
    <s v=""/>
  </r>
  <r>
    <x v="219"/>
    <s v="125"/>
    <m/>
    <x v="16"/>
    <d v="1899-12-30T00:53:33"/>
    <n v="9.51"/>
    <d v="1899-12-30T00:05:38"/>
    <n v="124"/>
    <n v="55"/>
    <n v="215"/>
    <m/>
    <n v="1.0682176656151421"/>
    <s v="Saucony München 3"/>
    <s v=""/>
    <s v="-"/>
    <s v=""/>
    <n v="1.7338709677419355"/>
  </r>
  <r>
    <x v="220"/>
    <s v="126"/>
    <m/>
    <x v="16"/>
    <d v="1899-12-30T00:53:50"/>
    <n v="9.5399999999999991"/>
    <d v="1899-12-30T00:05:39"/>
    <n v="122"/>
    <n v="54"/>
    <n v="214"/>
    <m/>
    <n v="1.0655136268343817"/>
    <s v="Saucony München 3"/>
    <s v=""/>
    <s v="-"/>
    <s v=""/>
    <n v="1.7540983606557377"/>
  </r>
  <r>
    <x v="221"/>
    <m/>
    <m/>
    <x v="1"/>
    <m/>
    <s v=""/>
    <s v=""/>
    <m/>
    <m/>
    <m/>
    <m/>
    <s v=""/>
    <m/>
    <s v=""/>
    <s v="-"/>
    <s v=""/>
    <s v=""/>
  </r>
  <r>
    <x v="222"/>
    <s v="127"/>
    <m/>
    <x v="0"/>
    <d v="1899-12-30T01:04:47"/>
    <n v="13.2"/>
    <d v="1899-12-30T00:04:54"/>
    <n v="140"/>
    <n v="87"/>
    <n v="243"/>
    <m/>
    <n v="1.0522961229946526"/>
    <s v="Saucony München 3"/>
    <s v=""/>
    <s v="-"/>
    <s v=""/>
    <n v="1.7357142857142858"/>
  </r>
  <r>
    <x v="223"/>
    <s v="128"/>
    <m/>
    <x v="21"/>
    <d v="1899-12-30T01:20:42"/>
    <n v="14.4"/>
    <d v="1899-12-30T00:05:36"/>
    <n v="129"/>
    <n v="82"/>
    <n v="215"/>
    <m/>
    <n v="1.063143382352941"/>
    <s v="Saucony München 3"/>
    <s v=""/>
    <s v="-"/>
    <s v=""/>
    <n v="1.6666666666666667"/>
  </r>
  <r>
    <x v="224"/>
    <m/>
    <m/>
    <x v="1"/>
    <m/>
    <m/>
    <m/>
    <m/>
    <m/>
    <m/>
    <m/>
    <m/>
    <m/>
    <s v=""/>
    <s v="-"/>
    <s v=""/>
    <s v=""/>
  </r>
  <r>
    <x v="225"/>
    <m/>
    <m/>
    <x v="1"/>
    <m/>
    <s v=""/>
    <s v=""/>
    <m/>
    <m/>
    <m/>
    <m/>
    <s v=""/>
    <m/>
    <s v=""/>
    <s v="-"/>
    <s v=""/>
    <s v=""/>
  </r>
  <r>
    <x v="226"/>
    <s v="129"/>
    <m/>
    <x v="18"/>
    <d v="1899-12-30T00:48:26"/>
    <n v="10.199999999999999"/>
    <d v="1899-12-30T00:04:45"/>
    <n v="154"/>
    <n v="64"/>
    <n v="243"/>
    <m/>
    <n v="1.0333011413520634"/>
    <s v="Adizero Boston"/>
    <s v=""/>
    <s v="-"/>
    <s v=""/>
    <n v="1.5779220779220779"/>
  </r>
  <r>
    <x v="227"/>
    <s v="130"/>
    <m/>
    <x v="16"/>
    <d v="1899-12-30T01:07:03"/>
    <n v="11.64"/>
    <d v="1899-12-30T00:05:46"/>
    <n v="131"/>
    <n v="64"/>
    <n v="207"/>
    <m/>
    <n v="1.0678065856285581"/>
    <s v="Saucony München 3"/>
    <s v=""/>
    <s v="-"/>
    <s v=""/>
    <n v="1.5801526717557253"/>
  </r>
  <r>
    <x v="228"/>
    <s v="131"/>
    <m/>
    <x v="31"/>
    <d v="1899-12-30T00:55:12"/>
    <n v="11.91"/>
    <d v="1899-12-30T00:04:38"/>
    <n v="150"/>
    <n v="80"/>
    <n v="246"/>
    <m/>
    <n v="1.0210308658220235"/>
    <s v="Adizero Boston"/>
    <s v=""/>
    <s v="-"/>
    <s v=""/>
    <n v="1.64"/>
  </r>
  <r>
    <x v="229"/>
    <s v="132"/>
    <m/>
    <x v="16"/>
    <d v="1899-12-30T00:56:45"/>
    <n v="10.4"/>
    <d v="1899-12-30T00:05:27"/>
    <n v="122"/>
    <n v="57"/>
    <n v="215"/>
    <m/>
    <n v="1.0506242824339838"/>
    <s v="Saucony München 3"/>
    <s v=""/>
    <s v="-"/>
    <s v=""/>
    <n v="1.7622950819672132"/>
  </r>
  <r>
    <x v="230"/>
    <m/>
    <m/>
    <x v="1"/>
    <m/>
    <s v=""/>
    <s v=""/>
    <m/>
    <m/>
    <m/>
    <m/>
    <s v=""/>
    <m/>
    <s v=""/>
    <s v="-"/>
    <s v=""/>
    <s v=""/>
  </r>
  <r>
    <x v="231"/>
    <s v="133"/>
    <m/>
    <x v="24"/>
    <d v="1899-12-30T01:50:23"/>
    <n v="19.899999999999999"/>
    <d v="1899-12-30T00:05:33"/>
    <n v="141"/>
    <n v="112"/>
    <n v="213"/>
    <m/>
    <n v="1.0580507012675318"/>
    <s v="ASICS DynaFlite"/>
    <s v=""/>
    <s v="-"/>
    <s v=""/>
    <n v="1.5106382978723405"/>
  </r>
  <r>
    <x v="232"/>
    <m/>
    <m/>
    <x v="1"/>
    <m/>
    <s v=""/>
    <s v=""/>
    <m/>
    <m/>
    <m/>
    <m/>
    <s v=""/>
    <m/>
    <s v=""/>
    <s v="-"/>
    <s v=""/>
    <s v=""/>
  </r>
  <r>
    <x v="233"/>
    <s v="134"/>
    <m/>
    <x v="32"/>
    <d v="1899-12-30T01:10:31"/>
    <n v="14.3"/>
    <d v="1899-12-30T00:04:56"/>
    <n v="141"/>
    <n v="93"/>
    <n v="234"/>
    <m/>
    <n v="1.0333514246947084"/>
    <s v="Adizero Boston"/>
    <s v=""/>
    <s v="-"/>
    <s v=""/>
    <n v="1.6595744680851063"/>
  </r>
  <r>
    <x v="234"/>
    <s v="135"/>
    <m/>
    <x v="16"/>
    <d v="1899-12-30T01:05:15"/>
    <n v="11.6"/>
    <d v="1899-12-30T00:05:37"/>
    <n v="123"/>
    <n v="63"/>
    <n v="210"/>
    <m/>
    <n v="1.0578358208955225"/>
    <s v="Saucony München 3"/>
    <s v=""/>
    <s v="-"/>
    <s v=""/>
    <n v="1.7073170731707317"/>
  </r>
  <r>
    <x v="235"/>
    <s v="136"/>
    <m/>
    <x v="20"/>
    <d v="1899-12-30T00:55:54"/>
    <n v="12.86"/>
    <d v="1899-12-30T00:04:21"/>
    <n v="155"/>
    <n v="85"/>
    <n v="262"/>
    <m/>
    <n v="1.0198788328961723"/>
    <s v="Adizero Boston"/>
    <s v=""/>
    <s v="-"/>
    <s v=""/>
    <n v="1.6903225806451614"/>
  </r>
  <r>
    <x v="236"/>
    <s v="137"/>
    <m/>
    <x v="16"/>
    <d v="1899-12-30T01:04:35"/>
    <n v="11.6"/>
    <d v="1899-12-30T00:05:34"/>
    <n v="128"/>
    <n v="65"/>
    <n v="214"/>
    <m/>
    <n v="1.0669711785898095"/>
    <s v="Saucony München 3"/>
    <s v=""/>
    <s v="-"/>
    <s v=""/>
    <n v="1.671875"/>
  </r>
  <r>
    <x v="237"/>
    <s v="138"/>
    <m/>
    <x v="10"/>
    <d v="1899-12-30T01:44:04"/>
    <n v="20"/>
    <d v="1899-12-30T00:05:12"/>
    <n v="135"/>
    <n v="119"/>
    <n v="225"/>
    <m/>
    <n v="1.0484328358208956"/>
    <s v="ASICS DynaFlite"/>
    <s v=""/>
    <s v="-"/>
    <s v=""/>
    <n v="1.6666666666666667"/>
  </r>
  <r>
    <x v="238"/>
    <m/>
    <m/>
    <x v="1"/>
    <m/>
    <s v=""/>
    <s v=""/>
    <m/>
    <m/>
    <m/>
    <m/>
    <s v=""/>
    <m/>
    <s v=""/>
    <s v="-"/>
    <s v=""/>
    <s v=""/>
  </r>
  <r>
    <x v="239"/>
    <s v="139"/>
    <m/>
    <x v="34"/>
    <d v="1899-12-30T01:12:41"/>
    <n v="15"/>
    <d v="1899-12-30T00:04:51"/>
    <n v="149"/>
    <n v="100"/>
    <n v="236"/>
    <m/>
    <n v="1.0240756218905471"/>
    <s v="Adizero Boston"/>
    <n v="255.10000000000002"/>
    <s v="-"/>
    <n v="278.29999999999995"/>
    <n v="1.5838926174496644"/>
  </r>
  <r>
    <x v="240"/>
    <m/>
    <m/>
    <x v="1"/>
    <m/>
    <s v=""/>
    <s v=""/>
    <m/>
    <m/>
    <m/>
    <m/>
    <s v=""/>
    <m/>
    <s v=""/>
    <s v="-"/>
    <s v=""/>
    <s v=""/>
  </r>
  <r>
    <x v="241"/>
    <s v="140"/>
    <m/>
    <x v="16"/>
    <d v="1899-12-30T01:05:37"/>
    <n v="11.6"/>
    <d v="1899-12-30T00:05:39"/>
    <n v="127"/>
    <n v="64"/>
    <n v="210"/>
    <m/>
    <n v="1.0637802367472982"/>
    <s v="Saucony München 3"/>
    <s v=""/>
    <s v="-"/>
    <s v=""/>
    <n v="1.6535433070866141"/>
  </r>
  <r>
    <x v="242"/>
    <m/>
    <m/>
    <x v="1"/>
    <m/>
    <s v=""/>
    <s v=""/>
    <m/>
    <m/>
    <m/>
    <m/>
    <s v=""/>
    <m/>
    <s v=""/>
    <s v="-"/>
    <s v=""/>
    <s v=""/>
  </r>
  <r>
    <x v="243"/>
    <s v="141"/>
    <m/>
    <x v="35"/>
    <d v="1899-12-30T01:29:35"/>
    <n v="19.2"/>
    <d v="1899-12-30T00:04:40"/>
    <n v="151"/>
    <n v="125"/>
    <n v="246"/>
    <m/>
    <n v="1.0278684701492538"/>
    <s v="Adizero Boston"/>
    <s v=""/>
    <s v="-"/>
    <s v=""/>
    <n v="1.6291390728476822"/>
  </r>
  <r>
    <x v="244"/>
    <s v="142"/>
    <m/>
    <x v="16"/>
    <d v="1899-12-30T00:55:04"/>
    <n v="10.1"/>
    <d v="1899-12-30T00:05:27"/>
    <n v="132"/>
    <n v="59"/>
    <n v="216"/>
    <m/>
    <n v="1.0546239101522095"/>
    <s v="Saucony München 3"/>
    <s v=""/>
    <s v="-"/>
    <s v=""/>
    <n v="1.6363636363636365"/>
  </r>
  <r>
    <x v="245"/>
    <s v="143"/>
    <m/>
    <x v="29"/>
    <d v="1899-12-30T02:06:57"/>
    <n v="23.4"/>
    <d v="1899-12-30T00:05:26"/>
    <n v="134"/>
    <n v="131"/>
    <n v="216"/>
    <m/>
    <n v="1.049414466130884"/>
    <s v="Saucony München 3"/>
    <s v=""/>
    <s v="-"/>
    <s v=""/>
    <n v="1.6119402985074627"/>
  </r>
  <r>
    <x v="246"/>
    <m/>
    <m/>
    <x v="1"/>
    <m/>
    <s v=""/>
    <s v=""/>
    <m/>
    <m/>
    <m/>
    <m/>
    <s v=""/>
    <m/>
    <s v=""/>
    <s v="-"/>
    <s v=""/>
    <s v=""/>
  </r>
  <r>
    <x v="247"/>
    <m/>
    <m/>
    <x v="1"/>
    <m/>
    <s v=""/>
    <s v=""/>
    <m/>
    <m/>
    <m/>
    <m/>
    <s v=""/>
    <m/>
    <s v=""/>
    <s v="-"/>
    <s v=""/>
    <s v=""/>
  </r>
  <r>
    <x v="248"/>
    <s v="144"/>
    <m/>
    <x v="16"/>
    <d v="1899-12-30T01:04:16"/>
    <n v="11.6"/>
    <d v="1899-12-30T00:05:32"/>
    <n v="126"/>
    <n v="64"/>
    <n v="213"/>
    <m/>
    <n v="1.0567781780751415"/>
    <s v="Saucony München 3"/>
    <s v=""/>
    <s v="-"/>
    <s v=""/>
    <n v="1.6904761904761905"/>
  </r>
  <r>
    <x v="249"/>
    <m/>
    <m/>
    <x v="1"/>
    <m/>
    <s v=""/>
    <s v=""/>
    <m/>
    <m/>
    <m/>
    <m/>
    <s v=""/>
    <m/>
    <s v=""/>
    <s v="-"/>
    <s v=""/>
    <s v=""/>
  </r>
  <r>
    <x v="250"/>
    <s v="145"/>
    <m/>
    <x v="12"/>
    <d v="1899-12-30T00:51:17"/>
    <n v="10"/>
    <d v="1899-12-30T00:05:08"/>
    <n v="140"/>
    <n v="63"/>
    <n v="227"/>
    <m/>
    <n v="1.0425059701492536"/>
    <s v="Adizero Boston"/>
    <n v="230.89999999999998"/>
    <s v="-"/>
    <n v="254.10000000000002"/>
    <n v="1.6214285714285714"/>
  </r>
  <r>
    <x v="251"/>
    <s v="146"/>
    <m/>
    <x v="21"/>
    <d v="1899-12-30T01:05:06"/>
    <n v="11.6"/>
    <d v="1899-12-30T00:05:37"/>
    <n v="132"/>
    <n v="65"/>
    <n v="211"/>
    <m/>
    <n v="1.0604297478126608"/>
    <s v="Saucony München 3"/>
    <s v=""/>
    <s v="-"/>
    <s v=""/>
    <n v="1.5984848484848484"/>
  </r>
  <r>
    <x v="252"/>
    <m/>
    <m/>
    <x v="1"/>
    <m/>
    <s v=""/>
    <s v=""/>
    <m/>
    <m/>
    <m/>
    <m/>
    <s v=""/>
    <m/>
    <s v=""/>
    <s v="-"/>
    <s v=""/>
    <s v=""/>
  </r>
  <r>
    <x v="253"/>
    <s v="147"/>
    <m/>
    <x v="13"/>
    <d v="1899-12-30T00:29:36"/>
    <n v="5.4"/>
    <d v="1899-12-30T00:05:29"/>
    <n v="139"/>
    <n v="36"/>
    <n v="211"/>
    <m/>
    <n v="1.0357545605306799"/>
    <s v="Adizero Boston"/>
    <s v=""/>
    <s v="-"/>
    <s v=""/>
    <n v="1.5179856115107915"/>
  </r>
  <r>
    <x v="254"/>
    <m/>
    <m/>
    <x v="1"/>
    <m/>
    <s v=""/>
    <s v=""/>
    <m/>
    <m/>
    <m/>
    <m/>
    <s v=""/>
    <m/>
    <s v=""/>
    <s v="-"/>
    <s v=""/>
    <s v=""/>
  </r>
  <r>
    <x v="255"/>
    <s v="148"/>
    <m/>
    <x v="14"/>
    <d v="1899-12-30T00:40:20"/>
    <n v="6.9"/>
    <d v="1899-12-30T00:05:51"/>
    <n v="131"/>
    <n v="37"/>
    <n v="203"/>
    <m/>
    <n v="1.062643305213065"/>
    <s v="Adizero Boston"/>
    <s v=""/>
    <s v="-"/>
    <s v=""/>
    <n v="1.5496183206106871"/>
  </r>
  <r>
    <x v="256"/>
    <m/>
    <m/>
    <x v="1"/>
    <m/>
    <s v=""/>
    <s v=""/>
    <m/>
    <m/>
    <m/>
    <m/>
    <s v=""/>
    <m/>
    <s v=""/>
    <s v="-"/>
    <s v=""/>
    <s v=""/>
  </r>
  <r>
    <x v="257"/>
    <m/>
    <m/>
    <x v="1"/>
    <m/>
    <s v=""/>
    <s v=""/>
    <m/>
    <m/>
    <m/>
    <m/>
    <s v=""/>
    <m/>
    <s v=""/>
    <s v="-"/>
    <s v=""/>
    <s v=""/>
  </r>
  <r>
    <x v="258"/>
    <s v="149"/>
    <s v="n"/>
    <x v="4"/>
    <d v="1899-12-30T01:32:27"/>
    <n v="21.094999999999999"/>
    <d v="1899-12-30T00:04:23"/>
    <n v="164"/>
    <n v="142"/>
    <n v="266"/>
    <m/>
    <n v="1.0439638734509487"/>
    <s v="Adizero Boston"/>
    <s v=""/>
    <s v="-"/>
    <s v=""/>
    <n v="1.6219512195121952"/>
  </r>
  <r>
    <x v="259"/>
    <m/>
    <m/>
    <x v="1"/>
    <m/>
    <m/>
    <s v=""/>
    <m/>
    <m/>
    <m/>
    <m/>
    <s v=""/>
    <m/>
    <s v=""/>
    <s v="-"/>
    <s v=""/>
    <s v=""/>
  </r>
  <r>
    <x v="260"/>
    <m/>
    <m/>
    <x v="1"/>
    <m/>
    <s v=""/>
    <s v=""/>
    <m/>
    <m/>
    <m/>
    <m/>
    <s v=""/>
    <m/>
    <s v=""/>
    <s v="-"/>
    <s v=""/>
    <s v=""/>
  </r>
  <r>
    <x v="261"/>
    <m/>
    <m/>
    <x v="1"/>
    <m/>
    <s v=""/>
    <s v=""/>
    <m/>
    <m/>
    <m/>
    <m/>
    <s v=""/>
    <m/>
    <s v=""/>
    <s v="-"/>
    <s v=""/>
    <s v=""/>
  </r>
  <r>
    <x v="262"/>
    <m/>
    <m/>
    <x v="1"/>
    <m/>
    <s v=""/>
    <s v=""/>
    <m/>
    <m/>
    <m/>
    <m/>
    <s v=""/>
    <m/>
    <s v=""/>
    <s v="-"/>
    <s v=""/>
    <s v=""/>
  </r>
  <r>
    <x v="263"/>
    <s v="150"/>
    <m/>
    <x v="16"/>
    <d v="1899-12-30T01:04:00"/>
    <n v="11.51"/>
    <d v="1899-12-30T00:05:34"/>
    <n v="138"/>
    <n v="67"/>
    <n v="215"/>
    <m/>
    <n v="1.0705810651347953"/>
    <s v="Saucony München 3"/>
    <s v=""/>
    <s v="-"/>
    <s v=""/>
    <n v="1.5579710144927537"/>
  </r>
  <r>
    <x v="264"/>
    <m/>
    <m/>
    <x v="1"/>
    <m/>
    <m/>
    <m/>
    <m/>
    <m/>
    <m/>
    <m/>
    <s v=""/>
    <m/>
    <s v=""/>
    <s v="-"/>
    <s v=""/>
    <s v=""/>
  </r>
  <r>
    <x v="265"/>
    <s v="151"/>
    <m/>
    <x v="36"/>
    <d v="1899-12-30T00:54:18"/>
    <n v="9.9700000000000006"/>
    <d v="1899-12-30T00:05:27"/>
    <n v="135"/>
    <n v="64"/>
    <n v="221"/>
    <m/>
    <n v="1.0778873935238549"/>
    <s v="Saucony München 3"/>
    <s v=""/>
    <s v="-"/>
    <s v=""/>
    <n v="1.6370370370370371"/>
  </r>
  <r>
    <x v="266"/>
    <m/>
    <m/>
    <x v="1"/>
    <m/>
    <s v=""/>
    <s v=""/>
    <m/>
    <m/>
    <m/>
    <m/>
    <s v=""/>
    <m/>
    <s v=""/>
    <s v="-"/>
    <s v=""/>
    <s v=""/>
  </r>
  <r>
    <x v="267"/>
    <m/>
    <m/>
    <x v="1"/>
    <m/>
    <s v=""/>
    <s v=""/>
    <m/>
    <m/>
    <m/>
    <m/>
    <s v=""/>
    <m/>
    <s v=""/>
    <s v="-"/>
    <s v=""/>
    <s v=""/>
  </r>
  <r>
    <x v="268"/>
    <m/>
    <m/>
    <x v="1"/>
    <m/>
    <s v=""/>
    <s v=""/>
    <m/>
    <m/>
    <m/>
    <m/>
    <s v=""/>
    <m/>
    <s v=""/>
    <s v="-"/>
    <s v=""/>
    <s v=""/>
  </r>
  <r>
    <x v="269"/>
    <s v="152"/>
    <m/>
    <x v="16"/>
    <d v="1899-12-30T00:56:36"/>
    <n v="10.7"/>
    <d v="1899-12-30T00:05:17"/>
    <n v="137"/>
    <n v="65"/>
    <m/>
    <m/>
    <m/>
    <s v="Saucony München 3"/>
    <s v=""/>
    <s v="-"/>
    <s v=""/>
    <m/>
  </r>
  <r>
    <x v="270"/>
    <m/>
    <m/>
    <x v="1"/>
    <m/>
    <s v=""/>
    <s v=""/>
    <m/>
    <m/>
    <m/>
    <m/>
    <s v=""/>
    <m/>
    <s v=""/>
    <s v="-"/>
    <s v=""/>
    <s v=""/>
  </r>
  <r>
    <x v="271"/>
    <s v="153"/>
    <m/>
    <x v="37"/>
    <d v="1899-12-30T00:53:17"/>
    <n v="9.56"/>
    <d v="1899-12-30T00:05:34"/>
    <n v="137"/>
    <n v="55"/>
    <n v="213"/>
    <m/>
    <n v="1.0631377630675074"/>
    <s v="Saucony München 3"/>
    <s v=""/>
    <s v="-"/>
    <s v=""/>
    <n v="1.5547445255474452"/>
  </r>
  <r>
    <x v="272"/>
    <m/>
    <m/>
    <x v="1"/>
    <m/>
    <m/>
    <m/>
    <m/>
    <m/>
    <m/>
    <m/>
    <s v=""/>
    <m/>
    <s v=""/>
    <s v="-"/>
    <s v=""/>
    <s v=""/>
  </r>
  <r>
    <x v="273"/>
    <m/>
    <m/>
    <x v="1"/>
    <m/>
    <s v=""/>
    <s v=""/>
    <m/>
    <m/>
    <m/>
    <m/>
    <s v=""/>
    <m/>
    <s v=""/>
    <s v="-"/>
    <s v=""/>
    <s v=""/>
  </r>
  <r>
    <x v="274"/>
    <s v="154"/>
    <m/>
    <x v="37"/>
    <d v="1899-12-30T00:53:11"/>
    <n v="9.5500000000000007"/>
    <d v="1899-12-30T00:05:34"/>
    <n v="132"/>
    <n v="56"/>
    <n v="213"/>
    <m/>
    <n v="1.0622536531999687"/>
    <s v="Saucony München 3"/>
    <s v=""/>
    <s v="-"/>
    <s v=""/>
    <n v="1.6136363636363635"/>
  </r>
  <r>
    <x v="275"/>
    <m/>
    <m/>
    <x v="1"/>
    <m/>
    <s v=""/>
    <s v=""/>
    <m/>
    <m/>
    <m/>
    <m/>
    <s v=""/>
    <m/>
    <s v=""/>
    <s v="-"/>
    <s v=""/>
    <s v=""/>
  </r>
  <r>
    <x v="276"/>
    <s v="155"/>
    <m/>
    <x v="6"/>
    <d v="1899-12-30T00:35:21"/>
    <n v="7.77"/>
    <d v="1899-12-30T00:04:01"/>
    <m/>
    <n v="50"/>
    <n v="278"/>
    <m/>
    <n v="0.99997014925373129"/>
    <s v="Adizero Boston"/>
    <s v=""/>
    <s v="-"/>
    <s v=""/>
    <s v=""/>
  </r>
  <r>
    <x v="277"/>
    <m/>
    <m/>
    <x v="1"/>
    <m/>
    <s v=""/>
    <s v=""/>
    <m/>
    <m/>
    <m/>
    <m/>
    <s v=""/>
    <m/>
    <s v=""/>
    <s v="-"/>
    <s v=""/>
    <s v=""/>
  </r>
  <r>
    <x v="278"/>
    <s v="156"/>
    <m/>
    <x v="37"/>
    <d v="1899-12-30T00:55:50"/>
    <n v="10"/>
    <d v="1899-12-30T00:05:35"/>
    <n v="134"/>
    <n v="59"/>
    <n v="213"/>
    <m/>
    <n v="1.0650000000000002"/>
    <s v="Saucony München 3"/>
    <s v=""/>
    <s v="-"/>
    <s v=""/>
    <n v="1.5895522388059702"/>
  </r>
  <r>
    <x v="279"/>
    <m/>
    <m/>
    <x v="1"/>
    <m/>
    <m/>
    <s v=""/>
    <m/>
    <m/>
    <m/>
    <m/>
    <s v=""/>
    <m/>
    <s v=""/>
    <s v="-"/>
    <s v=""/>
    <s v=""/>
  </r>
  <r>
    <x v="280"/>
    <s v="157"/>
    <m/>
    <x v="36"/>
    <d v="1899-12-30T00:54:27"/>
    <n v="9.91"/>
    <d v="1899-12-30T00:05:30"/>
    <n v="138"/>
    <n v="65"/>
    <n v="221"/>
    <m/>
    <n v="1.0874090696868837"/>
    <s v="Saucony München 3"/>
    <s v=""/>
    <s v="-"/>
    <s v=""/>
    <n v="1.6014492753623188"/>
  </r>
  <r>
    <x v="281"/>
    <m/>
    <m/>
    <x v="1"/>
    <m/>
    <s v=""/>
    <s v=""/>
    <m/>
    <m/>
    <m/>
    <m/>
    <s v=""/>
    <m/>
    <s v=""/>
    <s v="-"/>
    <s v=""/>
    <s v=""/>
  </r>
  <r>
    <x v="282"/>
    <s v="158"/>
    <m/>
    <x v="11"/>
    <d v="1899-12-30T00:46:34"/>
    <n v="8.57"/>
    <d v="1899-12-30T00:05:26"/>
    <n v="137"/>
    <n v="52"/>
    <n v="220"/>
    <m/>
    <n v="1.0705167279123637"/>
    <s v="Saucony München 3"/>
    <s v=""/>
    <s v="-"/>
    <s v=""/>
    <n v="1.6058394160583942"/>
  </r>
  <r>
    <x v="283"/>
    <m/>
    <m/>
    <x v="1"/>
    <m/>
    <s v=""/>
    <s v=""/>
    <m/>
    <m/>
    <m/>
    <m/>
    <s v=""/>
    <m/>
    <s v=""/>
    <s v="-"/>
    <s v=""/>
    <s v=""/>
  </r>
  <r>
    <x v="284"/>
    <s v="159"/>
    <m/>
    <x v="16"/>
    <d v="1899-12-30T00:58:33"/>
    <n v="10.7"/>
    <d v="1899-12-30T00:05:28"/>
    <n v="140"/>
    <n v="64"/>
    <n v="217"/>
    <m/>
    <n v="1.063357511507881"/>
    <s v="ASICS DynaFlite"/>
    <s v=""/>
    <s v="-"/>
    <s v=""/>
    <n v="1.55"/>
  </r>
  <r>
    <x v="285"/>
    <m/>
    <m/>
    <x v="1"/>
    <m/>
    <s v=""/>
    <s v=""/>
    <m/>
    <m/>
    <m/>
    <m/>
    <s v=""/>
    <m/>
    <s v=""/>
    <s v="-"/>
    <s v=""/>
    <s v=""/>
  </r>
  <r>
    <x v="286"/>
    <s v="160"/>
    <m/>
    <x v="36"/>
    <d v="1899-12-30T00:50:01"/>
    <n v="9.7100000000000009"/>
    <d v="1899-12-30T00:05:09"/>
    <n v="141"/>
    <n v="63"/>
    <n v="233"/>
    <m/>
    <n v="1.0748005595093533"/>
    <s v="Saucony München 3"/>
    <s v=""/>
    <s v="-"/>
    <s v=""/>
    <n v="1.6524822695035462"/>
  </r>
  <r>
    <x v="287"/>
    <m/>
    <m/>
    <x v="1"/>
    <m/>
    <s v=""/>
    <s v=""/>
    <m/>
    <m/>
    <m/>
    <m/>
    <s v=""/>
    <m/>
    <s v=""/>
    <s v="-"/>
    <s v=""/>
    <s v=""/>
  </r>
  <r>
    <x v="288"/>
    <s v="161"/>
    <m/>
    <x v="11"/>
    <d v="1899-12-30T00:47:29"/>
    <n v="8.09"/>
    <d v="1899-12-30T00:05:52"/>
    <n v="124"/>
    <n v="45"/>
    <n v="202"/>
    <m/>
    <n v="1.0617456598343264"/>
    <s v="Saucony München 3"/>
    <s v=""/>
    <s v="-"/>
    <s v=""/>
    <n v="1.6290322580645162"/>
  </r>
  <r>
    <x v="289"/>
    <m/>
    <m/>
    <x v="1"/>
    <m/>
    <s v=""/>
    <s v=""/>
    <m/>
    <m/>
    <m/>
    <m/>
    <s v=""/>
    <m/>
    <s v=""/>
    <s v="-"/>
    <s v=""/>
    <s v=""/>
  </r>
  <r>
    <x v="290"/>
    <s v="162"/>
    <m/>
    <x v="16"/>
    <d v="1899-12-30T01:02:44"/>
    <n v="11.5"/>
    <d v="1899-12-30T00:05:27"/>
    <n v="135"/>
    <n v="70"/>
    <n v="219"/>
    <m/>
    <n v="1.0698455548345231"/>
    <s v="Adizero Boston"/>
    <s v=""/>
    <s v="-"/>
    <s v=""/>
    <n v="1.6222222222222222"/>
  </r>
  <r>
    <x v="291"/>
    <m/>
    <m/>
    <x v="1"/>
    <m/>
    <s v=""/>
    <s v=""/>
    <m/>
    <m/>
    <m/>
    <m/>
    <s v=""/>
    <m/>
    <s v=""/>
    <s v="-"/>
    <s v=""/>
    <s v=""/>
  </r>
  <r>
    <x v="292"/>
    <s v="163"/>
    <m/>
    <x v="16"/>
    <d v="1899-12-30T01:04:04"/>
    <n v="11.49"/>
    <d v="1899-12-30T00:05:35"/>
    <n v="133"/>
    <n v="68"/>
    <n v="215"/>
    <m/>
    <n v="1.0735616954392528"/>
    <s v="Saucony München 3"/>
    <s v=""/>
    <s v="-"/>
    <s v=""/>
    <n v="1.6165413533834587"/>
  </r>
  <r>
    <x v="293"/>
    <m/>
    <m/>
    <x v="1"/>
    <m/>
    <s v=""/>
    <s v=""/>
    <m/>
    <m/>
    <m/>
    <m/>
    <s v=""/>
    <m/>
    <s v=""/>
    <s v="-"/>
    <s v=""/>
    <s v=""/>
  </r>
  <r>
    <x v="294"/>
    <s v="164"/>
    <m/>
    <x v="38"/>
    <d v="1899-12-30T00:59:15"/>
    <n v="11.3"/>
    <d v="1899-12-30T00:05:15"/>
    <n v="138"/>
    <n v="72"/>
    <n v="228"/>
    <m/>
    <n v="1.0705851274600449"/>
    <s v="Saucony München 3"/>
    <s v=""/>
    <s v="-"/>
    <s v=""/>
    <n v="1.6521739130434783"/>
  </r>
  <r>
    <x v="295"/>
    <m/>
    <m/>
    <x v="1"/>
    <m/>
    <s v=""/>
    <s v=""/>
    <m/>
    <m/>
    <m/>
    <m/>
    <s v=""/>
    <m/>
    <s v=""/>
    <s v="-"/>
    <s v=""/>
    <s v=""/>
  </r>
  <r>
    <x v="296"/>
    <s v="165"/>
    <m/>
    <x v="16"/>
    <d v="1899-12-30T00:58:31"/>
    <n v="10.7"/>
    <d v="1899-12-30T00:05:28"/>
    <n v="131"/>
    <n v="66"/>
    <n v="218"/>
    <m/>
    <n v="1.0676496024550148"/>
    <s v="Saucony München 3"/>
    <s v=""/>
    <s v="-"/>
    <s v=""/>
    <n v="1.6641221374045803"/>
  </r>
  <r>
    <x v="297"/>
    <m/>
    <m/>
    <x v="1"/>
    <m/>
    <s v=""/>
    <s v=""/>
    <m/>
    <m/>
    <m/>
    <m/>
    <s v=""/>
    <m/>
    <s v=""/>
    <s v="-"/>
    <s v=""/>
    <s v=""/>
  </r>
  <r>
    <x v="298"/>
    <m/>
    <m/>
    <x v="1"/>
    <m/>
    <s v=""/>
    <s v=""/>
    <m/>
    <m/>
    <m/>
    <m/>
    <s v=""/>
    <m/>
    <s v=""/>
    <s v="-"/>
    <s v=""/>
    <s v=""/>
  </r>
  <r>
    <x v="299"/>
    <m/>
    <m/>
    <x v="1"/>
    <m/>
    <s v=""/>
    <s v=""/>
    <m/>
    <m/>
    <m/>
    <m/>
    <s v=""/>
    <m/>
    <s v=""/>
    <s v="-"/>
    <s v=""/>
    <s v=""/>
  </r>
  <r>
    <x v="300"/>
    <m/>
    <m/>
    <x v="1"/>
    <m/>
    <s v=""/>
    <s v=""/>
    <m/>
    <m/>
    <m/>
    <m/>
    <s v=""/>
    <m/>
    <s v=""/>
    <s v="-"/>
    <s v=""/>
    <s v=""/>
  </r>
  <r>
    <x v="301"/>
    <s v="166"/>
    <m/>
    <x v="16"/>
    <d v="1899-12-30T00:42:59"/>
    <n v="7.65"/>
    <d v="1899-12-30T00:05:37"/>
    <m/>
    <n v="46"/>
    <n v="211"/>
    <m/>
    <n v="1.0616895912593891"/>
    <s v="ASICS DynaFlite"/>
    <s v=""/>
    <s v="-"/>
    <s v=""/>
    <s v=""/>
  </r>
  <r>
    <x v="302"/>
    <m/>
    <m/>
    <x v="1"/>
    <m/>
    <s v=""/>
    <s v=""/>
    <m/>
    <m/>
    <m/>
    <m/>
    <s v=""/>
    <m/>
    <s v=""/>
    <s v="-"/>
    <s v=""/>
    <s v=""/>
  </r>
  <r>
    <x v="303"/>
    <s v="167"/>
    <m/>
    <x v="16"/>
    <d v="1899-12-30T01:04:00"/>
    <n v="11.34"/>
    <d v="1899-12-30T00:05:39"/>
    <n v="134"/>
    <n v="68"/>
    <n v="211"/>
    <m/>
    <n v="1.06641396193635"/>
    <s v="Saucony München 3"/>
    <s v=""/>
    <s v="-"/>
    <s v=""/>
    <n v="1.5746268656716418"/>
  </r>
  <r>
    <x v="304"/>
    <m/>
    <m/>
    <x v="1"/>
    <m/>
    <s v=""/>
    <s v=""/>
    <m/>
    <m/>
    <m/>
    <m/>
    <s v=""/>
    <m/>
    <s v=""/>
    <s v="-"/>
    <s v=""/>
    <s v=""/>
  </r>
  <r>
    <x v="305"/>
    <s v="168"/>
    <m/>
    <x v="16"/>
    <d v="1899-12-30T01:00:05"/>
    <n v="10.6"/>
    <d v="1899-12-30T00:05:40"/>
    <n v="134"/>
    <n v="62"/>
    <n v="212"/>
    <m/>
    <n v="1.0761194029850745"/>
    <s v="Saucony München 3"/>
    <s v=""/>
    <s v="-"/>
    <s v=""/>
    <n v="1.5820895522388059"/>
  </r>
  <r>
    <x v="306"/>
    <m/>
    <m/>
    <x v="1"/>
    <m/>
    <s v=""/>
    <s v=""/>
    <m/>
    <m/>
    <m/>
    <m/>
    <s v=""/>
    <m/>
    <s v=""/>
    <s v="-"/>
    <s v=""/>
    <s v=""/>
  </r>
  <r>
    <x v="307"/>
    <s v="169"/>
    <m/>
    <x v="36"/>
    <d v="1899-12-30T00:55:38"/>
    <n v="7.81"/>
    <d v="1899-12-30T00:07:07"/>
    <n v="141"/>
    <n v="58"/>
    <n v="194"/>
    <m/>
    <m/>
    <s v="Saucony München 3"/>
    <s v=""/>
    <s v="-"/>
    <s v=""/>
    <n v="1.375886524822695"/>
  </r>
  <r>
    <x v="308"/>
    <m/>
    <m/>
    <x v="1"/>
    <m/>
    <s v=""/>
    <s v=""/>
    <m/>
    <m/>
    <m/>
    <m/>
    <s v=""/>
    <m/>
    <s v=""/>
    <s v="-"/>
    <s v=""/>
    <s v=""/>
  </r>
  <r>
    <x v="309"/>
    <m/>
    <m/>
    <x v="1"/>
    <m/>
    <s v=""/>
    <s v=""/>
    <m/>
    <m/>
    <m/>
    <m/>
    <s v=""/>
    <m/>
    <s v=""/>
    <s v="-"/>
    <s v=""/>
    <s v=""/>
  </r>
  <r>
    <x v="310"/>
    <s v="170"/>
    <m/>
    <x v="7"/>
    <d v="1899-12-30T00:58:38"/>
    <n v="10.6"/>
    <d v="1899-12-30T00:05:32"/>
    <n v="139"/>
    <n v="69"/>
    <n v="209"/>
    <m/>
    <n v="1.0352886510842016"/>
    <s v="Adizero Boston"/>
    <n v="279.53100000000006"/>
    <s v="-"/>
    <n v="306.15300000000002"/>
    <n v="1.5035971223021583"/>
  </r>
  <r>
    <x v="311"/>
    <m/>
    <m/>
    <x v="1"/>
    <m/>
    <m/>
    <m/>
    <m/>
    <m/>
    <m/>
    <m/>
    <m/>
    <m/>
    <s v=""/>
    <s v="-"/>
    <s v=""/>
    <s v=""/>
  </r>
  <r>
    <x v="312"/>
    <m/>
    <m/>
    <x v="1"/>
    <m/>
    <m/>
    <m/>
    <m/>
    <m/>
    <m/>
    <m/>
    <m/>
    <m/>
    <s v=""/>
    <s v="-"/>
    <s v=""/>
    <s v=""/>
  </r>
  <r>
    <x v="313"/>
    <s v="171"/>
    <m/>
    <x v="36"/>
    <d v="1899-12-30T00:53:57"/>
    <n v="10.4"/>
    <d v="1899-12-30T00:05:11"/>
    <n v="143"/>
    <n v="66"/>
    <n v="230"/>
    <m/>
    <n v="1.0684701492537314"/>
    <s v="Saucony München 3"/>
    <s v=""/>
    <s v="-"/>
    <s v=""/>
    <n v="1.6083916083916083"/>
  </r>
  <r>
    <x v="314"/>
    <m/>
    <m/>
    <x v="1"/>
    <m/>
    <s v=""/>
    <s v=""/>
    <m/>
    <m/>
    <m/>
    <m/>
    <s v=""/>
    <m/>
    <s v=""/>
    <s v="-"/>
    <s v=""/>
    <s v=""/>
  </r>
  <r>
    <x v="315"/>
    <s v="172"/>
    <m/>
    <x v="21"/>
    <d v="1899-12-30T01:12:25"/>
    <n v="13.5"/>
    <d v="1899-12-30T00:05:22"/>
    <n v="139"/>
    <n v="83"/>
    <n v="221"/>
    <m/>
    <n v="1.0616307352128247"/>
    <s v="ASICS DynaFlite"/>
    <s v=""/>
    <s v="-"/>
    <s v=""/>
    <n v="1.5899280575539569"/>
  </r>
  <r>
    <x v="316"/>
    <m/>
    <m/>
    <x v="1"/>
    <m/>
    <s v=""/>
    <s v=""/>
    <m/>
    <m/>
    <m/>
    <m/>
    <s v=""/>
    <m/>
    <s v=""/>
    <s v="-"/>
    <s v=""/>
    <s v=""/>
  </r>
  <r>
    <x v="317"/>
    <s v="173"/>
    <m/>
    <x v="13"/>
    <d v="1899-12-30T00:49:58"/>
    <n v="8.98"/>
    <d v="1899-12-30T00:05:34"/>
    <n v="138"/>
    <n v="58"/>
    <n v="215"/>
    <m/>
    <n v="1.0713193497988898"/>
    <s v="Adizero Boston"/>
    <s v=""/>
    <s v="-"/>
    <s v=""/>
    <n v="1.5579710144927537"/>
  </r>
  <r>
    <x v="318"/>
    <s v="174"/>
    <m/>
    <x v="16"/>
    <d v="1899-12-30T00:53:45"/>
    <n v="9.74"/>
    <d v="1899-12-30T00:05:31"/>
    <n v="139"/>
    <n v="59"/>
    <n v="216"/>
    <m/>
    <n v="1.0674553311471391"/>
    <s v="Saucony München 3"/>
    <s v=""/>
    <s v="-"/>
    <s v=""/>
    <n v="1.5539568345323742"/>
  </r>
  <r>
    <x v="319"/>
    <m/>
    <m/>
    <x v="1"/>
    <m/>
    <s v=""/>
    <s v=""/>
    <m/>
    <m/>
    <m/>
    <m/>
    <s v=""/>
    <m/>
    <s v=""/>
    <s v="-"/>
    <s v=""/>
    <s v=""/>
  </r>
  <r>
    <x v="320"/>
    <s v="175"/>
    <m/>
    <x v="16"/>
    <d v="1899-12-30T00:57:08"/>
    <n v="9.9700000000000006"/>
    <d v="1899-12-30T00:05:44"/>
    <n v="134"/>
    <n v="58"/>
    <n v="209"/>
    <m/>
    <n v="1.072548990254345"/>
    <s v="Saucony München 3"/>
    <s v=""/>
    <s v="-"/>
    <s v=""/>
    <n v="1.5597014925373134"/>
  </r>
  <r>
    <x v="321"/>
    <m/>
    <m/>
    <x v="1"/>
    <m/>
    <s v=""/>
    <s v=""/>
    <m/>
    <m/>
    <m/>
    <m/>
    <s v=""/>
    <m/>
    <s v=""/>
    <s v="-"/>
    <s v=""/>
    <s v=""/>
  </r>
  <r>
    <x v="322"/>
    <s v="176"/>
    <m/>
    <x v="19"/>
    <d v="1899-12-30T01:30:24"/>
    <n v="16.899999999999999"/>
    <d v="1899-12-30T00:05:21"/>
    <n v="142"/>
    <n v="105"/>
    <n v="223"/>
    <m/>
    <n v="1.0682257352291795"/>
    <s v="ASICS DynaFlite"/>
    <s v=""/>
    <s v="-"/>
    <s v=""/>
    <n v="1.5704225352112675"/>
  </r>
  <r>
    <x v="323"/>
    <m/>
    <m/>
    <x v="1"/>
    <m/>
    <s v=""/>
    <s v=""/>
    <m/>
    <m/>
    <m/>
    <m/>
    <s v=""/>
    <m/>
    <s v=""/>
    <s v="-"/>
    <s v=""/>
    <s v=""/>
  </r>
  <r>
    <x v="324"/>
    <m/>
    <m/>
    <x v="1"/>
    <m/>
    <s v=""/>
    <s v=""/>
    <m/>
    <m/>
    <m/>
    <m/>
    <s v=""/>
    <m/>
    <s v=""/>
    <s v="-"/>
    <s v=""/>
    <s v=""/>
  </r>
  <r>
    <x v="325"/>
    <s v="177"/>
    <m/>
    <x v="16"/>
    <d v="1899-12-30T01:01:17"/>
    <n v="11.3"/>
    <d v="1899-12-30T00:05:25"/>
    <n v="140"/>
    <n v="70"/>
    <n v="222"/>
    <m/>
    <n v="1.0781851802932241"/>
    <s v="Saucony München 3"/>
    <s v=""/>
    <s v="-"/>
    <s v=""/>
    <n v="1.5857142857142856"/>
  </r>
  <r>
    <x v="326"/>
    <m/>
    <m/>
    <x v="1"/>
    <m/>
    <s v=""/>
    <s v=""/>
    <m/>
    <m/>
    <m/>
    <m/>
    <s v=""/>
    <m/>
    <s v=""/>
    <s v="-"/>
    <s v=""/>
    <s v=""/>
  </r>
  <r>
    <x v="327"/>
    <m/>
    <m/>
    <x v="1"/>
    <m/>
    <s v=""/>
    <s v=""/>
    <m/>
    <m/>
    <m/>
    <m/>
    <s v=""/>
    <m/>
    <s v=""/>
    <s v="-"/>
    <s v=""/>
    <s v=""/>
  </r>
  <r>
    <x v="328"/>
    <s v="178"/>
    <m/>
    <x v="16"/>
    <d v="1899-12-30T01:01:58"/>
    <n v="11.2"/>
    <d v="1899-12-30T00:05:32"/>
    <n v="142"/>
    <n v="65"/>
    <m/>
    <m/>
    <m/>
    <s v="Saucony München 3"/>
    <s v=""/>
    <s v="-"/>
    <s v=""/>
    <m/>
  </r>
  <r>
    <x v="329"/>
    <m/>
    <m/>
    <x v="1"/>
    <m/>
    <s v=""/>
    <s v=""/>
    <m/>
    <m/>
    <m/>
    <m/>
    <s v=""/>
    <m/>
    <s v=""/>
    <s v="-"/>
    <s v=""/>
    <s v=""/>
  </r>
  <r>
    <x v="330"/>
    <m/>
    <m/>
    <x v="1"/>
    <m/>
    <s v=""/>
    <s v=""/>
    <m/>
    <m/>
    <m/>
    <m/>
    <s v=""/>
    <m/>
    <s v=""/>
    <s v="-"/>
    <s v=""/>
    <s v=""/>
  </r>
  <r>
    <x v="331"/>
    <s v="179"/>
    <m/>
    <x v="13"/>
    <d v="1899-12-30T00:48:08"/>
    <n v="8.1999999999999993"/>
    <d v="1899-12-30T00:05:52"/>
    <n v="139"/>
    <n v="53"/>
    <n v="205"/>
    <m/>
    <n v="1.0776119402985076"/>
    <s v="Adizero Boston"/>
    <s v=""/>
    <s v="-"/>
    <s v=""/>
    <n v="1.474820143884892"/>
  </r>
  <r>
    <x v="332"/>
    <s v="180"/>
    <m/>
    <x v="16"/>
    <d v="1899-12-30T00:59:51"/>
    <n v="11.1"/>
    <d v="1899-12-30T00:05:24"/>
    <n v="138"/>
    <n v="68"/>
    <n v="222"/>
    <m/>
    <n v="1.0719402985074629"/>
    <s v="Saucony München 3"/>
    <s v=""/>
    <s v="-"/>
    <s v=""/>
    <n v="1.6086956521739131"/>
  </r>
  <r>
    <x v="333"/>
    <m/>
    <m/>
    <x v="1"/>
    <m/>
    <s v=""/>
    <s v=""/>
    <m/>
    <m/>
    <m/>
    <m/>
    <s v=""/>
    <m/>
    <s v=""/>
    <s v="-"/>
    <s v=""/>
    <s v=""/>
  </r>
  <r>
    <x v="334"/>
    <s v="181"/>
    <m/>
    <x v="38"/>
    <d v="1899-12-30T01:04:47"/>
    <n v="11.7"/>
    <d v="1899-12-30T00:05:32"/>
    <n v="139"/>
    <n v="78"/>
    <n v="218"/>
    <m/>
    <n v="1.0809618573797679"/>
    <s v="Saucony München 3"/>
    <s v=""/>
    <s v="-"/>
    <s v=""/>
    <n v="1.5683453237410072"/>
  </r>
  <r>
    <x v="335"/>
    <m/>
    <m/>
    <x v="1"/>
    <m/>
    <s v=""/>
    <s v=""/>
    <m/>
    <m/>
    <m/>
    <m/>
    <s v=""/>
    <m/>
    <s v=""/>
    <s v="-"/>
    <s v=""/>
    <s v=""/>
  </r>
  <r>
    <x v="336"/>
    <m/>
    <m/>
    <x v="1"/>
    <m/>
    <m/>
    <m/>
    <m/>
    <m/>
    <m/>
    <m/>
    <m/>
    <m/>
    <s v=""/>
    <s v="-"/>
    <s v=""/>
    <s v=""/>
  </r>
  <r>
    <x v="337"/>
    <m/>
    <m/>
    <x v="1"/>
    <m/>
    <s v=""/>
    <s v=""/>
    <m/>
    <m/>
    <m/>
    <m/>
    <s v=""/>
    <m/>
    <s v=""/>
    <s v="-"/>
    <s v=""/>
    <s v=""/>
  </r>
  <r>
    <x v="338"/>
    <s v="182"/>
    <m/>
    <x v="13"/>
    <d v="1899-12-30T00:55:12"/>
    <n v="9.56"/>
    <d v="1899-12-30T00:05:46"/>
    <n v="135"/>
    <n v="63"/>
    <n v="204"/>
    <m/>
    <n v="1.0548429401111599"/>
    <s v="Adizero Boston"/>
    <s v=""/>
    <s v="-"/>
    <s v=""/>
    <n v="1.5111111111111111"/>
  </r>
  <r>
    <x v="339"/>
    <m/>
    <m/>
    <x v="1"/>
    <m/>
    <s v=""/>
    <s v=""/>
    <m/>
    <m/>
    <m/>
    <m/>
    <s v=""/>
    <m/>
    <s v=""/>
    <s v="-"/>
    <s v=""/>
    <s v=""/>
  </r>
  <r>
    <x v="340"/>
    <s v="183"/>
    <m/>
    <x v="16"/>
    <d v="1899-12-30T01:00:09"/>
    <n v="10.4"/>
    <d v="1899-12-30T00:05:47"/>
    <n v="141"/>
    <n v="61"/>
    <n v="209"/>
    <m/>
    <n v="1.0824928243398393"/>
    <s v="Saucony München 3"/>
    <s v=""/>
    <s v="-"/>
    <s v=""/>
    <n v="1.4822695035460993"/>
  </r>
  <r>
    <x v="341"/>
    <m/>
    <m/>
    <x v="1"/>
    <m/>
    <s v=""/>
    <s v=""/>
    <m/>
    <m/>
    <m/>
    <m/>
    <s v=""/>
    <m/>
    <s v=""/>
    <s v="-"/>
    <s v=""/>
    <s v=""/>
  </r>
  <r>
    <x v="342"/>
    <m/>
    <m/>
    <x v="1"/>
    <m/>
    <s v=""/>
    <s v=""/>
    <m/>
    <m/>
    <m/>
    <m/>
    <s v=""/>
    <m/>
    <s v=""/>
    <s v="-"/>
    <s v=""/>
    <s v=""/>
  </r>
  <r>
    <x v="343"/>
    <s v="184"/>
    <m/>
    <x v="17"/>
    <d v="1899-12-30T01:10:31"/>
    <n v="12.3"/>
    <d v="1899-12-30T00:05:44"/>
    <n v="134"/>
    <n v="70"/>
    <n v="208"/>
    <m/>
    <n v="1.0678898191966997"/>
    <s v="ASICS DynaFlite"/>
    <s v=""/>
    <s v="-"/>
    <s v=""/>
    <n v="1.5522388059701493"/>
  </r>
  <r>
    <x v="344"/>
    <m/>
    <m/>
    <x v="1"/>
    <m/>
    <s v=""/>
    <s v=""/>
    <m/>
    <m/>
    <m/>
    <m/>
    <s v=""/>
    <m/>
    <s v=""/>
    <s v="-"/>
    <s v=""/>
    <s v=""/>
  </r>
  <r>
    <x v="345"/>
    <m/>
    <m/>
    <x v="1"/>
    <m/>
    <s v=""/>
    <s v=""/>
    <m/>
    <m/>
    <m/>
    <m/>
    <s v=""/>
    <m/>
    <s v=""/>
    <s v="-"/>
    <s v=""/>
    <s v=""/>
  </r>
  <r>
    <x v="346"/>
    <s v="185"/>
    <m/>
    <x v="16"/>
    <d v="1899-12-30T01:03:38"/>
    <n v="11.4"/>
    <d v="1899-12-30T00:05:35"/>
    <n v="138"/>
    <n v="67"/>
    <n v="213"/>
    <m/>
    <n v="1.0647211311861744"/>
    <s v="Saucony München 3"/>
    <s v=""/>
    <s v="-"/>
    <s v=""/>
    <n v="1.5434782608695652"/>
  </r>
  <r>
    <x v="347"/>
    <m/>
    <m/>
    <x v="1"/>
    <m/>
    <s v=""/>
    <s v=""/>
    <m/>
    <m/>
    <m/>
    <m/>
    <s v=""/>
    <m/>
    <s v=""/>
    <s v="-"/>
    <s v=""/>
    <s v=""/>
  </r>
  <r>
    <x v="348"/>
    <s v="186"/>
    <m/>
    <x v="38"/>
    <d v="1899-12-30T01:06:50"/>
    <n v="12.3"/>
    <d v="1899-12-30T00:05:26"/>
    <n v="137"/>
    <n v="75"/>
    <n v="220"/>
    <m/>
    <n v="1.0705011527727217"/>
    <s v="Saucony München 3"/>
    <s v=""/>
    <s v="-"/>
    <s v=""/>
    <n v="1.6058394160583942"/>
  </r>
  <r>
    <x v="349"/>
    <m/>
    <m/>
    <x v="1"/>
    <m/>
    <s v=""/>
    <s v=""/>
    <m/>
    <m/>
    <m/>
    <m/>
    <s v=""/>
    <m/>
    <s v=""/>
    <s v="-"/>
    <s v=""/>
    <s v=""/>
  </r>
  <r>
    <x v="350"/>
    <s v="187"/>
    <m/>
    <x v="39"/>
    <d v="1899-12-30T01:15:56"/>
    <n v="14.2"/>
    <d v="1899-12-30T00:05:21"/>
    <n v="162"/>
    <n v="87"/>
    <n v="218"/>
    <m/>
    <n v="1.0439436619718312"/>
    <s v="ASICS DynaFlite"/>
    <s v=""/>
    <s v="-"/>
    <s v=""/>
    <n v="1.345679012345679"/>
  </r>
  <r>
    <x v="351"/>
    <m/>
    <m/>
    <x v="1"/>
    <m/>
    <s v=""/>
    <s v=""/>
    <m/>
    <m/>
    <m/>
    <m/>
    <s v=""/>
    <m/>
    <s v=""/>
    <s v="-"/>
    <s v=""/>
    <s v=""/>
  </r>
  <r>
    <x v="352"/>
    <s v="188"/>
    <m/>
    <x v="13"/>
    <d v="1899-12-30T00:51:22"/>
    <n v="9.25"/>
    <d v="1899-12-30T00:05:33"/>
    <n v="136"/>
    <n v="67"/>
    <n v="214"/>
    <m/>
    <n v="1.0642162162162163"/>
    <s v="Adizero Boston"/>
    <s v=""/>
    <s v="-"/>
    <s v=""/>
    <n v="1.5735294117647058"/>
  </r>
  <r>
    <x v="353"/>
    <s v="189"/>
    <m/>
    <x v="37"/>
    <d v="1899-12-30T00:53:05"/>
    <n v="9.19"/>
    <d v="1899-12-30T00:05:47"/>
    <n v="134"/>
    <n v="52"/>
    <n v="204"/>
    <m/>
    <n v="1.0552352492163775"/>
    <s v="Saucony München 3"/>
    <s v=""/>
    <s v="-"/>
    <s v=""/>
    <n v="1.5223880597014925"/>
  </r>
  <r>
    <x v="354"/>
    <m/>
    <m/>
    <x v="1"/>
    <m/>
    <s v=""/>
    <s v=""/>
    <m/>
    <m/>
    <m/>
    <m/>
    <s v=""/>
    <m/>
    <s v=""/>
    <s v="-"/>
    <s v=""/>
    <s v=""/>
  </r>
  <r>
    <x v="355"/>
    <m/>
    <m/>
    <x v="1"/>
    <m/>
    <s v=""/>
    <s v=""/>
    <m/>
    <m/>
    <m/>
    <m/>
    <s v=""/>
    <m/>
    <s v=""/>
    <s v="-"/>
    <s v=""/>
    <s v=""/>
  </r>
  <r>
    <x v="356"/>
    <s v="190"/>
    <m/>
    <x v="38"/>
    <d v="1899-12-30T01:17:33"/>
    <n v="14"/>
    <d v="1899-12-30T00:05:32"/>
    <n v="136"/>
    <n v="86"/>
    <n v="215"/>
    <m/>
    <n v="1.0665191897654587"/>
    <s v="Saucony München 3"/>
    <s v=""/>
    <s v="-"/>
    <s v=""/>
    <n v="1.5808823529411764"/>
  </r>
  <r>
    <x v="357"/>
    <m/>
    <m/>
    <x v="1"/>
    <m/>
    <s v=""/>
    <s v=""/>
    <m/>
    <m/>
    <m/>
    <m/>
    <s v=""/>
    <m/>
    <s v=""/>
    <s v="-"/>
    <s v=""/>
    <s v=""/>
  </r>
  <r>
    <x v="358"/>
    <m/>
    <m/>
    <x v="1"/>
    <m/>
    <s v=""/>
    <s v=""/>
    <m/>
    <m/>
    <m/>
    <m/>
    <s v=""/>
    <m/>
    <s v=""/>
    <s v="-"/>
    <s v=""/>
    <s v=""/>
  </r>
  <r>
    <x v="359"/>
    <m/>
    <m/>
    <x v="1"/>
    <m/>
    <s v=""/>
    <s v=""/>
    <m/>
    <m/>
    <m/>
    <m/>
    <s v=""/>
    <m/>
    <s v=""/>
    <s v="-"/>
    <s v=""/>
    <s v=""/>
  </r>
  <r>
    <x v="360"/>
    <m/>
    <m/>
    <x v="1"/>
    <m/>
    <s v=""/>
    <s v=""/>
    <m/>
    <m/>
    <m/>
    <m/>
    <s v=""/>
    <m/>
    <s v=""/>
    <s v="-"/>
    <s v=""/>
    <s v=""/>
  </r>
  <r>
    <x v="361"/>
    <s v="191"/>
    <m/>
    <x v="16"/>
    <d v="1899-12-30T01:03:12"/>
    <n v="11.1"/>
    <d v="1899-12-30T00:05:42"/>
    <n v="136"/>
    <n v="67"/>
    <n v="207"/>
    <m/>
    <n v="1.055457845905607"/>
    <s v="Saucony München 3"/>
    <s v=""/>
    <s v="-"/>
    <s v=""/>
    <n v="1.5220588235294117"/>
  </r>
  <r>
    <x v="362"/>
    <m/>
    <m/>
    <x v="1"/>
    <m/>
    <s v=""/>
    <s v=""/>
    <m/>
    <m/>
    <m/>
    <m/>
    <s v=""/>
    <m/>
    <s v=""/>
    <s v="-"/>
    <s v=""/>
    <s v=""/>
  </r>
  <r>
    <x v="363"/>
    <s v="192"/>
    <m/>
    <x v="16"/>
    <d v="1899-12-30T00:45:38"/>
    <n v="8.08"/>
    <d v="1899-12-30T00:05:39"/>
    <n v="131"/>
    <n v="49"/>
    <n v="211"/>
    <m/>
    <n v="1.067160484705187"/>
    <s v="Saucony München 3"/>
    <s v=""/>
    <s v="-"/>
    <s v=""/>
    <n v="1.6106870229007633"/>
  </r>
  <r>
    <x v="364"/>
    <m/>
    <m/>
    <x v="1"/>
    <m/>
    <s v=""/>
    <s v=""/>
    <m/>
    <m/>
    <m/>
    <m/>
    <s v=""/>
    <m/>
    <s v=""/>
    <s v="-"/>
    <s v=""/>
    <s v=""/>
  </r>
  <r>
    <x v="365"/>
    <n v="193"/>
    <m/>
    <x v="40"/>
    <d v="1899-12-30T00:44:58"/>
    <n v="10"/>
    <d v="1899-12-30T00:04:30"/>
    <n v="163"/>
    <n v="68"/>
    <n v="254"/>
    <m/>
    <n v="1.0228238805970151"/>
    <s v="Adizero Boston"/>
    <n v="230.89999999999998"/>
    <s v="-"/>
    <n v="254.10000000000002"/>
    <n v="1.5582822085889572"/>
  </r>
  <r>
    <x v="366"/>
    <m/>
    <m/>
    <x v="1"/>
    <m/>
    <s v=""/>
    <m/>
    <m/>
    <s v="0"/>
    <m/>
    <m/>
    <s v=""/>
    <m/>
    <s v=""/>
    <s v="-"/>
    <s v=""/>
    <s v=""/>
  </r>
  <r>
    <x v="367"/>
    <m/>
    <m/>
    <x v="1"/>
    <m/>
    <s v=""/>
    <m/>
    <m/>
    <s v="0"/>
    <m/>
    <m/>
    <s v=""/>
    <m/>
    <s v=""/>
    <s v="-"/>
    <s v=""/>
    <s v=""/>
  </r>
  <r>
    <x v="368"/>
    <s v="001"/>
    <m/>
    <x v="16"/>
    <d v="1899-12-30T01:00:20"/>
    <n v="10.7"/>
    <d v="1899-12-30T00:05:38"/>
    <n v="139"/>
    <n v="67"/>
    <n v="208"/>
    <m/>
    <n v="1.0502999023573723"/>
    <s v="Saucony München 3"/>
    <s v=""/>
    <s v="-"/>
    <s v=""/>
    <n v="1.4964028776978417"/>
  </r>
  <r>
    <x v="369"/>
    <m/>
    <m/>
    <x v="1"/>
    <m/>
    <s v=""/>
    <s v=""/>
    <m/>
    <s v="0"/>
    <m/>
    <m/>
    <s v=""/>
    <m/>
    <s v=""/>
    <s v="-"/>
    <s v=""/>
    <s v=""/>
  </r>
  <r>
    <x v="370"/>
    <s v="002"/>
    <m/>
    <x v="38"/>
    <d v="1899-12-30T01:09:24"/>
    <n v="12.5"/>
    <d v="1899-12-30T00:05:33"/>
    <n v="143"/>
    <n v="79"/>
    <n v="215"/>
    <m/>
    <n v="1.0689671641791048"/>
    <s v="Saucony München 3"/>
    <s v=""/>
    <s v="-"/>
    <s v=""/>
    <n v="1.5034965034965035"/>
  </r>
  <r>
    <x v="371"/>
    <s v="003"/>
    <m/>
    <x v="39"/>
    <d v="1899-12-30T01:14:44"/>
    <n v="14.3"/>
    <d v="1899-12-30T00:05:14"/>
    <n v="142"/>
    <n v="97"/>
    <n v="224"/>
    <m/>
    <n v="1.0483415092370316"/>
    <s v="Adizero Boston"/>
    <s v=""/>
    <s v="-"/>
    <s v=""/>
    <n v="1.5774647887323943"/>
  </r>
  <r>
    <x v="372"/>
    <m/>
    <m/>
    <x v="1"/>
    <m/>
    <s v=""/>
    <s v=""/>
    <m/>
    <s v="0"/>
    <m/>
    <m/>
    <s v=""/>
    <m/>
    <s v=""/>
    <s v="-"/>
    <s v=""/>
    <s v=""/>
  </r>
  <r>
    <x v="373"/>
    <s v="004"/>
    <m/>
    <x v="36"/>
    <d v="1899-12-30T00:48:48"/>
    <n v="9.06"/>
    <d v="1899-12-30T00:05:23"/>
    <n v="143"/>
    <n v="59"/>
    <n v="220"/>
    <m/>
    <n v="1.0611841454976771"/>
    <s v="ASICS DynaFlite"/>
    <s v=""/>
    <s v="-"/>
    <s v=""/>
    <n v="1.5384615384615385"/>
  </r>
  <r>
    <x v="374"/>
    <s v="005"/>
    <m/>
    <x v="11"/>
    <d v="1899-12-30T00:44:55"/>
    <n v="7.72"/>
    <d v="1899-12-30T00:05:49"/>
    <n v="136"/>
    <n v="47"/>
    <n v="205"/>
    <m/>
    <n v="1.0681211816564846"/>
    <s v="ASICS DynaFlite"/>
    <s v=""/>
    <s v="-"/>
    <s v=""/>
    <n v="1.5073529411764706"/>
  </r>
  <r>
    <x v="375"/>
    <m/>
    <m/>
    <x v="1"/>
    <m/>
    <s v=""/>
    <s v=""/>
    <m/>
    <s v="0"/>
    <m/>
    <m/>
    <s v=""/>
    <m/>
    <s v=""/>
    <s v="-"/>
    <s v=""/>
    <s v=""/>
  </r>
  <r>
    <x v="376"/>
    <m/>
    <m/>
    <x v="1"/>
    <m/>
    <s v=""/>
    <s v=""/>
    <m/>
    <s v="0"/>
    <m/>
    <m/>
    <s v=""/>
    <m/>
    <s v=""/>
    <s v="-"/>
    <s v=""/>
    <s v=""/>
  </r>
  <r>
    <x v="377"/>
    <s v="006"/>
    <m/>
    <x v="16"/>
    <d v="1899-12-30T00:51:46"/>
    <n v="9.2799999999999994"/>
    <d v="1899-12-30T00:05:35"/>
    <n v="142"/>
    <n v="58"/>
    <n v="212"/>
    <m/>
    <n v="1.0590452907874421"/>
    <s v="Saucony München 3"/>
    <s v=""/>
    <s v="-"/>
    <s v=""/>
    <n v="1.4929577464788732"/>
  </r>
  <r>
    <x v="378"/>
    <s v="007"/>
    <m/>
    <x v="17"/>
    <d v="1899-12-30T01:11:32"/>
    <n v="12.2"/>
    <d v="1899-12-30T00:05:52"/>
    <n v="135"/>
    <n v="74"/>
    <n v="203"/>
    <m/>
    <n v="1.0659114264741867"/>
    <s v="ASICS DynaFlite"/>
    <s v=""/>
    <s v="-"/>
    <s v=""/>
    <n v="1.5037037037037038"/>
  </r>
  <r>
    <x v="379"/>
    <m/>
    <m/>
    <x v="1"/>
    <m/>
    <s v=""/>
    <s v=""/>
    <m/>
    <s v="0"/>
    <m/>
    <m/>
    <s v=""/>
    <m/>
    <s v=""/>
    <s v="-"/>
    <s v=""/>
    <s v=""/>
  </r>
  <r>
    <x v="380"/>
    <s v="008"/>
    <m/>
    <x v="13"/>
    <d v="1899-12-30T00:33:19"/>
    <n v="6.38"/>
    <d v="1899-12-30T00:05:13"/>
    <n v="144"/>
    <n v="46"/>
    <n v="219"/>
    <m/>
    <n v="1.0241449492350163"/>
    <s v="Adizero Boston"/>
    <s v=""/>
    <s v="-"/>
    <s v=""/>
    <n v="1.5208333333333333"/>
  </r>
  <r>
    <x v="381"/>
    <s v="009"/>
    <m/>
    <x v="16"/>
    <d v="1899-12-30T01:04:10"/>
    <n v="11.4"/>
    <d v="1899-12-30T00:05:38"/>
    <n v="136"/>
    <n v="70"/>
    <n v="209"/>
    <m/>
    <n v="1.0534825870646767"/>
    <s v="Saucony München 3"/>
    <s v=""/>
    <s v="-"/>
    <s v=""/>
    <n v="1.536764705882353"/>
  </r>
  <r>
    <x v="382"/>
    <m/>
    <m/>
    <x v="1"/>
    <m/>
    <s v=""/>
    <s v=""/>
    <m/>
    <s v="0"/>
    <m/>
    <m/>
    <s v=""/>
    <m/>
    <s v=""/>
    <s v="-"/>
    <s v=""/>
    <s v=""/>
  </r>
  <r>
    <x v="383"/>
    <m/>
    <m/>
    <x v="1"/>
    <m/>
    <m/>
    <m/>
    <m/>
    <s v="0"/>
    <m/>
    <m/>
    <s v=""/>
    <m/>
    <s v=""/>
    <s v="-"/>
    <s v=""/>
    <s v=""/>
  </r>
  <r>
    <x v="384"/>
    <m/>
    <m/>
    <x v="1"/>
    <m/>
    <s v=""/>
    <s v=""/>
    <m/>
    <s v="0"/>
    <m/>
    <m/>
    <s v=""/>
    <m/>
    <s v=""/>
    <s v="-"/>
    <s v=""/>
    <s v=""/>
  </r>
  <r>
    <x v="385"/>
    <s v="010"/>
    <s v="n"/>
    <x v="4"/>
    <d v="1899-12-30T00:42:13"/>
    <n v="9.86"/>
    <d v="1899-12-30T00:04:17"/>
    <n v="163"/>
    <n v="75"/>
    <n v="267"/>
    <m/>
    <n v="1.023751930005147"/>
    <s v="Saucony München 3"/>
    <s v=""/>
    <s v="-"/>
    <s v=""/>
    <n v="1.638036809815951"/>
  </r>
  <r>
    <x v="386"/>
    <m/>
    <m/>
    <x v="1"/>
    <m/>
    <s v=""/>
    <s v=""/>
    <m/>
    <s v="0"/>
    <m/>
    <m/>
    <s v=""/>
    <m/>
    <s v=""/>
    <s v="-"/>
    <s v=""/>
    <s v=""/>
  </r>
  <r>
    <x v="387"/>
    <m/>
    <m/>
    <x v="1"/>
    <m/>
    <s v=""/>
    <s v=""/>
    <m/>
    <s v="0"/>
    <m/>
    <m/>
    <s v=""/>
    <m/>
    <s v=""/>
    <s v="-"/>
    <s v=""/>
    <s v=""/>
  </r>
  <r>
    <x v="388"/>
    <s v="011"/>
    <m/>
    <x v="16"/>
    <d v="1899-12-30T01:03:36"/>
    <n v="11.3"/>
    <d v="1899-12-30T00:05:38"/>
    <n v="135"/>
    <n v="68"/>
    <n v="211"/>
    <m/>
    <n v="1.0635001981244221"/>
    <s v="Saucony München 3"/>
    <s v=""/>
    <s v="-"/>
    <s v=""/>
    <n v="1.5629629629629629"/>
  </r>
  <r>
    <x v="389"/>
    <m/>
    <m/>
    <x v="1"/>
    <m/>
    <s v=""/>
    <s v=""/>
    <m/>
    <s v="0"/>
    <m/>
    <m/>
    <s v=""/>
    <m/>
    <s v=""/>
    <s v="-"/>
    <s v=""/>
    <s v=""/>
  </r>
  <r>
    <x v="390"/>
    <s v="012"/>
    <m/>
    <x v="38"/>
    <d v="1899-12-30T01:02:40"/>
    <n v="12.5"/>
    <d v="1899-12-30T00:05:01"/>
    <n v="149"/>
    <n v="86"/>
    <n v="234"/>
    <m/>
    <n v="1.0505552238805971"/>
    <s v="Saucony München 3"/>
    <s v=""/>
    <s v="-"/>
    <s v=""/>
    <n v="1.5704697986577181"/>
  </r>
  <r>
    <x v="391"/>
    <m/>
    <m/>
    <x v="1"/>
    <m/>
    <s v=""/>
    <s v=""/>
    <m/>
    <s v="0"/>
    <m/>
    <m/>
    <s v=""/>
    <m/>
    <s v=""/>
    <s v="-"/>
    <s v=""/>
    <s v=""/>
  </r>
  <r>
    <x v="392"/>
    <s v="013"/>
    <m/>
    <x v="41"/>
    <d v="1899-12-30T01:34:05"/>
    <n v="17.2"/>
    <d v="1899-12-30T00:05:28"/>
    <n v="134"/>
    <n v="108"/>
    <n v="214"/>
    <m/>
    <n v="1.0482731690385283"/>
    <s v="Saucony München 3"/>
    <s v=""/>
    <s v="-"/>
    <s v=""/>
    <n v="1.5970149253731343"/>
  </r>
  <r>
    <x v="393"/>
    <m/>
    <m/>
    <x v="1"/>
    <m/>
    <s v=""/>
    <s v=""/>
    <m/>
    <s v="0"/>
    <m/>
    <m/>
    <s v=""/>
    <m/>
    <s v=""/>
    <s v="-"/>
    <s v=""/>
    <s v=""/>
  </r>
  <r>
    <x v="394"/>
    <s v="014"/>
    <m/>
    <x v="30"/>
    <d v="1899-12-30T00:56:20"/>
    <n v="11.2"/>
    <d v="1899-12-30T00:05:02"/>
    <n v="152"/>
    <n v="80"/>
    <n v="227"/>
    <m/>
    <n v="1.0224680170575693"/>
    <s v="Adizero Boston"/>
    <s v=""/>
    <s v="-"/>
    <s v=""/>
    <n v="1.493421052631579"/>
  </r>
  <r>
    <x v="395"/>
    <s v="015"/>
    <m/>
    <x v="16"/>
    <d v="1899-12-30T01:01:15"/>
    <n v="10.7"/>
    <d v="1899-12-30T00:05:43"/>
    <n v="137"/>
    <n v="64"/>
    <n v="208"/>
    <m/>
    <n v="1.0662574975589345"/>
    <s v="ASICS DynaFlite"/>
    <s v=""/>
    <s v="-"/>
    <s v=""/>
    <n v="1.5182481751824817"/>
  </r>
  <r>
    <x v="396"/>
    <m/>
    <m/>
    <x v="1"/>
    <m/>
    <s v=""/>
    <s v=""/>
    <m/>
    <s v="0"/>
    <m/>
    <m/>
    <s v=""/>
    <m/>
    <s v=""/>
    <s v="-"/>
    <s v=""/>
    <s v=""/>
  </r>
  <r>
    <x v="397"/>
    <s v="016"/>
    <m/>
    <x v="38"/>
    <d v="1899-12-30T01:03:11"/>
    <n v="12.45"/>
    <d v="1899-12-30T00:05:04"/>
    <n v="145"/>
    <n v="89"/>
    <n v="235"/>
    <m/>
    <n v="1.0680153449619374"/>
    <s v="Adizero Boston"/>
    <s v=""/>
    <s v="-"/>
    <s v=""/>
    <n v="1.6206896551724137"/>
  </r>
  <r>
    <x v="398"/>
    <s v="017"/>
    <m/>
    <x v="16"/>
    <d v="1899-12-30T01:07:38"/>
    <n v="11.6"/>
    <d v="1899-12-30T00:05:50"/>
    <n v="134"/>
    <n v="67"/>
    <n v="202"/>
    <m/>
    <n v="1.0547040658775089"/>
    <s v="Saucony München 3"/>
    <s v=""/>
    <s v="-"/>
    <s v=""/>
    <n v="1.5074626865671641"/>
  </r>
  <r>
    <x v="399"/>
    <m/>
    <m/>
    <x v="1"/>
    <m/>
    <s v=""/>
    <s v=""/>
    <m/>
    <s v="0"/>
    <m/>
    <m/>
    <s v=""/>
    <m/>
    <s v=""/>
    <s v="-"/>
    <s v=""/>
    <s v=""/>
  </r>
  <r>
    <x v="400"/>
    <s v="018"/>
    <m/>
    <x v="16"/>
    <d v="1899-12-30T01:07:18"/>
    <n v="11.6"/>
    <d v="1899-12-30T00:05:48"/>
    <n v="132"/>
    <n v="68"/>
    <n v="204"/>
    <m/>
    <n v="1.0598970663921772"/>
    <s v="Saucony München 3"/>
    <s v=""/>
    <s v="-"/>
    <s v=""/>
    <n v="1.5454545454545454"/>
  </r>
  <r>
    <x v="401"/>
    <m/>
    <m/>
    <x v="1"/>
    <m/>
    <s v=""/>
    <s v=""/>
    <m/>
    <s v="0"/>
    <m/>
    <m/>
    <s v=""/>
    <m/>
    <s v=""/>
    <s v="-"/>
    <s v=""/>
    <s v=""/>
  </r>
  <r>
    <x v="402"/>
    <s v="019"/>
    <m/>
    <x v="16"/>
    <d v="1899-12-30T01:03:07"/>
    <n v="11.52"/>
    <d v="1899-12-30T00:05:29"/>
    <n v="136"/>
    <n v="72"/>
    <n v="216"/>
    <m/>
    <n v="1.0597947761194029"/>
    <s v="Saucony München 3"/>
    <s v=""/>
    <s v="-"/>
    <s v=""/>
    <n v="1.588235294117647"/>
  </r>
  <r>
    <x v="403"/>
    <m/>
    <m/>
    <x v="1"/>
    <m/>
    <s v=""/>
    <s v=""/>
    <m/>
    <s v="0"/>
    <m/>
    <m/>
    <s v=""/>
    <m/>
    <s v=""/>
    <s v="-"/>
    <s v=""/>
    <s v=""/>
  </r>
  <r>
    <x v="404"/>
    <s v="020"/>
    <m/>
    <x v="30"/>
    <d v="1899-12-30T01:05:08"/>
    <n v="12.2"/>
    <d v="1899-12-30T00:05:20"/>
    <n v="144"/>
    <n v="90"/>
    <n v="216"/>
    <m/>
    <n v="1.0326988010765845"/>
    <s v="Adizero Boston"/>
    <s v=""/>
    <s v="-"/>
    <s v=""/>
    <n v="1.5"/>
  </r>
  <r>
    <x v="405"/>
    <m/>
    <m/>
    <x v="1"/>
    <m/>
    <s v=""/>
    <s v=""/>
    <m/>
    <s v="0"/>
    <m/>
    <m/>
    <s v=""/>
    <m/>
    <s v=""/>
    <s v="-"/>
    <s v=""/>
    <s v=""/>
  </r>
  <r>
    <x v="406"/>
    <s v="021"/>
    <m/>
    <x v="21"/>
    <d v="1899-12-30T01:19:43"/>
    <n v="14.17"/>
    <d v="1899-12-30T00:05:38"/>
    <n v="128"/>
    <n v="88"/>
    <n v="212"/>
    <m/>
    <n v="1.0680500110597329"/>
    <s v="New Balance 860 v9"/>
    <s v=""/>
    <s v="-"/>
    <s v=""/>
    <n v="1.65625"/>
  </r>
  <r>
    <x v="407"/>
    <m/>
    <m/>
    <x v="1"/>
    <m/>
    <s v=""/>
    <s v=""/>
    <m/>
    <s v="0"/>
    <m/>
    <m/>
    <s v=""/>
    <m/>
    <s v=""/>
    <s v="-"/>
    <s v=""/>
    <s v=""/>
  </r>
  <r>
    <x v="408"/>
    <s v="022"/>
    <m/>
    <x v="31"/>
    <d v="1899-12-30T00:50:32"/>
    <n v="10.4"/>
    <d v="1899-12-30T00:04:52"/>
    <n v="149"/>
    <n v="75"/>
    <n v="235"/>
    <m/>
    <n v="1.0225602755453502"/>
    <s v="Adizero Boston"/>
    <s v=""/>
    <s v="-"/>
    <s v=""/>
    <n v="1.5771812080536913"/>
  </r>
  <r>
    <x v="409"/>
    <s v="023"/>
    <m/>
    <x v="16"/>
    <d v="1899-12-30T01:03:14"/>
    <n v="11.6"/>
    <d v="1899-12-30T00:05:27"/>
    <n v="134"/>
    <n v="73"/>
    <n v="217"/>
    <m/>
    <n v="1.0593129181677816"/>
    <s v="Saucony Guide ISO 2"/>
    <s v=""/>
    <s v="-"/>
    <s v=""/>
    <n v="1.6194029850746268"/>
  </r>
  <r>
    <x v="410"/>
    <m/>
    <m/>
    <x v="1"/>
    <m/>
    <s v=""/>
    <s v=""/>
    <m/>
    <s v="0"/>
    <m/>
    <m/>
    <s v=""/>
    <m/>
    <s v=""/>
    <s v="-"/>
    <s v=""/>
    <s v=""/>
  </r>
  <r>
    <x v="411"/>
    <s v="024"/>
    <m/>
    <x v="42"/>
    <d v="1899-12-30T00:43:54"/>
    <n v="9.5399999999999991"/>
    <d v="1899-12-30T00:04:36"/>
    <n v="152"/>
    <n v="68"/>
    <n v="249"/>
    <m/>
    <n v="1.0261053224443821"/>
    <s v="Adizero Boston"/>
    <n v="230.89999999999998"/>
    <s v="-"/>
    <n v="254.10000000000002"/>
    <n v="1.638157894736842"/>
  </r>
  <r>
    <x v="412"/>
    <m/>
    <m/>
    <x v="1"/>
    <m/>
    <s v=""/>
    <s v=""/>
    <m/>
    <s v="0"/>
    <m/>
    <m/>
    <s v=""/>
    <m/>
    <s v=""/>
    <s v="-"/>
    <s v=""/>
    <s v=""/>
  </r>
  <r>
    <x v="413"/>
    <s v="025"/>
    <m/>
    <x v="21"/>
    <d v="1899-12-30T01:19:45"/>
    <n v="14.53"/>
    <d v="1899-12-30T00:05:29"/>
    <n v="132"/>
    <n v="91"/>
    <n v="216"/>
    <m/>
    <n v="1.0616840094092512"/>
    <s v="New Balance 860 v9"/>
    <s v=""/>
    <s v="-"/>
    <s v=""/>
    <n v="1.6363636363636365"/>
  </r>
  <r>
    <x v="414"/>
    <m/>
    <m/>
    <x v="1"/>
    <m/>
    <s v=""/>
    <s v=""/>
    <m/>
    <s v="0"/>
    <m/>
    <m/>
    <s v=""/>
    <m/>
    <s v=""/>
    <s v="-"/>
    <s v=""/>
    <s v=""/>
  </r>
  <r>
    <x v="415"/>
    <s v="026"/>
    <m/>
    <x v="7"/>
    <d v="1899-12-30T00:56:20"/>
    <n v="10.5"/>
    <d v="1899-12-30T00:05:22"/>
    <n v="139"/>
    <n v="72"/>
    <n v="216"/>
    <m/>
    <n v="1.0377825159914713"/>
    <s v="Adizero Boston"/>
    <n v="279.53100000000006"/>
    <s v="-"/>
    <n v="306.15300000000002"/>
    <n v="1.5539568345323742"/>
  </r>
  <r>
    <x v="416"/>
    <s v="027"/>
    <m/>
    <x v="16"/>
    <d v="1899-12-30T01:05:23"/>
    <n v="11.62"/>
    <d v="1899-12-30T00:05:38"/>
    <n v="128"/>
    <n v="71"/>
    <n v="212"/>
    <m/>
    <n v="1.0682508284738099"/>
    <s v="Saucony Guide ISO 2"/>
    <s v=""/>
    <s v="-"/>
    <s v=""/>
    <n v="1.65625"/>
  </r>
  <r>
    <x v="417"/>
    <m/>
    <m/>
    <x v="1"/>
    <m/>
    <s v=""/>
    <s v=""/>
    <m/>
    <s v="0"/>
    <m/>
    <m/>
    <s v=""/>
    <m/>
    <s v=""/>
    <s v="-"/>
    <s v=""/>
    <s v=""/>
  </r>
  <r>
    <x v="418"/>
    <s v="028"/>
    <m/>
    <x v="37"/>
    <d v="1899-12-30T01:01:22"/>
    <n v="10.6"/>
    <d v="1899-12-30T00:05:47"/>
    <n v="135"/>
    <n v="64"/>
    <n v="206"/>
    <m/>
    <n v="1.0679977471134892"/>
    <s v="New Balance 1080 v9"/>
    <s v=""/>
    <s v="-"/>
    <s v=""/>
    <n v="1.5259259259259259"/>
  </r>
  <r>
    <x v="419"/>
    <m/>
    <m/>
    <x v="1"/>
    <m/>
    <s v=""/>
    <s v=""/>
    <m/>
    <s v="0"/>
    <m/>
    <m/>
    <s v=""/>
    <m/>
    <s v=""/>
    <s v="-"/>
    <s v=""/>
    <s v=""/>
  </r>
  <r>
    <x v="420"/>
    <s v="029"/>
    <s v="n"/>
    <x v="4"/>
    <d v="1899-12-30T00:58:37"/>
    <n v="14.02"/>
    <d v="1899-12-30T00:04:11"/>
    <n v="165"/>
    <n v="105"/>
    <n v="273"/>
    <m/>
    <n v="1.0221442715097837"/>
    <s v="Adizero Boston"/>
    <s v=""/>
    <s v="-"/>
    <s v=""/>
    <n v="1.6545454545454545"/>
  </r>
  <r>
    <x v="421"/>
    <m/>
    <m/>
    <x v="1"/>
    <m/>
    <s v=""/>
    <s v=""/>
    <m/>
    <s v="0"/>
    <m/>
    <m/>
    <s v=""/>
    <m/>
    <s v=""/>
    <s v="-"/>
    <s v=""/>
    <s v=""/>
  </r>
  <r>
    <x v="422"/>
    <m/>
    <m/>
    <x v="1"/>
    <m/>
    <s v=""/>
    <s v=""/>
    <m/>
    <s v="0"/>
    <m/>
    <m/>
    <s v=""/>
    <m/>
    <s v=""/>
    <s v="-"/>
    <s v=""/>
    <s v=""/>
  </r>
  <r>
    <x v="423"/>
    <s v="030"/>
    <m/>
    <x v="16"/>
    <d v="1899-12-30T00:59:20"/>
    <n v="10.58"/>
    <d v="1899-12-30T00:05:36"/>
    <n v="128"/>
    <n v="63"/>
    <n v="213"/>
    <m/>
    <n v="1.0697175746974015"/>
    <s v="Saucony Guide ISO 2"/>
    <s v=""/>
    <s v="-"/>
    <s v=""/>
    <n v="1.6640625"/>
  </r>
  <r>
    <x v="424"/>
    <m/>
    <m/>
    <x v="1"/>
    <m/>
    <s v=""/>
    <s v=""/>
    <m/>
    <s v="0"/>
    <m/>
    <m/>
    <s v=""/>
    <m/>
    <s v=""/>
    <s v="-"/>
    <s v=""/>
    <s v=""/>
  </r>
  <r>
    <x v="425"/>
    <m/>
    <m/>
    <x v="1"/>
    <m/>
    <s v=""/>
    <s v=""/>
    <m/>
    <s v="0"/>
    <m/>
    <m/>
    <s v=""/>
    <m/>
    <s v=""/>
    <s v="-"/>
    <s v=""/>
    <s v=""/>
  </r>
  <r>
    <x v="426"/>
    <m/>
    <m/>
    <x v="1"/>
    <m/>
    <s v=""/>
    <s v=""/>
    <m/>
    <s v="0"/>
    <m/>
    <m/>
    <s v=""/>
    <m/>
    <s v=""/>
    <s v="-"/>
    <s v=""/>
    <s v=""/>
  </r>
  <r>
    <x v="427"/>
    <m/>
    <m/>
    <x v="1"/>
    <m/>
    <s v=""/>
    <s v=""/>
    <m/>
    <s v="0"/>
    <m/>
    <m/>
    <s v=""/>
    <m/>
    <s v=""/>
    <s v="-"/>
    <s v=""/>
    <s v=""/>
  </r>
  <r>
    <x v="428"/>
    <m/>
    <m/>
    <x v="1"/>
    <m/>
    <s v=""/>
    <s v=""/>
    <m/>
    <s v="0"/>
    <m/>
    <m/>
    <s v=""/>
    <m/>
    <s v=""/>
    <s v="-"/>
    <s v=""/>
    <s v=""/>
  </r>
  <r>
    <x v="429"/>
    <s v="031"/>
    <m/>
    <x v="16"/>
    <d v="1899-12-30T01:04:27"/>
    <n v="11.6"/>
    <d v="1899-12-30T00:05:33"/>
    <n v="137"/>
    <n v="70"/>
    <n v="215"/>
    <m/>
    <n v="1.0697439526505406"/>
    <s v="Saucony Guide ISO 2"/>
    <s v=""/>
    <s v="-"/>
    <s v=""/>
    <n v="1.5693430656934306"/>
  </r>
  <r>
    <x v="430"/>
    <s v="032"/>
    <m/>
    <x v="16"/>
    <d v="1899-12-30T01:03:16"/>
    <n v="11.55"/>
    <d v="1899-12-30T00:05:29"/>
    <n v="139"/>
    <n v="71"/>
    <n v="219"/>
    <m/>
    <n v="1.0742702074045356"/>
    <s v="Saucony Guide ISO 2"/>
    <s v=""/>
    <s v="-"/>
    <s v=""/>
    <n v="1.5755395683453237"/>
  </r>
  <r>
    <x v="431"/>
    <s v="033"/>
    <m/>
    <x v="25"/>
    <d v="1899-12-30T00:55:04"/>
    <n v="10.02"/>
    <d v="1899-12-30T00:05:30"/>
    <n v="146"/>
    <n v="68"/>
    <n v="208"/>
    <m/>
    <n v="1.0236720588673403"/>
    <s v="Adizero Boston"/>
    <s v=""/>
    <s v="-"/>
    <s v=""/>
    <n v="1.4246575342465753"/>
  </r>
  <r>
    <x v="432"/>
    <s v="034"/>
    <m/>
    <x v="37"/>
    <d v="1899-12-30T01:00:35"/>
    <n v="10.7"/>
    <d v="1899-12-30T00:05:40"/>
    <n v="135"/>
    <n v="64"/>
    <n v="213"/>
    <m/>
    <n v="1.0800041846840567"/>
    <s v="Saucony München 3"/>
    <s v=""/>
    <s v="-"/>
    <s v=""/>
    <n v="1.5777777777777777"/>
  </r>
  <r>
    <x v="433"/>
    <s v="035"/>
    <m/>
    <x v="43"/>
    <d v="1899-12-30T01:58:25"/>
    <n v="20.79"/>
    <d v="1899-12-30T00:05:42"/>
    <n v="143"/>
    <n v="125"/>
    <n v="213"/>
    <m/>
    <n v="1.0864616312377504"/>
    <s v="New Balance 860 v9"/>
    <s v=""/>
    <s v="-"/>
    <s v=""/>
    <n v="1.4895104895104896"/>
  </r>
  <r>
    <x v="434"/>
    <m/>
    <m/>
    <x v="1"/>
    <m/>
    <s v=""/>
    <s v=""/>
    <m/>
    <s v="0"/>
    <m/>
    <m/>
    <s v=""/>
    <m/>
    <s v=""/>
    <s v="-"/>
    <s v=""/>
    <s v=""/>
  </r>
  <r>
    <x v="435"/>
    <m/>
    <m/>
    <x v="1"/>
    <m/>
    <s v=""/>
    <s v=""/>
    <m/>
    <s v="0"/>
    <m/>
    <m/>
    <s v=""/>
    <m/>
    <s v=""/>
    <s v="-"/>
    <s v=""/>
    <s v=""/>
  </r>
  <r>
    <x v="436"/>
    <s v="036"/>
    <m/>
    <x v="27"/>
    <d v="1899-12-30T00:59:27"/>
    <n v="10.7"/>
    <d v="1899-12-30T00:05:33"/>
    <n v="144"/>
    <n v="76"/>
    <n v="206"/>
    <m/>
    <n v="1.0249714046589484"/>
    <s v="Adizero Boston"/>
    <s v=""/>
    <s v="-"/>
    <s v=""/>
    <n v="1.4305555555555556"/>
  </r>
  <r>
    <x v="437"/>
    <s v="037"/>
    <m/>
    <x v="16"/>
    <d v="1899-12-30T01:04:29"/>
    <n v="11.6"/>
    <d v="1899-12-30T00:05:34"/>
    <n v="138"/>
    <n v="70"/>
    <n v="214"/>
    <m/>
    <n v="1.065319094184251"/>
    <s v="Saucony Guide ISO 2"/>
    <s v=""/>
    <s v="-"/>
    <s v=""/>
    <n v="1.5507246376811594"/>
  </r>
  <r>
    <x v="438"/>
    <m/>
    <m/>
    <x v="1"/>
    <m/>
    <s v=""/>
    <s v=""/>
    <m/>
    <s v="0"/>
    <m/>
    <m/>
    <s v=""/>
    <m/>
    <s v=""/>
    <s v="-"/>
    <s v=""/>
    <s v=""/>
  </r>
  <r>
    <x v="439"/>
    <s v="038"/>
    <m/>
    <x v="26"/>
    <d v="1899-12-30T00:51:38"/>
    <n v="9.19"/>
    <d v="1899-12-30T00:05:37"/>
    <n v="140"/>
    <n v="62"/>
    <n v="205"/>
    <m/>
    <n v="1.0314423529793906"/>
    <s v="New Balance 1080 v9"/>
    <n v="279.29999999999995"/>
    <s v="-"/>
    <n v="314.60000000000002"/>
    <n v="1.4642857142857142"/>
  </r>
  <r>
    <x v="440"/>
    <s v="039"/>
    <m/>
    <x v="16"/>
    <d v="1899-12-30T01:06:04"/>
    <n v="11.96"/>
    <d v="1899-12-30T00:05:31"/>
    <n v="129"/>
    <n v="72"/>
    <n v="215"/>
    <m/>
    <n v="1.0635701093196228"/>
    <s v="Saucony Guide ISO 2"/>
    <s v=""/>
    <s v="-"/>
    <s v=""/>
    <n v="1.6666666666666667"/>
  </r>
  <r>
    <x v="441"/>
    <s v="040"/>
    <m/>
    <x v="10"/>
    <d v="1899-12-30T01:54:24"/>
    <n v="20.6"/>
    <d v="1899-12-30T00:05:33"/>
    <n v="131"/>
    <n v="124"/>
    <n v="215"/>
    <m/>
    <n v="1.0692363425590492"/>
    <s v="New Balance 860 v9"/>
    <s v=""/>
    <s v="-"/>
    <s v=""/>
    <n v="1.6412213740458015"/>
  </r>
  <r>
    <x v="442"/>
    <m/>
    <m/>
    <x v="1"/>
    <m/>
    <s v=""/>
    <s v=""/>
    <m/>
    <s v="0"/>
    <m/>
    <m/>
    <s v=""/>
    <m/>
    <s v=""/>
    <s v="-"/>
    <s v=""/>
    <s v=""/>
  </r>
  <r>
    <x v="443"/>
    <s v="041"/>
    <m/>
    <x v="44"/>
    <d v="1899-12-30T01:10:12"/>
    <n v="12.4"/>
    <d v="1899-12-30T00:05:40"/>
    <n v="141"/>
    <n v="87"/>
    <n v="201"/>
    <m/>
    <n v="1.0190322580645159"/>
    <s v="Adizero Boston"/>
    <s v=""/>
    <s v="-"/>
    <s v=""/>
    <n v="1.425531914893617"/>
  </r>
  <r>
    <x v="444"/>
    <s v="042"/>
    <m/>
    <x v="16"/>
    <d v="1899-12-30T01:06:04"/>
    <n v="11.64"/>
    <d v="1899-12-30T00:05:41"/>
    <n v="125"/>
    <n v="67"/>
    <n v="208"/>
    <m/>
    <n v="1.0572293173308716"/>
    <s v="Saucony Guide ISO 2"/>
    <s v=""/>
    <s v="-"/>
    <s v=""/>
    <n v="1.6639999999999999"/>
  </r>
  <r>
    <x v="445"/>
    <s v="043"/>
    <m/>
    <x v="42"/>
    <d v="1899-12-30T00:47:08"/>
    <n v="9.9700000000000006"/>
    <d v="1899-12-30T00:04:44"/>
    <n v="154"/>
    <n v="66"/>
    <n v="242"/>
    <m/>
    <n v="1.0245303073399301"/>
    <s v="New Balance 1080 v9"/>
    <n v="230.89999999999998"/>
    <s v="-"/>
    <n v="254.10000000000002"/>
    <n v="1.5714285714285714"/>
  </r>
  <r>
    <x v="446"/>
    <s v="044"/>
    <m/>
    <x v="37"/>
    <d v="1899-12-30T00:59:56"/>
    <n v="10.74"/>
    <d v="1899-12-30T00:05:35"/>
    <n v="126"/>
    <n v="62"/>
    <n v="211"/>
    <m/>
    <n v="1.0544428694516244"/>
    <s v="Saucony Guide ISO 2"/>
    <s v=""/>
    <s v="-"/>
    <s v=""/>
    <n v="1.6746031746031746"/>
  </r>
  <r>
    <x v="447"/>
    <s v="045"/>
    <m/>
    <x v="19"/>
    <d v="1899-12-30T01:42:50"/>
    <n v="16.850000000000001"/>
    <d v="1899-12-30T00:06:06"/>
    <n v="120"/>
    <n v="94"/>
    <n v="196"/>
    <m/>
    <n v="1.0711900438460515"/>
    <s v="New Balance 860 v9"/>
    <s v=""/>
    <s v="-"/>
    <s v=""/>
    <n v="1.6333333333333333"/>
  </r>
  <r>
    <x v="448"/>
    <m/>
    <m/>
    <x v="1"/>
    <m/>
    <s v=""/>
    <s v=""/>
    <m/>
    <s v="0"/>
    <m/>
    <m/>
    <s v=""/>
    <m/>
    <s v=""/>
    <s v="-"/>
    <s v=""/>
    <s v=""/>
  </r>
  <r>
    <x v="449"/>
    <m/>
    <m/>
    <x v="1"/>
    <m/>
    <s v=""/>
    <s v=""/>
    <m/>
    <s v="0"/>
    <m/>
    <m/>
    <s v=""/>
    <m/>
    <s v=""/>
    <s v="-"/>
    <s v=""/>
    <s v=""/>
  </r>
  <r>
    <x v="450"/>
    <s v="046"/>
    <m/>
    <x v="16"/>
    <d v="1899-12-30T01:01:17"/>
    <n v="10.74"/>
    <d v="1899-12-30T00:05:42"/>
    <n v="120"/>
    <n v="62"/>
    <n v="207"/>
    <m/>
    <n v="1.0577545234720251"/>
    <s v="New Balance 860 v9"/>
    <s v=""/>
    <s v="-"/>
    <s v=""/>
    <n v="1.7250000000000001"/>
  </r>
  <r>
    <x v="451"/>
    <s v="047"/>
    <m/>
    <x v="16"/>
    <d v="1899-12-30T00:58:49"/>
    <n v="10.73"/>
    <d v="1899-12-30T00:05:29"/>
    <n v="125"/>
    <n v="62"/>
    <n v="214"/>
    <m/>
    <n v="1.0504875436424586"/>
    <s v="Saucony Guide ISO 2"/>
    <s v=""/>
    <s v="-"/>
    <s v=""/>
    <n v="1.712"/>
  </r>
  <r>
    <x v="452"/>
    <m/>
    <m/>
    <x v="1"/>
    <m/>
    <s v=""/>
    <s v=""/>
    <m/>
    <s v="0"/>
    <m/>
    <m/>
    <s v=""/>
    <m/>
    <s v=""/>
    <s v="-"/>
    <s v=""/>
    <s v=""/>
  </r>
  <r>
    <x v="453"/>
    <s v="048"/>
    <m/>
    <x v="7"/>
    <d v="1899-12-30T01:05:51"/>
    <n v="11.53"/>
    <d v="1899-12-30T00:05:43"/>
    <n v="140"/>
    <n v="74"/>
    <n v="203"/>
    <m/>
    <n v="1.0382428706424511"/>
    <s v="Adizero Boston"/>
    <n v="279.53100000000006"/>
    <s v="-"/>
    <n v="306.15300000000002"/>
    <n v="1.45"/>
  </r>
  <r>
    <x v="454"/>
    <m/>
    <m/>
    <x v="1"/>
    <m/>
    <s v=""/>
    <s v=""/>
    <m/>
    <s v="0"/>
    <m/>
    <m/>
    <s v=""/>
    <m/>
    <s v=""/>
    <s v="-"/>
    <s v=""/>
    <s v=""/>
  </r>
  <r>
    <x v="455"/>
    <s v="049"/>
    <m/>
    <x v="37"/>
    <d v="1899-12-30T00:57:54"/>
    <n v="10.4"/>
    <d v="1899-12-30T00:05:34"/>
    <n v="130"/>
    <n v="61"/>
    <n v="213"/>
    <m/>
    <n v="1.0619431687715268"/>
    <s v="New Balance 860 v9"/>
    <s v=""/>
    <s v="-"/>
    <s v=""/>
    <n v="1.6384615384615384"/>
  </r>
  <r>
    <x v="456"/>
    <m/>
    <m/>
    <x v="1"/>
    <m/>
    <s v=""/>
    <s v=""/>
    <m/>
    <s v="0"/>
    <m/>
    <m/>
    <s v=""/>
    <m/>
    <s v=""/>
    <s v="-"/>
    <s v=""/>
    <s v=""/>
  </r>
  <r>
    <x v="457"/>
    <s v="050"/>
    <m/>
    <x v="30"/>
    <d v="1899-12-30T01:03:37"/>
    <n v="12.41"/>
    <d v="1899-12-30T00:05:08"/>
    <n v="150"/>
    <n v="87"/>
    <n v="223"/>
    <m/>
    <n v="1.0237182339711597"/>
    <s v="Adizero Boston"/>
    <s v=""/>
    <s v="-"/>
    <s v=""/>
    <n v="1.4866666666666666"/>
  </r>
  <r>
    <x v="458"/>
    <s v="051"/>
    <m/>
    <x v="16"/>
    <d v="1899-12-30T01:04:34"/>
    <n v="11.61"/>
    <d v="1899-12-30T00:05:34"/>
    <n v="133"/>
    <n v="69"/>
    <n v="214"/>
    <m/>
    <n v="1.0657770578631391"/>
    <s v="Saucony Guide ISO 2"/>
    <s v=""/>
    <s v="-"/>
    <s v=""/>
    <n v="1.6090225563909775"/>
  </r>
  <r>
    <x v="459"/>
    <s v="052"/>
    <m/>
    <x v="31"/>
    <d v="1899-12-30T01:05:12"/>
    <n v="13.02"/>
    <d v="1899-12-30T00:05:00"/>
    <n v="145"/>
    <n v="85"/>
    <n v="229"/>
    <m/>
    <n v="1.0269482082674188"/>
    <s v="New Balance 1080 v9"/>
    <s v=""/>
    <s v="-"/>
    <s v=""/>
    <n v="1.5793103448275863"/>
  </r>
  <r>
    <x v="460"/>
    <s v="053"/>
    <m/>
    <x v="16"/>
    <d v="1899-12-30T00:58:56"/>
    <n v="10.75"/>
    <d v="1899-12-30T00:05:29"/>
    <n v="128"/>
    <n v="60"/>
    <n v="216"/>
    <m/>
    <n v="1.0604317945157933"/>
    <s v="Saucony Guide ISO 2"/>
    <s v=""/>
    <s v="-"/>
    <s v=""/>
    <n v="1.6875"/>
  </r>
  <r>
    <x v="461"/>
    <m/>
    <m/>
    <x v="1"/>
    <m/>
    <s v=""/>
    <s v=""/>
    <m/>
    <s v="0"/>
    <m/>
    <m/>
    <s v=""/>
    <m/>
    <s v=""/>
    <s v="-"/>
    <s v=""/>
    <s v=""/>
  </r>
  <r>
    <x v="462"/>
    <s v="054"/>
    <m/>
    <x v="29"/>
    <d v="1899-12-30T02:06:02"/>
    <n v="22.23"/>
    <d v="1899-12-30T00:05:40"/>
    <n v="131"/>
    <n v="121"/>
    <n v="210"/>
    <m/>
    <n v="1.0662074244163797"/>
    <s v="New Balance 860 v9"/>
    <s v=""/>
    <s v="-"/>
    <s v=""/>
    <n v="1.6030534351145038"/>
  </r>
  <r>
    <x v="463"/>
    <s v="055"/>
    <m/>
    <x v="9"/>
    <d v="1899-12-30T01:15:24"/>
    <n v="14.32"/>
    <d v="1899-12-30T00:05:16"/>
    <n v="138"/>
    <n v="96"/>
    <n v="216"/>
    <m/>
    <n v="1.018494121570916"/>
    <s v="Adizero Boston"/>
    <s v=""/>
    <s v="-"/>
    <s v=""/>
    <n v="1.5652173913043479"/>
  </r>
  <r>
    <x v="464"/>
    <s v="056"/>
    <m/>
    <x v="16"/>
    <d v="1899-12-30T01:03:13"/>
    <n v="11.58"/>
    <d v="1899-12-30T00:05:28"/>
    <n v="126"/>
    <n v="64"/>
    <n v="215"/>
    <m/>
    <n v="1.0510852473384373"/>
    <s v="Saucony Guide ISO 2"/>
    <s v=""/>
    <s v="-"/>
    <s v=""/>
    <n v="1.7063492063492063"/>
  </r>
  <r>
    <x v="465"/>
    <m/>
    <m/>
    <x v="1"/>
    <m/>
    <s v=""/>
    <s v=""/>
    <m/>
    <s v="0"/>
    <m/>
    <m/>
    <s v=""/>
    <m/>
    <s v=""/>
    <s v="-"/>
    <s v=""/>
    <s v=""/>
  </r>
  <r>
    <x v="466"/>
    <s v="057"/>
    <m/>
    <x v="32"/>
    <d v="1899-12-30T01:09:01"/>
    <n v="13.63"/>
    <d v="1899-12-30T00:05:04"/>
    <n v="144"/>
    <n v="86"/>
    <n v="228"/>
    <m/>
    <n v="1.033878297434325"/>
    <s v="New Balance 1080 v9"/>
    <s v=""/>
    <s v="-"/>
    <s v=""/>
    <n v="1.5833333333333333"/>
  </r>
  <r>
    <x v="467"/>
    <s v="058"/>
    <m/>
    <x v="16"/>
    <d v="1899-12-30T01:05:25"/>
    <n v="11.53"/>
    <d v="1899-12-30T00:05:40"/>
    <n v="124"/>
    <n v="63"/>
    <n v="210"/>
    <m/>
    <n v="1.0669764792688767"/>
    <s v="Saucony Guide ISO 2"/>
    <s v=""/>
    <s v="-"/>
    <s v=""/>
    <n v="1.6935483870967742"/>
  </r>
  <r>
    <x v="468"/>
    <m/>
    <m/>
    <x v="1"/>
    <m/>
    <s v=""/>
    <s v=""/>
    <m/>
    <s v="0"/>
    <m/>
    <m/>
    <s v=""/>
    <m/>
    <s v=""/>
    <s v="-"/>
    <s v=""/>
    <s v=""/>
  </r>
  <r>
    <x v="469"/>
    <s v="059"/>
    <m/>
    <x v="43"/>
    <d v="1899-12-30T01:53:12"/>
    <n v="21.1"/>
    <d v="1899-12-30T00:05:22"/>
    <n v="134"/>
    <n v="120"/>
    <n v="218"/>
    <m/>
    <n v="1.0473622409280612"/>
    <s v="New Balance 860 v9"/>
    <s v=""/>
    <s v="-"/>
    <s v=""/>
    <n v="1.6268656716417911"/>
  </r>
  <r>
    <x v="470"/>
    <m/>
    <m/>
    <x v="1"/>
    <m/>
    <s v=""/>
    <s v=""/>
    <m/>
    <s v="0"/>
    <m/>
    <m/>
    <s v=""/>
    <m/>
    <s v=""/>
    <s v="-"/>
    <s v=""/>
    <s v=""/>
  </r>
  <r>
    <x v="471"/>
    <s v="060"/>
    <m/>
    <x v="33"/>
    <d v="1899-12-30T01:20:27"/>
    <n v="16.63"/>
    <d v="1899-12-30T00:04:50"/>
    <n v="146"/>
    <n v="113"/>
    <n v="234"/>
    <m/>
    <n v="1.0137388822573843"/>
    <s v="Adizero Boston"/>
    <s v=""/>
    <s v="-"/>
    <s v=""/>
    <n v="1.6027397260273972"/>
  </r>
  <r>
    <x v="472"/>
    <s v="061"/>
    <m/>
    <x v="16"/>
    <d v="1899-12-30T01:04:17"/>
    <n v="11.5"/>
    <d v="1899-12-30T00:05:35"/>
    <n v="133"/>
    <n v="64"/>
    <n v="213"/>
    <m/>
    <n v="1.066243997404283"/>
    <s v="Saucony Guide ISO 2"/>
    <s v=""/>
    <s v="-"/>
    <s v=""/>
    <n v="1.6015037593984962"/>
  </r>
  <r>
    <x v="473"/>
    <s v="062"/>
    <m/>
    <x v="40"/>
    <d v="1899-12-30T00:57:09"/>
    <n v="12.24"/>
    <d v="1899-12-30T00:04:40"/>
    <n v="153"/>
    <n v="77"/>
    <n v="246"/>
    <m/>
    <n v="1.0285996488147497"/>
    <s v="New Balance 1080 v9"/>
    <n v="230.89999999999998"/>
    <s v="-"/>
    <n v="254.10000000000002"/>
    <n v="1.607843137254902"/>
  </r>
  <r>
    <x v="474"/>
    <s v="063"/>
    <m/>
    <x v="16"/>
    <d v="1899-12-30T01:06:17"/>
    <n v="12.13"/>
    <d v="1899-12-30T00:05:28"/>
    <n v="137"/>
    <n v="68"/>
    <n v="217"/>
    <m/>
    <n v="1.061890465233601"/>
    <s v="Saucony Guide ISO 2"/>
    <s v=""/>
    <s v="-"/>
    <s v=""/>
    <n v="1.583941605839416"/>
  </r>
  <r>
    <x v="475"/>
    <s v="064"/>
    <m/>
    <x v="10"/>
    <d v="1899-12-30T01:54:08"/>
    <n v="20.8"/>
    <d v="1899-12-30T00:05:29"/>
    <n v="140"/>
    <n v="116"/>
    <n v="217"/>
    <m/>
    <n v="1.0663145809414467"/>
    <s v="New Balance 860 v9"/>
    <s v=""/>
    <s v="-"/>
    <s v=""/>
    <n v="1.55"/>
  </r>
  <r>
    <x v="476"/>
    <m/>
    <m/>
    <x v="1"/>
    <m/>
    <s v=""/>
    <s v=""/>
    <m/>
    <s v="0"/>
    <m/>
    <m/>
    <s v=""/>
    <m/>
    <s v=""/>
    <s v="-"/>
    <s v=""/>
    <s v=""/>
  </r>
  <r>
    <x v="477"/>
    <m/>
    <m/>
    <x v="1"/>
    <m/>
    <s v=""/>
    <s v=""/>
    <m/>
    <s v="0"/>
    <m/>
    <m/>
    <s v=""/>
    <m/>
    <s v=""/>
    <s v="-"/>
    <s v=""/>
    <s v=""/>
  </r>
  <r>
    <x v="478"/>
    <m/>
    <m/>
    <x v="1"/>
    <m/>
    <s v=""/>
    <s v=""/>
    <m/>
    <s v="0"/>
    <m/>
    <m/>
    <s v=""/>
    <m/>
    <s v=""/>
    <s v="-"/>
    <s v=""/>
    <s v=""/>
  </r>
  <r>
    <x v="479"/>
    <s v="065"/>
    <m/>
    <x v="16"/>
    <d v="1899-12-30T01:04:53"/>
    <n v="11.59"/>
    <d v="1899-12-30T00:05:36"/>
    <n v="135"/>
    <n v="64"/>
    <n v="213"/>
    <m/>
    <n v="1.0678389759571429"/>
    <s v="Saucony Guide ISO 2"/>
    <s v=""/>
    <s v="-"/>
    <s v=""/>
    <n v="1.5777777777777777"/>
  </r>
  <r>
    <x v="480"/>
    <s v="066"/>
    <m/>
    <x v="7"/>
    <d v="1899-12-30T01:02:51"/>
    <n v="10.5"/>
    <d v="1899-12-30T00:05:59"/>
    <n v="137"/>
    <n v="68"/>
    <n v="191"/>
    <m/>
    <n v="1.0238251599147123"/>
    <s v="Adizero Boston"/>
    <n v="279.53100000000006"/>
    <s v="-"/>
    <n v="306.15300000000002"/>
    <n v="1.3941605839416058"/>
  </r>
  <r>
    <x v="481"/>
    <m/>
    <m/>
    <x v="1"/>
    <m/>
    <s v=""/>
    <s v=""/>
    <m/>
    <s v="0"/>
    <m/>
    <m/>
    <s v=""/>
    <m/>
    <s v=""/>
    <s v="-"/>
    <s v=""/>
    <s v=""/>
  </r>
  <r>
    <x v="482"/>
    <s v="067"/>
    <m/>
    <x v="21"/>
    <d v="1899-12-30T01:19:58"/>
    <n v="14.13"/>
    <d v="1899-12-30T00:05:40"/>
    <n v="126"/>
    <n v="75"/>
    <n v="209"/>
    <m/>
    <n v="1.0592282747620707"/>
    <s v="New Balance 860 v9"/>
    <s v=""/>
    <s v="-"/>
    <s v=""/>
    <n v="1.6587301587301588"/>
  </r>
  <r>
    <x v="483"/>
    <m/>
    <m/>
    <x v="1"/>
    <m/>
    <s v=""/>
    <s v=""/>
    <m/>
    <s v="0"/>
    <m/>
    <m/>
    <s v=""/>
    <m/>
    <s v=""/>
    <s v="-"/>
    <s v=""/>
    <s v=""/>
  </r>
  <r>
    <x v="484"/>
    <s v="068"/>
    <m/>
    <x v="40"/>
    <d v="1899-12-30T00:54:13"/>
    <n v="12.36"/>
    <d v="1899-12-30T00:04:23"/>
    <n v="154"/>
    <n v="80"/>
    <n v="258"/>
    <m/>
    <n v="1.0134690624547169"/>
    <s v="Adizero Boston"/>
    <n v="230.89999999999998"/>
    <s v="-"/>
    <n v="254.10000000000002"/>
    <n v="1.6753246753246753"/>
  </r>
  <r>
    <x v="485"/>
    <s v="069"/>
    <m/>
    <x v="16"/>
    <d v="1899-12-30T01:04:40"/>
    <n v="11.59"/>
    <d v="1899-12-30T00:05:35"/>
    <n v="124"/>
    <n v="64"/>
    <n v="212"/>
    <m/>
    <n v="1.0592765250537648"/>
    <s v="Saucony Guide ISO 2"/>
    <s v=""/>
    <s v="-"/>
    <s v=""/>
    <n v="1.7096774193548387"/>
  </r>
  <r>
    <x v="486"/>
    <s v="070"/>
    <m/>
    <x v="34"/>
    <d v="1899-12-30T01:06:43"/>
    <n v="13.16"/>
    <d v="1899-12-30T00:05:04"/>
    <n v="145"/>
    <n v="87"/>
    <n v="225"/>
    <m/>
    <n v="1.0214977543891486"/>
    <s v="New Balance 1080 v9"/>
    <n v="255.10000000000002"/>
    <s v="-"/>
    <n v="278.29999999999995"/>
    <n v="1.5517241379310345"/>
  </r>
  <r>
    <x v="487"/>
    <m/>
    <m/>
    <x v="1"/>
    <m/>
    <s v=""/>
    <s v=""/>
    <m/>
    <s v="0"/>
    <m/>
    <m/>
    <s v=""/>
    <m/>
    <s v=""/>
    <s v="-"/>
    <s v=""/>
    <s v=""/>
  </r>
  <r>
    <x v="488"/>
    <s v="071"/>
    <m/>
    <x v="16"/>
    <d v="1899-12-30T00:59:16"/>
    <n v="10.69"/>
    <d v="1899-12-30T00:05:33"/>
    <n v="127"/>
    <n v="57"/>
    <n v="212"/>
    <m/>
    <n v="1.0525557432668275"/>
    <s v="New Balance 1080 v9"/>
    <s v=""/>
    <s v="-"/>
    <s v=""/>
    <n v="1.6692913385826771"/>
  </r>
  <r>
    <x v="489"/>
    <m/>
    <m/>
    <x v="1"/>
    <m/>
    <s v=""/>
    <s v=""/>
    <m/>
    <s v="0"/>
    <m/>
    <m/>
    <s v=""/>
    <m/>
    <s v=""/>
    <s v="-"/>
    <s v=""/>
    <s v=""/>
  </r>
  <r>
    <x v="490"/>
    <s v="072"/>
    <m/>
    <x v="29"/>
    <d v="1899-12-30T02:00:10"/>
    <n v="22.02"/>
    <d v="1899-12-30T00:05:27"/>
    <n v="135"/>
    <n v="121"/>
    <n v="216"/>
    <m/>
    <n v="1.055593964781"/>
    <s v="New Balance 860 v9"/>
    <s v=""/>
    <s v="-"/>
    <s v=""/>
    <n v="1.6"/>
  </r>
  <r>
    <x v="491"/>
    <m/>
    <m/>
    <x v="1"/>
    <m/>
    <s v=""/>
    <s v=""/>
    <m/>
    <s v="0"/>
    <m/>
    <m/>
    <s v=""/>
    <m/>
    <s v=""/>
    <s v="-"/>
    <s v=""/>
    <s v=""/>
  </r>
  <r>
    <x v="492"/>
    <s v="073"/>
    <m/>
    <x v="45"/>
    <d v="1899-12-30T01:04:53"/>
    <n v="14.41"/>
    <d v="1899-12-30T00:04:30"/>
    <n v="156"/>
    <n v="92"/>
    <n v="253"/>
    <m/>
    <n v="1.0201549504386465"/>
    <s v="Adizero Boston"/>
    <s v=""/>
    <s v="-"/>
    <s v=""/>
    <n v="1.6217948717948718"/>
  </r>
  <r>
    <x v="493"/>
    <s v="074"/>
    <m/>
    <x v="16"/>
    <d v="1899-12-30T01:04:13"/>
    <n v="11.57"/>
    <d v="1899-12-30T00:05:33"/>
    <n v="138"/>
    <n v="63"/>
    <n v="214"/>
    <m/>
    <n v="1.0636643919555206"/>
    <s v="Saucony Guide ISO 2"/>
    <s v=""/>
    <s v="-"/>
    <s v=""/>
    <n v="1.5507246376811594"/>
  </r>
  <r>
    <x v="494"/>
    <m/>
    <m/>
    <x v="1"/>
    <m/>
    <s v=""/>
    <s v=""/>
    <m/>
    <s v="0"/>
    <m/>
    <m/>
    <s v=""/>
    <m/>
    <s v=""/>
    <s v="-"/>
    <s v=""/>
    <s v=""/>
  </r>
  <r>
    <x v="495"/>
    <s v="075"/>
    <m/>
    <x v="31"/>
    <d v="1899-12-30T01:10:11"/>
    <n v="13.03"/>
    <d v="1899-12-30T00:05:23"/>
    <n v="144"/>
    <n v="85"/>
    <n v="211"/>
    <m/>
    <n v="1.0177672649797826"/>
    <s v="New Balance 1080 v9"/>
    <s v=""/>
    <s v="-"/>
    <s v=""/>
    <n v="1.4652777777777777"/>
  </r>
  <r>
    <x v="496"/>
    <s v="076"/>
    <m/>
    <x v="16"/>
    <d v="1899-12-30T00:48:43"/>
    <n v="8.57"/>
    <d v="1899-12-30T00:05:41"/>
    <n v="124"/>
    <n v="46"/>
    <n v="209"/>
    <m/>
    <n v="1.063945732248907"/>
    <s v="Saucony Guide ISO 2"/>
    <s v=""/>
    <s v="-"/>
    <s v=""/>
    <n v="1.685483870967742"/>
  </r>
  <r>
    <x v="497"/>
    <s v="077"/>
    <m/>
    <x v="10"/>
    <d v="1899-12-30T01:57:05"/>
    <n v="20.5"/>
    <d v="1899-12-30T00:05:43"/>
    <n v="128"/>
    <n v="110"/>
    <n v="208"/>
    <m/>
    <n v="1.0638514743356386"/>
    <s v="New Balance 860 v9"/>
    <s v=""/>
    <s v="-"/>
    <s v=""/>
    <n v="1.625"/>
  </r>
  <r>
    <x v="498"/>
    <m/>
    <m/>
    <x v="1"/>
    <m/>
    <s v=""/>
    <s v=""/>
    <m/>
    <s v="0"/>
    <m/>
    <m/>
    <s v=""/>
    <m/>
    <s v=""/>
    <s v="-"/>
    <s v=""/>
    <s v=""/>
  </r>
  <r>
    <x v="499"/>
    <s v="078"/>
    <m/>
    <x v="46"/>
    <d v="1899-12-30T01:14:16"/>
    <n v="17.04"/>
    <d v="1899-12-30T00:04:22"/>
    <n v="155"/>
    <n v="110"/>
    <n v="260"/>
    <m/>
    <n v="1.0147852287856494"/>
    <s v="Adizero Boston"/>
    <s v=""/>
    <s v="-"/>
    <s v=""/>
    <n v="1.6774193548387097"/>
  </r>
  <r>
    <x v="500"/>
    <s v="079"/>
    <m/>
    <x v="16"/>
    <d v="1899-12-30T01:03:51"/>
    <n v="11.53"/>
    <d v="1899-12-30T00:05:32"/>
    <n v="129"/>
    <n v="63"/>
    <n v="214"/>
    <m/>
    <n v="1.0612600484136128"/>
    <s v="Saucony Guide ISO 2"/>
    <s v=""/>
    <s v="-"/>
    <s v=""/>
    <n v="1.6589147286821706"/>
  </r>
  <r>
    <x v="501"/>
    <m/>
    <m/>
    <x v="1"/>
    <m/>
    <s v=""/>
    <s v=""/>
    <m/>
    <s v="0"/>
    <m/>
    <m/>
    <s v=""/>
    <m/>
    <s v=""/>
    <s v="-"/>
    <s v=""/>
    <s v=""/>
  </r>
  <r>
    <x v="502"/>
    <s v="080"/>
    <m/>
    <x v="32"/>
    <d v="1899-12-30T01:01:15"/>
    <n v="12.4"/>
    <d v="1899-12-30T00:04:56"/>
    <n v="146"/>
    <n v="79"/>
    <n v="240"/>
    <m/>
    <n v="1.0616273471352913"/>
    <s v="New Balance 1080 v9"/>
    <s v=""/>
    <s v="-"/>
    <s v=""/>
    <n v="1.6438356164383561"/>
  </r>
  <r>
    <x v="503"/>
    <s v="081"/>
    <m/>
    <x v="16"/>
    <d v="1899-12-30T01:04:49"/>
    <n v="11.57"/>
    <d v="1899-12-30T00:05:36"/>
    <n v="132"/>
    <n v="63"/>
    <n v="212"/>
    <m/>
    <n v="1.0635689314877641"/>
    <s v="Saucony Guide ISO 2"/>
    <s v=""/>
    <s v="-"/>
    <s v=""/>
    <n v="1.606060606060606"/>
  </r>
  <r>
    <x v="504"/>
    <s v="082"/>
    <m/>
    <x v="29"/>
    <d v="1899-12-30T02:07:46"/>
    <n v="22.2"/>
    <d v="1899-12-30T00:05:45"/>
    <n v="134"/>
    <n v="116"/>
    <n v="205"/>
    <m/>
    <n v="1.0565617856662632"/>
    <s v="New Balance 860 v9"/>
    <s v=""/>
    <s v="-"/>
    <s v=""/>
    <n v="1.5298507462686568"/>
  </r>
  <r>
    <x v="505"/>
    <m/>
    <m/>
    <x v="1"/>
    <m/>
    <s v=""/>
    <s v=""/>
    <m/>
    <s v="0"/>
    <m/>
    <m/>
    <s v=""/>
    <m/>
    <s v=""/>
    <s v="-"/>
    <s v=""/>
    <s v=""/>
  </r>
  <r>
    <x v="506"/>
    <s v="083"/>
    <m/>
    <x v="47"/>
    <d v="1899-12-30T00:48:10"/>
    <n v="9.6"/>
    <d v="1899-12-30T00:05:01"/>
    <n v="141"/>
    <n v="61"/>
    <s v="-"/>
    <m/>
    <s v=""/>
    <s v="Adizero Boston"/>
    <n v="230.89999999999998"/>
    <s v="-"/>
    <n v="254.10000000000002"/>
    <s v=""/>
  </r>
  <r>
    <x v="507"/>
    <s v="084"/>
    <m/>
    <x v="16"/>
    <d v="1899-12-30T01:04:26"/>
    <n v="11.57"/>
    <d v="1899-12-30T00:05:34"/>
    <n v="130"/>
    <n v="63"/>
    <n v="213"/>
    <m/>
    <n v="1.062266025103523"/>
    <s v="Saucony Guide ISO 2"/>
    <s v=""/>
    <s v="-"/>
    <s v=""/>
    <n v="1.6384615384615384"/>
  </r>
  <r>
    <x v="508"/>
    <m/>
    <m/>
    <x v="1"/>
    <m/>
    <s v=""/>
    <s v=""/>
    <m/>
    <s v="0"/>
    <m/>
    <m/>
    <s v=""/>
    <m/>
    <s v=""/>
    <s v="-"/>
    <s v=""/>
    <s v=""/>
  </r>
  <r>
    <x v="509"/>
    <s v="085"/>
    <m/>
    <x v="16"/>
    <d v="1899-12-30T01:02:54"/>
    <s v=""/>
    <s v=""/>
    <n v="131"/>
    <n v="65"/>
    <n v="219"/>
    <m/>
    <s v=""/>
    <s v="Saucony Guide ISO 2"/>
    <s v=""/>
    <s v="-"/>
    <s v=""/>
    <n v="1.6717557251908397"/>
  </r>
  <r>
    <x v="510"/>
    <m/>
    <m/>
    <x v="1"/>
    <m/>
    <s v=""/>
    <s v=""/>
    <m/>
    <s v="0"/>
    <m/>
    <m/>
    <s v=""/>
    <m/>
    <s v=""/>
    <s v="-"/>
    <s v=""/>
    <s v=""/>
  </r>
  <r>
    <x v="511"/>
    <s v="086"/>
    <m/>
    <x v="39"/>
    <d v="1899-12-30T01:17:49"/>
    <n v="14.3"/>
    <d v="1899-12-30T00:05:27"/>
    <n v="133"/>
    <n v="81"/>
    <n v="218"/>
    <m/>
    <n v="1.0623546602651082"/>
    <s v="New Balance 860 v9"/>
    <s v=""/>
    <s v="-"/>
    <s v=""/>
    <n v="1.6390977443609023"/>
  </r>
  <r>
    <x v="512"/>
    <m/>
    <m/>
    <x v="1"/>
    <m/>
    <s v=""/>
    <s v=""/>
    <m/>
    <s v="0"/>
    <m/>
    <m/>
    <s v=""/>
    <m/>
    <s v=""/>
    <s v="-"/>
    <s v=""/>
    <s v=""/>
  </r>
  <r>
    <x v="513"/>
    <m/>
    <m/>
    <x v="1"/>
    <m/>
    <s v=""/>
    <s v=""/>
    <m/>
    <s v="0"/>
    <m/>
    <m/>
    <s v=""/>
    <m/>
    <s v=""/>
    <s v="-"/>
    <s v=""/>
    <s v=""/>
  </r>
  <r>
    <x v="514"/>
    <s v="087"/>
    <m/>
    <x v="12"/>
    <d v="1899-12-30T00:39:29"/>
    <n v="8.19"/>
    <d v="1899-12-30T00:04:49"/>
    <n v="144"/>
    <n v="51"/>
    <n v="240"/>
    <m/>
    <n v="1.0361379913618722"/>
    <s v="New Balance 1080 v9"/>
    <n v="230.89999999999998"/>
    <s v="-"/>
    <n v="254.10000000000002"/>
    <n v="1.6666666666666667"/>
  </r>
  <r>
    <x v="515"/>
    <m/>
    <m/>
    <x v="1"/>
    <m/>
    <s v=""/>
    <s v=""/>
    <m/>
    <s v="0"/>
    <m/>
    <m/>
    <s v=""/>
    <m/>
    <s v=""/>
    <s v="-"/>
    <s v=""/>
    <s v=""/>
  </r>
  <r>
    <x v="516"/>
    <s v="088"/>
    <m/>
    <x v="14"/>
    <d v="1899-12-30T00:38:46"/>
    <n v="6.91"/>
    <d v="1899-12-30T00:05:37"/>
    <n v="137"/>
    <n v="38"/>
    <n v="215"/>
    <m/>
    <n v="1.0801779812946843"/>
    <s v="New Balance 860 v9"/>
    <s v=""/>
    <s v="-"/>
    <s v=""/>
    <n v="1.5693430656934306"/>
  </r>
  <r>
    <x v="517"/>
    <m/>
    <m/>
    <x v="1"/>
    <m/>
    <s v=""/>
    <s v=""/>
    <m/>
    <s v="0"/>
    <m/>
    <m/>
    <s v=""/>
    <m/>
    <s v=""/>
    <s v="-"/>
    <s v=""/>
    <s v=""/>
  </r>
  <r>
    <x v="518"/>
    <s v="089"/>
    <s v="n"/>
    <x v="4"/>
    <d v="1899-12-30T00:53:38"/>
    <n v="12.2"/>
    <d v="1899-12-30T00:04:24"/>
    <n v="166"/>
    <n v="78"/>
    <n v="261"/>
    <m/>
    <n v="1.0275238561291902"/>
    <s v="Adizero Boston"/>
    <s v=""/>
    <s v="-"/>
    <s v=""/>
    <n v="1.572289156626506"/>
  </r>
  <r>
    <x v="519"/>
    <m/>
    <m/>
    <x v="1"/>
    <m/>
    <s v=""/>
    <s v=""/>
    <m/>
    <s v="0"/>
    <m/>
    <m/>
    <s v=""/>
    <m/>
    <s v=""/>
    <s v="-"/>
    <s v=""/>
    <s v=""/>
  </r>
  <r>
    <x v="520"/>
    <m/>
    <m/>
    <x v="1"/>
    <m/>
    <s v=""/>
    <s v=""/>
    <m/>
    <s v="0"/>
    <m/>
    <m/>
    <s v=""/>
    <m/>
    <s v=""/>
    <s v="-"/>
    <s v=""/>
    <s v=""/>
  </r>
  <r>
    <x v="521"/>
    <m/>
    <m/>
    <x v="1"/>
    <m/>
    <s v=""/>
    <s v=""/>
    <m/>
    <s v="0"/>
    <m/>
    <m/>
    <s v=""/>
    <m/>
    <s v=""/>
    <s v="-"/>
    <s v=""/>
    <s v=""/>
  </r>
  <r>
    <x v="522"/>
    <m/>
    <m/>
    <x v="1"/>
    <m/>
    <s v=""/>
    <s v=""/>
    <m/>
    <s v="0"/>
    <m/>
    <m/>
    <s v=""/>
    <m/>
    <s v=""/>
    <s v="-"/>
    <s v=""/>
    <s v=""/>
  </r>
  <r>
    <x v="523"/>
    <m/>
    <m/>
    <x v="1"/>
    <m/>
    <s v=""/>
    <s v=""/>
    <m/>
    <s v="0"/>
    <m/>
    <m/>
    <s v=""/>
    <m/>
    <s v=""/>
    <s v="-"/>
    <s v=""/>
    <s v=""/>
  </r>
  <r>
    <x v="524"/>
    <m/>
    <m/>
    <x v="1"/>
    <m/>
    <s v=""/>
    <s v=""/>
    <m/>
    <s v="0"/>
    <m/>
    <m/>
    <s v=""/>
    <m/>
    <s v=""/>
    <s v="-"/>
    <s v=""/>
    <s v=""/>
  </r>
  <r>
    <x v="525"/>
    <m/>
    <m/>
    <x v="1"/>
    <m/>
    <s v=""/>
    <s v=""/>
    <m/>
    <s v="0"/>
    <m/>
    <m/>
    <s v=""/>
    <m/>
    <s v=""/>
    <s v="-"/>
    <s v=""/>
    <s v=""/>
  </r>
  <r>
    <x v="526"/>
    <s v="090"/>
    <m/>
    <x v="16"/>
    <d v="1899-12-30T00:48:08"/>
    <n v="8.3800000000000008"/>
    <d v="1899-12-30T00:05:45"/>
    <n v="141"/>
    <n v="46"/>
    <n v="210"/>
    <m/>
    <n v="1.0801838065044704"/>
    <s v="Saucony Guide ISO 2"/>
    <s v=""/>
    <s v="-"/>
    <s v=""/>
    <n v="1.4893617021276595"/>
  </r>
  <r>
    <x v="527"/>
    <m/>
    <m/>
    <x v="1"/>
    <m/>
    <s v=""/>
    <s v=""/>
    <m/>
    <s v="0"/>
    <m/>
    <m/>
    <s v=""/>
    <m/>
    <s v=""/>
    <s v="-"/>
    <s v=""/>
    <s v=""/>
  </r>
  <r>
    <x v="528"/>
    <s v="091"/>
    <m/>
    <x v="11"/>
    <d v="1899-12-30T00:48:02"/>
    <n v="8.48"/>
    <d v="1899-12-30T00:05:40"/>
    <n v="132"/>
    <n v="46"/>
    <n v="211"/>
    <m/>
    <n v="1.0703006195437903"/>
    <s v="Saucony Guide ISO 2"/>
    <s v=""/>
    <s v="-"/>
    <s v=""/>
    <n v="1.5984848484848484"/>
  </r>
  <r>
    <x v="529"/>
    <m/>
    <m/>
    <x v="1"/>
    <m/>
    <s v=""/>
    <s v=""/>
    <m/>
    <s v="0"/>
    <m/>
    <m/>
    <s v=""/>
    <m/>
    <s v=""/>
    <s v="-"/>
    <s v=""/>
    <s v=""/>
  </r>
  <r>
    <x v="530"/>
    <s v="092"/>
    <m/>
    <x v="11"/>
    <d v="1899-12-30T00:47:43"/>
    <n v="8.4"/>
    <d v="1899-12-30T00:05:41"/>
    <n v="135"/>
    <n v="45"/>
    <n v="210"/>
    <m/>
    <n v="1.0682835820895524"/>
    <s v="Saucony Guide ISO 2"/>
    <s v=""/>
    <s v="-"/>
    <s v=""/>
    <n v="1.5555555555555556"/>
  </r>
  <r>
    <x v="531"/>
    <m/>
    <m/>
    <x v="1"/>
    <m/>
    <s v=""/>
    <s v=""/>
    <m/>
    <s v="0"/>
    <m/>
    <m/>
    <s v=""/>
    <m/>
    <s v=""/>
    <s v="-"/>
    <s v=""/>
    <s v=""/>
  </r>
  <r>
    <x v="532"/>
    <m/>
    <m/>
    <x v="1"/>
    <m/>
    <s v=""/>
    <s v=""/>
    <m/>
    <s v="0"/>
    <m/>
    <m/>
    <s v=""/>
    <m/>
    <s v=""/>
    <s v="-"/>
    <s v=""/>
    <s v=""/>
  </r>
  <r>
    <x v="533"/>
    <m/>
    <m/>
    <x v="1"/>
    <m/>
    <s v=""/>
    <s v=""/>
    <m/>
    <s v="0"/>
    <m/>
    <m/>
    <s v=""/>
    <m/>
    <s v=""/>
    <s v="-"/>
    <s v=""/>
    <s v=""/>
  </r>
  <r>
    <x v="534"/>
    <m/>
    <m/>
    <x v="1"/>
    <m/>
    <s v=""/>
    <s v=""/>
    <m/>
    <s v="0"/>
    <m/>
    <m/>
    <s v=""/>
    <m/>
    <s v=""/>
    <s v="-"/>
    <s v=""/>
    <s v=""/>
  </r>
  <r>
    <x v="535"/>
    <m/>
    <m/>
    <x v="1"/>
    <m/>
    <s v=""/>
    <s v=""/>
    <m/>
    <s v="0"/>
    <m/>
    <m/>
    <s v=""/>
    <m/>
    <s v=""/>
    <s v="-"/>
    <s v=""/>
    <s v=""/>
  </r>
  <r>
    <x v="536"/>
    <m/>
    <m/>
    <x v="1"/>
    <m/>
    <s v=""/>
    <s v=""/>
    <m/>
    <s v="0"/>
    <m/>
    <m/>
    <s v=""/>
    <m/>
    <s v=""/>
    <s v="-"/>
    <s v=""/>
    <s v=""/>
  </r>
  <r>
    <x v="537"/>
    <m/>
    <m/>
    <x v="1"/>
    <m/>
    <s v=""/>
    <s v=""/>
    <m/>
    <s v="0"/>
    <m/>
    <m/>
    <s v=""/>
    <m/>
    <s v=""/>
    <s v="-"/>
    <s v=""/>
    <s v=""/>
  </r>
  <r>
    <x v="538"/>
    <m/>
    <m/>
    <x v="1"/>
    <m/>
    <s v=""/>
    <s v=""/>
    <m/>
    <s v="0"/>
    <m/>
    <m/>
    <s v=""/>
    <m/>
    <s v=""/>
    <s v="-"/>
    <s v=""/>
    <s v=""/>
  </r>
  <r>
    <x v="539"/>
    <s v="093"/>
    <m/>
    <x v="11"/>
    <d v="1899-12-30T00:46:41"/>
    <n v="8.2899999999999991"/>
    <d v="1899-12-30T00:05:38"/>
    <n v="131"/>
    <n v="45"/>
    <n v="212"/>
    <m/>
    <n v="1.0691032173271158"/>
    <s v="New Balance 860 v9"/>
    <s v=""/>
    <s v="-"/>
    <s v=""/>
    <n v="1.6183206106870229"/>
  </r>
  <r>
    <x v="540"/>
    <m/>
    <m/>
    <x v="1"/>
    <m/>
    <s v=""/>
    <s v=""/>
    <m/>
    <s v="0"/>
    <m/>
    <m/>
    <s v=""/>
    <m/>
    <s v=""/>
    <s v="-"/>
    <s v=""/>
    <s v=""/>
  </r>
  <r>
    <x v="541"/>
    <m/>
    <m/>
    <x v="1"/>
    <m/>
    <s v=""/>
    <s v=""/>
    <m/>
    <s v="0"/>
    <m/>
    <m/>
    <s v=""/>
    <m/>
    <s v=""/>
    <s v="-"/>
    <s v=""/>
    <s v=""/>
  </r>
  <r>
    <x v="542"/>
    <s v="094"/>
    <m/>
    <x v="11"/>
    <d v="1899-12-30T00:47:50"/>
    <n v="8.4"/>
    <d v="1899-12-30T00:05:42"/>
    <n v="134"/>
    <n v="46"/>
    <n v="210"/>
    <m/>
    <n v="1.0708955223880599"/>
    <s v="New Balance 860 v9"/>
    <s v=""/>
    <s v="-"/>
    <s v=""/>
    <n v="1.5671641791044777"/>
  </r>
  <r>
    <x v="543"/>
    <m/>
    <m/>
    <x v="1"/>
    <m/>
    <s v=""/>
    <s v=""/>
    <m/>
    <s v="0"/>
    <m/>
    <m/>
    <s v=""/>
    <m/>
    <s v=""/>
    <s v="-"/>
    <s v=""/>
    <s v=""/>
  </r>
  <r>
    <x v="544"/>
    <m/>
    <m/>
    <x v="1"/>
    <m/>
    <s v=""/>
    <s v=""/>
    <m/>
    <s v="0"/>
    <m/>
    <m/>
    <s v=""/>
    <m/>
    <s v=""/>
    <s v="-"/>
    <s v=""/>
    <s v=""/>
  </r>
  <r>
    <x v="545"/>
    <s v="095"/>
    <m/>
    <x v="36"/>
    <d v="1899-12-30T00:41:10"/>
    <n v="6.87"/>
    <d v="1899-12-30T00:06:00"/>
    <n v="129"/>
    <n v="40"/>
    <n v="208"/>
    <m/>
    <m/>
    <s v="New Balance 860 v9"/>
    <s v=""/>
    <s v="-"/>
    <s v=""/>
    <n v="1.6124031007751938"/>
  </r>
  <r>
    <x v="546"/>
    <m/>
    <m/>
    <x v="1"/>
    <m/>
    <s v=""/>
    <s v=""/>
    <m/>
    <s v="0"/>
    <m/>
    <m/>
    <s v=""/>
    <m/>
    <s v=""/>
    <s v="-"/>
    <s v=""/>
    <s v=""/>
  </r>
  <r>
    <x v="547"/>
    <m/>
    <m/>
    <x v="1"/>
    <m/>
    <s v=""/>
    <s v=""/>
    <m/>
    <s v="0"/>
    <m/>
    <m/>
    <s v=""/>
    <m/>
    <s v=""/>
    <s v="-"/>
    <s v=""/>
    <s v=""/>
  </r>
  <r>
    <x v="548"/>
    <s v="096"/>
    <m/>
    <x v="11"/>
    <d v="1899-12-30T00:47:16"/>
    <n v="8.32"/>
    <d v="1899-12-30T00:05:41"/>
    <n v="141"/>
    <n v="45"/>
    <n v="211"/>
    <m/>
    <n v="1.0734715843857636"/>
    <s v="New Balance 860 v9"/>
    <s v=""/>
    <s v="-"/>
    <s v=""/>
    <n v="1.4964539007092199"/>
  </r>
  <r>
    <x v="549"/>
    <m/>
    <m/>
    <x v="1"/>
    <m/>
    <m/>
    <s v=""/>
    <m/>
    <s v="0"/>
    <m/>
    <m/>
    <s v=""/>
    <m/>
    <s v=""/>
    <s v="-"/>
    <s v=""/>
    <s v=""/>
  </r>
  <r>
    <x v="550"/>
    <m/>
    <m/>
    <x v="1"/>
    <m/>
    <s v=""/>
    <s v=""/>
    <m/>
    <s v="0"/>
    <m/>
    <m/>
    <s v=""/>
    <m/>
    <s v=""/>
    <s v="-"/>
    <s v=""/>
    <s v=""/>
  </r>
  <r>
    <x v="551"/>
    <m/>
    <m/>
    <x v="1"/>
    <m/>
    <s v=""/>
    <s v=""/>
    <m/>
    <s v="0"/>
    <m/>
    <m/>
    <s v=""/>
    <m/>
    <s v=""/>
    <s v="-"/>
    <s v=""/>
    <s v=""/>
  </r>
  <r>
    <x v="552"/>
    <m/>
    <m/>
    <x v="1"/>
    <m/>
    <s v=""/>
    <s v=""/>
    <m/>
    <s v="0"/>
    <m/>
    <m/>
    <s v=""/>
    <m/>
    <s v=""/>
    <s v="-"/>
    <s v=""/>
    <s v=""/>
  </r>
  <r>
    <x v="553"/>
    <m/>
    <m/>
    <x v="1"/>
    <m/>
    <s v=""/>
    <s v=""/>
    <m/>
    <s v="0"/>
    <m/>
    <m/>
    <s v=""/>
    <m/>
    <s v=""/>
    <s v="-"/>
    <s v=""/>
    <s v=""/>
  </r>
  <r>
    <x v="554"/>
    <m/>
    <m/>
    <x v="1"/>
    <m/>
    <s v=""/>
    <s v=""/>
    <m/>
    <s v="0"/>
    <m/>
    <m/>
    <s v=""/>
    <m/>
    <s v=""/>
    <s v="-"/>
    <s v=""/>
    <s v=""/>
  </r>
  <r>
    <x v="555"/>
    <m/>
    <m/>
    <x v="1"/>
    <m/>
    <s v=""/>
    <s v=""/>
    <m/>
    <s v="0"/>
    <m/>
    <m/>
    <s v=""/>
    <m/>
    <s v=""/>
    <s v="-"/>
    <s v=""/>
    <s v=""/>
  </r>
  <r>
    <x v="556"/>
    <m/>
    <m/>
    <x v="1"/>
    <m/>
    <s v=""/>
    <s v=""/>
    <m/>
    <s v="0"/>
    <m/>
    <m/>
    <s v=""/>
    <m/>
    <s v=""/>
    <s v="-"/>
    <s v=""/>
    <s v=""/>
  </r>
  <r>
    <x v="557"/>
    <m/>
    <m/>
    <x v="1"/>
    <m/>
    <s v=""/>
    <s v=""/>
    <m/>
    <s v="0"/>
    <m/>
    <m/>
    <s v=""/>
    <m/>
    <s v=""/>
    <s v="-"/>
    <s v=""/>
    <s v=""/>
  </r>
  <r>
    <x v="558"/>
    <m/>
    <m/>
    <x v="1"/>
    <m/>
    <s v=""/>
    <s v=""/>
    <m/>
    <s v="0"/>
    <m/>
    <m/>
    <s v=""/>
    <m/>
    <s v=""/>
    <s v="-"/>
    <s v=""/>
    <s v=""/>
  </r>
  <r>
    <x v="559"/>
    <m/>
    <m/>
    <x v="1"/>
    <m/>
    <s v=""/>
    <s v=""/>
    <m/>
    <s v="0"/>
    <m/>
    <m/>
    <s v=""/>
    <m/>
    <s v=""/>
    <s v="-"/>
    <s v=""/>
    <s v=""/>
  </r>
  <r>
    <x v="560"/>
    <s v="097"/>
    <m/>
    <x v="11"/>
    <d v="1899-12-30T00:44:09"/>
    <n v="8.0399999999999991"/>
    <d v="1899-12-30T00:05:29"/>
    <n v="143"/>
    <n v="46"/>
    <n v="216"/>
    <m/>
    <n v="1.0621964802851414"/>
    <s v="Adizero Boston"/>
    <s v=""/>
    <s v="-"/>
    <s v=""/>
    <n v="1.5104895104895104"/>
  </r>
  <r>
    <x v="561"/>
    <m/>
    <m/>
    <x v="1"/>
    <m/>
    <s v=""/>
    <s v=""/>
    <m/>
    <s v="0"/>
    <m/>
    <m/>
    <s v=""/>
    <m/>
    <s v=""/>
    <s v="-"/>
    <s v=""/>
    <s v=""/>
  </r>
  <r>
    <x v="562"/>
    <m/>
    <m/>
    <x v="1"/>
    <m/>
    <s v=""/>
    <s v=""/>
    <m/>
    <s v="0"/>
    <m/>
    <m/>
    <s v=""/>
    <m/>
    <s v=""/>
    <s v="-"/>
    <s v=""/>
    <s v=""/>
  </r>
  <r>
    <x v="563"/>
    <s v="098"/>
    <m/>
    <x v="11"/>
    <d v="1899-12-30T00:51:53"/>
    <n v="8.91"/>
    <d v="1899-12-30T00:05:49"/>
    <n v="146"/>
    <n v="48"/>
    <n v="207"/>
    <m/>
    <n v="1.079436152570481"/>
    <s v="Saucony Guide ISO 2"/>
    <s v=""/>
    <s v="-"/>
    <s v=""/>
    <n v="1.4178082191780821"/>
  </r>
  <r>
    <x v="564"/>
    <m/>
    <m/>
    <x v="1"/>
    <m/>
    <s v=""/>
    <s v=""/>
    <m/>
    <s v="0"/>
    <m/>
    <m/>
    <s v=""/>
    <m/>
    <s v=""/>
    <s v="-"/>
    <s v=""/>
    <s v=""/>
  </r>
  <r>
    <x v="565"/>
    <m/>
    <m/>
    <x v="1"/>
    <m/>
    <s v=""/>
    <s v=""/>
    <m/>
    <s v="0"/>
    <m/>
    <m/>
    <s v=""/>
    <m/>
    <s v=""/>
    <s v="-"/>
    <s v=""/>
    <s v=""/>
  </r>
  <r>
    <x v="566"/>
    <s v="099"/>
    <m/>
    <x v="11"/>
    <d v="1899-12-30T00:46:16"/>
    <n v="8.2899999999999991"/>
    <d v="1899-12-30T00:05:35"/>
    <n v="147"/>
    <n v="46"/>
    <n v="215"/>
    <m/>
    <n v="1.0745548493959636"/>
    <s v="New Balance 1080 v9"/>
    <s v=""/>
    <s v="-"/>
    <s v=""/>
    <n v="1.4625850340136055"/>
  </r>
  <r>
    <x v="567"/>
    <m/>
    <m/>
    <x v="1"/>
    <m/>
    <s v=""/>
    <s v=""/>
    <m/>
    <s v="0"/>
    <m/>
    <m/>
    <s v=""/>
    <m/>
    <s v=""/>
    <s v="-"/>
    <s v=""/>
    <s v=""/>
  </r>
  <r>
    <x v="568"/>
    <m/>
    <m/>
    <x v="1"/>
    <m/>
    <s v=""/>
    <s v=""/>
    <m/>
    <s v="0"/>
    <m/>
    <m/>
    <s v=""/>
    <m/>
    <s v=""/>
    <s v="-"/>
    <s v=""/>
    <s v=""/>
  </r>
  <r>
    <x v="569"/>
    <s v="100"/>
    <m/>
    <x v="11"/>
    <d v="1899-12-30T00:54:04"/>
    <n v="9.52"/>
    <d v="1899-12-30T00:05:41"/>
    <n v="130"/>
    <n v="53"/>
    <n v="211"/>
    <m/>
    <n v="1.0731280571930266"/>
    <s v="Saucony Guide ISO 2"/>
    <s v=""/>
    <s v="-"/>
    <s v=""/>
    <n v="1.6230769230769231"/>
  </r>
  <r>
    <x v="570"/>
    <m/>
    <m/>
    <x v="1"/>
    <m/>
    <s v=""/>
    <s v=""/>
    <m/>
    <s v="0"/>
    <m/>
    <m/>
    <s v=""/>
    <m/>
    <s v=""/>
    <s v="-"/>
    <s v=""/>
    <s v=""/>
  </r>
  <r>
    <x v="571"/>
    <m/>
    <m/>
    <x v="1"/>
    <m/>
    <s v=""/>
    <s v=""/>
    <m/>
    <s v="0"/>
    <m/>
    <m/>
    <s v=""/>
    <m/>
    <s v=""/>
    <s v="-"/>
    <s v=""/>
    <s v=""/>
  </r>
  <r>
    <x v="572"/>
    <s v="101"/>
    <m/>
    <x v="48"/>
    <d v="1899-12-30T01:00:43"/>
    <n v="10.68"/>
    <d v="1899-12-30T00:05:41"/>
    <n v="132"/>
    <n v="59"/>
    <n v="211"/>
    <m/>
    <n v="1.0742257812063281"/>
    <s v="Saucony Guide ISO 2"/>
    <s v=""/>
    <s v="-"/>
    <s v=""/>
    <n v="1.5984848484848484"/>
  </r>
  <r>
    <x v="573"/>
    <m/>
    <m/>
    <x v="1"/>
    <m/>
    <s v=""/>
    <s v=""/>
    <m/>
    <s v="0"/>
    <m/>
    <m/>
    <s v=""/>
    <m/>
    <s v=""/>
    <s v="-"/>
    <s v=""/>
    <s v=""/>
  </r>
  <r>
    <x v="574"/>
    <s v="102"/>
    <m/>
    <x v="11"/>
    <d v="1899-12-30T00:49:36"/>
    <n v="8.83"/>
    <d v="1899-12-30T00:05:37"/>
    <n v="143"/>
    <n v="48"/>
    <n v="214"/>
    <m/>
    <n v="1.076492959889116"/>
    <s v="Saucony Guide ISO 2"/>
    <s v=""/>
    <s v="-"/>
    <s v=""/>
    <n v="1.4965034965034965"/>
  </r>
  <r>
    <x v="575"/>
    <m/>
    <m/>
    <x v="1"/>
    <m/>
    <s v=""/>
    <s v=""/>
    <m/>
    <s v="0"/>
    <m/>
    <m/>
    <s v=""/>
    <m/>
    <s v=""/>
    <s v="-"/>
    <s v=""/>
    <s v=""/>
  </r>
  <r>
    <x v="576"/>
    <m/>
    <m/>
    <x v="1"/>
    <m/>
    <s v=""/>
    <s v=""/>
    <m/>
    <s v="0"/>
    <m/>
    <m/>
    <s v=""/>
    <m/>
    <s v=""/>
    <s v="-"/>
    <s v=""/>
    <s v=""/>
  </r>
  <r>
    <x v="577"/>
    <s v="103"/>
    <m/>
    <x v="48"/>
    <d v="1899-12-30T00:59:19"/>
    <n v="10.59"/>
    <d v="1899-12-30T00:05:36"/>
    <n v="129"/>
    <n v="59"/>
    <n v="213"/>
    <m/>
    <n v="1.0684072555071669"/>
    <s v="New Balance 1080 v9"/>
    <s v=""/>
    <s v="-"/>
    <s v=""/>
    <n v="1.6511627906976745"/>
  </r>
  <r>
    <x v="578"/>
    <m/>
    <m/>
    <x v="1"/>
    <m/>
    <s v=""/>
    <s v=""/>
    <m/>
    <s v="0"/>
    <m/>
    <m/>
    <s v=""/>
    <m/>
    <s v=""/>
    <s v="-"/>
    <s v=""/>
    <s v=""/>
  </r>
  <r>
    <x v="579"/>
    <s v="104"/>
    <m/>
    <x v="48"/>
    <d v="1899-12-30T00:57:30"/>
    <n v="10.61"/>
    <d v="1899-12-30T00:05:25"/>
    <n v="131"/>
    <n v="60"/>
    <n v="220"/>
    <m/>
    <n v="1.0677057689872973"/>
    <s v="New Balance 860 v9"/>
    <s v=""/>
    <s v="-"/>
    <s v=""/>
    <n v="1.6793893129770991"/>
  </r>
  <r>
    <x v="580"/>
    <m/>
    <m/>
    <x v="1"/>
    <m/>
    <s v=""/>
    <s v=""/>
    <m/>
    <s v="0"/>
    <m/>
    <m/>
    <s v=""/>
    <m/>
    <s v=""/>
    <s v="-"/>
    <s v=""/>
    <s v=""/>
  </r>
  <r>
    <x v="581"/>
    <m/>
    <m/>
    <x v="1"/>
    <m/>
    <s v=""/>
    <s v=""/>
    <m/>
    <s v="0"/>
    <m/>
    <m/>
    <s v=""/>
    <m/>
    <s v=""/>
    <s v="-"/>
    <s v=""/>
    <s v=""/>
  </r>
  <r>
    <x v="582"/>
    <m/>
    <m/>
    <x v="1"/>
    <m/>
    <s v=""/>
    <s v=""/>
    <m/>
    <s v="0"/>
    <m/>
    <m/>
    <s v=""/>
    <m/>
    <s v=""/>
    <s v="-"/>
    <s v=""/>
    <s v=""/>
  </r>
  <r>
    <x v="583"/>
    <m/>
    <m/>
    <x v="1"/>
    <m/>
    <s v=""/>
    <s v=""/>
    <m/>
    <s v="0"/>
    <m/>
    <m/>
    <s v=""/>
    <m/>
    <s v=""/>
    <s v="-"/>
    <s v=""/>
    <s v=""/>
  </r>
  <r>
    <x v="584"/>
    <m/>
    <m/>
    <x v="1"/>
    <m/>
    <s v=""/>
    <s v=""/>
    <m/>
    <s v="0"/>
    <m/>
    <m/>
    <s v=""/>
    <m/>
    <s v=""/>
    <s v="-"/>
    <s v=""/>
    <s v=""/>
  </r>
  <r>
    <x v="585"/>
    <s v="105"/>
    <m/>
    <x v="17"/>
    <d v="1899-12-30T01:03:27"/>
    <n v="11.46"/>
    <d v="1899-12-30T00:05:32"/>
    <n v="148"/>
    <n v="64"/>
    <n v="216"/>
    <m/>
    <n v="1.0709697585371574"/>
    <s v="New Balance 860 v9"/>
    <s v=""/>
    <s v="-"/>
    <s v=""/>
    <n v="1.4594594594594594"/>
  </r>
  <r>
    <x v="586"/>
    <m/>
    <m/>
    <x v="1"/>
    <m/>
    <s v=""/>
    <s v=""/>
    <m/>
    <s v="0"/>
    <m/>
    <m/>
    <s v=""/>
    <m/>
    <s v=""/>
    <s v="-"/>
    <s v=""/>
    <s v=""/>
  </r>
  <r>
    <x v="587"/>
    <m/>
    <m/>
    <x v="1"/>
    <m/>
    <s v=""/>
    <s v=""/>
    <m/>
    <s v="0"/>
    <m/>
    <m/>
    <s v=""/>
    <m/>
    <s v=""/>
    <s v="-"/>
    <s v=""/>
    <s v=""/>
  </r>
  <r>
    <x v="588"/>
    <s v="106"/>
    <m/>
    <x v="17"/>
    <d v="1899-12-30T01:07:46"/>
    <n v="12.19"/>
    <d v="1899-12-30T00:05:34"/>
    <n v="147"/>
    <n v="67"/>
    <n v="215"/>
    <m/>
    <n v="1.0703537276700992"/>
    <s v="New Balance 860 v9"/>
    <s v=""/>
    <s v="-"/>
    <s v=""/>
    <n v="1.4625850340136055"/>
  </r>
  <r>
    <x v="589"/>
    <m/>
    <m/>
    <x v="1"/>
    <m/>
    <s v=""/>
    <s v=""/>
    <m/>
    <s v="0"/>
    <m/>
    <m/>
    <s v=""/>
    <m/>
    <s v=""/>
    <s v="-"/>
    <s v=""/>
    <s v=""/>
  </r>
  <r>
    <x v="590"/>
    <s v="107"/>
    <m/>
    <x v="36"/>
    <d v="1899-12-30T00:44:17"/>
    <n v="8.86"/>
    <d v="1899-12-30T00:05:00"/>
    <n v="145"/>
    <n v="53"/>
    <n v="234"/>
    <m/>
    <n v="1.0473670024594859"/>
    <s v="Adizero Boston"/>
    <s v=""/>
    <s v="-"/>
    <s v=""/>
    <n v="1.6137931034482758"/>
  </r>
  <r>
    <x v="591"/>
    <s v="108"/>
    <m/>
    <x v="48"/>
    <d v="1899-12-30T00:47:44"/>
    <n v="8.2799999999999994"/>
    <d v="1899-12-30T00:05:46"/>
    <n v="127"/>
    <n v="44"/>
    <n v="206"/>
    <m/>
    <n v="1.063494123584974"/>
    <s v="Adizero Boston"/>
    <s v=""/>
    <s v="-"/>
    <s v=""/>
    <n v="1.6220472440944882"/>
  </r>
  <r>
    <x v="592"/>
    <m/>
    <m/>
    <x v="1"/>
    <m/>
    <s v=""/>
    <s v=""/>
    <m/>
    <s v="0"/>
    <m/>
    <m/>
    <s v=""/>
    <m/>
    <s v=""/>
    <s v="-"/>
    <s v=""/>
    <s v=""/>
  </r>
  <r>
    <x v="593"/>
    <s v="109"/>
    <m/>
    <x v="16"/>
    <d v="1899-12-30T01:02:39"/>
    <n v="11.26"/>
    <d v="1899-12-30T00:05:34"/>
    <n v="140"/>
    <n v="63"/>
    <n v="216"/>
    <m/>
    <n v="1.0762493041011638"/>
    <s v="New Balance 1080 v9"/>
    <s v=""/>
    <s v="-"/>
    <s v=""/>
    <n v="1.5428571428571429"/>
  </r>
  <r>
    <x v="594"/>
    <m/>
    <m/>
    <x v="1"/>
    <m/>
    <s v=""/>
    <s v=""/>
    <m/>
    <s v="0"/>
    <m/>
    <m/>
    <s v=""/>
    <m/>
    <s v=""/>
    <s v="-"/>
    <s v=""/>
    <s v=""/>
  </r>
  <r>
    <x v="595"/>
    <s v="110"/>
    <m/>
    <x v="16"/>
    <d v="1899-12-30T01:06:24"/>
    <n v="12.09"/>
    <d v="1899-12-30T00:05:30"/>
    <n v="145"/>
    <n v="69"/>
    <n v="218"/>
    <m/>
    <n v="1.0721973260249622"/>
    <s v="New Balance 860 v9"/>
    <s v=""/>
    <s v="-"/>
    <s v=""/>
    <n v="1.5034482758620689"/>
  </r>
  <r>
    <x v="596"/>
    <m/>
    <m/>
    <x v="1"/>
    <m/>
    <s v=""/>
    <s v=""/>
    <m/>
    <s v="0"/>
    <m/>
    <m/>
    <s v=""/>
    <m/>
    <s v=""/>
    <s v="-"/>
    <s v=""/>
    <s v=""/>
  </r>
  <r>
    <x v="597"/>
    <s v="111"/>
    <m/>
    <x v="37"/>
    <d v="1899-12-30T00:57:52"/>
    <n v="9.99"/>
    <d v="1899-12-30T00:05:48"/>
    <n v="140"/>
    <n v="55"/>
    <n v="209"/>
    <m/>
    <n v="1.0841408572751858"/>
    <s v="New Balance 1080 v9"/>
    <s v=""/>
    <s v="-"/>
    <s v=""/>
    <n v="1.4928571428571429"/>
  </r>
  <r>
    <x v="598"/>
    <s v="112"/>
    <m/>
    <x v="28"/>
    <d v="1899-12-30T00:50:49"/>
    <n v="9.1199999999999992"/>
    <d v="1899-12-30T00:05:34"/>
    <n v="146"/>
    <n v="57"/>
    <n v="210"/>
    <m/>
    <n v="1.0478692065985864"/>
    <s v="Adizero Boston"/>
    <s v=""/>
    <s v="-"/>
    <s v=""/>
    <n v="1.4383561643835616"/>
  </r>
  <r>
    <x v="599"/>
    <m/>
    <m/>
    <x v="1"/>
    <m/>
    <s v=""/>
    <s v=""/>
    <m/>
    <s v="0"/>
    <m/>
    <m/>
    <s v=""/>
    <m/>
    <s v=""/>
    <s v="-"/>
    <s v=""/>
    <s v=""/>
  </r>
  <r>
    <x v="600"/>
    <s v="113"/>
    <m/>
    <x v="48"/>
    <d v="1899-12-30T01:01:08"/>
    <n v="10.74"/>
    <d v="1899-12-30T00:05:42"/>
    <n v="142"/>
    <n v="61"/>
    <n v="211"/>
    <m/>
    <n v="1.0755551849690097"/>
    <s v="New Balance 860 v9"/>
    <s v=""/>
    <s v="-"/>
    <s v=""/>
    <n v="1.4859154929577465"/>
  </r>
  <r>
    <x v="601"/>
    <m/>
    <m/>
    <x v="1"/>
    <m/>
    <s v=""/>
    <s v=""/>
    <m/>
    <s v="0"/>
    <m/>
    <m/>
    <s v=""/>
    <m/>
    <s v=""/>
    <s v="-"/>
    <s v=""/>
    <s v=""/>
  </r>
  <r>
    <x v="602"/>
    <s v="114"/>
    <m/>
    <x v="21"/>
    <d v="1899-12-30T01:16:53"/>
    <n v="13.6"/>
    <d v="1899-12-30T00:05:39"/>
    <n v="143"/>
    <n v="74"/>
    <n v="211"/>
    <m/>
    <n v="1.0681990781387183"/>
    <s v="New Balance 1080 v9"/>
    <s v=""/>
    <s v="-"/>
    <s v=""/>
    <n v="1.4755244755244756"/>
  </r>
  <r>
    <x v="603"/>
    <m/>
    <m/>
    <x v="1"/>
    <m/>
    <s v=""/>
    <s v=""/>
    <m/>
    <s v="0"/>
    <m/>
    <m/>
    <s v=""/>
    <m/>
    <s v=""/>
    <s v="-"/>
    <s v=""/>
    <s v=""/>
  </r>
  <r>
    <x v="604"/>
    <s v="115"/>
    <m/>
    <x v="11"/>
    <d v="1899-12-30T01:09:55"/>
    <n v="9.19"/>
    <d v="1899-12-30T00:07:36"/>
    <n v="124"/>
    <n v="39"/>
    <n v="160"/>
    <m/>
    <n v="1.0900881880044824"/>
    <s v="New Balance 860 v9"/>
    <s v=""/>
    <s v="-"/>
    <s v=""/>
    <m/>
  </r>
  <r>
    <x v="605"/>
    <s v="116"/>
    <m/>
    <x v="30"/>
    <d v="1899-12-30T01:03:36"/>
    <n v="11.57"/>
    <d v="1899-12-30T00:05:30"/>
    <n v="146"/>
    <n v="71"/>
    <n v="211"/>
    <m/>
    <n v="1.0386821295424347"/>
    <s v="Adizero Boston"/>
    <s v=""/>
    <s v="-"/>
    <s v=""/>
    <n v="1.4452054794520548"/>
  </r>
  <r>
    <x v="606"/>
    <m/>
    <m/>
    <x v="1"/>
    <m/>
    <s v=""/>
    <s v=""/>
    <m/>
    <s v="0"/>
    <m/>
    <m/>
    <s v=""/>
    <m/>
    <s v=""/>
    <s v="-"/>
    <s v=""/>
    <s v=""/>
  </r>
  <r>
    <x v="607"/>
    <s v="117"/>
    <m/>
    <x v="16"/>
    <d v="1899-12-30T00:59:44"/>
    <n v="10.75"/>
    <d v="1899-12-30T00:05:33"/>
    <n v="129"/>
    <n v="60"/>
    <n v="213"/>
    <m/>
    <n v="1.0598986463033671"/>
    <s v="New Balance 1080 v9"/>
    <s v=""/>
    <s v="-"/>
    <s v=""/>
    <n v="1.6511627906976745"/>
  </r>
  <r>
    <x v="608"/>
    <m/>
    <m/>
    <x v="1"/>
    <m/>
    <s v=""/>
    <s v=""/>
    <m/>
    <s v="0"/>
    <m/>
    <m/>
    <s v=""/>
    <m/>
    <s v=""/>
    <s v="-"/>
    <s v=""/>
    <s v=""/>
  </r>
  <r>
    <x v="609"/>
    <s v="118"/>
    <m/>
    <x v="19"/>
    <d v="1899-12-30T01:31:17"/>
    <n v="16.86"/>
    <d v="1899-12-30T00:05:25"/>
    <n v="141"/>
    <n v="97"/>
    <n v="219"/>
    <m/>
    <n v="1.0618287565730069"/>
    <s v="New Balance 860 v9"/>
    <s v=""/>
    <s v="-"/>
    <s v=""/>
    <n v="1.553191489361702"/>
  </r>
  <r>
    <x v="610"/>
    <m/>
    <m/>
    <x v="1"/>
    <m/>
    <s v=""/>
    <s v=""/>
    <m/>
    <s v="0"/>
    <m/>
    <m/>
    <s v=""/>
    <m/>
    <s v=""/>
    <s v="-"/>
    <s v=""/>
    <s v=""/>
  </r>
  <r>
    <x v="611"/>
    <m/>
    <m/>
    <x v="1"/>
    <m/>
    <s v=""/>
    <s v=""/>
    <m/>
    <s v="0"/>
    <m/>
    <m/>
    <s v=""/>
    <m/>
    <s v=""/>
    <s v="-"/>
    <s v=""/>
    <s v=""/>
  </r>
  <r>
    <x v="612"/>
    <s v="119"/>
    <m/>
    <x v="16"/>
    <d v="1899-12-30T00:57:59"/>
    <n v="10.5"/>
    <d v="1899-12-30T00:05:31"/>
    <n v="141"/>
    <n v="59"/>
    <n v="215"/>
    <m/>
    <n v="1.0632338308457712"/>
    <s v="New Balance 860 v9"/>
    <s v=""/>
    <s v="-"/>
    <s v=""/>
    <n v="1.5248226950354611"/>
  </r>
  <r>
    <x v="613"/>
    <m/>
    <m/>
    <x v="1"/>
    <m/>
    <s v=""/>
    <s v=""/>
    <m/>
    <s v="0"/>
    <m/>
    <m/>
    <s v=""/>
    <m/>
    <s v=""/>
    <s v="-"/>
    <s v=""/>
    <s v=""/>
  </r>
  <r>
    <x v="614"/>
    <s v="120"/>
    <m/>
    <x v="36"/>
    <d v="1899-12-30T00:51:09"/>
    <n v="10.11"/>
    <d v="1899-12-30T00:05:04"/>
    <n v="147"/>
    <n v="60"/>
    <n v="231"/>
    <m/>
    <n v="1.0466052526684084"/>
    <s v="New Balance 1080 v9"/>
    <s v=""/>
    <s v="-"/>
    <s v=""/>
    <n v="1.5714285714285714"/>
  </r>
  <r>
    <x v="615"/>
    <m/>
    <m/>
    <x v="1"/>
    <m/>
    <s v=""/>
    <s v=""/>
    <m/>
    <s v="0"/>
    <m/>
    <m/>
    <s v=""/>
    <m/>
    <s v=""/>
    <s v="-"/>
    <s v=""/>
    <s v=""/>
  </r>
  <r>
    <x v="616"/>
    <s v="121"/>
    <m/>
    <x v="21"/>
    <d v="1899-12-30T01:13:31"/>
    <n v="13.17"/>
    <d v="1899-12-30T00:05:35"/>
    <n v="135"/>
    <n v="72"/>
    <n v="213"/>
    <m/>
    <n v="1.0647706796314556"/>
    <s v="New Balance 860 v9"/>
    <s v=""/>
    <s v="-"/>
    <s v=""/>
    <n v="1.5777777777777777"/>
  </r>
  <r>
    <x v="617"/>
    <m/>
    <m/>
    <x v="1"/>
    <m/>
    <s v=""/>
    <s v=""/>
    <m/>
    <s v="0"/>
    <m/>
    <m/>
    <s v=""/>
    <m/>
    <s v=""/>
    <s v="-"/>
    <s v=""/>
    <s v=""/>
  </r>
  <r>
    <x v="618"/>
    <m/>
    <m/>
    <x v="1"/>
    <m/>
    <s v=""/>
    <s v=""/>
    <m/>
    <s v="0"/>
    <m/>
    <m/>
    <s v=""/>
    <m/>
    <s v=""/>
    <s v="-"/>
    <s v=""/>
    <s v=""/>
  </r>
  <r>
    <x v="619"/>
    <n v="122"/>
    <m/>
    <x v="16"/>
    <d v="1899-12-30T00:53:36"/>
    <n v="9.9700000000000006"/>
    <d v="1899-12-30T00:05:23"/>
    <n v="138"/>
    <n v="58"/>
    <n v="222"/>
    <m/>
    <n v="1.0688064192577731"/>
    <s v="New Balance 860 v9"/>
    <s v=""/>
    <s v="-"/>
    <s v=""/>
    <n v="1.6086956521739131"/>
  </r>
  <r>
    <x v="620"/>
    <m/>
    <m/>
    <x v="1"/>
    <m/>
    <s v=""/>
    <s v=""/>
    <m/>
    <s v="0"/>
    <m/>
    <m/>
    <s v=""/>
    <m/>
    <s v=""/>
    <s v="-"/>
    <s v=""/>
    <s v=""/>
  </r>
  <r>
    <x v="621"/>
    <m/>
    <m/>
    <x v="1"/>
    <m/>
    <s v=""/>
    <s v=""/>
    <m/>
    <s v="0"/>
    <m/>
    <m/>
    <s v=""/>
    <m/>
    <s v=""/>
    <s v="-"/>
    <s v=""/>
    <s v=""/>
  </r>
  <r>
    <x v="622"/>
    <s v="123"/>
    <m/>
    <x v="16"/>
    <d v="1899-12-30T00:55:48"/>
    <n v="10.73"/>
    <d v="1899-12-30T00:05:12"/>
    <n v="148"/>
    <n v="64"/>
    <n v="227"/>
    <m/>
    <n v="1.0571504082569445"/>
    <s v="New Balance 860 v9"/>
    <s v=""/>
    <s v="-"/>
    <s v=""/>
    <n v="1.5337837837837838"/>
  </r>
  <r>
    <x v="623"/>
    <m/>
    <m/>
    <x v="1"/>
    <m/>
    <s v=""/>
    <s v=""/>
    <m/>
    <s v="0"/>
    <m/>
    <m/>
    <s v=""/>
    <m/>
    <s v=""/>
    <s v="-"/>
    <s v=""/>
    <s v=""/>
  </r>
  <r>
    <x v="624"/>
    <m/>
    <m/>
    <x v="1"/>
    <m/>
    <s v=""/>
    <s v=""/>
    <m/>
    <s v="0"/>
    <m/>
    <m/>
    <s v=""/>
    <m/>
    <s v=""/>
    <s v="-"/>
    <s v=""/>
    <s v=""/>
  </r>
  <r>
    <x v="625"/>
    <s v="124"/>
    <m/>
    <x v="16"/>
    <d v="1899-12-30T00:46:21"/>
    <n v="8.5299999999999994"/>
    <d v="1899-12-30T00:05:26"/>
    <n v="140"/>
    <n v="48"/>
    <n v="218"/>
    <m/>
    <n v="1.0608003359521267"/>
    <s v="New Balance 1080 v9"/>
    <s v=""/>
    <s v="-"/>
    <s v=""/>
    <n v="1.5571428571428572"/>
  </r>
  <r>
    <x v="626"/>
    <m/>
    <m/>
    <x v="1"/>
    <m/>
    <s v=""/>
    <s v=""/>
    <m/>
    <s v="0"/>
    <m/>
    <m/>
    <s v=""/>
    <m/>
    <s v=""/>
    <s v="-"/>
    <s v=""/>
    <s v=""/>
  </r>
  <r>
    <x v="627"/>
    <s v="125"/>
    <m/>
    <x v="16"/>
    <d v="1899-12-30T01:06:43"/>
    <n v="12.73"/>
    <d v="1899-12-30T00:05:14"/>
    <n v="138"/>
    <n v="74"/>
    <n v="226"/>
    <m/>
    <n v="1.0606957357751696"/>
    <s v="New Balance 1080 v9"/>
    <s v=""/>
    <s v="-"/>
    <s v=""/>
    <n v="1.6376811594202898"/>
  </r>
  <r>
    <x v="628"/>
    <m/>
    <m/>
    <x v="1"/>
    <m/>
    <s v=""/>
    <s v=""/>
    <m/>
    <s v="0"/>
    <m/>
    <m/>
    <s v=""/>
    <m/>
    <s v=""/>
    <s v="-"/>
    <s v=""/>
    <s v=""/>
  </r>
  <r>
    <x v="629"/>
    <s v="126"/>
    <m/>
    <x v="42"/>
    <d v="1899-12-30T01:14:07"/>
    <n v="14.97"/>
    <d v="1899-12-30T00:04:57"/>
    <n v="150"/>
    <n v="92"/>
    <n v="237"/>
    <m/>
    <n v="1.0507971166213022"/>
    <s v="Adizero Boston"/>
    <n v="230.89999999999998"/>
    <s v="-"/>
    <n v="254.10000000000002"/>
    <n v="1.58"/>
  </r>
  <r>
    <x v="630"/>
    <m/>
    <m/>
    <x v="1"/>
    <m/>
    <s v=""/>
    <s v=""/>
    <m/>
    <s v="0"/>
    <m/>
    <m/>
    <s v=""/>
    <m/>
    <s v=""/>
    <s v="-"/>
    <s v=""/>
    <s v=""/>
  </r>
  <r>
    <x v="631"/>
    <m/>
    <m/>
    <x v="1"/>
    <m/>
    <s v=""/>
    <s v=""/>
    <m/>
    <s v="0"/>
    <m/>
    <m/>
    <s v=""/>
    <m/>
    <s v=""/>
    <s v="-"/>
    <s v=""/>
    <s v=""/>
  </r>
  <r>
    <x v="632"/>
    <s v="127"/>
    <m/>
    <x v="16"/>
    <d v="1899-12-30T00:52:58"/>
    <n v="10.1"/>
    <d v="1899-12-30T00:05:15"/>
    <n v="138"/>
    <n v="59"/>
    <n v="227"/>
    <m/>
    <n v="1.0660647258755729"/>
    <s v="New Balance 860 v9"/>
    <s v=""/>
    <s v="-"/>
    <s v=""/>
    <n v="1.644927536231884"/>
  </r>
  <r>
    <x v="633"/>
    <m/>
    <m/>
    <x v="1"/>
    <m/>
    <s v=""/>
    <s v=""/>
    <m/>
    <s v="0"/>
    <m/>
    <m/>
    <s v=""/>
    <m/>
    <s v=""/>
    <s v="-"/>
    <s v=""/>
    <s v=""/>
  </r>
  <r>
    <x v="634"/>
    <m/>
    <m/>
    <x v="1"/>
    <m/>
    <s v=""/>
    <s v=""/>
    <m/>
    <s v="0"/>
    <m/>
    <m/>
    <s v=""/>
    <m/>
    <s v=""/>
    <s v="-"/>
    <s v=""/>
    <s v=""/>
  </r>
  <r>
    <x v="635"/>
    <s v="128"/>
    <m/>
    <x v="16"/>
    <d v="1899-12-30T01:00:24"/>
    <n v="11.2"/>
    <d v="1899-12-30T00:05:24"/>
    <n v="140"/>
    <n v="63"/>
    <n v="220"/>
    <m/>
    <n v="1.0624733475479746"/>
    <s v="New Balance 1080 v9"/>
    <s v=""/>
    <s v="-"/>
    <s v=""/>
    <n v="1.5714285714285714"/>
  </r>
  <r>
    <x v="636"/>
    <m/>
    <m/>
    <x v="1"/>
    <m/>
    <s v=""/>
    <s v=""/>
    <m/>
    <s v="0"/>
    <m/>
    <m/>
    <s v=""/>
    <m/>
    <s v=""/>
    <s v="-"/>
    <s v=""/>
    <s v=""/>
  </r>
  <r>
    <x v="637"/>
    <s v="129"/>
    <m/>
    <x v="24"/>
    <d v="1899-12-30T01:37:31"/>
    <n v="17.850000000000001"/>
    <d v="1899-12-30T00:05:28"/>
    <n v="143"/>
    <n v="103"/>
    <n v="219"/>
    <m/>
    <n v="1.0714235544964255"/>
    <s v="New Balance 860 v9"/>
    <s v=""/>
    <s v="-"/>
    <s v=""/>
    <n v="1.5314685314685315"/>
  </r>
  <r>
    <x v="638"/>
    <m/>
    <m/>
    <x v="1"/>
    <m/>
    <s v=""/>
    <s v=""/>
    <m/>
    <s v="0"/>
    <m/>
    <m/>
    <s v=""/>
    <m/>
    <s v=""/>
    <s v="-"/>
    <s v=""/>
    <s v=""/>
  </r>
  <r>
    <x v="639"/>
    <s v="130"/>
    <m/>
    <x v="48"/>
    <d v="1899-12-30T01:01:26"/>
    <n v="11.2"/>
    <d v="1899-12-30T00:05:29"/>
    <n v="132"/>
    <n v="64"/>
    <n v="218"/>
    <m/>
    <n v="1.0708262260127932"/>
    <s v="New Balance 1080 v9"/>
    <s v=""/>
    <s v="-"/>
    <s v=""/>
    <n v="1.6515151515151516"/>
  </r>
  <r>
    <x v="640"/>
    <m/>
    <m/>
    <x v="1"/>
    <m/>
    <s v=""/>
    <s v=""/>
    <m/>
    <s v="0"/>
    <m/>
    <m/>
    <s v=""/>
    <m/>
    <s v=""/>
    <s v="-"/>
    <s v=""/>
    <s v=""/>
  </r>
  <r>
    <x v="641"/>
    <m/>
    <m/>
    <x v="1"/>
    <m/>
    <s v=""/>
    <s v=""/>
    <m/>
    <s v="0"/>
    <m/>
    <m/>
    <s v=""/>
    <m/>
    <s v=""/>
    <s v="-"/>
    <s v=""/>
    <s v=""/>
  </r>
  <r>
    <x v="642"/>
    <s v="131"/>
    <m/>
    <x v="11"/>
    <d v="1899-12-30T00:46:19"/>
    <n v="8.84"/>
    <d v="1899-12-30T00:05:14"/>
    <n v="138"/>
    <n v="53"/>
    <n v="224"/>
    <m/>
    <n v="1.0510164111568854"/>
    <s v="New Balance 1080 v9"/>
    <s v=""/>
    <s v="-"/>
    <s v=""/>
    <n v="1.6231884057971016"/>
  </r>
  <r>
    <x v="643"/>
    <m/>
    <m/>
    <x v="1"/>
    <m/>
    <s v=""/>
    <m/>
    <m/>
    <s v="0"/>
    <m/>
    <m/>
    <s v=""/>
    <m/>
    <s v=""/>
    <s v="-"/>
    <s v=""/>
    <s v=""/>
  </r>
  <r>
    <x v="644"/>
    <s v="132"/>
    <m/>
    <x v="32"/>
    <d v="1899-12-30T00:44:28"/>
    <n v="8.56"/>
    <d v="1899-12-30T00:05:12"/>
    <n v="134"/>
    <n v="55"/>
    <n v="229"/>
    <m/>
    <n v="1.0653019946994002"/>
    <s v="Adizero Boston"/>
    <s v=""/>
    <s v="-"/>
    <s v=""/>
    <n v="1.708955223880597"/>
  </r>
  <r>
    <x v="645"/>
    <m/>
    <m/>
    <x v="1"/>
    <m/>
    <s v=""/>
    <s v=""/>
    <m/>
    <s v="0"/>
    <m/>
    <m/>
    <s v=""/>
    <m/>
    <s v=""/>
    <s v="-"/>
    <s v=""/>
    <s v=""/>
  </r>
  <r>
    <x v="646"/>
    <s v="133"/>
    <m/>
    <x v="11"/>
    <d v="1899-12-30T00:51:53"/>
    <n v="8.84"/>
    <d v="1899-12-30T00:05:52"/>
    <n v="123"/>
    <n v="48"/>
    <n v="205"/>
    <m/>
    <n v="1.077471803876545"/>
    <s v="New Balance 860 v9"/>
    <s v=""/>
    <s v="-"/>
    <s v=""/>
    <n v="1.6666666666666667"/>
  </r>
  <r>
    <x v="647"/>
    <m/>
    <m/>
    <x v="1"/>
    <m/>
    <s v=""/>
    <s v=""/>
    <m/>
    <s v="0"/>
    <m/>
    <m/>
    <s v=""/>
    <m/>
    <s v=""/>
    <s v="-"/>
    <s v=""/>
    <s v=""/>
  </r>
  <r>
    <x v="648"/>
    <s v="134"/>
    <m/>
    <x v="14"/>
    <d v="1899-12-30T00:40:11"/>
    <n v="7.09"/>
    <d v="1899-12-30T00:05:40"/>
    <n v="126"/>
    <n v="39"/>
    <n v="209"/>
    <m/>
    <n v="1.0607730038102854"/>
    <s v="New Balance 1080 v9"/>
    <s v=""/>
    <s v="-"/>
    <s v=""/>
    <n v="1.6587301587301588"/>
  </r>
  <r>
    <x v="649"/>
    <m/>
    <m/>
    <x v="1"/>
    <m/>
    <s v=""/>
    <s v=""/>
    <m/>
    <s v="0"/>
    <m/>
    <m/>
    <s v=""/>
    <m/>
    <s v=""/>
    <s v="-"/>
    <s v=""/>
    <s v=""/>
  </r>
  <r>
    <x v="650"/>
    <m/>
    <m/>
    <x v="1"/>
    <m/>
    <s v=""/>
    <s v=""/>
    <m/>
    <s v="0"/>
    <m/>
    <m/>
    <s v=""/>
    <m/>
    <s v=""/>
    <s v="-"/>
    <s v=""/>
    <s v=""/>
  </r>
  <r>
    <x v="651"/>
    <s v="135"/>
    <m/>
    <x v="4"/>
    <d v="1899-12-30T01:45:04"/>
    <n v="21.1"/>
    <d v="1899-12-30T00:04:59"/>
    <n v="162"/>
    <n v="129"/>
    <n v="236"/>
    <m/>
    <n v="1.0523760345193462"/>
    <s v="Adizero Boston"/>
    <s v=""/>
    <s v="-"/>
    <s v=""/>
    <n v="1.4567901234567902"/>
  </r>
  <r>
    <x v="652"/>
    <m/>
    <m/>
    <x v="1"/>
    <m/>
    <s v=""/>
    <s v=""/>
    <m/>
    <s v="0"/>
    <m/>
    <m/>
    <s v=""/>
    <m/>
    <s v=""/>
    <s v="-"/>
    <s v=""/>
    <s v=""/>
  </r>
  <r>
    <x v="653"/>
    <m/>
    <m/>
    <x v="1"/>
    <m/>
    <s v=""/>
    <s v=""/>
    <m/>
    <s v="0"/>
    <m/>
    <m/>
    <s v=""/>
    <m/>
    <s v=""/>
    <s v="-"/>
    <s v=""/>
    <s v=""/>
  </r>
  <r>
    <x v="654"/>
    <m/>
    <m/>
    <x v="1"/>
    <m/>
    <s v=""/>
    <s v=""/>
    <m/>
    <s v="0"/>
    <m/>
    <m/>
    <s v=""/>
    <m/>
    <s v=""/>
    <s v="-"/>
    <s v=""/>
    <s v=""/>
  </r>
  <r>
    <x v="655"/>
    <m/>
    <m/>
    <x v="1"/>
    <m/>
    <s v=""/>
    <s v=""/>
    <m/>
    <s v="0"/>
    <m/>
    <m/>
    <s v=""/>
    <m/>
    <s v=""/>
    <s v="-"/>
    <s v=""/>
    <s v=""/>
  </r>
  <r>
    <x v="656"/>
    <m/>
    <m/>
    <x v="1"/>
    <m/>
    <s v=""/>
    <s v=""/>
    <m/>
    <s v="0"/>
    <m/>
    <m/>
    <s v=""/>
    <m/>
    <s v=""/>
    <s v="-"/>
    <s v=""/>
    <s v=""/>
  </r>
  <r>
    <x v="657"/>
    <s v="136"/>
    <m/>
    <x v="48"/>
    <d v="1899-12-30T01:01:59"/>
    <n v="11.1"/>
    <d v="1899-12-30T00:05:35"/>
    <n v="137"/>
    <n v="72"/>
    <n v="214"/>
    <m/>
    <n v="1.070143875218502"/>
    <s v="New Balance 1080 v9"/>
    <s v=""/>
    <s v="-"/>
    <s v=""/>
    <n v="1.562043795620438"/>
  </r>
  <r>
    <x v="658"/>
    <m/>
    <m/>
    <x v="1"/>
    <m/>
    <s v=""/>
    <s v=""/>
    <m/>
    <s v="0"/>
    <m/>
    <m/>
    <s v=""/>
    <m/>
    <s v=""/>
    <s v="-"/>
    <s v=""/>
    <s v=""/>
  </r>
  <r>
    <x v="659"/>
    <m/>
    <m/>
    <x v="1"/>
    <m/>
    <s v=""/>
    <s v=""/>
    <m/>
    <s v="0"/>
    <m/>
    <m/>
    <s v=""/>
    <m/>
    <s v=""/>
    <s v="-"/>
    <s v=""/>
    <s v=""/>
  </r>
  <r>
    <x v="660"/>
    <s v="137"/>
    <m/>
    <x v="48"/>
    <d v="1899-12-30T00:52:04"/>
    <n v="9.5"/>
    <d v="1899-12-30T00:05:29"/>
    <n v="134"/>
    <n v="64"/>
    <n v="217"/>
    <m/>
    <n v="1.0650557737627653"/>
    <s v="New Balance 1080 v9"/>
    <s v=""/>
    <s v="-"/>
    <s v=""/>
    <n v="1.6194029850746268"/>
  </r>
  <r>
    <x v="661"/>
    <m/>
    <m/>
    <x v="1"/>
    <m/>
    <s v=""/>
    <s v=""/>
    <m/>
    <s v="0"/>
    <m/>
    <m/>
    <s v=""/>
    <m/>
    <s v=""/>
    <s v="-"/>
    <s v=""/>
    <s v=""/>
  </r>
  <r>
    <x v="662"/>
    <m/>
    <m/>
    <x v="1"/>
    <m/>
    <s v=""/>
    <s v=""/>
    <m/>
    <s v="0"/>
    <m/>
    <m/>
    <s v=""/>
    <m/>
    <s v=""/>
    <s v="-"/>
    <s v=""/>
    <s v=""/>
  </r>
  <r>
    <x v="663"/>
    <s v="138"/>
    <m/>
    <x v="48"/>
    <d v="1899-12-30T00:56:02"/>
    <n v="9.94"/>
    <d v="1899-12-30T00:05:38"/>
    <n v="132"/>
    <n v="65"/>
    <n v="214"/>
    <m/>
    <n v="1.0803147241658908"/>
    <s v="New Balance 860 v9"/>
    <s v=""/>
    <s v="-"/>
    <s v=""/>
    <n v="1.6212121212121211"/>
  </r>
  <r>
    <x v="664"/>
    <m/>
    <m/>
    <x v="1"/>
    <m/>
    <s v=""/>
    <s v=""/>
    <m/>
    <s v="0"/>
    <m/>
    <m/>
    <s v=""/>
    <m/>
    <s v=""/>
    <s v="-"/>
    <s v=""/>
    <s v=""/>
  </r>
  <r>
    <x v="665"/>
    <s v="139"/>
    <m/>
    <x v="7"/>
    <d v="1899-12-30T01:03:28"/>
    <n v="11.6"/>
    <d v="1899-12-30T00:05:28"/>
    <n v="137"/>
    <n v="78"/>
    <n v="214"/>
    <m/>
    <n v="1.0485229027277407"/>
    <s v="Adizero Boston"/>
    <n v="279.53100000000006"/>
    <s v="-"/>
    <n v="306.15300000000002"/>
    <n v="1.562043795620438"/>
  </r>
  <r>
    <x v="666"/>
    <m/>
    <m/>
    <x v="1"/>
    <m/>
    <s v=""/>
    <s v=""/>
    <m/>
    <s v="0"/>
    <m/>
    <m/>
    <s v=""/>
    <m/>
    <s v=""/>
    <s v="-"/>
    <s v=""/>
    <s v=""/>
  </r>
  <r>
    <x v="667"/>
    <m/>
    <m/>
    <x v="1"/>
    <m/>
    <s v=""/>
    <s v=""/>
    <m/>
    <s v="0"/>
    <m/>
    <m/>
    <s v=""/>
    <m/>
    <s v=""/>
    <s v="-"/>
    <s v=""/>
    <s v=""/>
  </r>
  <r>
    <x v="668"/>
    <m/>
    <m/>
    <x v="1"/>
    <m/>
    <m/>
    <s v=""/>
    <m/>
    <m/>
    <m/>
    <m/>
    <s v=""/>
    <m/>
    <s v=""/>
    <s v="-"/>
    <s v=""/>
    <s v=""/>
  </r>
  <r>
    <x v="669"/>
    <s v="140"/>
    <m/>
    <x v="16"/>
    <d v="1899-12-30T00:52:43"/>
    <n v="10.6"/>
    <d v="1899-12-30T00:04:58"/>
    <n v="141"/>
    <n v="76"/>
    <n v="237"/>
    <m/>
    <n v="1.0555209800056324"/>
    <s v="Adizero Boston"/>
    <s v=""/>
    <s v="-"/>
    <s v=""/>
    <n v="1.6808510638297873"/>
  </r>
  <r>
    <x v="670"/>
    <m/>
    <m/>
    <x v="1"/>
    <m/>
    <s v=""/>
    <s v=""/>
    <m/>
    <s v="0"/>
    <m/>
    <m/>
    <s v=""/>
    <m/>
    <s v=""/>
    <s v="-"/>
    <s v=""/>
    <s v=""/>
  </r>
  <r>
    <x v="671"/>
    <m/>
    <m/>
    <x v="1"/>
    <m/>
    <s v=""/>
    <s v=""/>
    <m/>
    <s v="0"/>
    <m/>
    <m/>
    <s v=""/>
    <m/>
    <s v=""/>
    <s v="-"/>
    <s v=""/>
    <s v=""/>
  </r>
  <r>
    <x v="672"/>
    <s v="141"/>
    <m/>
    <x v="16"/>
    <d v="1899-12-30T01:05:25"/>
    <n v="11.38"/>
    <d v="1899-12-30T00:05:45"/>
    <n v="138"/>
    <n v="72"/>
    <n v="208"/>
    <m/>
    <n v="1.0707446948036616"/>
    <s v="New Balance 1080 v9"/>
    <s v=""/>
    <s v="-"/>
    <s v=""/>
    <n v="1.5072463768115942"/>
  </r>
  <r>
    <x v="673"/>
    <m/>
    <m/>
    <x v="1"/>
    <m/>
    <s v=""/>
    <s v=""/>
    <m/>
    <s v="0"/>
    <m/>
    <m/>
    <s v=""/>
    <m/>
    <s v=""/>
    <s v="-"/>
    <s v=""/>
    <s v=""/>
  </r>
  <r>
    <x v="674"/>
    <m/>
    <m/>
    <x v="1"/>
    <m/>
    <s v=""/>
    <s v=""/>
    <m/>
    <s v="0"/>
    <m/>
    <m/>
    <s v=""/>
    <m/>
    <s v=""/>
    <s v="-"/>
    <s v=""/>
    <s v=""/>
  </r>
  <r>
    <x v="675"/>
    <s v="142"/>
    <m/>
    <x v="16"/>
    <d v="1899-12-30T01:07:45"/>
    <n v="12.4"/>
    <d v="1899-12-30T00:05:28"/>
    <n v="138"/>
    <n v="84"/>
    <n v="220"/>
    <m/>
    <n v="1.076432354357246"/>
    <s v="Saucony Guide ISO 2"/>
    <s v=""/>
    <s v="-"/>
    <s v=""/>
    <n v="1.5942028985507246"/>
  </r>
  <r>
    <x v="676"/>
    <m/>
    <m/>
    <x v="1"/>
    <m/>
    <s v=""/>
    <s v=""/>
    <m/>
    <s v="0"/>
    <m/>
    <m/>
    <s v=""/>
    <m/>
    <s v=""/>
    <s v="-"/>
    <s v=""/>
    <s v=""/>
  </r>
  <r>
    <x v="677"/>
    <s v="143"/>
    <m/>
    <x v="48"/>
    <d v="1899-12-30T00:50:58"/>
    <n v="9.43"/>
    <d v="1899-12-30T00:05:24"/>
    <n v="138"/>
    <n v="62"/>
    <n v="219"/>
    <m/>
    <n v="1.0599737262784699"/>
    <s v="New Balance 1080 v9"/>
    <s v=""/>
    <s v="-"/>
    <s v=""/>
    <n v="1.5869565217391304"/>
  </r>
  <r>
    <x v="678"/>
    <m/>
    <m/>
    <x v="1"/>
    <m/>
    <s v=""/>
    <s v=""/>
    <m/>
    <s v="0"/>
    <m/>
    <m/>
    <s v=""/>
    <m/>
    <s v=""/>
    <s v="-"/>
    <s v=""/>
    <s v=""/>
  </r>
  <r>
    <x v="679"/>
    <s v="144"/>
    <m/>
    <x v="21"/>
    <d v="1899-12-30T01:17:59"/>
    <n v="14.2"/>
    <d v="1899-12-30T00:05:30"/>
    <n v="140"/>
    <n v="93"/>
    <n v="216"/>
    <m/>
    <n v="1.0622913601009041"/>
    <s v="New Balance 1080 v9"/>
    <s v=""/>
    <s v="-"/>
    <s v=""/>
    <n v="1.5428571428571429"/>
  </r>
  <r>
    <x v="680"/>
    <m/>
    <m/>
    <x v="1"/>
    <m/>
    <s v=""/>
    <s v=""/>
    <m/>
    <s v="0"/>
    <m/>
    <m/>
    <s v=""/>
    <m/>
    <s v=""/>
    <s v="-"/>
    <s v=""/>
    <s v=""/>
  </r>
  <r>
    <x v="681"/>
    <s v="145"/>
    <m/>
    <x v="48"/>
    <d v="1899-12-30T00:54:00"/>
    <n v="9.68"/>
    <d v="1899-12-30T00:05:35"/>
    <n v="141"/>
    <n v="63"/>
    <n v="214"/>
    <m/>
    <n v="1.0690761070679657"/>
    <s v="New Balance 860 v9"/>
    <s v=""/>
    <s v="-"/>
    <s v=""/>
    <n v="1.5177304964539007"/>
  </r>
  <r>
    <x v="682"/>
    <m/>
    <m/>
    <x v="1"/>
    <m/>
    <s v=""/>
    <s v=""/>
    <m/>
    <s v="0"/>
    <m/>
    <m/>
    <s v=""/>
    <m/>
    <s v=""/>
    <s v="-"/>
    <s v=""/>
    <s v=""/>
  </r>
  <r>
    <x v="683"/>
    <n v="146"/>
    <m/>
    <x v="48"/>
    <d v="1899-12-30T00:52:20"/>
    <n v="9.69"/>
    <d v="1899-12-30T00:05:24"/>
    <n v="140"/>
    <n v="64"/>
    <n v="219"/>
    <m/>
    <n v="1.0591931980962064"/>
    <s v="New Balance 860 v9"/>
    <s v=""/>
    <s v="-"/>
    <s v=""/>
    <n v="1.5642857142857143"/>
  </r>
  <r>
    <x v="684"/>
    <m/>
    <m/>
    <x v="1"/>
    <m/>
    <s v=""/>
    <s v=""/>
    <m/>
    <s v="0"/>
    <m/>
    <m/>
    <s v=""/>
    <m/>
    <s v=""/>
    <s v="-"/>
    <s v=""/>
    <s v=""/>
  </r>
  <r>
    <x v="685"/>
    <m/>
    <m/>
    <x v="1"/>
    <m/>
    <s v=""/>
    <s v=""/>
    <m/>
    <s v="0"/>
    <m/>
    <m/>
    <s v=""/>
    <m/>
    <s v=""/>
    <s v="-"/>
    <s v=""/>
    <s v=""/>
  </r>
  <r>
    <x v="686"/>
    <n v="147"/>
    <m/>
    <x v="48"/>
    <d v="1899-12-30T01:00:47"/>
    <n v="10.5"/>
    <d v="1899-12-30T00:05:47"/>
    <n v="136"/>
    <n v="66"/>
    <n v="207"/>
    <m/>
    <n v="1.0731044776119405"/>
    <s v="New Balance 1080 v9"/>
    <s v=""/>
    <s v="-"/>
    <s v=""/>
    <n v="1.5220588235294117"/>
  </r>
  <r>
    <x v="687"/>
    <m/>
    <m/>
    <x v="1"/>
    <m/>
    <s v=""/>
    <s v=""/>
    <m/>
    <s v="0"/>
    <m/>
    <m/>
    <s v=""/>
    <m/>
    <s v=""/>
    <s v="-"/>
    <s v=""/>
    <s v=""/>
  </r>
  <r>
    <x v="688"/>
    <n v="148"/>
    <m/>
    <x v="48"/>
    <d v="1899-12-30T00:58:20"/>
    <n v="10.6"/>
    <d v="1899-12-30T00:05:30"/>
    <n v="136"/>
    <n v="69"/>
    <n v="216"/>
    <m/>
    <n v="1.0644888763728528"/>
    <s v="New Balance 1080 v9"/>
    <s v=""/>
    <s v="-"/>
    <s v=""/>
    <n v="1.588235294117647"/>
  </r>
  <r>
    <x v="689"/>
    <m/>
    <m/>
    <x v="1"/>
    <m/>
    <s v=""/>
    <s v=""/>
    <m/>
    <s v="0"/>
    <m/>
    <m/>
    <s v=""/>
    <m/>
    <s v=""/>
    <s v="-"/>
    <s v=""/>
    <s v=""/>
  </r>
  <r>
    <x v="690"/>
    <m/>
    <m/>
    <x v="1"/>
    <m/>
    <s v=""/>
    <s v=""/>
    <m/>
    <s v="0"/>
    <m/>
    <m/>
    <s v=""/>
    <m/>
    <s v=""/>
    <s v="-"/>
    <s v=""/>
    <s v=""/>
  </r>
  <r>
    <x v="691"/>
    <m/>
    <m/>
    <x v="1"/>
    <m/>
    <s v=""/>
    <s v=""/>
    <m/>
    <s v="0"/>
    <m/>
    <m/>
    <s v=""/>
    <m/>
    <s v=""/>
    <s v="-"/>
    <s v=""/>
    <s v=""/>
  </r>
  <r>
    <x v="692"/>
    <m/>
    <m/>
    <x v="1"/>
    <m/>
    <s v=""/>
    <s v=""/>
    <m/>
    <s v="0"/>
    <m/>
    <m/>
    <s v=""/>
    <m/>
    <s v=""/>
    <s v="-"/>
    <s v=""/>
    <s v=""/>
  </r>
  <r>
    <x v="693"/>
    <n v="149"/>
    <m/>
    <x v="16"/>
    <d v="1899-12-30T01:02:16"/>
    <n v="11.34"/>
    <d v="1899-12-30T00:05:29"/>
    <n v="138"/>
    <n v="72"/>
    <n v="211"/>
    <m/>
    <n v="1.0375319171339072"/>
    <s v="New Balance 1080 v9"/>
    <s v=""/>
    <s v="-"/>
    <s v=""/>
    <n v="1.5289855072463767"/>
  </r>
  <r>
    <x v="694"/>
    <m/>
    <m/>
    <x v="1"/>
    <m/>
    <s v=""/>
    <s v=""/>
    <m/>
    <s v="0"/>
    <m/>
    <m/>
    <s v=""/>
    <m/>
    <s v=""/>
    <s v="-"/>
    <s v=""/>
    <s v=""/>
  </r>
  <r>
    <x v="695"/>
    <m/>
    <m/>
    <x v="1"/>
    <m/>
    <s v=""/>
    <s v=""/>
    <m/>
    <s v="0"/>
    <m/>
    <m/>
    <s v=""/>
    <m/>
    <s v=""/>
    <s v="-"/>
    <s v=""/>
    <s v=""/>
  </r>
  <r>
    <x v="696"/>
    <n v="150"/>
    <m/>
    <x v="48"/>
    <d v="1899-12-30T00:58:30"/>
    <n v="10.7"/>
    <d v="1899-12-30T00:05:28"/>
    <n v="152"/>
    <n v="72"/>
    <n v="220"/>
    <m/>
    <n v="1.0771376761054543"/>
    <s v="New Balance 1080 v9"/>
    <s v=""/>
    <s v="-"/>
    <s v=""/>
    <n v="1.4473684210526316"/>
  </r>
  <r>
    <x v="697"/>
    <m/>
    <m/>
    <x v="1"/>
    <m/>
    <s v=""/>
    <s v=""/>
    <m/>
    <s v="0"/>
    <m/>
    <m/>
    <s v=""/>
    <m/>
    <s v=""/>
    <s v="-"/>
    <s v=""/>
    <s v=""/>
  </r>
  <r>
    <x v="698"/>
    <n v="151"/>
    <m/>
    <x v="48"/>
    <d v="1899-12-30T00:58:09"/>
    <n v="10.6"/>
    <d v="1899-12-30T00:05:29"/>
    <n v="141"/>
    <n v="69"/>
    <n v="216"/>
    <m/>
    <n v="1.0611433399042522"/>
    <s v="New Balance 1080 v9"/>
    <s v=""/>
    <s v="-"/>
    <s v=""/>
    <n v="1.5319148936170213"/>
  </r>
  <r>
    <x v="699"/>
    <m/>
    <m/>
    <x v="1"/>
    <m/>
    <s v=""/>
    <s v=""/>
    <m/>
    <s v="0"/>
    <m/>
    <m/>
    <s v=""/>
    <m/>
    <s v=""/>
    <s v="-"/>
    <s v=""/>
    <s v=""/>
  </r>
  <r>
    <x v="700"/>
    <n v="152"/>
    <m/>
    <x v="17"/>
    <d v="1899-12-30T01:05:48"/>
    <n v="12"/>
    <d v="1899-12-30T00:05:29"/>
    <n v="133"/>
    <n v="80"/>
    <n v="216"/>
    <m/>
    <n v="1.0606567164179106"/>
    <s v="Adizero Boston"/>
    <s v=""/>
    <s v="-"/>
    <s v=""/>
    <n v="1.6240601503759398"/>
  </r>
  <r>
    <x v="701"/>
    <m/>
    <m/>
    <x v="1"/>
    <m/>
    <s v=""/>
    <s v=""/>
    <m/>
    <s v="0"/>
    <m/>
    <m/>
    <s v=""/>
    <m/>
    <s v=""/>
    <s v="-"/>
    <s v=""/>
    <s v=""/>
  </r>
  <r>
    <x v="702"/>
    <n v="153"/>
    <m/>
    <x v="48"/>
    <d v="1899-12-30T00:57:53"/>
    <n v="10.68"/>
    <d v="1899-12-30T00:05:25"/>
    <n v="142"/>
    <n v="72"/>
    <n v="221"/>
    <m/>
    <n v="1.0726326233998547"/>
    <s v="Adizero Boston"/>
    <s v=""/>
    <s v="-"/>
    <s v=""/>
    <n v="1.556338028169014"/>
  </r>
  <r>
    <x v="703"/>
    <m/>
    <m/>
    <x v="1"/>
    <m/>
    <s v=""/>
    <s v=""/>
    <m/>
    <s v="0"/>
    <m/>
    <m/>
    <s v=""/>
    <m/>
    <s v=""/>
    <s v="-"/>
    <s v=""/>
    <s v=""/>
  </r>
  <r>
    <x v="704"/>
    <m/>
    <m/>
    <x v="1"/>
    <m/>
    <s v=""/>
    <s v=""/>
    <m/>
    <s v="0"/>
    <m/>
    <m/>
    <s v=""/>
    <m/>
    <s v=""/>
    <s v="-"/>
    <s v=""/>
    <s v=""/>
  </r>
  <r>
    <x v="705"/>
    <m/>
    <m/>
    <x v="1"/>
    <m/>
    <s v=""/>
    <s v=""/>
    <m/>
    <s v="0"/>
    <m/>
    <m/>
    <s v=""/>
    <m/>
    <s v=""/>
    <s v="-"/>
    <s v=""/>
    <s v=""/>
  </r>
  <r>
    <x v="706"/>
    <m/>
    <m/>
    <x v="1"/>
    <m/>
    <s v=""/>
    <s v=""/>
    <m/>
    <s v="0"/>
    <m/>
    <m/>
    <s v=""/>
    <m/>
    <s v=""/>
    <s v="-"/>
    <s v=""/>
    <s v=""/>
  </r>
  <r>
    <x v="707"/>
    <m/>
    <m/>
    <x v="1"/>
    <m/>
    <s v=""/>
    <s v=""/>
    <m/>
    <s v="0"/>
    <m/>
    <m/>
    <s v=""/>
    <m/>
    <s v=""/>
    <s v="-"/>
    <s v=""/>
    <s v=""/>
  </r>
  <r>
    <x v="708"/>
    <m/>
    <m/>
    <x v="1"/>
    <m/>
    <s v=""/>
    <s v=""/>
    <m/>
    <s v="0"/>
    <m/>
    <m/>
    <s v=""/>
    <m/>
    <s v=""/>
    <s v="-"/>
    <s v=""/>
    <s v=""/>
  </r>
  <r>
    <x v="709"/>
    <m/>
    <m/>
    <x v="1"/>
    <m/>
    <s v=""/>
    <s v=""/>
    <m/>
    <s v="0"/>
    <m/>
    <m/>
    <s v=""/>
    <m/>
    <s v=""/>
    <s v="-"/>
    <s v=""/>
    <s v=""/>
  </r>
  <r>
    <x v="710"/>
    <m/>
    <m/>
    <x v="1"/>
    <m/>
    <s v=""/>
    <s v=""/>
    <m/>
    <s v="0"/>
    <m/>
    <m/>
    <s v=""/>
    <m/>
    <s v=""/>
    <s v="-"/>
    <s v=""/>
    <s v=""/>
  </r>
  <r>
    <x v="711"/>
    <m/>
    <m/>
    <x v="1"/>
    <m/>
    <s v=""/>
    <s v=""/>
    <m/>
    <s v="0"/>
    <m/>
    <m/>
    <s v=""/>
    <m/>
    <s v=""/>
    <s v="-"/>
    <s v=""/>
    <s v=""/>
  </r>
  <r>
    <x v="712"/>
    <n v="154"/>
    <m/>
    <x v="11"/>
    <d v="1899-12-30T00:47:54"/>
    <n v="8.33"/>
    <d v="1899-12-30T00:05:45"/>
    <n v="147"/>
    <n v="53"/>
    <n v="208"/>
    <m/>
    <n v="1.0711006790776014"/>
    <s v="New Balance 1080 v9"/>
    <s v=""/>
    <s v="-"/>
    <s v=""/>
    <n v="1.4149659863945578"/>
  </r>
  <r>
    <x v="713"/>
    <m/>
    <m/>
    <x v="1"/>
    <m/>
    <s v=""/>
    <s v=""/>
    <m/>
    <s v="0"/>
    <m/>
    <m/>
    <s v=""/>
    <m/>
    <s v=""/>
    <s v="-"/>
    <s v=""/>
    <s v=""/>
  </r>
  <r>
    <x v="714"/>
    <n v="155"/>
    <m/>
    <x v="36"/>
    <d v="1899-12-30T00:49:26"/>
    <n v="9.5299999999999994"/>
    <d v="1899-12-30T00:05:11"/>
    <n v="152"/>
    <n v="65"/>
    <n v="227"/>
    <m/>
    <n v="1.0544580351129975"/>
    <s v="New Balance 1080 v9"/>
    <s v=""/>
    <s v="-"/>
    <s v=""/>
    <n v="1.493421052631579"/>
  </r>
  <r>
    <x v="715"/>
    <m/>
    <m/>
    <x v="1"/>
    <m/>
    <s v=""/>
    <s v=""/>
    <m/>
    <s v="0"/>
    <m/>
    <m/>
    <s v=""/>
    <m/>
    <s v=""/>
    <s v="-"/>
    <s v=""/>
    <s v=""/>
  </r>
  <r>
    <x v="716"/>
    <m/>
    <m/>
    <x v="1"/>
    <m/>
    <s v=""/>
    <s v=""/>
    <m/>
    <s v="0"/>
    <m/>
    <m/>
    <s v=""/>
    <m/>
    <s v=""/>
    <s v="-"/>
    <s v=""/>
    <s v=""/>
  </r>
  <r>
    <x v="717"/>
    <m/>
    <m/>
    <x v="1"/>
    <m/>
    <m/>
    <s v=""/>
    <m/>
    <s v="0"/>
    <m/>
    <m/>
    <s v=""/>
    <m/>
    <s v=""/>
    <s v="-"/>
    <s v=""/>
    <s v=""/>
  </r>
  <r>
    <x v="718"/>
    <m/>
    <m/>
    <x v="1"/>
    <m/>
    <s v=""/>
    <s v=""/>
    <m/>
    <s v="0"/>
    <m/>
    <m/>
    <s v=""/>
    <m/>
    <s v=""/>
    <s v="-"/>
    <s v=""/>
    <s v=""/>
  </r>
  <r>
    <x v="719"/>
    <n v="156"/>
    <m/>
    <x v="11"/>
    <d v="1899-12-30T00:47:52"/>
    <n v="8.39"/>
    <d v="1899-12-30T00:05:42"/>
    <n v="141"/>
    <n v="53"/>
    <n v="210"/>
    <m/>
    <n v="1.0729190756586557"/>
    <s v="New Balance 1080 v9"/>
    <s v=""/>
    <s v="-"/>
    <s v=""/>
    <n v="1.4893617021276595"/>
  </r>
  <r>
    <x v="720"/>
    <m/>
    <m/>
    <x v="1"/>
    <m/>
    <s v=""/>
    <s v=""/>
    <m/>
    <s v="0"/>
    <m/>
    <m/>
    <s v=""/>
    <m/>
    <s v=""/>
    <s v="-"/>
    <s v=""/>
    <s v=""/>
  </r>
  <r>
    <x v="721"/>
    <n v="157"/>
    <m/>
    <x v="11"/>
    <d v="1899-12-30T00:47:31"/>
    <n v="8.51"/>
    <d v="1899-12-30T00:05:35"/>
    <n v="142"/>
    <n v="54"/>
    <n v="213"/>
    <m/>
    <n v="1.0650560359191119"/>
    <s v="Brooks Defyance 10"/>
    <s v=""/>
    <s v="-"/>
    <s v=""/>
    <n v="1.5"/>
  </r>
  <r>
    <x v="722"/>
    <m/>
    <m/>
    <x v="1"/>
    <m/>
    <s v=""/>
    <s v=""/>
    <m/>
    <s v="0"/>
    <m/>
    <m/>
    <s v=""/>
    <m/>
    <s v=""/>
    <s v="-"/>
    <s v=""/>
    <s v=""/>
  </r>
  <r>
    <x v="723"/>
    <m/>
    <m/>
    <x v="1"/>
    <m/>
    <s v=""/>
    <s v=""/>
    <m/>
    <s v="0"/>
    <m/>
    <m/>
    <s v=""/>
    <m/>
    <s v=""/>
    <s v="-"/>
    <s v=""/>
    <s v=""/>
  </r>
  <r>
    <x v="724"/>
    <m/>
    <m/>
    <x v="1"/>
    <m/>
    <s v=""/>
    <s v=""/>
    <m/>
    <s v="0"/>
    <m/>
    <m/>
    <s v=""/>
    <m/>
    <s v=""/>
    <s v="-"/>
    <s v=""/>
    <s v=""/>
  </r>
  <r>
    <x v="725"/>
    <n v="158"/>
    <m/>
    <x v="11"/>
    <d v="1899-12-30T00:42:35"/>
    <n v="8.09"/>
    <d v="1899-12-30T00:05:16"/>
    <n v="147"/>
    <n v="55"/>
    <n v="226"/>
    <m/>
    <n v="1.0653100381897682"/>
    <s v="Brooks Defyance 10"/>
    <s v=""/>
    <s v="-"/>
    <s v=""/>
    <n v="1.5374149659863945"/>
  </r>
  <r>
    <x v="726"/>
    <m/>
    <m/>
    <x v="1"/>
    <m/>
    <s v=""/>
    <s v=""/>
    <m/>
    <s v="0"/>
    <m/>
    <m/>
    <s v=""/>
    <m/>
    <s v=""/>
    <s v="-"/>
    <s v=""/>
    <s v=""/>
  </r>
  <r>
    <x v="727"/>
    <n v="159"/>
    <m/>
    <x v="37"/>
    <d v="1899-12-30T00:51:51"/>
    <n v="9.5299999999999994"/>
    <d v="1899-12-30T00:05:26"/>
    <n v="142"/>
    <n v="63"/>
    <n v="220"/>
    <m/>
    <n v="1.0719017713113344"/>
    <s v="Brooks Defyance 10"/>
    <s v=""/>
    <s v="-"/>
    <s v=""/>
    <n v="1.5492957746478873"/>
  </r>
  <r>
    <x v="728"/>
    <m/>
    <m/>
    <x v="1"/>
    <m/>
    <s v=""/>
    <s v=""/>
    <m/>
    <s v="0"/>
    <m/>
    <m/>
    <s v=""/>
    <m/>
    <s v=""/>
    <s v="-"/>
    <s v=""/>
    <s v=""/>
  </r>
  <r>
    <x v="729"/>
    <m/>
    <m/>
    <x v="1"/>
    <m/>
    <s v=""/>
    <s v=""/>
    <m/>
    <s v="0"/>
    <m/>
    <m/>
    <s v=""/>
    <m/>
    <s v=""/>
    <s v="-"/>
    <s v=""/>
    <s v=""/>
  </r>
  <r>
    <x v="730"/>
    <n v="160"/>
    <m/>
    <x v="42"/>
    <d v="1899-12-30T01:04:39"/>
    <n v="12.39"/>
    <d v="1899-12-30T00:05:13"/>
    <n v="150"/>
    <n v="86"/>
    <n v="226"/>
    <m/>
    <n v="1.0560442340356329"/>
    <s v="New Balance 1080 v9"/>
    <n v="230.89999999999998"/>
    <s v="-"/>
    <n v="254.10000000000002"/>
    <n v="1.5066666666666666"/>
  </r>
  <r>
    <x v="731"/>
    <m/>
    <m/>
    <x v="1"/>
    <m/>
    <s v=""/>
    <s v=""/>
    <m/>
    <s v="0"/>
    <m/>
    <m/>
    <s v=""/>
    <m/>
    <s v=""/>
    <s v="-"/>
    <s v=""/>
    <s v=""/>
  </r>
  <r>
    <x v="732"/>
    <n v="1"/>
    <s v="n"/>
    <x v="49"/>
    <d v="1899-12-30T00:51:55"/>
    <n v="9.5500000000000007"/>
    <d v="1899-12-30T00:05:26"/>
    <n v="144"/>
    <n v="64"/>
    <n v="219"/>
    <m/>
    <n v="1.066163944674533"/>
    <s v="Brooks Defyance 10"/>
    <n v="194.60000000000002"/>
    <s v="-"/>
    <n v="212.96"/>
    <n v="1.5208333333333333"/>
  </r>
  <r>
    <x v="733"/>
    <m/>
    <m/>
    <x v="1"/>
    <m/>
    <s v=""/>
    <s v=""/>
    <m/>
    <s v="0"/>
    <m/>
    <m/>
    <s v=""/>
    <m/>
    <s v=""/>
    <s v="-"/>
    <s v=""/>
    <s v=""/>
  </r>
  <r>
    <x v="734"/>
    <n v="2"/>
    <s v="n"/>
    <x v="50"/>
    <d v="1899-12-30T00:57:51"/>
    <n v="10.54"/>
    <d v="1899-12-30T00:05:29"/>
    <n v="147"/>
    <n v="68"/>
    <n v="216"/>
    <m/>
    <n v="1.0616783256393554"/>
    <s v="Brooks Defyance 10"/>
    <n v="194.60000000000002"/>
    <s v="-"/>
    <n v="212.96"/>
    <n v="1.4693877551020409"/>
  </r>
  <r>
    <x v="735"/>
    <m/>
    <m/>
    <x v="1"/>
    <m/>
    <s v=""/>
    <s v=""/>
    <m/>
    <s v="0"/>
    <m/>
    <m/>
    <s v=""/>
    <m/>
    <s v=""/>
    <s v="-"/>
    <s v=""/>
    <s v=""/>
  </r>
  <r>
    <x v="736"/>
    <n v="3"/>
    <s v="n"/>
    <x v="7"/>
    <d v="1899-12-30T00:49:18"/>
    <n v="9.14"/>
    <d v="1899-12-30T00:05:24"/>
    <n v="144"/>
    <n v="65"/>
    <n v="216"/>
    <m/>
    <n v="1.0433521669551586"/>
    <s v="Adizero Boston"/>
    <n v="279.53100000000006"/>
    <s v="-"/>
    <n v="306.15300000000002"/>
    <n v="1.5"/>
  </r>
  <r>
    <x v="737"/>
    <m/>
    <m/>
    <x v="1"/>
    <m/>
    <s v=""/>
    <s v=""/>
    <m/>
    <s v="0"/>
    <m/>
    <m/>
    <s v=""/>
    <m/>
    <s v=""/>
    <s v="-"/>
    <s v=""/>
    <s v=""/>
  </r>
  <r>
    <x v="738"/>
    <m/>
    <m/>
    <x v="1"/>
    <m/>
    <s v=""/>
    <s v=""/>
    <m/>
    <s v="0"/>
    <m/>
    <m/>
    <s v=""/>
    <m/>
    <s v=""/>
    <s v="-"/>
    <s v=""/>
    <s v=""/>
  </r>
  <r>
    <x v="739"/>
    <m/>
    <m/>
    <x v="1"/>
    <m/>
    <s v=""/>
    <s v=""/>
    <m/>
    <s v="0"/>
    <m/>
    <m/>
    <s v=""/>
    <m/>
    <s v=""/>
    <s v="-"/>
    <s v=""/>
    <s v=""/>
  </r>
  <r>
    <x v="740"/>
    <m/>
    <m/>
    <x v="1"/>
    <m/>
    <m/>
    <s v=""/>
    <m/>
    <s v="0"/>
    <m/>
    <m/>
    <s v=""/>
    <m/>
    <s v=""/>
    <s v="-"/>
    <s v=""/>
    <s v=""/>
  </r>
  <r>
    <x v="741"/>
    <n v="4"/>
    <s v="n"/>
    <x v="50"/>
    <d v="1899-12-30T00:52:24"/>
    <n v="9.52"/>
    <d v="1899-12-30T00:05:30"/>
    <n v="139"/>
    <n v="63"/>
    <n v="216"/>
    <m/>
    <n v="1.0646933400225762"/>
    <s v="Brooks Defyance 10"/>
    <n v="194.60000000000002"/>
    <s v="-"/>
    <n v="212.96"/>
    <n v="1.5539568345323742"/>
  </r>
  <r>
    <x v="742"/>
    <m/>
    <m/>
    <x v="1"/>
    <m/>
    <s v=""/>
    <s v=""/>
    <m/>
    <s v="0"/>
    <m/>
    <m/>
    <s v=""/>
    <m/>
    <s v=""/>
    <s v="-"/>
    <s v=""/>
    <s v=""/>
  </r>
  <r>
    <x v="743"/>
    <m/>
    <m/>
    <x v="1"/>
    <m/>
    <s v=""/>
    <s v=""/>
    <m/>
    <s v="0"/>
    <m/>
    <m/>
    <s v=""/>
    <m/>
    <s v=""/>
    <s v="-"/>
    <s v=""/>
    <s v=""/>
  </r>
  <r>
    <x v="744"/>
    <n v="5"/>
    <s v="n"/>
    <x v="49"/>
    <d v="1899-12-30T00:48:29"/>
    <n v="8.65"/>
    <d v="1899-12-30T00:05:36"/>
    <n v="139"/>
    <n v="56"/>
    <n v="212"/>
    <m/>
    <n v="1.0641152618410834"/>
    <s v="Brooks Defyance 10"/>
    <n v="194.60000000000002"/>
    <s v="-"/>
    <n v="212.96"/>
    <n v="1.525179856115108"/>
  </r>
  <r>
    <x v="745"/>
    <m/>
    <m/>
    <x v="1"/>
    <m/>
    <s v=""/>
    <s v=""/>
    <m/>
    <s v="0"/>
    <m/>
    <m/>
    <s v=""/>
    <m/>
    <s v=""/>
    <s v="-"/>
    <s v=""/>
    <s v=""/>
  </r>
  <r>
    <x v="746"/>
    <n v="6"/>
    <s v="n"/>
    <x v="51"/>
    <d v="1899-12-30T00:54:03"/>
    <n v="10.130000000000001"/>
    <d v="1899-12-30T00:05:20"/>
    <n v="144"/>
    <n v="68"/>
    <n v="223"/>
    <m/>
    <n v="1.0655346171413416"/>
    <s v="Brooks Defyance 10"/>
    <n v="194.60000000000002"/>
    <s v="-"/>
    <n v="212.96"/>
    <n v="1.5486111111111112"/>
  </r>
  <r>
    <x v="747"/>
    <m/>
    <m/>
    <x v="1"/>
    <m/>
    <s v=""/>
    <s v=""/>
    <m/>
    <s v="0"/>
    <m/>
    <m/>
    <s v=""/>
    <m/>
    <s v=""/>
    <s v="-"/>
    <s v=""/>
    <s v=""/>
  </r>
  <r>
    <x v="748"/>
    <m/>
    <m/>
    <x v="1"/>
    <m/>
    <s v=""/>
    <s v=""/>
    <m/>
    <s v="0"/>
    <m/>
    <m/>
    <s v=""/>
    <m/>
    <s v=""/>
    <s v="-"/>
    <s v=""/>
    <s v=""/>
  </r>
  <r>
    <x v="749"/>
    <n v="7"/>
    <s v="n"/>
    <x v="52"/>
    <d v="1899-12-30T00:49:24"/>
    <n v="8.36"/>
    <d v="1899-12-30T00:05:55"/>
    <n v="131"/>
    <n v="53.216789258291044"/>
    <n v="204"/>
    <m/>
    <n v="1.0795115332428766"/>
    <s v="Brooks Defyance 10"/>
    <n v="169.39999999999998"/>
    <s v="-"/>
    <n v="193.60000000000002"/>
    <n v="1.5572519083969465"/>
  </r>
  <r>
    <x v="750"/>
    <m/>
    <m/>
    <x v="1"/>
    <m/>
    <s v=""/>
    <s v=""/>
    <m/>
    <s v="0"/>
    <m/>
    <m/>
    <s v=""/>
    <m/>
    <s v=""/>
    <s v="-"/>
    <s v=""/>
    <s v=""/>
  </r>
  <r>
    <x v="751"/>
    <n v="8"/>
    <s v="n"/>
    <x v="51"/>
    <d v="1899-12-30T00:54:29"/>
    <n v="10.01"/>
    <d v="1899-12-30T00:05:27"/>
    <n v="139"/>
    <n v="67"/>
    <n v="219"/>
    <m/>
    <n v="1.0674564241728424"/>
    <s v="New Balance 1080 v9"/>
    <n v="194.60000000000002"/>
    <s v="-"/>
    <n v="212.96"/>
    <n v="1.5755395683453237"/>
  </r>
  <r>
    <x v="752"/>
    <m/>
    <m/>
    <x v="1"/>
    <m/>
    <s v=""/>
    <s v=""/>
    <m/>
    <s v="0"/>
    <m/>
    <m/>
    <s v=""/>
    <m/>
    <s v=""/>
    <s v="-"/>
    <s v=""/>
    <s v=""/>
  </r>
  <r>
    <x v="753"/>
    <m/>
    <m/>
    <x v="1"/>
    <m/>
    <s v=""/>
    <s v=""/>
    <m/>
    <s v="0"/>
    <m/>
    <m/>
    <s v=""/>
    <m/>
    <s v=""/>
    <s v="-"/>
    <s v=""/>
    <s v=""/>
  </r>
  <r>
    <x v="754"/>
    <n v="9"/>
    <s v="n"/>
    <x v="42"/>
    <d v="1899-12-30T00:52:59"/>
    <n v="10.84"/>
    <d v="1899-12-30T00:04:53"/>
    <n v="152"/>
    <n v="78"/>
    <n v="238"/>
    <m/>
    <n v="1.0417497383929062"/>
    <s v="New Balance 1080 v9"/>
    <n v="230.89999999999998"/>
    <s v="-"/>
    <n v="254.10000000000002"/>
    <n v="1.5657894736842106"/>
  </r>
  <r>
    <x v="755"/>
    <m/>
    <m/>
    <x v="1"/>
    <m/>
    <s v=""/>
    <s v=""/>
    <m/>
    <s v="0"/>
    <m/>
    <m/>
    <s v=""/>
    <m/>
    <s v=""/>
    <s v="-"/>
    <s v=""/>
    <s v=""/>
  </r>
  <r>
    <x v="756"/>
    <n v="10"/>
    <s v="n"/>
    <x v="50"/>
    <d v="1899-12-30T01:02:29"/>
    <n v="11.43"/>
    <d v="1899-12-30T00:05:28"/>
    <n v="137"/>
    <n v="75"/>
    <n v="219"/>
    <m/>
    <n v="1.0721079641164257"/>
    <s v="Brooks Defyance 10"/>
    <n v="194.60000000000002"/>
    <s v="-"/>
    <n v="212.96"/>
    <n v="1.5985401459854014"/>
  </r>
  <r>
    <x v="757"/>
    <m/>
    <m/>
    <x v="1"/>
    <m/>
    <s v=""/>
    <s v=""/>
    <m/>
    <s v="0"/>
    <m/>
    <m/>
    <s v=""/>
    <m/>
    <s v=""/>
    <s v="-"/>
    <s v=""/>
    <s v=""/>
  </r>
  <r>
    <x v="758"/>
    <n v="11"/>
    <s v="n"/>
    <x v="53"/>
    <d v="1899-12-30T01:05:44"/>
    <n v="11.44"/>
    <d v="1899-12-30T00:05:45"/>
    <n v="132"/>
    <n v="72"/>
    <n v="208"/>
    <m/>
    <n v="1.0702849389416556"/>
    <s v="New Balance 1080 v9"/>
    <s v=""/>
    <s v="-"/>
    <s v=""/>
    <n v="1.5757575757575757"/>
  </r>
  <r>
    <x v="759"/>
    <n v="12"/>
    <s v="n"/>
    <x v="54"/>
    <d v="1899-12-30T00:45:20"/>
    <n v="8.42"/>
    <d v="1899-12-30T00:05:23"/>
    <n v="136"/>
    <n v="56"/>
    <n v="220"/>
    <m/>
    <n v="1.0607296061261393"/>
    <s v="Brooks Defyance 10"/>
    <n v="194.60000000000002"/>
    <s v="-"/>
    <n v="212.96"/>
    <n v="1.6176470588235294"/>
  </r>
  <r>
    <x v="760"/>
    <m/>
    <m/>
    <x v="1"/>
    <m/>
    <s v=""/>
    <s v=""/>
    <m/>
    <s v="0"/>
    <m/>
    <m/>
    <s v=""/>
    <m/>
    <s v=""/>
    <s v="-"/>
    <s v=""/>
    <s v=""/>
  </r>
  <r>
    <x v="761"/>
    <n v="13"/>
    <s v="n"/>
    <x v="42"/>
    <d v="1899-12-30T01:01:34"/>
    <n v="11.46"/>
    <d v="1899-12-30T00:05:22"/>
    <n v="150"/>
    <n v="80"/>
    <n v="218"/>
    <m/>
    <n v="1.0488031048943762"/>
    <s v="New Balance 1080 v9"/>
    <n v="230.89999999999998"/>
    <s v="-"/>
    <n v="254.10000000000002"/>
    <n v="1.4533333333333334"/>
  </r>
  <r>
    <x v="762"/>
    <m/>
    <m/>
    <x v="1"/>
    <m/>
    <s v=""/>
    <s v=""/>
    <m/>
    <s v="0"/>
    <m/>
    <m/>
    <s v=""/>
    <m/>
    <s v=""/>
    <s v="-"/>
    <s v=""/>
    <s v=""/>
  </r>
  <r>
    <x v="763"/>
    <n v="14"/>
    <s v="n"/>
    <x v="51"/>
    <d v="1899-12-30T00:54:15"/>
    <n v="10.4"/>
    <d v="1899-12-30T00:05:13"/>
    <n v="139"/>
    <n v="69"/>
    <n v="226"/>
    <m/>
    <n v="1.0557261768082664"/>
    <s v="Brooks Defyance 10"/>
    <n v="194.60000000000002"/>
    <s v="-"/>
    <n v="212.96"/>
    <n v="1.6258992805755397"/>
  </r>
  <r>
    <x v="764"/>
    <m/>
    <m/>
    <x v="1"/>
    <m/>
    <s v=""/>
    <s v=""/>
    <m/>
    <s v="0"/>
    <m/>
    <m/>
    <s v=""/>
    <m/>
    <s v=""/>
    <s v="-"/>
    <s v=""/>
    <s v=""/>
  </r>
  <r>
    <x v="765"/>
    <n v="15"/>
    <s v="n"/>
    <x v="51"/>
    <d v="1899-12-30T00:53:45"/>
    <n v="10.16"/>
    <d v="1899-12-30T00:05:17"/>
    <n v="141"/>
    <n v="67"/>
    <n v="223"/>
    <m/>
    <n v="1.0564916558937596"/>
    <s v="Brooks Defyance 10"/>
    <n v="194.60000000000002"/>
    <s v="-"/>
    <n v="212.96"/>
    <n v="1.5815602836879432"/>
  </r>
  <r>
    <x v="766"/>
    <m/>
    <m/>
    <x v="1"/>
    <m/>
    <s v=""/>
    <s v=""/>
    <m/>
    <s v="0"/>
    <m/>
    <m/>
    <s v=""/>
    <m/>
    <s v=""/>
    <s v="-"/>
    <s v=""/>
    <s v=""/>
  </r>
  <r>
    <x v="767"/>
    <n v="16"/>
    <s v="n"/>
    <x v="51"/>
    <d v="1899-12-30T00:53:17"/>
    <n v="10.050000000000001"/>
    <d v="1899-12-30T00:05:18"/>
    <n v="140"/>
    <n v="67"/>
    <n v="223"/>
    <m/>
    <n v="1.0587822083611791"/>
    <s v="New Balance 1080 v9"/>
    <n v="194.60000000000002"/>
    <s v="-"/>
    <n v="212.96"/>
    <n v="1.5928571428571427"/>
  </r>
  <r>
    <x v="768"/>
    <m/>
    <m/>
    <x v="1"/>
    <m/>
    <s v=""/>
    <s v=""/>
    <m/>
    <s v="0"/>
    <m/>
    <m/>
    <s v=""/>
    <m/>
    <s v=""/>
    <s v="-"/>
    <s v=""/>
    <s v=""/>
  </r>
  <r>
    <x v="769"/>
    <n v="17"/>
    <s v="n"/>
    <x v="55"/>
    <d v="1899-12-30T00:55:45"/>
    <n v="10.53"/>
    <d v="1899-12-30T00:05:18"/>
    <n v="136"/>
    <n v="69"/>
    <n v="222"/>
    <m/>
    <n v="1.0525577241995152"/>
    <s v="Brooks Defyance 10"/>
    <n v="194.60000000000002"/>
    <s v="-"/>
    <n v="212.96"/>
    <n v="1.6323529411764706"/>
  </r>
  <r>
    <x v="770"/>
    <m/>
    <m/>
    <x v="1"/>
    <m/>
    <s v=""/>
    <s v=""/>
    <m/>
    <s v="0"/>
    <m/>
    <m/>
    <s v=""/>
    <m/>
    <s v=""/>
    <s v="-"/>
    <s v=""/>
    <s v=""/>
  </r>
  <r>
    <x v="771"/>
    <m/>
    <m/>
    <x v="1"/>
    <m/>
    <s v=""/>
    <s v=""/>
    <m/>
    <s v="0"/>
    <m/>
    <m/>
    <s v=""/>
    <m/>
    <s v=""/>
    <s v="-"/>
    <s v=""/>
    <s v=""/>
  </r>
  <r>
    <x v="772"/>
    <n v="18"/>
    <s v="n"/>
    <x v="51"/>
    <d v="1899-12-30T00:52:47"/>
    <n v="10.17"/>
    <d v="1899-12-30T00:05:11"/>
    <n v="140"/>
    <n v="67"/>
    <n v="225"/>
    <m/>
    <n v="1.0457667415136707"/>
    <s v="Brooks Defyance 10"/>
    <n v="194.60000000000002"/>
    <s v="-"/>
    <n v="212.96"/>
    <n v="1.6071428571428572"/>
  </r>
  <r>
    <x v="773"/>
    <m/>
    <m/>
    <x v="1"/>
    <m/>
    <s v=""/>
    <s v=""/>
    <m/>
    <s v="0"/>
    <m/>
    <m/>
    <s v=""/>
    <m/>
    <s v=""/>
    <s v="-"/>
    <s v=""/>
    <s v=""/>
  </r>
  <r>
    <x v="774"/>
    <n v="19"/>
    <s v="n"/>
    <x v="54"/>
    <d v="1899-12-30T00:43:22"/>
    <n v="8.7100000000000009"/>
    <d v="1899-12-30T00:04:59"/>
    <n v="145"/>
    <n v="62"/>
    <n v="237"/>
    <m/>
    <n v="1.0567266994533646"/>
    <s v="Brooks Defyance 10"/>
    <n v="194.60000000000002"/>
    <s v="-"/>
    <n v="212.96"/>
    <n v="1.6344827586206896"/>
  </r>
  <r>
    <x v="775"/>
    <n v="20"/>
    <s v="n"/>
    <x v="51"/>
    <d v="1899-12-30T00:49:15"/>
    <n v="9.43"/>
    <d v="1899-12-30T00:05:13"/>
    <n v="137"/>
    <n v="63"/>
    <n v="226"/>
    <m/>
    <n v="1.0570108102119307"/>
    <s v="New Balance 1080 v9"/>
    <n v="194.60000000000002"/>
    <s v="-"/>
    <n v="212.96"/>
    <n v="1.6496350364963503"/>
  </r>
  <r>
    <x v="776"/>
    <m/>
    <m/>
    <x v="1"/>
    <m/>
    <s v=""/>
    <s v=""/>
    <m/>
    <s v="0"/>
    <m/>
    <m/>
    <s v=""/>
    <m/>
    <s v=""/>
    <s v="-"/>
    <s v=""/>
    <s v=""/>
  </r>
  <r>
    <x v="777"/>
    <n v="21"/>
    <s v="n"/>
    <x v="42"/>
    <d v="1899-12-30T00:56:57"/>
    <n v="11.4"/>
    <d v="1899-12-30T00:05:00"/>
    <n v="149"/>
    <n v="83"/>
    <n v="234"/>
    <m/>
    <n v="1.0468421052631578"/>
    <s v="Brooks Defyance 10"/>
    <n v="230.89999999999998"/>
    <s v="-"/>
    <n v="254.10000000000002"/>
    <n v="1.5704697986577181"/>
  </r>
  <r>
    <x v="778"/>
    <m/>
    <m/>
    <x v="1"/>
    <m/>
    <s v=""/>
    <s v=""/>
    <m/>
    <s v="0"/>
    <m/>
    <m/>
    <s v=""/>
    <m/>
    <s v=""/>
    <s v="-"/>
    <s v=""/>
    <s v=""/>
  </r>
  <r>
    <x v="779"/>
    <n v="22"/>
    <s v="n"/>
    <x v="54"/>
    <d v="1899-12-30T00:44:51"/>
    <n v="8.41"/>
    <d v="1899-12-30T00:05:20"/>
    <n v="133"/>
    <n v="54"/>
    <n v="222"/>
    <m/>
    <n v="1.0602197100111808"/>
    <s v="Brooks Defyance 10"/>
    <n v="194.60000000000002"/>
    <s v="-"/>
    <n v="212.96"/>
    <n v="1.6691729323308271"/>
  </r>
  <r>
    <x v="780"/>
    <m/>
    <m/>
    <x v="1"/>
    <m/>
    <s v=""/>
    <s v=""/>
    <m/>
    <s v="0"/>
    <m/>
    <m/>
    <s v=""/>
    <m/>
    <s v=""/>
    <s v="-"/>
    <s v=""/>
    <s v=""/>
  </r>
  <r>
    <x v="781"/>
    <m/>
    <m/>
    <x v="1"/>
    <m/>
    <s v=""/>
    <s v=""/>
    <m/>
    <s v="0"/>
    <m/>
    <m/>
    <s v=""/>
    <m/>
    <s v=""/>
    <s v="-"/>
    <s v=""/>
    <s v=""/>
  </r>
  <r>
    <x v="782"/>
    <m/>
    <m/>
    <x v="1"/>
    <m/>
    <s v=""/>
    <s v=""/>
    <m/>
    <s v="0"/>
    <m/>
    <m/>
    <s v=""/>
    <m/>
    <s v=""/>
    <s v="-"/>
    <s v=""/>
    <s v=""/>
  </r>
  <r>
    <x v="783"/>
    <m/>
    <m/>
    <x v="1"/>
    <m/>
    <s v=""/>
    <s v=""/>
    <m/>
    <s v="0"/>
    <m/>
    <m/>
    <s v=""/>
    <m/>
    <s v=""/>
    <s v="-"/>
    <s v=""/>
    <s v=""/>
  </r>
  <r>
    <x v="784"/>
    <n v="23"/>
    <s v="n"/>
    <x v="50"/>
    <d v="1899-12-30T01:01:47"/>
    <n v="11.37"/>
    <d v="1899-12-30T00:05:26"/>
    <n v="135"/>
    <n v="73"/>
    <n v="219"/>
    <m/>
    <n v="1.0656913322569213"/>
    <s v="Brooks Defyance 10"/>
    <n v="194.60000000000002"/>
    <s v="-"/>
    <n v="212.96"/>
    <n v="1.6222222222222222"/>
  </r>
  <r>
    <x v="785"/>
    <m/>
    <m/>
    <x v="1"/>
    <m/>
    <s v=""/>
    <s v=""/>
    <m/>
    <s v="0"/>
    <m/>
    <m/>
    <s v=""/>
    <m/>
    <s v=""/>
    <s v="-"/>
    <s v=""/>
    <s v=""/>
  </r>
  <r>
    <x v="786"/>
    <m/>
    <m/>
    <x v="1"/>
    <m/>
    <s v=""/>
    <s v=""/>
    <m/>
    <s v="0"/>
    <m/>
    <m/>
    <s v=""/>
    <m/>
    <s v=""/>
    <s v="-"/>
    <s v=""/>
    <s v=""/>
  </r>
  <r>
    <x v="787"/>
    <n v="24"/>
    <s v="n"/>
    <x v="50"/>
    <d v="1899-12-30T00:53:13"/>
    <n v="10.18"/>
    <d v="1899-12-30T00:05:14"/>
    <n v="137"/>
    <n v="66"/>
    <n v="225"/>
    <m/>
    <n v="1.0533164237750345"/>
    <s v="Brooks Defyance 10"/>
    <n v="194.60000000000002"/>
    <s v="-"/>
    <n v="212.96"/>
    <n v="1.6423357664233578"/>
  </r>
  <r>
    <x v="788"/>
    <m/>
    <m/>
    <x v="1"/>
    <m/>
    <s v=""/>
    <s v=""/>
    <m/>
    <s v="0"/>
    <m/>
    <m/>
    <s v=""/>
    <m/>
    <s v=""/>
    <s v="-"/>
    <s v=""/>
    <s v=""/>
  </r>
  <r>
    <x v="789"/>
    <m/>
    <m/>
    <x v="1"/>
    <m/>
    <s v=""/>
    <s v=""/>
    <m/>
    <s v="0"/>
    <m/>
    <m/>
    <s v=""/>
    <m/>
    <s v=""/>
    <s v="-"/>
    <s v=""/>
    <s v=""/>
  </r>
  <r>
    <x v="790"/>
    <m/>
    <m/>
    <x v="1"/>
    <m/>
    <s v=""/>
    <s v=""/>
    <m/>
    <s v="0"/>
    <m/>
    <m/>
    <s v=""/>
    <m/>
    <s v=""/>
    <s v="-"/>
    <s v=""/>
    <s v=""/>
  </r>
  <r>
    <x v="791"/>
    <n v="25"/>
    <s v="n"/>
    <x v="56"/>
    <d v="1899-12-30T01:07:14"/>
    <n v="11.55"/>
    <d v="1899-12-30T00:05:49"/>
    <n v="128"/>
    <n v="69"/>
    <n v="203"/>
    <m/>
    <n v="1.0582180009045681"/>
    <s v="Brooks Defyance 10"/>
    <n v="194.60000000000002"/>
    <s v="-"/>
    <n v="212.96"/>
    <n v="1.5859375"/>
  </r>
  <r>
    <x v="792"/>
    <m/>
    <m/>
    <x v="1"/>
    <m/>
    <s v=""/>
    <s v=""/>
    <m/>
    <s v="0"/>
    <m/>
    <m/>
    <s v=""/>
    <m/>
    <s v=""/>
    <s v="-"/>
    <s v=""/>
    <s v=""/>
  </r>
  <r>
    <x v="793"/>
    <m/>
    <m/>
    <x v="1"/>
    <m/>
    <s v=""/>
    <s v=""/>
    <m/>
    <s v="0"/>
    <m/>
    <m/>
    <s v=""/>
    <m/>
    <s v=""/>
    <s v="-"/>
    <s v=""/>
    <s v=""/>
  </r>
  <r>
    <x v="794"/>
    <n v="26"/>
    <s v="n"/>
    <x v="50"/>
    <d v="1899-12-30T00:58:16"/>
    <n v="11.11"/>
    <d v="1899-12-30T00:05:15"/>
    <n v="140"/>
    <n v="73"/>
    <n v="226"/>
    <m/>
    <n v="1.0614291279874259"/>
    <s v="Brooks Defyance 10"/>
    <n v="194.60000000000002"/>
    <s v="-"/>
    <n v="212.96"/>
    <n v="1.6142857142857143"/>
  </r>
  <r>
    <x v="795"/>
    <m/>
    <m/>
    <x v="1"/>
    <m/>
    <s v=""/>
    <s v=""/>
    <m/>
    <s v="0"/>
    <m/>
    <m/>
    <s v=""/>
    <m/>
    <s v=""/>
    <s v="-"/>
    <s v=""/>
    <s v=""/>
  </r>
  <r>
    <x v="796"/>
    <n v="27"/>
    <s v="n"/>
    <x v="51"/>
    <d v="1899-12-30T00:49:05"/>
    <n v="9.26"/>
    <d v="1899-12-30T00:05:18"/>
    <n v="141"/>
    <n v="59"/>
    <n v="222"/>
    <m/>
    <n v="1.0537861448696044"/>
    <s v="Brooks Defyance 10"/>
    <n v="194.60000000000002"/>
    <s v="-"/>
    <n v="212.96"/>
    <n v="1.574468085106383"/>
  </r>
  <r>
    <x v="797"/>
    <m/>
    <m/>
    <x v="1"/>
    <m/>
    <s v=""/>
    <s v=""/>
    <m/>
    <s v="0"/>
    <m/>
    <m/>
    <s v=""/>
    <m/>
    <s v=""/>
    <s v="-"/>
    <s v=""/>
    <s v=""/>
  </r>
  <r>
    <x v="798"/>
    <n v="28"/>
    <s v="n"/>
    <x v="57"/>
    <d v="1899-12-30T01:18:17"/>
    <n v="14.83"/>
    <d v="1899-12-30T00:05:17"/>
    <n v="142"/>
    <n v="97"/>
    <n v="225"/>
    <m/>
    <n v="1.063621541651151"/>
    <s v="New Balance 1080 v9"/>
    <n v="194.60000000000002"/>
    <s v="-"/>
    <n v="212.96"/>
    <n v="1.5845070422535212"/>
  </r>
  <r>
    <x v="799"/>
    <n v="29"/>
    <s v="n"/>
    <x v="58"/>
    <d v="1899-12-30T00:53:23"/>
    <n v="9.19"/>
    <d v="1899-12-30T00:05:49"/>
    <n v="132"/>
    <n v="55"/>
    <n v="206"/>
    <m/>
    <n v="1.071602812921248"/>
    <s v="New Balance 1080 v9"/>
    <n v="169.39999999999998"/>
    <s v="-"/>
    <n v="193.60000000000002"/>
    <n v="1.5606060606060606"/>
  </r>
  <r>
    <x v="800"/>
    <m/>
    <m/>
    <x v="1"/>
    <m/>
    <s v=""/>
    <s v=""/>
    <m/>
    <s v="0"/>
    <m/>
    <m/>
    <s v=""/>
    <m/>
    <s v=""/>
    <s v="-"/>
    <s v=""/>
    <s v=""/>
  </r>
  <r>
    <x v="801"/>
    <n v="30"/>
    <s v="n"/>
    <x v="49"/>
    <d v="1899-12-30T00:47:04"/>
    <n v="9.2899999999999991"/>
    <d v="1899-12-30T00:05:04"/>
    <n v="139"/>
    <n v="61"/>
    <n v="230"/>
    <m/>
    <n v="1.0435229664379932"/>
    <s v="Adizero Boston 8"/>
    <n v="194.60000000000002"/>
    <s v="-"/>
    <n v="212.96"/>
    <n v="1.6546762589928057"/>
  </r>
  <r>
    <x v="802"/>
    <m/>
    <m/>
    <x v="1"/>
    <m/>
    <s v=""/>
    <s v=""/>
    <m/>
    <s v="0"/>
    <m/>
    <m/>
    <s v=""/>
    <m/>
    <s v=""/>
    <s v="-"/>
    <s v=""/>
    <s v=""/>
  </r>
  <r>
    <x v="803"/>
    <n v="31"/>
    <s v="j"/>
    <x v="59"/>
    <d v="1899-12-30T00:44:10"/>
    <n v="8.65"/>
    <d v="1899-12-30T00:05:06"/>
    <n v="142"/>
    <n v="56"/>
    <n v="228"/>
    <m/>
    <n v="1.0425329997411783"/>
    <s v="Adizero Boston 8"/>
    <n v="194.60000000000002"/>
    <s v="-"/>
    <n v="212.96"/>
    <n v="1.6056338028169015"/>
  </r>
  <r>
    <x v="804"/>
    <m/>
    <m/>
    <x v="1"/>
    <m/>
    <m/>
    <s v=""/>
    <m/>
    <m/>
    <m/>
    <m/>
    <s v=""/>
    <m/>
    <s v=""/>
    <s v="-"/>
    <s v=""/>
    <s v=""/>
  </r>
  <r>
    <x v="805"/>
    <n v="32"/>
    <s v="j"/>
    <x v="57"/>
    <d v="1899-12-30T01:20:11"/>
    <n v="14.94"/>
    <d v="1899-12-30T00:05:22"/>
    <n v="141"/>
    <n v="93"/>
    <n v="217.7"/>
    <m/>
    <n v="1.0463292972886571"/>
    <s v="New Balance 1080 v9"/>
    <n v="194.60000000000002"/>
    <s v="-"/>
    <n v="212.96"/>
    <n v="1.5439716312056737"/>
  </r>
  <r>
    <x v="806"/>
    <m/>
    <m/>
    <x v="1"/>
    <m/>
    <s v=""/>
    <s v=""/>
    <m/>
    <s v="0"/>
    <m/>
    <m/>
    <s v=""/>
    <m/>
    <s v=""/>
    <s v="-"/>
    <s v=""/>
    <s v=""/>
  </r>
  <r>
    <x v="807"/>
    <n v="33"/>
    <s v="n"/>
    <x v="60"/>
    <d v="1899-12-30T00:47:56"/>
    <n v="10.09"/>
    <d v="1899-12-30T00:04:45"/>
    <n v="148"/>
    <n v="71"/>
    <n v="242"/>
    <m/>
    <n v="1.0295282753723949"/>
    <s v="Adizero Boston 8"/>
    <s v=""/>
    <s v="-"/>
    <s v=""/>
    <n v="1.6351351351351351"/>
  </r>
  <r>
    <x v="808"/>
    <m/>
    <m/>
    <x v="1"/>
    <m/>
    <s v=""/>
    <s v=""/>
    <m/>
    <s v="0"/>
    <m/>
    <m/>
    <s v=""/>
    <m/>
    <s v=""/>
    <s v="-"/>
    <s v=""/>
    <s v=""/>
  </r>
  <r>
    <x v="809"/>
    <n v="34"/>
    <s v="j"/>
    <x v="49"/>
    <d v="1899-12-30T00:50:23"/>
    <n v="9.35"/>
    <d v="1899-12-30T00:05:23"/>
    <n v="145"/>
    <n v="58"/>
    <n v="217"/>
    <m/>
    <n v="1.0471561976215182"/>
    <s v="Brooks Defyance 10"/>
    <n v="194.60000000000002"/>
    <s v="-"/>
    <n v="212.96"/>
    <n v="1.4965517241379311"/>
  </r>
  <r>
    <x v="810"/>
    <n v="35"/>
    <s v="j"/>
    <x v="58"/>
    <d v="1899-12-30T00:45:09"/>
    <n v="7.96"/>
    <d v="1899-12-30T00:05:40"/>
    <n v="134"/>
    <n v="48"/>
    <n v="207.6"/>
    <m/>
    <n v="1.0545046126153153"/>
    <s v="Brooks Defyance 10"/>
    <n v="169.39999999999998"/>
    <s v="-"/>
    <n v="193.60000000000002"/>
    <n v="1.5492537313432835"/>
  </r>
  <r>
    <x v="811"/>
    <m/>
    <m/>
    <x v="1"/>
    <m/>
    <s v=""/>
    <s v=""/>
    <m/>
    <s v="0"/>
    <m/>
    <m/>
    <s v=""/>
    <m/>
    <s v=""/>
    <s v="-"/>
    <s v=""/>
    <s v=""/>
  </r>
  <r>
    <x v="812"/>
    <n v="36"/>
    <s v="j"/>
    <x v="61"/>
    <d v="1899-12-30T01:24:45"/>
    <n v="15.78"/>
    <d v="1899-12-30T00:05:22"/>
    <n v="140"/>
    <n v="99"/>
    <n v="218.7"/>
    <m/>
    <n v="1.051859996594972"/>
    <s v="New Balance 1080 v9"/>
    <n v="194.60000000000002"/>
    <s v="-"/>
    <n v="212.96"/>
    <n v="1.5621428571428571"/>
  </r>
  <r>
    <x v="813"/>
    <m/>
    <m/>
    <x v="1"/>
    <m/>
    <s v=""/>
    <s v=""/>
    <m/>
    <s v="0"/>
    <m/>
    <m/>
    <s v=""/>
    <m/>
    <s v=""/>
    <s v="-"/>
    <s v=""/>
    <s v=""/>
  </r>
  <r>
    <x v="814"/>
    <n v="37"/>
    <s v="j"/>
    <x v="49"/>
    <d v="1899-12-30T00:48:58"/>
    <n v="9.33"/>
    <d v="1899-12-30T00:05:15"/>
    <n v="137"/>
    <n v="59"/>
    <n v="222.1"/>
    <m/>
    <n v="1.0438639599430501"/>
    <s v="Brooks Defyance 10"/>
    <n v="194.60000000000002"/>
    <s v="-"/>
    <n v="212.96"/>
    <n v="1.6211678832116787"/>
  </r>
  <r>
    <x v="815"/>
    <m/>
    <m/>
    <x v="1"/>
    <m/>
    <s v=""/>
    <s v=""/>
    <m/>
    <s v="0"/>
    <m/>
    <m/>
    <s v=""/>
    <m/>
    <s v=""/>
    <s v="-"/>
    <s v=""/>
    <s v=""/>
  </r>
  <r>
    <x v="816"/>
    <n v="38"/>
    <s v="n"/>
    <x v="42"/>
    <d v="1899-12-30T00:41:09"/>
    <n v="8.84"/>
    <d v="1899-12-30T00:04:39"/>
    <n v="151"/>
    <n v="63"/>
    <n v="249.2"/>
    <m/>
    <n v="1.0388242047680152"/>
    <s v="Adizero Boston 8"/>
    <n v="230.89999999999998"/>
    <s v="-"/>
    <n v="254.10000000000002"/>
    <n v="1.6503311258278146"/>
  </r>
  <r>
    <x v="817"/>
    <n v="39"/>
    <s v="j"/>
    <x v="58"/>
    <d v="1899-12-30T00:51:01"/>
    <n v="9.16"/>
    <d v="1899-12-30T00:05:34"/>
    <n v="135"/>
    <n v="56"/>
    <n v="211.4"/>
    <m/>
    <n v="1.0543821286580199"/>
    <s v="Brooks Defyance 10"/>
    <n v="169.39999999999998"/>
    <s v="-"/>
    <n v="193.60000000000002"/>
    <n v="1.5659259259259259"/>
  </r>
  <r>
    <x v="818"/>
    <n v="40"/>
    <s v="j"/>
    <x v="51"/>
    <d v="1899-12-30T00:55:49"/>
    <n v="10.37"/>
    <d v="1899-12-30T00:05:23"/>
    <n v="136"/>
    <n v="65"/>
    <n v="217.9"/>
    <m/>
    <n v="1.0503131881575734"/>
    <s v="Brooks Defyance 10"/>
    <n v="194.60000000000002"/>
    <s v="-"/>
    <n v="212.96"/>
    <n v="1.6022058823529413"/>
  </r>
  <r>
    <x v="819"/>
    <n v="41"/>
    <s v="j"/>
    <x v="51"/>
    <d v="1899-12-30T01:01:47"/>
    <n v="11.57"/>
    <d v="1899-12-30T00:05:20"/>
    <n v="138"/>
    <n v="72"/>
    <n v="219.5"/>
    <m/>
    <n v="1.0496607283375687"/>
    <s v="New Balance 1080 v9"/>
    <n v="194.60000000000002"/>
    <s v="-"/>
    <n v="212.96"/>
    <n v="1.5905797101449275"/>
  </r>
  <r>
    <x v="820"/>
    <m/>
    <m/>
    <x v="1"/>
    <m/>
    <s v=""/>
    <s v=""/>
    <m/>
    <s v="0"/>
    <m/>
    <m/>
    <s v=""/>
    <m/>
    <s v=""/>
    <s v="-"/>
    <s v=""/>
    <s v=""/>
  </r>
  <r>
    <x v="821"/>
    <m/>
    <m/>
    <x v="1"/>
    <m/>
    <s v=""/>
    <s v=""/>
    <m/>
    <s v="0"/>
    <m/>
    <m/>
    <s v=""/>
    <m/>
    <s v=""/>
    <s v="-"/>
    <s v=""/>
    <s v=""/>
  </r>
  <r>
    <x v="822"/>
    <n v="42"/>
    <s v="j"/>
    <x v="49"/>
    <d v="1899-12-30T00:50:53"/>
    <n v="9.64"/>
    <d v="1899-12-30T00:05:17"/>
    <n v="142"/>
    <n v="64"/>
    <n v="222"/>
    <m/>
    <n v="1.0493683037096673"/>
    <s v="Brooks Defyance 10"/>
    <n v="194.60000000000002"/>
    <s v="-"/>
    <n v="212.96"/>
    <n v="1.5633802816901408"/>
  </r>
  <r>
    <x v="823"/>
    <m/>
    <m/>
    <x v="1"/>
    <m/>
    <s v=""/>
    <s v=""/>
    <m/>
    <s v="0"/>
    <m/>
    <m/>
    <s v=""/>
    <m/>
    <s v=""/>
    <s v="-"/>
    <s v=""/>
    <s v=""/>
  </r>
  <r>
    <x v="824"/>
    <n v="43"/>
    <s v="n"/>
    <x v="49"/>
    <d v="1899-12-30T00:49:24"/>
    <n v="9.7100000000000009"/>
    <d v="1899-12-30T00:05:05"/>
    <n v="141"/>
    <n v="64"/>
    <n v="231.3"/>
    <m/>
    <n v="1.0538038950458828"/>
    <s v="Brooks Defyance 10"/>
    <n v="194.60000000000002"/>
    <s v="-"/>
    <n v="212.96"/>
    <n v="1.6404255319148937"/>
  </r>
  <r>
    <x v="825"/>
    <m/>
    <m/>
    <x v="1"/>
    <m/>
    <s v=""/>
    <s v=""/>
    <m/>
    <s v="0"/>
    <m/>
    <m/>
    <s v=""/>
    <m/>
    <s v=""/>
    <s v="-"/>
    <s v=""/>
    <s v=""/>
  </r>
  <r>
    <x v="826"/>
    <n v="44"/>
    <s v="j"/>
    <x v="57"/>
    <d v="1899-12-30T01:18:03"/>
    <n v="14.6"/>
    <d v="1899-12-30T00:05:21"/>
    <n v="136"/>
    <n v="91"/>
    <n v="219"/>
    <m/>
    <n v="1.0484328358208956"/>
    <s v="New Balance 1080 v9"/>
    <n v="194.60000000000002"/>
    <s v="-"/>
    <n v="212.96"/>
    <n v="1.6102941176470589"/>
  </r>
  <r>
    <x v="827"/>
    <m/>
    <m/>
    <x v="1"/>
    <m/>
    <s v=""/>
    <s v=""/>
    <m/>
    <s v="0"/>
    <m/>
    <m/>
    <s v=""/>
    <m/>
    <s v=""/>
    <s v="-"/>
    <s v=""/>
    <s v=""/>
  </r>
  <r>
    <x v="828"/>
    <n v="45"/>
    <s v="j"/>
    <x v="49"/>
    <d v="1899-12-30T00:51:50"/>
    <n v="9.6999999999999993"/>
    <d v="1899-12-30T00:05:21"/>
    <m/>
    <n v="60"/>
    <n v="218"/>
    <m/>
    <n v="1.0432066471764891"/>
    <s v="Brooks Defyance 10"/>
    <n v="194.60000000000002"/>
    <s v="-"/>
    <n v="212.96"/>
    <s v=""/>
  </r>
  <r>
    <x v="829"/>
    <m/>
    <m/>
    <x v="1"/>
    <m/>
    <s v=""/>
    <s v=""/>
    <m/>
    <s v="0"/>
    <m/>
    <m/>
    <s v=""/>
    <m/>
    <s v=""/>
    <s v="-"/>
    <s v=""/>
    <s v=""/>
  </r>
  <r>
    <x v="830"/>
    <n v="46"/>
    <s v="n"/>
    <x v="42"/>
    <d v="1899-12-30T00:44:13"/>
    <n v="9.73"/>
    <d v="1899-12-30T00:04:33"/>
    <n v="156"/>
    <n v="70"/>
    <n v="253.6"/>
    <m/>
    <n v="1.032045527756899"/>
    <s v="Adizero Boston 8"/>
    <n v="230.89999999999998"/>
    <s v="-"/>
    <n v="254.10000000000002"/>
    <n v="1.6256410256410256"/>
  </r>
  <r>
    <x v="831"/>
    <n v="47"/>
    <s v="j"/>
    <x v="49"/>
    <d v="1899-12-30T00:52:15"/>
    <n v="9.56"/>
    <d v="1899-12-30T00:05:28"/>
    <n v="141"/>
    <n v="59"/>
    <n v="216"/>
    <m/>
    <n v="1.0572035221382627"/>
    <s v="Brooks Defyance 10"/>
    <n v="194.60000000000002"/>
    <s v="-"/>
    <n v="212.96"/>
    <n v="1.5319148936170213"/>
  </r>
  <r>
    <x v="832"/>
    <m/>
    <m/>
    <x v="1"/>
    <m/>
    <s v=""/>
    <s v=""/>
    <m/>
    <s v="0"/>
    <m/>
    <m/>
    <s v=""/>
    <m/>
    <s v=""/>
    <s v="-"/>
    <s v=""/>
    <s v=""/>
  </r>
  <r>
    <x v="833"/>
    <n v="48"/>
    <s v="j"/>
    <x v="62"/>
    <d v="1899-12-30T01:31:26"/>
    <n v="16.71"/>
    <d v="1899-12-30T00:05:28"/>
    <n v="140"/>
    <n v="105"/>
    <n v="214"/>
    <m/>
    <n v="1.0486204524951541"/>
    <s v="New Balance 1080 v9"/>
    <n v="194.60000000000002"/>
    <s v="-"/>
    <n v="212.96"/>
    <n v="1.5285714285714285"/>
  </r>
  <r>
    <x v="834"/>
    <m/>
    <m/>
    <x v="1"/>
    <m/>
    <s v=""/>
    <s v=""/>
    <m/>
    <s v="0"/>
    <m/>
    <m/>
    <s v=""/>
    <m/>
    <s v=""/>
    <s v="-"/>
    <s v=""/>
    <s v=""/>
  </r>
  <r>
    <x v="835"/>
    <n v="49"/>
    <s v="j"/>
    <x v="49"/>
    <d v="1899-12-30T00:52:12"/>
    <n v="9.83"/>
    <d v="1899-12-30T00:05:19"/>
    <n v="138"/>
    <n v="60"/>
    <n v="219"/>
    <m/>
    <n v="1.0414478978454622"/>
    <s v="Brooks Defyance 10"/>
    <n v="194.60000000000002"/>
    <s v="-"/>
    <n v="212.96"/>
    <n v="1.5869565217391304"/>
  </r>
  <r>
    <x v="836"/>
    <m/>
    <m/>
    <x v="1"/>
    <m/>
    <s v=""/>
    <s v=""/>
    <m/>
    <s v="0"/>
    <m/>
    <m/>
    <s v=""/>
    <m/>
    <s v=""/>
    <s v="-"/>
    <s v=""/>
    <s v=""/>
  </r>
  <r>
    <x v="837"/>
    <n v="50"/>
    <s v="n"/>
    <x v="42"/>
    <d v="1899-12-30T00:42:56"/>
    <n v="9.44"/>
    <d v="1899-12-30T00:04:33"/>
    <n v="155"/>
    <n v="68"/>
    <n v="256.60000000000002"/>
    <m/>
    <n v="1.0450948646597522"/>
    <s v="Adizero Boston 8"/>
    <n v="230.89999999999998"/>
    <s v="-"/>
    <n v="254.10000000000002"/>
    <n v="1.6554838709677422"/>
  </r>
  <r>
    <x v="838"/>
    <n v="51"/>
    <s v="j"/>
    <x v="58"/>
    <d v="1899-12-30T00:57:22"/>
    <n v="9.75"/>
    <d v="1899-12-30T00:05:53"/>
    <n v="138"/>
    <n v="57"/>
    <n v="204.4"/>
    <m/>
    <n v="1.07699165709912"/>
    <s v="Brooks Defyance 10"/>
    <n v="169.39999999999998"/>
    <s v="-"/>
    <n v="193.60000000000002"/>
    <n v="1.481159420289855"/>
  </r>
  <r>
    <x v="839"/>
    <m/>
    <m/>
    <x v="1"/>
    <m/>
    <s v=""/>
    <s v=""/>
    <m/>
    <s v="0"/>
    <m/>
    <m/>
    <s v=""/>
    <m/>
    <s v=""/>
    <s v="-"/>
    <s v=""/>
    <s v=""/>
  </r>
  <r>
    <x v="840"/>
    <n v="52"/>
    <s v="j"/>
    <x v="62"/>
    <d v="1899-12-30T01:32:18"/>
    <n v="16.68"/>
    <d v="1899-12-30T00:05:32"/>
    <n v="141"/>
    <n v="101"/>
    <n v="213.7"/>
    <m/>
    <n v="1.0589772361215504"/>
    <s v="New Balance 1080 v9"/>
    <n v="194.60000000000002"/>
    <s v="-"/>
    <n v="212.96"/>
    <n v="1.5156028368794325"/>
  </r>
  <r>
    <x v="841"/>
    <m/>
    <m/>
    <x v="1"/>
    <m/>
    <s v=""/>
    <s v=""/>
    <m/>
    <s v="0"/>
    <m/>
    <m/>
    <s v=""/>
    <m/>
    <s v=""/>
    <s v="-"/>
    <s v=""/>
    <s v=""/>
  </r>
  <r>
    <x v="842"/>
    <n v="53"/>
    <s v="n"/>
    <x v="50"/>
    <d v="1899-12-30T01:00:38"/>
    <n v="11.27"/>
    <d v="1899-12-30T00:05:23"/>
    <n v="144"/>
    <n v="71"/>
    <n v="219.3"/>
    <m/>
    <n v="1.0565805400680717"/>
    <s v="Brooks Defyance 10"/>
    <n v="194.60000000000002"/>
    <s v="-"/>
    <n v="212.96"/>
    <n v="1.5229166666666667"/>
  </r>
  <r>
    <x v="843"/>
    <m/>
    <m/>
    <x v="1"/>
    <m/>
    <s v=""/>
    <s v=""/>
    <m/>
    <s v="0"/>
    <m/>
    <m/>
    <s v=""/>
    <m/>
    <s v=""/>
    <s v="-"/>
    <s v=""/>
    <s v=""/>
  </r>
  <r>
    <x v="844"/>
    <n v="54"/>
    <s v="n"/>
    <x v="42"/>
    <d v="1899-12-30T00:47:44"/>
    <n v="10.32"/>
    <d v="1899-12-30T00:04:38"/>
    <n v="156"/>
    <n v="74"/>
    <n v="250.6"/>
    <m/>
    <n v="1.0380053222260788"/>
    <s v="Adizero Boston 8"/>
    <n v="230.89999999999998"/>
    <s v="-"/>
    <n v="254.10000000000002"/>
    <n v="1.6064102564102565"/>
  </r>
  <r>
    <x v="845"/>
    <n v="55"/>
    <s v="n"/>
    <x v="58"/>
    <d v="1899-12-30T00:56:49"/>
    <n v="9.8800000000000008"/>
    <d v="1899-12-30T00:05:45"/>
    <n v="128"/>
    <n v="59"/>
    <n v="209"/>
    <m/>
    <n v="1.0763203214695751"/>
    <s v="Brooks Defyance 10"/>
    <n v="169.39999999999998"/>
    <s v="-"/>
    <n v="193.60000000000002"/>
    <n v="1.6328125"/>
  </r>
  <r>
    <x v="846"/>
    <m/>
    <m/>
    <x v="1"/>
    <m/>
    <s v=""/>
    <s v=""/>
    <m/>
    <s v="0"/>
    <m/>
    <m/>
    <s v=""/>
    <m/>
    <s v=""/>
    <s v="-"/>
    <s v=""/>
    <s v=""/>
  </r>
  <r>
    <x v="847"/>
    <n v="56"/>
    <s v="j"/>
    <x v="63"/>
    <d v="1899-12-30T01:49:55"/>
    <n v="19.68"/>
    <d v="1899-12-30T00:05:35"/>
    <n v="138"/>
    <n v="117"/>
    <n v="212"/>
    <m/>
    <n v="1.0603537192088337"/>
    <s v="New Balance 1080 v9"/>
    <n v="194.60000000000002"/>
    <s v="-"/>
    <n v="212.96"/>
    <n v="1.536231884057971"/>
  </r>
  <r>
    <x v="848"/>
    <m/>
    <m/>
    <x v="1"/>
    <m/>
    <s v=""/>
    <s v=""/>
    <m/>
    <s v="0"/>
    <m/>
    <m/>
    <s v=""/>
    <m/>
    <s v=""/>
    <s v="-"/>
    <s v=""/>
    <s v=""/>
  </r>
  <r>
    <x v="849"/>
    <m/>
    <m/>
    <x v="1"/>
    <m/>
    <s v=""/>
    <s v=""/>
    <m/>
    <s v="0"/>
    <m/>
    <m/>
    <s v=""/>
    <m/>
    <s v=""/>
    <s v="-"/>
    <s v=""/>
    <s v=""/>
  </r>
  <r>
    <x v="850"/>
    <n v="57"/>
    <s v="j"/>
    <x v="58"/>
    <d v="1899-12-30T00:59:03"/>
    <n v="9.81"/>
    <d v="1899-12-30T00:06:01"/>
    <n v="132"/>
    <n v="55"/>
    <n v="197"/>
    <m/>
    <n v="1.0619243233374411"/>
    <s v="Brooks Defyance 10"/>
    <n v="169.39999999999998"/>
    <s v="-"/>
    <n v="193.60000000000002"/>
    <n v="1.4924242424242424"/>
  </r>
  <r>
    <x v="851"/>
    <m/>
    <m/>
    <x v="1"/>
    <m/>
    <s v=""/>
    <s v=""/>
    <m/>
    <s v="0"/>
    <m/>
    <m/>
    <s v=""/>
    <m/>
    <s v=""/>
    <s v="-"/>
    <s v=""/>
    <s v=""/>
  </r>
  <r>
    <x v="852"/>
    <n v="58"/>
    <s v="j"/>
    <x v="49"/>
    <d v="1899-12-30T00:57:29"/>
    <n v="10.32"/>
    <d v="1899-12-30T00:05:34"/>
    <n v="140"/>
    <n v="61"/>
    <n v="211"/>
    <m/>
    <n v="1.0524976859886614"/>
    <s v="Brooks Defyance 10"/>
    <n v="194.60000000000002"/>
    <s v="-"/>
    <n v="212.96"/>
    <n v="1.5071428571428571"/>
  </r>
  <r>
    <x v="853"/>
    <m/>
    <m/>
    <x v="1"/>
    <m/>
    <s v=""/>
    <s v=""/>
    <m/>
    <s v="0"/>
    <m/>
    <m/>
    <s v=""/>
    <m/>
    <s v=""/>
    <s v="-"/>
    <s v=""/>
    <s v=""/>
  </r>
  <r>
    <x v="854"/>
    <n v="59"/>
    <s v="j"/>
    <x v="57"/>
    <d v="1899-12-30T01:22:56"/>
    <n v="13.62"/>
    <d v="1899-12-30T00:06:05"/>
    <n v="138"/>
    <n v="74"/>
    <n v="194"/>
    <m/>
    <n v="1.0578648607184344"/>
    <s v="New Balance 1080 v9"/>
    <n v="194.60000000000002"/>
    <s v="-"/>
    <n v="212.96"/>
    <n v="1.4057971014492754"/>
  </r>
  <r>
    <x v="855"/>
    <m/>
    <m/>
    <x v="1"/>
    <m/>
    <s v=""/>
    <s v=""/>
    <m/>
    <s v="0"/>
    <m/>
    <m/>
    <s v=""/>
    <m/>
    <s v=""/>
    <s v="-"/>
    <s v=""/>
    <s v=""/>
  </r>
  <r>
    <x v="856"/>
    <n v="60"/>
    <s v="j"/>
    <x v="49"/>
    <d v="1899-12-30T00:55:02"/>
    <n v="9.8000000000000007"/>
    <d v="1899-12-30T00:05:37"/>
    <n v="142"/>
    <n v="58"/>
    <n v="210"/>
    <m/>
    <n v="1.0560767590618336"/>
    <s v="Brooks Defyance 10"/>
    <n v="194.60000000000002"/>
    <s v="-"/>
    <n v="212.96"/>
    <n v="1.4788732394366197"/>
  </r>
  <r>
    <x v="857"/>
    <m/>
    <m/>
    <x v="1"/>
    <m/>
    <s v=""/>
    <s v=""/>
    <m/>
    <s v="0"/>
    <m/>
    <m/>
    <s v=""/>
    <m/>
    <s v=""/>
    <s v="-"/>
    <s v=""/>
    <s v=""/>
  </r>
  <r>
    <x v="858"/>
    <n v="61"/>
    <s v="n"/>
    <x v="42"/>
    <d v="1899-12-30T00:45:53"/>
    <n v="9.7899999999999991"/>
    <d v="1899-12-30T00:04:41"/>
    <n v="154"/>
    <n v="68"/>
    <n v="248"/>
    <m/>
    <n v="1.0408793621270565"/>
    <s v="Adizero Boston 8"/>
    <n v="230.89999999999998"/>
    <s v="-"/>
    <n v="254.10000000000002"/>
    <n v="1.6103896103896105"/>
  </r>
  <r>
    <x v="859"/>
    <n v="62"/>
    <s v="j"/>
    <x v="58"/>
    <d v="1899-12-30T00:57:04"/>
    <n v="9.65"/>
    <d v="1899-12-30T00:05:55"/>
    <n v="133"/>
    <n v="56"/>
    <n v="203"/>
    <m/>
    <n v="1.075047560126827"/>
    <s v="New Balance 1080 v10"/>
    <n v="169.39999999999998"/>
    <s v="-"/>
    <n v="193.60000000000002"/>
    <n v="1.5263157894736843"/>
  </r>
  <r>
    <x v="860"/>
    <m/>
    <m/>
    <x v="1"/>
    <m/>
    <s v=""/>
    <s v=""/>
    <m/>
    <s v="0"/>
    <m/>
    <m/>
    <s v=""/>
    <m/>
    <s v=""/>
    <s v="-"/>
    <s v=""/>
    <s v=""/>
  </r>
  <r>
    <x v="861"/>
    <n v="63"/>
    <s v="j"/>
    <x v="63"/>
    <d v="1899-12-30T01:59:47"/>
    <n v="21.38"/>
    <d v="1899-12-30T00:05:36"/>
    <n v="140"/>
    <n v="128"/>
    <n v="212.2"/>
    <m/>
    <n v="1.0646589782611731"/>
    <s v="New Balance 1080 v10"/>
    <n v="194.60000000000002"/>
    <s v="-"/>
    <n v="212.96"/>
    <n v="1.5157142857142856"/>
  </r>
  <r>
    <x v="862"/>
    <m/>
    <m/>
    <x v="1"/>
    <m/>
    <s v=""/>
    <s v=""/>
    <m/>
    <s v="0"/>
    <m/>
    <m/>
    <s v=""/>
    <m/>
    <s v=""/>
    <s v="-"/>
    <s v=""/>
    <s v=""/>
  </r>
  <r>
    <x v="863"/>
    <n v="64"/>
    <s v="n"/>
    <x v="49"/>
    <d v="1899-12-30T00:50:15"/>
    <n v="9.85"/>
    <d v="1899-12-30T00:05:06"/>
    <n v="141"/>
    <n v="64"/>
    <n v="231.5"/>
    <m/>
    <n v="1.0576142131979698"/>
    <s v="Brooks Defyance 10"/>
    <n v="194.60000000000002"/>
    <s v="-"/>
    <n v="212.96"/>
    <n v="1.6418439716312057"/>
  </r>
  <r>
    <x v="864"/>
    <m/>
    <m/>
    <x v="1"/>
    <m/>
    <s v=""/>
    <s v=""/>
    <m/>
    <s v="0"/>
    <m/>
    <m/>
    <s v=""/>
    <m/>
    <s v=""/>
    <s v="-"/>
    <s v=""/>
    <s v=""/>
  </r>
  <r>
    <x v="865"/>
    <n v="65"/>
    <s v="n"/>
    <x v="40"/>
    <d v="1899-12-30T00:53:54"/>
    <n v="11.63"/>
    <d v="1899-12-30T00:04:38"/>
    <n v="156"/>
    <n v="81"/>
    <n v="249"/>
    <m/>
    <n v="1.0334389959061099"/>
    <s v="Adizero Boston 8"/>
    <n v="230.89999999999998"/>
    <s v="-"/>
    <n v="254.10000000000002"/>
    <n v="1.5961538461538463"/>
  </r>
  <r>
    <x v="866"/>
    <n v="66"/>
    <s v="n"/>
    <x v="58"/>
    <d v="1899-12-30T00:51:12"/>
    <n v="8.82"/>
    <d v="1899-12-30T00:05:48"/>
    <n v="131"/>
    <n v="50"/>
    <n v="203"/>
    <m/>
    <n v="1.0552949538024163"/>
    <s v="New Balance 1080 v9"/>
    <n v="169.39999999999998"/>
    <s v="-"/>
    <n v="193.60000000000002"/>
    <n v="1.5496183206106871"/>
  </r>
  <r>
    <x v="867"/>
    <m/>
    <m/>
    <x v="1"/>
    <m/>
    <s v=""/>
    <s v=""/>
    <m/>
    <s v="0"/>
    <m/>
    <m/>
    <s v=""/>
    <m/>
    <s v=""/>
    <s v="-"/>
    <s v=""/>
    <s v=""/>
  </r>
  <r>
    <x v="868"/>
    <n v="67"/>
    <s v="j"/>
    <x v="63"/>
    <d v="1899-12-30T02:00:32"/>
    <n v="21.41"/>
    <d v="1899-12-30T00:05:38"/>
    <n v="135"/>
    <n v="127"/>
    <n v="210.2"/>
    <m/>
    <n v="1.0597408101947061"/>
    <s v="New Balance 1080 v10"/>
    <n v="194.60000000000002"/>
    <s v="-"/>
    <n v="212.96"/>
    <n v="1.557037037037037"/>
  </r>
  <r>
    <x v="869"/>
    <m/>
    <m/>
    <x v="1"/>
    <m/>
    <s v=""/>
    <s v=""/>
    <m/>
    <s v="0"/>
    <m/>
    <m/>
    <s v=""/>
    <m/>
    <s v=""/>
    <s v="-"/>
    <s v=""/>
    <s v=""/>
  </r>
  <r>
    <x v="870"/>
    <n v="68"/>
    <s v="n"/>
    <x v="49"/>
    <d v="1899-12-30T00:48:29"/>
    <n v="9.8000000000000007"/>
    <d v="1899-12-30T00:04:57"/>
    <n v="148"/>
    <n v="64"/>
    <n v="236.7"/>
    <m/>
    <n v="1.048675449284191"/>
    <s v="Brooks Defyance 10"/>
    <n v="194.60000000000002"/>
    <s v="-"/>
    <n v="212.96"/>
    <n v="1.5993243243243243"/>
  </r>
  <r>
    <x v="871"/>
    <m/>
    <m/>
    <x v="1"/>
    <m/>
    <s v=""/>
    <s v=""/>
    <m/>
    <s v="0"/>
    <m/>
    <m/>
    <s v=""/>
    <m/>
    <s v=""/>
    <s v="-"/>
    <s v=""/>
    <s v=""/>
  </r>
  <r>
    <x v="872"/>
    <m/>
    <m/>
    <x v="1"/>
    <m/>
    <s v=""/>
    <s v=""/>
    <m/>
    <s v="0"/>
    <m/>
    <m/>
    <s v=""/>
    <m/>
    <s v=""/>
    <s v="-"/>
    <s v=""/>
    <s v=""/>
  </r>
  <r>
    <x v="873"/>
    <n v="69"/>
    <s v="n"/>
    <x v="50"/>
    <d v="1899-12-30T01:03:19"/>
    <n v="11.95"/>
    <d v="1899-12-30T00:05:18"/>
    <n v="144"/>
    <n v="75"/>
    <n v="222.8"/>
    <m/>
    <n v="1.0571625554237185"/>
    <s v="New Balance 1080 v10"/>
    <n v="194.60000000000002"/>
    <s v="-"/>
    <n v="212.96"/>
    <n v="1.5472222222222223"/>
  </r>
  <r>
    <x v="874"/>
    <n v="70"/>
    <s v="j"/>
    <x v="58"/>
    <d v="1899-12-30T01:06:48"/>
    <n v="11.27"/>
    <d v="1899-12-30T00:05:56"/>
    <n v="135"/>
    <n v="63"/>
    <n v="199.5"/>
    <m/>
    <n v="1.0589413182534533"/>
    <s v="New Balance 1080 v9"/>
    <n v="169.39999999999998"/>
    <s v="-"/>
    <n v="193.60000000000002"/>
    <n v="1.4777777777777779"/>
  </r>
  <r>
    <x v="875"/>
    <n v="71"/>
    <s v="j"/>
    <x v="64"/>
    <d v="1899-12-30T02:01:24"/>
    <n v="22.11"/>
    <d v="1899-12-30T00:05:29"/>
    <n v="140"/>
    <n v="133"/>
    <n v="214.7"/>
    <m/>
    <n v="1.055694931043561"/>
    <s v="New Balance 1080 v10"/>
    <n v="194.60000000000002"/>
    <s v="-"/>
    <n v="212.96"/>
    <n v="1.5335714285714286"/>
  </r>
  <r>
    <x v="876"/>
    <m/>
    <m/>
    <x v="1"/>
    <m/>
    <s v=""/>
    <s v=""/>
    <m/>
    <s v="0"/>
    <m/>
    <m/>
    <s v=""/>
    <m/>
    <s v=""/>
    <s v="-"/>
    <s v=""/>
    <s v=""/>
  </r>
  <r>
    <x v="877"/>
    <n v="72"/>
    <s v="n"/>
    <x v="65"/>
    <d v="1899-12-30T01:00:37"/>
    <n v="10.79"/>
    <d v="1899-12-30T00:05:37"/>
    <n v="129"/>
    <n v="64"/>
    <n v="212"/>
    <m/>
    <n v="1.0665541615370784"/>
    <s v="Brooks Defyance 10"/>
    <n v="169.39999999999998"/>
    <s v="-"/>
    <n v="193.60000000000002"/>
    <n v="1.6434108527131783"/>
  </r>
  <r>
    <x v="878"/>
    <m/>
    <m/>
    <x v="1"/>
    <m/>
    <s v=""/>
    <s v=""/>
    <m/>
    <s v="0"/>
    <m/>
    <m/>
    <s v=""/>
    <m/>
    <s v=""/>
    <s v="-"/>
    <s v=""/>
    <s v=""/>
  </r>
  <r>
    <x v="879"/>
    <n v="73"/>
    <s v="n"/>
    <x v="49"/>
    <d v="1899-12-30T00:50:22"/>
    <n v="9.8800000000000008"/>
    <d v="1899-12-30T00:05:06"/>
    <n v="141"/>
    <n v="64"/>
    <n v="231.8"/>
    <m/>
    <n v="1.0582204362801375"/>
    <s v="Brooks Defyance 10"/>
    <n v="194.60000000000002"/>
    <s v="-"/>
    <n v="212.96"/>
    <n v="1.6439716312056738"/>
  </r>
  <r>
    <x v="880"/>
    <m/>
    <m/>
    <x v="1"/>
    <m/>
    <s v=""/>
    <s v=""/>
    <m/>
    <s v="0"/>
    <m/>
    <m/>
    <s v=""/>
    <m/>
    <s v=""/>
    <s v="-"/>
    <s v=""/>
    <s v=""/>
  </r>
  <r>
    <x v="881"/>
    <n v="74"/>
    <s v="n"/>
    <x v="57"/>
    <d v="1899-12-30T01:20:23"/>
    <n v="14.51"/>
    <d v="1899-12-30T00:05:32"/>
    <n v="133"/>
    <n v="87"/>
    <n v="215.4"/>
    <m/>
    <n v="1.0686137198226648"/>
    <s v="New Balance 1080 v10"/>
    <n v="194.60000000000002"/>
    <s v="-"/>
    <n v="212.96"/>
    <n v="1.6195488721804512"/>
  </r>
  <r>
    <x v="882"/>
    <m/>
    <m/>
    <x v="1"/>
    <m/>
    <s v=""/>
    <s v=""/>
    <m/>
    <s v="0"/>
    <m/>
    <m/>
    <s v=""/>
    <m/>
    <s v=""/>
    <s v="-"/>
    <s v=""/>
    <s v=""/>
  </r>
  <r>
    <x v="883"/>
    <n v="75"/>
    <s v="n"/>
    <x v="50"/>
    <d v="1899-12-30T00:51:47"/>
    <n v="9.49"/>
    <d v="1899-12-30T00:05:27"/>
    <n v="132"/>
    <n v="58"/>
    <n v="216.1"/>
    <m/>
    <n v="1.0559783275403805"/>
    <s v="New Balance 1080 v9"/>
    <n v="194.60000000000002"/>
    <s v="-"/>
    <n v="212.96"/>
    <n v="1.637121212121212"/>
  </r>
  <r>
    <x v="884"/>
    <m/>
    <m/>
    <x v="1"/>
    <m/>
    <s v=""/>
    <s v=""/>
    <m/>
    <s v="0"/>
    <m/>
    <m/>
    <s v=""/>
    <m/>
    <s v=""/>
    <s v="-"/>
    <s v=""/>
    <s v=""/>
  </r>
  <r>
    <x v="885"/>
    <n v="76"/>
    <s v="j"/>
    <x v="50"/>
    <d v="1899-12-30T00:55:56"/>
    <n v="10.56"/>
    <d v="1899-12-30T00:05:18"/>
    <n v="138"/>
    <n v="65"/>
    <n v="221.1"/>
    <m/>
    <n v="1.0487499999999998"/>
    <s v="Brooks Defyance 10"/>
    <n v="194.60000000000002"/>
    <s v="-"/>
    <n v="212.96"/>
    <n v="1.6021739130434782"/>
  </r>
  <r>
    <x v="886"/>
    <m/>
    <m/>
    <x v="1"/>
    <m/>
    <s v=""/>
    <s v=""/>
    <m/>
    <s v="0"/>
    <m/>
    <m/>
    <s v=""/>
    <m/>
    <s v=""/>
    <s v="-"/>
    <s v=""/>
    <s v=""/>
  </r>
  <r>
    <x v="887"/>
    <n v="77"/>
    <s v="j"/>
    <x v="50"/>
    <d v="1899-12-30T01:03:06"/>
    <n v="11.41"/>
    <d v="1899-12-30T00:05:32"/>
    <n v="139"/>
    <n v="69"/>
    <n v="214.3"/>
    <m/>
    <n v="1.0613101887582248"/>
    <s v="New Balance 1080 v10"/>
    <n v="194.60000000000002"/>
    <s v="-"/>
    <n v="212.96"/>
    <n v="1.541726618705036"/>
  </r>
  <r>
    <x v="888"/>
    <m/>
    <m/>
    <x v="1"/>
    <m/>
    <s v=""/>
    <s v=""/>
    <m/>
    <s v="0"/>
    <m/>
    <m/>
    <s v=""/>
    <m/>
    <s v=""/>
    <s v="-"/>
    <s v=""/>
    <s v=""/>
  </r>
  <r>
    <x v="889"/>
    <n v="78"/>
    <s v="j"/>
    <x v="64"/>
    <d v="1899-12-30T02:05:20"/>
    <n v="22.95"/>
    <d v="1899-12-30T00:05:28"/>
    <n v="139"/>
    <n v="140"/>
    <n v="216.9"/>
    <m/>
    <n v="1.0607667544629791"/>
    <s v="New Balance 1080 v10"/>
    <n v="194.60000000000002"/>
    <s v="-"/>
    <n v="212.96"/>
    <n v="1.5604316546762591"/>
  </r>
  <r>
    <x v="890"/>
    <m/>
    <m/>
    <x v="1"/>
    <m/>
    <s v=""/>
    <s v=""/>
    <m/>
    <s v="0"/>
    <m/>
    <m/>
    <s v=""/>
    <m/>
    <s v=""/>
    <s v="-"/>
    <s v=""/>
    <s v=""/>
  </r>
  <r>
    <x v="891"/>
    <n v="79"/>
    <s v="n"/>
    <x v="45"/>
    <d v="1899-12-30T01:11:45"/>
    <n v="15.08"/>
    <d v="1899-12-30T00:04:45"/>
    <n v="153"/>
    <n v="103"/>
    <n v="245"/>
    <m/>
    <n v="1.0439100914525516"/>
    <s v="Adizero Boston 8"/>
    <s v=""/>
    <s v="-"/>
    <s v=""/>
    <n v="1.6013071895424837"/>
  </r>
  <r>
    <x v="892"/>
    <m/>
    <m/>
    <x v="1"/>
    <m/>
    <s v=""/>
    <s v=""/>
    <m/>
    <s v="0"/>
    <m/>
    <m/>
    <s v=""/>
    <m/>
    <s v=""/>
    <s v="-"/>
    <s v=""/>
    <s v=""/>
  </r>
  <r>
    <x v="893"/>
    <n v="80"/>
    <s v="n"/>
    <x v="50"/>
    <d v="1899-12-30T01:06:45"/>
    <n v="12.22"/>
    <d v="1899-12-30T00:05:28"/>
    <n v="143"/>
    <n v="75"/>
    <n v="217.8"/>
    <m/>
    <n v="1.0654041576080318"/>
    <s v="New Balance 1080 v9"/>
    <n v="194.60000000000002"/>
    <s v="-"/>
    <n v="212.96"/>
    <n v="1.5230769230769232"/>
  </r>
  <r>
    <x v="894"/>
    <n v="81"/>
    <s v="n"/>
    <x v="58"/>
    <d v="1899-12-30T00:48:54"/>
    <n v="8.3800000000000008"/>
    <d v="1899-12-30T00:05:50"/>
    <n v="130"/>
    <n v="48"/>
    <n v="204.1"/>
    <m/>
    <n v="1.0665575463968937"/>
    <s v="Brooks Defyance 10"/>
    <n v="169.39999999999998"/>
    <s v="-"/>
    <n v="193.60000000000002"/>
    <n v="1.57"/>
  </r>
  <r>
    <x v="895"/>
    <m/>
    <m/>
    <x v="1"/>
    <m/>
    <s v=""/>
    <s v=""/>
    <m/>
    <s v="0"/>
    <m/>
    <m/>
    <s v=""/>
    <m/>
    <s v=""/>
    <s v="-"/>
    <s v=""/>
    <s v=""/>
  </r>
  <r>
    <x v="896"/>
    <n v="82"/>
    <s v="j"/>
    <x v="64"/>
    <d v="1899-12-30T02:00:04"/>
    <n v="21.48"/>
    <d v="1899-12-30T00:05:35"/>
    <n v="140"/>
    <n v="120"/>
    <n v="211.7"/>
    <m/>
    <n v="1.0597062175157732"/>
    <s v="New Balance 1080 v10"/>
    <n v="194.60000000000002"/>
    <s v="-"/>
    <n v="212.96"/>
    <n v="1.512142857142857"/>
  </r>
  <r>
    <x v="897"/>
    <m/>
    <m/>
    <x v="1"/>
    <m/>
    <s v=""/>
    <s v=""/>
    <m/>
    <s v="0"/>
    <m/>
    <m/>
    <s v=""/>
    <m/>
    <s v=""/>
    <s v="-"/>
    <s v=""/>
    <s v=""/>
  </r>
  <r>
    <x v="898"/>
    <n v="83"/>
    <s v="n"/>
    <x v="49"/>
    <d v="1899-12-30T00:48:08"/>
    <n v="9.61"/>
    <d v="1899-12-30T00:05:01"/>
    <n v="138"/>
    <n v="63"/>
    <n v="235.6"/>
    <m/>
    <n v="1.0567549350024072"/>
    <s v="Brooks Defyance 10"/>
    <n v="194.60000000000002"/>
    <s v="-"/>
    <n v="212.96"/>
    <n v="1.7072463768115942"/>
  </r>
  <r>
    <x v="899"/>
    <m/>
    <m/>
    <x v="1"/>
    <m/>
    <s v=""/>
    <s v=""/>
    <m/>
    <s v="0"/>
    <m/>
    <m/>
    <s v=""/>
    <m/>
    <s v=""/>
    <s v="-"/>
    <s v=""/>
    <s v=""/>
  </r>
  <r>
    <x v="900"/>
    <n v="84"/>
    <s v="n"/>
    <x v="45"/>
    <d v="1899-12-30T00:59:32"/>
    <n v="13.19"/>
    <d v="1899-12-30T00:04:31"/>
    <n v="157"/>
    <n v="94"/>
    <n v="257.39999999999998"/>
    <m/>
    <n v="1.0404001222092718"/>
    <s v="Adizero Boston 8"/>
    <s v=""/>
    <s v="-"/>
    <s v=""/>
    <n v="1.6394904458598725"/>
  </r>
  <r>
    <x v="901"/>
    <m/>
    <m/>
    <x v="1"/>
    <m/>
    <s v=""/>
    <s v=""/>
    <m/>
    <s v="0"/>
    <m/>
    <m/>
    <s v=""/>
    <m/>
    <s v=""/>
    <s v="-"/>
    <s v=""/>
    <s v=""/>
  </r>
  <r>
    <x v="902"/>
    <n v="85"/>
    <s v="j"/>
    <x v="58"/>
    <d v="1899-12-30T01:01:42"/>
    <n v="10.69"/>
    <d v="1899-12-30T00:05:46"/>
    <n v="135"/>
    <n v="62"/>
    <n v="205.8"/>
    <m/>
    <n v="1.0637247811457216"/>
    <s v="New Balance 1080 v9"/>
    <n v="169.39999999999998"/>
    <s v="-"/>
    <n v="193.60000000000002"/>
    <n v="1.5244444444444445"/>
  </r>
  <r>
    <x v="903"/>
    <n v="86"/>
    <s v="j"/>
    <x v="66"/>
    <d v="1899-12-30T02:22:40"/>
    <n v="25.51"/>
    <d v="1899-12-30T00:05:36"/>
    <n v="139"/>
    <n v="153"/>
    <n v="212.8"/>
    <m/>
    <n v="1.0657617440043998"/>
    <s v="New Balance 1080 v10"/>
    <n v="194.60000000000002"/>
    <s v="-"/>
    <n v="212.96"/>
    <n v="1.5309352517985613"/>
  </r>
  <r>
    <x v="904"/>
    <m/>
    <m/>
    <x v="1"/>
    <m/>
    <s v=""/>
    <s v=""/>
    <m/>
    <s v="0"/>
    <m/>
    <m/>
    <s v=""/>
    <m/>
    <s v=""/>
    <s v="-"/>
    <s v=""/>
    <s v=""/>
  </r>
  <r>
    <x v="905"/>
    <m/>
    <m/>
    <x v="1"/>
    <m/>
    <s v=""/>
    <s v=""/>
    <m/>
    <s v="0"/>
    <m/>
    <m/>
    <s v=""/>
    <m/>
    <s v=""/>
    <s v="-"/>
    <s v=""/>
    <s v=""/>
  </r>
  <r>
    <x v="906"/>
    <m/>
    <m/>
    <x v="1"/>
    <m/>
    <s v=""/>
    <s v=""/>
    <m/>
    <s v="0"/>
    <m/>
    <m/>
    <s v=""/>
    <m/>
    <s v=""/>
    <s v="-"/>
    <s v=""/>
    <s v=""/>
  </r>
  <r>
    <x v="907"/>
    <n v="87"/>
    <s v="n"/>
    <x v="51"/>
    <d v="1899-12-30T00:55:21"/>
    <n v="10.36"/>
    <d v="1899-12-30T00:05:21"/>
    <n v="137"/>
    <n v="64"/>
    <n v="220.4"/>
    <m/>
    <n v="1.0544983576326863"/>
    <s v="Brooks Defyance 10"/>
    <n v="194.60000000000002"/>
    <s v="-"/>
    <n v="212.96"/>
    <n v="1.6087591240875914"/>
  </r>
  <r>
    <x v="908"/>
    <m/>
    <m/>
    <x v="1"/>
    <m/>
    <s v=""/>
    <s v=""/>
    <m/>
    <s v="0"/>
    <m/>
    <m/>
    <s v=""/>
    <m/>
    <s v=""/>
    <s v="-"/>
    <s v=""/>
    <s v=""/>
  </r>
  <r>
    <x v="909"/>
    <n v="88"/>
    <s v="n"/>
    <x v="67"/>
    <d v="1899-12-30T01:34:44"/>
    <n v="16.899999999999999"/>
    <d v="1899-12-30T00:05:36"/>
    <n v="147"/>
    <n v="102"/>
    <n v="213.3"/>
    <m/>
    <n v="1.0707384968647886"/>
    <s v="New Balance 1080 v10"/>
    <s v=""/>
    <s v="-"/>
    <s v=""/>
    <n v="1.4510204081632654"/>
  </r>
  <r>
    <x v="910"/>
    <m/>
    <m/>
    <x v="1"/>
    <m/>
    <s v=""/>
    <s v=""/>
    <m/>
    <s v="0"/>
    <m/>
    <m/>
    <s v=""/>
    <m/>
    <s v=""/>
    <s v="-"/>
    <s v=""/>
    <s v=""/>
  </r>
  <r>
    <x v="911"/>
    <m/>
    <m/>
    <x v="1"/>
    <m/>
    <s v=""/>
    <s v=""/>
    <m/>
    <s v="0"/>
    <m/>
    <m/>
    <s v=""/>
    <m/>
    <s v=""/>
    <s v="-"/>
    <s v=""/>
    <s v=""/>
  </r>
  <r>
    <x v="912"/>
    <n v="89"/>
    <s v="n"/>
    <x v="68"/>
    <d v="1899-12-30T00:59:53"/>
    <n v="9.74"/>
    <d v="1899-12-30T00:06:09"/>
    <n v="146"/>
    <n v="68"/>
    <n v="211.1"/>
    <n v="248"/>
    <m/>
    <s v="Brooks Defyance 10"/>
    <s v=""/>
    <s v="-"/>
    <s v=""/>
    <n v="1.4458904109589041"/>
  </r>
  <r>
    <x v="913"/>
    <m/>
    <m/>
    <x v="1"/>
    <m/>
    <s v=""/>
    <s v=""/>
    <m/>
    <s v="0"/>
    <m/>
    <m/>
    <s v=""/>
    <m/>
    <s v=""/>
    <s v="-"/>
    <s v=""/>
    <s v=""/>
  </r>
  <r>
    <x v="914"/>
    <m/>
    <m/>
    <x v="1"/>
    <m/>
    <s v=""/>
    <s v=""/>
    <m/>
    <s v="0"/>
    <m/>
    <m/>
    <s v=""/>
    <m/>
    <s v=""/>
    <s v="-"/>
    <s v=""/>
    <s v=""/>
  </r>
  <r>
    <x v="915"/>
    <n v="90"/>
    <s v="n"/>
    <x v="52"/>
    <d v="1899-12-30T00:49:53"/>
    <n v="8.73"/>
    <d v="1899-12-30T00:05:43"/>
    <n v="126"/>
    <n v="51"/>
    <n v="208.4"/>
    <m/>
    <n v="1.0663883332478499"/>
    <s v="New Balance 1080 v10"/>
    <n v="169.39999999999998"/>
    <s v="-"/>
    <n v="193.60000000000002"/>
    <n v="1.6539682539682541"/>
  </r>
  <r>
    <x v="916"/>
    <m/>
    <m/>
    <x v="1"/>
    <m/>
    <s v=""/>
    <s v=""/>
    <m/>
    <s v="0"/>
    <m/>
    <m/>
    <s v=""/>
    <m/>
    <s v=""/>
    <s v="-"/>
    <s v=""/>
    <s v=""/>
  </r>
  <r>
    <x v="917"/>
    <n v="91"/>
    <s v="n"/>
    <x v="65"/>
    <d v="1899-12-30T00:57:53"/>
    <n v="10.26"/>
    <d v="1899-12-30T00:05:38"/>
    <n v="126"/>
    <n v="61"/>
    <n v="211.2"/>
    <m/>
    <n v="1.0670297634633845"/>
    <s v="New Balance 1080 v9"/>
    <n v="169.39999999999998"/>
    <s v="-"/>
    <n v="193.60000000000002"/>
    <n v="1.676190476190476"/>
  </r>
  <r>
    <x v="918"/>
    <m/>
    <m/>
    <x v="1"/>
    <m/>
    <s v=""/>
    <s v=""/>
    <m/>
    <s v="0"/>
    <m/>
    <m/>
    <s v=""/>
    <m/>
    <s v=""/>
    <s v="-"/>
    <s v=""/>
    <s v=""/>
  </r>
  <r>
    <x v="919"/>
    <n v="92"/>
    <s v="n"/>
    <x v="68"/>
    <d v="1899-12-30T01:59:53"/>
    <n v="16.239999999999998"/>
    <d v="1899-12-30T00:07:23"/>
    <n v="141"/>
    <n v="113"/>
    <n v="187"/>
    <n v="676"/>
    <m/>
    <s v="Brooks Defyance 10"/>
    <s v=""/>
    <s v="-"/>
    <s v=""/>
    <n v="1.3262411347517731"/>
  </r>
  <r>
    <x v="920"/>
    <m/>
    <m/>
    <x v="1"/>
    <m/>
    <s v=""/>
    <s v=""/>
    <m/>
    <s v="0"/>
    <m/>
    <m/>
    <s v=""/>
    <m/>
    <s v=""/>
    <s v="-"/>
    <s v=""/>
    <s v=""/>
  </r>
  <r>
    <x v="921"/>
    <m/>
    <m/>
    <x v="1"/>
    <m/>
    <s v=""/>
    <s v=""/>
    <m/>
    <s v="0"/>
    <m/>
    <m/>
    <s v=""/>
    <m/>
    <s v=""/>
    <s v="-"/>
    <s v=""/>
    <s v=""/>
  </r>
  <r>
    <x v="922"/>
    <n v="93"/>
    <s v="n"/>
    <x v="50"/>
    <d v="1899-12-30T01:07:08"/>
    <n v="10.68"/>
    <d v="1899-12-30T00:06:17"/>
    <n v="121"/>
    <n v="60"/>
    <n v="195"/>
    <m/>
    <m/>
    <s v="New Balance 1080 v10"/>
    <n v="194.60000000000002"/>
    <s v="-"/>
    <n v="212.96"/>
    <n v="1.6115702479338843"/>
  </r>
  <r>
    <x v="923"/>
    <m/>
    <m/>
    <x v="1"/>
    <m/>
    <s v=""/>
    <s v=""/>
    <m/>
    <s v="0"/>
    <m/>
    <m/>
    <s v=""/>
    <m/>
    <s v=""/>
    <s v="-"/>
    <s v=""/>
    <s v=""/>
  </r>
  <r>
    <x v="924"/>
    <n v="94"/>
    <s v="j"/>
    <x v="57"/>
    <d v="1899-12-30T01:28:17"/>
    <n v="15.25"/>
    <d v="1899-12-30T00:05:47"/>
    <n v="132"/>
    <n v="87"/>
    <n v="203.8"/>
    <m/>
    <n v="1.0565486665035477"/>
    <s v="New Balance 1080 v10"/>
    <n v="194.60000000000002"/>
    <s v="-"/>
    <n v="212.96"/>
    <n v="1.5439393939393939"/>
  </r>
  <r>
    <x v="925"/>
    <m/>
    <m/>
    <x v="1"/>
    <m/>
    <s v=""/>
    <s v=""/>
    <m/>
    <s v="0"/>
    <m/>
    <m/>
    <s v=""/>
    <m/>
    <s v=""/>
    <s v="-"/>
    <s v=""/>
    <s v=""/>
  </r>
  <r>
    <x v="926"/>
    <n v="95"/>
    <s v="n"/>
    <x v="68"/>
    <d v="1899-12-30T01:46:48"/>
    <n v="15.32"/>
    <d v="1899-12-30T00:06:58"/>
    <n v="142"/>
    <n v="104"/>
    <n v="195.9"/>
    <n v="567"/>
    <m/>
    <s v="Brooks Defyance 10"/>
    <s v=""/>
    <s v="-"/>
    <s v=""/>
    <n v="1.3795774647887324"/>
  </r>
  <r>
    <x v="927"/>
    <m/>
    <m/>
    <x v="1"/>
    <m/>
    <s v=""/>
    <s v=""/>
    <m/>
    <s v="0"/>
    <m/>
    <m/>
    <s v=""/>
    <m/>
    <s v=""/>
    <s v="-"/>
    <s v=""/>
    <s v=""/>
  </r>
  <r>
    <x v="928"/>
    <m/>
    <m/>
    <x v="1"/>
    <m/>
    <s v=""/>
    <s v=""/>
    <m/>
    <s v="0"/>
    <m/>
    <m/>
    <s v=""/>
    <m/>
    <s v=""/>
    <s v="-"/>
    <s v=""/>
    <s v=""/>
  </r>
  <r>
    <x v="929"/>
    <n v="96"/>
    <s v="n"/>
    <x v="50"/>
    <d v="1899-12-30T00:58:10"/>
    <n v="10.76"/>
    <d v="1899-12-30T00:05:24"/>
    <n v="138"/>
    <n v="67"/>
    <n v="221.3"/>
    <m/>
    <n v="1.071321367141985"/>
    <s v="New Balance 1080 v10"/>
    <n v="194.60000000000002"/>
    <s v="-"/>
    <n v="212.96"/>
    <n v="1.6036231884057972"/>
  </r>
  <r>
    <x v="930"/>
    <m/>
    <m/>
    <x v="1"/>
    <m/>
    <s v=""/>
    <s v=""/>
    <m/>
    <s v="0"/>
    <m/>
    <m/>
    <s v=""/>
    <m/>
    <s v=""/>
    <s v="-"/>
    <s v=""/>
    <s v=""/>
  </r>
  <r>
    <x v="931"/>
    <n v="97"/>
    <s v="j"/>
    <x v="57"/>
    <d v="1899-12-30T01:24:35"/>
    <n v="14.96"/>
    <d v="1899-12-30T00:05:39"/>
    <n v="138"/>
    <n v="88"/>
    <n v="209.2"/>
    <m/>
    <n v="1.0592325804134408"/>
    <s v="New Balance 1080 v9"/>
    <n v="194.60000000000002"/>
    <s v="-"/>
    <n v="212.96"/>
    <n v="1.5159420289855072"/>
  </r>
  <r>
    <x v="932"/>
    <m/>
    <m/>
    <x v="1"/>
    <m/>
    <s v=""/>
    <s v=""/>
    <m/>
    <s v="0"/>
    <m/>
    <m/>
    <s v=""/>
    <m/>
    <s v=""/>
    <s v="-"/>
    <s v=""/>
    <s v=""/>
  </r>
  <r>
    <x v="933"/>
    <m/>
    <m/>
    <x v="1"/>
    <m/>
    <s v=""/>
    <s v=""/>
    <m/>
    <s v="0"/>
    <m/>
    <m/>
    <s v=""/>
    <m/>
    <s v=""/>
    <s v="-"/>
    <s v=""/>
    <s v=""/>
  </r>
  <r>
    <x v="934"/>
    <m/>
    <m/>
    <x v="1"/>
    <m/>
    <s v=""/>
    <s v=""/>
    <m/>
    <s v="0"/>
    <m/>
    <m/>
    <s v=""/>
    <m/>
    <s v=""/>
    <s v="-"/>
    <s v=""/>
    <s v=""/>
  </r>
  <r>
    <x v="935"/>
    <n v="98"/>
    <s v="n"/>
    <x v="68"/>
    <d v="1899-12-30T00:32:43"/>
    <n v="5.38"/>
    <d v="1899-12-30T00:06:05"/>
    <n v="153"/>
    <n v="42"/>
    <n v="222.7"/>
    <n v="218"/>
    <m/>
    <s v="Innov-8 Terraultra"/>
    <s v=""/>
    <s v="-"/>
    <s v=""/>
    <n v="1.4555555555555555"/>
  </r>
  <r>
    <x v="936"/>
    <m/>
    <m/>
    <x v="1"/>
    <m/>
    <s v=""/>
    <s v=""/>
    <m/>
    <s v="0"/>
    <m/>
    <m/>
    <s v=""/>
    <m/>
    <s v=""/>
    <s v="-"/>
    <s v=""/>
    <s v=""/>
  </r>
  <r>
    <x v="937"/>
    <n v="99"/>
    <s v="n"/>
    <x v="62"/>
    <d v="1899-12-30T01:27:16"/>
    <n v="14.76"/>
    <d v="1899-12-30T00:05:55"/>
    <n v="139"/>
    <n v="85"/>
    <n v="202.4"/>
    <m/>
    <n v="1.0716401731181493"/>
    <s v="Brooks Defyance 10"/>
    <n v="194.60000000000002"/>
    <s v="-"/>
    <n v="212.96"/>
    <n v="1.4561151079136692"/>
  </r>
  <r>
    <x v="938"/>
    <n v="100"/>
    <s v="j"/>
    <x v="62"/>
    <d v="1899-12-30T01:29:10"/>
    <n v="15.64"/>
    <d v="1899-12-30T00:05:42"/>
    <n v="138"/>
    <n v="91"/>
    <n v="207.8"/>
    <m/>
    <n v="1.0609325495285722"/>
    <s v="New Balance 1080 v10"/>
    <n v="194.60000000000002"/>
    <s v="-"/>
    <n v="212.96"/>
    <n v="1.5057971014492755"/>
  </r>
  <r>
    <x v="939"/>
    <m/>
    <m/>
    <x v="1"/>
    <m/>
    <s v=""/>
    <s v=""/>
    <m/>
    <s v="0"/>
    <m/>
    <m/>
    <s v=""/>
    <m/>
    <s v=""/>
    <s v="-"/>
    <s v=""/>
    <s v=""/>
  </r>
  <r>
    <x v="940"/>
    <n v="101"/>
    <s v="n"/>
    <x v="50"/>
    <d v="1899-12-30T00:54:13"/>
    <n v="10.41"/>
    <d v="1899-12-30T00:05:12"/>
    <n v="140"/>
    <n v="65"/>
    <n v="225.6"/>
    <m/>
    <n v="1.0521983741236183"/>
    <s v="Brooks Defyance 10"/>
    <n v="194.60000000000002"/>
    <s v="-"/>
    <n v="212.96"/>
    <n v="1.6114285714285714"/>
  </r>
  <r>
    <x v="941"/>
    <m/>
    <m/>
    <x v="1"/>
    <m/>
    <s v=""/>
    <s v=""/>
    <m/>
    <s v="0"/>
    <m/>
    <m/>
    <s v=""/>
    <m/>
    <s v=""/>
    <s v="-"/>
    <s v=""/>
    <s v=""/>
  </r>
  <r>
    <x v="942"/>
    <n v="102"/>
    <s v="n"/>
    <x v="13"/>
    <d v="1899-12-30T00:58:01"/>
    <n v="11.03"/>
    <d v="1899-12-30T00:05:16"/>
    <n v="145"/>
    <n v="74"/>
    <n v="220.6"/>
    <m/>
    <n v="1.0391044776119402"/>
    <s v="Adizero Boston 8"/>
    <s v=""/>
    <s v="-"/>
    <s v=""/>
    <n v="1.5213793103448277"/>
  </r>
  <r>
    <x v="943"/>
    <n v="103"/>
    <s v="j"/>
    <x v="58"/>
    <d v="1899-12-30T00:56:24"/>
    <n v="9.81"/>
    <d v="1899-12-30T00:05:45"/>
    <n v="129"/>
    <n v="56"/>
    <n v="205.3"/>
    <m/>
    <n v="1.0570012323702589"/>
    <s v="Brooks Defyance 10"/>
    <n v="169.39999999999998"/>
    <s v="-"/>
    <n v="193.60000000000002"/>
    <n v="1.5914728682170542"/>
  </r>
  <r>
    <x v="944"/>
    <m/>
    <m/>
    <x v="1"/>
    <m/>
    <s v=""/>
    <s v=""/>
    <m/>
    <s v="0"/>
    <m/>
    <m/>
    <s v=""/>
    <m/>
    <s v=""/>
    <s v="-"/>
    <s v=""/>
    <s v=""/>
  </r>
  <r>
    <x v="945"/>
    <n v="104"/>
    <s v="n"/>
    <x v="62"/>
    <d v="1899-12-30T01:22:13"/>
    <n v="14.86"/>
    <d v="1899-12-30T00:05:32"/>
    <n v="139"/>
    <n v="91"/>
    <n v="215.2"/>
    <m/>
    <n v="1.0662517828087024"/>
    <s v="New Balance 1080 v10"/>
    <n v="194.60000000000002"/>
    <s v="-"/>
    <n v="212.96"/>
    <n v="1.5482014388489207"/>
  </r>
  <r>
    <x v="946"/>
    <m/>
    <m/>
    <x v="1"/>
    <m/>
    <s v=""/>
    <s v=""/>
    <m/>
    <s v="0"/>
    <m/>
    <m/>
    <s v=""/>
    <m/>
    <s v=""/>
    <s v="-"/>
    <s v=""/>
    <s v=""/>
  </r>
  <r>
    <x v="947"/>
    <n v="105"/>
    <s v="n"/>
    <x v="25"/>
    <d v="1899-12-30T01:05:54"/>
    <n v="12.23"/>
    <d v="1899-12-30T00:05:23"/>
    <n v="144"/>
    <n v="83"/>
    <n v="214.1"/>
    <m/>
    <n v="1.0331231007676256"/>
    <s v="Adizero Boston 8"/>
    <s v=""/>
    <s v="-"/>
    <s v=""/>
    <n v="1.4868055555555555"/>
  </r>
  <r>
    <x v="948"/>
    <n v="106"/>
    <s v="n"/>
    <x v="58"/>
    <d v="1899-12-30T00:54:11"/>
    <n v="9.2899999999999991"/>
    <d v="1899-12-30T00:05:50"/>
    <n v="127"/>
    <n v="53"/>
    <n v="204.1"/>
    <m/>
    <n v="1.0660300756711598"/>
    <s v="Brooks Defyance 10"/>
    <n v="169.39999999999998"/>
    <s v="-"/>
    <n v="193.60000000000002"/>
    <n v="1.6070866141732283"/>
  </r>
  <r>
    <x v="949"/>
    <m/>
    <m/>
    <x v="1"/>
    <m/>
    <s v=""/>
    <s v=""/>
    <m/>
    <s v="0"/>
    <m/>
    <m/>
    <s v=""/>
    <m/>
    <s v=""/>
    <s v="-"/>
    <s v=""/>
    <s v=""/>
  </r>
  <r>
    <x v="950"/>
    <n v="107"/>
    <s v="j"/>
    <x v="49"/>
    <d v="1899-12-30T00:52:59"/>
    <n v="9.7200000000000006"/>
    <d v="1899-12-30T00:05:27"/>
    <n v="136"/>
    <n v="58"/>
    <n v="215.4"/>
    <m/>
    <n v="1.0514658190528838"/>
    <s v="New Balance 1080 v9"/>
    <n v="194.60000000000002"/>
    <s v="-"/>
    <n v="212.96"/>
    <n v="1.5838235294117649"/>
  </r>
  <r>
    <x v="951"/>
    <m/>
    <m/>
    <x v="1"/>
    <m/>
    <s v=""/>
    <s v=""/>
    <m/>
    <s v="0"/>
    <m/>
    <m/>
    <s v=""/>
    <m/>
    <s v=""/>
    <s v="-"/>
    <s v=""/>
    <s v=""/>
  </r>
  <r>
    <x v="952"/>
    <n v="108"/>
    <s v="n"/>
    <x v="63"/>
    <d v="1899-12-30T01:49:40"/>
    <n v="20.43"/>
    <d v="1899-12-30T00:05:22"/>
    <n v="141"/>
    <n v="128"/>
    <n v="221.1"/>
    <m/>
    <n v="1.0628487518355361"/>
    <s v="New Balance 1080 v10"/>
    <n v="194.60000000000002"/>
    <s v="-"/>
    <n v="212.96"/>
    <n v="1.5680851063829786"/>
  </r>
  <r>
    <x v="953"/>
    <m/>
    <m/>
    <x v="1"/>
    <m/>
    <s v=""/>
    <s v=""/>
    <m/>
    <s v="0"/>
    <m/>
    <m/>
    <s v=""/>
    <m/>
    <s v=""/>
    <s v="-"/>
    <s v=""/>
    <s v=""/>
  </r>
  <r>
    <x v="954"/>
    <n v="109"/>
    <s v="n"/>
    <x v="69"/>
    <d v="1899-12-30T00:53:53"/>
    <n v="10.050000000000001"/>
    <d v="1899-12-30T00:05:22"/>
    <n v="151"/>
    <n v="66"/>
    <n v="216.8"/>
    <m/>
    <n v="1.0409362144501373"/>
    <s v="Adizero Boston 8"/>
    <n v="279.29999999999995"/>
    <s v="-"/>
    <n v="314.60000000000002"/>
    <n v="1.4357615894039737"/>
  </r>
  <r>
    <x v="955"/>
    <n v="110"/>
    <s v="n"/>
    <x v="58"/>
    <d v="1899-12-30T00:55:31"/>
    <n v="9.7899999999999991"/>
    <d v="1899-12-30T00:05:40"/>
    <n v="128"/>
    <n v="57"/>
    <n v="209"/>
    <m/>
    <n v="1.0613617306724803"/>
    <s v="Brooks Defyance 10"/>
    <n v="169.39999999999998"/>
    <s v="-"/>
    <n v="193.60000000000002"/>
    <n v="1.6328125"/>
  </r>
  <r>
    <x v="956"/>
    <m/>
    <m/>
    <x v="1"/>
    <m/>
    <s v=""/>
    <s v=""/>
    <m/>
    <s v="0"/>
    <m/>
    <m/>
    <s v=""/>
    <m/>
    <s v=""/>
    <s v="-"/>
    <s v=""/>
    <s v=""/>
  </r>
  <r>
    <x v="957"/>
    <n v="111"/>
    <s v="n"/>
    <x v="42"/>
    <d v="1899-12-30T00:51:15"/>
    <n v="10.7"/>
    <d v="1899-12-30T00:04:47"/>
    <n v="151"/>
    <n v="73"/>
    <n v="241"/>
    <m/>
    <n v="1.0337215790207841"/>
    <s v="Adizero Boston 8"/>
    <n v="230.89999999999998"/>
    <s v="-"/>
    <n v="254.10000000000002"/>
    <n v="1.5960264900662251"/>
  </r>
  <r>
    <x v="958"/>
    <m/>
    <m/>
    <x v="1"/>
    <m/>
    <s v=""/>
    <s v=""/>
    <m/>
    <s v="0"/>
    <m/>
    <m/>
    <s v=""/>
    <m/>
    <s v=""/>
    <s v="-"/>
    <s v=""/>
    <s v=""/>
  </r>
  <r>
    <x v="959"/>
    <n v="112"/>
    <s v="j"/>
    <x v="64"/>
    <d v="1899-12-30T01:55:23"/>
    <n v="20.87"/>
    <d v="1899-12-30T00:05:32"/>
    <n v="135"/>
    <n v="125"/>
    <n v="214.7"/>
    <m/>
    <n v="1.0629898661937081"/>
    <s v="New Balance 1080 v10"/>
    <n v="194.60000000000002"/>
    <s v="-"/>
    <n v="212.96"/>
    <n v="1.5903703703703702"/>
  </r>
  <r>
    <x v="960"/>
    <m/>
    <m/>
    <x v="1"/>
    <m/>
    <s v=""/>
    <s v=""/>
    <m/>
    <s v="0"/>
    <m/>
    <m/>
    <s v=""/>
    <m/>
    <s v=""/>
    <s v="-"/>
    <s v=""/>
    <s v=""/>
  </r>
  <r>
    <x v="961"/>
    <n v="113"/>
    <s v="n"/>
    <x v="58"/>
    <d v="1899-12-30T00:43:14"/>
    <n v="7.82"/>
    <d v="1899-12-30T00:05:32"/>
    <n v="130"/>
    <n v="47"/>
    <n v="215"/>
    <m/>
    <n v="1.0644539451082187"/>
    <s v="HOKA Clifton 7"/>
    <n v="169.39999999999998"/>
    <s v="-"/>
    <n v="193.60000000000002"/>
    <n v="1.6538461538461537"/>
  </r>
  <r>
    <x v="962"/>
    <m/>
    <m/>
    <x v="1"/>
    <m/>
    <s v=""/>
    <s v=""/>
    <m/>
    <s v="0"/>
    <m/>
    <m/>
    <s v=""/>
    <m/>
    <s v=""/>
    <s v="-"/>
    <s v=""/>
    <s v=""/>
  </r>
  <r>
    <x v="963"/>
    <n v="114"/>
    <s v="n"/>
    <x v="50"/>
    <d v="1899-12-30T00:51:06"/>
    <n v="9.67"/>
    <d v="1899-12-30T00:05:17"/>
    <n v="143"/>
    <n v="60"/>
    <n v="224"/>
    <m/>
    <n v="1.0600317955208445"/>
    <s v="HOKA Clifton 7"/>
    <n v="194.60000000000002"/>
    <s v="-"/>
    <n v="212.96"/>
    <n v="1.5664335664335665"/>
  </r>
  <r>
    <x v="964"/>
    <m/>
    <m/>
    <x v="1"/>
    <m/>
    <s v=""/>
    <s v=""/>
    <m/>
    <s v="0"/>
    <m/>
    <m/>
    <s v=""/>
    <m/>
    <s v=""/>
    <s v="-"/>
    <s v=""/>
    <s v=""/>
  </r>
  <r>
    <x v="965"/>
    <n v="115"/>
    <s v="n"/>
    <x v="57"/>
    <d v="1899-12-30T01:16:06"/>
    <n v="13.37"/>
    <d v="1899-12-30T00:05:42"/>
    <n v="133"/>
    <n v="83"/>
    <n v="213"/>
    <m/>
    <n v="1.0856986570513179"/>
    <s v="Brooks Defyance 10"/>
    <n v="194.60000000000002"/>
    <s v="-"/>
    <n v="212.96"/>
    <n v="1.6015037593984962"/>
  </r>
  <r>
    <x v="966"/>
    <m/>
    <m/>
    <x v="1"/>
    <m/>
    <s v=""/>
    <s v=""/>
    <m/>
    <s v="0"/>
    <m/>
    <m/>
    <s v=""/>
    <m/>
    <s v=""/>
    <s v="-"/>
    <s v=""/>
    <s v=""/>
  </r>
  <r>
    <x v="967"/>
    <m/>
    <m/>
    <x v="1"/>
    <m/>
    <s v=""/>
    <s v=""/>
    <m/>
    <s v="0"/>
    <m/>
    <m/>
    <s v=""/>
    <m/>
    <s v=""/>
    <s v="-"/>
    <s v=""/>
    <s v=""/>
  </r>
  <r>
    <x v="968"/>
    <n v="116"/>
    <s v="n"/>
    <x v="50"/>
    <d v="1899-12-30T00:54:26"/>
    <n v="10.210000000000001"/>
    <d v="1899-12-30T00:05:20"/>
    <n v="139"/>
    <n v="64"/>
    <n v="223"/>
    <m/>
    <n v="1.0646834388293596"/>
    <s v="Brooks Defyance 10"/>
    <n v="194.60000000000002"/>
    <s v="-"/>
    <n v="212.96"/>
    <n v="1.6043165467625899"/>
  </r>
  <r>
    <x v="969"/>
    <m/>
    <m/>
    <x v="1"/>
    <m/>
    <s v=""/>
    <s v=""/>
    <m/>
    <s v="0"/>
    <m/>
    <m/>
    <s v=""/>
    <m/>
    <s v=""/>
    <s v="-"/>
    <s v=""/>
    <s v=""/>
  </r>
  <r>
    <x v="970"/>
    <n v="117"/>
    <s v="n"/>
    <x v="70"/>
    <d v="1899-12-30T00:50:33"/>
    <n v="10"/>
    <d v="1899-12-30T00:05:03"/>
    <n v="148"/>
    <n v="68"/>
    <n v="229"/>
    <m/>
    <n v="1.03665223880597"/>
    <s v="Adizero Boston 8"/>
    <s v=""/>
    <s v="-"/>
    <s v=""/>
    <n v="1.5472972972972974"/>
  </r>
  <r>
    <x v="971"/>
    <n v="118"/>
    <s v="n"/>
    <x v="58"/>
    <d v="1899-12-30T00:57:03"/>
    <n v="10.06"/>
    <d v="1899-12-30T00:05:40"/>
    <n v="134"/>
    <n v="60"/>
    <n v="211"/>
    <m/>
    <n v="1.0715601910922523"/>
    <s v="HOKA Clifton 7"/>
    <n v="169.39999999999998"/>
    <s v="-"/>
    <n v="193.60000000000002"/>
    <n v="1.5746268656716418"/>
  </r>
  <r>
    <x v="972"/>
    <m/>
    <m/>
    <x v="1"/>
    <m/>
    <s v=""/>
    <s v=""/>
    <m/>
    <s v="0"/>
    <m/>
    <m/>
    <s v=""/>
    <m/>
    <s v=""/>
    <s v="-"/>
    <s v=""/>
    <s v=""/>
  </r>
  <r>
    <x v="973"/>
    <n v="119"/>
    <s v="n"/>
    <x v="63"/>
    <d v="1899-12-30T01:50:50"/>
    <n v="20.72"/>
    <d v="1899-12-30T00:05:21"/>
    <n v="142"/>
    <n v="128"/>
    <n v="222"/>
    <m/>
    <n v="1.0634328358208955"/>
    <s v="New Balance 1080 v10"/>
    <n v="194.60000000000002"/>
    <s v="-"/>
    <n v="212.96"/>
    <n v="1.5633802816901408"/>
  </r>
  <r>
    <x v="974"/>
    <m/>
    <m/>
    <x v="1"/>
    <m/>
    <s v=""/>
    <s v=""/>
    <m/>
    <s v="0"/>
    <m/>
    <m/>
    <s v=""/>
    <m/>
    <s v=""/>
    <s v="-"/>
    <s v=""/>
    <s v=""/>
  </r>
  <r>
    <x v="975"/>
    <n v="120"/>
    <s v="n"/>
    <x v="50"/>
    <d v="1899-12-30T00:52:43"/>
    <n v="10.220000000000001"/>
    <d v="1899-12-30T00:05:09"/>
    <n v="140"/>
    <n v="65"/>
    <n v="229"/>
    <m/>
    <n v="1.0578131845664049"/>
    <s v="Brooks Defyance 10"/>
    <n v="194.60000000000002"/>
    <s v="-"/>
    <n v="212.96"/>
    <n v="1.6357142857142857"/>
  </r>
  <r>
    <x v="976"/>
    <m/>
    <m/>
    <x v="1"/>
    <m/>
    <s v=""/>
    <s v=""/>
    <m/>
    <s v="0"/>
    <m/>
    <m/>
    <s v=""/>
    <m/>
    <s v=""/>
    <s v="-"/>
    <s v=""/>
    <s v=""/>
  </r>
  <r>
    <x v="977"/>
    <n v="121"/>
    <s v="n"/>
    <x v="30"/>
    <d v="1899-12-30T00:54:27"/>
    <n v="10.57"/>
    <d v="1899-12-30T00:05:09"/>
    <n v="148"/>
    <n v="72"/>
    <n v="224"/>
    <m/>
    <n v="1.033349807255115"/>
    <s v="Adizero Boston 8"/>
    <s v=""/>
    <s v="-"/>
    <s v=""/>
    <n v="1.5135135135135136"/>
  </r>
  <r>
    <x v="978"/>
    <m/>
    <m/>
    <x v="1"/>
    <m/>
    <s v=""/>
    <s v=""/>
    <m/>
    <s v="0"/>
    <m/>
    <m/>
    <s v=""/>
    <m/>
    <s v=""/>
    <s v="-"/>
    <s v=""/>
    <s v=""/>
  </r>
  <r>
    <x v="979"/>
    <n v="122"/>
    <s v="n"/>
    <x v="58"/>
    <d v="1899-12-30T00:55:44"/>
    <n v="9.64"/>
    <d v="1899-12-30T00:05:47"/>
    <n v="135"/>
    <n v="55"/>
    <n v="206"/>
    <m/>
    <n v="1.0665510621168017"/>
    <s v="HOKA Clifton 7"/>
    <n v="169.39999999999998"/>
    <s v="-"/>
    <n v="193.60000000000002"/>
    <n v="1.5259259259259259"/>
  </r>
  <r>
    <x v="980"/>
    <n v="123"/>
    <s v="n"/>
    <x v="64"/>
    <d v="1899-12-30T02:09:04"/>
    <n v="24.22"/>
    <d v="1899-12-30T00:05:20"/>
    <n v="142"/>
    <n v="148"/>
    <n v="221"/>
    <m/>
    <n v="1.0546507758482566"/>
    <s v="New Balance 1080 v10"/>
    <n v="194.60000000000002"/>
    <s v="-"/>
    <n v="212.96"/>
    <n v="1.556338028169014"/>
  </r>
  <r>
    <x v="981"/>
    <m/>
    <m/>
    <x v="1"/>
    <m/>
    <s v=""/>
    <s v=""/>
    <m/>
    <s v="0"/>
    <m/>
    <m/>
    <s v=""/>
    <m/>
    <s v=""/>
    <s v="-"/>
    <s v=""/>
    <s v=""/>
  </r>
  <r>
    <x v="982"/>
    <m/>
    <m/>
    <x v="1"/>
    <m/>
    <s v=""/>
    <s v=""/>
    <m/>
    <s v="0"/>
    <m/>
    <m/>
    <s v=""/>
    <m/>
    <s v=""/>
    <s v="-"/>
    <s v=""/>
    <s v=""/>
  </r>
  <r>
    <x v="983"/>
    <n v="124"/>
    <s v="n"/>
    <x v="58"/>
    <d v="1899-12-30T00:56:47"/>
    <n v="9.8699999999999992"/>
    <d v="1899-12-30T00:05:45"/>
    <n v="130"/>
    <n v="57"/>
    <n v="206"/>
    <m/>
    <n v="1.0613225664988131"/>
    <s v="HOKA Clifton 7"/>
    <n v="169.39999999999998"/>
    <s v="-"/>
    <n v="193.60000000000002"/>
    <n v="1.5846153846153845"/>
  </r>
  <r>
    <x v="984"/>
    <m/>
    <m/>
    <x v="1"/>
    <m/>
    <s v=""/>
    <s v=""/>
    <m/>
    <s v="0"/>
    <m/>
    <m/>
    <s v=""/>
    <m/>
    <s v=""/>
    <s v="-"/>
    <s v=""/>
    <s v=""/>
  </r>
  <r>
    <x v="985"/>
    <n v="125"/>
    <s v="n"/>
    <x v="58"/>
    <d v="1899-12-30T00:56:00"/>
    <n v="9.85"/>
    <d v="1899-12-30T00:05:41"/>
    <n v="131"/>
    <n v="57"/>
    <n v="208"/>
    <m/>
    <n v="1.0589893173725284"/>
    <s v="HOKA Clifton 7"/>
    <n v="169.39999999999998"/>
    <s v="-"/>
    <n v="193.60000000000002"/>
    <n v="1.5877862595419847"/>
  </r>
  <r>
    <x v="986"/>
    <m/>
    <m/>
    <x v="1"/>
    <m/>
    <s v=""/>
    <s v=""/>
    <m/>
    <s v="0"/>
    <m/>
    <m/>
    <s v=""/>
    <m/>
    <s v=""/>
    <s v="-"/>
    <s v=""/>
    <s v=""/>
  </r>
  <r>
    <x v="987"/>
    <n v="126"/>
    <s v="n"/>
    <x v="68"/>
    <d v="1899-12-30T01:47:29"/>
    <n v="15.97"/>
    <d v="1899-12-30T00:06:44"/>
    <n v="140"/>
    <n v="103"/>
    <n v="194"/>
    <n v="606"/>
    <m/>
    <s v="Innov-8 Terraultra"/>
    <s v=""/>
    <s v="-"/>
    <s v=""/>
    <n v="1.3857142857142857"/>
  </r>
  <r>
    <x v="988"/>
    <m/>
    <m/>
    <x v="1"/>
    <m/>
    <s v=""/>
    <s v=""/>
    <m/>
    <s v="0"/>
    <m/>
    <m/>
    <s v=""/>
    <m/>
    <s v=""/>
    <s v="-"/>
    <s v=""/>
    <s v=""/>
  </r>
  <r>
    <x v="989"/>
    <n v="127"/>
    <s v="n"/>
    <x v="51"/>
    <d v="1899-12-30T00:51:48"/>
    <n v="9.56"/>
    <d v="1899-12-30T00:05:25"/>
    <n v="140"/>
    <n v="71.034828256293423"/>
    <n v="218"/>
    <m/>
    <n v="1.0578030350340348"/>
    <s v="HOKA Clifton 7"/>
    <n v="194.60000000000002"/>
    <s v="-"/>
    <n v="212.96"/>
    <n v="1.5571428571428572"/>
  </r>
  <r>
    <x v="990"/>
    <m/>
    <m/>
    <x v="1"/>
    <m/>
    <m/>
    <s v=""/>
    <m/>
    <s v="0"/>
    <m/>
    <m/>
    <s v=""/>
    <m/>
    <s v=""/>
    <s v="-"/>
    <s v=""/>
    <s v=""/>
  </r>
  <r>
    <x v="991"/>
    <n v="128"/>
    <s v="n"/>
    <x v="49"/>
    <d v="1899-12-30T00:49:52"/>
    <n v="9.1199999999999992"/>
    <d v="1899-12-30T00:05:28"/>
    <n v="132"/>
    <n v="56"/>
    <n v="218"/>
    <m/>
    <n v="1.067452212621105"/>
    <s v="Brooks Defyance 10"/>
    <n v="194.60000000000002"/>
    <s v="-"/>
    <n v="212.96"/>
    <n v="1.6515151515151516"/>
  </r>
  <r>
    <x v="992"/>
    <n v="129"/>
    <s v="n"/>
    <x v="58"/>
    <d v="1899-12-30T00:55:07"/>
    <n v="9.6199999999999992"/>
    <d v="1899-12-30T00:05:44"/>
    <n v="126"/>
    <n v="55"/>
    <n v="206"/>
    <m/>
    <n v="1.0569429360474136"/>
    <s v="HOKA Clifton 7"/>
    <n v="169.39999999999998"/>
    <s v="-"/>
    <n v="193.60000000000002"/>
    <n v="1.6349206349206349"/>
  </r>
  <r>
    <x v="993"/>
    <m/>
    <m/>
    <x v="1"/>
    <m/>
    <s v=""/>
    <s v=""/>
    <m/>
    <s v="0"/>
    <m/>
    <m/>
    <s v=""/>
    <m/>
    <s v=""/>
    <s v="-"/>
    <s v=""/>
    <s v=""/>
  </r>
  <r>
    <x v="994"/>
    <n v="130"/>
    <s v="n"/>
    <x v="50"/>
    <d v="1899-12-30T00:54:54"/>
    <n v="10.3"/>
    <d v="1899-12-30T00:05:20"/>
    <n v="136"/>
    <n v="64"/>
    <n v="222"/>
    <m/>
    <n v="1.0596551224460222"/>
    <s v="New Balance 1080 v10"/>
    <n v="194.60000000000002"/>
    <s v="-"/>
    <n v="212.96"/>
    <n v="1.6323529411764706"/>
  </r>
  <r>
    <x v="995"/>
    <m/>
    <m/>
    <x v="1"/>
    <m/>
    <s v=""/>
    <s v=""/>
    <m/>
    <s v="0"/>
    <m/>
    <m/>
    <s v=""/>
    <m/>
    <s v=""/>
    <s v="-"/>
    <s v=""/>
    <s v=""/>
  </r>
  <r>
    <x v="996"/>
    <n v="131"/>
    <s v="n"/>
    <x v="50"/>
    <d v="1899-12-30T00:52:06"/>
    <n v="9.73"/>
    <d v="1899-12-30T00:05:21"/>
    <n v="140"/>
    <n v="62"/>
    <n v="221"/>
    <m/>
    <n v="1.0597260358024883"/>
    <s v="Brooks Defyance 10"/>
    <n v="194.60000000000002"/>
    <s v="-"/>
    <n v="212.96"/>
    <n v="1.5785714285714285"/>
  </r>
  <r>
    <x v="997"/>
    <n v="132"/>
    <s v="n"/>
    <x v="42"/>
    <d v="1899-12-30T00:56:07"/>
    <n v="11.58"/>
    <d v="1899-12-30T00:04:51"/>
    <n v="150"/>
    <n v="78"/>
    <n v="240"/>
    <m/>
    <n v="1.0415281107416285"/>
    <s v="Adizero Boston 8"/>
    <n v="230.89999999999998"/>
    <s v="-"/>
    <n v="254.10000000000002"/>
    <n v="1.6"/>
  </r>
  <r>
    <x v="998"/>
    <n v="133"/>
    <s v="j"/>
    <x v="58"/>
    <d v="1899-12-30T00:56:05"/>
    <n v="9.81"/>
    <d v="1899-12-30T00:05:43"/>
    <n v="136"/>
    <n v="56"/>
    <n v="207"/>
    <m/>
    <n v="1.059769957551691"/>
    <s v="HOKA Clifton 7"/>
    <n v="169.39999999999998"/>
    <s v="-"/>
    <n v="193.60000000000002"/>
    <n v="1.5220588235294117"/>
  </r>
  <r>
    <x v="999"/>
    <m/>
    <m/>
    <x v="1"/>
    <m/>
    <s v=""/>
    <s v=""/>
    <m/>
    <s v="0"/>
    <m/>
    <m/>
    <s v=""/>
    <m/>
    <s v=""/>
    <s v="-"/>
    <s v=""/>
    <s v=""/>
  </r>
  <r>
    <x v="1000"/>
    <m/>
    <m/>
    <x v="1"/>
    <m/>
    <s v=""/>
    <s v=""/>
    <m/>
    <s v="0"/>
    <m/>
    <m/>
    <s v=""/>
    <m/>
    <s v=""/>
    <s v="-"/>
    <s v=""/>
    <s v=""/>
  </r>
  <r>
    <x v="1001"/>
    <n v="134"/>
    <s v="j"/>
    <x v="62"/>
    <d v="1899-12-30T01:28:51"/>
    <n v="16.04"/>
    <d v="1899-12-30T00:05:32"/>
    <n v="135"/>
    <n v="95"/>
    <n v="213"/>
    <m/>
    <n v="1.0565963821788813"/>
    <s v="New Balance 1080 v10"/>
    <n v="194.60000000000002"/>
    <s v="-"/>
    <n v="212.96"/>
    <n v="1.5777777777777777"/>
  </r>
  <r>
    <x v="1002"/>
    <m/>
    <m/>
    <x v="1"/>
    <m/>
    <s v=""/>
    <s v=""/>
    <m/>
    <s v="0"/>
    <m/>
    <m/>
    <s v=""/>
    <m/>
    <s v=""/>
    <s v="-"/>
    <s v=""/>
    <s v=""/>
  </r>
  <r>
    <x v="1003"/>
    <n v="135"/>
    <s v="j"/>
    <x v="50"/>
    <d v="1899-12-30T00:55:58"/>
    <n v="10.57"/>
    <d v="1899-12-30T00:05:18"/>
    <n v="141"/>
    <n v="64"/>
    <n v="221"/>
    <m/>
    <n v="1.0479080472754487"/>
    <s v="Brooks Defyance 10"/>
    <n v="194.60000000000002"/>
    <s v="-"/>
    <n v="212.96"/>
    <n v="1.5673758865248226"/>
  </r>
  <r>
    <x v="1004"/>
    <m/>
    <m/>
    <x v="1"/>
    <m/>
    <s v=""/>
    <s v=""/>
    <m/>
    <s v="0"/>
    <m/>
    <m/>
    <s v=""/>
    <m/>
    <s v=""/>
    <s v="-"/>
    <s v=""/>
    <s v=""/>
  </r>
  <r>
    <x v="1005"/>
    <m/>
    <m/>
    <x v="1"/>
    <m/>
    <s v=""/>
    <s v=""/>
    <m/>
    <s v="0"/>
    <m/>
    <m/>
    <s v=""/>
    <m/>
    <s v=""/>
    <s v="-"/>
    <s v=""/>
    <s v=""/>
  </r>
  <r>
    <x v="1006"/>
    <n v="136"/>
    <s v="n"/>
    <x v="40"/>
    <d v="1899-12-30T01:01:59"/>
    <n v="12.97"/>
    <d v="1899-12-30T00:04:47"/>
    <n v="153"/>
    <n v="89"/>
    <n v="243"/>
    <m/>
    <n v="1.0399624851839491"/>
    <s v="Adizero Boston 8"/>
    <n v="230.89999999999998"/>
    <s v="-"/>
    <n v="254.10000000000002"/>
    <n v="1.588235294117647"/>
  </r>
  <r>
    <x v="1007"/>
    <n v="137"/>
    <s v="n"/>
    <x v="58"/>
    <d v="1899-12-30T00:53:56"/>
    <n v="9.5"/>
    <d v="1899-12-30T00:05:41"/>
    <n v="127"/>
    <n v="55"/>
    <n v="207"/>
    <m/>
    <n v="1.0523990573448543"/>
    <s v="HOKA Clifton 7"/>
    <n v="169.39999999999998"/>
    <s v="-"/>
    <n v="193.60000000000002"/>
    <n v="1.6299212598425197"/>
  </r>
  <r>
    <x v="1008"/>
    <n v="138"/>
    <s v="n"/>
    <x v="64"/>
    <d v="1899-12-30T02:02:49"/>
    <n v="24.25"/>
    <d v="1899-12-30T00:05:04"/>
    <n v="142"/>
    <n v="155"/>
    <n v="231"/>
    <m/>
    <n v="1.0476928758270501"/>
    <s v="New Balance 1080 v10"/>
    <n v="194.60000000000002"/>
    <s v="-"/>
    <n v="212.96"/>
    <n v="1.6267605633802817"/>
  </r>
  <r>
    <x v="1009"/>
    <m/>
    <m/>
    <x v="1"/>
    <m/>
    <s v=""/>
    <s v=""/>
    <m/>
    <s v="0"/>
    <m/>
    <m/>
    <s v=""/>
    <m/>
    <s v=""/>
    <s v="-"/>
    <s v=""/>
    <s v=""/>
  </r>
  <r>
    <x v="1010"/>
    <n v="139"/>
    <s v="n"/>
    <x v="50"/>
    <d v="1899-12-30T00:56:22"/>
    <n v="10.55"/>
    <d v="1899-12-30T00:05:21"/>
    <n v="142"/>
    <n v="66"/>
    <n v="221"/>
    <m/>
    <n v="1.0573983164744996"/>
    <s v="Brooks Defyance 10"/>
    <n v="194.60000000000002"/>
    <s v="-"/>
    <n v="212.96"/>
    <n v="1.556338028169014"/>
  </r>
  <r>
    <x v="1011"/>
    <m/>
    <m/>
    <x v="1"/>
    <m/>
    <s v=""/>
    <s v=""/>
    <m/>
    <s v="0"/>
    <m/>
    <m/>
    <s v=""/>
    <m/>
    <s v=""/>
    <s v="-"/>
    <s v=""/>
    <s v=""/>
  </r>
  <r>
    <x v="1012"/>
    <n v="140"/>
    <s v="n"/>
    <x v="71"/>
    <d v="1899-12-30T00:55:48"/>
    <n v="11.62"/>
    <d v="1899-12-30T00:04:48"/>
    <n v="150"/>
    <n v="78"/>
    <n v="241"/>
    <m/>
    <n v="1.0363860559508824"/>
    <s v="Adizero Boston 8"/>
    <n v="230.89999999999998"/>
    <s v="-"/>
    <n v="254.10000000000002"/>
    <n v="1.6066666666666667"/>
  </r>
  <r>
    <x v="1013"/>
    <n v="141"/>
    <s v="j"/>
    <x v="58"/>
    <d v="1899-12-30T00:53:13"/>
    <n v="9.31"/>
    <d v="1899-12-30T00:05:43"/>
    <n v="132"/>
    <n v="53"/>
    <n v="206"/>
    <m/>
    <n v="1.0544880324478574"/>
    <s v="HOKA Clifton 7"/>
    <n v="169.39999999999998"/>
    <s v="-"/>
    <n v="193.60000000000002"/>
    <n v="1.5606060606060606"/>
  </r>
  <r>
    <x v="1014"/>
    <m/>
    <m/>
    <x v="1"/>
    <m/>
    <s v=""/>
    <s v=""/>
    <m/>
    <s v="0"/>
    <m/>
    <m/>
    <s v=""/>
    <m/>
    <s v=""/>
    <s v="-"/>
    <s v=""/>
    <s v=""/>
  </r>
  <r>
    <x v="1015"/>
    <n v="142"/>
    <s v="n"/>
    <x v="66"/>
    <d v="1899-12-30T01:50:14"/>
    <n v="19.7"/>
    <d v="1899-12-30T00:05:36"/>
    <n v="136"/>
    <n v="122"/>
    <n v="217"/>
    <m/>
    <n v="1.0873838927191453"/>
    <s v="New Balance 1080 v10"/>
    <n v="194.60000000000002"/>
    <s v="-"/>
    <n v="212.96"/>
    <n v="1.5955882352941178"/>
  </r>
  <r>
    <x v="1016"/>
    <m/>
    <m/>
    <x v="1"/>
    <m/>
    <s v=""/>
    <s v=""/>
    <m/>
    <s v="0"/>
    <m/>
    <m/>
    <s v=""/>
    <m/>
    <s v=""/>
    <s v="-"/>
    <s v=""/>
    <s v=""/>
  </r>
  <r>
    <x v="1017"/>
    <n v="143"/>
    <s v="n"/>
    <x v="32"/>
    <d v="1899-12-30T00:52:35"/>
    <n v="10.02"/>
    <d v="1899-12-30T00:05:15"/>
    <n v="146"/>
    <n v="64"/>
    <n v="220"/>
    <m/>
    <n v="1.0339023445646023"/>
    <s v="Brooks Defyance 10"/>
    <s v=""/>
    <s v="-"/>
    <s v=""/>
    <n v="1.5068493150684932"/>
  </r>
  <r>
    <x v="1018"/>
    <m/>
    <m/>
    <x v="1"/>
    <m/>
    <s v=""/>
    <s v=""/>
    <m/>
    <s v="0"/>
    <m/>
    <m/>
    <s v=""/>
    <m/>
    <s v=""/>
    <s v="-"/>
    <s v=""/>
    <s v=""/>
  </r>
  <r>
    <x v="1019"/>
    <n v="144"/>
    <s v="n"/>
    <x v="58"/>
    <d v="1899-12-30T00:53:23"/>
    <n v="9.35"/>
    <d v="1899-12-30T00:05:43"/>
    <n v="134"/>
    <n v="53"/>
    <n v="206"/>
    <m/>
    <n v="1.0532652246787453"/>
    <s v="HOKA Clifton 7"/>
    <n v="169.39999999999998"/>
    <s v="-"/>
    <n v="193.60000000000002"/>
    <n v="1.5373134328358209"/>
  </r>
  <r>
    <x v="1020"/>
    <m/>
    <m/>
    <x v="1"/>
    <m/>
    <s v=""/>
    <s v=""/>
    <m/>
    <s v="0"/>
    <m/>
    <m/>
    <s v=""/>
    <m/>
    <s v=""/>
    <s v="-"/>
    <s v=""/>
    <s v=""/>
  </r>
  <r>
    <x v="1021"/>
    <m/>
    <m/>
    <x v="1"/>
    <m/>
    <s v=""/>
    <s v=""/>
    <m/>
    <s v="0"/>
    <m/>
    <m/>
    <s v=""/>
    <m/>
    <s v=""/>
    <s v="-"/>
    <s v=""/>
    <s v=""/>
  </r>
  <r>
    <x v="1022"/>
    <n v="145"/>
    <s v="n"/>
    <x v="50"/>
    <d v="1899-12-30T00:55:02"/>
    <n v="10.199999999999999"/>
    <d v="1899-12-30T00:05:24"/>
    <n v="137"/>
    <n v="61"/>
    <n v="216"/>
    <m/>
    <n v="1.0436523266022826"/>
    <s v="HOKA Clifton 7"/>
    <n v="194.60000000000002"/>
    <s v="-"/>
    <n v="212.96"/>
    <n v="1.5766423357664234"/>
  </r>
  <r>
    <x v="1023"/>
    <m/>
    <m/>
    <x v="1"/>
    <m/>
    <s v=""/>
    <s v=""/>
    <m/>
    <s v="0"/>
    <m/>
    <m/>
    <s v=""/>
    <m/>
    <s v=""/>
    <s v="-"/>
    <s v=""/>
    <s v=""/>
  </r>
  <r>
    <x v="1024"/>
    <n v="146"/>
    <s v="n"/>
    <x v="32"/>
    <d v="1899-12-30T00:45:04"/>
    <n v="9.3699999999999992"/>
    <d v="1899-12-30T00:04:49"/>
    <n v="145"/>
    <n v="62"/>
    <n v="238"/>
    <m/>
    <n v="1.0251071218082484"/>
    <s v="Brooks Defyance 10"/>
    <s v=""/>
    <s v="-"/>
    <s v=""/>
    <n v="1.6413793103448275"/>
  </r>
  <r>
    <x v="1025"/>
    <m/>
    <m/>
    <x v="1"/>
    <m/>
    <s v=""/>
    <s v=""/>
    <m/>
    <s v="0"/>
    <m/>
    <m/>
    <s v=""/>
    <m/>
    <s v=""/>
    <s v="-"/>
    <s v=""/>
    <s v=""/>
  </r>
  <r>
    <x v="1026"/>
    <m/>
    <m/>
    <x v="1"/>
    <m/>
    <s v=""/>
    <s v=""/>
    <m/>
    <s v="0"/>
    <m/>
    <m/>
    <s v=""/>
    <m/>
    <s v=""/>
    <s v="-"/>
    <s v=""/>
    <s v=""/>
  </r>
  <r>
    <x v="1027"/>
    <n v="147"/>
    <s v="n"/>
    <x v="52"/>
    <d v="1899-12-30T00:44:11"/>
    <n v="7.99"/>
    <d v="1899-12-30T00:05:32"/>
    <n v="132"/>
    <n v="47"/>
    <n v="212"/>
    <m/>
    <n v="1.0498421534380662"/>
    <s v="Brooks Defyance 10"/>
    <n v="169.39999999999998"/>
    <s v="-"/>
    <n v="193.60000000000002"/>
    <n v="1.606060606060606"/>
  </r>
  <r>
    <x v="1028"/>
    <m/>
    <m/>
    <x v="1"/>
    <m/>
    <s v=""/>
    <s v=""/>
    <m/>
    <s v="0"/>
    <m/>
    <m/>
    <s v=""/>
    <m/>
    <s v=""/>
    <s v="-"/>
    <s v=""/>
    <s v=""/>
  </r>
  <r>
    <x v="1029"/>
    <n v="148"/>
    <s v="n"/>
    <x v="4"/>
    <d v="1899-12-30T01:00:29"/>
    <n v="13.61"/>
    <d v="1899-12-30T00:04:27"/>
    <n v="158"/>
    <n v="93"/>
    <n v="256"/>
    <m/>
    <n v="1.0188118920460154"/>
    <s v="Adizero Boston 8"/>
    <s v=""/>
    <s v="-"/>
    <s v=""/>
    <n v="1.620253164556962"/>
  </r>
  <r>
    <x v="1030"/>
    <m/>
    <m/>
    <x v="1"/>
    <m/>
    <s v=""/>
    <s v=""/>
    <m/>
    <s v="0"/>
    <m/>
    <m/>
    <s v=""/>
    <m/>
    <s v=""/>
    <s v="-"/>
    <s v=""/>
    <s v=""/>
  </r>
  <r>
    <x v="1031"/>
    <m/>
    <m/>
    <x v="1"/>
    <m/>
    <s v=""/>
    <s v=""/>
    <m/>
    <s v="0"/>
    <m/>
    <m/>
    <s v=""/>
    <m/>
    <s v=""/>
    <s v="-"/>
    <s v=""/>
    <s v=""/>
  </r>
  <r>
    <x v="1032"/>
    <m/>
    <m/>
    <x v="1"/>
    <m/>
    <s v=""/>
    <s v=""/>
    <m/>
    <s v="0"/>
    <m/>
    <m/>
    <s v=""/>
    <m/>
    <s v=""/>
    <s v="-"/>
    <s v=""/>
    <s v=""/>
  </r>
  <r>
    <x v="1033"/>
    <m/>
    <m/>
    <x v="1"/>
    <m/>
    <s v=""/>
    <s v=""/>
    <m/>
    <s v="0"/>
    <m/>
    <m/>
    <s v=""/>
    <m/>
    <s v=""/>
    <s v="-"/>
    <s v=""/>
    <s v=""/>
  </r>
  <r>
    <x v="1034"/>
    <m/>
    <m/>
    <x v="1"/>
    <m/>
    <s v=""/>
    <s v=""/>
    <m/>
    <s v="0"/>
    <m/>
    <m/>
    <s v=""/>
    <m/>
    <s v=""/>
    <s v="-"/>
    <s v=""/>
    <s v=""/>
  </r>
  <r>
    <x v="1035"/>
    <m/>
    <m/>
    <x v="1"/>
    <m/>
    <s v=""/>
    <s v=""/>
    <m/>
    <s v="0"/>
    <m/>
    <m/>
    <s v=""/>
    <m/>
    <s v=""/>
    <s v="-"/>
    <s v=""/>
    <s v=""/>
  </r>
  <r>
    <x v="1036"/>
    <n v="149"/>
    <s v="n"/>
    <x v="58"/>
    <d v="1899-12-30T00:56:15"/>
    <n v="9.6999999999999993"/>
    <d v="1899-12-30T00:05:48"/>
    <n v="132"/>
    <n v="55"/>
    <n v="204"/>
    <m/>
    <n v="1.0593937528850594"/>
    <s v="HOKA Clifton 7"/>
    <n v="169.39999999999998"/>
    <s v="-"/>
    <n v="193.60000000000002"/>
    <n v="1.5454545454545454"/>
  </r>
  <r>
    <x v="1037"/>
    <m/>
    <m/>
    <x v="1"/>
    <m/>
    <s v=""/>
    <s v=""/>
    <m/>
    <s v="0"/>
    <m/>
    <m/>
    <s v=""/>
    <m/>
    <s v=""/>
    <s v="-"/>
    <s v=""/>
    <s v=""/>
  </r>
  <r>
    <x v="1038"/>
    <m/>
    <m/>
    <x v="1"/>
    <m/>
    <m/>
    <s v=""/>
    <m/>
    <s v="0"/>
    <m/>
    <m/>
    <s v=""/>
    <m/>
    <s v=""/>
    <s v="-"/>
    <s v=""/>
    <s v=""/>
  </r>
  <r>
    <x v="1039"/>
    <n v="150"/>
    <s v="n"/>
    <x v="49"/>
    <d v="1899-12-30T00:54:29"/>
    <n v="9.52"/>
    <d v="1899-12-30T00:05:43"/>
    <n v="142"/>
    <n v="55"/>
    <n v="207"/>
    <m/>
    <n v="1.0608977172958738"/>
    <s v="HOKA Clifton 7"/>
    <n v="194.60000000000002"/>
    <s v="-"/>
    <n v="212.96"/>
    <n v="1.4577464788732395"/>
  </r>
  <r>
    <x v="1040"/>
    <n v="151"/>
    <s v="n"/>
    <x v="49"/>
    <d v="1899-12-30T00:52:17"/>
    <n v="9.56"/>
    <d v="1899-12-30T00:05:28"/>
    <n v="139"/>
    <n v="57"/>
    <n v="215"/>
    <m/>
    <n v="1.0529803909323674"/>
    <s v="HOKA Clifton 7"/>
    <n v="194.60000000000002"/>
    <s v="-"/>
    <n v="212.96"/>
    <n v="1.5467625899280575"/>
  </r>
  <r>
    <x v="1041"/>
    <m/>
    <m/>
    <x v="1"/>
    <m/>
    <s v=""/>
    <s v=""/>
    <m/>
    <s v="0"/>
    <m/>
    <m/>
    <s v=""/>
    <m/>
    <s v=""/>
    <s v="-"/>
    <s v=""/>
    <s v=""/>
  </r>
  <r>
    <x v="1042"/>
    <n v="152"/>
    <s v="n"/>
    <x v="68"/>
    <d v="1899-12-30T01:33:03"/>
    <n v="13.77"/>
    <d v="1899-12-30T00:06:45"/>
    <n v="147"/>
    <n v="89"/>
    <n v="192"/>
    <n v="504"/>
    <m/>
    <s v="Innov-8 Terraultra"/>
    <s v=""/>
    <s v="-"/>
    <s v=""/>
    <n v="1.3061224489795917"/>
  </r>
  <r>
    <x v="1043"/>
    <m/>
    <m/>
    <x v="1"/>
    <m/>
    <s v=""/>
    <s v=""/>
    <m/>
    <s v="0"/>
    <m/>
    <m/>
    <s v=""/>
    <m/>
    <s v=""/>
    <s v="-"/>
    <s v=""/>
    <s v=""/>
  </r>
  <r>
    <x v="1044"/>
    <m/>
    <m/>
    <x v="1"/>
    <m/>
    <s v=""/>
    <s v=""/>
    <m/>
    <s v="0"/>
    <m/>
    <m/>
    <s v=""/>
    <m/>
    <s v=""/>
    <s v="-"/>
    <s v=""/>
    <s v=""/>
  </r>
  <r>
    <x v="1045"/>
    <m/>
    <m/>
    <x v="1"/>
    <m/>
    <s v=""/>
    <s v=""/>
    <m/>
    <s v="0"/>
    <m/>
    <m/>
    <s v=""/>
    <m/>
    <s v=""/>
    <s v="-"/>
    <s v=""/>
    <s v=""/>
  </r>
  <r>
    <x v="1046"/>
    <n v="153"/>
    <s v="n"/>
    <x v="49"/>
    <d v="1899-12-30T00:51:38"/>
    <n v="9.2799999999999994"/>
    <d v="1899-12-30T00:05:34"/>
    <n v="137"/>
    <n v="54"/>
    <n v="212"/>
    <m/>
    <n v="1.0563175501801341"/>
    <s v="HOKA Clifton 7"/>
    <n v="194.60000000000002"/>
    <s v="-"/>
    <n v="212.96"/>
    <n v="1.5474452554744527"/>
  </r>
  <r>
    <x v="1047"/>
    <m/>
    <m/>
    <x v="1"/>
    <m/>
    <s v=""/>
    <s v=""/>
    <m/>
    <s v="0"/>
    <m/>
    <m/>
    <s v=""/>
    <m/>
    <s v=""/>
    <s v="-"/>
    <s v=""/>
    <s v=""/>
  </r>
  <r>
    <x v="1048"/>
    <n v="154"/>
    <s v="n"/>
    <x v="50"/>
    <d v="1899-12-30T01:04:27"/>
    <n v="11.66"/>
    <d v="1899-12-30T00:05:32"/>
    <n v="138"/>
    <n v="68"/>
    <n v="211.4"/>
    <m/>
    <n v="1.046419446506746"/>
    <s v="HOKA Clifton 7"/>
    <n v="194.60000000000002"/>
    <s v="-"/>
    <n v="212.96"/>
    <n v="1.5318840579710145"/>
  </r>
  <r>
    <x v="1049"/>
    <m/>
    <m/>
    <x v="1"/>
    <m/>
    <s v=""/>
    <s v=""/>
    <m/>
    <s v="0"/>
    <m/>
    <m/>
    <s v=""/>
    <m/>
    <s v=""/>
    <s v="-"/>
    <s v=""/>
    <s v=""/>
  </r>
  <r>
    <x v="1050"/>
    <n v="155"/>
    <s v="n"/>
    <x v="50"/>
    <d v="1899-12-30T00:55:27"/>
    <n v="10.58"/>
    <d v="1899-12-30T00:05:14"/>
    <n v="143"/>
    <n v="66"/>
    <n v="222"/>
    <m/>
    <n v="1.0419462235138111"/>
    <s v="Brooks Defyance 10"/>
    <n v="194.60000000000002"/>
    <s v="-"/>
    <n v="212.96"/>
    <n v="1.5524475524475525"/>
  </r>
  <r>
    <x v="1051"/>
    <m/>
    <m/>
    <x v="1"/>
    <m/>
    <s v=""/>
    <s v=""/>
    <m/>
    <s v="0"/>
    <m/>
    <m/>
    <s v=""/>
    <m/>
    <s v=""/>
    <s v="-"/>
    <s v=""/>
    <s v=""/>
  </r>
  <r>
    <x v="1052"/>
    <m/>
    <m/>
    <x v="1"/>
    <m/>
    <s v=""/>
    <s v=""/>
    <m/>
    <s v="0"/>
    <m/>
    <m/>
    <s v=""/>
    <m/>
    <s v=""/>
    <s v="-"/>
    <s v=""/>
    <s v=""/>
  </r>
  <r>
    <x v="1053"/>
    <n v="156"/>
    <s v="n"/>
    <x v="50"/>
    <d v="1899-12-30T00:55:47"/>
    <n v="10.69"/>
    <d v="1899-12-30T00:05:13"/>
    <n v="144"/>
    <n v="69"/>
    <n v="224"/>
    <m/>
    <n v="1.0467698923530151"/>
    <s v="Brooks Defyance 10"/>
    <n v="194.60000000000002"/>
    <s v="-"/>
    <n v="212.96"/>
    <n v="1.5555555555555556"/>
  </r>
  <r>
    <x v="1054"/>
    <m/>
    <m/>
    <x v="1"/>
    <m/>
    <s v=""/>
    <s v=""/>
    <m/>
    <s v="0"/>
    <m/>
    <m/>
    <s v=""/>
    <m/>
    <s v=""/>
    <s v="-"/>
    <s v=""/>
    <s v=""/>
  </r>
  <r>
    <x v="1055"/>
    <n v="157"/>
    <s v="j"/>
    <x v="50"/>
    <d v="1899-12-30T01:00:26"/>
    <n v="11.13"/>
    <d v="1899-12-30T00:05:26"/>
    <n v="147"/>
    <n v="67"/>
    <n v="216"/>
    <m/>
    <n v="1.0502956913545478"/>
    <s v="Brooks Defyance 10"/>
    <n v="194.60000000000002"/>
    <s v="-"/>
    <n v="212.96"/>
    <n v="1.4693877551020409"/>
  </r>
  <r>
    <x v="1056"/>
    <m/>
    <m/>
    <x v="1"/>
    <m/>
    <s v=""/>
    <s v=""/>
    <m/>
    <s v="0"/>
    <m/>
    <m/>
    <s v=""/>
    <m/>
    <s v=""/>
    <s v="-"/>
    <s v=""/>
    <s v=""/>
  </r>
  <r>
    <x v="1057"/>
    <n v="158"/>
    <s v="n"/>
    <x v="50"/>
    <d v="1899-12-30T00:57:56"/>
    <n v="10.91"/>
    <d v="1899-12-30T00:05:19"/>
    <n v="140"/>
    <n v="68"/>
    <n v="221"/>
    <m/>
    <n v="1.0509268506231446"/>
    <s v="Brooks Defyance 10"/>
    <n v="194.60000000000002"/>
    <s v="-"/>
    <n v="212.96"/>
    <n v="1.5785714285714285"/>
  </r>
  <r>
    <x v="1058"/>
    <m/>
    <m/>
    <x v="1"/>
    <m/>
    <s v=""/>
    <s v=""/>
    <m/>
    <s v="0"/>
    <m/>
    <m/>
    <s v=""/>
    <m/>
    <s v=""/>
    <s v="-"/>
    <s v=""/>
    <s v=""/>
  </r>
  <r>
    <x v="1059"/>
    <n v="159"/>
    <s v="n"/>
    <x v="72"/>
    <d v="1899-12-30T00:53:43"/>
    <n v="10.210000000000001"/>
    <d v="1899-12-30T00:05:16"/>
    <n v="144"/>
    <n v="70"/>
    <n v="223"/>
    <m/>
    <n v="1.0506658675281768"/>
    <s v="Adizero Boston 8"/>
    <s v=""/>
    <s v="-"/>
    <s v=""/>
    <n v="1.5486111111111112"/>
  </r>
  <r>
    <x v="1060"/>
    <m/>
    <m/>
    <x v="1"/>
    <m/>
    <s v=""/>
    <s v=""/>
    <m/>
    <s v="0"/>
    <m/>
    <m/>
    <s v=""/>
    <m/>
    <s v=""/>
    <s v="-"/>
    <s v=""/>
    <s v=""/>
  </r>
  <r>
    <x v="1061"/>
    <n v="160"/>
    <s v="n"/>
    <x v="49"/>
    <d v="1899-12-30T00:47:38"/>
    <n v="9.06"/>
    <d v="1899-12-30T00:05:15"/>
    <n v="141"/>
    <n v="57"/>
    <n v="223"/>
    <m/>
    <n v="1.0499390464894074"/>
    <s v="HOKA Clifton 7"/>
    <n v="194.60000000000002"/>
    <s v="-"/>
    <n v="212.96"/>
    <n v="1.5815602836879432"/>
  </r>
  <r>
    <x v="1062"/>
    <m/>
    <m/>
    <x v="1"/>
    <m/>
    <s v=""/>
    <s v=""/>
    <m/>
    <s v="0"/>
    <m/>
    <m/>
    <s v=""/>
    <m/>
    <s v=""/>
    <s v="-"/>
    <s v=""/>
    <s v=""/>
  </r>
  <r>
    <x v="1063"/>
    <n v="161"/>
    <s v="n"/>
    <x v="49"/>
    <d v="1899-12-30T00:55:24"/>
    <n v="10.050000000000001"/>
    <d v="1899-12-30T00:05:31"/>
    <n v="136"/>
    <n v="61"/>
    <n v="213"/>
    <m/>
    <n v="1.0514769436400089"/>
    <s v="HOKA Clifton 7"/>
    <n v="194.60000000000002"/>
    <s v="-"/>
    <n v="212.96"/>
    <n v="1.5661764705882353"/>
  </r>
  <r>
    <x v="1064"/>
    <m/>
    <m/>
    <x v="1"/>
    <m/>
    <s v=""/>
    <s v=""/>
    <m/>
    <s v="0"/>
    <m/>
    <m/>
    <s v=""/>
    <m/>
    <s v=""/>
    <s v="-"/>
    <s v=""/>
    <s v=""/>
  </r>
  <r>
    <x v="1065"/>
    <n v="162"/>
    <s v="n"/>
    <x v="49"/>
    <d v="1899-12-30T00:50:49"/>
    <n v="9.57"/>
    <d v="1899-12-30T00:05:19"/>
    <n v="139"/>
    <n v="60"/>
    <n v="221"/>
    <m/>
    <n v="1.0509037882686882"/>
    <s v="HOKA Clifton 7"/>
    <n v="194.60000000000002"/>
    <s v="-"/>
    <n v="212.96"/>
    <n v="1.5899280575539569"/>
  </r>
  <r>
    <x v="1066"/>
    <m/>
    <m/>
    <x v="1"/>
    <m/>
    <s v=""/>
    <s v=""/>
    <m/>
    <s v="0"/>
    <m/>
    <m/>
    <s v=""/>
    <m/>
    <s v=""/>
    <s v="-"/>
    <s v=""/>
    <s v=""/>
  </r>
  <r>
    <x v="1067"/>
    <n v="163"/>
    <s v="n"/>
    <x v="49"/>
    <d v="1899-12-30T00:48:20"/>
    <n v="9.36"/>
    <d v="1899-12-30T00:05:10"/>
    <n v="141"/>
    <n v="60"/>
    <n v="226"/>
    <m/>
    <n v="1.0450950376323513"/>
    <s v="Brooks Defyance 10"/>
    <n v="194.60000000000002"/>
    <s v="-"/>
    <n v="212.96"/>
    <n v="1.6028368794326242"/>
  </r>
  <r>
    <x v="1068"/>
    <n v="164"/>
    <s v="n"/>
    <x v="50"/>
    <d v="1899-12-30T00:45:46"/>
    <n v="9.09"/>
    <d v="1899-12-30T00:05:02"/>
    <n v="142"/>
    <n v="60"/>
    <n v="230"/>
    <m/>
    <n v="1.0370260906687685"/>
    <s v="New Balance 1080 v10"/>
    <n v="194.60000000000002"/>
    <s v="-"/>
    <n v="212.96"/>
    <n v="1.619718309859155"/>
  </r>
  <r>
    <x v="1069"/>
    <m/>
    <m/>
    <x v="1"/>
    <m/>
    <s v=""/>
    <s v=""/>
    <m/>
    <s v="0"/>
    <m/>
    <m/>
    <s v=""/>
    <m/>
    <s v=""/>
    <s v="-"/>
    <s v=""/>
    <s v=""/>
  </r>
  <r>
    <x v="1070"/>
    <m/>
    <m/>
    <x v="1"/>
    <m/>
    <s v=""/>
    <s v=""/>
    <m/>
    <s v="0"/>
    <m/>
    <m/>
    <s v=""/>
    <m/>
    <s v=""/>
    <s v="-"/>
    <s v=""/>
    <s v=""/>
  </r>
  <r>
    <x v="1071"/>
    <n v="165"/>
    <s v="j"/>
    <x v="50"/>
    <d v="1899-12-30T01:07:25"/>
    <n v="11.63"/>
    <d v="1899-12-30T00:05:48"/>
    <n v="139"/>
    <n v="66"/>
    <n v="201"/>
    <m/>
    <n v="1.0434221840068789"/>
    <s v="HOKA Clifton 7"/>
    <n v="194.60000000000002"/>
    <s v="-"/>
    <n v="212.96"/>
    <n v="1.4460431654676258"/>
  </r>
  <r>
    <x v="1072"/>
    <m/>
    <m/>
    <x v="1"/>
    <m/>
    <s v=""/>
    <s v=""/>
    <m/>
    <s v="0"/>
    <m/>
    <m/>
    <s v=""/>
    <m/>
    <s v=""/>
    <s v="-"/>
    <s v=""/>
    <s v=""/>
  </r>
  <r>
    <x v="1073"/>
    <n v="166"/>
    <s v="n"/>
    <x v="50"/>
    <d v="1899-12-30T00:54:03"/>
    <n v="10.09"/>
    <d v="1899-12-30T00:05:21"/>
    <n v="139"/>
    <n v="62"/>
    <n v="218"/>
    <m/>
    <n v="1.0457731165776667"/>
    <s v="HOKA Clifton 7"/>
    <n v="194.60000000000002"/>
    <s v="-"/>
    <n v="212.96"/>
    <n v="1.5683453237410072"/>
  </r>
  <r>
    <x v="1074"/>
    <m/>
    <m/>
    <x v="1"/>
    <m/>
    <s v=""/>
    <s v=""/>
    <m/>
    <s v="0"/>
    <m/>
    <m/>
    <s v=""/>
    <m/>
    <s v=""/>
    <s v="-"/>
    <s v=""/>
    <s v=""/>
  </r>
  <r>
    <x v="1075"/>
    <n v="167"/>
    <s v="n"/>
    <x v="49"/>
    <d v="1899-12-30T00:50:03"/>
    <n v="9.69"/>
    <d v="1899-12-30T00:05:10"/>
    <n v="143"/>
    <n v="62"/>
    <n v="225"/>
    <m/>
    <n v="1.0407328681669055"/>
    <s v="Brooks Defyance 10"/>
    <n v="194.60000000000002"/>
    <s v="-"/>
    <n v="212.96"/>
    <n v="1.5734265734265733"/>
  </r>
  <r>
    <x v="1076"/>
    <m/>
    <m/>
    <x v="1"/>
    <m/>
    <s v=""/>
    <s v=""/>
    <m/>
    <s v="0"/>
    <m/>
    <m/>
    <s v=""/>
    <m/>
    <s v=""/>
    <s v="-"/>
    <s v=""/>
    <s v=""/>
  </r>
  <r>
    <x v="1077"/>
    <m/>
    <m/>
    <x v="1"/>
    <m/>
    <s v=""/>
    <s v=""/>
    <m/>
    <s v="0"/>
    <m/>
    <m/>
    <s v=""/>
    <m/>
    <s v=""/>
    <s v="-"/>
    <s v=""/>
    <s v=""/>
  </r>
  <r>
    <x v="1078"/>
    <n v="168"/>
    <s v="j"/>
    <x v="50"/>
    <d v="1899-12-30T01:09:08"/>
    <n v="12.4"/>
    <d v="1899-12-30T00:05:35"/>
    <n v="140"/>
    <n v="73"/>
    <n v="208"/>
    <m/>
    <n v="1.0384978334135773"/>
    <s v="Brooks Defyance 10"/>
    <n v="194.60000000000002"/>
    <s v="-"/>
    <n v="212.96"/>
    <n v="1.4857142857142858"/>
  </r>
  <r>
    <x v="1079"/>
    <m/>
    <m/>
    <x v="1"/>
    <m/>
    <s v=""/>
    <s v=""/>
    <m/>
    <s v="0"/>
    <m/>
    <m/>
    <s v=""/>
    <m/>
    <s v=""/>
    <s v="-"/>
    <s v=""/>
    <s v=""/>
  </r>
  <r>
    <x v="1080"/>
    <n v="169"/>
    <s v="n"/>
    <x v="72"/>
    <d v="1899-12-30T00:56:53"/>
    <n v="10.5"/>
    <d v="1899-12-30T00:05:25"/>
    <n v="145"/>
    <n v="70"/>
    <n v="216"/>
    <m/>
    <n v="1.0479147121535182"/>
    <s v="Brooks Defyance 10"/>
    <s v=""/>
    <s v="-"/>
    <s v=""/>
    <n v="1.4896551724137932"/>
  </r>
  <r>
    <x v="1081"/>
    <m/>
    <m/>
    <x v="1"/>
    <m/>
    <m/>
    <s v=""/>
    <m/>
    <s v="0"/>
    <m/>
    <m/>
    <s v=""/>
    <m/>
    <s v=""/>
    <s v="-"/>
    <s v=""/>
    <s v=""/>
  </r>
  <r>
    <x v="1082"/>
    <n v="170"/>
    <s v="n"/>
    <x v="49"/>
    <d v="1899-12-30T00:49:40"/>
    <n v="9.09"/>
    <d v="1899-12-30T00:05:28"/>
    <n v="140"/>
    <n v="55"/>
    <n v="214"/>
    <m/>
    <n v="1.0471076958442112"/>
    <s v="HOKA Clifton 7"/>
    <n v="194.60000000000002"/>
    <s v="-"/>
    <n v="212.96"/>
    <n v="1.5285714285714285"/>
  </r>
  <r>
    <x v="1083"/>
    <m/>
    <m/>
    <x v="1"/>
    <m/>
    <s v=""/>
    <s v=""/>
    <m/>
    <s v="0"/>
    <m/>
    <m/>
    <s v=""/>
    <m/>
    <s v=""/>
    <s v="-"/>
    <s v=""/>
    <s v=""/>
  </r>
  <r>
    <x v="1084"/>
    <n v="171"/>
    <s v="n"/>
    <x v="50"/>
    <d v="1899-12-30T00:54:40"/>
    <n v="10.41"/>
    <d v="1899-12-30T00:05:15"/>
    <n v="141"/>
    <n v="65"/>
    <n v="221"/>
    <m/>
    <n v="1.0392991813267953"/>
    <s v="HOKA Clifton 7"/>
    <n v="194.60000000000002"/>
    <s v="-"/>
    <n v="212.96"/>
    <n v="1.5673758865248226"/>
  </r>
  <r>
    <x v="1085"/>
    <m/>
    <m/>
    <x v="1"/>
    <m/>
    <s v=""/>
    <s v=""/>
    <m/>
    <s v="0"/>
    <m/>
    <m/>
    <s v=""/>
    <m/>
    <s v=""/>
    <s v="-"/>
    <s v=""/>
    <s v=""/>
  </r>
  <r>
    <x v="1086"/>
    <n v="172"/>
    <s v="n"/>
    <x v="50"/>
    <d v="1899-12-30T00:52:43"/>
    <n v="9.93"/>
    <d v="1899-12-30T00:05:19"/>
    <n v="141"/>
    <n v="61"/>
    <n v="219"/>
    <m/>
    <n v="1.0411642692880014"/>
    <s v="HOKA Clifton 7"/>
    <n v="194.60000000000002"/>
    <s v="-"/>
    <n v="212.96"/>
    <n v="1.553191489361702"/>
  </r>
  <r>
    <x v="1087"/>
    <m/>
    <m/>
    <x v="1"/>
    <m/>
    <s v=""/>
    <s v=""/>
    <m/>
    <s v="0"/>
    <m/>
    <m/>
    <s v=""/>
    <m/>
    <s v=""/>
    <s v="-"/>
    <s v=""/>
    <s v=""/>
  </r>
  <r>
    <x v="1088"/>
    <n v="173"/>
    <s v="j"/>
    <x v="50"/>
    <d v="1899-12-30T01:06:27"/>
    <n v="11.72"/>
    <d v="1899-12-30T00:05:40"/>
    <n v="144"/>
    <n v="68"/>
    <n v="206"/>
    <m/>
    <n v="1.045950282716112"/>
    <s v="HOKA Clifton 7"/>
    <n v="194.60000000000002"/>
    <s v="-"/>
    <n v="212.96"/>
    <n v="1.4305555555555556"/>
  </r>
  <r>
    <x v="1089"/>
    <m/>
    <m/>
    <x v="1"/>
    <m/>
    <s v=""/>
    <s v=""/>
    <m/>
    <s v="0"/>
    <m/>
    <m/>
    <s v=""/>
    <m/>
    <s v=""/>
    <s v="-"/>
    <s v=""/>
    <s v=""/>
  </r>
  <r>
    <x v="1090"/>
    <n v="174"/>
    <s v="j"/>
    <x v="49"/>
    <d v="1899-12-30T00:56:56"/>
    <n v="10.1"/>
    <d v="1899-12-30T00:05:38"/>
    <n v="140"/>
    <n v="59"/>
    <n v="206"/>
    <m/>
    <n v="1.0398936013004285"/>
    <s v="HOKA Clifton 7"/>
    <n v="194.60000000000002"/>
    <s v="-"/>
    <n v="212.96"/>
    <n v="1.4714285714285715"/>
  </r>
  <r>
    <x v="1091"/>
    <m/>
    <m/>
    <x v="1"/>
    <m/>
    <s v=""/>
    <s v=""/>
    <m/>
    <s v="0"/>
    <m/>
    <m/>
    <s v=""/>
    <m/>
    <s v=""/>
    <s v="-"/>
    <s v=""/>
    <s v=""/>
  </r>
  <r>
    <x v="1092"/>
    <n v="175"/>
    <s v="j"/>
    <x v="50"/>
    <d v="1899-12-30T01:01:18"/>
    <n v="11.1"/>
    <d v="1899-12-30T00:05:31"/>
    <n v="137"/>
    <n v="65"/>
    <n v="210"/>
    <m/>
    <n v="1.0385639370713999"/>
    <s v="Brooks Defyance 10"/>
    <n v="194.60000000000002"/>
    <s v="-"/>
    <n v="212.96"/>
    <n v="1.5328467153284671"/>
  </r>
  <r>
    <x v="1093"/>
    <m/>
    <m/>
    <x v="1"/>
    <m/>
    <s v=""/>
    <s v=""/>
    <m/>
    <s v="0"/>
    <m/>
    <m/>
    <s v=""/>
    <m/>
    <s v=""/>
    <s v="-"/>
    <s v=""/>
    <s v=""/>
  </r>
  <r>
    <x v="1094"/>
    <n v="176"/>
    <s v="j"/>
    <x v="50"/>
    <d v="1899-12-30T01:02:40"/>
    <n v="11.1"/>
    <d v="1899-12-30T00:05:39"/>
    <n v="136"/>
    <n v="64"/>
    <n v="205"/>
    <m/>
    <n v="1.0364394244991262"/>
    <s v="Brooks Defyance 10"/>
    <n v="194.60000000000002"/>
    <s v="-"/>
    <n v="212.96"/>
    <n v="1.5073529411764706"/>
  </r>
  <r>
    <x v="1095"/>
    <m/>
    <m/>
    <x v="1"/>
    <m/>
    <s v=""/>
    <s v=""/>
    <m/>
    <s v="0"/>
    <m/>
    <m/>
    <s v=""/>
    <m/>
    <s v=""/>
    <s v="-"/>
    <s v=""/>
    <s v=""/>
  </r>
  <r>
    <x v="1096"/>
    <n v="177"/>
    <s v="n"/>
    <x v="73"/>
    <d v="1899-12-30T00:53:00"/>
    <n v="7.62"/>
    <d v="1899-12-30T00:06:57"/>
    <n v="150"/>
    <n v="62"/>
    <n v="204"/>
    <n v="401"/>
    <m/>
    <s v="Innov-8 Terraultra"/>
    <s v=""/>
    <s v="-"/>
    <s v=""/>
    <n v="1.36"/>
  </r>
  <r>
    <x v="1097"/>
    <m/>
    <m/>
    <x v="1"/>
    <m/>
    <s v=""/>
    <s v=""/>
    <m/>
    <s v="0"/>
    <m/>
    <m/>
    <s v=""/>
    <m/>
    <s v=""/>
    <s v="-"/>
    <s v=""/>
    <s v=""/>
  </r>
  <r>
    <x v="1098"/>
    <n v="1"/>
    <s v="n"/>
    <x v="50"/>
    <d v="1899-12-30T00:54:11"/>
    <n v="10.1"/>
    <d v="1899-12-30T00:05:22"/>
    <n v="137"/>
    <n v="62"/>
    <n v="217"/>
    <n v="38"/>
    <n v="1.0425107137579428"/>
    <s v="HOKA Clifton 7"/>
    <n v="194.60000000000002"/>
    <s v="-"/>
    <n v="212.96"/>
    <n v="1.583941605839416"/>
  </r>
  <r>
    <x v="1099"/>
    <n v="2"/>
    <s v="n"/>
    <x v="74"/>
    <d v="1899-12-30T00:58:57"/>
    <n v="10.7"/>
    <d v="1899-12-30T00:05:31"/>
    <n v="137"/>
    <n v="65"/>
    <n v="212"/>
    <n v="27"/>
    <n v="1.0459534105175059"/>
    <s v="HOKA Clifton 7"/>
    <n v="194.60000000000002"/>
    <s v="-"/>
    <n v="212.96"/>
    <n v="1.5474452554744527"/>
  </r>
  <r>
    <x v="1100"/>
    <m/>
    <m/>
    <x v="1"/>
    <m/>
    <s v=""/>
    <s v=""/>
    <m/>
    <s v="0"/>
    <m/>
    <m/>
    <s v=""/>
    <m/>
    <s v=""/>
    <s v="-"/>
    <s v=""/>
    <s v=""/>
  </r>
  <r>
    <x v="1101"/>
    <n v="3"/>
    <s v="j"/>
    <x v="65"/>
    <d v="1899-12-30T01:01:04"/>
    <n v="11.4"/>
    <d v="1899-12-30T00:05:21"/>
    <n v="141"/>
    <n v="69"/>
    <n v="215"/>
    <n v="29"/>
    <n v="1.0313694684472374"/>
    <s v="Brooks Defyance 10"/>
    <n v="169.39999999999998"/>
    <s v="-"/>
    <n v="193.60000000000002"/>
    <n v="1.5248226950354611"/>
  </r>
  <r>
    <x v="1102"/>
    <m/>
    <m/>
    <x v="1"/>
    <m/>
    <s v=""/>
    <s v=""/>
    <m/>
    <s v="0"/>
    <m/>
    <m/>
    <s v=""/>
    <m/>
    <s v=""/>
    <s v="-"/>
    <s v=""/>
    <s v=""/>
  </r>
  <r>
    <x v="1103"/>
    <n v="4"/>
    <s v="n"/>
    <x v="50"/>
    <d v="1899-12-30T00:52:59"/>
    <n v="10.199999999999999"/>
    <d v="1899-12-30T00:05:12"/>
    <n v="141"/>
    <n v="65"/>
    <n v="224"/>
    <n v="40"/>
    <n v="1.041990049751244"/>
    <s v="Brooks Defyance 10"/>
    <n v="194.60000000000002"/>
    <s v="-"/>
    <n v="212.96"/>
    <n v="1.5886524822695036"/>
  </r>
  <r>
    <x v="1104"/>
    <n v="5"/>
    <s v="n"/>
    <x v="75"/>
    <d v="1899-12-30T00:36:10"/>
    <n v="7.9"/>
    <d v="1899-12-30T00:04:35"/>
    <n v="154"/>
    <n v="55"/>
    <n v="250"/>
    <n v="29"/>
    <n v="1.024938598148498"/>
    <s v="Adizero Boston 8"/>
    <s v=""/>
    <s v="-"/>
    <s v=""/>
    <n v="1.6233766233766234"/>
  </r>
  <r>
    <x v="1105"/>
    <m/>
    <m/>
    <x v="1"/>
    <m/>
    <s v=""/>
    <s v=""/>
    <m/>
    <s v="0"/>
    <m/>
    <m/>
    <s v=""/>
    <m/>
    <s v=""/>
    <s v="-"/>
    <s v=""/>
    <s v=""/>
  </r>
  <r>
    <x v="1106"/>
    <n v="6"/>
    <s v="j"/>
    <x v="76"/>
    <d v="1899-12-30T01:22:56"/>
    <n v="14.63"/>
    <d v="1899-12-30T00:05:40"/>
    <n v="136"/>
    <n v="91"/>
    <n v="207"/>
    <n v="57"/>
    <n v="1.0508278838208138"/>
    <s v="New Balance 1080 v10"/>
    <n v="194.60000000000002"/>
    <s v="-"/>
    <n v="212.96"/>
    <n v="1.5220588235294117"/>
  </r>
  <r>
    <x v="1107"/>
    <m/>
    <m/>
    <x v="1"/>
    <m/>
    <s v=""/>
    <s v=""/>
    <m/>
    <s v="0"/>
    <m/>
    <m/>
    <s v=""/>
    <m/>
    <s v=""/>
    <s v="-"/>
    <s v=""/>
    <s v=""/>
  </r>
  <r>
    <x v="1108"/>
    <n v="7"/>
    <s v="n"/>
    <x v="49"/>
    <d v="1899-12-30T00:50:39"/>
    <n v="9.1199999999999992"/>
    <d v="1899-12-30T00:05:33"/>
    <n v="143"/>
    <n v="56"/>
    <n v="210"/>
    <n v="29"/>
    <n v="1.0444324430479184"/>
    <s v="HOKA Clifton 7"/>
    <n v="194.60000000000002"/>
    <s v="-"/>
    <n v="212.96"/>
    <n v="1.4685314685314685"/>
  </r>
  <r>
    <x v="1109"/>
    <m/>
    <m/>
    <x v="1"/>
    <m/>
    <s v=""/>
    <s v=""/>
    <m/>
    <s v="0"/>
    <m/>
    <m/>
    <s v=""/>
    <m/>
    <s v=""/>
    <s v="-"/>
    <s v=""/>
    <s v=""/>
  </r>
  <r>
    <x v="1110"/>
    <n v="8"/>
    <s v="n"/>
    <x v="50"/>
    <d v="1899-12-30T00:54:52"/>
    <n v="10.23"/>
    <d v="1899-12-30T00:05:22"/>
    <n v="141"/>
    <n v="65"/>
    <n v="216"/>
    <n v="52"/>
    <n v="1.0374403641615968"/>
    <s v="HOKA Clifton 7"/>
    <n v="194.60000000000002"/>
    <s v="-"/>
    <n v="212.96"/>
    <n v="1.5319148936170213"/>
  </r>
  <r>
    <x v="1111"/>
    <n v="9"/>
    <s v="j"/>
    <x v="50"/>
    <d v="1899-12-30T01:09:51"/>
    <n v="12.5"/>
    <d v="1899-12-30T00:05:35"/>
    <n v="142"/>
    <n v="72"/>
    <m/>
    <n v="42"/>
    <m/>
    <s v="Brooks Defyance 11"/>
    <n v="194.60000000000002"/>
    <s v="-"/>
    <n v="212.96"/>
    <m/>
  </r>
  <r>
    <x v="1112"/>
    <m/>
    <m/>
    <x v="1"/>
    <m/>
    <s v=""/>
    <s v=""/>
    <m/>
    <s v="0"/>
    <m/>
    <m/>
    <s v=""/>
    <m/>
    <s v=""/>
    <s v="-"/>
    <s v=""/>
    <s v=""/>
  </r>
  <r>
    <x v="1113"/>
    <n v="10"/>
    <s v="n"/>
    <x v="62"/>
    <d v="1899-12-30T01:28:48"/>
    <n v="15.73"/>
    <d v="1899-12-30T00:05:39"/>
    <n v="137"/>
    <n v="95"/>
    <n v="206"/>
    <n v="61"/>
    <n v="1.0414247895930393"/>
    <s v="Brooks Defyance 11"/>
    <n v="194.60000000000002"/>
    <s v="-"/>
    <n v="212.96"/>
    <n v="1.5036496350364963"/>
  </r>
  <r>
    <x v="1114"/>
    <m/>
    <m/>
    <x v="1"/>
    <m/>
    <s v=""/>
    <s v=""/>
    <m/>
    <s v="0"/>
    <m/>
    <m/>
    <s v=""/>
    <m/>
    <s v=""/>
    <s v="-"/>
    <s v=""/>
    <s v=""/>
  </r>
  <r>
    <x v="1115"/>
    <m/>
    <m/>
    <x v="1"/>
    <m/>
    <s v=""/>
    <s v=""/>
    <m/>
    <s v="0"/>
    <m/>
    <m/>
    <s v=""/>
    <m/>
    <s v=""/>
    <s v="-"/>
    <s v=""/>
    <s v=""/>
  </r>
  <r>
    <x v="1116"/>
    <n v="11"/>
    <s v="n"/>
    <x v="58"/>
    <d v="1899-12-30T00:54:15"/>
    <n v="9.1300000000000008"/>
    <d v="1899-12-30T00:05:57"/>
    <n v="133"/>
    <n v="54"/>
    <n v="198"/>
    <n v="30"/>
    <n v="1.0535874842654198"/>
    <s v="HOKA Clifton 7"/>
    <n v="169.39999999999998"/>
    <s v="-"/>
    <n v="193.60000000000002"/>
    <n v="1.4887218045112782"/>
  </r>
  <r>
    <x v="1117"/>
    <m/>
    <m/>
    <x v="1"/>
    <m/>
    <s v=""/>
    <s v=""/>
    <m/>
    <s v="0"/>
    <m/>
    <m/>
    <s v=""/>
    <m/>
    <s v=""/>
    <s v="-"/>
    <s v=""/>
    <s v=""/>
  </r>
  <r>
    <x v="1118"/>
    <n v="12"/>
    <s v="n"/>
    <x v="49"/>
    <d v="1899-12-30T00:53:26"/>
    <n v="9.6300000000000008"/>
    <d v="1899-12-30T00:05:33"/>
    <n v="141"/>
    <n v="60"/>
    <n v="210"/>
    <n v="35"/>
    <n v="1.0434742176965639"/>
    <s v="Brooks Defyance 10"/>
    <n v="194.60000000000002"/>
    <s v="-"/>
    <n v="212.96"/>
    <n v="1.4893617021276595"/>
  </r>
  <r>
    <x v="1119"/>
    <m/>
    <m/>
    <x v="1"/>
    <m/>
    <s v=""/>
    <s v=""/>
    <m/>
    <s v="0"/>
    <m/>
    <m/>
    <s v=""/>
    <m/>
    <s v=""/>
    <s v="-"/>
    <s v=""/>
    <s v=""/>
  </r>
  <r>
    <x v="1120"/>
    <m/>
    <m/>
    <x v="1"/>
    <m/>
    <s v=""/>
    <s v=""/>
    <m/>
    <s v="0"/>
    <m/>
    <m/>
    <s v=""/>
    <m/>
    <s v=""/>
    <s v="-"/>
    <s v=""/>
    <s v=""/>
  </r>
  <r>
    <x v="1121"/>
    <m/>
    <m/>
    <x v="1"/>
    <m/>
    <s v=""/>
    <s v=""/>
    <m/>
    <s v="0"/>
    <m/>
    <m/>
    <s v=""/>
    <m/>
    <s v=""/>
    <s v="-"/>
    <s v=""/>
    <s v=""/>
  </r>
  <r>
    <x v="1122"/>
    <n v="13"/>
    <s v="n"/>
    <x v="50"/>
    <d v="1899-12-30T00:55:46"/>
    <n v="10.29"/>
    <d v="1899-12-30T00:05:25"/>
    <n v="140"/>
    <n v="66"/>
    <n v="216"/>
    <n v="47"/>
    <n v="1.0483094730429487"/>
    <s v="Brooks Defyance 11"/>
    <n v="194.60000000000002"/>
    <s v="-"/>
    <n v="212.96"/>
    <n v="1.5428571428571429"/>
  </r>
  <r>
    <x v="1123"/>
    <n v="14"/>
    <s v="n"/>
    <x v="30"/>
    <d v="1899-12-30T00:59:17"/>
    <n v="11.3"/>
    <d v="1899-12-30T00:05:15"/>
    <n v="151"/>
    <n v="80"/>
    <n v="217"/>
    <n v="22"/>
    <n v="1.0195073306036189"/>
    <s v="HOKA Carbon X"/>
    <s v=""/>
    <s v="-"/>
    <s v=""/>
    <n v="1.4370860927152318"/>
  </r>
  <r>
    <x v="1124"/>
    <m/>
    <m/>
    <x v="1"/>
    <m/>
    <s v=""/>
    <s v=""/>
    <m/>
    <s v="0"/>
    <m/>
    <m/>
    <s v=""/>
    <m/>
    <s v=""/>
    <s v="-"/>
    <s v=""/>
    <s v=""/>
  </r>
  <r>
    <x v="1125"/>
    <n v="15"/>
    <s v="n"/>
    <x v="77"/>
    <d v="1899-12-30T00:47:20"/>
    <n v="9.7100000000000009"/>
    <d v="1899-12-30T00:04:52"/>
    <n v="156"/>
    <n v="68"/>
    <n v="235"/>
    <n v="39"/>
    <n v="1.025869622023764"/>
    <s v="HOKA Carbon X"/>
    <n v="230.89999999999998"/>
    <s v="-"/>
    <n v="254.10000000000002"/>
    <n v="1.5064102564102564"/>
  </r>
  <r>
    <x v="1126"/>
    <m/>
    <m/>
    <x v="1"/>
    <m/>
    <s v=""/>
    <s v=""/>
    <m/>
    <s v="0"/>
    <m/>
    <m/>
    <s v=""/>
    <m/>
    <s v=""/>
    <s v="-"/>
    <s v=""/>
    <s v=""/>
  </r>
  <r>
    <x v="1127"/>
    <n v="16"/>
    <s v="n"/>
    <x v="62"/>
    <d v="1899-12-30T01:31:25"/>
    <n v="16.77"/>
    <d v="1899-12-30T00:05:27"/>
    <n v="142"/>
    <n v="105"/>
    <n v="214"/>
    <n v="43"/>
    <n v="1.0446782189232728"/>
    <s v="Brooks Defyance 11"/>
    <n v="194.60000000000002"/>
    <s v="-"/>
    <n v="212.96"/>
    <n v="1.5070422535211268"/>
  </r>
  <r>
    <x v="1128"/>
    <m/>
    <m/>
    <x v="1"/>
    <m/>
    <s v=""/>
    <s v=""/>
    <m/>
    <s v="0"/>
    <m/>
    <m/>
    <s v=""/>
    <m/>
    <s v=""/>
    <s v="-"/>
    <s v=""/>
    <s v=""/>
  </r>
  <r>
    <x v="1129"/>
    <n v="17"/>
    <s v="n"/>
    <x v="50"/>
    <d v="1899-12-30T00:53:38"/>
    <n v="9.9499999999999993"/>
    <d v="1899-12-30T00:05:23"/>
    <n v="141"/>
    <n v="76.7176145167969"/>
    <n v="217"/>
    <n v="31"/>
    <n v="1.047485187129678"/>
    <s v="HOKA Clifton 7"/>
    <n v="194.60000000000002"/>
    <s v="-"/>
    <n v="212.96"/>
    <n v="1.5390070921985815"/>
  </r>
  <r>
    <x v="1130"/>
    <m/>
    <m/>
    <x v="1"/>
    <m/>
    <s v=""/>
    <s v=""/>
    <m/>
    <s v="0"/>
    <m/>
    <m/>
    <s v=""/>
    <m/>
    <s v=""/>
    <s v="-"/>
    <s v=""/>
    <s v=""/>
  </r>
  <r>
    <x v="1131"/>
    <n v="18"/>
    <s v="n"/>
    <x v="78"/>
    <d v="1899-12-30T01:01:35"/>
    <n v="12.71"/>
    <d v="1899-12-30T00:04:51"/>
    <n v="155"/>
    <n v="92"/>
    <n v="236"/>
    <n v="38"/>
    <n v="1.0240144673955163"/>
    <s v="HOKA Carbon X"/>
    <n v="230.89999999999998"/>
    <s v="-"/>
    <n v="254.10000000000002"/>
    <n v="1.5225806451612902"/>
  </r>
  <r>
    <x v="1132"/>
    <n v="19"/>
    <s v="n"/>
    <x v="58"/>
    <d v="1899-12-30T00:57:55"/>
    <n v="9.94"/>
    <d v="1899-12-30T00:05:50"/>
    <n v="131"/>
    <n v="58"/>
    <n v="200"/>
    <n v="27"/>
    <n v="1.0435748821285924"/>
    <s v="HOKA Clifton 7"/>
    <n v="169.39999999999998"/>
    <s v="-"/>
    <n v="193.60000000000002"/>
    <n v="1.5267175572519085"/>
  </r>
  <r>
    <x v="1133"/>
    <m/>
    <m/>
    <x v="1"/>
    <m/>
    <s v=""/>
    <s v=""/>
    <m/>
    <s v="0"/>
    <m/>
    <m/>
    <s v=""/>
    <m/>
    <s v=""/>
    <s v="-"/>
    <s v=""/>
    <s v=""/>
  </r>
  <r>
    <x v="1134"/>
    <n v="20"/>
    <s v="n"/>
    <x v="62"/>
    <d v="1899-12-30T01:32:37"/>
    <n v="16.78"/>
    <d v="1899-12-30T00:05:31"/>
    <n v="142"/>
    <n v="106"/>
    <n v="213"/>
    <n v="47"/>
    <n v="1.0528178535214276"/>
    <s v="Brooks Defyance 11"/>
    <n v="194.60000000000002"/>
    <s v="-"/>
    <n v="212.96"/>
    <n v="1.5"/>
  </r>
  <r>
    <x v="1135"/>
    <m/>
    <m/>
    <x v="1"/>
    <m/>
    <s v=""/>
    <s v=""/>
    <m/>
    <s v="0"/>
    <m/>
    <m/>
    <s v=""/>
    <m/>
    <s v=""/>
    <s v="-"/>
    <s v=""/>
    <s v=""/>
  </r>
  <r>
    <x v="1136"/>
    <m/>
    <m/>
    <x v="1"/>
    <m/>
    <s v=""/>
    <s v=""/>
    <m/>
    <s v="0"/>
    <m/>
    <m/>
    <s v=""/>
    <m/>
    <s v=""/>
    <s v="-"/>
    <s v=""/>
    <s v=""/>
  </r>
  <r>
    <x v="1137"/>
    <n v="21"/>
    <s v="n"/>
    <x v="49"/>
    <d v="1899-12-30T00:49:07"/>
    <n v="9.1199999999999992"/>
    <d v="1899-12-30T00:05:23"/>
    <n v="139"/>
    <n v="58"/>
    <n v="218"/>
    <n v="33"/>
    <n v="1.0513976171772716"/>
    <s v="Brooks Defyance 10"/>
    <n v="194.60000000000002"/>
    <s v="-"/>
    <n v="212.96"/>
    <n v="1.5683453237410072"/>
  </r>
  <r>
    <x v="1138"/>
    <m/>
    <m/>
    <x v="1"/>
    <m/>
    <s v=""/>
    <s v=""/>
    <m/>
    <s v="0"/>
    <m/>
    <m/>
    <s v=""/>
    <m/>
    <s v=""/>
    <s v="-"/>
    <s v=""/>
    <s v=""/>
  </r>
  <r>
    <x v="1139"/>
    <n v="22"/>
    <s v="n"/>
    <x v="50"/>
    <d v="1899-12-30T00:57:13"/>
    <n v="10.220000000000001"/>
    <d v="1899-12-30T00:05:36"/>
    <n v="144"/>
    <n v="64"/>
    <n v="211"/>
    <n v="31"/>
    <n v="1.057865759266291"/>
    <s v="HOKA Clifton 7"/>
    <n v="194.60000000000002"/>
    <s v="-"/>
    <n v="212.96"/>
    <n v="1.4652777777777777"/>
  </r>
  <r>
    <x v="1140"/>
    <m/>
    <m/>
    <x v="1"/>
    <m/>
    <s v=""/>
    <s v=""/>
    <m/>
    <s v="0"/>
    <m/>
    <m/>
    <s v=""/>
    <m/>
    <s v=""/>
    <s v="-"/>
    <s v=""/>
    <s v=""/>
  </r>
  <r>
    <x v="1141"/>
    <n v="23"/>
    <s v="n"/>
    <x v="50"/>
    <d v="1899-12-30T00:56:48"/>
    <n v="10.56"/>
    <d v="1899-12-30T00:05:23"/>
    <n v="139"/>
    <n v="68"/>
    <n v="218"/>
    <n v="30"/>
    <n v="1.050067842605156"/>
    <s v="Brooks Defyance 11"/>
    <n v="194.60000000000002"/>
    <s v="-"/>
    <n v="212.96"/>
    <n v="1.5683453237410072"/>
  </r>
  <r>
    <x v="1142"/>
    <m/>
    <m/>
    <x v="1"/>
    <m/>
    <s v=""/>
    <s v=""/>
    <m/>
    <s v="0"/>
    <m/>
    <m/>
    <s v=""/>
    <m/>
    <s v=""/>
    <s v="-"/>
    <s v=""/>
    <s v=""/>
  </r>
  <r>
    <x v="1143"/>
    <n v="24"/>
    <s v="n"/>
    <x v="50"/>
    <d v="1899-12-30T00:57:00"/>
    <n v="10.55"/>
    <d v="1899-12-30T00:05:24"/>
    <n v="140"/>
    <n v="68"/>
    <n v="218"/>
    <n v="29"/>
    <n v="1.0547640942208389"/>
    <s v="Brooks Defyance 10"/>
    <n v="194.60000000000002"/>
    <s v="-"/>
    <n v="212.96"/>
    <n v="1.5571428571428572"/>
  </r>
  <r>
    <x v="1144"/>
    <n v="25"/>
    <s v="n"/>
    <x v="79"/>
    <d v="1899-12-30T01:07:10"/>
    <n v="12.45"/>
    <d v="1899-12-30T00:05:24"/>
    <n v="148"/>
    <n v="92"/>
    <n v="211"/>
    <n v="28"/>
    <n v="1.01939699094887"/>
    <s v="HOKA Carbon X"/>
    <n v="255.10000000000002"/>
    <s v="-"/>
    <n v="278.29999999999995"/>
    <n v="1.4256756756756757"/>
  </r>
  <r>
    <x v="1145"/>
    <n v="26"/>
    <s v="n"/>
    <x v="58"/>
    <d v="1899-12-30T00:48:54"/>
    <n v="8.11"/>
    <d v="1899-12-30T00:06:02"/>
    <n v="135"/>
    <n v="47"/>
    <n v="196"/>
    <n v="18"/>
    <n v="1.0583285790529473"/>
    <s v="HOKA Clifton 7"/>
    <n v="169.39999999999998"/>
    <s v="-"/>
    <n v="193.60000000000002"/>
    <n v="1.4518518518518519"/>
  </r>
  <r>
    <x v="1146"/>
    <m/>
    <m/>
    <x v="1"/>
    <m/>
    <s v=""/>
    <s v=""/>
    <m/>
    <s v="0"/>
    <m/>
    <m/>
    <s v=""/>
    <m/>
    <s v=""/>
    <s v="-"/>
    <s v=""/>
    <s v=""/>
  </r>
  <r>
    <x v="1147"/>
    <n v="27"/>
    <s v="j"/>
    <x v="80"/>
    <d v="1899-12-30T01:40:14"/>
    <n v="17.27"/>
    <d v="1899-12-30T00:05:48"/>
    <n v="134"/>
    <n v="103"/>
    <n v="201"/>
    <n v="65"/>
    <n v="1.0447017950202664"/>
    <s v="New Balance 1080 v10"/>
    <n v="194.60000000000002"/>
    <s v="-"/>
    <n v="212.96"/>
    <n v="1.5"/>
  </r>
  <r>
    <x v="1148"/>
    <m/>
    <m/>
    <x v="1"/>
    <m/>
    <s v=""/>
    <s v=""/>
    <m/>
    <s v="0"/>
    <m/>
    <m/>
    <s v=""/>
    <m/>
    <s v=""/>
    <s v="-"/>
    <s v=""/>
    <s v=""/>
  </r>
  <r>
    <x v="1149"/>
    <n v="28"/>
    <s v="n"/>
    <x v="55"/>
    <d v="1899-12-30T00:56:26"/>
    <n v="10.32"/>
    <d v="1899-12-30T00:05:28"/>
    <n v="138"/>
    <n v="65"/>
    <n v="214"/>
    <n v="27"/>
    <n v="1.0479636700219828"/>
    <s v="Brooks Defyance 11"/>
    <n v="194.60000000000002"/>
    <s v="-"/>
    <n v="212.96"/>
    <n v="1.5507246376811594"/>
  </r>
  <r>
    <x v="1150"/>
    <m/>
    <m/>
    <x v="1"/>
    <m/>
    <s v=""/>
    <s v=""/>
    <m/>
    <s v="0"/>
    <m/>
    <m/>
    <s v=""/>
    <m/>
    <s v=""/>
    <s v="-"/>
    <s v=""/>
    <s v=""/>
  </r>
  <r>
    <x v="1151"/>
    <n v="29"/>
    <s v="n"/>
    <x v="81"/>
    <d v="1899-12-30T00:57:25"/>
    <n v="11.47"/>
    <d v="1899-12-30T00:05:00"/>
    <n v="150"/>
    <n v="83"/>
    <n v="228"/>
    <n v="30"/>
    <n v="1.0220822652214083"/>
    <s v="HOKA Carbon X"/>
    <n v="230.89999999999998"/>
    <s v="-"/>
    <n v="254.10000000000002"/>
    <n v="1.52"/>
  </r>
  <r>
    <x v="1152"/>
    <n v="30"/>
    <s v="n"/>
    <x v="58"/>
    <d v="1899-12-30T00:53:54"/>
    <n v="9.39"/>
    <d v="1899-12-30T00:05:44"/>
    <n v="130"/>
    <n v="57"/>
    <n v="205"/>
    <n v="32"/>
    <n v="1.0537885651614134"/>
    <s v="HOKA Clifton 7"/>
    <n v="169.39999999999998"/>
    <s v="-"/>
    <n v="193.60000000000002"/>
    <n v="1.5769230769230769"/>
  </r>
  <r>
    <x v="1153"/>
    <m/>
    <m/>
    <x v="1"/>
    <m/>
    <s v=""/>
    <s v=""/>
    <m/>
    <s v="0"/>
    <m/>
    <m/>
    <s v=""/>
    <m/>
    <s v=""/>
    <s v="-"/>
    <s v=""/>
    <s v=""/>
  </r>
  <r>
    <x v="1154"/>
    <n v="31"/>
    <s v="j"/>
    <x v="63"/>
    <d v="1899-12-30T01:46:50"/>
    <n v="19.63"/>
    <d v="1899-12-30T00:05:27"/>
    <n v="136"/>
    <n v="124"/>
    <n v="213"/>
    <n v="76"/>
    <n v="1.0381079827556052"/>
    <s v="Brooks Defyance 11"/>
    <n v="194.60000000000002"/>
    <s v="-"/>
    <n v="212.96"/>
    <n v="1.5661764705882353"/>
  </r>
  <r>
    <x v="1155"/>
    <m/>
    <m/>
    <x v="1"/>
    <m/>
    <s v=""/>
    <s v=""/>
    <m/>
    <s v="0"/>
    <m/>
    <m/>
    <s v=""/>
    <m/>
    <s v=""/>
    <s v="-"/>
    <s v=""/>
    <s v=""/>
  </r>
  <r>
    <x v="1156"/>
    <n v="32"/>
    <s v="n"/>
    <x v="55"/>
    <d v="1899-12-30T00:53:09"/>
    <n v="10.199999999999999"/>
    <d v="1899-12-30T00:05:13"/>
    <m/>
    <n v="62"/>
    <m/>
    <n v="30"/>
    <m/>
    <s v="Brooks Defyance 10"/>
    <n v="194.60000000000002"/>
    <s v="-"/>
    <n v="212.96"/>
    <m/>
  </r>
  <r>
    <x v="1157"/>
    <m/>
    <m/>
    <x v="1"/>
    <m/>
    <s v=""/>
    <s v=""/>
    <m/>
    <s v="0"/>
    <m/>
    <m/>
    <s v=""/>
    <m/>
    <s v=""/>
    <s v="-"/>
    <s v=""/>
    <s v=""/>
  </r>
  <r>
    <x v="1158"/>
    <n v="33"/>
    <s v="n"/>
    <x v="82"/>
    <d v="1899-12-30T01:00:13"/>
    <n v="12.47"/>
    <d v="1899-12-30T00:04:50"/>
    <n v="153"/>
    <n v="90"/>
    <n v="239"/>
    <n v="41"/>
    <n v="1.0335336150043686"/>
    <s v="HOKA Carbon X"/>
    <s v=""/>
    <s v="-"/>
    <s v=""/>
    <n v="1.5620915032679739"/>
  </r>
  <r>
    <x v="1159"/>
    <n v="34"/>
    <s v="n"/>
    <x v="58"/>
    <d v="1899-12-30T00:52:21"/>
    <n v="9.26"/>
    <d v="1899-12-30T00:05:39"/>
    <n v="129"/>
    <n v="57"/>
    <n v="207"/>
    <n v="27"/>
    <n v="1.0479787885625864"/>
    <s v="HOKA Clifton 7"/>
    <n v="169.39999999999998"/>
    <s v="-"/>
    <n v="193.60000000000002"/>
    <n v="1.6046511627906976"/>
  </r>
  <r>
    <x v="1160"/>
    <m/>
    <m/>
    <x v="1"/>
    <m/>
    <s v=""/>
    <s v=""/>
    <m/>
    <s v="0"/>
    <m/>
    <m/>
    <s v=""/>
    <m/>
    <s v=""/>
    <s v="-"/>
    <s v=""/>
    <s v=""/>
  </r>
  <r>
    <x v="1161"/>
    <n v="35"/>
    <s v="n"/>
    <x v="83"/>
    <d v="1899-12-30T01:32:15"/>
    <n v="19.04"/>
    <d v="1899-12-30T00:04:51"/>
    <n v="147"/>
    <n v="135"/>
    <n v="240"/>
    <n v="77"/>
    <n v="1.0413269785526154"/>
    <s v="Brooks Defyance 11"/>
    <s v=""/>
    <s v="-"/>
    <s v=""/>
    <n v="1.6326530612244898"/>
  </r>
  <r>
    <x v="1162"/>
    <m/>
    <m/>
    <x v="1"/>
    <m/>
    <s v=""/>
    <s v=""/>
    <m/>
    <s v="0"/>
    <m/>
    <m/>
    <s v=""/>
    <m/>
    <s v=""/>
    <s v="-"/>
    <s v=""/>
    <s v=""/>
  </r>
  <r>
    <x v="1163"/>
    <n v="36"/>
    <s v="n"/>
    <x v="55"/>
    <d v="1899-12-30T00:54:45"/>
    <n v="10.1"/>
    <d v="1899-12-30T00:05:25"/>
    <n v="138"/>
    <n v="64"/>
    <n v="216"/>
    <n v="29"/>
    <n v="1.0485591842766366"/>
    <s v="Brooks Defyance 10"/>
    <n v="194.60000000000002"/>
    <s v="-"/>
    <n v="212.96"/>
    <n v="1.5652173913043479"/>
  </r>
  <r>
    <x v="1164"/>
    <m/>
    <m/>
    <x v="1"/>
    <m/>
    <s v=""/>
    <s v=""/>
    <m/>
    <s v="0"/>
    <m/>
    <m/>
    <s v=""/>
    <m/>
    <s v=""/>
    <s v="-"/>
    <s v=""/>
    <s v=""/>
  </r>
  <r>
    <x v="1165"/>
    <n v="37"/>
    <s v="n"/>
    <x v="49"/>
    <d v="1899-12-30T00:52:41"/>
    <n v="9.5500000000000007"/>
    <d v="1899-12-30T00:05:31"/>
    <n v="136"/>
    <n v="60"/>
    <n v="213"/>
    <n v="32"/>
    <n v="1.0522669375634914"/>
    <s v="HOKA Clifton 7"/>
    <n v="194.60000000000002"/>
    <s v="-"/>
    <n v="212.96"/>
    <n v="1.5661764705882353"/>
  </r>
  <r>
    <x v="1166"/>
    <m/>
    <m/>
    <x v="1"/>
    <m/>
    <s v=""/>
    <s v=""/>
    <m/>
    <s v="0"/>
    <m/>
    <m/>
    <s v=""/>
    <m/>
    <s v=""/>
    <s v="-"/>
    <s v=""/>
    <s v=""/>
  </r>
  <r>
    <x v="1167"/>
    <n v="38"/>
    <s v="n"/>
    <x v="32"/>
    <d v="1899-12-30T00:53:59"/>
    <n v="10.61"/>
    <d v="1899-12-30T00:05:05"/>
    <n v="145"/>
    <n v="72"/>
    <n v="227"/>
    <n v="48"/>
    <n v="1.0343002236695877"/>
    <s v="HOKA Carbon X"/>
    <s v=""/>
    <s v="-"/>
    <s v=""/>
    <n v="1.5655172413793104"/>
  </r>
  <r>
    <x v="1168"/>
    <m/>
    <m/>
    <x v="1"/>
    <m/>
    <s v=""/>
    <s v=""/>
    <m/>
    <s v="0"/>
    <m/>
    <m/>
    <s v=""/>
    <m/>
    <s v=""/>
    <s v="-"/>
    <s v=""/>
    <s v=""/>
  </r>
  <r>
    <x v="1169"/>
    <n v="39"/>
    <s v="n"/>
    <x v="62"/>
    <d v="1899-12-30T01:25:18"/>
    <n v="15.5"/>
    <d v="1899-12-30T00:05:30"/>
    <n v="134"/>
    <n v="97"/>
    <n v="212"/>
    <n v="82"/>
    <n v="1.0447915262397689"/>
    <s v="Brooks Defyance 11"/>
    <n v="194.60000000000002"/>
    <s v="-"/>
    <n v="212.96"/>
    <n v="1.5820895522388059"/>
  </r>
  <r>
    <x v="1170"/>
    <m/>
    <m/>
    <x v="1"/>
    <m/>
    <s v=""/>
    <s v=""/>
    <m/>
    <s v="0"/>
    <m/>
    <m/>
    <s v=""/>
    <m/>
    <s v=""/>
    <s v="-"/>
    <s v=""/>
    <s v=""/>
  </r>
  <r>
    <x v="1171"/>
    <n v="40"/>
    <s v="n"/>
    <x v="58"/>
    <d v="1899-12-30T00:46:03"/>
    <n v="8.2200000000000006"/>
    <d v="1899-12-30T00:05:36"/>
    <n v="131"/>
    <n v="51"/>
    <n v="209"/>
    <n v="42"/>
    <n v="1.0485292515524565"/>
    <s v="HOKA Clifton 7"/>
    <n v="169.39999999999998"/>
    <s v="-"/>
    <n v="193.60000000000002"/>
    <n v="1.5954198473282444"/>
  </r>
  <r>
    <x v="1172"/>
    <m/>
    <m/>
    <x v="1"/>
    <m/>
    <s v=""/>
    <s v=""/>
    <m/>
    <s v="0"/>
    <m/>
    <m/>
    <s v=""/>
    <m/>
    <s v=""/>
    <s v="-"/>
    <s v=""/>
    <s v=""/>
  </r>
  <r>
    <x v="1173"/>
    <n v="41"/>
    <s v="n"/>
    <x v="84"/>
    <d v="1899-12-30T00:51:33"/>
    <n v="9.52"/>
    <d v="1899-12-30T00:05:25"/>
    <n v="145"/>
    <n v="68"/>
    <n v="211"/>
    <n v="21"/>
    <n v="1.0231766587231907"/>
    <s v="HOKA Carbon X"/>
    <n v="255.10000000000002"/>
    <s v="-"/>
    <n v="278.29999999999995"/>
    <n v="1.4551724137931035"/>
  </r>
  <r>
    <x v="1174"/>
    <m/>
    <m/>
    <x v="1"/>
    <m/>
    <s v=""/>
    <s v=""/>
    <m/>
    <s v="0"/>
    <m/>
    <m/>
    <s v=""/>
    <m/>
    <s v=""/>
    <s v="-"/>
    <s v=""/>
    <s v=""/>
  </r>
  <r>
    <x v="1175"/>
    <n v="42"/>
    <s v="n"/>
    <x v="55"/>
    <d v="1899-12-30T00:48:05"/>
    <n v="8.67"/>
    <d v="1899-12-30T00:05:33"/>
    <n v="138"/>
    <n v="54"/>
    <n v="211"/>
    <n v="29"/>
    <n v="1.0479350651586361"/>
    <s v="HOKA Clifton 7"/>
    <n v="194.60000000000002"/>
    <s v="-"/>
    <n v="212.96"/>
    <n v="1.5289855072463767"/>
  </r>
  <r>
    <x v="1176"/>
    <m/>
    <m/>
    <x v="1"/>
    <m/>
    <s v=""/>
    <s v=""/>
    <m/>
    <s v="0"/>
    <m/>
    <m/>
    <s v=""/>
    <m/>
    <s v=""/>
    <s v="-"/>
    <s v=""/>
    <s v=""/>
  </r>
  <r>
    <x v="1177"/>
    <n v="43"/>
    <s v="n"/>
    <x v="51"/>
    <d v="1899-12-30T00:54:44"/>
    <n v="9.7799999999999994"/>
    <d v="1899-12-30T00:05:36"/>
    <n v="142"/>
    <n v="61"/>
    <n v="209"/>
    <n v="19"/>
    <n v="1.0474559716753657"/>
    <s v="Brooks Defyance 11"/>
    <n v="194.60000000000002"/>
    <s v="-"/>
    <n v="212.96"/>
    <n v="1.471830985915493"/>
  </r>
  <r>
    <x v="1178"/>
    <m/>
    <m/>
    <x v="1"/>
    <m/>
    <s v=""/>
    <s v=""/>
    <m/>
    <s v="0"/>
    <m/>
    <m/>
    <s v=""/>
    <m/>
    <s v=""/>
    <s v="-"/>
    <s v=""/>
    <s v=""/>
  </r>
  <r>
    <x v="1179"/>
    <n v="44"/>
    <s v="n"/>
    <x v="32"/>
    <d v="1899-12-30T00:43:39"/>
    <n v="8.4499999999999993"/>
    <d v="1899-12-30T00:05:10"/>
    <n v="144"/>
    <n v="60"/>
    <n v="224"/>
    <n v="34"/>
    <n v="1.0362200830168684"/>
    <s v="Adizero Boston 8"/>
    <s v=""/>
    <s v="-"/>
    <s v=""/>
    <n v="1.5555555555555556"/>
  </r>
  <r>
    <x v="1180"/>
    <m/>
    <m/>
    <x v="1"/>
    <m/>
    <s v=""/>
    <s v=""/>
    <m/>
    <s v="0"/>
    <m/>
    <m/>
    <s v=""/>
    <m/>
    <s v=""/>
    <s v="-"/>
    <s v=""/>
    <s v=""/>
  </r>
  <r>
    <x v="1181"/>
    <n v="45"/>
    <s v="j"/>
    <x v="52"/>
    <d v="1899-12-30T00:35:24"/>
    <n v="6.23"/>
    <d v="1899-12-30T00:05:41"/>
    <n v="132"/>
    <n v="37"/>
    <n v="205"/>
    <n v="24"/>
    <n v="1.0431470257061404"/>
    <s v="HOKA Clifton 7"/>
    <n v="169.39999999999998"/>
    <s v="-"/>
    <n v="193.60000000000002"/>
    <n v="1.553030303030303"/>
  </r>
  <r>
    <x v="1182"/>
    <m/>
    <m/>
    <x v="1"/>
    <m/>
    <s v=""/>
    <s v=""/>
    <m/>
    <s v="0"/>
    <m/>
    <m/>
    <s v=""/>
    <m/>
    <s v=""/>
    <s v="-"/>
    <s v=""/>
    <s v=""/>
  </r>
  <r>
    <x v="1183"/>
    <m/>
    <m/>
    <x v="1"/>
    <m/>
    <m/>
    <s v=""/>
    <m/>
    <s v="0"/>
    <m/>
    <m/>
    <s v=""/>
    <m/>
    <s v=""/>
    <s v="-"/>
    <s v=""/>
    <s v=""/>
  </r>
  <r>
    <x v="1184"/>
    <n v="46"/>
    <s v="n"/>
    <x v="49"/>
    <d v="1899-12-30T00:45:48"/>
    <n v="8.1199999999999992"/>
    <d v="1899-12-30T00:05:38"/>
    <n v="135"/>
    <n v="51"/>
    <n v="209"/>
    <n v="20"/>
    <n v="1.0556797294316593"/>
    <s v="HOKA Clifton 7"/>
    <n v="194.60000000000002"/>
    <s v="-"/>
    <n v="212.96"/>
    <n v="1.5481481481481481"/>
  </r>
  <r>
    <x v="1185"/>
    <m/>
    <m/>
    <x v="1"/>
    <m/>
    <s v=""/>
    <s v=""/>
    <m/>
    <s v="0"/>
    <m/>
    <m/>
    <s v=""/>
    <m/>
    <s v=""/>
    <s v="-"/>
    <s v=""/>
    <s v=""/>
  </r>
  <r>
    <x v="1186"/>
    <n v="47"/>
    <s v="n"/>
    <x v="59"/>
    <d v="1899-12-30T00:47:37"/>
    <n v="8.4"/>
    <d v="1899-12-30T00:05:40"/>
    <n v="138"/>
    <n v="53"/>
    <n v="210"/>
    <n v="29"/>
    <n v="1.066044776119403"/>
    <s v="Brooks Defyance 11"/>
    <n v="194.60000000000002"/>
    <s v="-"/>
    <n v="212.96"/>
    <n v="1.5217391304347827"/>
  </r>
  <r>
    <x v="1187"/>
    <m/>
    <m/>
    <x v="1"/>
    <m/>
    <s v=""/>
    <s v=""/>
    <m/>
    <s v="0"/>
    <m/>
    <m/>
    <s v=""/>
    <m/>
    <s v=""/>
    <s v="-"/>
    <s v=""/>
    <s v=""/>
  </r>
  <r>
    <x v="1188"/>
    <n v="48"/>
    <s v="n"/>
    <x v="4"/>
    <d v="1899-12-30T00:43:30"/>
    <n v="10"/>
    <d v="1899-12-30T00:04:21"/>
    <n v="161"/>
    <n v="74"/>
    <n v="261"/>
    <n v="57"/>
    <n v="1.0167313432835821"/>
    <s v="HOKA Carbon X"/>
    <s v=""/>
    <s v="-"/>
    <s v=""/>
    <n v="1.6211180124223603"/>
  </r>
  <r>
    <x v="1189"/>
    <m/>
    <m/>
    <x v="1"/>
    <m/>
    <s v=""/>
    <s v=""/>
    <m/>
    <s v="0"/>
    <m/>
    <m/>
    <s v=""/>
    <m/>
    <s v=""/>
    <s v="-"/>
    <s v=""/>
    <s v=""/>
  </r>
  <r>
    <x v="1190"/>
    <m/>
    <m/>
    <x v="1"/>
    <m/>
    <s v=""/>
    <s v=""/>
    <m/>
    <s v="0"/>
    <m/>
    <m/>
    <s v=""/>
    <m/>
    <s v=""/>
    <s v="-"/>
    <s v=""/>
    <s v=""/>
  </r>
  <r>
    <x v="1191"/>
    <m/>
    <m/>
    <x v="1"/>
    <m/>
    <s v=""/>
    <s v=""/>
    <m/>
    <s v="0"/>
    <m/>
    <m/>
    <s v=""/>
    <m/>
    <s v=""/>
    <s v="-"/>
    <s v=""/>
    <s v=""/>
  </r>
  <r>
    <x v="1192"/>
    <m/>
    <m/>
    <x v="1"/>
    <m/>
    <s v=""/>
    <s v=""/>
    <m/>
    <s v="0"/>
    <m/>
    <m/>
    <s v=""/>
    <m/>
    <s v=""/>
    <s v="-"/>
    <s v=""/>
    <s v=""/>
  </r>
  <r>
    <x v="1193"/>
    <m/>
    <m/>
    <x v="1"/>
    <m/>
    <s v=""/>
    <s v=""/>
    <m/>
    <s v="0"/>
    <m/>
    <m/>
    <s v=""/>
    <m/>
    <s v=""/>
    <s v="-"/>
    <s v=""/>
    <s v=""/>
  </r>
  <r>
    <x v="1194"/>
    <n v="49"/>
    <s v="j"/>
    <x v="50"/>
    <d v="1899-12-30T01:04:57"/>
    <n v="11.1"/>
    <d v="1899-12-30T00:05:51"/>
    <n v="133"/>
    <n v="67"/>
    <n v="202"/>
    <n v="47"/>
    <n v="1.0584832593787816"/>
    <s v="HOKA Clifton 7"/>
    <n v="194.60000000000002"/>
    <s v="-"/>
    <n v="212.96"/>
    <n v="1.518796992481203"/>
  </r>
  <r>
    <x v="1195"/>
    <m/>
    <m/>
    <x v="1"/>
    <m/>
    <s v=""/>
    <s v=""/>
    <m/>
    <s v="0"/>
    <m/>
    <m/>
    <s v=""/>
    <m/>
    <s v=""/>
    <s v="-"/>
    <s v=""/>
    <s v=""/>
  </r>
  <r>
    <x v="1196"/>
    <n v="50"/>
    <s v="j"/>
    <x v="50"/>
    <d v="1899-12-30T01:04:11"/>
    <n v="11.2"/>
    <d v="1899-12-30T00:05:44"/>
    <n v="130"/>
    <n v="68"/>
    <n v="205"/>
    <n v="45"/>
    <n v="1.0520455756929641"/>
    <s v="Brooks Defyance 11"/>
    <n v="194.60000000000002"/>
    <s v="-"/>
    <n v="212.96"/>
    <n v="1.5769230769230769"/>
  </r>
  <r>
    <x v="1197"/>
    <m/>
    <m/>
    <x v="1"/>
    <m/>
    <s v=""/>
    <s v=""/>
    <m/>
    <s v="0"/>
    <m/>
    <m/>
    <s v=""/>
    <m/>
    <s v=""/>
    <s v="-"/>
    <s v=""/>
    <s v=""/>
  </r>
  <r>
    <x v="1198"/>
    <m/>
    <m/>
    <x v="1"/>
    <m/>
    <s v=""/>
    <s v=""/>
    <m/>
    <s v="0"/>
    <m/>
    <m/>
    <s v=""/>
    <m/>
    <s v=""/>
    <s v="-"/>
    <s v=""/>
    <s v=""/>
  </r>
  <r>
    <x v="1199"/>
    <n v="51"/>
    <s v="n"/>
    <x v="49"/>
    <d v="1899-12-30T00:47:37"/>
    <n v="8.3800000000000008"/>
    <d v="1899-12-30T00:05:41"/>
    <n v="136"/>
    <n v="52"/>
    <n v="207"/>
    <n v="37"/>
    <n v="1.0533234780750187"/>
    <s v="HOKA Clifton 7"/>
    <n v="194.60000000000002"/>
    <s v="-"/>
    <n v="212.96"/>
    <n v="1.5220588235294117"/>
  </r>
  <r>
    <x v="1200"/>
    <m/>
    <m/>
    <x v="1"/>
    <m/>
    <s v=""/>
    <s v=""/>
    <m/>
    <s v="0"/>
    <m/>
    <m/>
    <s v=""/>
    <m/>
    <s v=""/>
    <s v="-"/>
    <s v=""/>
    <s v=""/>
  </r>
  <r>
    <x v="1201"/>
    <m/>
    <m/>
    <x v="1"/>
    <m/>
    <s v=""/>
    <s v=""/>
    <m/>
    <s v="0"/>
    <m/>
    <m/>
    <s v=""/>
    <m/>
    <s v=""/>
    <s v="-"/>
    <s v=""/>
    <s v=""/>
  </r>
  <r>
    <x v="1202"/>
    <m/>
    <m/>
    <x v="1"/>
    <m/>
    <s v=""/>
    <s v=""/>
    <m/>
    <s v="0"/>
    <m/>
    <m/>
    <s v=""/>
    <m/>
    <s v=""/>
    <s v="-"/>
    <s v=""/>
    <s v=""/>
  </r>
  <r>
    <x v="1203"/>
    <n v="52"/>
    <s v="n"/>
    <x v="50"/>
    <d v="1899-12-30T00:57:00"/>
    <n v="10.4"/>
    <d v="1899-12-30T00:05:29"/>
    <n v="139"/>
    <n v="66"/>
    <n v="214"/>
    <n v="38"/>
    <n v="1.0503444316877151"/>
    <s v="Brooks Defyance 11"/>
    <n v="194.60000000000002"/>
    <s v="-"/>
    <n v="212.96"/>
    <n v="1.539568345323741"/>
  </r>
  <r>
    <x v="1204"/>
    <m/>
    <m/>
    <x v="1"/>
    <m/>
    <s v=""/>
    <s v=""/>
    <m/>
    <s v="0"/>
    <m/>
    <m/>
    <s v=""/>
    <m/>
    <s v=""/>
    <s v="-"/>
    <s v=""/>
    <s v=""/>
  </r>
  <r>
    <x v="1205"/>
    <m/>
    <m/>
    <x v="1"/>
    <m/>
    <s v=""/>
    <s v=""/>
    <m/>
    <s v="0"/>
    <m/>
    <m/>
    <s v=""/>
    <m/>
    <s v=""/>
    <s v="-"/>
    <s v=""/>
    <s v=""/>
  </r>
  <r>
    <x v="1206"/>
    <n v="53"/>
    <s v="n"/>
    <x v="84"/>
    <d v="1899-12-30T00:39:50"/>
    <n v="7.01"/>
    <d v="1899-12-30T00:05:41"/>
    <n v="149"/>
    <n v="48"/>
    <n v="201"/>
    <n v="18"/>
    <n v="1.0228245363766053"/>
    <s v="HOKA Carbon X"/>
    <n v="255.10000000000002"/>
    <s v="-"/>
    <n v="278.29999999999995"/>
    <n v="1.348993288590604"/>
  </r>
  <r>
    <x v="1207"/>
    <m/>
    <m/>
    <x v="1"/>
    <m/>
    <s v=""/>
    <s v=""/>
    <m/>
    <s v="0"/>
    <m/>
    <m/>
    <s v=""/>
    <m/>
    <s v=""/>
    <s v="-"/>
    <s v=""/>
    <s v=""/>
  </r>
  <r>
    <x v="1208"/>
    <n v="54"/>
    <s v="n"/>
    <x v="49"/>
    <d v="1899-12-30T00:48:07"/>
    <n v="8.64"/>
    <d v="1899-12-30T00:05:34"/>
    <n v="144"/>
    <n v="55"/>
    <n v="212"/>
    <n v="35"/>
    <n v="1.0572899391929242"/>
    <s v="Brooks Defyance 11"/>
    <n v="194.60000000000002"/>
    <s v="-"/>
    <n v="212.96"/>
    <n v="1.4722222222222223"/>
  </r>
  <r>
    <x v="1209"/>
    <m/>
    <m/>
    <x v="1"/>
    <m/>
    <s v=""/>
    <s v=""/>
    <m/>
    <s v="0"/>
    <m/>
    <m/>
    <s v=""/>
    <m/>
    <s v=""/>
    <s v="-"/>
    <s v=""/>
    <s v=""/>
  </r>
  <r>
    <x v="1210"/>
    <n v="55"/>
    <s v="n"/>
    <x v="85"/>
    <d v="1899-12-30T00:21:03"/>
    <n v="5"/>
    <d v="1899-12-30T00:04:13"/>
    <n v="170"/>
    <n v="38"/>
    <n v="269"/>
    <n v="24"/>
    <n v="1.0141701492537314"/>
    <s v="HOKA Carbon X"/>
    <s v=""/>
    <s v="-"/>
    <s v=""/>
    <n v="1.5823529411764705"/>
  </r>
  <r>
    <x v="1211"/>
    <m/>
    <m/>
    <x v="1"/>
    <m/>
    <s v=""/>
    <s v=""/>
    <m/>
    <s v="0"/>
    <m/>
    <m/>
    <s v=""/>
    <m/>
    <s v=""/>
    <s v="-"/>
    <s v=""/>
    <s v=""/>
  </r>
  <r>
    <x v="1212"/>
    <n v="56"/>
    <s v="n"/>
    <x v="52"/>
    <d v="1899-12-30T00:45:16"/>
    <n v="7.9"/>
    <d v="1899-12-30T00:05:44"/>
    <n v="139"/>
    <n v="46"/>
    <n v="207"/>
    <n v="30"/>
    <n v="1.062180238050255"/>
    <s v="HOKA Clifton 7"/>
    <n v="169.39999999999998"/>
    <s v="-"/>
    <n v="193.60000000000002"/>
    <n v="1.4892086330935252"/>
  </r>
  <r>
    <x v="1213"/>
    <m/>
    <m/>
    <x v="1"/>
    <m/>
    <s v=""/>
    <s v=""/>
    <m/>
    <s v="0"/>
    <m/>
    <m/>
    <s v=""/>
    <m/>
    <s v=""/>
    <s v="-"/>
    <s v=""/>
    <s v=""/>
  </r>
  <r>
    <x v="1214"/>
    <n v="57"/>
    <s v="n"/>
    <x v="49"/>
    <d v="1899-12-30T00:57:36"/>
    <n v="10.1"/>
    <d v="1899-12-30T00:05:42"/>
    <n v="137"/>
    <n v="60"/>
    <n v="208"/>
    <n v="29"/>
    <n v="1.0622846165213538"/>
    <s v="Brooks Defyance 11"/>
    <n v="194.60000000000002"/>
    <s v="-"/>
    <n v="212.96"/>
    <n v="1.5182481751824817"/>
  </r>
  <r>
    <x v="1215"/>
    <m/>
    <m/>
    <x v="1"/>
    <m/>
    <s v=""/>
    <s v=""/>
    <m/>
    <s v="0"/>
    <m/>
    <m/>
    <s v=""/>
    <m/>
    <s v=""/>
    <s v="-"/>
    <s v=""/>
    <s v=""/>
  </r>
  <r>
    <x v="1216"/>
    <m/>
    <m/>
    <x v="1"/>
    <m/>
    <s v=""/>
    <s v=""/>
    <m/>
    <s v="0"/>
    <m/>
    <m/>
    <s v=""/>
    <m/>
    <s v=""/>
    <s v="-"/>
    <s v=""/>
    <s v=""/>
  </r>
  <r>
    <x v="1217"/>
    <n v="58"/>
    <s v="j"/>
    <x v="55"/>
    <d v="1899-12-30T01:01:38"/>
    <n v="10.5"/>
    <d v="1899-12-30T00:05:52"/>
    <n v="127"/>
    <n v="59"/>
    <n v="199"/>
    <n v="34"/>
    <n v="1.0460582800284295"/>
    <s v="Brooks Defyance 11"/>
    <n v="194.60000000000002"/>
    <s v="-"/>
    <n v="212.96"/>
    <n v="1.5669291338582678"/>
  </r>
  <r>
    <x v="1218"/>
    <m/>
    <m/>
    <x v="1"/>
    <m/>
    <s v=""/>
    <s v=""/>
    <m/>
    <s v="0"/>
    <m/>
    <m/>
    <s v=""/>
    <m/>
    <s v=""/>
    <s v="-"/>
    <s v=""/>
    <s v=""/>
  </r>
  <r>
    <x v="1219"/>
    <n v="59"/>
    <s v="n"/>
    <x v="50"/>
    <d v="1899-12-30T00:51:13"/>
    <n v="9.77"/>
    <d v="1899-12-30T00:05:15"/>
    <n v="143"/>
    <n v="61"/>
    <n v="224"/>
    <n v="42"/>
    <n v="1.0515773232099481"/>
    <s v="Adizero Boston 8"/>
    <n v="194.60000000000002"/>
    <s v="-"/>
    <n v="212.96"/>
    <n v="1.5664335664335665"/>
  </r>
  <r>
    <x v="1220"/>
    <n v="60"/>
    <s v="n"/>
    <x v="49"/>
    <d v="1899-12-30T00:44:22"/>
    <n v="7.91"/>
    <d v="1899-12-30T00:05:37"/>
    <n v="138"/>
    <n v="47"/>
    <n v="210"/>
    <n v="59"/>
    <n v="1.054814423457932"/>
    <s v="Brooks Defyance 11"/>
    <n v="194.60000000000002"/>
    <s v="-"/>
    <n v="212.96"/>
    <n v="1.5217391304347827"/>
  </r>
  <r>
    <x v="1221"/>
    <m/>
    <m/>
    <x v="1"/>
    <m/>
    <s v=""/>
    <s v=""/>
    <m/>
    <s v="0"/>
    <m/>
    <m/>
    <s v=""/>
    <m/>
    <s v=""/>
    <s v="-"/>
    <s v=""/>
    <s v=""/>
  </r>
  <r>
    <x v="1222"/>
    <m/>
    <m/>
    <x v="1"/>
    <m/>
    <s v=""/>
    <s v=""/>
    <m/>
    <s v="0"/>
    <m/>
    <m/>
    <s v=""/>
    <m/>
    <s v=""/>
    <s v="-"/>
    <s v=""/>
    <s v=""/>
  </r>
  <r>
    <x v="1223"/>
    <m/>
    <m/>
    <x v="1"/>
    <m/>
    <s v=""/>
    <s v=""/>
    <m/>
    <s v="0"/>
    <m/>
    <m/>
    <s v=""/>
    <m/>
    <s v=""/>
    <s v="-"/>
    <s v=""/>
    <s v=""/>
  </r>
  <r>
    <x v="1224"/>
    <n v="61"/>
    <s v="n"/>
    <x v="86"/>
    <d v="1899-12-30T00:59:13"/>
    <n v="8"/>
    <d v="1899-12-30T00:07:24"/>
    <n v="145"/>
    <n v="59"/>
    <n v="193"/>
    <n v="402"/>
    <m/>
    <s v="Innov-8 Terraultra"/>
    <s v=""/>
    <s v="-"/>
    <s v=""/>
    <m/>
  </r>
  <r>
    <x v="1225"/>
    <m/>
    <m/>
    <x v="1"/>
    <m/>
    <s v=""/>
    <s v=""/>
    <m/>
    <s v="0"/>
    <m/>
    <m/>
    <s v=""/>
    <m/>
    <s v=""/>
    <s v="-"/>
    <s v=""/>
    <s v=""/>
  </r>
  <r>
    <x v="1226"/>
    <m/>
    <m/>
    <x v="1"/>
    <m/>
    <s v=""/>
    <s v=""/>
    <m/>
    <s v="0"/>
    <m/>
    <m/>
    <s v=""/>
    <m/>
    <s v=""/>
    <s v="-"/>
    <s v=""/>
    <s v=""/>
  </r>
  <r>
    <x v="1227"/>
    <m/>
    <m/>
    <x v="1"/>
    <m/>
    <s v=""/>
    <s v=""/>
    <m/>
    <s v="0"/>
    <m/>
    <m/>
    <s v=""/>
    <m/>
    <s v=""/>
    <s v="-"/>
    <s v=""/>
    <s v=""/>
  </r>
  <r>
    <x v="1228"/>
    <m/>
    <m/>
    <x v="1"/>
    <m/>
    <s v=""/>
    <s v=""/>
    <m/>
    <s v="0"/>
    <m/>
    <m/>
    <s v=""/>
    <m/>
    <s v=""/>
    <s v="-"/>
    <s v=""/>
    <s v=""/>
  </r>
  <r>
    <x v="1229"/>
    <m/>
    <m/>
    <x v="1"/>
    <m/>
    <s v=""/>
    <s v=""/>
    <m/>
    <s v="0"/>
    <m/>
    <m/>
    <s v=""/>
    <m/>
    <s v=""/>
    <s v="-"/>
    <s v=""/>
    <s v=""/>
  </r>
  <r>
    <x v="1230"/>
    <n v="62"/>
    <s v="j"/>
    <x v="65"/>
    <d v="1899-12-30T01:02:48"/>
    <n v="10.38"/>
    <d v="1899-12-30T00:06:03"/>
    <n v="124"/>
    <n v="57"/>
    <n v="194"/>
    <n v="34"/>
    <n v="1.0510913639893018"/>
    <s v="HOKA Clifton 7"/>
    <n v="169.39999999999998"/>
    <s v="-"/>
    <n v="193.60000000000002"/>
    <n v="1.564516129032258"/>
  </r>
  <r>
    <x v="1231"/>
    <m/>
    <m/>
    <x v="1"/>
    <m/>
    <s v=""/>
    <s v=""/>
    <m/>
    <s v="0"/>
    <m/>
    <m/>
    <s v=""/>
    <m/>
    <s v=""/>
    <s v="-"/>
    <s v=""/>
    <s v=""/>
  </r>
  <r>
    <x v="1232"/>
    <m/>
    <m/>
    <x v="1"/>
    <m/>
    <s v=""/>
    <s v=""/>
    <m/>
    <s v="0"/>
    <m/>
    <m/>
    <s v=""/>
    <m/>
    <s v=""/>
    <s v="-"/>
    <s v=""/>
    <s v=""/>
  </r>
  <r>
    <x v="1233"/>
    <n v="63"/>
    <s v="j"/>
    <x v="50"/>
    <d v="1899-12-30T01:02:55"/>
    <n v="10.46"/>
    <d v="1899-12-30T00:06:01"/>
    <n v="131"/>
    <n v="57"/>
    <n v="195"/>
    <n v="36"/>
    <n v="1.0503767015781513"/>
    <s v="HOKA Clifton 7"/>
    <n v="194.60000000000002"/>
    <s v="-"/>
    <n v="212.96"/>
    <n v="1.4885496183206106"/>
  </r>
  <r>
    <x v="1234"/>
    <m/>
    <m/>
    <x v="1"/>
    <m/>
    <s v=""/>
    <s v=""/>
    <m/>
    <s v="0"/>
    <m/>
    <m/>
    <s v=""/>
    <m/>
    <s v=""/>
    <s v="-"/>
    <s v=""/>
    <s v=""/>
  </r>
  <r>
    <x v="1235"/>
    <n v="64"/>
    <s v="j"/>
    <x v="50"/>
    <d v="1899-12-30T00:57:08"/>
    <n v="9.99"/>
    <d v="1899-12-30T00:05:43"/>
    <n v="137"/>
    <n v="58"/>
    <n v="206"/>
    <n v="25"/>
    <n v="1.0550371266789176"/>
    <s v="Brooks Defyance 11"/>
    <n v="194.60000000000002"/>
    <s v="-"/>
    <n v="212.96"/>
    <n v="1.5036496350364963"/>
  </r>
  <r>
    <x v="1236"/>
    <m/>
    <m/>
    <x v="1"/>
    <m/>
    <s v=""/>
    <s v=""/>
    <m/>
    <s v="0"/>
    <m/>
    <m/>
    <s v=""/>
    <m/>
    <s v=""/>
    <s v="-"/>
    <s v=""/>
    <s v=""/>
  </r>
  <r>
    <x v="1237"/>
    <m/>
    <m/>
    <x v="1"/>
    <m/>
    <s v=""/>
    <s v=""/>
    <m/>
    <s v="0"/>
    <m/>
    <m/>
    <s v=""/>
    <m/>
    <s v=""/>
    <s v="-"/>
    <s v=""/>
    <s v=""/>
  </r>
  <r>
    <x v="1238"/>
    <n v="65"/>
    <s v="n"/>
    <x v="50"/>
    <d v="1899-12-30T00:58:57"/>
    <n v="10.54"/>
    <d v="1899-12-30T00:05:36"/>
    <n v="149"/>
    <n v="64"/>
    <n v="213"/>
    <n v="46"/>
    <n v="1.0668398991758477"/>
    <s v="Brooks Defyance 11"/>
    <n v="194.60000000000002"/>
    <s v="-"/>
    <n v="212.96"/>
    <n v="1.4295302013422819"/>
  </r>
  <r>
    <x v="1239"/>
    <m/>
    <m/>
    <x v="1"/>
    <m/>
    <s v=""/>
    <s v=""/>
    <m/>
    <s v="0"/>
    <m/>
    <m/>
    <s v=""/>
    <m/>
    <s v=""/>
    <s v="-"/>
    <s v=""/>
    <s v=""/>
  </r>
  <r>
    <x v="1240"/>
    <m/>
    <m/>
    <x v="1"/>
    <m/>
    <s v=""/>
    <s v=""/>
    <m/>
    <s v="0"/>
    <m/>
    <m/>
    <s v=""/>
    <m/>
    <s v=""/>
    <s v="-"/>
    <s v=""/>
    <s v=""/>
  </r>
  <r>
    <x v="1241"/>
    <m/>
    <m/>
    <x v="1"/>
    <m/>
    <s v=""/>
    <s v=""/>
    <m/>
    <s v="0"/>
    <m/>
    <m/>
    <s v=""/>
    <m/>
    <s v=""/>
    <s v="-"/>
    <s v=""/>
    <s v=""/>
  </r>
  <r>
    <x v="1242"/>
    <m/>
    <m/>
    <x v="1"/>
    <m/>
    <s v=""/>
    <s v=""/>
    <m/>
    <s v="0"/>
    <m/>
    <m/>
    <s v=""/>
    <m/>
    <s v=""/>
    <s v="-"/>
    <s v=""/>
    <s v=""/>
  </r>
  <r>
    <x v="1243"/>
    <n v="66"/>
    <s v="j"/>
    <x v="50"/>
    <d v="1899-12-30T01:04:35"/>
    <n v="11"/>
    <d v="1899-12-30T00:05:52"/>
    <n v="139"/>
    <n v="63"/>
    <n v="201"/>
    <n v="34"/>
    <n v="1.0568181818181817"/>
    <s v="Brooks Defyance 11"/>
    <n v="194.60000000000002"/>
    <s v="-"/>
    <n v="212.96"/>
    <n v="1.4460431654676258"/>
  </r>
  <r>
    <x v="1244"/>
    <m/>
    <m/>
    <x v="1"/>
    <m/>
    <s v=""/>
    <s v=""/>
    <m/>
    <s v="0"/>
    <m/>
    <m/>
    <s v=""/>
    <m/>
    <s v=""/>
    <s v="-"/>
    <s v=""/>
    <s v=""/>
  </r>
  <r>
    <x v="1245"/>
    <n v="67"/>
    <s v="n"/>
    <x v="50"/>
    <d v="1899-12-30T00:58:44"/>
    <n v="10.6"/>
    <d v="1899-12-30T00:05:32"/>
    <n v="141"/>
    <n v="64"/>
    <n v="214"/>
    <n v="36"/>
    <n v="1.061864263587722"/>
    <s v="Brooks Defyance 11"/>
    <n v="194.60000000000002"/>
    <s v="-"/>
    <n v="212.96"/>
    <n v="1.5177304964539007"/>
  </r>
  <r>
    <x v="1246"/>
    <m/>
    <m/>
    <x v="1"/>
    <m/>
    <s v=""/>
    <s v=""/>
    <m/>
    <s v="0"/>
    <m/>
    <m/>
    <s v=""/>
    <m/>
    <s v=""/>
    <s v="-"/>
    <s v=""/>
    <s v=""/>
  </r>
  <r>
    <x v="1247"/>
    <m/>
    <m/>
    <x v="1"/>
    <m/>
    <s v=""/>
    <s v=""/>
    <m/>
    <s v="0"/>
    <m/>
    <m/>
    <s v=""/>
    <m/>
    <s v=""/>
    <s v="-"/>
    <s v=""/>
    <s v=""/>
  </r>
  <r>
    <x v="1248"/>
    <n v="68"/>
    <s v="n"/>
    <x v="50"/>
    <d v="1899-12-30T00:51:11"/>
    <n v="9.36"/>
    <d v="1899-12-30T00:05:28"/>
    <n v="147"/>
    <n v="57"/>
    <n v="216"/>
    <n v="19"/>
    <n v="1.0577497129735933"/>
    <s v="Brooks Defyance 11"/>
    <n v="194.60000000000002"/>
    <s v="-"/>
    <n v="212.96"/>
    <n v="1.4693877551020409"/>
  </r>
  <r>
    <x v="1249"/>
    <m/>
    <m/>
    <x v="1"/>
    <m/>
    <s v=""/>
    <s v=""/>
    <m/>
    <s v="0"/>
    <m/>
    <m/>
    <s v=""/>
    <m/>
    <s v=""/>
    <s v="-"/>
    <s v=""/>
    <s v=""/>
  </r>
  <r>
    <x v="1250"/>
    <n v="69"/>
    <s v="j"/>
    <x v="50"/>
    <d v="1899-12-30T01:01:55"/>
    <n v="10.65"/>
    <d v="1899-12-30T00:05:49"/>
    <n v="146"/>
    <n v="61"/>
    <n v="203"/>
    <n v="34"/>
    <n v="1.0568915983462968"/>
    <s v="Brooks Defyance 11"/>
    <n v="194.60000000000002"/>
    <s v="-"/>
    <n v="212.96"/>
    <n v="1.3904109589041096"/>
  </r>
  <r>
    <x v="1251"/>
    <m/>
    <m/>
    <x v="1"/>
    <m/>
    <m/>
    <s v=""/>
    <m/>
    <s v="0"/>
    <m/>
    <m/>
    <s v=""/>
    <m/>
    <s v=""/>
    <s v="-"/>
    <s v=""/>
    <s v=""/>
  </r>
  <r>
    <x v="1252"/>
    <m/>
    <m/>
    <x v="1"/>
    <m/>
    <s v=""/>
    <s v=""/>
    <m/>
    <s v="0"/>
    <m/>
    <m/>
    <s v=""/>
    <m/>
    <s v=""/>
    <s v="-"/>
    <s v=""/>
    <s v=""/>
  </r>
  <r>
    <x v="1253"/>
    <n v="70"/>
    <s v="j"/>
    <x v="50"/>
    <d v="1899-12-30T00:53:13"/>
    <n v="8.9700000000000006"/>
    <d v="1899-12-30T00:05:56"/>
    <n v="133"/>
    <n v="50"/>
    <n v="199"/>
    <n v="33"/>
    <n v="1.0572671758265528"/>
    <s v="Brooks Defyance 11"/>
    <n v="194.60000000000002"/>
    <s v="-"/>
    <n v="212.96"/>
    <n v="1.4962406015037595"/>
  </r>
  <r>
    <x v="1254"/>
    <m/>
    <m/>
    <x v="1"/>
    <m/>
    <s v=""/>
    <s v=""/>
    <m/>
    <s v="0"/>
    <m/>
    <m/>
    <s v=""/>
    <m/>
    <s v=""/>
    <s v="-"/>
    <s v=""/>
    <s v=""/>
  </r>
  <r>
    <x v="1255"/>
    <m/>
    <m/>
    <x v="1"/>
    <m/>
    <s v=""/>
    <s v=""/>
    <m/>
    <s v="0"/>
    <m/>
    <m/>
    <s v=""/>
    <m/>
    <s v=""/>
    <s v="-"/>
    <s v=""/>
    <s v=""/>
  </r>
  <r>
    <x v="1256"/>
    <m/>
    <m/>
    <x v="1"/>
    <m/>
    <s v=""/>
    <s v=""/>
    <m/>
    <s v="0"/>
    <m/>
    <m/>
    <s v=""/>
    <m/>
    <s v=""/>
    <s v="-"/>
    <s v=""/>
    <s v=""/>
  </r>
  <r>
    <x v="1257"/>
    <m/>
    <m/>
    <x v="1"/>
    <m/>
    <s v=""/>
    <s v=""/>
    <m/>
    <s v="0"/>
    <m/>
    <m/>
    <s v=""/>
    <m/>
    <s v=""/>
    <s v="-"/>
    <s v=""/>
    <s v=""/>
  </r>
  <r>
    <x v="1258"/>
    <m/>
    <m/>
    <x v="1"/>
    <m/>
    <s v=""/>
    <s v=""/>
    <m/>
    <s v="0"/>
    <m/>
    <m/>
    <s v=""/>
    <m/>
    <s v=""/>
    <s v="-"/>
    <s v=""/>
    <s v=""/>
  </r>
  <r>
    <x v="1259"/>
    <n v="71"/>
    <s v="n"/>
    <x v="49"/>
    <d v="1899-12-30T00:49:03"/>
    <n v="8.68"/>
    <d v="1899-12-30T00:05:39"/>
    <n v="140"/>
    <n v="51"/>
    <n v="209"/>
    <n v="12"/>
    <n v="1.0576501134878604"/>
    <s v="Brooks Defyance 11"/>
    <n v="194.60000000000002"/>
    <s v="-"/>
    <n v="212.96"/>
    <n v="1.4928571428571429"/>
  </r>
  <r>
    <x v="1260"/>
    <m/>
    <m/>
    <x v="1"/>
    <m/>
    <s v=""/>
    <s v=""/>
    <m/>
    <s v="0"/>
    <m/>
    <m/>
    <s v=""/>
    <m/>
    <s v=""/>
    <s v="-"/>
    <s v=""/>
    <s v=""/>
  </r>
  <r>
    <x v="1261"/>
    <m/>
    <m/>
    <x v="1"/>
    <m/>
    <s v=""/>
    <s v=""/>
    <m/>
    <s v="0"/>
    <m/>
    <m/>
    <s v=""/>
    <m/>
    <s v=""/>
    <s v="-"/>
    <s v=""/>
    <s v=""/>
  </r>
  <r>
    <x v="1262"/>
    <n v="72"/>
    <s v="n"/>
    <x v="49"/>
    <d v="1899-12-30T00:48:22"/>
    <n v="8.42"/>
    <d v="1899-12-30T00:05:45"/>
    <n v="139"/>
    <n v="49"/>
    <n v="205"/>
    <n v="12"/>
    <n v="1.0545431984968272"/>
    <s v="Brooks Defyance 11"/>
    <n v="194.60000000000002"/>
    <s v="-"/>
    <n v="212.96"/>
    <n v="1.474820143884892"/>
  </r>
  <r>
    <x v="1263"/>
    <m/>
    <m/>
    <x v="1"/>
    <m/>
    <s v=""/>
    <s v=""/>
    <m/>
    <s v="0"/>
    <m/>
    <m/>
    <s v=""/>
    <m/>
    <s v=""/>
    <s v="-"/>
    <s v=""/>
    <s v=""/>
  </r>
  <r>
    <x v="1264"/>
    <m/>
    <m/>
    <x v="1"/>
    <m/>
    <s v=""/>
    <s v=""/>
    <m/>
    <s v="0"/>
    <m/>
    <m/>
    <s v=""/>
    <m/>
    <s v=""/>
    <s v="-"/>
    <s v=""/>
    <s v=""/>
  </r>
  <r>
    <x v="1265"/>
    <n v="73"/>
    <s v="n"/>
    <x v="49"/>
    <d v="1899-12-30T00:48:25"/>
    <n v="8.36"/>
    <d v="1899-12-30T00:05:47"/>
    <n v="137"/>
    <n v="47"/>
    <n v="202"/>
    <n v="12"/>
    <n v="1.0476505034635435"/>
    <s v="HOKA Clifton 7"/>
    <n v="194.60000000000002"/>
    <s v="-"/>
    <n v="212.96"/>
    <n v="1.4744525547445255"/>
  </r>
  <r>
    <x v="1266"/>
    <m/>
    <m/>
    <x v="1"/>
    <m/>
    <s v=""/>
    <s v=""/>
    <m/>
    <s v="0"/>
    <m/>
    <m/>
    <s v=""/>
    <m/>
    <s v=""/>
    <s v="-"/>
    <s v=""/>
    <s v=""/>
  </r>
  <r>
    <x v="1267"/>
    <m/>
    <m/>
    <x v="1"/>
    <m/>
    <s v=""/>
    <s v=""/>
    <m/>
    <s v="0"/>
    <m/>
    <m/>
    <s v=""/>
    <m/>
    <s v=""/>
    <s v="-"/>
    <s v=""/>
    <s v=""/>
  </r>
  <r>
    <x v="1268"/>
    <n v="74"/>
    <s v="n"/>
    <x v="50"/>
    <d v="1899-12-30T00:48:11"/>
    <n v="8.5"/>
    <d v="1899-12-30T00:05:40"/>
    <n v="142"/>
    <n v="49"/>
    <n v="206"/>
    <n v="23"/>
    <n v="1.0457348551360843"/>
    <s v="HOKA Clifton 7"/>
    <n v="194.60000000000002"/>
    <s v="-"/>
    <n v="212.96"/>
    <n v="1.4507042253521127"/>
  </r>
  <r>
    <x v="1269"/>
    <m/>
    <m/>
    <x v="1"/>
    <m/>
    <s v=""/>
    <s v=""/>
    <m/>
    <s v="0"/>
    <m/>
    <m/>
    <s v=""/>
    <m/>
    <s v=""/>
    <s v="-"/>
    <s v=""/>
    <s v=""/>
  </r>
  <r>
    <x v="1270"/>
    <n v="75"/>
    <s v="j"/>
    <x v="50"/>
    <d v="1899-12-30T00:59:57"/>
    <n v="10.3"/>
    <d v="1899-12-30T00:05:49"/>
    <n v="135"/>
    <n v="58"/>
    <n v="201"/>
    <n v="29"/>
    <n v="1.0476699029126215"/>
    <s v="Brooks Defyance 11"/>
    <n v="194.60000000000002"/>
    <s v="-"/>
    <n v="212.96"/>
    <n v="1.4888888888888889"/>
  </r>
  <r>
    <x v="1271"/>
    <m/>
    <m/>
    <x v="1"/>
    <m/>
    <s v=""/>
    <s v=""/>
    <m/>
    <s v="0"/>
    <m/>
    <m/>
    <s v=""/>
    <m/>
    <s v=""/>
    <s v="-"/>
    <s v=""/>
    <s v=""/>
  </r>
  <r>
    <x v="1272"/>
    <n v="76"/>
    <s v="n"/>
    <x v="59"/>
    <d v="1899-12-30T00:39:02"/>
    <n v="6.71"/>
    <d v="1899-12-30T00:05:49"/>
    <n v="138"/>
    <n v="39"/>
    <n v="204"/>
    <n v="11"/>
    <n v="1.0627221567275396"/>
    <s v="Brooks Defyance 11"/>
    <n v="194.60000000000002"/>
    <s v="-"/>
    <n v="212.96"/>
    <n v="1.4782608695652173"/>
  </r>
  <r>
    <x v="1273"/>
    <m/>
    <m/>
    <x v="1"/>
    <m/>
    <s v=""/>
    <s v=""/>
    <m/>
    <s v="0"/>
    <m/>
    <m/>
    <s v=""/>
    <m/>
    <s v=""/>
    <s v="-"/>
    <s v=""/>
    <s v=""/>
  </r>
  <r>
    <x v="1274"/>
    <m/>
    <m/>
    <x v="1"/>
    <m/>
    <s v=""/>
    <s v=""/>
    <m/>
    <s v="0"/>
    <m/>
    <m/>
    <s v=""/>
    <m/>
    <s v=""/>
    <s v="-"/>
    <s v=""/>
    <s v=""/>
  </r>
  <r>
    <x v="1275"/>
    <m/>
    <m/>
    <x v="1"/>
    <m/>
    <s v=""/>
    <s v=""/>
    <m/>
    <s v="0"/>
    <m/>
    <m/>
    <s v=""/>
    <m/>
    <s v=""/>
    <s v="-"/>
    <s v=""/>
    <s v=""/>
  </r>
  <r>
    <x v="1276"/>
    <m/>
    <m/>
    <x v="1"/>
    <m/>
    <s v=""/>
    <s v=""/>
    <m/>
    <s v="0"/>
    <m/>
    <m/>
    <s v=""/>
    <m/>
    <s v=""/>
    <s v="-"/>
    <s v=""/>
    <s v=""/>
  </r>
  <r>
    <x v="1277"/>
    <n v="77"/>
    <s v="n"/>
    <x v="59"/>
    <d v="1899-12-30T00:36:36"/>
    <n v="6.14"/>
    <d v="1899-12-30T00:05:58"/>
    <n v="146"/>
    <n v="35"/>
    <n v="198"/>
    <n v="18"/>
    <n v="1.05694977879333"/>
    <s v="HOKA Clifton 7"/>
    <n v="194.60000000000002"/>
    <s v="-"/>
    <n v="212.96"/>
    <n v="1.3561643835616439"/>
  </r>
  <r>
    <x v="1278"/>
    <m/>
    <m/>
    <x v="1"/>
    <m/>
    <s v=""/>
    <s v=""/>
    <m/>
    <s v="0"/>
    <m/>
    <m/>
    <s v=""/>
    <m/>
    <s v=""/>
    <s v="-"/>
    <s v=""/>
    <s v=""/>
  </r>
  <r>
    <x v="1279"/>
    <m/>
    <m/>
    <x v="1"/>
    <m/>
    <s v=""/>
    <s v=""/>
    <m/>
    <s v="0"/>
    <m/>
    <m/>
    <s v=""/>
    <m/>
    <s v=""/>
    <s v="-"/>
    <s v=""/>
    <s v=""/>
  </r>
  <r>
    <x v="1280"/>
    <m/>
    <m/>
    <x v="1"/>
    <m/>
    <s v=""/>
    <s v=""/>
    <m/>
    <s v="0"/>
    <m/>
    <m/>
    <s v=""/>
    <m/>
    <s v=""/>
    <s v="-"/>
    <s v=""/>
    <s v=""/>
  </r>
  <r>
    <x v="1281"/>
    <m/>
    <m/>
    <x v="1"/>
    <m/>
    <s v=""/>
    <s v=""/>
    <m/>
    <s v="0"/>
    <m/>
    <m/>
    <s v=""/>
    <m/>
    <s v=""/>
    <s v="-"/>
    <s v=""/>
    <s v=""/>
  </r>
  <r>
    <x v="1282"/>
    <m/>
    <m/>
    <x v="1"/>
    <m/>
    <s v=""/>
    <s v=""/>
    <m/>
    <s v="0"/>
    <m/>
    <m/>
    <s v=""/>
    <m/>
    <s v=""/>
    <s v="-"/>
    <s v=""/>
    <s v=""/>
  </r>
  <r>
    <x v="1283"/>
    <m/>
    <m/>
    <x v="1"/>
    <m/>
    <s v=""/>
    <s v=""/>
    <m/>
    <s v="0"/>
    <m/>
    <m/>
    <s v=""/>
    <m/>
    <s v=""/>
    <s v="-"/>
    <s v=""/>
    <s v=""/>
  </r>
  <r>
    <x v="1284"/>
    <m/>
    <m/>
    <x v="1"/>
    <m/>
    <s v=""/>
    <s v=""/>
    <m/>
    <s v="0"/>
    <m/>
    <m/>
    <s v=""/>
    <m/>
    <s v=""/>
    <s v="-"/>
    <s v=""/>
    <s v=""/>
  </r>
  <r>
    <x v="1285"/>
    <m/>
    <m/>
    <x v="1"/>
    <m/>
    <s v=""/>
    <s v=""/>
    <m/>
    <s v="0"/>
    <m/>
    <m/>
    <s v=""/>
    <m/>
    <s v=""/>
    <s v="-"/>
    <s v=""/>
    <s v=""/>
  </r>
  <r>
    <x v="1286"/>
    <n v="78"/>
    <s v="n"/>
    <x v="49"/>
    <d v="1899-12-30T00:51:59"/>
    <n v="8.32"/>
    <d v="1899-12-30T00:06:15"/>
    <n v="134"/>
    <n v="44"/>
    <n v="188"/>
    <n v="23"/>
    <n v="1.0519015499425948"/>
    <s v="HOKA Clifton 7"/>
    <n v="194.60000000000002"/>
    <s v="-"/>
    <n v="212.96"/>
    <n v="1.4029850746268657"/>
  </r>
  <r>
    <x v="1287"/>
    <m/>
    <m/>
    <x v="1"/>
    <m/>
    <s v=""/>
    <s v=""/>
    <m/>
    <s v="0"/>
    <m/>
    <m/>
    <s v=""/>
    <m/>
    <s v=""/>
    <s v="-"/>
    <s v=""/>
    <s v=""/>
  </r>
  <r>
    <x v="1288"/>
    <m/>
    <m/>
    <x v="1"/>
    <m/>
    <s v=""/>
    <s v=""/>
    <m/>
    <s v="0"/>
    <m/>
    <m/>
    <s v=""/>
    <m/>
    <s v=""/>
    <s v="-"/>
    <s v=""/>
    <s v=""/>
  </r>
  <r>
    <x v="1289"/>
    <m/>
    <m/>
    <x v="1"/>
    <m/>
    <s v=""/>
    <s v=""/>
    <m/>
    <s v="0"/>
    <m/>
    <m/>
    <s v=""/>
    <m/>
    <s v=""/>
    <s v="-"/>
    <s v=""/>
    <s v=""/>
  </r>
  <r>
    <x v="1290"/>
    <m/>
    <m/>
    <x v="1"/>
    <m/>
    <s v=""/>
    <s v=""/>
    <m/>
    <s v="0"/>
    <m/>
    <m/>
    <s v=""/>
    <m/>
    <s v=""/>
    <s v="-"/>
    <s v=""/>
    <s v=""/>
  </r>
  <r>
    <x v="1291"/>
    <n v="79"/>
    <s v="j"/>
    <x v="49"/>
    <d v="1899-12-30T00:48:17"/>
    <n v="8.01"/>
    <d v="1899-12-30T00:06:02"/>
    <n v="145"/>
    <n v="44"/>
    <n v="197"/>
    <n v="17"/>
    <n v="1.0634263141222724"/>
    <s v="Brooks Defyance 11"/>
    <n v="194.60000000000002"/>
    <s v="-"/>
    <n v="212.96"/>
    <n v="1.3586206896551725"/>
  </r>
  <r>
    <x v="1292"/>
    <m/>
    <m/>
    <x v="1"/>
    <m/>
    <s v=""/>
    <s v=""/>
    <m/>
    <s v="0"/>
    <m/>
    <m/>
    <s v=""/>
    <m/>
    <s v=""/>
    <s v="-"/>
    <s v=""/>
    <s v=""/>
  </r>
  <r>
    <x v="1293"/>
    <m/>
    <m/>
    <x v="1"/>
    <m/>
    <s v=""/>
    <s v=""/>
    <m/>
    <s v="0"/>
    <m/>
    <m/>
    <s v=""/>
    <m/>
    <s v=""/>
    <s v="-"/>
    <s v=""/>
    <s v=""/>
  </r>
  <r>
    <x v="1294"/>
    <m/>
    <m/>
    <x v="1"/>
    <m/>
    <s v=""/>
    <s v=""/>
    <m/>
    <s v="0"/>
    <m/>
    <m/>
    <s v=""/>
    <m/>
    <s v=""/>
    <s v="-"/>
    <s v=""/>
    <s v=""/>
  </r>
  <r>
    <x v="1295"/>
    <m/>
    <m/>
    <x v="1"/>
    <m/>
    <s v=""/>
    <s v=""/>
    <m/>
    <s v="0"/>
    <m/>
    <m/>
    <s v=""/>
    <m/>
    <s v=""/>
    <s v="-"/>
    <s v=""/>
    <s v=""/>
  </r>
  <r>
    <x v="1296"/>
    <m/>
    <m/>
    <x v="1"/>
    <m/>
    <s v=""/>
    <s v=""/>
    <m/>
    <s v="0"/>
    <m/>
    <m/>
    <s v=""/>
    <m/>
    <s v=""/>
    <s v="-"/>
    <s v=""/>
    <s v=""/>
  </r>
  <r>
    <x v="1297"/>
    <m/>
    <m/>
    <x v="1"/>
    <m/>
    <s v=""/>
    <s v=""/>
    <m/>
    <s v="0"/>
    <m/>
    <m/>
    <s v=""/>
    <m/>
    <s v=""/>
    <s v="-"/>
    <s v=""/>
    <s v=""/>
  </r>
  <r>
    <x v="1298"/>
    <m/>
    <m/>
    <x v="1"/>
    <m/>
    <s v=""/>
    <s v=""/>
    <m/>
    <s v="0"/>
    <m/>
    <m/>
    <s v=""/>
    <m/>
    <s v=""/>
    <s v="-"/>
    <s v=""/>
    <s v=""/>
  </r>
  <r>
    <x v="1299"/>
    <m/>
    <m/>
    <x v="1"/>
    <m/>
    <s v=""/>
    <s v=""/>
    <m/>
    <s v="0"/>
    <m/>
    <m/>
    <s v=""/>
    <m/>
    <s v=""/>
    <s v="-"/>
    <s v=""/>
    <s v=""/>
  </r>
  <r>
    <x v="1300"/>
    <m/>
    <m/>
    <x v="1"/>
    <m/>
    <s v=""/>
    <s v=""/>
    <m/>
    <s v="0"/>
    <m/>
    <m/>
    <s v=""/>
    <m/>
    <s v=""/>
    <s v="-"/>
    <s v=""/>
    <s v=""/>
  </r>
  <r>
    <x v="1301"/>
    <m/>
    <m/>
    <x v="1"/>
    <m/>
    <s v=""/>
    <s v=""/>
    <m/>
    <s v="0"/>
    <m/>
    <m/>
    <s v=""/>
    <m/>
    <s v=""/>
    <s v="-"/>
    <s v=""/>
    <s v=""/>
  </r>
  <r>
    <x v="1302"/>
    <m/>
    <m/>
    <x v="1"/>
    <m/>
    <s v=""/>
    <s v=""/>
    <m/>
    <s v="0"/>
    <m/>
    <m/>
    <s v=""/>
    <m/>
    <s v=""/>
    <s v="-"/>
    <s v=""/>
    <s v=""/>
  </r>
  <r>
    <x v="1303"/>
    <n v="80"/>
    <s v="n"/>
    <x v="87"/>
    <d v="1899-12-30T00:28:15"/>
    <n v="5.04"/>
    <d v="1899-12-30T00:05:36"/>
    <n v="146"/>
    <n v="41"/>
    <n v="210"/>
    <n v="12"/>
    <n v="1.0541044776119404"/>
    <s v="HOKA Clifton 7"/>
    <n v="194.60000000000002"/>
    <s v="-"/>
    <n v="212.96"/>
    <n v="1.4383561643835616"/>
  </r>
  <r>
    <x v="1304"/>
    <m/>
    <m/>
    <x v="1"/>
    <m/>
    <s v=""/>
    <s v=""/>
    <m/>
    <s v="0"/>
    <m/>
    <m/>
    <s v=""/>
    <m/>
    <s v=""/>
    <s v="-"/>
    <s v=""/>
    <s v=""/>
  </r>
  <r>
    <x v="1305"/>
    <n v="81"/>
    <s v="n"/>
    <x v="87"/>
    <d v="1899-12-30T00:34:55"/>
    <n v="6.25"/>
    <d v="1899-12-30T00:05:35"/>
    <n v="146"/>
    <n v="50"/>
    <n v="212"/>
    <n v="12"/>
    <n v="1.0606328358208954"/>
    <s v="Brooks Defyance 11"/>
    <n v="194.60000000000002"/>
    <s v="-"/>
    <n v="212.96"/>
    <n v="1.452054794520548"/>
  </r>
  <r>
    <x v="1306"/>
    <m/>
    <m/>
    <x v="1"/>
    <m/>
    <s v=""/>
    <s v=""/>
    <m/>
    <s v="0"/>
    <m/>
    <m/>
    <s v=""/>
    <m/>
    <s v=""/>
    <s v="-"/>
    <s v=""/>
    <s v=""/>
  </r>
  <r>
    <x v="1307"/>
    <n v="82"/>
    <s v="j"/>
    <x v="87"/>
    <d v="1899-12-30T00:39:48"/>
    <n v="6.95"/>
    <d v="1899-12-30T00:05:44"/>
    <n v="136"/>
    <n v="54"/>
    <n v="204"/>
    <n v="20"/>
    <n v="1.0461763126811983"/>
    <s v="Brooks Defyance 11"/>
    <n v="194.60000000000002"/>
    <s v="-"/>
    <n v="212.96"/>
    <n v="1.5"/>
  </r>
  <r>
    <x v="1308"/>
    <m/>
    <m/>
    <x v="1"/>
    <m/>
    <s v=""/>
    <s v=""/>
    <m/>
    <s v="0"/>
    <m/>
    <m/>
    <s v=""/>
    <m/>
    <s v=""/>
    <s v="-"/>
    <s v=""/>
    <s v=""/>
  </r>
  <r>
    <x v="1309"/>
    <n v="83"/>
    <s v="n"/>
    <x v="54"/>
    <d v="1899-12-30T00:38:54"/>
    <n v="6.6"/>
    <d v="1899-12-30T00:05:54"/>
    <n v="140"/>
    <n v="49"/>
    <n v="200"/>
    <n v="18"/>
    <n v="1.0556309362279515"/>
    <s v="HOKA Clifton 7"/>
    <n v="194.60000000000002"/>
    <s v="-"/>
    <n v="212.96"/>
    <n v="1.4285714285714286"/>
  </r>
  <r>
    <x v="1310"/>
    <m/>
    <m/>
    <x v="1"/>
    <m/>
    <s v=""/>
    <s v=""/>
    <m/>
    <s v="0"/>
    <m/>
    <m/>
    <s v=""/>
    <m/>
    <s v=""/>
    <s v="-"/>
    <s v=""/>
    <s v=""/>
  </r>
  <r>
    <x v="1311"/>
    <m/>
    <m/>
    <x v="1"/>
    <m/>
    <s v=""/>
    <s v=""/>
    <m/>
    <s v="0"/>
    <m/>
    <m/>
    <s v=""/>
    <m/>
    <s v=""/>
    <s v="-"/>
    <s v=""/>
    <s v=""/>
  </r>
  <r>
    <x v="1312"/>
    <n v="84"/>
    <s v="n"/>
    <x v="54"/>
    <d v="1899-12-30T00:39:52"/>
    <n v="6.96"/>
    <d v="1899-12-30T00:05:44"/>
    <n v="144"/>
    <n v="54"/>
    <n v="206"/>
    <n v="21"/>
    <n v="1.0566821067078402"/>
    <s v="Brooks Defyance 11"/>
    <n v="194.60000000000002"/>
    <s v="-"/>
    <n v="212.96"/>
    <n v="1.4305555555555556"/>
  </r>
  <r>
    <x v="1313"/>
    <m/>
    <m/>
    <x v="1"/>
    <m/>
    <s v=""/>
    <s v=""/>
    <m/>
    <s v="0"/>
    <m/>
    <m/>
    <s v=""/>
    <m/>
    <s v=""/>
    <s v="-"/>
    <s v=""/>
    <s v=""/>
  </r>
  <r>
    <x v="1314"/>
    <n v="85"/>
    <s v="n"/>
    <x v="88"/>
    <d v="1899-12-30T00:41:19"/>
    <n v="7.84"/>
    <d v="1899-12-30T00:05:16"/>
    <n v="150"/>
    <n v="65"/>
    <n v="221"/>
    <n v="15"/>
    <n v="1.0429846938775513"/>
    <s v="Brooks Defyance 11"/>
    <n v="194.60000000000002"/>
    <s v="-"/>
    <n v="212.96"/>
    <n v="1.4733333333333334"/>
  </r>
  <r>
    <x v="1315"/>
    <m/>
    <m/>
    <x v="1"/>
    <m/>
    <s v=""/>
    <s v=""/>
    <m/>
    <s v="0"/>
    <m/>
    <m/>
    <s v=""/>
    <m/>
    <s v=""/>
    <s v="-"/>
    <s v=""/>
    <s v=""/>
  </r>
  <r>
    <x v="1316"/>
    <n v="86"/>
    <s v="j"/>
    <x v="88"/>
    <d v="1899-12-30T00:38:41"/>
    <n v="6.56"/>
    <d v="1899-12-30T00:05:54"/>
    <n v="144"/>
    <n v="46"/>
    <n v="199"/>
    <n v="15"/>
    <n v="1.0508714051692756"/>
    <s v="HOKA Clifton 7"/>
    <n v="194.60000000000002"/>
    <s v="-"/>
    <n v="212.96"/>
    <n v="1.3819444444444444"/>
  </r>
  <r>
    <x v="1317"/>
    <m/>
    <m/>
    <x v="1"/>
    <m/>
    <s v=""/>
    <s v=""/>
    <m/>
    <s v="0"/>
    <m/>
    <m/>
    <s v=""/>
    <m/>
    <s v=""/>
    <s v="-"/>
    <s v=""/>
    <s v=""/>
  </r>
  <r>
    <x v="1318"/>
    <n v="87"/>
    <s v="n"/>
    <x v="55"/>
    <d v="1899-12-30T00:57:16"/>
    <n v="10.1"/>
    <d v="1899-12-30T00:05:40"/>
    <n v="154"/>
    <n v="75"/>
    <n v="209"/>
    <n v="26"/>
    <n v="1.0612147184867742"/>
    <s v="Brooks Defyance 11"/>
    <n v="194.60000000000002"/>
    <s v="-"/>
    <n v="212.96"/>
    <n v="1.3571428571428572"/>
  </r>
  <r>
    <x v="1319"/>
    <m/>
    <m/>
    <x v="1"/>
    <m/>
    <s v=""/>
    <s v=""/>
    <m/>
    <s v="0"/>
    <m/>
    <m/>
    <s v=""/>
    <m/>
    <s v=""/>
    <s v="-"/>
    <s v=""/>
    <s v=""/>
  </r>
  <r>
    <x v="1320"/>
    <m/>
    <m/>
    <x v="1"/>
    <m/>
    <s v=""/>
    <s v=""/>
    <m/>
    <s v="0"/>
    <m/>
    <m/>
    <s v=""/>
    <m/>
    <s v=""/>
    <s v="-"/>
    <s v=""/>
    <s v=""/>
  </r>
  <r>
    <x v="1321"/>
    <n v="88"/>
    <s v="j"/>
    <x v="88"/>
    <d v="1899-12-30T00:38:01"/>
    <n v="6.49"/>
    <d v="1899-12-30T00:05:51"/>
    <n v="141"/>
    <n v="45"/>
    <n v="199"/>
    <n v="18"/>
    <n v="1.0438999149092749"/>
    <s v="Brooks Defyance 11"/>
    <n v="194.60000000000002"/>
    <s v="-"/>
    <n v="212.96"/>
    <n v="1.4113475177304964"/>
  </r>
  <r>
    <x v="1322"/>
    <m/>
    <m/>
    <x v="1"/>
    <m/>
    <s v=""/>
    <s v=""/>
    <m/>
    <s v="0"/>
    <m/>
    <m/>
    <s v=""/>
    <m/>
    <s v=""/>
    <s v="-"/>
    <s v=""/>
    <s v=""/>
  </r>
  <r>
    <x v="1323"/>
    <n v="89"/>
    <s v="j"/>
    <x v="55"/>
    <d v="1899-12-30T01:05:15"/>
    <n v="10.8"/>
    <d v="1899-12-30T00:06:02"/>
    <n v="137"/>
    <n v="74"/>
    <n v="194"/>
    <n v="36"/>
    <n v="1.0496268656716417"/>
    <s v="HOKA Clifton 7"/>
    <n v="194.60000000000002"/>
    <s v="-"/>
    <n v="212.96"/>
    <n v="1.416058394160584"/>
  </r>
  <r>
    <x v="1324"/>
    <m/>
    <m/>
    <x v="1"/>
    <m/>
    <s v=""/>
    <s v=""/>
    <m/>
    <s v="0"/>
    <m/>
    <m/>
    <s v=""/>
    <m/>
    <s v=""/>
    <s v="-"/>
    <s v=""/>
    <s v=""/>
  </r>
  <r>
    <x v="1325"/>
    <n v="90"/>
    <s v="n"/>
    <x v="88"/>
    <d v="1899-12-30T00:41:37"/>
    <n v="7.38"/>
    <d v="1899-12-30T00:05:38"/>
    <n v="139"/>
    <n v="54"/>
    <n v="209"/>
    <n v="26"/>
    <n v="1.0554402782833796"/>
    <s v="Brooks Defyance 11"/>
    <n v="194.60000000000002"/>
    <s v="-"/>
    <n v="212.96"/>
    <n v="1.5035971223021583"/>
  </r>
  <r>
    <x v="1326"/>
    <m/>
    <m/>
    <x v="1"/>
    <m/>
    <s v=""/>
    <s v=""/>
    <m/>
    <s v="0"/>
    <m/>
    <m/>
    <s v=""/>
    <m/>
    <s v=""/>
    <s v="-"/>
    <s v=""/>
    <s v=""/>
  </r>
  <r>
    <x v="1327"/>
    <n v="91"/>
    <s v="n"/>
    <x v="88"/>
    <d v="1899-12-30T00:38:52"/>
    <n v="7.13"/>
    <d v="1899-12-30T00:05:27"/>
    <n v="143"/>
    <n v="54"/>
    <n v="215"/>
    <n v="17"/>
    <n v="1.049548889493626"/>
    <s v="HOKA Clifton 7"/>
    <n v="194.60000000000002"/>
    <s v="-"/>
    <n v="212.96"/>
    <n v="1.5034965034965035"/>
  </r>
  <r>
    <x v="1328"/>
    <m/>
    <m/>
    <x v="1"/>
    <m/>
    <s v=""/>
    <s v=""/>
    <m/>
    <s v="0"/>
    <m/>
    <m/>
    <s v=""/>
    <m/>
    <s v=""/>
    <s v="-"/>
    <s v=""/>
    <s v=""/>
  </r>
  <r>
    <x v="1329"/>
    <m/>
    <m/>
    <x v="1"/>
    <m/>
    <s v=""/>
    <s v=""/>
    <m/>
    <s v="0"/>
    <m/>
    <m/>
    <s v=""/>
    <m/>
    <s v=""/>
    <s v="-"/>
    <s v=""/>
    <s v=""/>
  </r>
  <r>
    <x v="1330"/>
    <n v="92"/>
    <s v="j"/>
    <x v="88"/>
    <d v="1899-12-30T00:49:35"/>
    <n v="8.65"/>
    <d v="1899-12-30T00:05:44"/>
    <n v="140"/>
    <n v="62"/>
    <n v="204"/>
    <n v="32"/>
    <n v="1.0471917867310845"/>
    <s v="Brooks Defyance 11"/>
    <n v="194.60000000000002"/>
    <s v="-"/>
    <n v="212.96"/>
    <n v="1.4571428571428571"/>
  </r>
  <r>
    <x v="1331"/>
    <m/>
    <m/>
    <x v="1"/>
    <m/>
    <s v=""/>
    <s v=""/>
    <m/>
    <s v="0"/>
    <m/>
    <m/>
    <s v=""/>
    <m/>
    <s v=""/>
    <s v="-"/>
    <s v=""/>
    <s v=""/>
  </r>
  <r>
    <x v="1332"/>
    <n v="93"/>
    <s v="n"/>
    <x v="88"/>
    <d v="1899-12-30T00:41:11"/>
    <n v="7.51"/>
    <d v="1899-12-30T00:05:29"/>
    <n v="150"/>
    <n v="54"/>
    <n v="214"/>
    <n v="24"/>
    <n v="1.0509251346463422"/>
    <s v="HOKA Clifton 7"/>
    <n v="194.60000000000002"/>
    <s v="-"/>
    <n v="212.96"/>
    <n v="1.4266666666666667"/>
  </r>
  <r>
    <x v="1333"/>
    <m/>
    <m/>
    <x v="1"/>
    <m/>
    <s v=""/>
    <s v=""/>
    <m/>
    <s v="0"/>
    <m/>
    <m/>
    <s v=""/>
    <m/>
    <s v=""/>
    <s v="-"/>
    <s v=""/>
    <s v=""/>
  </r>
  <r>
    <x v="1334"/>
    <n v="94"/>
    <s v="n"/>
    <x v="89"/>
    <d v="1899-12-30T00:43:41"/>
    <n v="8.33"/>
    <d v="1899-12-30T00:05:15"/>
    <n v="149"/>
    <n v="66"/>
    <n v="223"/>
    <n v="34"/>
    <n v="1.047254125530809"/>
    <s v="Brooks Defyance 11"/>
    <s v=""/>
    <s v="-"/>
    <s v=""/>
    <n v="1.4966442953020134"/>
  </r>
  <r>
    <x v="1335"/>
    <m/>
    <m/>
    <x v="1"/>
    <m/>
    <s v=""/>
    <s v=""/>
    <m/>
    <s v="0"/>
    <m/>
    <m/>
    <s v=""/>
    <m/>
    <s v=""/>
    <s v="-"/>
    <s v=""/>
    <s v=""/>
  </r>
  <r>
    <x v="1336"/>
    <n v="95"/>
    <s v="j"/>
    <x v="55"/>
    <d v="1899-12-30T00:58:05"/>
    <n v="9.93"/>
    <d v="1899-12-30T00:05:51"/>
    <n v="136"/>
    <n v="67"/>
    <n v="200"/>
    <n v="25"/>
    <n v="1.0476319309795434"/>
    <s v="HOKA Clifton 7"/>
    <n v="194.60000000000002"/>
    <s v="-"/>
    <n v="212.96"/>
    <n v="1.4705882352941178"/>
  </r>
  <r>
    <x v="1337"/>
    <m/>
    <m/>
    <x v="1"/>
    <m/>
    <s v=""/>
    <s v=""/>
    <m/>
    <s v="0"/>
    <m/>
    <m/>
    <s v=""/>
    <m/>
    <s v=""/>
    <s v="-"/>
    <s v=""/>
    <s v=""/>
  </r>
  <r>
    <x v="1338"/>
    <m/>
    <m/>
    <x v="1"/>
    <m/>
    <s v=""/>
    <s v=""/>
    <m/>
    <s v="0"/>
    <m/>
    <m/>
    <s v=""/>
    <m/>
    <s v=""/>
    <s v="-"/>
    <s v=""/>
    <s v=""/>
  </r>
  <r>
    <x v="1339"/>
    <n v="96"/>
    <s v="n"/>
    <x v="55"/>
    <d v="1899-12-30T00:58:16"/>
    <n v="10.49"/>
    <d v="1899-12-30T00:05:33"/>
    <n v="146"/>
    <n v="75"/>
    <n v="213"/>
    <n v="32"/>
    <n v="1.0594994522146182"/>
    <s v="Brooks Defyance 11"/>
    <n v="194.60000000000002"/>
    <s v="-"/>
    <n v="212.96"/>
    <n v="1.4589041095890412"/>
  </r>
  <r>
    <x v="1340"/>
    <m/>
    <m/>
    <x v="1"/>
    <m/>
    <s v=""/>
    <s v=""/>
    <m/>
    <s v="0"/>
    <m/>
    <m/>
    <s v=""/>
    <m/>
    <s v=""/>
    <s v="-"/>
    <s v=""/>
    <s v=""/>
  </r>
  <r>
    <x v="1341"/>
    <n v="97"/>
    <s v="n"/>
    <x v="90"/>
    <d v="1899-12-30T00:45:56"/>
    <n v="8.9700000000000006"/>
    <d v="1899-12-30T00:05:07"/>
    <n v="152"/>
    <n v="69"/>
    <n v="226"/>
    <n v="16"/>
    <n v="1.0363833008868699"/>
    <s v="HOKA Carbon X"/>
    <s v=""/>
    <s v="-"/>
    <s v=""/>
    <n v="1.486842105263158"/>
  </r>
  <r>
    <x v="1342"/>
    <m/>
    <m/>
    <x v="1"/>
    <m/>
    <s v=""/>
    <s v=""/>
    <m/>
    <s v="0"/>
    <m/>
    <m/>
    <s v=""/>
    <m/>
    <s v=""/>
    <s v="-"/>
    <s v=""/>
    <s v=""/>
  </r>
  <r>
    <x v="1343"/>
    <n v="98"/>
    <s v="j"/>
    <x v="55"/>
    <d v="1899-12-30T01:02:18"/>
    <n v="10.64"/>
    <d v="1899-12-30T00:05:51"/>
    <n v="134"/>
    <n v="71"/>
    <n v="200"/>
    <n v="39"/>
    <n v="1.0487038491751768"/>
    <s v="HOKA Clifton 7"/>
    <n v="194.60000000000002"/>
    <s v="-"/>
    <n v="212.96"/>
    <n v="1.4925373134328359"/>
  </r>
  <r>
    <x v="1344"/>
    <m/>
    <m/>
    <x v="1"/>
    <m/>
    <s v=""/>
    <s v=""/>
    <m/>
    <s v="0"/>
    <m/>
    <m/>
    <s v=""/>
    <m/>
    <s v=""/>
    <s v="-"/>
    <s v=""/>
    <s v=""/>
  </r>
  <r>
    <x v="1345"/>
    <m/>
    <m/>
    <x v="1"/>
    <m/>
    <s v=""/>
    <s v=""/>
    <m/>
    <s v="0"/>
    <m/>
    <m/>
    <s v=""/>
    <m/>
    <s v=""/>
    <s v="-"/>
    <s v=""/>
    <s v=""/>
  </r>
  <r>
    <x v="1346"/>
    <n v="99"/>
    <s v="n"/>
    <x v="55"/>
    <d v="1899-12-30T01:01:47"/>
    <n v="11.3"/>
    <d v="1899-12-30T00:05:28"/>
    <n v="139"/>
    <n v="78"/>
    <n v="215"/>
    <n v="33"/>
    <n v="1.0527077004358736"/>
    <s v="Brooks Defyance 11"/>
    <n v="194.60000000000002"/>
    <s v="-"/>
    <n v="212.96"/>
    <n v="1.5467625899280575"/>
  </r>
  <r>
    <x v="1347"/>
    <m/>
    <m/>
    <x v="1"/>
    <m/>
    <s v=""/>
    <s v=""/>
    <m/>
    <s v="0"/>
    <m/>
    <m/>
    <s v=""/>
    <m/>
    <s v=""/>
    <s v="-"/>
    <s v=""/>
    <s v=""/>
  </r>
  <r>
    <x v="1348"/>
    <n v="100"/>
    <s v="j"/>
    <x v="55"/>
    <d v="1899-12-30T01:00:21"/>
    <n v="10.52"/>
    <d v="1899-12-30T00:05:44"/>
    <n v="136"/>
    <n v="69"/>
    <n v="203"/>
    <n v="26"/>
    <n v="1.0428792350036891"/>
    <s v="Adizero Boston 8"/>
    <n v="194.60000000000002"/>
    <s v="-"/>
    <n v="212.96"/>
    <n v="1.4926470588235294"/>
  </r>
  <r>
    <x v="1349"/>
    <m/>
    <m/>
    <x v="1"/>
    <m/>
    <s v=""/>
    <s v=""/>
    <m/>
    <s v="0"/>
    <m/>
    <m/>
    <s v=""/>
    <m/>
    <s v=""/>
    <s v="-"/>
    <s v=""/>
    <s v=""/>
  </r>
  <r>
    <x v="1350"/>
    <m/>
    <m/>
    <x v="1"/>
    <m/>
    <s v=""/>
    <s v=""/>
    <m/>
    <s v="0"/>
    <m/>
    <m/>
    <s v=""/>
    <m/>
    <s v=""/>
    <s v="-"/>
    <s v=""/>
    <s v=""/>
  </r>
  <r>
    <x v="1351"/>
    <n v="101"/>
    <s v="n"/>
    <x v="68"/>
    <d v="1899-12-30T01:09:37"/>
    <n v="9.7100000000000009"/>
    <d v="1899-12-30T00:07:10"/>
    <n v="140"/>
    <n v="74"/>
    <n v="188"/>
    <n v="381"/>
    <m/>
    <s v="Innov-8 Terraultra"/>
    <s v=""/>
    <s v="-"/>
    <s v=""/>
    <m/>
  </r>
  <r>
    <x v="1352"/>
    <m/>
    <m/>
    <x v="1"/>
    <m/>
    <s v=""/>
    <s v=""/>
    <m/>
    <s v="0"/>
    <m/>
    <m/>
    <s v=""/>
    <m/>
    <s v=""/>
    <s v="-"/>
    <s v=""/>
    <s v=""/>
  </r>
  <r>
    <x v="1353"/>
    <n v="102"/>
    <s v="n"/>
    <x v="88"/>
    <d v="1899-12-30T00:36:39"/>
    <n v="6.24"/>
    <d v="1899-12-30T00:05:52"/>
    <n v="140"/>
    <n v="40"/>
    <n v="201"/>
    <n v="15"/>
    <n v="1.0572115384615384"/>
    <s v="HOKA Clifton 7"/>
    <n v="194.60000000000002"/>
    <s v="-"/>
    <n v="212.96"/>
    <n v="1.4357142857142857"/>
  </r>
  <r>
    <x v="1354"/>
    <m/>
    <m/>
    <x v="1"/>
    <m/>
    <s v=""/>
    <s v=""/>
    <m/>
    <s v="0"/>
    <m/>
    <m/>
    <s v=""/>
    <m/>
    <s v=""/>
    <s v="-"/>
    <s v=""/>
    <s v=""/>
  </r>
  <r>
    <x v="1355"/>
    <n v="103"/>
    <s v="n"/>
    <x v="88"/>
    <d v="1899-12-30T00:42:47"/>
    <n v="7.46"/>
    <d v="1899-12-30T00:05:44"/>
    <n v="141"/>
    <n v="49"/>
    <n v="205"/>
    <n v="19"/>
    <n v="1.0528490256492342"/>
    <s v="Brooks Defyance 11"/>
    <n v="194.60000000000002"/>
    <s v="-"/>
    <n v="212.96"/>
    <n v="1.4539007092198581"/>
  </r>
  <r>
    <x v="1356"/>
    <m/>
    <m/>
    <x v="1"/>
    <m/>
    <s v=""/>
    <s v=""/>
    <m/>
    <s v="0"/>
    <m/>
    <m/>
    <s v=""/>
    <m/>
    <s v=""/>
    <s v="-"/>
    <s v=""/>
    <s v=""/>
  </r>
  <r>
    <x v="1357"/>
    <n v="104"/>
    <s v="j"/>
    <x v="55"/>
    <d v="1899-12-30T00:56:05"/>
    <n v="9.8800000000000008"/>
    <d v="1899-12-30T00:05:41"/>
    <n v="140"/>
    <n v="66"/>
    <n v="205"/>
    <n v="30"/>
    <n v="1.0420946885008158"/>
    <s v="HOKA Clifton 7"/>
    <n v="194.60000000000002"/>
    <s v="-"/>
    <n v="212.96"/>
    <n v="1.4642857142857142"/>
  </r>
  <r>
    <x v="1358"/>
    <m/>
    <m/>
    <x v="1"/>
    <m/>
    <s v=""/>
    <s v=""/>
    <m/>
    <s v="0"/>
    <m/>
    <m/>
    <s v=""/>
    <m/>
    <s v=""/>
    <s v="-"/>
    <s v=""/>
    <s v=""/>
  </r>
  <r>
    <x v="1359"/>
    <n v="105"/>
    <s v="n"/>
    <x v="50"/>
    <d v="1899-12-30T00:55:02"/>
    <n v="9.99"/>
    <d v="1899-12-30T00:05:31"/>
    <n v="141"/>
    <n v="69"/>
    <n v="213"/>
    <n v="28"/>
    <n v="1.0507910895970598"/>
    <s v="Brooks Defyance 11"/>
    <n v="194.60000000000002"/>
    <s v="-"/>
    <n v="212.96"/>
    <n v="1.5106382978723405"/>
  </r>
  <r>
    <x v="1360"/>
    <m/>
    <m/>
    <x v="1"/>
    <m/>
    <s v=""/>
    <s v=""/>
    <m/>
    <s v="0"/>
    <m/>
    <m/>
    <s v=""/>
    <m/>
    <s v=""/>
    <s v="-"/>
    <s v=""/>
    <s v=""/>
  </r>
  <r>
    <x v="1361"/>
    <n v="106"/>
    <s v="n"/>
    <x v="91"/>
    <d v="1899-12-30T00:45:17"/>
    <n v="8.9600000000000009"/>
    <d v="1899-12-30T00:05:03"/>
    <n v="155"/>
    <n v="68"/>
    <n v="228"/>
    <n v="24"/>
    <n v="1.0319096481876333"/>
    <s v="HOKA Carbon X"/>
    <n v="230.89999999999998"/>
    <s v="-"/>
    <n v="254.10000000000002"/>
    <n v="1.4709677419354839"/>
  </r>
  <r>
    <x v="1362"/>
    <n v="107"/>
    <s v="n"/>
    <x v="92"/>
    <d v="1899-12-30T00:44:11"/>
    <n v="7.4"/>
    <d v="1899-12-30T00:05:58"/>
    <n v="138"/>
    <n v="46"/>
    <n v="198"/>
    <n v="21"/>
    <n v="1.0586889874949577"/>
    <s v="HOKA Clifton 7"/>
    <n v="169.39999999999998"/>
    <s v="-"/>
    <n v="193.60000000000002"/>
    <n v="1.4347826086956521"/>
  </r>
  <r>
    <x v="1363"/>
    <m/>
    <m/>
    <x v="1"/>
    <m/>
    <s v=""/>
    <s v=""/>
    <m/>
    <s v="0"/>
    <m/>
    <m/>
    <s v=""/>
    <m/>
    <s v=""/>
    <s v="-"/>
    <s v=""/>
    <s v=""/>
  </r>
  <r>
    <x v="1364"/>
    <n v="108"/>
    <s v="n"/>
    <x v="68"/>
    <d v="1899-12-30T00:43:25"/>
    <n v="5.57"/>
    <d v="1899-12-30T00:07:48"/>
    <n v="151"/>
    <n v="50"/>
    <n v="191"/>
    <n v="334"/>
    <m/>
    <s v="Innov-8 Terraultra"/>
    <s v=""/>
    <s v="-"/>
    <s v=""/>
    <m/>
  </r>
  <r>
    <x v="1365"/>
    <m/>
    <m/>
    <x v="1"/>
    <m/>
    <s v=""/>
    <s v=""/>
    <m/>
    <s v="0"/>
    <m/>
    <m/>
    <s v=""/>
    <m/>
    <s v=""/>
    <s v="-"/>
    <s v=""/>
    <s v=""/>
  </r>
  <r>
    <x v="1366"/>
    <n v="109"/>
    <s v="n"/>
    <x v="50"/>
    <d v="1899-12-30T01:01:27"/>
    <n v="10.8"/>
    <d v="1899-12-30T00:05:41"/>
    <n v="141"/>
    <n v="72"/>
    <n v="208"/>
    <n v="28"/>
    <n v="1.0598341625207297"/>
    <s v="Brooks Defyance 11"/>
    <n v="194.60000000000002"/>
    <s v="-"/>
    <n v="212.96"/>
    <n v="1.4751773049645389"/>
  </r>
  <r>
    <x v="1367"/>
    <m/>
    <m/>
    <x v="1"/>
    <m/>
    <s v=""/>
    <s v=""/>
    <m/>
    <s v="0"/>
    <m/>
    <m/>
    <s v=""/>
    <m/>
    <s v=""/>
    <s v="-"/>
    <s v=""/>
    <s v=""/>
  </r>
  <r>
    <x v="1368"/>
    <n v="110"/>
    <s v="n"/>
    <x v="92"/>
    <d v="1899-12-30T00:37:31"/>
    <n v="6.42"/>
    <d v="1899-12-30T00:05:51"/>
    <n v="133"/>
    <n v="41"/>
    <n v="202"/>
    <n v="17"/>
    <n v="1.0571023387734224"/>
    <s v="Brooks Defyance 11"/>
    <n v="169.39999999999998"/>
    <s v="-"/>
    <n v="193.60000000000002"/>
    <n v="1.518796992481203"/>
  </r>
  <r>
    <x v="1369"/>
    <m/>
    <m/>
    <x v="1"/>
    <m/>
    <s v=""/>
    <s v=""/>
    <m/>
    <s v="0"/>
    <m/>
    <m/>
    <s v=""/>
    <m/>
    <s v=""/>
    <s v="-"/>
    <s v=""/>
    <s v=""/>
  </r>
  <r>
    <x v="1370"/>
    <m/>
    <m/>
    <x v="1"/>
    <m/>
    <s v=""/>
    <s v=""/>
    <m/>
    <s v="0"/>
    <m/>
    <m/>
    <s v=""/>
    <m/>
    <s v=""/>
    <s v="-"/>
    <s v=""/>
    <s v=""/>
  </r>
  <r>
    <x v="1371"/>
    <m/>
    <m/>
    <x v="1"/>
    <m/>
    <s v=""/>
    <s v=""/>
    <m/>
    <s v="0"/>
    <m/>
    <m/>
    <s v=""/>
    <m/>
    <s v=""/>
    <s v="-"/>
    <s v=""/>
    <s v=""/>
  </r>
  <r>
    <x v="1372"/>
    <m/>
    <m/>
    <x v="1"/>
    <m/>
    <s v=""/>
    <s v=""/>
    <m/>
    <s v="0"/>
    <m/>
    <m/>
    <s v=""/>
    <m/>
    <s v=""/>
    <s v="-"/>
    <s v=""/>
    <s v=""/>
  </r>
  <r>
    <x v="1373"/>
    <m/>
    <m/>
    <x v="1"/>
    <m/>
    <s v=""/>
    <s v=""/>
    <m/>
    <s v="0"/>
    <m/>
    <m/>
    <s v=""/>
    <m/>
    <s v=""/>
    <s v="-"/>
    <s v=""/>
    <s v=""/>
  </r>
  <r>
    <x v="1374"/>
    <m/>
    <m/>
    <x v="1"/>
    <m/>
    <s v=""/>
    <s v=""/>
    <m/>
    <s v="0"/>
    <m/>
    <m/>
    <s v=""/>
    <m/>
    <s v=""/>
    <s v="-"/>
    <s v=""/>
    <s v=""/>
  </r>
  <r>
    <x v="1375"/>
    <m/>
    <m/>
    <x v="1"/>
    <m/>
    <s v=""/>
    <s v=""/>
    <m/>
    <s v="0"/>
    <m/>
    <m/>
    <s v=""/>
    <m/>
    <s v=""/>
    <s v="-"/>
    <s v=""/>
    <s v=""/>
  </r>
  <r>
    <x v="1376"/>
    <m/>
    <m/>
    <x v="1"/>
    <m/>
    <s v=""/>
    <s v=""/>
    <m/>
    <s v="0"/>
    <m/>
    <m/>
    <s v=""/>
    <m/>
    <s v=""/>
    <s v="-"/>
    <s v=""/>
    <s v=""/>
  </r>
  <r>
    <x v="1377"/>
    <m/>
    <m/>
    <x v="1"/>
    <m/>
    <s v=""/>
    <s v=""/>
    <m/>
    <s v="0"/>
    <m/>
    <m/>
    <s v=""/>
    <m/>
    <s v=""/>
    <s v="-"/>
    <s v=""/>
    <s v=""/>
  </r>
  <r>
    <x v="1378"/>
    <m/>
    <m/>
    <x v="1"/>
    <m/>
    <s v=""/>
    <s v=""/>
    <m/>
    <s v="0"/>
    <m/>
    <m/>
    <s v=""/>
    <m/>
    <s v=""/>
    <s v="-"/>
    <s v=""/>
    <s v=""/>
  </r>
  <r>
    <x v="1379"/>
    <m/>
    <m/>
    <x v="1"/>
    <m/>
    <s v=""/>
    <s v=""/>
    <m/>
    <s v="0"/>
    <m/>
    <m/>
    <s v=""/>
    <m/>
    <s v=""/>
    <s v="-"/>
    <s v=""/>
    <s v=""/>
  </r>
  <r>
    <x v="1380"/>
    <m/>
    <m/>
    <x v="1"/>
    <m/>
    <s v=""/>
    <s v=""/>
    <m/>
    <s v="0"/>
    <m/>
    <m/>
    <s v=""/>
    <m/>
    <s v=""/>
    <s v="-"/>
    <s v=""/>
    <s v=""/>
  </r>
  <r>
    <x v="1381"/>
    <m/>
    <m/>
    <x v="1"/>
    <m/>
    <s v=""/>
    <s v=""/>
    <m/>
    <s v="0"/>
    <m/>
    <m/>
    <s v=""/>
    <m/>
    <s v=""/>
    <s v="-"/>
    <s v=""/>
    <s v=""/>
  </r>
  <r>
    <x v="1382"/>
    <m/>
    <m/>
    <x v="1"/>
    <m/>
    <s v=""/>
    <s v=""/>
    <m/>
    <s v="0"/>
    <m/>
    <m/>
    <s v=""/>
    <m/>
    <s v=""/>
    <s v="-"/>
    <s v=""/>
    <s v=""/>
  </r>
  <r>
    <x v="1383"/>
    <m/>
    <m/>
    <x v="1"/>
    <m/>
    <s v=""/>
    <s v=""/>
    <m/>
    <s v="0"/>
    <m/>
    <m/>
    <s v=""/>
    <m/>
    <s v=""/>
    <s v="-"/>
    <s v=""/>
    <s v=""/>
  </r>
  <r>
    <x v="1384"/>
    <m/>
    <m/>
    <x v="1"/>
    <m/>
    <s v=""/>
    <s v=""/>
    <m/>
    <s v="0"/>
    <m/>
    <m/>
    <s v=""/>
    <m/>
    <s v=""/>
    <s v="-"/>
    <s v=""/>
    <s v=""/>
  </r>
  <r>
    <x v="1385"/>
    <n v="111"/>
    <s v="n"/>
    <x v="88"/>
    <d v="1899-12-30T00:36:00"/>
    <n v="6.26"/>
    <d v="1899-12-30T00:05:45"/>
    <n v="143"/>
    <n v="40"/>
    <n v="205"/>
    <n v="16"/>
    <n v="1.0557436459873157"/>
    <s v="Brooks Defyance 11"/>
    <n v="194.60000000000002"/>
    <s v="-"/>
    <n v="212.96"/>
    <n v="1.4335664335664335"/>
  </r>
  <r>
    <x v="1386"/>
    <m/>
    <m/>
    <x v="1"/>
    <m/>
    <s v=""/>
    <s v=""/>
    <m/>
    <s v="0"/>
    <m/>
    <m/>
    <s v=""/>
    <m/>
    <s v=""/>
    <s v="-"/>
    <s v=""/>
    <s v=""/>
  </r>
  <r>
    <x v="1387"/>
    <n v="112"/>
    <s v="n"/>
    <x v="88"/>
    <d v="1899-12-30T00:42:09"/>
    <n v="7.54"/>
    <d v="1899-12-30T00:05:35"/>
    <n v="143"/>
    <n v="42"/>
    <m/>
    <n v="19"/>
    <m/>
    <s v="HOKA Clifton 7"/>
    <n v="194.60000000000002"/>
    <s v="-"/>
    <n v="212.96"/>
    <m/>
  </r>
  <r>
    <x v="1388"/>
    <m/>
    <m/>
    <x v="1"/>
    <m/>
    <s v=""/>
    <s v=""/>
    <m/>
    <s v="0"/>
    <m/>
    <m/>
    <s v=""/>
    <m/>
    <s v=""/>
    <s v="-"/>
    <s v=""/>
    <s v=""/>
  </r>
  <r>
    <x v="1389"/>
    <n v="113"/>
    <s v="n"/>
    <x v="88"/>
    <d v="1899-12-30T00:44:25"/>
    <n v="8.01"/>
    <d v="1899-12-30T00:05:33"/>
    <n v="146"/>
    <n v="53"/>
    <n v="211"/>
    <n v="20"/>
    <n v="1.047785417481879"/>
    <s v="Brooks Defyance 11"/>
    <n v="194.60000000000002"/>
    <s v="-"/>
    <n v="212.96"/>
    <n v="1.4452054794520548"/>
  </r>
  <r>
    <x v="1390"/>
    <m/>
    <m/>
    <x v="1"/>
    <m/>
    <s v=""/>
    <s v=""/>
    <m/>
    <s v="0"/>
    <m/>
    <m/>
    <s v=""/>
    <m/>
    <s v=""/>
    <s v="-"/>
    <s v=""/>
    <s v=""/>
  </r>
  <r>
    <x v="1391"/>
    <n v="114"/>
    <s v="j"/>
    <x v="88"/>
    <d v="1899-12-30T00:40:28"/>
    <n v="7.27"/>
    <d v="1899-12-30T00:05:34"/>
    <n v="141"/>
    <n v="48"/>
    <n v="210"/>
    <n v="26"/>
    <n v="1.0467880679135273"/>
    <s v="Brooks Defyance 11"/>
    <n v="194.60000000000002"/>
    <s v="-"/>
    <n v="212.96"/>
    <n v="1.4893617021276595"/>
  </r>
  <r>
    <x v="1392"/>
    <m/>
    <m/>
    <x v="1"/>
    <m/>
    <s v=""/>
    <s v=""/>
    <m/>
    <s v="0"/>
    <m/>
    <m/>
    <s v=""/>
    <m/>
    <s v=""/>
    <s v="-"/>
    <s v=""/>
    <s v=""/>
  </r>
  <r>
    <x v="1393"/>
    <n v="115"/>
    <s v="j"/>
    <x v="55"/>
    <d v="1899-12-30T00:53:51"/>
    <n v="9.1300000000000008"/>
    <d v="1899-12-30T00:05:54"/>
    <n v="139"/>
    <n v="57"/>
    <n v="198"/>
    <n v="21"/>
    <n v="1.0458190972846613"/>
    <s v="HOKA Clifton 7"/>
    <n v="194.60000000000002"/>
    <s v="-"/>
    <n v="212.96"/>
    <n v="1.4244604316546763"/>
  </r>
  <r>
    <x v="1394"/>
    <m/>
    <m/>
    <x v="1"/>
    <m/>
    <s v=""/>
    <s v=""/>
    <m/>
    <s v="0"/>
    <m/>
    <m/>
    <s v=""/>
    <m/>
    <s v=""/>
    <s v="-"/>
    <s v=""/>
    <s v=""/>
  </r>
  <r>
    <x v="1395"/>
    <m/>
    <m/>
    <x v="1"/>
    <m/>
    <s v=""/>
    <s v=""/>
    <m/>
    <s v="0"/>
    <m/>
    <m/>
    <s v=""/>
    <m/>
    <s v=""/>
    <s v="-"/>
    <s v=""/>
    <s v=""/>
  </r>
  <r>
    <x v="1396"/>
    <m/>
    <m/>
    <x v="1"/>
    <m/>
    <s v=""/>
    <s v=""/>
    <m/>
    <s v="0"/>
    <m/>
    <m/>
    <s v=""/>
    <m/>
    <s v=""/>
    <s v="-"/>
    <s v=""/>
    <s v=""/>
  </r>
  <r>
    <x v="1397"/>
    <n v="116"/>
    <s v="n"/>
    <x v="88"/>
    <d v="1899-12-30T00:33:08"/>
    <n v="6.26"/>
    <d v="1899-12-30T00:05:18"/>
    <n v="149"/>
    <n v="43"/>
    <n v="220"/>
    <n v="21"/>
    <n v="1.0427733536788899"/>
    <s v="Brooks Defyance 11"/>
    <n v="194.60000000000002"/>
    <s v="-"/>
    <n v="212.96"/>
    <n v="1.476510067114094"/>
  </r>
  <r>
    <x v="1398"/>
    <m/>
    <m/>
    <x v="1"/>
    <m/>
    <s v=""/>
    <s v=""/>
    <m/>
    <s v="0"/>
    <m/>
    <m/>
    <s v=""/>
    <m/>
    <s v=""/>
    <s v="-"/>
    <s v=""/>
    <s v=""/>
  </r>
  <r>
    <x v="1399"/>
    <m/>
    <m/>
    <x v="1"/>
    <m/>
    <s v=""/>
    <s v=""/>
    <m/>
    <s v="0"/>
    <m/>
    <m/>
    <s v=""/>
    <m/>
    <s v=""/>
    <s v="-"/>
    <s v=""/>
    <s v=""/>
  </r>
  <r>
    <x v="1400"/>
    <n v="117"/>
    <s v="j"/>
    <x v="88"/>
    <d v="1899-12-30T00:42:45"/>
    <n v="7.21"/>
    <d v="1899-12-30T00:05:56"/>
    <n v="135"/>
    <n v="46"/>
    <n v="198"/>
    <n v="20"/>
    <n v="1.0513383153580227"/>
    <s v="Brooks Defyance 11"/>
    <n v="194.60000000000002"/>
    <s v="-"/>
    <n v="212.96"/>
    <n v="1.4666666666666666"/>
  </r>
  <r>
    <x v="1401"/>
    <m/>
    <m/>
    <x v="1"/>
    <m/>
    <s v=""/>
    <s v=""/>
    <m/>
    <s v="0"/>
    <m/>
    <m/>
    <s v=""/>
    <m/>
    <s v=""/>
    <s v="-"/>
    <s v=""/>
    <s v=""/>
  </r>
  <r>
    <x v="1402"/>
    <m/>
    <m/>
    <x v="1"/>
    <m/>
    <s v=""/>
    <s v=""/>
    <m/>
    <s v="0"/>
    <m/>
    <m/>
    <s v=""/>
    <m/>
    <s v=""/>
    <s v="-"/>
    <s v=""/>
    <s v=""/>
  </r>
  <r>
    <x v="1403"/>
    <n v="118"/>
    <s v="n"/>
    <x v="88"/>
    <d v="1899-12-30T00:34:29"/>
    <n v="6.28"/>
    <d v="1899-12-30T00:05:29"/>
    <n v="145"/>
    <n v="42"/>
    <n v="211"/>
    <n v="11"/>
    <n v="1.0375487213613463"/>
    <s v="HOKA Clifton 7"/>
    <n v="194.60000000000002"/>
    <s v="-"/>
    <n v="212.96"/>
    <n v="1.4551724137931035"/>
  </r>
  <r>
    <x v="1404"/>
    <m/>
    <m/>
    <x v="1"/>
    <m/>
    <m/>
    <s v=""/>
    <m/>
    <s v="0"/>
    <m/>
    <m/>
    <s v=""/>
    <m/>
    <s v=""/>
    <s v="-"/>
    <s v=""/>
    <s v=""/>
  </r>
  <r>
    <x v="1405"/>
    <m/>
    <m/>
    <x v="1"/>
    <m/>
    <s v=""/>
    <s v=""/>
    <m/>
    <s v="0"/>
    <m/>
    <m/>
    <s v=""/>
    <m/>
    <s v=""/>
    <s v="-"/>
    <s v=""/>
    <s v=""/>
  </r>
  <r>
    <x v="1406"/>
    <n v="119"/>
    <s v="n"/>
    <x v="55"/>
    <d v="1899-12-30T01:02:27"/>
    <n v="11.6"/>
    <d v="1899-12-30T00:05:23"/>
    <n v="148"/>
    <n v="80"/>
    <n v="217"/>
    <n v="44"/>
    <n v="1.046190169840453"/>
    <s v="Brooks Defyance 11"/>
    <n v="194.60000000000002"/>
    <s v="-"/>
    <n v="212.96"/>
    <n v="1.4662162162162162"/>
  </r>
  <r>
    <x v="1407"/>
    <m/>
    <m/>
    <x v="1"/>
    <m/>
    <s v=""/>
    <s v=""/>
    <m/>
    <s v="0"/>
    <m/>
    <m/>
    <s v=""/>
    <m/>
    <s v=""/>
    <s v="-"/>
    <s v=""/>
    <s v=""/>
  </r>
  <r>
    <x v="1408"/>
    <n v="120"/>
    <s v="n"/>
    <x v="88"/>
    <d v="1899-12-30T00:35:15"/>
    <n v="6.13"/>
    <d v="1899-12-30T00:05:45"/>
    <n v="148"/>
    <n v="39"/>
    <n v="204"/>
    <n v="19"/>
    <n v="1.0505222663193008"/>
    <s v="HOKA Clifton 7"/>
    <n v="194.60000000000002"/>
    <s v="-"/>
    <n v="212.96"/>
    <n v="1.3783783783783783"/>
  </r>
  <r>
    <x v="1409"/>
    <m/>
    <m/>
    <x v="1"/>
    <m/>
    <s v=""/>
    <s v=""/>
    <m/>
    <s v="0"/>
    <m/>
    <m/>
    <s v=""/>
    <m/>
    <s v=""/>
    <s v="-"/>
    <s v=""/>
    <s v=""/>
  </r>
  <r>
    <x v="1410"/>
    <n v="121"/>
    <s v="n"/>
    <x v="88"/>
    <d v="1899-12-30T00:42:59"/>
    <n v="7.87"/>
    <d v="1899-12-30T00:05:28"/>
    <n v="146"/>
    <n v="53"/>
    <n v="215"/>
    <n v="19"/>
    <n v="1.0515750346109352"/>
    <s v="Brooks Defyance 11"/>
    <n v="194.60000000000002"/>
    <s v="-"/>
    <n v="212.96"/>
    <n v="1.4726027397260273"/>
  </r>
  <r>
    <x v="1411"/>
    <m/>
    <m/>
    <x v="1"/>
    <m/>
    <s v=""/>
    <s v=""/>
    <m/>
    <s v="0"/>
    <m/>
    <m/>
    <s v=""/>
    <m/>
    <s v=""/>
    <s v="-"/>
    <s v=""/>
    <s v=""/>
  </r>
  <r>
    <x v="1412"/>
    <m/>
    <m/>
    <x v="1"/>
    <m/>
    <s v=""/>
    <s v=""/>
    <m/>
    <s v="0"/>
    <m/>
    <m/>
    <s v=""/>
    <m/>
    <s v=""/>
    <s v="-"/>
    <s v=""/>
    <s v=""/>
  </r>
  <r>
    <x v="1413"/>
    <m/>
    <m/>
    <x v="1"/>
    <m/>
    <s v=""/>
    <s v=""/>
    <m/>
    <s v="0"/>
    <m/>
    <m/>
    <s v=""/>
    <m/>
    <s v=""/>
    <s v="-"/>
    <s v=""/>
    <s v=""/>
  </r>
  <r>
    <x v="1414"/>
    <n v="122"/>
    <s v="n"/>
    <x v="55"/>
    <d v="1899-12-30T00:54:16"/>
    <n v="9.73"/>
    <d v="1899-12-30T00:05:35"/>
    <n v="146"/>
    <n v="65"/>
    <n v="211"/>
    <n v="37"/>
    <n v="1.0538509917013084"/>
    <s v="Brooks Defyance 11"/>
    <n v="194.60000000000002"/>
    <s v="-"/>
    <n v="212.96"/>
    <n v="1.4452054794520548"/>
  </r>
  <r>
    <x v="1415"/>
    <m/>
    <m/>
    <x v="1"/>
    <m/>
    <s v=""/>
    <s v=""/>
    <m/>
    <s v="0"/>
    <m/>
    <m/>
    <s v=""/>
    <m/>
    <s v=""/>
    <s v="-"/>
    <s v=""/>
    <s v=""/>
  </r>
  <r>
    <x v="1416"/>
    <m/>
    <m/>
    <x v="1"/>
    <m/>
    <s v=""/>
    <s v=""/>
    <m/>
    <s v="0"/>
    <m/>
    <m/>
    <s v=""/>
    <m/>
    <s v=""/>
    <s v="-"/>
    <s v=""/>
    <s v=""/>
  </r>
  <r>
    <x v="1417"/>
    <m/>
    <m/>
    <x v="1"/>
    <m/>
    <s v=""/>
    <s v=""/>
    <m/>
    <s v="0"/>
    <m/>
    <m/>
    <s v=""/>
    <m/>
    <s v=""/>
    <s v="-"/>
    <s v=""/>
    <s v=""/>
  </r>
  <r>
    <x v="1418"/>
    <m/>
    <m/>
    <x v="1"/>
    <m/>
    <s v=""/>
    <s v=""/>
    <m/>
    <s v="0"/>
    <m/>
    <m/>
    <s v=""/>
    <m/>
    <s v=""/>
    <s v="-"/>
    <s v=""/>
    <s v=""/>
  </r>
  <r>
    <x v="1419"/>
    <n v="123"/>
    <s v="n"/>
    <x v="88"/>
    <d v="1899-12-30T00:35:04"/>
    <n v="6.16"/>
    <d v="1899-12-30T00:05:42"/>
    <n v="138"/>
    <n v="40"/>
    <n v="206"/>
    <n v="17"/>
    <n v="1.050164760612522"/>
    <s v="Brooks Defyance 11"/>
    <n v="194.60000000000002"/>
    <s v="-"/>
    <n v="212.96"/>
    <n v="1.4927536231884058"/>
  </r>
  <r>
    <x v="1420"/>
    <m/>
    <m/>
    <x v="1"/>
    <m/>
    <s v=""/>
    <s v=""/>
    <m/>
    <s v="0"/>
    <m/>
    <m/>
    <s v=""/>
    <m/>
    <s v=""/>
    <s v="-"/>
    <s v=""/>
    <s v=""/>
  </r>
  <r>
    <x v="1421"/>
    <n v="124"/>
    <s v="j"/>
    <x v="55"/>
    <d v="1899-12-30T01:00:03"/>
    <n v="10.4"/>
    <d v="1899-12-30T00:05:46"/>
    <n v="142"/>
    <n v="66"/>
    <n v="202"/>
    <n v="27"/>
    <n v="1.0444977037887484"/>
    <s v="Brooks Defyance 11"/>
    <n v="194.60000000000002"/>
    <s v="-"/>
    <n v="212.96"/>
    <n v="1.4225352112676057"/>
  </r>
  <r>
    <x v="1422"/>
    <m/>
    <m/>
    <x v="1"/>
    <m/>
    <s v=""/>
    <s v=""/>
    <m/>
    <s v="0"/>
    <m/>
    <m/>
    <s v=""/>
    <m/>
    <s v=""/>
    <s v="-"/>
    <s v=""/>
    <s v=""/>
  </r>
  <r>
    <x v="1423"/>
    <n v="125"/>
    <s v="n"/>
    <x v="55"/>
    <d v="1899-12-30T00:56:31"/>
    <n v="10.6"/>
    <d v="1899-12-30T00:05:20"/>
    <n v="146"/>
    <n v="75"/>
    <n v="217"/>
    <n v="39"/>
    <n v="1.0361123627147282"/>
    <s v="Adizero Boston 8"/>
    <n v="194.60000000000002"/>
    <s v="-"/>
    <n v="212.96"/>
    <n v="1.4863013698630136"/>
  </r>
  <r>
    <x v="1424"/>
    <m/>
    <m/>
    <x v="1"/>
    <m/>
    <s v=""/>
    <s v=""/>
    <m/>
    <s v="0"/>
    <m/>
    <m/>
    <s v=""/>
    <m/>
    <s v=""/>
    <s v="-"/>
    <s v=""/>
    <s v=""/>
  </r>
  <r>
    <x v="1425"/>
    <m/>
    <m/>
    <x v="1"/>
    <m/>
    <s v=""/>
    <s v=""/>
    <m/>
    <s v="0"/>
    <m/>
    <m/>
    <s v=""/>
    <m/>
    <s v=""/>
    <s v="-"/>
    <s v=""/>
    <s v=""/>
  </r>
  <r>
    <x v="1426"/>
    <n v="126"/>
    <s v="j"/>
    <x v="55"/>
    <d v="1899-12-30T01:09:56"/>
    <n v="11.8"/>
    <d v="1899-12-30T00:05:56"/>
    <n v="141"/>
    <n v="72"/>
    <n v="196"/>
    <n v="45"/>
    <n v="1.0402428535289654"/>
    <s v="HOKA Clifton 7"/>
    <n v="194.60000000000002"/>
    <s v="-"/>
    <n v="212.96"/>
    <n v="1.3900709219858156"/>
  </r>
  <r>
    <x v="1427"/>
    <m/>
    <m/>
    <x v="1"/>
    <m/>
    <s v=""/>
    <s v=""/>
    <m/>
    <s v="0"/>
    <m/>
    <m/>
    <s v=""/>
    <m/>
    <s v=""/>
    <s v="-"/>
    <s v=""/>
    <s v=""/>
  </r>
  <r>
    <x v="1428"/>
    <n v="127"/>
    <s v="n"/>
    <x v="55"/>
    <d v="1899-12-30T01:07:42"/>
    <n v="12.7"/>
    <d v="1899-12-30T00:05:20"/>
    <n v="150"/>
    <n v="87"/>
    <n v="221"/>
    <n v="44"/>
    <n v="1.0550029380655777"/>
    <s v="Brooks Defyance 11"/>
    <n v="194.60000000000002"/>
    <s v="-"/>
    <n v="212.96"/>
    <n v="1.4733333333333334"/>
  </r>
  <r>
    <x v="1429"/>
    <m/>
    <m/>
    <x v="1"/>
    <m/>
    <s v=""/>
    <s v=""/>
    <m/>
    <s v="0"/>
    <m/>
    <m/>
    <s v=""/>
    <m/>
    <s v=""/>
    <s v="-"/>
    <s v=""/>
    <s v=""/>
  </r>
  <r>
    <x v="1430"/>
    <m/>
    <m/>
    <x v="1"/>
    <m/>
    <s v=""/>
    <s v=""/>
    <m/>
    <s v="0"/>
    <m/>
    <m/>
    <s v=""/>
    <m/>
    <s v=""/>
    <s v="-"/>
    <s v=""/>
    <s v=""/>
  </r>
  <r>
    <x v="1431"/>
    <n v="128"/>
    <s v="n"/>
    <x v="88"/>
    <d v="1899-12-30T00:44:21"/>
    <n v="7.96"/>
    <d v="1899-12-30T00:05:34"/>
    <n v="140"/>
    <n v="52"/>
    <n v="211"/>
    <n v="26"/>
    <n v="1.0527844446111152"/>
    <s v="Brooks Defyance 11"/>
    <n v="194.60000000000002"/>
    <s v="-"/>
    <n v="212.96"/>
    <n v="1.5071428571428571"/>
  </r>
  <r>
    <x v="1432"/>
    <m/>
    <m/>
    <x v="1"/>
    <m/>
    <s v=""/>
    <s v=""/>
    <m/>
    <s v="0"/>
    <m/>
    <m/>
    <s v=""/>
    <m/>
    <s v=""/>
    <s v="-"/>
    <s v=""/>
    <s v=""/>
  </r>
  <r>
    <x v="1433"/>
    <n v="129"/>
    <s v="j"/>
    <x v="55"/>
    <d v="1899-12-30T00:57:42"/>
    <n v="10.4"/>
    <d v="1899-12-30T00:05:33"/>
    <n v="141"/>
    <n v="68"/>
    <n v="210"/>
    <n v="33"/>
    <n v="1.0433696900114811"/>
    <s v="Brooks Defyance 11"/>
    <n v="194.60000000000002"/>
    <s v="-"/>
    <n v="212.96"/>
    <n v="1.4893617021276595"/>
  </r>
  <r>
    <x v="1434"/>
    <m/>
    <m/>
    <x v="1"/>
    <m/>
    <s v=""/>
    <s v=""/>
    <m/>
    <s v="0"/>
    <m/>
    <m/>
    <s v=""/>
    <m/>
    <s v=""/>
    <s v="-"/>
    <s v=""/>
    <s v=""/>
  </r>
  <r>
    <x v="1435"/>
    <n v="130"/>
    <s v="j"/>
    <x v="74"/>
    <d v="1899-12-30T01:23:40"/>
    <n v="14.9"/>
    <d v="1899-12-30T00:05:37"/>
    <n v="144"/>
    <n v="96"/>
    <n v="209"/>
    <n v="64"/>
    <n v="1.0509666432935989"/>
    <s v="Brooks Defyance 11"/>
    <n v="194.60000000000002"/>
    <s v="-"/>
    <n v="212.96"/>
    <n v="1.4513888888888888"/>
  </r>
  <r>
    <x v="1436"/>
    <m/>
    <m/>
    <x v="1"/>
    <m/>
    <s v=""/>
    <s v=""/>
    <m/>
    <s v="0"/>
    <m/>
    <m/>
    <s v=""/>
    <m/>
    <s v=""/>
    <s v="-"/>
    <s v=""/>
    <s v=""/>
  </r>
  <r>
    <x v="1437"/>
    <n v="131"/>
    <s v="n"/>
    <x v="55"/>
    <d v="1899-12-30T00:53:45"/>
    <n v="9.67"/>
    <d v="1899-12-30T00:05:34"/>
    <n v="143"/>
    <n v="64"/>
    <n v="212"/>
    <n v="35"/>
    <n v="1.0552717282254702"/>
    <s v="HOKA Clifton 7"/>
    <n v="194.60000000000002"/>
    <s v="-"/>
    <n v="212.96"/>
    <n v="1.4825174825174825"/>
  </r>
  <r>
    <x v="1438"/>
    <n v="132"/>
    <s v="n"/>
    <x v="88"/>
    <d v="1899-12-30T00:38:09"/>
    <n v="6.83"/>
    <d v="1899-12-30T00:05:35"/>
    <n v="135"/>
    <n v="44"/>
    <n v="212"/>
    <n v="23"/>
    <n v="1.0604401127597738"/>
    <s v="Brooks Defyance 11"/>
    <n v="194.60000000000002"/>
    <s v="-"/>
    <n v="212.96"/>
    <n v="1.5703703703703704"/>
  </r>
  <r>
    <x v="1439"/>
    <m/>
    <m/>
    <x v="1"/>
    <m/>
    <s v=""/>
    <s v=""/>
    <m/>
    <s v="0"/>
    <m/>
    <m/>
    <s v=""/>
    <m/>
    <s v=""/>
    <s v="-"/>
    <s v=""/>
    <s v=""/>
  </r>
  <r>
    <x v="1440"/>
    <n v="133"/>
    <s v="n"/>
    <x v="93"/>
    <d v="1899-12-30T00:52:15"/>
    <n v="10.6"/>
    <d v="1899-12-30T00:04:56"/>
    <n v="151"/>
    <n v="76"/>
    <n v="235"/>
    <n v="38"/>
    <n v="1.0373486341875531"/>
    <s v="HOKA Carbon X"/>
    <n v="229.68"/>
    <s v="-"/>
    <n v="247.95"/>
    <n v="1.5562913907284768"/>
  </r>
  <r>
    <x v="1441"/>
    <n v="134"/>
    <s v="j"/>
    <x v="55"/>
    <d v="1899-12-30T01:03:14"/>
    <n v="10.6"/>
    <d v="1899-12-30T00:05:58"/>
    <n v="136"/>
    <n v="65"/>
    <n v="197"/>
    <n v="36"/>
    <n v="1.0524049563503237"/>
    <s v="Brooks Defyance 11"/>
    <n v="194.60000000000002"/>
    <s v="-"/>
    <n v="212.96"/>
    <n v="1.4485294117647058"/>
  </r>
  <r>
    <x v="1442"/>
    <m/>
    <m/>
    <x v="1"/>
    <m/>
    <s v=""/>
    <s v=""/>
    <m/>
    <s v="0"/>
    <m/>
    <m/>
    <s v=""/>
    <m/>
    <s v=""/>
    <s v="-"/>
    <s v=""/>
    <s v=""/>
  </r>
  <r>
    <x v="1443"/>
    <n v="135"/>
    <s v="n"/>
    <x v="88"/>
    <d v="1899-12-30T00:39:11"/>
    <n v="7.02"/>
    <d v="1899-12-30T00:05:35"/>
    <n v="138"/>
    <n v="45"/>
    <n v="210"/>
    <n v="18"/>
    <n v="1.0496874601352213"/>
    <s v="HOKA Clifton 7"/>
    <n v="194.60000000000002"/>
    <s v="-"/>
    <n v="212.96"/>
    <n v="1.5217391304347827"/>
  </r>
  <r>
    <x v="1444"/>
    <m/>
    <m/>
    <x v="1"/>
    <m/>
    <s v=""/>
    <s v=""/>
    <m/>
    <s v="0"/>
    <m/>
    <m/>
    <s v=""/>
    <m/>
    <s v=""/>
    <s v="-"/>
    <s v=""/>
    <s v=""/>
  </r>
  <r>
    <x v="1445"/>
    <n v="136"/>
    <s v="n"/>
    <x v="55"/>
    <d v="1899-12-30T00:55:01"/>
    <n v="10.1"/>
    <d v="1899-12-30T00:05:27"/>
    <n v="140"/>
    <n v="67"/>
    <n v="214"/>
    <n v="39"/>
    <n v="1.0439101522092509"/>
    <s v="HOKA Clifton 7"/>
    <n v="194.60000000000002"/>
    <s v="-"/>
    <n v="212.96"/>
    <n v="1.5285714285714285"/>
  </r>
  <r>
    <x v="1446"/>
    <m/>
    <m/>
    <x v="1"/>
    <m/>
    <s v=""/>
    <s v=""/>
    <m/>
    <s v="0"/>
    <m/>
    <m/>
    <s v=""/>
    <m/>
    <s v=""/>
    <s v="-"/>
    <s v=""/>
    <s v=""/>
  </r>
  <r>
    <x v="1447"/>
    <m/>
    <m/>
    <x v="1"/>
    <m/>
    <m/>
    <s v=""/>
    <m/>
    <s v="0"/>
    <m/>
    <m/>
    <s v=""/>
    <m/>
    <s v=""/>
    <s v="-"/>
    <s v=""/>
    <s v=""/>
  </r>
  <r>
    <x v="1448"/>
    <m/>
    <m/>
    <x v="1"/>
    <m/>
    <m/>
    <s v=""/>
    <m/>
    <s v="0"/>
    <m/>
    <m/>
    <s v=""/>
    <m/>
    <s v=""/>
    <s v="-"/>
    <s v=""/>
    <s v=""/>
  </r>
  <r>
    <x v="1449"/>
    <m/>
    <m/>
    <x v="1"/>
    <m/>
    <m/>
    <s v=""/>
    <m/>
    <s v="0"/>
    <m/>
    <m/>
    <s v=""/>
    <m/>
    <s v=""/>
    <s v="-"/>
    <s v=""/>
    <s v=""/>
  </r>
  <r>
    <x v="1450"/>
    <m/>
    <m/>
    <x v="1"/>
    <m/>
    <m/>
    <s v=""/>
    <m/>
    <s v="0"/>
    <m/>
    <m/>
    <s v=""/>
    <m/>
    <s v=""/>
    <s v="-"/>
    <s v=""/>
    <s v=""/>
  </r>
  <r>
    <x v="1451"/>
    <m/>
    <m/>
    <x v="1"/>
    <m/>
    <m/>
    <s v=""/>
    <m/>
    <s v="0"/>
    <m/>
    <m/>
    <s v=""/>
    <m/>
    <s v=""/>
    <s v="-"/>
    <s v=""/>
    <s v=""/>
  </r>
  <r>
    <x v="1452"/>
    <m/>
    <m/>
    <x v="1"/>
    <m/>
    <m/>
    <s v=""/>
    <m/>
    <s v="0"/>
    <m/>
    <m/>
    <s v=""/>
    <m/>
    <s v=""/>
    <s v="-"/>
    <s v=""/>
    <s v=""/>
  </r>
  <r>
    <x v="1453"/>
    <m/>
    <m/>
    <x v="1"/>
    <m/>
    <m/>
    <s v=""/>
    <m/>
    <s v="0"/>
    <m/>
    <m/>
    <s v=""/>
    <m/>
    <s v=""/>
    <s v="-"/>
    <s v=""/>
    <s v=""/>
  </r>
  <r>
    <x v="1454"/>
    <m/>
    <m/>
    <x v="1"/>
    <m/>
    <s v=""/>
    <s v=""/>
    <m/>
    <s v="0"/>
    <m/>
    <m/>
    <s v=""/>
    <m/>
    <s v=""/>
    <s v="-"/>
    <s v=""/>
    <s v=""/>
  </r>
  <r>
    <x v="1455"/>
    <m/>
    <m/>
    <x v="1"/>
    <m/>
    <s v=""/>
    <s v=""/>
    <m/>
    <s v="0"/>
    <m/>
    <m/>
    <s v=""/>
    <m/>
    <s v=""/>
    <s v="-"/>
    <s v=""/>
    <s v=""/>
  </r>
  <r>
    <x v="1456"/>
    <m/>
    <m/>
    <x v="1"/>
    <m/>
    <s v=""/>
    <s v=""/>
    <m/>
    <s v="0"/>
    <m/>
    <m/>
    <s v=""/>
    <m/>
    <s v=""/>
    <s v="-"/>
    <s v=""/>
    <s v=""/>
  </r>
  <r>
    <x v="1457"/>
    <m/>
    <m/>
    <x v="1"/>
    <m/>
    <s v=""/>
    <s v=""/>
    <m/>
    <s v="0"/>
    <m/>
    <m/>
    <s v=""/>
    <m/>
    <s v=""/>
    <s v="-"/>
    <s v=""/>
    <s v=""/>
  </r>
  <r>
    <x v="1458"/>
    <m/>
    <m/>
    <x v="1"/>
    <m/>
    <s v=""/>
    <s v=""/>
    <m/>
    <s v="0"/>
    <m/>
    <m/>
    <s v=""/>
    <m/>
    <s v=""/>
    <s v="-"/>
    <s v=""/>
    <s v=""/>
  </r>
  <r>
    <x v="1459"/>
    <n v="137"/>
    <s v="n"/>
    <x v="88"/>
    <d v="1899-12-30T00:39:39"/>
    <n v="7.1"/>
    <d v="1899-12-30T00:05:35"/>
    <n v="149"/>
    <n v="46"/>
    <n v="210"/>
    <n v="21"/>
    <n v="1.0502207273491697"/>
    <s v="Mizuno"/>
    <n v="194.60000000000002"/>
    <s v="-"/>
    <n v="212.96"/>
    <n v="1.4093959731543624"/>
  </r>
  <r>
    <x v="1460"/>
    <m/>
    <m/>
    <x v="1"/>
    <m/>
    <s v=""/>
    <s v=""/>
    <m/>
    <s v="0"/>
    <m/>
    <m/>
    <s v=""/>
    <m/>
    <s v=""/>
    <s v="-"/>
    <s v=""/>
    <s v=""/>
  </r>
  <r>
    <x v="1461"/>
    <n v="138"/>
    <s v="n"/>
    <x v="93"/>
    <d v="1899-12-30T00:51:43"/>
    <n v="10.199999999999999"/>
    <d v="1899-12-30T00:05:04"/>
    <n v="155"/>
    <n v="72"/>
    <n v="228"/>
    <n v="31"/>
    <n v="1.035241439859526"/>
    <s v="Adizero Boston 8"/>
    <n v="229.68"/>
    <s v="-"/>
    <n v="247.95"/>
    <n v="1.4709677419354839"/>
  </r>
  <r>
    <x v="1462"/>
    <m/>
    <m/>
    <x v="1"/>
    <m/>
    <s v=""/>
    <s v=""/>
    <m/>
    <s v="0"/>
    <m/>
    <m/>
    <s v=""/>
    <m/>
    <s v=""/>
    <s v="-"/>
    <s v=""/>
    <s v=""/>
  </r>
  <r>
    <x v="1463"/>
    <n v="1"/>
    <s v="n"/>
    <x v="55"/>
    <d v="1899-12-30T00:58:59"/>
    <n v="10.7"/>
    <d v="1899-12-30T00:05:31"/>
    <n v="141"/>
    <n v="71"/>
    <n v="213"/>
    <n v="38"/>
    <n v="1.0514813781559493"/>
    <s v="Mizuno"/>
    <n v="194.60000000000002"/>
    <s v="-"/>
    <n v="212.96"/>
    <n v="1.5106382978723405"/>
  </r>
  <r>
    <x v="1464"/>
    <m/>
    <m/>
    <x v="1"/>
    <m/>
    <s v=""/>
    <s v=""/>
    <m/>
    <s v="0"/>
    <m/>
    <m/>
    <s v=""/>
    <m/>
    <s v=""/>
    <s v="-"/>
    <s v=""/>
    <s v=""/>
  </r>
  <r>
    <x v="1465"/>
    <n v="2"/>
    <s v="n"/>
    <x v="55"/>
    <d v="1899-12-30T01:00:22"/>
    <n v="10.83"/>
    <d v="1899-12-30T00:05:34"/>
    <n v="149"/>
    <n v="71"/>
    <n v="212"/>
    <n v="40"/>
    <n v="1.0582323837874339"/>
    <s v="Brooks Defyance 11"/>
    <n v="194.60000000000002"/>
    <s v="-"/>
    <n v="212.96"/>
    <n v="1.4228187919463087"/>
  </r>
  <r>
    <x v="1466"/>
    <m/>
    <m/>
    <x v="1"/>
    <m/>
    <s v=""/>
    <s v=""/>
    <m/>
    <s v="0"/>
    <m/>
    <m/>
    <s v=""/>
    <m/>
    <s v=""/>
    <s v="-"/>
    <s v=""/>
    <s v=""/>
  </r>
  <r>
    <x v="1467"/>
    <n v="3"/>
    <s v="n"/>
    <x v="55"/>
    <d v="1899-12-30T00:59:26"/>
    <n v="10.64"/>
    <d v="1899-12-30T00:05:35"/>
    <n v="141"/>
    <n v="68"/>
    <n v="210"/>
    <n v="39"/>
    <n v="1.0504713275726629"/>
    <s v="HOKA Clifton 7"/>
    <n v="194.60000000000002"/>
    <s v="-"/>
    <n v="212.96"/>
    <n v="1.4893617021276595"/>
  </r>
  <r>
    <x v="1468"/>
    <m/>
    <m/>
    <x v="1"/>
    <m/>
    <s v=""/>
    <s v=""/>
    <m/>
    <s v="0"/>
    <m/>
    <m/>
    <s v=""/>
    <m/>
    <s v=""/>
    <s v="-"/>
    <s v=""/>
    <s v=""/>
  </r>
  <r>
    <x v="1469"/>
    <n v="4"/>
    <s v="n"/>
    <x v="55"/>
    <d v="1899-12-30T00:49:06"/>
    <n v="8.94"/>
    <d v="1899-12-30T00:05:30"/>
    <n v="143"/>
    <n v="58"/>
    <n v="214"/>
    <n v="28"/>
    <n v="1.0525292998096765"/>
    <s v="Mizuno"/>
    <n v="194.60000000000002"/>
    <s v="-"/>
    <n v="212.96"/>
    <n v="1.4965034965034965"/>
  </r>
  <r>
    <x v="1470"/>
    <m/>
    <m/>
    <x v="1"/>
    <m/>
    <s v=""/>
    <s v=""/>
    <m/>
    <s v="0"/>
    <m/>
    <m/>
    <s v=""/>
    <m/>
    <s v=""/>
    <s v="-"/>
    <s v=""/>
    <s v=""/>
  </r>
  <r>
    <x v="1471"/>
    <n v="5"/>
    <s v="n"/>
    <x v="88"/>
    <d v="1899-12-30T00:45:47"/>
    <n v="8.31"/>
    <d v="1899-12-30T00:05:31"/>
    <n v="140"/>
    <n v="54"/>
    <n v="212"/>
    <n v="23"/>
    <n v="1.0459687123947048"/>
    <s v="HOKA Clifton 7"/>
    <n v="194.60000000000002"/>
    <s v="-"/>
    <n v="212.96"/>
    <n v="1.5142857142857142"/>
  </r>
  <r>
    <x v="1472"/>
    <n v="6"/>
    <s v="n"/>
    <x v="55"/>
    <d v="1899-12-30T00:55:35"/>
    <n v="10.14"/>
    <d v="1899-12-30T00:05:29"/>
    <n v="139"/>
    <n v="66"/>
    <n v="212"/>
    <n v="39"/>
    <n v="1.0406841531985043"/>
    <s v="Brooks Defyance 11"/>
    <n v="194.60000000000002"/>
    <s v="-"/>
    <n v="212.96"/>
    <n v="1.525179856115108"/>
  </r>
  <r>
    <x v="1473"/>
    <m/>
    <m/>
    <x v="1"/>
    <m/>
    <s v=""/>
    <s v=""/>
    <m/>
    <s v="0"/>
    <m/>
    <m/>
    <s v=""/>
    <m/>
    <s v=""/>
    <s v="-"/>
    <s v=""/>
    <s v=""/>
  </r>
  <r>
    <x v="1474"/>
    <n v="7"/>
    <s v="n"/>
    <x v="55"/>
    <d v="1899-12-30T00:53:43"/>
    <n v="10.130000000000001"/>
    <d v="1899-12-30T00:05:18"/>
    <n v="142"/>
    <n v="74"/>
    <n v="219"/>
    <n v="66"/>
    <n v="1.0399684695967348"/>
    <s v="Adizero Boston 8"/>
    <n v="194.60000000000002"/>
    <s v="-"/>
    <n v="212.96"/>
    <n v="1.5422535211267605"/>
  </r>
  <r>
    <x v="1475"/>
    <m/>
    <m/>
    <x v="1"/>
    <m/>
    <s v=""/>
    <s v=""/>
    <m/>
    <s v="0"/>
    <m/>
    <m/>
    <s v=""/>
    <m/>
    <s v=""/>
    <s v="-"/>
    <s v=""/>
    <s v=""/>
  </r>
  <r>
    <x v="1476"/>
    <n v="8"/>
    <s v="j"/>
    <x v="74"/>
    <d v="1899-12-30T01:06:32"/>
    <n v="11.44"/>
    <d v="1899-12-30T00:05:49"/>
    <n v="139"/>
    <n v="70"/>
    <n v="201"/>
    <n v="38"/>
    <n v="1.0468531468531468"/>
    <s v="Mizuno"/>
    <n v="194.60000000000002"/>
    <s v="-"/>
    <n v="212.96"/>
    <n v="1.4460431654676258"/>
  </r>
  <r>
    <x v="1477"/>
    <m/>
    <m/>
    <x v="1"/>
    <m/>
    <s v=""/>
    <s v=""/>
    <m/>
    <s v="0"/>
    <m/>
    <m/>
    <s v=""/>
    <m/>
    <s v=""/>
    <s v="-"/>
    <s v=""/>
    <s v=""/>
  </r>
  <r>
    <x v="1478"/>
    <n v="9"/>
    <s v="n"/>
    <x v="55"/>
    <d v="1899-12-30T00:55:37"/>
    <n v="10.14"/>
    <d v="1899-12-30T00:05:29"/>
    <n v="143"/>
    <n v="66"/>
    <n v="214"/>
    <n v="61"/>
    <n v="1.0511319143925342"/>
    <s v="Brooks Defyance 11"/>
    <n v="194.60000000000002"/>
    <s v="-"/>
    <n v="212.96"/>
    <n v="1.4965034965034965"/>
  </r>
  <r>
    <x v="1479"/>
    <n v="10"/>
    <s v="n"/>
    <x v="55"/>
    <d v="1899-12-30T00:56:02"/>
    <n v="10.44"/>
    <d v="1899-12-30T00:05:22"/>
    <n v="142"/>
    <n v="68"/>
    <n v="216"/>
    <n v="19"/>
    <n v="1.0381883685023161"/>
    <s v="HOKA Clifton 7"/>
    <n v="194.60000000000002"/>
    <s v="-"/>
    <n v="212.96"/>
    <n v="1.5211267605633803"/>
  </r>
  <r>
    <x v="1480"/>
    <m/>
    <m/>
    <x v="1"/>
    <m/>
    <s v=""/>
    <s v=""/>
    <m/>
    <s v="0"/>
    <m/>
    <m/>
    <s v=""/>
    <m/>
    <s v=""/>
    <s v="-"/>
    <s v=""/>
    <s v=""/>
  </r>
  <r>
    <x v="1481"/>
    <n v="11"/>
    <s v="n"/>
    <x v="93"/>
    <d v="1899-12-30T00:54:40"/>
    <n v="10.65"/>
    <d v="1899-12-30T00:05:08"/>
    <n v="151"/>
    <n v="75"/>
    <n v="224"/>
    <n v="48"/>
    <n v="1.029668558615374"/>
    <s v="Adizero Boston 8"/>
    <n v="229.68"/>
    <s v="-"/>
    <n v="247.95"/>
    <n v="1.4834437086092715"/>
  </r>
  <r>
    <x v="1482"/>
    <m/>
    <m/>
    <x v="1"/>
    <m/>
    <s v=""/>
    <s v=""/>
    <m/>
    <s v="0"/>
    <m/>
    <m/>
    <s v=""/>
    <m/>
    <s v=""/>
    <s v="-"/>
    <s v=""/>
    <s v=""/>
  </r>
  <r>
    <x v="1483"/>
    <n v="12"/>
    <s v="j"/>
    <x v="74"/>
    <d v="1899-12-30T01:09:20"/>
    <n v="12.42"/>
    <d v="1899-12-30T00:05:35"/>
    <n v="142"/>
    <n v="79"/>
    <n v="208"/>
    <n v="50"/>
    <n v="1.0398250294421609"/>
    <s v="Mizuno"/>
    <n v="194.60000000000002"/>
    <s v="-"/>
    <n v="212.96"/>
    <n v="1.4647887323943662"/>
  </r>
  <r>
    <x v="1484"/>
    <m/>
    <m/>
    <x v="1"/>
    <m/>
    <s v=""/>
    <s v=""/>
    <m/>
    <s v="0"/>
    <m/>
    <m/>
    <s v=""/>
    <m/>
    <s v=""/>
    <s v="-"/>
    <s v=""/>
    <s v=""/>
  </r>
  <r>
    <x v="1485"/>
    <n v="13"/>
    <s v="n"/>
    <x v="93"/>
    <d v="1899-12-30T00:54:47"/>
    <n v="10.63"/>
    <d v="1899-12-30T00:05:09"/>
    <n v="148"/>
    <n v="83.722499999999997"/>
    <n v="225"/>
    <n v="35"/>
    <n v="1.0384226562390304"/>
    <s v="Brooks Defyance 11"/>
    <n v="229.68"/>
    <s v="-"/>
    <n v="247.95"/>
    <n v="1.5202702702702702"/>
  </r>
  <r>
    <x v="1486"/>
    <n v="14"/>
    <s v="n"/>
    <x v="88"/>
    <d v="1899-12-30T00:48:30"/>
    <n v="8.51"/>
    <d v="1899-12-30T00:05:42"/>
    <n v="133"/>
    <n v="54"/>
    <n v="206"/>
    <n v="24"/>
    <n v="1.0513706438430643"/>
    <s v="HOKA Clifton 7"/>
    <n v="194.60000000000002"/>
    <s v="-"/>
    <n v="212.96"/>
    <n v="1.5488721804511278"/>
  </r>
  <r>
    <x v="1487"/>
    <m/>
    <m/>
    <x v="1"/>
    <m/>
    <s v=""/>
    <s v=""/>
    <m/>
    <s v="0"/>
    <m/>
    <m/>
    <s v=""/>
    <m/>
    <s v=""/>
    <s v="-"/>
    <s v=""/>
    <s v=""/>
  </r>
  <r>
    <x v="1488"/>
    <n v="15"/>
    <s v="n"/>
    <x v="93"/>
    <d v="1899-12-30T01:02:02"/>
    <n v="12.74"/>
    <d v="1899-12-30T00:04:52"/>
    <n v="150"/>
    <n v="92"/>
    <n v="236"/>
    <n v="54"/>
    <n v="1.0290681599850042"/>
    <s v="HOKA Carbon X"/>
    <n v="229.68"/>
    <s v="-"/>
    <n v="247.95"/>
    <n v="1.5733333333333333"/>
  </r>
  <r>
    <x v="1489"/>
    <m/>
    <m/>
    <x v="1"/>
    <m/>
    <s v=""/>
    <s v=""/>
    <m/>
    <s v="0"/>
    <m/>
    <m/>
    <s v=""/>
    <m/>
    <s v=""/>
    <s v="-"/>
    <s v=""/>
    <s v=""/>
  </r>
  <r>
    <x v="1490"/>
    <n v="16"/>
    <s v="n"/>
    <x v="62"/>
    <d v="1899-12-30T01:26:03"/>
    <n v="16.16"/>
    <d v="1899-12-30T00:05:19"/>
    <n v="142"/>
    <n v="108"/>
    <n v="220"/>
    <n v="59"/>
    <n v="1.0490800945766221"/>
    <s v="Mizuno"/>
    <n v="194.60000000000002"/>
    <s v="-"/>
    <n v="212.96"/>
    <n v="1.5492957746478873"/>
  </r>
  <r>
    <x v="1491"/>
    <m/>
    <m/>
    <x v="1"/>
    <m/>
    <s v=""/>
    <s v=""/>
    <m/>
    <s v="0"/>
    <m/>
    <m/>
    <s v=""/>
    <m/>
    <s v=""/>
    <s v="-"/>
    <s v=""/>
    <s v=""/>
  </r>
  <r>
    <x v="1492"/>
    <n v="17"/>
    <s v="n"/>
    <x v="88"/>
    <d v="1899-12-30T00:44:47"/>
    <n v="7.84"/>
    <d v="1899-12-30T00:05:43"/>
    <n v="133"/>
    <n v="49"/>
    <n v="206"/>
    <n v="33"/>
    <n v="1.0537656107219007"/>
    <s v="Brooks Defyance 11"/>
    <n v="194.60000000000002"/>
    <s v="-"/>
    <n v="212.96"/>
    <n v="1.5488721804511278"/>
  </r>
  <r>
    <x v="1493"/>
    <m/>
    <m/>
    <x v="1"/>
    <m/>
    <s v=""/>
    <s v=""/>
    <m/>
    <s v="0"/>
    <m/>
    <m/>
    <s v=""/>
    <m/>
    <s v=""/>
    <s v="-"/>
    <s v=""/>
    <s v=""/>
  </r>
  <r>
    <x v="1494"/>
    <n v="18"/>
    <s v="n"/>
    <x v="55"/>
    <d v="1899-12-30T00:50:09"/>
    <n v="9.25"/>
    <d v="1899-12-30T00:05:25"/>
    <n v="142"/>
    <n v="59"/>
    <n v="214"/>
    <n v="39"/>
    <n v="1.0390092779346511"/>
    <s v="HOKA Clifton 7"/>
    <n v="194.60000000000002"/>
    <s v="-"/>
    <n v="212.96"/>
    <n v="1.5070422535211268"/>
  </r>
  <r>
    <x v="1495"/>
    <m/>
    <m/>
    <x v="1"/>
    <m/>
    <s v=""/>
    <s v=""/>
    <m/>
    <s v="0"/>
    <m/>
    <m/>
    <s v=""/>
    <m/>
    <s v=""/>
    <s v="-"/>
    <s v=""/>
    <s v=""/>
  </r>
  <r>
    <x v="1496"/>
    <n v="19"/>
    <s v="j"/>
    <x v="55"/>
    <d v="1899-12-30T00:49:54"/>
    <n v="9.07"/>
    <d v="1899-12-30T00:05:30"/>
    <n v="139"/>
    <n v="59"/>
    <n v="213"/>
    <n v="28"/>
    <n v="1.0494199345060802"/>
    <s v="Mizuno"/>
    <n v="194.60000000000002"/>
    <s v="-"/>
    <n v="212.96"/>
    <n v="1.5323741007194245"/>
  </r>
  <r>
    <x v="1497"/>
    <m/>
    <m/>
    <x v="1"/>
    <m/>
    <s v=""/>
    <s v=""/>
    <m/>
    <s v="0"/>
    <m/>
    <m/>
    <s v=""/>
    <m/>
    <s v=""/>
    <s v="-"/>
    <s v=""/>
    <s v=""/>
  </r>
  <r>
    <x v="1498"/>
    <m/>
    <m/>
    <x v="1"/>
    <m/>
    <s v=""/>
    <s v=""/>
    <m/>
    <s v="0"/>
    <m/>
    <m/>
    <s v=""/>
    <m/>
    <s v=""/>
    <s v="-"/>
    <s v=""/>
    <s v=""/>
  </r>
  <r>
    <x v="1499"/>
    <n v="20"/>
    <s v="n"/>
    <x v="55"/>
    <d v="1899-12-30T00:55:27"/>
    <n v="10.130000000000001"/>
    <d v="1899-12-30T00:05:28"/>
    <n v="141"/>
    <n v="65"/>
    <n v="214"/>
    <n v="63"/>
    <n v="1.0490165166271308"/>
    <s v="Brooks Defyance 11"/>
    <n v="194.60000000000002"/>
    <s v="-"/>
    <n v="212.96"/>
    <n v="1.5177304964539007"/>
  </r>
  <r>
    <x v="1500"/>
    <n v="21"/>
    <s v="n"/>
    <x v="94"/>
    <d v="1899-12-30T00:43:07"/>
    <n v="7.94"/>
    <d v="1899-12-30T00:05:26"/>
    <n v="140"/>
    <n v="57"/>
    <n v="210"/>
    <n v="26"/>
    <n v="1.0212226023534718"/>
    <s v="HOKA Carbon X"/>
    <n v="279.29999999999995"/>
    <s v="-"/>
    <n v="314.60000000000002"/>
    <n v="1.5"/>
  </r>
  <r>
    <x v="1501"/>
    <n v="22"/>
    <s v="n"/>
    <x v="55"/>
    <d v="1899-12-30T00:57:24"/>
    <n v="10.07"/>
    <d v="1899-12-30T00:05:42"/>
    <n v="135"/>
    <n v="64"/>
    <n v="207"/>
    <n v="37"/>
    <n v="1.0566452741258949"/>
    <s v="HOKA Clifton 7"/>
    <n v="194.60000000000002"/>
    <s v="-"/>
    <n v="212.96"/>
    <n v="1.5333333333333334"/>
  </r>
  <r>
    <x v="1502"/>
    <n v="23"/>
    <s v="n"/>
    <x v="74"/>
    <d v="1899-12-30T01:05:52"/>
    <n v="12.72"/>
    <d v="1899-12-30T00:05:11"/>
    <n v="142"/>
    <n v="88"/>
    <n v="227"/>
    <n v="52"/>
    <n v="1.052642448136675"/>
    <s v="Mizuno"/>
    <n v="194.60000000000002"/>
    <s v="-"/>
    <n v="212.96"/>
    <n v="1.5985915492957747"/>
  </r>
  <r>
    <x v="1503"/>
    <m/>
    <m/>
    <x v="1"/>
    <m/>
    <s v=""/>
    <s v=""/>
    <m/>
    <s v="0"/>
    <m/>
    <m/>
    <s v=""/>
    <m/>
    <s v=""/>
    <s v="-"/>
    <s v=""/>
    <s v=""/>
  </r>
  <r>
    <x v="1504"/>
    <n v="24"/>
    <s v="n"/>
    <x v="80"/>
    <d v="1899-12-30T01:38:38"/>
    <n v="18.14"/>
    <d v="1899-12-30T00:05:26"/>
    <n v="144"/>
    <n v="118"/>
    <n v="215"/>
    <n v="80"/>
    <n v="1.0468906843950039"/>
    <s v="Mizuno"/>
    <n v="194.60000000000002"/>
    <s v="-"/>
    <n v="212.96"/>
    <n v="1.4930555555555556"/>
  </r>
  <r>
    <x v="1505"/>
    <m/>
    <m/>
    <x v="1"/>
    <m/>
    <s v=""/>
    <s v=""/>
    <m/>
    <s v="0"/>
    <m/>
    <m/>
    <s v=""/>
    <m/>
    <s v=""/>
    <s v="-"/>
    <s v=""/>
    <s v=""/>
  </r>
  <r>
    <x v="1506"/>
    <n v="25"/>
    <s v="n"/>
    <x v="55"/>
    <d v="1899-12-30T00:54:21"/>
    <n v="10.14"/>
    <d v="1899-12-30T00:05:22"/>
    <n v="140"/>
    <n v="67"/>
    <n v="219"/>
    <n v="38"/>
    <n v="1.0511922635343991"/>
    <s v="Brooks Defyance 11"/>
    <n v="194.60000000000002"/>
    <s v="-"/>
    <n v="212.96"/>
    <n v="1.5642857142857143"/>
  </r>
  <r>
    <x v="1507"/>
    <n v="26"/>
    <s v="n"/>
    <x v="94"/>
    <d v="1899-12-30T00:48:59"/>
    <n v="8.16"/>
    <d v="1899-12-30T00:06:00"/>
    <n v="140"/>
    <n v="59"/>
    <n v="188"/>
    <n v="24"/>
    <n v="1.0106306701785195"/>
    <s v="HOKA Carbon X"/>
    <n v="279.29999999999995"/>
    <s v="-"/>
    <n v="314.60000000000002"/>
    <n v="1.3428571428571427"/>
  </r>
  <r>
    <x v="1508"/>
    <n v="27"/>
    <s v="n"/>
    <x v="92"/>
    <d v="1899-12-30T00:44:35"/>
    <n v="7.85"/>
    <d v="1899-12-30T00:05:41"/>
    <n v="131"/>
    <n v="49"/>
    <n v="206"/>
    <n v="22"/>
    <n v="1.0477231676014831"/>
    <s v="HOKA Clifton 7"/>
    <n v="169.39999999999998"/>
    <s v="-"/>
    <n v="193.60000000000002"/>
    <n v="1.5725190839694656"/>
  </r>
  <r>
    <x v="1509"/>
    <m/>
    <m/>
    <x v="1"/>
    <m/>
    <s v=""/>
    <s v=""/>
    <m/>
    <s v="0"/>
    <m/>
    <m/>
    <s v=""/>
    <m/>
    <s v=""/>
    <s v="-"/>
    <s v=""/>
    <s v=""/>
  </r>
  <r>
    <x v="1510"/>
    <n v="28"/>
    <s v="n"/>
    <x v="74"/>
    <d v="1899-12-30T01:09:46"/>
    <n v="13.24"/>
    <d v="1899-12-30T00:05:16"/>
    <n v="137"/>
    <n v="99"/>
    <n v="234"/>
    <n v="56"/>
    <n v="1.1042115705460613"/>
    <s v="Mizuno"/>
    <n v="194.60000000000002"/>
    <s v="-"/>
    <n v="212.96"/>
    <n v="1.7080291970802919"/>
  </r>
  <r>
    <x v="1511"/>
    <n v="29"/>
    <s v="n"/>
    <x v="63"/>
    <d v="1899-12-30T01:49:16"/>
    <n v="20"/>
    <d v="1899-12-30T00:05:28"/>
    <n v="137"/>
    <n v="147"/>
    <n v="228"/>
    <n v="120"/>
    <n v="1.1154985074626866"/>
    <s v="Mizuno"/>
    <n v="194.60000000000002"/>
    <s v="-"/>
    <n v="212.96"/>
    <n v="1.6642335766423357"/>
  </r>
  <r>
    <x v="1512"/>
    <m/>
    <m/>
    <x v="1"/>
    <m/>
    <s v=""/>
    <s v=""/>
    <m/>
    <s v="0"/>
    <m/>
    <m/>
    <s v=""/>
    <m/>
    <s v=""/>
    <s v="-"/>
    <s v=""/>
    <s v=""/>
  </r>
  <r>
    <x v="1513"/>
    <m/>
    <m/>
    <x v="1"/>
    <m/>
    <s v=""/>
    <s v=""/>
    <m/>
    <s v="0"/>
    <m/>
    <m/>
    <s v=""/>
    <m/>
    <s v=""/>
    <s v="-"/>
    <s v=""/>
    <s v=""/>
  </r>
  <r>
    <x v="1514"/>
    <n v="30"/>
    <s v="n"/>
    <x v="74"/>
    <d v="1899-12-30T01:07:52"/>
    <n v="12.57"/>
    <d v="1899-12-30T00:05:24"/>
    <n v="135"/>
    <n v="93"/>
    <n v="230"/>
    <n v="61"/>
    <n v="1.1120530996568472"/>
    <s v="Brooks Defyance 11"/>
    <n v="194.60000000000002"/>
    <s v="-"/>
    <n v="212.96"/>
    <n v="1.7037037037037037"/>
  </r>
  <r>
    <x v="1515"/>
    <n v="31"/>
    <s v="n"/>
    <x v="55"/>
    <d v="1899-12-30T00:55:20"/>
    <n v="10.199999999999999"/>
    <d v="1899-12-30T00:05:25"/>
    <n v="135"/>
    <n v="73"/>
    <n v="226"/>
    <n v="37"/>
    <n v="1.0979221539362014"/>
    <s v="HOKA Clifton 7"/>
    <n v="194.60000000000002"/>
    <s v="-"/>
    <n v="212.96"/>
    <n v="1.674074074074074"/>
  </r>
  <r>
    <x v="1516"/>
    <n v="32"/>
    <s v="n"/>
    <x v="91"/>
    <d v="1899-12-30T01:01:47"/>
    <n v="12.3"/>
    <d v="1899-12-30T00:05:01"/>
    <n v="152"/>
    <n v="98"/>
    <n v="244"/>
    <n v="50"/>
    <n v="1.097570683169518"/>
    <s v="HOKA Carbon X"/>
    <n v="230.89999999999998"/>
    <s v="-"/>
    <n v="254.10000000000002"/>
    <n v="1.6052631578947369"/>
  </r>
  <r>
    <x v="1517"/>
    <n v="33"/>
    <s v="n"/>
    <x v="88"/>
    <d v="1899-12-30T00:43:26"/>
    <n v="7.93"/>
    <d v="1899-12-30T00:05:29"/>
    <n v="137"/>
    <n v="54"/>
    <n v="224"/>
    <n v="25"/>
    <n v="1.0986881481620898"/>
    <s v="Mizuno"/>
    <n v="194.60000000000002"/>
    <s v="-"/>
    <n v="212.96"/>
    <n v="1.635036496350365"/>
  </r>
  <r>
    <x v="1518"/>
    <m/>
    <m/>
    <x v="1"/>
    <m/>
    <s v=""/>
    <s v=""/>
    <m/>
    <s v="0"/>
    <m/>
    <m/>
    <s v=""/>
    <m/>
    <s v=""/>
    <s v="-"/>
    <s v=""/>
    <s v=""/>
  </r>
  <r>
    <x v="1519"/>
    <n v="34"/>
    <s v="j"/>
    <x v="64"/>
    <d v="1899-12-30T01:58:45"/>
    <n v="21.18"/>
    <d v="1899-12-30T00:05:36"/>
    <n v="137"/>
    <n v="137"/>
    <n v="216"/>
    <n v="107"/>
    <n v="1.0845207390807998"/>
    <s v="Mizuno"/>
    <n v="194.60000000000002"/>
    <s v="-"/>
    <n v="212.96"/>
    <n v="1.5766423357664234"/>
  </r>
  <r>
    <x v="1520"/>
    <m/>
    <m/>
    <x v="1"/>
    <m/>
    <s v=""/>
    <s v=""/>
    <m/>
    <s v="0"/>
    <m/>
    <m/>
    <s v=""/>
    <m/>
    <s v=""/>
    <s v="-"/>
    <s v=""/>
    <s v=""/>
  </r>
  <r>
    <x v="1521"/>
    <n v="35"/>
    <s v="n"/>
    <x v="74"/>
    <d v="1899-12-30T01:06:10"/>
    <n v="12.5"/>
    <d v="1899-12-30T00:05:18"/>
    <n v="136"/>
    <n v="88"/>
    <n v="232"/>
    <n v="54"/>
    <n v="1.0997492537313434"/>
    <s v="HOKA Clifton 7"/>
    <n v="194.60000000000002"/>
    <s v="-"/>
    <n v="212.96"/>
    <n v="1.7058823529411764"/>
  </r>
  <r>
    <x v="1522"/>
    <n v="36"/>
    <s v="n"/>
    <x v="95"/>
    <d v="1899-12-30T00:45:04"/>
    <n v="8.09"/>
    <d v="1899-12-30T00:05:34"/>
    <n v="135"/>
    <n v="60"/>
    <n v="211"/>
    <n v="13"/>
    <n v="1.0526059443204254"/>
    <s v="HOKA Carbon X"/>
    <n v="279.29999999999995"/>
    <s v="-"/>
    <n v="314.60000000000002"/>
    <n v="1.5629629629629629"/>
  </r>
  <r>
    <x v="1523"/>
    <m/>
    <m/>
    <x v="1"/>
    <m/>
    <s v=""/>
    <s v=""/>
    <m/>
    <s v="0"/>
    <m/>
    <m/>
    <s v=""/>
    <m/>
    <s v=""/>
    <s v="-"/>
    <s v=""/>
    <s v=""/>
  </r>
  <r>
    <x v="1524"/>
    <n v="37"/>
    <s v="n"/>
    <x v="68"/>
    <d v="1899-12-30T01:10:31"/>
    <n v="8.9700000000000006"/>
    <d v="1899-12-30T00:07:52"/>
    <n v="142"/>
    <n v="74"/>
    <n v="192"/>
    <n v="501"/>
    <m/>
    <s v="Innov-8 Terraultra"/>
    <s v=""/>
    <s v="-"/>
    <s v=""/>
    <m/>
  </r>
  <r>
    <x v="1525"/>
    <m/>
    <m/>
    <x v="1"/>
    <m/>
    <s v=""/>
    <s v=""/>
    <m/>
    <s v="0"/>
    <m/>
    <m/>
    <s v=""/>
    <m/>
    <s v=""/>
    <s v="-"/>
    <s v=""/>
    <s v=""/>
  </r>
  <r>
    <x v="1526"/>
    <n v="38"/>
    <s v="j"/>
    <x v="92"/>
    <d v="1899-12-30T00:32:22"/>
    <n v="5.46"/>
    <d v="1899-12-30T00:05:56"/>
    <n v="126"/>
    <n v="32"/>
    <n v="202"/>
    <n v="8"/>
    <n v="1.0723415887594994"/>
    <s v="Mizuno"/>
    <n v="169.39999999999998"/>
    <s v="-"/>
    <n v="193.60000000000002"/>
    <n v="1.6031746031746033"/>
  </r>
  <r>
    <x v="1527"/>
    <m/>
    <m/>
    <x v="1"/>
    <m/>
    <s v=""/>
    <s v=""/>
    <m/>
    <s v="0"/>
    <m/>
    <m/>
    <s v=""/>
    <m/>
    <s v=""/>
    <s v="-"/>
    <s v=""/>
    <s v=""/>
  </r>
  <r>
    <x v="1528"/>
    <n v="39"/>
    <s v="n"/>
    <x v="55"/>
    <d v="1899-12-30T00:56:44"/>
    <n v="10.119999999999999"/>
    <d v="1899-12-30T00:05:36"/>
    <n v="132"/>
    <n v="67"/>
    <n v="219"/>
    <n v="33"/>
    <n v="1.0994572591587517"/>
    <s v="Mizuno"/>
    <n v="194.60000000000002"/>
    <s v="-"/>
    <n v="212.96"/>
    <n v="1.6590909090909092"/>
  </r>
  <r>
    <x v="1529"/>
    <m/>
    <m/>
    <x v="1"/>
    <m/>
    <s v=""/>
    <s v=""/>
    <m/>
    <s v="0"/>
    <m/>
    <m/>
    <s v=""/>
    <m/>
    <s v=""/>
    <s v="-"/>
    <s v=""/>
    <s v=""/>
  </r>
  <r>
    <x v="1530"/>
    <n v="40"/>
    <s v="n"/>
    <x v="55"/>
    <d v="1899-12-30T00:55:08"/>
    <n v="10.119999999999999"/>
    <d v="1899-12-30T00:05:27"/>
    <n v="136"/>
    <n v="69"/>
    <n v="226"/>
    <n v="34"/>
    <n v="1.1026016164238097"/>
    <s v="Brooks Defyance 11"/>
    <n v="194.60000000000002"/>
    <s v="-"/>
    <n v="212.96"/>
    <n v="1.661764705882353"/>
  </r>
  <r>
    <x v="1531"/>
    <m/>
    <m/>
    <x v="1"/>
    <m/>
    <s v=""/>
    <s v=""/>
    <m/>
    <s v="0"/>
    <m/>
    <m/>
    <s v=""/>
    <m/>
    <s v=""/>
    <s v="-"/>
    <s v=""/>
    <s v=""/>
  </r>
  <r>
    <x v="1532"/>
    <n v="41"/>
    <s v="n"/>
    <x v="62"/>
    <d v="1899-12-30T01:26:15"/>
    <n v="15.54"/>
    <d v="1899-12-30T00:05:33"/>
    <n v="139"/>
    <n v="104"/>
    <n v="221"/>
    <n v="63"/>
    <n v="1.0984411917247741"/>
    <s v="Mizuno"/>
    <n v="194.60000000000002"/>
    <s v="-"/>
    <n v="212.96"/>
    <n v="1.5899280575539569"/>
  </r>
  <r>
    <x v="1533"/>
    <m/>
    <m/>
    <x v="1"/>
    <m/>
    <s v=""/>
    <s v=""/>
    <m/>
    <s v="0"/>
    <m/>
    <m/>
    <s v=""/>
    <m/>
    <s v=""/>
    <s v="-"/>
    <s v=""/>
    <s v=""/>
  </r>
  <r>
    <x v="1534"/>
    <n v="42"/>
    <s v="n"/>
    <x v="84"/>
    <d v="1899-12-30T00:53:46"/>
    <n v="9.74"/>
    <d v="1899-12-30T00:05:31"/>
    <n v="141"/>
    <n v="75"/>
    <n v="213"/>
    <n v="30"/>
    <n v="1.0529559594225997"/>
    <s v="HOKA Carbon X"/>
    <n v="255.10000000000002"/>
    <s v="-"/>
    <n v="278.29999999999995"/>
    <n v="1.5106382978723405"/>
  </r>
  <r>
    <x v="1535"/>
    <n v="43"/>
    <s v="n"/>
    <x v="92"/>
    <d v="1899-12-30T00:46:38"/>
    <n v="8.11"/>
    <d v="1899-12-30T00:05:45"/>
    <n v="127"/>
    <n v="52"/>
    <n v="212"/>
    <n v="23"/>
    <n v="1.0916612989307468"/>
    <s v="HOKA Clifton 7"/>
    <n v="169.39999999999998"/>
    <s v="-"/>
    <n v="193.60000000000002"/>
    <n v="1.6692913385826771"/>
  </r>
  <r>
    <x v="1536"/>
    <m/>
    <m/>
    <x v="1"/>
    <m/>
    <s v=""/>
    <s v=""/>
    <m/>
    <s v="0"/>
    <m/>
    <m/>
    <s v=""/>
    <m/>
    <s v=""/>
    <s v="-"/>
    <s v=""/>
    <s v=""/>
  </r>
  <r>
    <x v="1537"/>
    <n v="44"/>
    <s v="n"/>
    <x v="77"/>
    <d v="1899-12-30T00:48:24"/>
    <n v="9.75"/>
    <d v="1899-12-30T00:04:58"/>
    <n v="152"/>
    <n v="74"/>
    <n v="239"/>
    <n v="17"/>
    <n v="1.0624661308840413"/>
    <s v="HOKA Carbon X"/>
    <n v="230.89999999999998"/>
    <s v="-"/>
    <n v="254.10000000000002"/>
    <n v="1.5723684210526316"/>
  </r>
  <r>
    <x v="1538"/>
    <n v="45"/>
    <s v="n"/>
    <x v="92"/>
    <d v="1899-12-30T00:44:34"/>
    <n v="8.09"/>
    <d v="1899-12-30T00:05:31"/>
    <n v="129"/>
    <n v="53"/>
    <n v="219"/>
    <n v="21"/>
    <n v="1.0803940741287383"/>
    <s v="HOKA Clifton 7"/>
    <n v="169.39999999999998"/>
    <s v="-"/>
    <n v="193.60000000000002"/>
    <n v="1.6976744186046511"/>
  </r>
  <r>
    <x v="1539"/>
    <m/>
    <m/>
    <x v="1"/>
    <m/>
    <s v=""/>
    <s v=""/>
    <m/>
    <s v="0"/>
    <m/>
    <m/>
    <s v=""/>
    <m/>
    <s v=""/>
    <s v="-"/>
    <s v=""/>
    <s v=""/>
  </r>
  <r>
    <x v="1540"/>
    <n v="46"/>
    <s v="n"/>
    <x v="80"/>
    <d v="1899-12-30T01:36:46"/>
    <n v="17.579999999999998"/>
    <d v="1899-12-30T00:05:30"/>
    <n v="134"/>
    <n v="122"/>
    <n v="222"/>
    <n v="58"/>
    <n v="1.0942998318985278"/>
    <s v="Mizuno"/>
    <n v="194.60000000000002"/>
    <s v="-"/>
    <n v="212.96"/>
    <n v="1.6567164179104477"/>
  </r>
  <r>
    <x v="1541"/>
    <m/>
    <m/>
    <x v="1"/>
    <m/>
    <s v=""/>
    <s v=""/>
    <m/>
    <s v="0"/>
    <m/>
    <m/>
    <s v=""/>
    <m/>
    <s v=""/>
    <s v="-"/>
    <s v=""/>
    <s v=""/>
  </r>
  <r>
    <x v="1542"/>
    <n v="47"/>
    <s v="n"/>
    <x v="74"/>
    <d v="1899-12-30T01:06:55"/>
    <n v="12.71"/>
    <d v="1899-12-30T00:05:16"/>
    <n v="143"/>
    <n v="90"/>
    <n v="234"/>
    <n v="50"/>
    <n v="1.1032680813086415"/>
    <s v="Brooks Defyance 11"/>
    <n v="194.60000000000002"/>
    <s v="-"/>
    <n v="212.96"/>
    <n v="1.6363636363636365"/>
  </r>
  <r>
    <x v="1543"/>
    <n v="48"/>
    <s v="n"/>
    <x v="96"/>
    <d v="1899-12-30T01:03:06"/>
    <n v="12.38"/>
    <d v="1899-12-30T00:05:06"/>
    <n v="144"/>
    <n v="96"/>
    <n v="234"/>
    <n v="22"/>
    <n v="1.0680732042533696"/>
    <s v="HOKA Carbon X"/>
    <n v="255.10000000000002"/>
    <s v="-"/>
    <n v="278.29999999999995"/>
    <n v="1.625"/>
  </r>
  <r>
    <x v="1544"/>
    <n v="49"/>
    <s v="n"/>
    <x v="55"/>
    <d v="1899-12-30T00:57:07"/>
    <n v="10.7"/>
    <d v="1899-12-30T00:05:20"/>
    <n v="140"/>
    <n v="72"/>
    <n v="226"/>
    <n v="32"/>
    <n v="1.0803487236713629"/>
    <s v="HOKA Clifton 7"/>
    <n v="194.60000000000002"/>
    <s v="-"/>
    <n v="212.96"/>
    <n v="1.6142857142857143"/>
  </r>
  <r>
    <x v="1545"/>
    <m/>
    <m/>
    <x v="1"/>
    <m/>
    <s v=""/>
    <s v=""/>
    <m/>
    <s v="0"/>
    <m/>
    <m/>
    <s v=""/>
    <m/>
    <s v=""/>
    <s v="-"/>
    <s v=""/>
    <s v=""/>
  </r>
  <r>
    <x v="1546"/>
    <n v="50"/>
    <s v="n"/>
    <x v="68"/>
    <d v="1899-12-30T02:07:16"/>
    <n v="15.09"/>
    <d v="1899-12-30T00:08:26"/>
    <n v="135"/>
    <n v="97"/>
    <n v="160"/>
    <n v="668"/>
    <m/>
    <s v="Innov-8 Terraultra"/>
    <s v=""/>
    <s v="-"/>
    <s v=""/>
    <m/>
  </r>
  <r>
    <x v="1547"/>
    <m/>
    <m/>
    <x v="1"/>
    <m/>
    <s v=""/>
    <s v=""/>
    <m/>
    <s v="0"/>
    <m/>
    <m/>
    <s v=""/>
    <m/>
    <s v=""/>
    <s v="-"/>
    <s v=""/>
    <s v=""/>
  </r>
  <r>
    <x v="1548"/>
    <n v="51"/>
    <s v="n"/>
    <x v="55"/>
    <d v="1899-12-30T00:56:56"/>
    <n v="10.119999999999999"/>
    <d v="1899-12-30T00:05:38"/>
    <n v="133"/>
    <n v="64"/>
    <n v="217"/>
    <n v="33"/>
    <n v="1.0932570349831867"/>
    <s v="HOKA Clifton 7"/>
    <n v="194.60000000000002"/>
    <s v="-"/>
    <n v="212.96"/>
    <n v="1.631578947368421"/>
  </r>
  <r>
    <x v="1549"/>
    <m/>
    <m/>
    <x v="1"/>
    <m/>
    <s v=""/>
    <s v=""/>
    <m/>
    <s v="0"/>
    <m/>
    <m/>
    <s v=""/>
    <m/>
    <s v=""/>
    <s v="-"/>
    <s v=""/>
    <s v=""/>
  </r>
  <r>
    <x v="1550"/>
    <n v="52"/>
    <s v="n"/>
    <x v="78"/>
    <d v="1899-12-30T01:04:22"/>
    <n v="12.63"/>
    <d v="1899-12-30T00:05:06"/>
    <n v="145"/>
    <n v="89"/>
    <n v="232"/>
    <n v="21"/>
    <n v="1.0588199146783897"/>
    <s v="HOKA Carbon X"/>
    <n v="230.89999999999998"/>
    <s v="-"/>
    <n v="254.10000000000002"/>
    <n v="1.6"/>
  </r>
  <r>
    <x v="1551"/>
    <n v="53"/>
    <s v="n"/>
    <x v="92"/>
    <d v="1899-12-30T00:40:51"/>
    <n v="7.25"/>
    <d v="1899-12-30T00:05:38"/>
    <n v="130"/>
    <n v="46"/>
    <n v="217"/>
    <n v="27"/>
    <n v="1.0949397838394237"/>
    <s v="Brooks Defyance 11"/>
    <n v="169.39999999999998"/>
    <s v="-"/>
    <n v="193.60000000000002"/>
    <n v="1.6692307692307693"/>
  </r>
  <r>
    <x v="1552"/>
    <n v="54"/>
    <s v="n"/>
    <x v="55"/>
    <d v="1899-12-30T01:03:19"/>
    <n v="12.23"/>
    <d v="1899-12-30T00:05:11"/>
    <n v="138"/>
    <n v="87"/>
    <n v="239"/>
    <n v="40"/>
    <n v="1.1080667797561659"/>
    <s v="Adidas Solarglide 5"/>
    <n v="194.60000000000002"/>
    <s v="-"/>
    <n v="212.96"/>
    <n v="1.7318840579710144"/>
  </r>
  <r>
    <x v="1553"/>
    <m/>
    <m/>
    <x v="1"/>
    <m/>
    <s v=""/>
    <s v=""/>
    <m/>
    <s v="0"/>
    <m/>
    <m/>
    <s v=""/>
    <m/>
    <s v=""/>
    <s v="-"/>
    <s v=""/>
    <s v=""/>
  </r>
  <r>
    <x v="1554"/>
    <n v="55"/>
    <s v="n"/>
    <x v="64"/>
    <d v="1899-12-30T01:51:51"/>
    <n v="21.4"/>
    <d v="1899-12-30T00:05:14"/>
    <n v="142"/>
    <n v="144"/>
    <n v="232"/>
    <n v="91"/>
    <n v="1.0858920351513461"/>
    <s v="Mizuno"/>
    <n v="194.60000000000002"/>
    <s v="-"/>
    <n v="212.96"/>
    <n v="1.6338028169014085"/>
  </r>
  <r>
    <x v="1555"/>
    <m/>
    <m/>
    <x v="1"/>
    <m/>
    <s v=""/>
    <s v=""/>
    <m/>
    <s v="0"/>
    <m/>
    <m/>
    <s v=""/>
    <m/>
    <s v=""/>
    <s v="-"/>
    <s v=""/>
    <s v=""/>
  </r>
  <r>
    <x v="1556"/>
    <n v="56"/>
    <s v="n"/>
    <x v="55"/>
    <d v="1899-12-30T00:53:40"/>
    <n v="10.1"/>
    <d v="1899-12-30T00:05:19"/>
    <m/>
    <n v="67"/>
    <n v="230"/>
    <n v="43"/>
    <n v="1.0944288458696616"/>
    <s v="HOKA Rincon 3"/>
    <n v="194.60000000000002"/>
    <s v="-"/>
    <n v="212.96"/>
    <s v=""/>
  </r>
  <r>
    <x v="1557"/>
    <n v="57"/>
    <s v="n"/>
    <x v="32"/>
    <d v="1899-12-30T01:03:29"/>
    <n v="12.41"/>
    <d v="1899-12-30T00:05:07"/>
    <n v="142"/>
    <n v="89"/>
    <n v="237"/>
    <n v="50"/>
    <n v="1.0857072413917521"/>
    <s v="Adizero Boston 8"/>
    <s v=""/>
    <s v="-"/>
    <s v=""/>
    <n v="1.6690140845070423"/>
  </r>
  <r>
    <x v="1558"/>
    <m/>
    <m/>
    <x v="1"/>
    <m/>
    <s v=""/>
    <s v=""/>
    <m/>
    <s v="0"/>
    <m/>
    <m/>
    <s v=""/>
    <m/>
    <s v=""/>
    <s v="-"/>
    <s v=""/>
    <s v=""/>
  </r>
  <r>
    <x v="1559"/>
    <n v="58"/>
    <s v="n"/>
    <x v="55"/>
    <d v="1899-12-30T00:52:31"/>
    <n v="10.08"/>
    <d v="1899-12-30T00:05:13"/>
    <n v="137"/>
    <n v="68"/>
    <n v="234"/>
    <n v="37"/>
    <n v="1.0917643923240936"/>
    <s v="Adidas Solarglide 5"/>
    <n v="194.60000000000002"/>
    <s v="-"/>
    <n v="212.96"/>
    <n v="1.7080291970802919"/>
  </r>
  <r>
    <x v="1560"/>
    <m/>
    <m/>
    <x v="1"/>
    <m/>
    <s v=""/>
    <s v=""/>
    <m/>
    <s v="0"/>
    <m/>
    <m/>
    <s v=""/>
    <m/>
    <s v=""/>
    <s v="-"/>
    <s v=""/>
    <s v=""/>
  </r>
  <r>
    <x v="1561"/>
    <n v="59"/>
    <s v="n"/>
    <x v="55"/>
    <d v="1899-12-30T00:55:02"/>
    <n v="10.44"/>
    <d v="1899-12-30T00:05:16"/>
    <n v="136"/>
    <n v="71"/>
    <n v="234"/>
    <n v="35"/>
    <n v="1.1046320123520328"/>
    <s v="HOKA Rincon 3"/>
    <n v="194.60000000000002"/>
    <s v="-"/>
    <n v="212.96"/>
    <n v="1.7205882352941178"/>
  </r>
  <r>
    <x v="1562"/>
    <m/>
    <m/>
    <x v="1"/>
    <m/>
    <s v=""/>
    <s v=""/>
    <m/>
    <s v="0"/>
    <m/>
    <m/>
    <s v=""/>
    <m/>
    <s v=""/>
    <s v="-"/>
    <s v=""/>
    <s v=""/>
  </r>
  <r>
    <x v="1563"/>
    <n v="60"/>
    <s v="n"/>
    <x v="55"/>
    <d v="1899-12-30T00:54:41"/>
    <n v="10.33"/>
    <d v="1899-12-30T00:05:18"/>
    <n v="142"/>
    <n v="69"/>
    <n v="231"/>
    <n v="35"/>
    <n v="1.0950730375229372"/>
    <s v="HOKA Clifton 7"/>
    <n v="194.60000000000002"/>
    <s v="-"/>
    <n v="212.96"/>
    <n v="1.6267605633802817"/>
  </r>
  <r>
    <x v="1564"/>
    <m/>
    <m/>
    <x v="1"/>
    <m/>
    <s v=""/>
    <s v=""/>
    <m/>
    <s v="0"/>
    <m/>
    <m/>
    <s v=""/>
    <m/>
    <s v=""/>
    <s v="-"/>
    <s v=""/>
    <s v=""/>
  </r>
  <r>
    <x v="1565"/>
    <n v="61"/>
    <s v="n"/>
    <x v="55"/>
    <d v="1899-12-30T00:55:21"/>
    <n v="10.09"/>
    <d v="1899-12-30T00:05:29"/>
    <n v="139"/>
    <n v="66"/>
    <n v="225"/>
    <n v="33"/>
    <n v="1.1053133736668492"/>
    <s v="Brooks Defyance 11"/>
    <n v="194.60000000000002"/>
    <s v="-"/>
    <n v="212.96"/>
    <n v="1.6187050359712229"/>
  </r>
  <r>
    <x v="1566"/>
    <m/>
    <m/>
    <x v="1"/>
    <m/>
    <s v=""/>
    <s v=""/>
    <m/>
    <s v="0"/>
    <m/>
    <m/>
    <s v=""/>
    <m/>
    <s v=""/>
    <s v="-"/>
    <s v=""/>
    <s v=""/>
  </r>
  <r>
    <x v="1567"/>
    <n v="62"/>
    <s v="n"/>
    <x v="55"/>
    <d v="1899-12-30T00:52:21"/>
    <n v="9.6"/>
    <d v="1899-12-30T00:05:27"/>
    <n v="129"/>
    <n v="63"/>
    <n v="225"/>
    <n v="69"/>
    <n v="1.0987639925373134"/>
    <s v="HOKA Rincon 3"/>
    <n v="194.60000000000002"/>
    <s v="-"/>
    <n v="212.96"/>
    <n v="1.7441860465116279"/>
  </r>
  <r>
    <x v="1568"/>
    <m/>
    <m/>
    <x v="1"/>
    <m/>
    <s v=""/>
    <s v=""/>
    <m/>
    <s v="0"/>
    <m/>
    <m/>
    <s v=""/>
    <m/>
    <s v=""/>
    <s v="-"/>
    <s v=""/>
    <s v=""/>
  </r>
  <r>
    <x v="1569"/>
    <m/>
    <m/>
    <x v="1"/>
    <m/>
    <s v=""/>
    <s v=""/>
    <m/>
    <s v="0"/>
    <m/>
    <m/>
    <s v=""/>
    <m/>
    <s v=""/>
    <s v="-"/>
    <s v=""/>
    <s v=""/>
  </r>
  <r>
    <x v="1570"/>
    <n v="63"/>
    <s v="n"/>
    <x v="55"/>
    <d v="1899-12-30T00:55:57"/>
    <n v="10.77"/>
    <d v="1899-12-30T00:05:12"/>
    <n v="140"/>
    <n v="74"/>
    <n v="236"/>
    <n v="39"/>
    <n v="1.0979254147091839"/>
    <s v="Adidas Solarglide 5"/>
    <n v="194.60000000000002"/>
    <s v="-"/>
    <n v="212.96"/>
    <n v="1.6857142857142857"/>
  </r>
  <r>
    <x v="1571"/>
    <m/>
    <m/>
    <x v="1"/>
    <m/>
    <s v=""/>
    <s v=""/>
    <m/>
    <s v="0"/>
    <m/>
    <m/>
    <s v=""/>
    <m/>
    <s v=""/>
    <s v="-"/>
    <s v=""/>
    <s v=""/>
  </r>
  <r>
    <x v="1572"/>
    <n v="64"/>
    <s v="n"/>
    <x v="55"/>
    <d v="1899-12-30T00:54:23"/>
    <n v="10.3"/>
    <d v="1899-12-30T00:05:17"/>
    <n v="134"/>
    <n v="69"/>
    <n v="231"/>
    <n v="30"/>
    <n v="1.0922373569047965"/>
    <s v="HOKA Rincon 3"/>
    <n v="194.60000000000002"/>
    <s v="-"/>
    <n v="212.96"/>
    <n v="1.7238805970149254"/>
  </r>
  <r>
    <x v="1573"/>
    <m/>
    <m/>
    <x v="1"/>
    <m/>
    <s v=""/>
    <s v=""/>
    <m/>
    <s v="0"/>
    <m/>
    <m/>
    <s v=""/>
    <m/>
    <s v=""/>
    <s v="-"/>
    <s v=""/>
    <s v=""/>
  </r>
  <r>
    <x v="1574"/>
    <n v="65"/>
    <s v="n"/>
    <x v="62"/>
    <d v="1899-12-30T01:31:52"/>
    <n v="17.350000000000001"/>
    <d v="1899-12-30T00:05:18"/>
    <n v="137"/>
    <n v="117"/>
    <n v="231"/>
    <n v="69"/>
    <n v="1.0953348531119618"/>
    <s v="Mizuno"/>
    <n v="194.60000000000002"/>
    <s v="-"/>
    <n v="212.96"/>
    <n v="1.6861313868613139"/>
  </r>
  <r>
    <x v="1575"/>
    <m/>
    <m/>
    <x v="1"/>
    <m/>
    <s v=""/>
    <s v=""/>
    <m/>
    <s v="0"/>
    <m/>
    <m/>
    <s v=""/>
    <m/>
    <s v=""/>
    <s v="-"/>
    <s v=""/>
    <s v=""/>
  </r>
  <r>
    <x v="1576"/>
    <n v="66"/>
    <s v="n"/>
    <x v="55"/>
    <d v="1899-12-30T00:57:00"/>
    <n v="11.29"/>
    <d v="1899-12-30T00:05:03"/>
    <n v="138"/>
    <n v="79"/>
    <n v="241"/>
    <n v="35"/>
    <n v="1.0896183387755642"/>
    <s v="HOKA Rincon 3"/>
    <n v="194.60000000000002"/>
    <s v="-"/>
    <n v="212.96"/>
    <n v="1.7463768115942029"/>
  </r>
  <r>
    <x v="1577"/>
    <m/>
    <m/>
    <x v="1"/>
    <m/>
    <s v=""/>
    <s v=""/>
    <m/>
    <s v="0"/>
    <m/>
    <m/>
    <s v=""/>
    <m/>
    <s v=""/>
    <s v="-"/>
    <s v=""/>
    <s v=""/>
  </r>
  <r>
    <x v="1578"/>
    <n v="67"/>
    <s v="n"/>
    <x v="96"/>
    <d v="1899-12-30T00:50:00"/>
    <n v="9.68"/>
    <d v="1899-12-30T00:05:10"/>
    <n v="146"/>
    <n v="72"/>
    <n v="226"/>
    <n v="26"/>
    <n v="1.0453928703589492"/>
    <s v="HOKA Carbon X"/>
    <n v="255.10000000000002"/>
    <s v="-"/>
    <n v="278.29999999999995"/>
    <n v="1.547945205479452"/>
  </r>
  <r>
    <x v="1579"/>
    <n v="68"/>
    <s v="n"/>
    <x v="92"/>
    <d v="1899-12-30T00:40:51"/>
    <n v="7.45"/>
    <d v="1899-12-30T00:05:29"/>
    <n v="134"/>
    <n v="48"/>
    <n v="222"/>
    <n v="24"/>
    <n v="1.0900971651808073"/>
    <s v="HOKA Clifton 7"/>
    <n v="169.39999999999998"/>
    <s v="-"/>
    <n v="193.60000000000002"/>
    <n v="1.6567164179104477"/>
  </r>
  <r>
    <x v="1580"/>
    <m/>
    <m/>
    <x v="1"/>
    <m/>
    <s v=""/>
    <s v=""/>
    <m/>
    <s v="0"/>
    <m/>
    <m/>
    <s v=""/>
    <m/>
    <s v=""/>
    <s v="-"/>
    <s v=""/>
    <s v=""/>
  </r>
  <r>
    <x v="1581"/>
    <n v="69"/>
    <s v="n"/>
    <x v="80"/>
    <d v="1899-12-30T01:46:31"/>
    <n v="20.58"/>
    <d v="1899-12-30T00:05:11"/>
    <n v="140"/>
    <n v="140"/>
    <n v="235"/>
    <n v="79"/>
    <n v="1.0892222560666058"/>
    <s v="Mizuno"/>
    <n v="194.60000000000002"/>
    <s v="-"/>
    <n v="212.96"/>
    <n v="1.6785714285714286"/>
  </r>
  <r>
    <x v="1582"/>
    <m/>
    <m/>
    <x v="1"/>
    <m/>
    <s v=""/>
    <s v=""/>
    <m/>
    <s v="0"/>
    <m/>
    <m/>
    <s v=""/>
    <m/>
    <s v=""/>
    <s v="-"/>
    <s v=""/>
    <s v=""/>
  </r>
  <r>
    <x v="1583"/>
    <n v="70"/>
    <s v="n"/>
    <x v="74"/>
    <d v="1899-12-30T01:06:46"/>
    <n v="12.79"/>
    <d v="1899-12-30T00:05:13"/>
    <n v="138"/>
    <n v="87"/>
    <n v="236"/>
    <n v="38"/>
    <n v="1.1032593093951666"/>
    <s v="HOKA Rincon 3"/>
    <n v="194.60000000000002"/>
    <s v="-"/>
    <n v="212.96"/>
    <n v="1.7101449275362319"/>
  </r>
  <r>
    <x v="1584"/>
    <m/>
    <m/>
    <x v="1"/>
    <m/>
    <s v=""/>
    <s v=""/>
    <m/>
    <s v="0"/>
    <m/>
    <m/>
    <s v=""/>
    <m/>
    <s v=""/>
    <s v="-"/>
    <s v=""/>
    <s v=""/>
  </r>
  <r>
    <x v="1585"/>
    <n v="71"/>
    <s v="n"/>
    <x v="79"/>
    <d v="1899-12-30T01:04:55"/>
    <n v="12.1"/>
    <d v="1899-12-30T00:05:22"/>
    <n v="145"/>
    <n v="91"/>
    <n v="218"/>
    <n v="31"/>
    <n v="1.0473788084371531"/>
    <s v="HOKA Carbon X"/>
    <n v="255.10000000000002"/>
    <s v="-"/>
    <n v="278.29999999999995"/>
    <n v="1.5034482758620689"/>
  </r>
  <r>
    <x v="1586"/>
    <n v="72"/>
    <s v="n"/>
    <x v="92"/>
    <d v="1899-12-30T00:41:19"/>
    <n v="7.47"/>
    <d v="1899-12-30T00:05:32"/>
    <n v="132"/>
    <n v="47"/>
    <n v="222"/>
    <n v="17"/>
    <n v="1.0995983935742975"/>
    <s v="Adidas Solarglide 5"/>
    <n v="169.39999999999998"/>
    <s v="-"/>
    <n v="193.60000000000002"/>
    <n v="1.6818181818181819"/>
  </r>
  <r>
    <x v="1587"/>
    <m/>
    <m/>
    <x v="1"/>
    <m/>
    <s v=""/>
    <s v=""/>
    <m/>
    <s v="0"/>
    <m/>
    <m/>
    <s v=""/>
    <m/>
    <s v=""/>
    <s v="-"/>
    <s v=""/>
    <s v=""/>
  </r>
  <r>
    <x v="1588"/>
    <m/>
    <m/>
    <x v="1"/>
    <m/>
    <s v=""/>
    <s v=""/>
    <m/>
    <s v="0"/>
    <m/>
    <m/>
    <s v=""/>
    <m/>
    <s v=""/>
    <s v="-"/>
    <s v=""/>
    <s v=""/>
  </r>
  <r>
    <x v="1589"/>
    <m/>
    <m/>
    <x v="1"/>
    <m/>
    <s v=""/>
    <s v=""/>
    <m/>
    <s v="0"/>
    <m/>
    <m/>
    <s v=""/>
    <m/>
    <s v=""/>
    <s v="-"/>
    <s v=""/>
    <s v=""/>
  </r>
  <r>
    <x v="1590"/>
    <m/>
    <m/>
    <x v="1"/>
    <m/>
    <s v=""/>
    <s v=""/>
    <m/>
    <s v="0"/>
    <m/>
    <m/>
    <s v=""/>
    <m/>
    <s v=""/>
    <s v="-"/>
    <s v=""/>
    <s v=""/>
  </r>
  <r>
    <x v="1591"/>
    <m/>
    <m/>
    <x v="1"/>
    <m/>
    <s v=""/>
    <s v=""/>
    <m/>
    <s v="0"/>
    <m/>
    <m/>
    <s v=""/>
    <m/>
    <s v=""/>
    <s v="-"/>
    <s v=""/>
    <s v=""/>
  </r>
  <r>
    <x v="1592"/>
    <m/>
    <m/>
    <x v="1"/>
    <m/>
    <s v=""/>
    <s v=""/>
    <m/>
    <s v="0"/>
    <m/>
    <m/>
    <s v=""/>
    <m/>
    <s v=""/>
    <s v="-"/>
    <s v=""/>
    <s v=""/>
  </r>
  <r>
    <x v="1593"/>
    <m/>
    <m/>
    <x v="1"/>
    <m/>
    <s v=""/>
    <s v=""/>
    <m/>
    <s v="0"/>
    <m/>
    <m/>
    <s v=""/>
    <m/>
    <s v=""/>
    <s v="-"/>
    <s v=""/>
    <s v=""/>
  </r>
  <r>
    <x v="1594"/>
    <m/>
    <m/>
    <x v="1"/>
    <m/>
    <s v=""/>
    <s v=""/>
    <m/>
    <s v="0"/>
    <m/>
    <m/>
    <s v=""/>
    <m/>
    <s v=""/>
    <s v="-"/>
    <s v=""/>
    <s v=""/>
  </r>
  <r>
    <x v="1595"/>
    <m/>
    <m/>
    <x v="1"/>
    <m/>
    <s v=""/>
    <s v=""/>
    <m/>
    <s v="0"/>
    <m/>
    <m/>
    <s v=""/>
    <m/>
    <s v=""/>
    <s v="-"/>
    <s v=""/>
    <s v=""/>
  </r>
  <r>
    <x v="1596"/>
    <n v="73"/>
    <s v="n"/>
    <x v="88"/>
    <d v="1899-12-30T00:41:31"/>
    <n v="7.36"/>
    <d v="1899-12-30T00:05:38"/>
    <n v="142"/>
    <n v="47"/>
    <n v="220"/>
    <n v="24"/>
    <n v="1.111331927319922"/>
    <s v="HOKA Rincon 3"/>
    <n v="194.60000000000002"/>
    <s v="-"/>
    <n v="212.96"/>
    <n v="1.5492957746478873"/>
  </r>
  <r>
    <x v="1597"/>
    <m/>
    <m/>
    <x v="1"/>
    <m/>
    <s v=""/>
    <s v=""/>
    <m/>
    <s v="0"/>
    <m/>
    <m/>
    <s v=""/>
    <m/>
    <s v=""/>
    <s v="-"/>
    <s v=""/>
    <s v=""/>
  </r>
  <r>
    <x v="1598"/>
    <n v="74"/>
    <s v="n"/>
    <x v="88"/>
    <d v="1899-12-30T00:47:49"/>
    <n v="8.66"/>
    <d v="1899-12-30T00:05:31"/>
    <n v="139"/>
    <n v="55"/>
    <n v="222"/>
    <n v="23"/>
    <n v="1.0977181069249595"/>
    <s v="HOKA Rincon 3"/>
    <n v="194.60000000000002"/>
    <s v="-"/>
    <n v="212.96"/>
    <n v="1.5971223021582734"/>
  </r>
  <r>
    <x v="1599"/>
    <m/>
    <m/>
    <x v="1"/>
    <m/>
    <s v=""/>
    <s v=""/>
    <m/>
    <s v="0"/>
    <m/>
    <m/>
    <s v=""/>
    <m/>
    <s v=""/>
    <s v="-"/>
    <s v=""/>
    <s v=""/>
  </r>
  <r>
    <x v="1600"/>
    <n v="75"/>
    <s v="n"/>
    <x v="88"/>
    <d v="1899-12-30T00:46:09"/>
    <n v="8.3800000000000008"/>
    <d v="1899-12-30T00:05:30"/>
    <n v="139"/>
    <n v="54"/>
    <n v="224"/>
    <n v="21"/>
    <n v="1.1047198375663447"/>
    <s v="Adidas Solarglide 5"/>
    <n v="194.60000000000002"/>
    <s v="-"/>
    <n v="212.96"/>
    <n v="1.6115107913669064"/>
  </r>
  <r>
    <x v="1601"/>
    <m/>
    <m/>
    <x v="1"/>
    <m/>
    <s v=""/>
    <s v=""/>
    <m/>
    <s v="0"/>
    <m/>
    <m/>
    <s v=""/>
    <m/>
    <s v=""/>
    <s v="-"/>
    <s v=""/>
    <s v=""/>
  </r>
  <r>
    <x v="1602"/>
    <n v="76"/>
    <s v="n"/>
    <x v="88"/>
    <d v="1899-12-30T00:46:46"/>
    <n v="8.43"/>
    <d v="1899-12-30T00:05:33"/>
    <n v="143"/>
    <n v="54"/>
    <n v="222"/>
    <n v="23"/>
    <n v="1.1029054018165401"/>
    <s v="HOKA Rincon 3"/>
    <s v=""/>
    <s v="-"/>
    <s v=""/>
    <n v="1.5524475524475525"/>
  </r>
  <r>
    <x v="1603"/>
    <m/>
    <m/>
    <x v="1"/>
    <m/>
    <m/>
    <s v=""/>
    <m/>
    <s v="0"/>
    <m/>
    <m/>
    <s v=""/>
    <m/>
    <s v=""/>
    <s v="-"/>
    <s v=""/>
    <s v=""/>
  </r>
  <r>
    <x v="1604"/>
    <n v="77"/>
    <s v="n"/>
    <x v="88"/>
    <d v="1899-12-30T00:49:19"/>
    <n v="8.7899999999999991"/>
    <d v="1899-12-30T00:05:37"/>
    <n v="141"/>
    <n v="55"/>
    <n v="219"/>
    <n v="39"/>
    <n v="1.1003362029443229"/>
    <s v="HOKA Rincon 3"/>
    <n v="194.60000000000002"/>
    <s v="-"/>
    <n v="212.96"/>
    <n v="1.553191489361702"/>
  </r>
  <r>
    <x v="1605"/>
    <m/>
    <m/>
    <x v="1"/>
    <m/>
    <s v=""/>
    <s v=""/>
    <m/>
    <s v="0"/>
    <m/>
    <m/>
    <s v=""/>
    <m/>
    <s v=""/>
    <s v="-"/>
    <s v=""/>
    <s v=""/>
  </r>
  <r>
    <x v="1606"/>
    <n v="78"/>
    <s v="n"/>
    <x v="55"/>
    <d v="1899-12-30T00:55:17"/>
    <n v="10.43"/>
    <d v="1899-12-30T00:05:18"/>
    <n v="141"/>
    <n v="68"/>
    <n v="229"/>
    <n v="34"/>
    <n v="1.0869807243742933"/>
    <s v="HOKA Clifton 7"/>
    <n v="194.60000000000002"/>
    <s v="-"/>
    <n v="212.96"/>
    <n v="1.624113475177305"/>
  </r>
  <r>
    <x v="1607"/>
    <m/>
    <m/>
    <x v="1"/>
    <m/>
    <s v=""/>
    <s v=""/>
    <m/>
    <s v="0"/>
    <m/>
    <m/>
    <s v=""/>
    <m/>
    <s v=""/>
    <s v="-"/>
    <s v=""/>
    <s v=""/>
  </r>
  <r>
    <x v="1608"/>
    <n v="79"/>
    <s v="n"/>
    <x v="68"/>
    <d v="1899-12-30T00:51:28"/>
    <n v="8.0500000000000007"/>
    <d v="1899-12-30T00:06:24"/>
    <n v="141"/>
    <n v="52"/>
    <n v="204"/>
    <n v="185"/>
    <m/>
    <s v="Innov-8 Terraultra"/>
    <s v=""/>
    <s v="-"/>
    <s v=""/>
    <n v="1.446808510638298"/>
  </r>
  <r>
    <x v="1609"/>
    <m/>
    <m/>
    <x v="1"/>
    <m/>
    <s v=""/>
    <s v=""/>
    <m/>
    <s v="0"/>
    <m/>
    <m/>
    <s v=""/>
    <m/>
    <s v=""/>
    <s v="-"/>
    <s v=""/>
    <s v=""/>
  </r>
  <r>
    <x v="1610"/>
    <n v="80"/>
    <s v="n"/>
    <x v="55"/>
    <d v="1899-12-30T01:00:52"/>
    <n v="11.08"/>
    <d v="1899-12-30T00:05:30"/>
    <n v="138"/>
    <n v="71"/>
    <n v="224"/>
    <n v="34"/>
    <n v="1.1019559243493722"/>
    <s v="HOKA Rincon 3"/>
    <n v="194.60000000000002"/>
    <s v="-"/>
    <n v="212.96"/>
    <n v="1.6231884057971016"/>
  </r>
  <r>
    <x v="1611"/>
    <n v="81"/>
    <s v="n"/>
    <x v="88"/>
    <d v="1899-12-30T00:41:04"/>
    <n v="7.53"/>
    <d v="1899-12-30T00:05:27"/>
    <n v="134"/>
    <n v="48"/>
    <n v="225"/>
    <n v="26"/>
    <n v="1.0988880299696737"/>
    <s v="Adidas Solarglide 5"/>
    <n v="194.60000000000002"/>
    <s v="-"/>
    <n v="212.96"/>
    <n v="1.6791044776119404"/>
  </r>
  <r>
    <x v="1612"/>
    <m/>
    <m/>
    <x v="1"/>
    <m/>
    <s v=""/>
    <s v=""/>
    <m/>
    <s v="0"/>
    <m/>
    <m/>
    <s v=""/>
    <m/>
    <s v=""/>
    <s v="-"/>
    <s v=""/>
    <s v=""/>
  </r>
  <r>
    <x v="1613"/>
    <n v="82"/>
    <s v="n"/>
    <x v="88"/>
    <d v="1899-12-30T00:38:10"/>
    <n v="7.11"/>
    <d v="1899-12-30T00:05:22"/>
    <m/>
    <n v="46"/>
    <n v="227"/>
    <n v="17"/>
    <n v="1.0912316056846569"/>
    <s v="Brooks Defyance 11"/>
    <n v="194.60000000000002"/>
    <s v="-"/>
    <n v="212.96"/>
    <m/>
  </r>
  <r>
    <x v="1614"/>
    <n v="83"/>
    <s v="n"/>
    <x v="55"/>
    <d v="1899-12-30T00:55:14"/>
    <n v="10.14"/>
    <d v="1899-12-30T00:05:27"/>
    <n v="151"/>
    <n v="66"/>
    <n v="226"/>
    <n v="28"/>
    <n v="1.1024227972563219"/>
    <s v="HOKA Rincon 3"/>
    <n v="194.60000000000002"/>
    <s v="-"/>
    <n v="212.96"/>
    <n v="1.4966887417218544"/>
  </r>
  <r>
    <x v="1615"/>
    <m/>
    <m/>
    <x v="97"/>
    <m/>
    <s v=""/>
    <s v=""/>
    <m/>
    <s v="0"/>
    <m/>
    <m/>
    <s v=""/>
    <m/>
    <s v=""/>
    <s v="-"/>
    <s v=""/>
    <s v=""/>
  </r>
  <r>
    <x v="1616"/>
    <n v="84"/>
    <s v="j"/>
    <x v="55"/>
    <d v="1899-12-30T01:01:24"/>
    <n v="11.1"/>
    <d v="1899-12-30T00:05:32"/>
    <n v="140"/>
    <n v="68"/>
    <n v="217"/>
    <n v="33"/>
    <n v="1.0749334409035902"/>
    <s v="Mizuno"/>
    <n v="194.60000000000002"/>
    <s v="-"/>
    <n v="212.96"/>
    <n v="1.55"/>
  </r>
  <r>
    <x v="1617"/>
    <m/>
    <m/>
    <x v="1"/>
    <m/>
    <s v=""/>
    <s v=""/>
    <m/>
    <s v="0"/>
    <m/>
    <m/>
    <s v=""/>
    <m/>
    <s v=""/>
    <s v="-"/>
    <s v=""/>
    <s v=""/>
  </r>
  <r>
    <x v="1618"/>
    <n v="85"/>
    <s v="j"/>
    <x v="76"/>
    <d v="1899-12-30T01:17:46"/>
    <n v="13.55"/>
    <d v="1899-12-30T00:05:44"/>
    <n v="141"/>
    <n v="82"/>
    <n v="211"/>
    <n v="47"/>
    <n v="1.0844588863799085"/>
    <s v="HOKA Rincon 3"/>
    <n v="194.60000000000002"/>
    <s v="-"/>
    <n v="212.96"/>
    <n v="1.4964539007092199"/>
  </r>
  <r>
    <x v="1619"/>
    <m/>
    <m/>
    <x v="1"/>
    <m/>
    <s v=""/>
    <s v=""/>
    <m/>
    <s v="0"/>
    <m/>
    <m/>
    <s v=""/>
    <m/>
    <s v=""/>
    <s v="-"/>
    <s v=""/>
    <s v=""/>
  </r>
  <r>
    <x v="1620"/>
    <n v="86"/>
    <s v="n"/>
    <x v="55"/>
    <d v="1899-12-30T00:56:42"/>
    <n v="10.199999999999999"/>
    <d v="1899-12-30T00:05:34"/>
    <n v="150"/>
    <n v="65"/>
    <n v="221"/>
    <n v="29"/>
    <n v="1.1001492537313433"/>
    <s v="Adidas Solarglide 5"/>
    <n v="194.60000000000002"/>
    <s v="-"/>
    <n v="212.96"/>
    <n v="1.4733333333333334"/>
  </r>
  <r>
    <x v="1621"/>
    <n v="87"/>
    <s v="n"/>
    <x v="88"/>
    <d v="1899-12-30T00:47:56"/>
    <n v="8.73"/>
    <d v="1899-12-30T00:05:29"/>
    <n v="138"/>
    <n v="55"/>
    <n v="222"/>
    <n v="26"/>
    <n v="1.0915730625224394"/>
    <s v="HOKA Clifton 7"/>
    <n v="194.60000000000002"/>
    <s v="-"/>
    <n v="212.96"/>
    <n v="1.6086956521739131"/>
  </r>
  <r>
    <x v="1622"/>
    <m/>
    <m/>
    <x v="1"/>
    <m/>
    <s v=""/>
    <s v=""/>
    <m/>
    <s v="0"/>
    <m/>
    <m/>
    <s v=""/>
    <m/>
    <s v=""/>
    <s v="-"/>
    <s v=""/>
    <s v=""/>
  </r>
  <r>
    <x v="1623"/>
    <n v="88"/>
    <s v="n"/>
    <x v="68"/>
    <d v="1899-12-30T01:33:32"/>
    <n v="14.54"/>
    <d v="1899-12-30T00:06:26"/>
    <n v="150"/>
    <n v="100"/>
    <n v="208"/>
    <n v="457"/>
    <m/>
    <s v="Innov-8 Terraultra"/>
    <s v=""/>
    <s v="-"/>
    <s v=""/>
    <m/>
  </r>
  <r>
    <x v="1624"/>
    <m/>
    <m/>
    <x v="1"/>
    <m/>
    <s v=""/>
    <s v=""/>
    <m/>
    <s v="0"/>
    <m/>
    <m/>
    <s v=""/>
    <m/>
    <s v=""/>
    <s v="-"/>
    <s v=""/>
    <s v=""/>
  </r>
  <r>
    <x v="1625"/>
    <n v="89"/>
    <s v="n"/>
    <x v="88"/>
    <d v="1899-12-30T00:47:33"/>
    <n v="8.81"/>
    <d v="1899-12-30T00:05:24"/>
    <n v="136"/>
    <n v="56"/>
    <n v="226"/>
    <n v="11"/>
    <n v="1.0923441814762733"/>
    <s v="HOKA Rincon 3"/>
    <n v="194.60000000000002"/>
    <s v="-"/>
    <n v="212.96"/>
    <n v="1.661764705882353"/>
  </r>
  <r>
    <x v="1626"/>
    <m/>
    <m/>
    <x v="1"/>
    <m/>
    <s v=""/>
    <s v=""/>
    <m/>
    <s v="0"/>
    <m/>
    <m/>
    <s v=""/>
    <m/>
    <s v=""/>
    <s v="-"/>
    <s v=""/>
    <s v=""/>
  </r>
  <r>
    <x v="1627"/>
    <m/>
    <m/>
    <x v="1"/>
    <m/>
    <s v=""/>
    <s v=""/>
    <m/>
    <s v="0"/>
    <m/>
    <m/>
    <s v=""/>
    <m/>
    <s v=""/>
    <s v="-"/>
    <s v=""/>
    <s v=""/>
  </r>
  <r>
    <x v="1628"/>
    <n v="90"/>
    <s v="n"/>
    <x v="68"/>
    <d v="1899-12-30T01:20:15"/>
    <n v="12.93"/>
    <d v="1899-12-30T00:06:12"/>
    <n v="145"/>
    <n v="85"/>
    <n v="210"/>
    <n v="293"/>
    <m/>
    <s v="Innov-8 Terraultra"/>
    <s v=""/>
    <s v="-"/>
    <s v=""/>
    <m/>
  </r>
  <r>
    <x v="1629"/>
    <m/>
    <m/>
    <x v="1"/>
    <m/>
    <s v=""/>
    <s v=""/>
    <m/>
    <s v="0"/>
    <m/>
    <m/>
    <s v=""/>
    <m/>
    <s v=""/>
    <s v="-"/>
    <s v=""/>
    <s v=""/>
  </r>
  <r>
    <x v="1630"/>
    <m/>
    <m/>
    <x v="1"/>
    <m/>
    <s v=""/>
    <s v=""/>
    <m/>
    <s v="0"/>
    <m/>
    <m/>
    <s v=""/>
    <m/>
    <s v=""/>
    <s v="-"/>
    <s v=""/>
    <s v=""/>
  </r>
  <r>
    <x v="1631"/>
    <m/>
    <m/>
    <x v="1"/>
    <m/>
    <s v=""/>
    <s v=""/>
    <m/>
    <s v="0"/>
    <m/>
    <m/>
    <s v=""/>
    <m/>
    <s v=""/>
    <s v="-"/>
    <s v=""/>
    <s v=""/>
  </r>
  <r>
    <x v="1632"/>
    <m/>
    <m/>
    <x v="1"/>
    <m/>
    <s v=""/>
    <s v=""/>
    <m/>
    <s v="0"/>
    <m/>
    <m/>
    <s v=""/>
    <m/>
    <s v=""/>
    <s v="-"/>
    <s v=""/>
    <s v=""/>
  </r>
  <r>
    <x v="1633"/>
    <n v="91"/>
    <s v="n"/>
    <x v="55"/>
    <d v="1899-12-30T00:51:42"/>
    <n v="9.57"/>
    <d v="1899-12-30T00:05:24"/>
    <n v="138"/>
    <n v="62"/>
    <n v="227"/>
    <n v="28"/>
    <n v="1.0981986618630981"/>
    <s v="HOKA Rincon 3"/>
    <n v="194.60000000000002"/>
    <s v="-"/>
    <n v="212.96"/>
    <n v="1.644927536231884"/>
  </r>
  <r>
    <x v="1634"/>
    <m/>
    <m/>
    <x v="1"/>
    <m/>
    <s v=""/>
    <s v=""/>
    <m/>
    <s v="0"/>
    <m/>
    <m/>
    <s v=""/>
    <m/>
    <s v=""/>
    <s v="-"/>
    <s v=""/>
    <s v=""/>
  </r>
  <r>
    <x v="1635"/>
    <n v="92"/>
    <s v="n"/>
    <x v="55"/>
    <d v="1899-12-30T00:56:02"/>
    <n v="9.51"/>
    <d v="1899-12-30T00:05:54"/>
    <n v="131"/>
    <n v="56"/>
    <n v="208"/>
    <n v="29"/>
    <n v="1.0975030211717438"/>
    <s v="HOKA Clifton 7"/>
    <n v="194.60000000000002"/>
    <s v="-"/>
    <n v="212.96"/>
    <n v="1.5877862595419847"/>
  </r>
  <r>
    <x v="1636"/>
    <m/>
    <m/>
    <x v="1"/>
    <m/>
    <s v=""/>
    <s v=""/>
    <m/>
    <s v="0"/>
    <m/>
    <m/>
    <s v=""/>
    <m/>
    <s v=""/>
    <s v="-"/>
    <s v=""/>
    <s v=""/>
  </r>
  <r>
    <x v="1637"/>
    <n v="93"/>
    <s v="n"/>
    <x v="74"/>
    <d v="1899-12-30T01:11:15"/>
    <n v="13"/>
    <d v="1899-12-30T00:05:29"/>
    <n v="137"/>
    <n v="85"/>
    <n v="226"/>
    <n v="48"/>
    <n v="1.1092422502870265"/>
    <s v="HOKA Rincon 3"/>
    <n v="194.60000000000002"/>
    <s v="-"/>
    <n v="212.96"/>
    <n v="1.6496350364963503"/>
  </r>
  <r>
    <x v="1638"/>
    <m/>
    <m/>
    <x v="1"/>
    <m/>
    <s v=""/>
    <s v=""/>
    <m/>
    <s v="0"/>
    <m/>
    <m/>
    <s v=""/>
    <m/>
    <s v=""/>
    <s v="-"/>
    <s v=""/>
    <s v=""/>
  </r>
  <r>
    <x v="1639"/>
    <n v="94"/>
    <s v="n"/>
    <x v="88"/>
    <d v="1899-12-30T00:49:06"/>
    <n v="8.5399999999999991"/>
    <d v="1899-12-30T00:05:45"/>
    <n v="128"/>
    <n v="47"/>
    <m/>
    <n v="23"/>
    <m/>
    <m/>
    <n v="194.60000000000002"/>
    <s v="-"/>
    <n v="212.96"/>
    <m/>
  </r>
  <r>
    <x v="1640"/>
    <m/>
    <m/>
    <x v="1"/>
    <m/>
    <s v=""/>
    <s v=""/>
    <m/>
    <s v="0"/>
    <m/>
    <m/>
    <s v=""/>
    <m/>
    <s v=""/>
    <s v="-"/>
    <s v=""/>
    <s v=""/>
  </r>
  <r>
    <x v="1641"/>
    <n v="95"/>
    <s v="n"/>
    <x v="55"/>
    <d v="1899-12-30T00:57:08"/>
    <n v="10.88"/>
    <d v="1899-12-30T00:05:15"/>
    <n v="145"/>
    <n v="73"/>
    <n v="232"/>
    <n v="33"/>
    <n v="1.0910008779631253"/>
    <s v="Adizero Boston 8"/>
    <n v="194.60000000000002"/>
    <s v="-"/>
    <n v="212.96"/>
    <n v="1.6"/>
  </r>
  <r>
    <x v="1642"/>
    <m/>
    <m/>
    <x v="1"/>
    <m/>
    <s v=""/>
    <s v=""/>
    <m/>
    <s v="0"/>
    <m/>
    <m/>
    <s v=""/>
    <m/>
    <s v=""/>
    <s v="-"/>
    <s v=""/>
    <s v=""/>
  </r>
  <r>
    <x v="1643"/>
    <m/>
    <m/>
    <x v="1"/>
    <m/>
    <m/>
    <s v=""/>
    <m/>
    <s v="0"/>
    <m/>
    <m/>
    <s v=""/>
    <m/>
    <s v=""/>
    <s v="-"/>
    <s v=""/>
    <s v=""/>
  </r>
  <r>
    <x v="1644"/>
    <n v="96"/>
    <s v="n"/>
    <x v="88"/>
    <d v="1899-12-30T00:44:31"/>
    <n v="7.83"/>
    <d v="1899-12-30T00:05:41"/>
    <n v="129"/>
    <n v="48"/>
    <n v="215"/>
    <n v="24"/>
    <n v="1.0946512647490518"/>
    <s v="HOKA Clifton 7"/>
    <n v="194.60000000000002"/>
    <s v="-"/>
    <n v="212.96"/>
    <n v="1.6666666666666667"/>
  </r>
  <r>
    <x v="1645"/>
    <m/>
    <m/>
    <x v="1"/>
    <m/>
    <s v=""/>
    <s v=""/>
    <m/>
    <s v="0"/>
    <m/>
    <m/>
    <s v=""/>
    <m/>
    <s v=""/>
    <s v="-"/>
    <s v=""/>
    <s v=""/>
  </r>
  <r>
    <x v="1646"/>
    <n v="97"/>
    <s v="n"/>
    <x v="88"/>
    <d v="1899-12-30T00:50:04"/>
    <n v="9.08"/>
    <d v="1899-12-30T00:05:31"/>
    <m/>
    <n v="59"/>
    <n v="223"/>
    <n v="27"/>
    <n v="1.1011440594384905"/>
    <s v="HOKA Rincon 3"/>
    <n v="194.60000000000002"/>
    <s v="-"/>
    <n v="212.96"/>
    <s v=""/>
  </r>
  <r>
    <x v="1647"/>
    <m/>
    <m/>
    <x v="1"/>
    <m/>
    <s v=""/>
    <s v=""/>
    <m/>
    <s v="0"/>
    <m/>
    <m/>
    <s v=""/>
    <m/>
    <s v=""/>
    <s v="-"/>
    <s v=""/>
    <s v=""/>
  </r>
  <r>
    <x v="1648"/>
    <n v="98"/>
    <s v="j"/>
    <x v="55"/>
    <d v="1899-12-30T00:55:05"/>
    <n v="9.8699999999999992"/>
    <d v="1899-12-30T00:05:35"/>
    <n v="130"/>
    <n v="59"/>
    <n v="214"/>
    <n v="20"/>
    <n v="1.0695307656247637"/>
    <s v="Adidas Solarglide 5"/>
    <n v="194.60000000000002"/>
    <s v="-"/>
    <n v="212.96"/>
    <n v="1.6461538461538461"/>
  </r>
  <r>
    <x v="1649"/>
    <n v="99"/>
    <s v="n"/>
    <x v="88"/>
    <d v="1899-12-30T00:45:33"/>
    <n v="8.48"/>
    <d v="1899-12-30T00:05:22"/>
    <n v="138"/>
    <n v="55"/>
    <n v="228"/>
    <n v="19"/>
    <n v="1.0967403548296253"/>
    <s v="HOKA Rincon 3"/>
    <n v="194.60000000000002"/>
    <s v="-"/>
    <n v="212.96"/>
    <n v="1.6521739130434783"/>
  </r>
  <r>
    <x v="1650"/>
    <m/>
    <m/>
    <x v="1"/>
    <m/>
    <s v=""/>
    <s v=""/>
    <m/>
    <s v="0"/>
    <m/>
    <m/>
    <s v=""/>
    <m/>
    <s v=""/>
    <s v="-"/>
    <s v=""/>
    <s v=""/>
  </r>
  <r>
    <x v="1651"/>
    <n v="100"/>
    <s v="n"/>
    <x v="68"/>
    <d v="1899-12-30T01:26:11"/>
    <n v="11.01"/>
    <d v="1899-12-30T00:07:50"/>
    <n v="140"/>
    <n v="78"/>
    <n v="188"/>
    <n v="522"/>
    <m/>
    <s v="Innov-8 Terraultra"/>
    <s v=""/>
    <s v="-"/>
    <s v=""/>
    <m/>
  </r>
  <r>
    <x v="1652"/>
    <m/>
    <m/>
    <x v="1"/>
    <m/>
    <s v=""/>
    <s v=""/>
    <m/>
    <s v="0"/>
    <m/>
    <m/>
    <s v=""/>
    <m/>
    <s v=""/>
    <s v="-"/>
    <s v=""/>
    <s v=""/>
  </r>
  <r>
    <x v="1653"/>
    <m/>
    <m/>
    <x v="1"/>
    <m/>
    <s v=""/>
    <s v=""/>
    <m/>
    <s v="0"/>
    <m/>
    <m/>
    <s v=""/>
    <m/>
    <s v=""/>
    <s v="-"/>
    <s v=""/>
    <s v=""/>
  </r>
  <r>
    <x v="1654"/>
    <n v="101"/>
    <s v="n"/>
    <x v="88"/>
    <d v="1899-12-30T00:48:51"/>
    <n v="8.9700000000000006"/>
    <d v="1899-12-30T00:05:27"/>
    <n v="139"/>
    <n v="57"/>
    <n v="223"/>
    <n v="24"/>
    <n v="1.0875605251335299"/>
    <s v="Mizuno"/>
    <n v="194.60000000000002"/>
    <s v="-"/>
    <n v="212.96"/>
    <n v="1.6043165467625899"/>
  </r>
  <r>
    <x v="1655"/>
    <n v="102"/>
    <s v="n"/>
    <x v="88"/>
    <d v="1899-12-30T00:39:21"/>
    <n v="7.31"/>
    <d v="1899-12-30T00:05:23"/>
    <n v="142"/>
    <n v="47"/>
    <n v="224"/>
    <n v="16"/>
    <n v="1.0798211405353535"/>
    <s v="Mizuno"/>
    <n v="194.60000000000002"/>
    <s v="-"/>
    <n v="212.96"/>
    <n v="1.5774647887323943"/>
  </r>
  <r>
    <x v="1656"/>
    <n v="103"/>
    <s v="n"/>
    <x v="88"/>
    <d v="1899-12-30T00:45:18"/>
    <n v="8.3000000000000007"/>
    <d v="1899-12-30T00:05:27"/>
    <n v="142"/>
    <n v="52"/>
    <n v="222"/>
    <n v="19"/>
    <n v="1.0850494515374929"/>
    <s v="Adidas Solarglide 5"/>
    <n v="194.60000000000002"/>
    <s v="-"/>
    <n v="212.96"/>
    <n v="1.5633802816901408"/>
  </r>
  <r>
    <x v="1657"/>
    <m/>
    <m/>
    <x v="1"/>
    <m/>
    <s v=""/>
    <s v=""/>
    <m/>
    <s v="0"/>
    <m/>
    <m/>
    <s v=""/>
    <m/>
    <s v=""/>
    <s v="-"/>
    <s v=""/>
    <s v=""/>
  </r>
  <r>
    <x v="1658"/>
    <n v="104"/>
    <s v="j"/>
    <x v="88"/>
    <d v="1899-12-30T00:49:48"/>
    <n v="8.86"/>
    <d v="1899-12-30T00:05:37"/>
    <n v="136"/>
    <n v="53"/>
    <n v="212"/>
    <n v="17"/>
    <n v="1.0671069034062195"/>
    <s v="HOKA Rincon 3"/>
    <n v="194.60000000000002"/>
    <s v="-"/>
    <n v="212.96"/>
    <n v="1.5588235294117647"/>
  </r>
  <r>
    <x v="1659"/>
    <m/>
    <m/>
    <x v="1"/>
    <m/>
    <s v=""/>
    <s v=""/>
    <m/>
    <s v="0"/>
    <m/>
    <m/>
    <s v=""/>
    <m/>
    <s v=""/>
    <s v="-"/>
    <s v=""/>
    <s v=""/>
  </r>
  <r>
    <x v="1660"/>
    <n v="105"/>
    <s v="n"/>
    <x v="88"/>
    <d v="1899-12-30T00:44:38"/>
    <n v="7.89"/>
    <d v="1899-12-30T00:05:39"/>
    <n v="135"/>
    <n v="48"/>
    <n v="214"/>
    <n v="22"/>
    <n v="1.0841079772241455"/>
    <s v="HOKA Rincon 3"/>
    <n v="194.60000000000002"/>
    <s v="-"/>
    <n v="212.96"/>
    <n v="1.5851851851851853"/>
  </r>
  <r>
    <x v="1661"/>
    <n v="106"/>
    <s v="n"/>
    <x v="88"/>
    <d v="1899-12-30T00:35:30"/>
    <n v="6.01"/>
    <d v="1899-12-30T00:05:54"/>
    <n v="128"/>
    <n v="35"/>
    <n v="207"/>
    <n v="12"/>
    <n v="1.094966101273996"/>
    <s v="Adidas Solarglide 5"/>
    <n v="194.60000000000002"/>
    <s v="-"/>
    <n v="212.96"/>
    <n v="1.6171875"/>
  </r>
  <r>
    <x v="1662"/>
    <n v="107"/>
    <s v="n"/>
    <x v="32"/>
    <d v="1899-12-30T01:01:12"/>
    <n v="11.5"/>
    <d v="1899-12-30T00:05:19"/>
    <n v="151"/>
    <n v="80"/>
    <n v="228"/>
    <n v="40"/>
    <n v="1.0865879299156394"/>
    <s v="HOKA Rincon 3"/>
    <s v=""/>
    <s v="-"/>
    <s v=""/>
    <n v="1.509933774834437"/>
  </r>
  <r>
    <x v="1663"/>
    <m/>
    <m/>
    <x v="1"/>
    <m/>
    <s v=""/>
    <s v=""/>
    <m/>
    <s v="0"/>
    <m/>
    <m/>
    <s v=""/>
    <m/>
    <s v=""/>
    <s v="-"/>
    <s v=""/>
    <s v=""/>
  </r>
  <r>
    <x v="1664"/>
    <m/>
    <m/>
    <x v="1"/>
    <m/>
    <s v=""/>
    <s v=""/>
    <m/>
    <s v="0"/>
    <m/>
    <m/>
    <s v=""/>
    <m/>
    <s v=""/>
    <s v="-"/>
    <s v=""/>
    <s v=""/>
  </r>
  <r>
    <x v="1665"/>
    <n v="108"/>
    <s v="n"/>
    <x v="55"/>
    <d v="1899-12-30T00:49:10"/>
    <n v="8.76"/>
    <d v="1899-12-30T00:05:37"/>
    <n v="140"/>
    <n v="54"/>
    <n v="217"/>
    <n v="21"/>
    <n v="1.0906937913173858"/>
    <s v="HOKA Clifton 7"/>
    <n v="194.60000000000002"/>
    <s v="-"/>
    <n v="212.96"/>
    <n v="1.55"/>
  </r>
  <r>
    <x v="1666"/>
    <m/>
    <m/>
    <x v="1"/>
    <m/>
    <s v=""/>
    <s v=""/>
    <m/>
    <s v="0"/>
    <m/>
    <m/>
    <s v=""/>
    <m/>
    <s v=""/>
    <s v="-"/>
    <s v=""/>
    <s v=""/>
  </r>
  <r>
    <x v="1667"/>
    <m/>
    <m/>
    <x v="1"/>
    <m/>
    <s v=""/>
    <s v=""/>
    <m/>
    <s v="0"/>
    <m/>
    <m/>
    <s v=""/>
    <m/>
    <s v=""/>
    <s v="-"/>
    <s v=""/>
    <s v=""/>
  </r>
  <r>
    <x v="1668"/>
    <m/>
    <m/>
    <x v="1"/>
    <m/>
    <s v=""/>
    <s v=""/>
    <m/>
    <s v="0"/>
    <m/>
    <m/>
    <s v=""/>
    <m/>
    <s v=""/>
    <s v="-"/>
    <s v=""/>
    <s v=""/>
  </r>
  <r>
    <x v="1669"/>
    <m/>
    <m/>
    <x v="1"/>
    <m/>
    <s v=""/>
    <s v=""/>
    <m/>
    <s v="0"/>
    <m/>
    <m/>
    <s v=""/>
    <m/>
    <s v=""/>
    <s v="-"/>
    <s v=""/>
    <s v=""/>
  </r>
  <r>
    <x v="1670"/>
    <m/>
    <m/>
    <x v="1"/>
    <m/>
    <s v=""/>
    <s v=""/>
    <m/>
    <s v="0"/>
    <m/>
    <m/>
    <s v=""/>
    <m/>
    <s v=""/>
    <s v="-"/>
    <s v=""/>
    <s v=""/>
  </r>
  <r>
    <x v="1671"/>
    <m/>
    <m/>
    <x v="1"/>
    <m/>
    <s v=""/>
    <s v=""/>
    <m/>
    <s v="0"/>
    <m/>
    <m/>
    <s v=""/>
    <m/>
    <s v=""/>
    <s v="-"/>
    <s v=""/>
    <s v=""/>
  </r>
  <r>
    <x v="1672"/>
    <m/>
    <m/>
    <x v="1"/>
    <m/>
    <s v=""/>
    <s v=""/>
    <m/>
    <s v="0"/>
    <m/>
    <m/>
    <s v=""/>
    <m/>
    <s v=""/>
    <s v="-"/>
    <s v=""/>
    <s v=""/>
  </r>
  <r>
    <x v="1673"/>
    <n v="109"/>
    <s v="j"/>
    <x v="55"/>
    <d v="1899-12-30T00:56:44"/>
    <n v="9.92"/>
    <d v="1899-12-30T00:05:43"/>
    <n v="146"/>
    <n v="58"/>
    <n v="209"/>
    <n v="24"/>
    <n v="1.0704080404429466"/>
    <s v="HOKA Rincon 3"/>
    <n v="194.60000000000002"/>
    <s v="-"/>
    <n v="212.96"/>
    <n v="1.4315068493150684"/>
  </r>
  <r>
    <x v="1674"/>
    <m/>
    <m/>
    <x v="1"/>
    <m/>
    <s v=""/>
    <s v=""/>
    <m/>
    <s v="0"/>
    <m/>
    <m/>
    <s v=""/>
    <m/>
    <s v=""/>
    <s v="-"/>
    <s v=""/>
    <s v=""/>
  </r>
  <r>
    <x v="1675"/>
    <n v="110"/>
    <s v="j"/>
    <x v="55"/>
    <d v="1899-12-30T00:56:02"/>
    <n v="10"/>
    <d v="1899-12-30T00:05:36"/>
    <n v="137"/>
    <n v="60"/>
    <n v="214"/>
    <n v="17"/>
    <n v="1.0738328358208955"/>
    <s v="Mizuno"/>
    <n v="194.60000000000002"/>
    <s v="-"/>
    <n v="212.96"/>
    <n v="1.562043795620438"/>
  </r>
  <r>
    <x v="1676"/>
    <m/>
    <m/>
    <x v="1"/>
    <m/>
    <s v=""/>
    <s v=""/>
    <m/>
    <s v="0"/>
    <m/>
    <m/>
    <s v=""/>
    <m/>
    <s v=""/>
    <s v="-"/>
    <s v=""/>
    <s v=""/>
  </r>
  <r>
    <x v="1677"/>
    <n v="111"/>
    <s v="j"/>
    <x v="55"/>
    <d v="1899-12-30T00:56:58"/>
    <n v="9.75"/>
    <d v="1899-12-30T00:05:51"/>
    <n v="138"/>
    <n v="57"/>
    <n v="206"/>
    <n v="27"/>
    <n v="1.0778538078836586"/>
    <s v="Adidas Solarglide 5"/>
    <n v="194.60000000000002"/>
    <s v="-"/>
    <n v="212.96"/>
    <n v="1.4927536231884058"/>
  </r>
  <r>
    <x v="1678"/>
    <m/>
    <m/>
    <x v="1"/>
    <m/>
    <s v=""/>
    <s v=""/>
    <m/>
    <s v="0"/>
    <m/>
    <m/>
    <s v=""/>
    <m/>
    <s v=""/>
    <s v="-"/>
    <s v=""/>
    <s v=""/>
  </r>
  <r>
    <x v="1679"/>
    <n v="112"/>
    <s v="j"/>
    <x v="74"/>
    <d v="1899-12-30T01:15:24"/>
    <n v="13.2"/>
    <d v="1899-12-30T00:05:43"/>
    <n v="137"/>
    <n v="80"/>
    <n v="211"/>
    <n v="50"/>
    <n v="1.079335142469471"/>
    <s v="Mizuno"/>
    <n v="194.60000000000002"/>
    <s v="-"/>
    <n v="212.96"/>
    <n v="1.5401459854014599"/>
  </r>
  <r>
    <x v="1680"/>
    <m/>
    <m/>
    <x v="1"/>
    <m/>
    <s v=""/>
    <s v=""/>
    <m/>
    <s v="0"/>
    <m/>
    <m/>
    <s v=""/>
    <m/>
    <s v=""/>
    <s v="-"/>
    <s v=""/>
    <s v=""/>
  </r>
  <r>
    <x v="1681"/>
    <n v="113"/>
    <s v="n"/>
    <x v="88"/>
    <d v="1899-12-30T00:46:31"/>
    <n v="9.01"/>
    <d v="1899-12-30T00:05:10"/>
    <n v="146"/>
    <n v="63"/>
    <n v="236"/>
    <n v="17"/>
    <n v="1.0911193201583647"/>
    <s v="HOKA Rincon 3"/>
    <n v="194.60000000000002"/>
    <s v="-"/>
    <n v="212.96"/>
    <n v="1.6164383561643836"/>
  </r>
  <r>
    <x v="1682"/>
    <m/>
    <m/>
    <x v="1"/>
    <m/>
    <s v=""/>
    <s v=""/>
    <m/>
    <s v="0"/>
    <m/>
    <m/>
    <s v=""/>
    <m/>
    <s v=""/>
    <s v="-"/>
    <s v=""/>
    <s v=""/>
  </r>
  <r>
    <x v="1683"/>
    <n v="114"/>
    <s v="j"/>
    <x v="88"/>
    <d v="1899-12-30T00:35:59"/>
    <n v="6.16"/>
    <d v="1899-12-30T00:05:50"/>
    <n v="124"/>
    <n v="34"/>
    <n v="202"/>
    <n v="14"/>
    <n v="1.0566921884086065"/>
    <s v="HOKA Clifton 7"/>
    <n v="194.60000000000002"/>
    <s v="-"/>
    <n v="212.96"/>
    <n v="1.6290322580645162"/>
  </r>
  <r>
    <x v="1684"/>
    <m/>
    <m/>
    <x v="1"/>
    <m/>
    <s v=""/>
    <s v=""/>
    <m/>
    <s v="0"/>
    <m/>
    <m/>
    <s v=""/>
    <m/>
    <s v=""/>
    <s v="-"/>
    <s v=""/>
    <s v=""/>
  </r>
  <r>
    <x v="1685"/>
    <m/>
    <m/>
    <x v="1"/>
    <m/>
    <s v=""/>
    <s v=""/>
    <m/>
    <s v="0"/>
    <m/>
    <m/>
    <s v=""/>
    <m/>
    <s v=""/>
    <s v="-"/>
    <s v=""/>
    <s v=""/>
  </r>
  <r>
    <x v="1686"/>
    <m/>
    <m/>
    <x v="1"/>
    <m/>
    <s v=""/>
    <s v=""/>
    <m/>
    <s v="0"/>
    <m/>
    <m/>
    <s v=""/>
    <m/>
    <s v=""/>
    <s v="-"/>
    <s v=""/>
    <s v=""/>
  </r>
  <r>
    <x v="1687"/>
    <m/>
    <m/>
    <x v="1"/>
    <m/>
    <s v=""/>
    <s v=""/>
    <m/>
    <s v="0"/>
    <m/>
    <m/>
    <s v=""/>
    <m/>
    <s v=""/>
    <s v="-"/>
    <s v=""/>
    <s v=""/>
  </r>
  <r>
    <x v="1688"/>
    <m/>
    <m/>
    <x v="1"/>
    <m/>
    <s v=""/>
    <s v=""/>
    <m/>
    <s v="0"/>
    <m/>
    <m/>
    <s v=""/>
    <m/>
    <s v=""/>
    <s v="-"/>
    <s v=""/>
    <s v=""/>
  </r>
  <r>
    <x v="1689"/>
    <n v="115"/>
    <s v="n"/>
    <x v="68"/>
    <d v="1899-12-30T01:16:09"/>
    <n v="11.2"/>
    <d v="1899-12-30T00:06:48"/>
    <n v="137"/>
    <n v="72"/>
    <n v="195"/>
    <n v="301"/>
    <m/>
    <s v="Innov-8 Terraultra"/>
    <s v=""/>
    <s v="-"/>
    <s v=""/>
    <m/>
  </r>
  <r>
    <x v="1690"/>
    <m/>
    <m/>
    <x v="1"/>
    <m/>
    <s v=""/>
    <s v=""/>
    <m/>
    <s v="0"/>
    <m/>
    <m/>
    <s v=""/>
    <m/>
    <s v=""/>
    <s v="-"/>
    <s v=""/>
    <s v=""/>
  </r>
  <r>
    <x v="1691"/>
    <n v="116"/>
    <s v="j"/>
    <x v="55"/>
    <d v="1899-12-30T00:59:49"/>
    <n v="10.5"/>
    <d v="1899-12-30T00:05:42"/>
    <n v="138"/>
    <n v="62"/>
    <n v="211"/>
    <n v="20"/>
    <n v="1.0764449182658138"/>
    <s v="Adidas Solarglide 5"/>
    <n v="194.60000000000002"/>
    <s v="-"/>
    <n v="212.96"/>
    <n v="1.5289855072463767"/>
  </r>
  <r>
    <x v="1692"/>
    <m/>
    <m/>
    <x v="1"/>
    <m/>
    <s v=""/>
    <s v=""/>
    <m/>
    <s v="0"/>
    <m/>
    <m/>
    <s v=""/>
    <m/>
    <s v=""/>
    <s v="-"/>
    <s v=""/>
    <s v=""/>
  </r>
  <r>
    <x v="1693"/>
    <n v="117"/>
    <s v="n"/>
    <x v="55"/>
    <d v="1899-12-30T00:56:04"/>
    <n v="10.5"/>
    <d v="1899-12-30T00:05:20"/>
    <n v="137"/>
    <n v="72"/>
    <n v="230"/>
    <n v="30"/>
    <n v="1.0998152096659561"/>
    <s v="HOKA Rincon 3"/>
    <n v="194.60000000000002"/>
    <s v="-"/>
    <n v="212.96"/>
    <n v="1.6788321167883211"/>
  </r>
  <r>
    <x v="1694"/>
    <m/>
    <m/>
    <x v="1"/>
    <m/>
    <s v=""/>
    <s v=""/>
    <m/>
    <s v="0"/>
    <m/>
    <m/>
    <s v=""/>
    <m/>
    <s v=""/>
    <s v="-"/>
    <s v=""/>
    <s v=""/>
  </r>
  <r>
    <x v="1695"/>
    <n v="118"/>
    <s v="n"/>
    <x v="88"/>
    <d v="1899-12-30T00:40:19"/>
    <n v="7.68"/>
    <d v="1899-12-30T00:05:15"/>
    <n v="139"/>
    <n v="50"/>
    <n v="231"/>
    <n v="15"/>
    <n v="1.0859549906716419"/>
    <s v="Mizuno"/>
    <n v="194.60000000000002"/>
    <s v="-"/>
    <n v="212.96"/>
    <n v="1.6618705035971224"/>
  </r>
  <r>
    <x v="1696"/>
    <m/>
    <m/>
    <x v="1"/>
    <m/>
    <s v=""/>
    <s v=""/>
    <m/>
    <s v="0"/>
    <m/>
    <m/>
    <s v=""/>
    <m/>
    <s v=""/>
    <s v="-"/>
    <s v=""/>
    <s v=""/>
  </r>
  <r>
    <x v="1697"/>
    <n v="119"/>
    <s v="n"/>
    <x v="88"/>
    <d v="1899-12-30T00:48:40"/>
    <n v="9.06"/>
    <d v="1899-12-30T00:05:22"/>
    <n v="138"/>
    <n v="58"/>
    <n v="226"/>
    <n v="22"/>
    <n v="1.0871470462258244"/>
    <s v="HOKA Rincon 3"/>
    <n v="194.60000000000002"/>
    <s v="-"/>
    <n v="212.96"/>
    <n v="1.6376811594202898"/>
  </r>
  <r>
    <x v="1698"/>
    <n v="120"/>
    <s v="n"/>
    <x v="88"/>
    <d v="1899-12-30T00:39:38"/>
    <n v="7.28"/>
    <d v="1899-12-30T00:05:27"/>
    <n v="132"/>
    <n v="45"/>
    <n v="221"/>
    <n v="16"/>
    <n v="1.0774520255863538"/>
    <s v="HOKA Clifton 7"/>
    <n v="194.60000000000002"/>
    <s v="-"/>
    <n v="212.96"/>
    <n v="1.6742424242424243"/>
  </r>
  <r>
    <x v="1699"/>
    <m/>
    <m/>
    <x v="1"/>
    <m/>
    <s v=""/>
    <s v=""/>
    <m/>
    <s v="0"/>
    <m/>
    <m/>
    <s v=""/>
    <m/>
    <s v=""/>
    <s v="-"/>
    <s v=""/>
    <s v=""/>
  </r>
  <r>
    <x v="1700"/>
    <n v="121"/>
    <s v="n"/>
    <x v="68"/>
    <d v="1899-12-30T01:29:47"/>
    <n v="9.77"/>
    <d v="1899-12-30T00:09:11"/>
    <n v="147"/>
    <n v="69"/>
    <n v="157"/>
    <n v="526"/>
    <m/>
    <s v="Innov-8 Terraultra"/>
    <s v=""/>
    <s v="-"/>
    <s v=""/>
    <m/>
  </r>
  <r>
    <x v="1701"/>
    <m/>
    <m/>
    <x v="1"/>
    <m/>
    <s v=""/>
    <s v=""/>
    <m/>
    <s v="0"/>
    <m/>
    <m/>
    <s v=""/>
    <m/>
    <s v=""/>
    <s v="-"/>
    <s v=""/>
    <s v=""/>
  </r>
  <r>
    <x v="1702"/>
    <m/>
    <m/>
    <x v="1"/>
    <m/>
    <s v=""/>
    <s v=""/>
    <m/>
    <s v="0"/>
    <m/>
    <m/>
    <s v=""/>
    <m/>
    <s v=""/>
    <s v="-"/>
    <s v=""/>
    <s v=""/>
  </r>
  <r>
    <x v="1703"/>
    <m/>
    <m/>
    <x v="1"/>
    <m/>
    <s v=""/>
    <s v=""/>
    <m/>
    <s v="0"/>
    <m/>
    <m/>
    <s v=""/>
    <m/>
    <s v=""/>
    <s v="-"/>
    <s v=""/>
    <s v=""/>
  </r>
  <r>
    <x v="1704"/>
    <n v="122"/>
    <s v="n"/>
    <x v="88"/>
    <d v="1899-12-30T00:35:41"/>
    <n v="6.9"/>
    <d v="1899-12-30T00:05:10"/>
    <n v="135"/>
    <n v="46"/>
    <n v="234"/>
    <n v="18"/>
    <n v="1.0836988968202463"/>
    <s v="HOKA Rincon 3"/>
    <n v="194.60000000000002"/>
    <s v="-"/>
    <n v="212.96"/>
    <n v="1.7333333333333334"/>
  </r>
  <r>
    <x v="1705"/>
    <m/>
    <m/>
    <x v="1"/>
    <m/>
    <s v=""/>
    <s v=""/>
    <m/>
    <s v="0"/>
    <m/>
    <m/>
    <s v=""/>
    <m/>
    <s v=""/>
    <s v="-"/>
    <s v=""/>
    <s v=""/>
  </r>
  <r>
    <x v="1706"/>
    <m/>
    <m/>
    <x v="1"/>
    <m/>
    <s v=""/>
    <s v=""/>
    <m/>
    <s v="0"/>
    <m/>
    <m/>
    <s v=""/>
    <m/>
    <s v=""/>
    <s v="-"/>
    <s v=""/>
    <s v=""/>
  </r>
  <r>
    <x v="1707"/>
    <n v="123"/>
    <s v="j"/>
    <x v="88"/>
    <d v="1899-12-30T00:45:53"/>
    <n v="8.15"/>
    <d v="1899-12-30T00:05:38"/>
    <n v="136"/>
    <n v="49"/>
    <n v="211"/>
    <n v="18"/>
    <n v="1.0637908616427068"/>
    <s v="Adidas Solarglide 5"/>
    <n v="194.60000000000002"/>
    <s v="-"/>
    <n v="212.96"/>
    <n v="1.5514705882352942"/>
  </r>
  <r>
    <x v="1708"/>
    <m/>
    <m/>
    <x v="1"/>
    <m/>
    <s v=""/>
    <s v=""/>
    <m/>
    <s v="0"/>
    <m/>
    <m/>
    <s v=""/>
    <m/>
    <s v=""/>
    <s v="-"/>
    <s v=""/>
    <s v=""/>
  </r>
  <r>
    <x v="1709"/>
    <n v="124"/>
    <s v="j"/>
    <x v="55"/>
    <d v="1899-12-30T00:57:14"/>
    <n v="10.199999999999999"/>
    <d v="1899-12-30T00:05:37"/>
    <n v="134"/>
    <n v="61"/>
    <n v="213"/>
    <n v="29"/>
    <n v="1.0702985074626867"/>
    <s v="HOKA Rincon 3"/>
    <n v="194.60000000000002"/>
    <s v="-"/>
    <n v="212.96"/>
    <n v="1.5895522388059702"/>
  </r>
  <r>
    <x v="1710"/>
    <m/>
    <m/>
    <x v="1"/>
    <m/>
    <s v=""/>
    <s v=""/>
    <m/>
    <s v="0"/>
    <m/>
    <m/>
    <s v=""/>
    <m/>
    <s v=""/>
    <s v="-"/>
    <s v=""/>
    <s v=""/>
  </r>
  <r>
    <x v="1711"/>
    <n v="125"/>
    <s v="n"/>
    <x v="55"/>
    <d v="1899-12-30T00:54:49"/>
    <n v="10.1"/>
    <d v="1899-12-30T00:05:26"/>
    <n v="144"/>
    <n v="65"/>
    <n v="225"/>
    <n v="29"/>
    <n v="1.0935791340328063"/>
    <s v="Mizuno"/>
    <n v="194.60000000000002"/>
    <s v="-"/>
    <n v="212.96"/>
    <n v="1.5625"/>
  </r>
  <r>
    <x v="1712"/>
    <m/>
    <m/>
    <x v="1"/>
    <m/>
    <s v=""/>
    <s v=""/>
    <m/>
    <s v="0"/>
    <m/>
    <m/>
    <s v=""/>
    <m/>
    <s v=""/>
    <s v="-"/>
    <s v=""/>
    <s v=""/>
  </r>
  <r>
    <x v="1713"/>
    <n v="126"/>
    <s v="n"/>
    <x v="55"/>
    <d v="1899-12-30T00:52:02"/>
    <n v="9.6"/>
    <d v="1899-12-30T00:05:25"/>
    <n v="135"/>
    <n v="63"/>
    <n v="226"/>
    <n v="32"/>
    <n v="1.0969713930348259"/>
    <s v="HOKA Rincon 3"/>
    <n v="194.60000000000002"/>
    <s v="-"/>
    <n v="212.96"/>
    <n v="1.674074074074074"/>
  </r>
  <r>
    <x v="1714"/>
    <m/>
    <m/>
    <x v="1"/>
    <m/>
    <s v=""/>
    <s v=""/>
    <m/>
    <s v="0"/>
    <m/>
    <m/>
    <s v=""/>
    <m/>
    <s v=""/>
    <s v="-"/>
    <s v=""/>
    <s v=""/>
  </r>
  <r>
    <x v="1715"/>
    <m/>
    <m/>
    <x v="1"/>
    <m/>
    <s v=""/>
    <s v=""/>
    <m/>
    <s v="0"/>
    <m/>
    <m/>
    <s v=""/>
    <m/>
    <s v=""/>
    <s v="-"/>
    <s v=""/>
    <s v=""/>
  </r>
  <r>
    <x v="1716"/>
    <n v="127"/>
    <s v="n"/>
    <x v="74"/>
    <d v="1899-12-30T01:07:58"/>
    <n v="12.4"/>
    <d v="1899-12-30T00:05:29"/>
    <n v="138"/>
    <n v="81"/>
    <n v="225"/>
    <n v="47"/>
    <n v="1.1044174289841115"/>
    <s v="HOKA Rincon 3"/>
    <n v="194.60000000000002"/>
    <s v="-"/>
    <n v="212.96"/>
    <n v="1.6304347826086956"/>
  </r>
  <r>
    <x v="1717"/>
    <m/>
    <m/>
    <x v="1"/>
    <m/>
    <s v=""/>
    <s v=""/>
    <m/>
    <s v="0"/>
    <m/>
    <m/>
    <s v=""/>
    <m/>
    <s v=""/>
    <s v="-"/>
    <s v=""/>
    <s v=""/>
  </r>
  <r>
    <x v="1718"/>
    <n v="128"/>
    <s v="n"/>
    <x v="88"/>
    <d v="1899-12-30T00:41:35"/>
    <n v="7.44"/>
    <d v="1899-12-30T00:05:35"/>
    <n v="141"/>
    <n v="47"/>
    <n v="221"/>
    <n v="23"/>
    <n v="1.1061527042208315"/>
    <s v="Adidas Solarglide 5"/>
    <n v="194.60000000000002"/>
    <s v="-"/>
    <n v="212.96"/>
    <n v="1.5673758865248226"/>
  </r>
  <r>
    <x v="1719"/>
    <m/>
    <m/>
    <x v="1"/>
    <m/>
    <s v=""/>
    <s v=""/>
    <m/>
    <s v="0"/>
    <m/>
    <m/>
    <s v=""/>
    <m/>
    <s v=""/>
    <s v="-"/>
    <s v=""/>
    <s v=""/>
  </r>
  <r>
    <x v="1720"/>
    <m/>
    <m/>
    <x v="1"/>
    <m/>
    <s v=""/>
    <s v=""/>
    <m/>
    <s v="0"/>
    <m/>
    <m/>
    <s v=""/>
    <m/>
    <s v=""/>
    <s v="-"/>
    <s v=""/>
    <s v=""/>
  </r>
  <r>
    <x v="1721"/>
    <n v="129"/>
    <s v="n"/>
    <x v="93"/>
    <d v="1899-12-30T00:46:39"/>
    <n v="9.31"/>
    <d v="1899-12-30T00:05:01"/>
    <n v="151"/>
    <n v="66"/>
    <n v="246"/>
    <n v="39"/>
    <n v="1.1038587941068021"/>
    <s v="HOKA Rincon 3"/>
    <n v="229.68"/>
    <s v="-"/>
    <n v="247.95"/>
    <n v="1.6291390728476822"/>
  </r>
  <r>
    <x v="1722"/>
    <m/>
    <m/>
    <x v="1"/>
    <m/>
    <s v=""/>
    <s v=""/>
    <m/>
    <s v="0"/>
    <m/>
    <m/>
    <s v=""/>
    <m/>
    <s v=""/>
    <s v="-"/>
    <s v=""/>
    <s v=""/>
  </r>
  <r>
    <x v="1723"/>
    <m/>
    <m/>
    <x v="1"/>
    <m/>
    <s v=""/>
    <s v=""/>
    <m/>
    <s v="0"/>
    <m/>
    <m/>
    <s v=""/>
    <m/>
    <s v=""/>
    <s v="-"/>
    <s v=""/>
    <s v=""/>
  </r>
  <r>
    <x v="1724"/>
    <m/>
    <m/>
    <x v="1"/>
    <m/>
    <s v=""/>
    <s v=""/>
    <m/>
    <s v="0"/>
    <m/>
    <m/>
    <s v=""/>
    <m/>
    <s v=""/>
    <s v="-"/>
    <s v=""/>
    <s v=""/>
  </r>
  <r>
    <x v="1725"/>
    <m/>
    <m/>
    <x v="1"/>
    <m/>
    <s v=""/>
    <s v=""/>
    <m/>
    <s v="0"/>
    <m/>
    <m/>
    <s v=""/>
    <m/>
    <s v=""/>
    <s v="-"/>
    <s v=""/>
    <s v=""/>
  </r>
  <r>
    <x v="1726"/>
    <m/>
    <m/>
    <x v="1"/>
    <m/>
    <s v=""/>
    <s v=""/>
    <m/>
    <s v="0"/>
    <m/>
    <m/>
    <s v=""/>
    <m/>
    <s v=""/>
    <s v="-"/>
    <s v=""/>
    <s v=""/>
  </r>
  <r>
    <x v="1727"/>
    <m/>
    <m/>
    <x v="1"/>
    <m/>
    <s v=""/>
    <s v=""/>
    <m/>
    <s v="0"/>
    <m/>
    <m/>
    <s v=""/>
    <m/>
    <s v=""/>
    <s v="-"/>
    <s v=""/>
    <s v=""/>
  </r>
  <r>
    <x v="1728"/>
    <m/>
    <m/>
    <x v="1"/>
    <m/>
    <s v=""/>
    <s v=""/>
    <m/>
    <s v="0"/>
    <m/>
    <m/>
    <s v=""/>
    <m/>
    <s v=""/>
    <s v="-"/>
    <s v=""/>
    <s v=""/>
  </r>
  <r>
    <x v="1729"/>
    <n v="130"/>
    <s v="j"/>
    <x v="55"/>
    <d v="1899-12-30T01:03:11"/>
    <n v="10.6"/>
    <d v="1899-12-30T00:05:58"/>
    <n v="134"/>
    <n v="59"/>
    <n v="201"/>
    <n v="32"/>
    <n v="1.0729245283018871"/>
    <s v="HOKA Rincon 3"/>
    <n v="194.60000000000002"/>
    <s v="-"/>
    <n v="212.96"/>
    <n v="1.5"/>
  </r>
  <r>
    <x v="1730"/>
    <m/>
    <m/>
    <x v="1"/>
    <m/>
    <s v=""/>
    <s v=""/>
    <m/>
    <s v="0"/>
    <m/>
    <m/>
    <s v=""/>
    <m/>
    <s v=""/>
    <s v="-"/>
    <s v=""/>
    <s v=""/>
  </r>
  <r>
    <x v="1731"/>
    <n v="131"/>
    <s v="n"/>
    <x v="88"/>
    <d v="1899-12-30T00:33:50"/>
    <n v="6.26"/>
    <d v="1899-12-30T00:05:24"/>
    <n v="140"/>
    <n v="40"/>
    <n v="226"/>
    <n v="19"/>
    <n v="1.0938438796433172"/>
    <s v="HOKA Rincon 3"/>
    <n v="194.60000000000002"/>
    <s v="-"/>
    <n v="212.96"/>
    <n v="1.6142857142857143"/>
  </r>
  <r>
    <x v="1732"/>
    <m/>
    <m/>
    <x v="1"/>
    <m/>
    <s v=""/>
    <s v=""/>
    <m/>
    <s v="0"/>
    <m/>
    <m/>
    <s v=""/>
    <m/>
    <s v=""/>
    <s v="-"/>
    <s v=""/>
    <s v=""/>
  </r>
  <r>
    <x v="1733"/>
    <m/>
    <m/>
    <x v="1"/>
    <m/>
    <s v=""/>
    <s v=""/>
    <m/>
    <s v="0"/>
    <m/>
    <m/>
    <s v=""/>
    <m/>
    <s v=""/>
    <s v="-"/>
    <s v=""/>
    <s v=""/>
  </r>
  <r>
    <x v="1734"/>
    <m/>
    <m/>
    <x v="1"/>
    <m/>
    <s v=""/>
    <s v=""/>
    <m/>
    <s v="0"/>
    <m/>
    <m/>
    <s v=""/>
    <m/>
    <s v=""/>
    <s v="-"/>
    <s v=""/>
    <s v=""/>
  </r>
  <r>
    <x v="1735"/>
    <n v="132"/>
    <s v="n"/>
    <x v="76"/>
    <d v="1899-12-30T01:21:34"/>
    <n v="14.3"/>
    <d v="1899-12-30T00:05:42"/>
    <n v="138"/>
    <n v="86"/>
    <n v="211"/>
    <n v="55"/>
    <n v="1.077793549733848"/>
    <s v="Mizuno"/>
    <n v="194.60000000000002"/>
    <s v="-"/>
    <n v="212.96"/>
    <n v="1.5289855072463767"/>
  </r>
  <r>
    <x v="1736"/>
    <m/>
    <m/>
    <x v="1"/>
    <m/>
    <s v=""/>
    <s v=""/>
    <m/>
    <s v="0"/>
    <m/>
    <m/>
    <s v=""/>
    <m/>
    <s v=""/>
    <s v="-"/>
    <s v=""/>
    <s v=""/>
  </r>
  <r>
    <x v="1737"/>
    <m/>
    <m/>
    <x v="1"/>
    <m/>
    <s v=""/>
    <s v=""/>
    <m/>
    <s v="0"/>
    <m/>
    <m/>
    <s v=""/>
    <m/>
    <s v=""/>
    <s v="-"/>
    <s v=""/>
    <s v=""/>
  </r>
  <r>
    <x v="1738"/>
    <m/>
    <m/>
    <x v="1"/>
    <m/>
    <s v=""/>
    <s v=""/>
    <m/>
    <s v="0"/>
    <m/>
    <m/>
    <s v=""/>
    <m/>
    <s v=""/>
    <s v="-"/>
    <s v=""/>
    <s v=""/>
  </r>
  <r>
    <x v="1739"/>
    <n v="133"/>
    <s v="n"/>
    <x v="88"/>
    <d v="1899-12-30T00:41:31"/>
    <n v="7.55"/>
    <d v="1899-12-30T00:05:30"/>
    <n v="137"/>
    <n v="49"/>
    <n v="225"/>
    <n v="23"/>
    <n v="1.1079865572798262"/>
    <s v="HOKA Rincon 3"/>
    <n v="194.60000000000002"/>
    <s v="-"/>
    <n v="212.96"/>
    <n v="1.6423357664233578"/>
  </r>
  <r>
    <x v="1740"/>
    <m/>
    <m/>
    <x v="1"/>
    <m/>
    <s v=""/>
    <s v=""/>
    <m/>
    <s v="0"/>
    <m/>
    <m/>
    <s v=""/>
    <m/>
    <s v=""/>
    <s v="-"/>
    <s v=""/>
    <s v=""/>
  </r>
  <r>
    <x v="1741"/>
    <m/>
    <m/>
    <x v="1"/>
    <m/>
    <s v=""/>
    <s v=""/>
    <m/>
    <s v="0"/>
    <m/>
    <m/>
    <s v=""/>
    <m/>
    <s v=""/>
    <s v="-"/>
    <s v=""/>
    <s v=""/>
  </r>
  <r>
    <x v="1742"/>
    <m/>
    <m/>
    <x v="1"/>
    <m/>
    <s v=""/>
    <s v=""/>
    <m/>
    <s v="0"/>
    <m/>
    <m/>
    <s v=""/>
    <m/>
    <s v=""/>
    <s v="-"/>
    <s v=""/>
    <s v=""/>
  </r>
  <r>
    <x v="1743"/>
    <n v="134"/>
    <s v="n"/>
    <x v="55"/>
    <d v="1899-12-30T00:59:41"/>
    <n v="10.1"/>
    <d v="1899-12-30T00:05:55"/>
    <n v="145"/>
    <n v="61"/>
    <n v="206"/>
    <n v="30"/>
    <n v="1.0901226540564506"/>
    <s v="Mizuno"/>
    <n v="194.60000000000002"/>
    <s v="-"/>
    <n v="212.96"/>
    <n v="1.4206896551724137"/>
  </r>
  <r>
    <x v="1744"/>
    <m/>
    <m/>
    <x v="1"/>
    <m/>
    <s v=""/>
    <s v=""/>
    <m/>
    <s v="0"/>
    <m/>
    <m/>
    <s v=""/>
    <m/>
    <s v=""/>
    <s v="-"/>
    <s v=""/>
    <s v=""/>
  </r>
  <r>
    <x v="1745"/>
    <m/>
    <m/>
    <x v="1"/>
    <m/>
    <s v=""/>
    <s v=""/>
    <m/>
    <s v="0"/>
    <m/>
    <m/>
    <s v=""/>
    <m/>
    <s v=""/>
    <s v="-"/>
    <s v=""/>
    <s v=""/>
  </r>
  <r>
    <x v="1746"/>
    <m/>
    <m/>
    <x v="1"/>
    <m/>
    <s v=""/>
    <s v=""/>
    <m/>
    <s v="0"/>
    <m/>
    <m/>
    <s v=""/>
    <m/>
    <s v=""/>
    <s v="-"/>
    <s v=""/>
    <s v=""/>
  </r>
  <r>
    <x v="1747"/>
    <m/>
    <m/>
    <x v="1"/>
    <m/>
    <s v=""/>
    <s v=""/>
    <m/>
    <s v="0"/>
    <m/>
    <m/>
    <s v=""/>
    <m/>
    <s v=""/>
    <s v="-"/>
    <s v=""/>
    <s v=""/>
  </r>
  <r>
    <x v="1748"/>
    <m/>
    <m/>
    <x v="1"/>
    <m/>
    <s v=""/>
    <s v=""/>
    <m/>
    <s v="0"/>
    <m/>
    <m/>
    <s v=""/>
    <m/>
    <s v=""/>
    <s v="-"/>
    <s v=""/>
    <s v=""/>
  </r>
  <r>
    <x v="1749"/>
    <m/>
    <m/>
    <x v="1"/>
    <m/>
    <s v=""/>
    <s v=""/>
    <m/>
    <s v="0"/>
    <m/>
    <m/>
    <s v=""/>
    <m/>
    <s v=""/>
    <s v="-"/>
    <s v=""/>
    <s v=""/>
  </r>
  <r>
    <x v="1750"/>
    <m/>
    <m/>
    <x v="1"/>
    <m/>
    <s v=""/>
    <s v=""/>
    <m/>
    <s v="0"/>
    <m/>
    <m/>
    <s v=""/>
    <m/>
    <s v=""/>
    <s v="-"/>
    <s v=""/>
    <s v=""/>
  </r>
  <r>
    <x v="1751"/>
    <m/>
    <m/>
    <x v="1"/>
    <m/>
    <s v=""/>
    <s v=""/>
    <m/>
    <s v="0"/>
    <m/>
    <m/>
    <s v=""/>
    <m/>
    <s v=""/>
    <s v="-"/>
    <s v=""/>
    <s v=""/>
  </r>
  <r>
    <x v="1752"/>
    <m/>
    <m/>
    <x v="1"/>
    <m/>
    <s v=""/>
    <s v=""/>
    <m/>
    <s v="0"/>
    <m/>
    <m/>
    <s v=""/>
    <m/>
    <s v=""/>
    <s v="-"/>
    <s v=""/>
    <s v=""/>
  </r>
  <r>
    <x v="1753"/>
    <m/>
    <m/>
    <x v="1"/>
    <m/>
    <s v=""/>
    <s v=""/>
    <m/>
    <s v="0"/>
    <m/>
    <m/>
    <s v=""/>
    <m/>
    <s v=""/>
    <s v="-"/>
    <s v=""/>
    <s v=""/>
  </r>
  <r>
    <x v="1754"/>
    <m/>
    <m/>
    <x v="1"/>
    <m/>
    <s v=""/>
    <s v=""/>
    <m/>
    <s v="0"/>
    <m/>
    <m/>
    <s v=""/>
    <m/>
    <s v=""/>
    <s v="-"/>
    <s v=""/>
    <s v=""/>
  </r>
  <r>
    <x v="1755"/>
    <m/>
    <m/>
    <x v="1"/>
    <m/>
    <s v=""/>
    <s v=""/>
    <m/>
    <s v="0"/>
    <m/>
    <m/>
    <s v=""/>
    <m/>
    <s v=""/>
    <s v="-"/>
    <s v=""/>
    <s v=""/>
  </r>
  <r>
    <x v="1756"/>
    <m/>
    <m/>
    <x v="1"/>
    <m/>
    <s v=""/>
    <s v=""/>
    <m/>
    <s v="0"/>
    <m/>
    <m/>
    <s v=""/>
    <m/>
    <s v=""/>
    <s v="-"/>
    <s v=""/>
    <s v=""/>
  </r>
  <r>
    <x v="1757"/>
    <m/>
    <m/>
    <x v="1"/>
    <m/>
    <s v=""/>
    <s v=""/>
    <m/>
    <s v="0"/>
    <m/>
    <m/>
    <s v=""/>
    <m/>
    <s v=""/>
    <s v="-"/>
    <s v=""/>
    <s v=""/>
  </r>
  <r>
    <x v="1758"/>
    <m/>
    <m/>
    <x v="1"/>
    <m/>
    <s v=""/>
    <s v=""/>
    <m/>
    <s v="0"/>
    <m/>
    <m/>
    <s v=""/>
    <m/>
    <s v=""/>
    <s v="-"/>
    <s v=""/>
    <s v=""/>
  </r>
  <r>
    <x v="1759"/>
    <m/>
    <m/>
    <x v="1"/>
    <m/>
    <s v=""/>
    <s v=""/>
    <m/>
    <s v="0"/>
    <m/>
    <m/>
    <s v=""/>
    <m/>
    <s v=""/>
    <s v="-"/>
    <s v=""/>
    <s v=""/>
  </r>
  <r>
    <x v="1760"/>
    <m/>
    <m/>
    <x v="1"/>
    <m/>
    <s v=""/>
    <s v=""/>
    <m/>
    <s v="0"/>
    <m/>
    <m/>
    <s v=""/>
    <m/>
    <s v=""/>
    <s v="-"/>
    <s v=""/>
    <s v=""/>
  </r>
  <r>
    <x v="1761"/>
    <m/>
    <m/>
    <x v="1"/>
    <m/>
    <s v=""/>
    <s v=""/>
    <m/>
    <s v="0"/>
    <m/>
    <m/>
    <s v=""/>
    <m/>
    <s v=""/>
    <s v="-"/>
    <s v=""/>
    <s v=""/>
  </r>
  <r>
    <x v="1762"/>
    <m/>
    <m/>
    <x v="1"/>
    <m/>
    <s v=""/>
    <s v=""/>
    <m/>
    <s v="0"/>
    <m/>
    <m/>
    <s v=""/>
    <m/>
    <s v=""/>
    <s v="-"/>
    <s v=""/>
    <s v=""/>
  </r>
  <r>
    <x v="1763"/>
    <m/>
    <m/>
    <x v="1"/>
    <m/>
    <s v=""/>
    <s v=""/>
    <m/>
    <s v="0"/>
    <m/>
    <m/>
    <s v=""/>
    <m/>
    <s v=""/>
    <s v="-"/>
    <s v=""/>
    <s v=""/>
  </r>
  <r>
    <x v="1764"/>
    <m/>
    <m/>
    <x v="1"/>
    <m/>
    <s v=""/>
    <s v=""/>
    <m/>
    <s v="0"/>
    <m/>
    <m/>
    <s v=""/>
    <m/>
    <s v=""/>
    <s v="-"/>
    <s v=""/>
    <s v=""/>
  </r>
  <r>
    <x v="1765"/>
    <m/>
    <m/>
    <x v="1"/>
    <m/>
    <s v=""/>
    <s v=""/>
    <m/>
    <s v="0"/>
    <m/>
    <m/>
    <s v=""/>
    <m/>
    <s v=""/>
    <s v="-"/>
    <s v=""/>
    <s v=""/>
  </r>
  <r>
    <x v="1766"/>
    <m/>
    <m/>
    <x v="1"/>
    <m/>
    <s v=""/>
    <s v=""/>
    <m/>
    <s v="0"/>
    <m/>
    <m/>
    <s v=""/>
    <m/>
    <s v=""/>
    <s v="-"/>
    <s v=""/>
    <s v=""/>
  </r>
  <r>
    <x v="1767"/>
    <m/>
    <m/>
    <x v="1"/>
    <m/>
    <s v=""/>
    <s v=""/>
    <m/>
    <s v="0"/>
    <m/>
    <m/>
    <s v=""/>
    <m/>
    <s v=""/>
    <s v="-"/>
    <s v=""/>
    <s v=""/>
  </r>
  <r>
    <x v="1768"/>
    <m/>
    <m/>
    <x v="1"/>
    <m/>
    <s v=""/>
    <s v=""/>
    <m/>
    <s v="0"/>
    <m/>
    <m/>
    <s v=""/>
    <m/>
    <s v=""/>
    <s v="-"/>
    <s v=""/>
    <s v=""/>
  </r>
  <r>
    <x v="1769"/>
    <m/>
    <m/>
    <x v="1"/>
    <m/>
    <s v=""/>
    <s v=""/>
    <m/>
    <s v="0"/>
    <m/>
    <m/>
    <s v=""/>
    <m/>
    <s v=""/>
    <s v="-"/>
    <s v=""/>
    <s v=""/>
  </r>
  <r>
    <x v="1770"/>
    <m/>
    <m/>
    <x v="1"/>
    <m/>
    <s v=""/>
    <s v=""/>
    <m/>
    <s v="0"/>
    <m/>
    <m/>
    <s v=""/>
    <m/>
    <s v=""/>
    <s v="-"/>
    <s v=""/>
    <s v=""/>
  </r>
  <r>
    <x v="1771"/>
    <m/>
    <m/>
    <x v="1"/>
    <m/>
    <s v=""/>
    <s v=""/>
    <m/>
    <s v="0"/>
    <m/>
    <m/>
    <s v=""/>
    <m/>
    <s v=""/>
    <s v="-"/>
    <s v=""/>
    <s v=""/>
  </r>
  <r>
    <x v="1772"/>
    <m/>
    <m/>
    <x v="1"/>
    <m/>
    <s v=""/>
    <s v=""/>
    <m/>
    <s v="0"/>
    <m/>
    <m/>
    <s v=""/>
    <m/>
    <s v=""/>
    <s v="-"/>
    <s v=""/>
    <s v=""/>
  </r>
  <r>
    <x v="1773"/>
    <n v="135"/>
    <s v="n"/>
    <x v="88"/>
    <d v="1899-12-30T00:32:14"/>
    <n v="5.37"/>
    <d v="1899-12-30T00:06:00"/>
    <n v="143"/>
    <n v="32"/>
    <n v="205"/>
    <n v="18"/>
    <n v="1.1019483587648353"/>
    <s v="HOKA Rincon 3"/>
    <n v="194.60000000000002"/>
    <s v="-"/>
    <n v="212.96"/>
    <n v="1.4335664335664335"/>
  </r>
  <r>
    <x v="1774"/>
    <m/>
    <m/>
    <x v="1"/>
    <m/>
    <s v=""/>
    <s v=""/>
    <m/>
    <s v="0"/>
    <m/>
    <m/>
    <s v=""/>
    <m/>
    <s v=""/>
    <s v="-"/>
    <s v=""/>
    <s v=""/>
  </r>
  <r>
    <x v="1775"/>
    <n v="136"/>
    <s v="n"/>
    <x v="88"/>
    <d v="1899-12-30T00:35:45"/>
    <n v="5.98"/>
    <d v="1899-12-30T00:05:59"/>
    <n v="141"/>
    <n v="34"/>
    <n v="202"/>
    <n v="10"/>
    <n v="1.0814406229720959"/>
    <s v="HOKA Rincon 3"/>
    <n v="194.60000000000002"/>
    <s v="-"/>
    <n v="212.96"/>
    <n v="1.4326241134751774"/>
  </r>
  <r>
    <x v="1776"/>
    <m/>
    <m/>
    <x v="1"/>
    <m/>
    <s v=""/>
    <s v=""/>
    <m/>
    <s v="0"/>
    <m/>
    <m/>
    <s v=""/>
    <m/>
    <s v=""/>
    <s v="-"/>
    <s v=""/>
    <s v=""/>
  </r>
  <r>
    <x v="1777"/>
    <m/>
    <m/>
    <x v="1"/>
    <m/>
    <s v=""/>
    <s v=""/>
    <m/>
    <s v="0"/>
    <m/>
    <m/>
    <s v=""/>
    <m/>
    <s v=""/>
    <s v="-"/>
    <s v=""/>
    <s v=""/>
  </r>
  <r>
    <x v="1778"/>
    <n v="137"/>
    <s v="n"/>
    <x v="88"/>
    <d v="1899-12-30T00:31:40"/>
    <n v="5.5"/>
    <d v="1899-12-30T00:05:45"/>
    <n v="145"/>
    <n v="33"/>
    <n v="213"/>
    <n v="17"/>
    <n v="1.0982360922659431"/>
    <s v="HOKA Rincon 3"/>
    <n v="194.60000000000002"/>
    <s v="-"/>
    <n v="212.96"/>
    <n v="1.4689655172413794"/>
  </r>
  <r>
    <x v="1779"/>
    <m/>
    <m/>
    <x v="1"/>
    <m/>
    <s v=""/>
    <s v=""/>
    <m/>
    <s v="0"/>
    <m/>
    <m/>
    <s v=""/>
    <m/>
    <s v=""/>
    <s v="-"/>
    <s v=""/>
    <s v=""/>
  </r>
  <r>
    <x v="1780"/>
    <m/>
    <m/>
    <x v="1"/>
    <m/>
    <s v=""/>
    <s v=""/>
    <m/>
    <s v="0"/>
    <m/>
    <m/>
    <s v=""/>
    <m/>
    <s v=""/>
    <s v="-"/>
    <s v=""/>
    <s v=""/>
  </r>
  <r>
    <x v="1781"/>
    <n v="138"/>
    <s v="n"/>
    <x v="87"/>
    <d v="1899-12-30T00:36:00"/>
    <n v="6.23"/>
    <d v="1899-12-30T00:05:47"/>
    <n v="145"/>
    <n v="37"/>
    <n v="212"/>
    <n v="22"/>
    <n v="1.0970508612635057"/>
    <s v="HOKA Rincon 3"/>
    <n v="194.60000000000002"/>
    <s v="-"/>
    <n v="212.96"/>
    <n v="1.4620689655172414"/>
  </r>
  <r>
    <x v="1782"/>
    <m/>
    <m/>
    <x v="1"/>
    <m/>
    <s v=""/>
    <s v=""/>
    <m/>
    <s v="0"/>
    <m/>
    <m/>
    <s v=""/>
    <m/>
    <s v=""/>
    <s v="-"/>
    <s v=""/>
    <s v=""/>
  </r>
  <r>
    <x v="1783"/>
    <n v="139"/>
    <s v="n"/>
    <x v="87"/>
    <d v="1899-12-30T00:37:37"/>
    <n v="6.67"/>
    <d v="1899-12-30T00:05:38"/>
    <n v="143"/>
    <n v="41"/>
    <n v="217"/>
    <n v="18"/>
    <n v="1.0959497863008794"/>
    <s v="HOKA Rincon 3"/>
    <n v="194.60000000000002"/>
    <s v="-"/>
    <n v="212.96"/>
    <n v="1.5174825174825175"/>
  </r>
  <r>
    <x v="1784"/>
    <m/>
    <m/>
    <x v="1"/>
    <m/>
    <s v=""/>
    <s v=""/>
    <m/>
    <s v="0"/>
    <m/>
    <m/>
    <s v=""/>
    <m/>
    <s v=""/>
    <s v="-"/>
    <s v=""/>
    <s v=""/>
  </r>
  <r>
    <x v="1785"/>
    <n v="140"/>
    <s v="n"/>
    <x v="87"/>
    <d v="1899-12-30T00:38:47"/>
    <n v="6.92"/>
    <d v="1899-12-30T00:05:36"/>
    <n v="138"/>
    <n v="43"/>
    <n v="217"/>
    <n v="24"/>
    <n v="1.0891187127944093"/>
    <s v="HOKA Rincon 3"/>
    <n v="194.60000000000002"/>
    <s v="-"/>
    <n v="212.96"/>
    <n v="1.5724637681159421"/>
  </r>
  <r>
    <x v="1786"/>
    <m/>
    <m/>
    <x v="1"/>
    <m/>
    <s v=""/>
    <s v=""/>
    <m/>
    <s v="0"/>
    <m/>
    <m/>
    <s v=""/>
    <m/>
    <s v=""/>
    <s v="-"/>
    <s v=""/>
    <s v=""/>
  </r>
  <r>
    <x v="1787"/>
    <n v="141"/>
    <s v="n"/>
    <x v="87"/>
    <d v="1899-12-30T00:40:21"/>
    <n v="7.27"/>
    <d v="1899-12-30T00:05:33"/>
    <n v="144"/>
    <n v="50"/>
    <n v="217"/>
    <n v="14"/>
    <n v="1.0785624833193044"/>
    <s v="Mizuno"/>
    <n v="194.60000000000002"/>
    <s v="-"/>
    <n v="212.96"/>
    <n v="1.5069444444444444"/>
  </r>
  <r>
    <x v="1788"/>
    <m/>
    <m/>
    <x v="1"/>
    <m/>
    <s v=""/>
    <s v=""/>
    <m/>
    <s v="0"/>
    <m/>
    <m/>
    <s v=""/>
    <m/>
    <s v=""/>
    <s v="-"/>
    <s v=""/>
    <s v=""/>
  </r>
  <r>
    <x v="1789"/>
    <n v="142"/>
    <s v="n"/>
    <x v="87"/>
    <d v="1899-12-30T00:39:39"/>
    <n v="7.17"/>
    <d v="1899-12-30T00:05:32"/>
    <n v="143"/>
    <n v="51"/>
    <n v="220"/>
    <n v="13"/>
    <n v="1.0894897895459938"/>
    <s v="HOKA Rincon 3"/>
    <n v="194.60000000000002"/>
    <s v="-"/>
    <n v="212.96"/>
    <n v="1.5384615384615385"/>
  </r>
  <r>
    <x v="1790"/>
    <m/>
    <m/>
    <x v="1"/>
    <m/>
    <s v=""/>
    <s v=""/>
    <m/>
    <s v="0"/>
    <m/>
    <m/>
    <s v=""/>
    <m/>
    <s v=""/>
    <s v="-"/>
    <s v=""/>
    <s v=""/>
  </r>
  <r>
    <x v="1791"/>
    <n v="143"/>
    <s v="j"/>
    <x v="54"/>
    <d v="1899-12-30T00:48:51"/>
    <n v="8.43"/>
    <d v="1899-12-30T00:05:48"/>
    <n v="145"/>
    <n v="57"/>
    <n v="208"/>
    <n v="18"/>
    <n v="1.0793859882084245"/>
    <s v="HOKA Rincon 3"/>
    <n v="194.60000000000002"/>
    <s v="-"/>
    <n v="212.96"/>
    <n v="1.4344827586206896"/>
  </r>
  <r>
    <x v="1792"/>
    <m/>
    <m/>
    <x v="1"/>
    <m/>
    <s v=""/>
    <s v=""/>
    <m/>
    <s v="0"/>
    <m/>
    <m/>
    <s v=""/>
    <m/>
    <s v=""/>
    <s v="-"/>
    <s v=""/>
    <s v=""/>
  </r>
  <r>
    <x v="1793"/>
    <m/>
    <m/>
    <x v="1"/>
    <m/>
    <s v=""/>
    <s v=""/>
    <m/>
    <s v="0"/>
    <m/>
    <m/>
    <s v=""/>
    <m/>
    <s v=""/>
    <s v="-"/>
    <s v=""/>
    <s v=""/>
  </r>
  <r>
    <x v="1794"/>
    <n v="144"/>
    <s v="n"/>
    <x v="87"/>
    <d v="1899-12-30T00:36:58"/>
    <n v="6.54"/>
    <d v="1899-12-30T00:05:39"/>
    <n v="136"/>
    <n v="45"/>
    <n v="214"/>
    <n v="19"/>
    <n v="1.0832352001460588"/>
    <s v="Adidas Solarglide 5"/>
    <n v="194.60000000000002"/>
    <s v="-"/>
    <n v="212.96"/>
    <n v="1.5735294117647058"/>
  </r>
  <r>
    <x v="1795"/>
    <m/>
    <m/>
    <x v="1"/>
    <m/>
    <s v=""/>
    <s v=""/>
    <m/>
    <s v="0"/>
    <m/>
    <m/>
    <s v=""/>
    <m/>
    <s v=""/>
    <s v="-"/>
    <s v=""/>
    <s v=""/>
  </r>
  <r>
    <x v="1796"/>
    <n v="145"/>
    <s v="n"/>
    <x v="87"/>
    <d v="1899-12-30T00:35:39"/>
    <n v="6.24"/>
    <d v="1899-12-30T00:05:43"/>
    <n v="150"/>
    <n v="43"/>
    <n v="214"/>
    <n v="20"/>
    <n v="1.0948765786452352"/>
    <s v="HOKA Rincon 3"/>
    <n v="194.60000000000002"/>
    <s v="-"/>
    <n v="212.96"/>
    <n v="1.4266666666666667"/>
  </r>
  <r>
    <x v="1797"/>
    <m/>
    <m/>
    <x v="1"/>
    <m/>
    <s v=""/>
    <s v=""/>
    <m/>
    <s v="0"/>
    <m/>
    <m/>
    <s v=""/>
    <m/>
    <s v=""/>
    <s v="-"/>
    <s v=""/>
    <s v=""/>
  </r>
  <r>
    <x v="1798"/>
    <m/>
    <m/>
    <x v="1"/>
    <m/>
    <s v=""/>
    <s v=""/>
    <m/>
    <s v="0"/>
    <m/>
    <m/>
    <s v=""/>
    <m/>
    <s v=""/>
    <s v="-"/>
    <s v=""/>
    <s v=""/>
  </r>
  <r>
    <x v="1799"/>
    <m/>
    <m/>
    <x v="1"/>
    <m/>
    <s v=""/>
    <s v=""/>
    <m/>
    <s v="0"/>
    <m/>
    <m/>
    <s v=""/>
    <m/>
    <s v=""/>
    <s v="-"/>
    <s v=""/>
    <s v=""/>
  </r>
  <r>
    <x v="1800"/>
    <m/>
    <m/>
    <x v="1"/>
    <m/>
    <s v=""/>
    <s v=""/>
    <m/>
    <s v="0"/>
    <m/>
    <m/>
    <s v=""/>
    <m/>
    <s v=""/>
    <s v="-"/>
    <s v=""/>
    <s v=""/>
  </r>
  <r>
    <x v="1801"/>
    <m/>
    <m/>
    <x v="1"/>
    <m/>
    <s v=""/>
    <s v=""/>
    <m/>
    <s v="0"/>
    <m/>
    <m/>
    <s v=""/>
    <m/>
    <s v=""/>
    <s v="-"/>
    <s v=""/>
    <s v=""/>
  </r>
  <r>
    <x v="1802"/>
    <n v="146"/>
    <s v="n"/>
    <x v="54"/>
    <d v="1899-12-30T00:50:50"/>
    <n v="8.74"/>
    <d v="1899-12-30T00:05:49"/>
    <n v="140"/>
    <n v="59"/>
    <n v="209"/>
    <n v="28"/>
    <n v="1.0885788449059055"/>
    <s v="HOKA Rincon 3"/>
    <n v="194.60000000000002"/>
    <s v="-"/>
    <n v="212.96"/>
    <n v="1.4928571428571429"/>
  </r>
  <r>
    <x v="1803"/>
    <m/>
    <m/>
    <x v="1"/>
    <m/>
    <s v=""/>
    <s v=""/>
    <m/>
    <s v="0"/>
    <m/>
    <m/>
    <s v=""/>
    <m/>
    <s v=""/>
    <s v="-"/>
    <s v=""/>
    <s v=""/>
  </r>
  <r>
    <x v="1804"/>
    <m/>
    <m/>
    <x v="1"/>
    <m/>
    <s v=""/>
    <s v=""/>
    <m/>
    <s v="0"/>
    <m/>
    <m/>
    <s v=""/>
    <m/>
    <s v=""/>
    <s v="-"/>
    <s v=""/>
    <s v=""/>
  </r>
  <r>
    <x v="1805"/>
    <m/>
    <m/>
    <x v="1"/>
    <m/>
    <s v=""/>
    <s v=""/>
    <m/>
    <s v="0"/>
    <m/>
    <m/>
    <s v=""/>
    <m/>
    <s v=""/>
    <s v="-"/>
    <s v=""/>
    <s v=""/>
  </r>
  <r>
    <x v="1806"/>
    <n v="147"/>
    <s v="n"/>
    <x v="87"/>
    <d v="1899-12-30T00:32:28"/>
    <n v="5.59"/>
    <d v="1899-12-30T00:05:48"/>
    <n v="139"/>
    <n v="36"/>
    <n v="207"/>
    <n v="12"/>
    <n v="1.0766453955624382"/>
    <s v="HOKA Rincon 3"/>
    <n v="194.60000000000002"/>
    <s v="-"/>
    <n v="212.96"/>
    <n v="1.4892086330935252"/>
  </r>
  <r>
    <x v="1807"/>
    <m/>
    <m/>
    <x v="1"/>
    <m/>
    <s v=""/>
    <s v=""/>
    <m/>
    <s v="0"/>
    <m/>
    <m/>
    <s v=""/>
    <m/>
    <s v=""/>
    <s v="-"/>
    <s v=""/>
    <s v=""/>
  </r>
  <r>
    <x v="1808"/>
    <m/>
    <m/>
    <x v="1"/>
    <m/>
    <s v=""/>
    <s v=""/>
    <m/>
    <s v="0"/>
    <m/>
    <m/>
    <s v=""/>
    <m/>
    <s v=""/>
    <s v="-"/>
    <s v=""/>
    <s v=""/>
  </r>
  <r>
    <x v="1809"/>
    <m/>
    <m/>
    <x v="1"/>
    <m/>
    <s v=""/>
    <s v=""/>
    <m/>
    <s v="0"/>
    <m/>
    <m/>
    <s v=""/>
    <m/>
    <s v=""/>
    <s v="-"/>
    <s v=""/>
    <s v=""/>
  </r>
  <r>
    <x v="1810"/>
    <m/>
    <m/>
    <x v="1"/>
    <m/>
    <s v=""/>
    <s v=""/>
    <m/>
    <s v="0"/>
    <m/>
    <m/>
    <s v=""/>
    <m/>
    <s v=""/>
    <s v="-"/>
    <s v=""/>
    <s v=""/>
  </r>
  <r>
    <x v="1811"/>
    <m/>
    <m/>
    <x v="1"/>
    <m/>
    <s v=""/>
    <s v=""/>
    <m/>
    <s v="0"/>
    <m/>
    <m/>
    <s v=""/>
    <m/>
    <s v=""/>
    <s v="-"/>
    <s v=""/>
    <s v=""/>
  </r>
  <r>
    <x v="1812"/>
    <m/>
    <m/>
    <x v="1"/>
    <m/>
    <s v=""/>
    <s v=""/>
    <m/>
    <s v="0"/>
    <m/>
    <m/>
    <s v=""/>
    <m/>
    <s v=""/>
    <s v="-"/>
    <s v=""/>
    <s v=""/>
  </r>
  <r>
    <x v="1813"/>
    <m/>
    <m/>
    <x v="1"/>
    <m/>
    <s v=""/>
    <s v=""/>
    <m/>
    <s v="0"/>
    <m/>
    <m/>
    <s v=""/>
    <m/>
    <s v=""/>
    <s v="-"/>
    <s v=""/>
    <s v=""/>
  </r>
  <r>
    <x v="1814"/>
    <n v="148"/>
    <s v="n"/>
    <x v="87"/>
    <d v="1899-12-30T00:39:39"/>
    <n v="6.71"/>
    <d v="1899-12-30T00:05:55"/>
    <n v="138"/>
    <n v="44"/>
    <n v="206"/>
    <n v="15"/>
    <n v="1.0900949796472184"/>
    <s v="Mizuno"/>
    <n v="194.60000000000002"/>
    <s v="-"/>
    <n v="212.96"/>
    <n v="1.4927536231884058"/>
  </r>
  <r>
    <x v="1815"/>
    <m/>
    <m/>
    <x v="1"/>
    <m/>
    <s v=""/>
    <s v=""/>
    <m/>
    <s v="0"/>
    <m/>
    <m/>
    <s v=""/>
    <m/>
    <s v=""/>
    <s v="-"/>
    <s v=""/>
    <s v=""/>
  </r>
  <r>
    <x v="1816"/>
    <n v="149"/>
    <s v="n"/>
    <x v="88"/>
    <d v="1899-12-30T00:47:35"/>
    <n v="8.85"/>
    <d v="1899-12-30T00:05:23"/>
    <n v="143"/>
    <n v="66"/>
    <n v="226"/>
    <n v="29"/>
    <n v="1.0881693228771399"/>
    <s v="Mizuno"/>
    <n v="194.60000000000002"/>
    <s v="-"/>
    <n v="212.96"/>
    <n v="1.5804195804195804"/>
  </r>
  <r>
    <x v="1817"/>
    <m/>
    <m/>
    <x v="1"/>
    <m/>
    <s v=""/>
    <s v=""/>
    <m/>
    <s v="0"/>
    <m/>
    <m/>
    <s v=""/>
    <m/>
    <s v=""/>
    <s v="-"/>
    <s v=""/>
    <s v=""/>
  </r>
  <r>
    <x v="1818"/>
    <m/>
    <m/>
    <x v="1"/>
    <m/>
    <s v=""/>
    <s v=""/>
    <m/>
    <s v="0"/>
    <m/>
    <m/>
    <s v=""/>
    <m/>
    <s v=""/>
    <s v="-"/>
    <s v=""/>
    <s v=""/>
  </r>
  <r>
    <x v="1819"/>
    <n v="150"/>
    <s v="j"/>
    <x v="55"/>
    <d v="1899-12-30T01:00:33"/>
    <n v="10.3"/>
    <d v="1899-12-30T00:05:53"/>
    <n v="137"/>
    <n v="66"/>
    <n v="203"/>
    <n v="38"/>
    <n v="1.0686842486596144"/>
    <s v="HOKA Rincon 3"/>
    <n v="194.60000000000002"/>
    <s v="-"/>
    <n v="212.96"/>
    <n v="1.4817518248175183"/>
  </r>
  <r>
    <x v="1820"/>
    <m/>
    <m/>
    <x v="1"/>
    <m/>
    <s v=""/>
    <s v=""/>
    <m/>
    <s v="0"/>
    <m/>
    <m/>
    <s v=""/>
    <m/>
    <s v=""/>
    <s v="-"/>
    <s v=""/>
    <s v=""/>
  </r>
  <r>
    <x v="1821"/>
    <m/>
    <m/>
    <x v="1"/>
    <m/>
    <s v=""/>
    <s v=""/>
    <m/>
    <s v="0"/>
    <m/>
    <m/>
    <s v=""/>
    <m/>
    <s v=""/>
    <s v="-"/>
    <s v=""/>
    <s v=""/>
  </r>
  <r>
    <x v="1822"/>
    <n v="151"/>
    <s v="j"/>
    <x v="55"/>
    <d v="1899-12-30T01:09:46"/>
    <n v="12.1"/>
    <d v="1899-12-30T00:05:46"/>
    <n v="145"/>
    <n v="81"/>
    <n v="209"/>
    <n v="50"/>
    <n v="1.0791587516960657"/>
    <s v="HOKA Rincon 3"/>
    <n v="194.60000000000002"/>
    <s v="-"/>
    <n v="212.96"/>
    <n v="1.4413793103448276"/>
  </r>
  <r>
    <x v="1823"/>
    <m/>
    <m/>
    <x v="1"/>
    <m/>
    <s v=""/>
    <s v=""/>
    <m/>
    <s v="0"/>
    <m/>
    <m/>
    <s v=""/>
    <m/>
    <s v=""/>
    <s v="-"/>
    <s v=""/>
    <s v=""/>
  </r>
  <r>
    <x v="1824"/>
    <n v="152"/>
    <s v="n"/>
    <x v="55"/>
    <d v="1899-12-30T00:51:19"/>
    <n v="9.36"/>
    <d v="1899-12-30T00:05:29"/>
    <n v="134"/>
    <n v="67"/>
    <n v="222"/>
    <n v="32"/>
    <n v="1.0899636433218522"/>
    <s v="Mizuno"/>
    <n v="194.60000000000002"/>
    <s v="-"/>
    <n v="212.96"/>
    <n v="1.6567164179104477"/>
  </r>
  <r>
    <x v="1825"/>
    <m/>
    <m/>
    <x v="1"/>
    <m/>
    <s v=""/>
    <s v=""/>
    <m/>
    <s v="0"/>
    <m/>
    <m/>
    <s v=""/>
    <m/>
    <s v=""/>
    <s v="-"/>
    <s v=""/>
    <s v=""/>
  </r>
  <r>
    <x v="1826"/>
    <n v="153"/>
    <s v="j"/>
    <x v="93"/>
    <d v="1899-12-30T01:14:58"/>
    <n v="13.2"/>
    <d v="1899-12-30T00:05:41"/>
    <n v="143"/>
    <n v="88"/>
    <n v="211"/>
    <n v="47"/>
    <n v="1.0731320669380369"/>
    <s v="HOKA Rincon 3"/>
    <n v="229.68"/>
    <s v="-"/>
    <n v="247.95"/>
    <n v="1.4755244755244756"/>
  </r>
  <r>
    <x v="1827"/>
    <m/>
    <m/>
    <x v="1"/>
    <m/>
    <s v=""/>
    <s v=""/>
    <m/>
    <s v="0"/>
    <m/>
    <m/>
    <s v=""/>
    <m/>
    <s v=""/>
    <s v="-"/>
    <s v=""/>
    <s v=""/>
  </r>
  <r>
    <x v="1828"/>
    <m/>
    <m/>
    <x v="1"/>
    <m/>
    <s v=""/>
    <s v=""/>
    <m/>
    <s v="0"/>
    <m/>
    <m/>
    <s v=""/>
    <m/>
    <s v=""/>
    <s v="-"/>
    <s v=""/>
    <s v=""/>
  </r>
  <r>
    <x v="1829"/>
    <n v="1"/>
    <s v="j"/>
    <x v="88"/>
    <d v="1899-12-30T00:47:05"/>
    <n v="8.01"/>
    <d v="1899-12-30T00:05:53"/>
    <n v="144"/>
    <n v="51"/>
    <n v="203"/>
    <n v="13"/>
    <n v="1.0685803193768981"/>
    <s v="HOKA Rincon 3"/>
    <n v="194.60000000000002"/>
    <s v="-"/>
    <n v="212.96"/>
    <n v="1.4097222222222223"/>
  </r>
  <r>
    <x v="1830"/>
    <m/>
    <m/>
    <x v="1"/>
    <m/>
    <s v=""/>
    <s v=""/>
    <m/>
    <s v="0"/>
    <m/>
    <m/>
    <s v=""/>
    <m/>
    <s v=""/>
    <s v="-"/>
    <s v=""/>
    <s v=""/>
  </r>
  <r>
    <x v="1831"/>
    <n v="2"/>
    <s v="n"/>
    <x v="93"/>
    <d v="1899-12-30T00:46:31"/>
    <n v="9.31"/>
    <d v="1899-12-30T00:05:00"/>
    <n v="152"/>
    <n v="72"/>
    <n v="241"/>
    <n v="40"/>
    <n v="1.0783317568975743"/>
    <s v="Adizero Boston 8"/>
    <n v="229.68"/>
    <s v="-"/>
    <n v="247.95"/>
    <n v="1.5855263157894737"/>
  </r>
  <r>
    <x v="1832"/>
    <m/>
    <m/>
    <x v="1"/>
    <m/>
    <s v=""/>
    <s v=""/>
    <m/>
    <s v="0"/>
    <m/>
    <m/>
    <s v=""/>
    <m/>
    <s v=""/>
    <s v="-"/>
    <s v=""/>
    <s v=""/>
  </r>
  <r>
    <x v="1833"/>
    <n v="3"/>
    <s v="j"/>
    <x v="74"/>
    <d v="1899-12-30T01:10:50"/>
    <n v="12.6"/>
    <d v="1899-12-30T00:05:37"/>
    <n v="139"/>
    <n v="85"/>
    <n v="213"/>
    <n v="50"/>
    <n v="1.0723169864960911"/>
    <s v="HOKA Clifton 7"/>
    <n v="194.60000000000002"/>
    <s v="-"/>
    <n v="212.96"/>
    <n v="1.5323741007194245"/>
  </r>
  <r>
    <x v="1834"/>
    <m/>
    <m/>
    <x v="1"/>
    <m/>
    <s v=""/>
    <s v=""/>
    <m/>
    <s v="0"/>
    <m/>
    <m/>
    <s v=""/>
    <m/>
    <s v=""/>
    <s v="-"/>
    <s v=""/>
    <s v=""/>
  </r>
  <r>
    <x v="1835"/>
    <m/>
    <m/>
    <x v="1"/>
    <m/>
    <s v=""/>
    <s v=""/>
    <m/>
    <s v="0"/>
    <m/>
    <m/>
    <s v=""/>
    <m/>
    <s v=""/>
    <s v="-"/>
    <s v=""/>
    <s v=""/>
  </r>
  <r>
    <x v="1836"/>
    <m/>
    <m/>
    <x v="1"/>
    <m/>
    <s v=""/>
    <s v=""/>
    <m/>
    <s v="0"/>
    <m/>
    <m/>
    <s v=""/>
    <m/>
    <s v=""/>
    <s v="-"/>
    <s v=""/>
    <s v=""/>
  </r>
  <r>
    <x v="1837"/>
    <n v="4"/>
    <s v="j"/>
    <x v="55"/>
    <d v="1899-12-30T01:01:04"/>
    <n v="10.3"/>
    <d v="1899-12-30T00:05:56"/>
    <n v="132"/>
    <n v="68"/>
    <n v="204"/>
    <n v="29"/>
    <n v="1.0831125923779159"/>
    <s v="HOKA Rincon 3"/>
    <n v="194.60000000000002"/>
    <s v="-"/>
    <n v="212.96"/>
    <n v="1.5454545454545454"/>
  </r>
  <r>
    <x v="1838"/>
    <m/>
    <m/>
    <x v="1"/>
    <m/>
    <s v=""/>
    <s v=""/>
    <m/>
    <s v="0"/>
    <m/>
    <m/>
    <s v=""/>
    <m/>
    <s v=""/>
    <s v="-"/>
    <s v=""/>
    <s v=""/>
  </r>
  <r>
    <x v="1839"/>
    <m/>
    <m/>
    <x v="1"/>
    <m/>
    <s v=""/>
    <s v=""/>
    <m/>
    <s v="0"/>
    <m/>
    <m/>
    <s v=""/>
    <m/>
    <s v=""/>
    <s v="-"/>
    <s v=""/>
    <s v=""/>
  </r>
  <r>
    <x v="1840"/>
    <m/>
    <m/>
    <x v="1"/>
    <m/>
    <s v=""/>
    <s v=""/>
    <m/>
    <s v="0"/>
    <m/>
    <m/>
    <s v=""/>
    <m/>
    <s v=""/>
    <s v="-"/>
    <s v=""/>
    <s v=""/>
  </r>
  <r>
    <x v="1841"/>
    <m/>
    <m/>
    <x v="1"/>
    <m/>
    <s v=""/>
    <s v=""/>
    <m/>
    <s v="0"/>
    <m/>
    <m/>
    <s v=""/>
    <m/>
    <s v=""/>
    <s v="-"/>
    <s v=""/>
    <s v=""/>
  </r>
  <r>
    <x v="1842"/>
    <m/>
    <m/>
    <x v="1"/>
    <m/>
    <s v=""/>
    <s v=""/>
    <m/>
    <s v="0"/>
    <m/>
    <m/>
    <s v=""/>
    <m/>
    <s v=""/>
    <s v="-"/>
    <s v=""/>
    <s v=""/>
  </r>
  <r>
    <x v="1843"/>
    <m/>
    <m/>
    <x v="1"/>
    <m/>
    <s v=""/>
    <s v=""/>
    <m/>
    <s v="0"/>
    <m/>
    <m/>
    <s v=""/>
    <m/>
    <s v=""/>
    <s v="-"/>
    <s v=""/>
    <s v=""/>
  </r>
  <r>
    <x v="1844"/>
    <m/>
    <m/>
    <x v="1"/>
    <m/>
    <s v=""/>
    <s v=""/>
    <m/>
    <s v="0"/>
    <m/>
    <m/>
    <s v=""/>
    <m/>
    <s v=""/>
    <s v="-"/>
    <s v=""/>
    <s v=""/>
  </r>
  <r>
    <x v="1845"/>
    <m/>
    <m/>
    <x v="1"/>
    <m/>
    <s v=""/>
    <s v=""/>
    <m/>
    <s v="0"/>
    <m/>
    <m/>
    <s v=""/>
    <m/>
    <s v=""/>
    <s v="-"/>
    <s v=""/>
    <s v=""/>
  </r>
  <r>
    <x v="1846"/>
    <m/>
    <m/>
    <x v="1"/>
    <m/>
    <s v=""/>
    <s v=""/>
    <m/>
    <s v="0"/>
    <m/>
    <m/>
    <s v=""/>
    <m/>
    <s v=""/>
    <s v="-"/>
    <s v=""/>
    <s v=""/>
  </r>
  <r>
    <x v="1847"/>
    <n v="5"/>
    <s v="j"/>
    <x v="88"/>
    <d v="1899-12-30T00:45:54"/>
    <n v="7.54"/>
    <d v="1899-12-30T00:06:05"/>
    <n v="133"/>
    <n v="48"/>
    <n v="196"/>
    <n v="28"/>
    <n v="1.0684983570212598"/>
    <s v="HOKA Rincon 3"/>
    <n v="194.60000000000002"/>
    <s v="-"/>
    <n v="212.96"/>
    <n v="1.4736842105263157"/>
  </r>
  <r>
    <x v="1848"/>
    <m/>
    <m/>
    <x v="1"/>
    <m/>
    <s v=""/>
    <s v=""/>
    <m/>
    <s v="0"/>
    <m/>
    <m/>
    <s v=""/>
    <m/>
    <s v=""/>
    <s v="-"/>
    <s v=""/>
    <s v=""/>
  </r>
  <r>
    <x v="1849"/>
    <n v="6"/>
    <s v="j"/>
    <x v="88"/>
    <d v="1899-12-30T00:40:06"/>
    <n v="6.92"/>
    <d v="1899-12-30T00:05:48"/>
    <n v="132"/>
    <n v="45"/>
    <n v="206"/>
    <n v="29"/>
    <n v="1.0690104391338107"/>
    <s v="Mizuno"/>
    <n v="194.60000000000002"/>
    <s v="-"/>
    <n v="212.96"/>
    <n v="1.5606060606060606"/>
  </r>
  <r>
    <x v="1850"/>
    <m/>
    <m/>
    <x v="1"/>
    <m/>
    <s v=""/>
    <s v=""/>
    <m/>
    <s v="0"/>
    <m/>
    <m/>
    <s v=""/>
    <m/>
    <s v=""/>
    <s v="-"/>
    <s v=""/>
    <s v=""/>
  </r>
  <r>
    <x v="1851"/>
    <n v="7"/>
    <s v="n"/>
    <x v="7"/>
    <d v="1899-12-30T00:47:35"/>
    <n v="8.68"/>
    <d v="1899-12-30T00:05:29"/>
    <n v="147"/>
    <n v="62"/>
    <n v="216"/>
    <n v="27"/>
    <n v="1.0603892977508771"/>
    <s v="HOKA Carbon X"/>
    <n v="279.53100000000006"/>
    <s v="-"/>
    <n v="306.15300000000002"/>
    <n v="1.4693877551020409"/>
  </r>
  <r>
    <x v="1852"/>
    <n v="8"/>
    <s v="n"/>
    <x v="98"/>
    <d v="1899-12-30T00:32:19"/>
    <n v="5.58"/>
    <d v="1899-12-30T00:05:47"/>
    <n v="133"/>
    <n v="38"/>
    <n v="207"/>
    <n v="20"/>
    <n v="1.0735917188252286"/>
    <s v="Mizuno"/>
    <n v="255.10000000000002"/>
    <s v="-"/>
    <n v="278.29999999999995"/>
    <n v="1.5563909774436091"/>
  </r>
  <r>
    <x v="1853"/>
    <m/>
    <m/>
    <x v="1"/>
    <m/>
    <s v=""/>
    <s v=""/>
    <m/>
    <s v="0"/>
    <m/>
    <m/>
    <s v=""/>
    <m/>
    <s v=""/>
    <s v="-"/>
    <s v=""/>
    <s v=""/>
  </r>
  <r>
    <x v="1854"/>
    <n v="9"/>
    <s v="j"/>
    <x v="88"/>
    <d v="1899-12-30T00:43:10"/>
    <n v="7.08"/>
    <d v="1899-12-30T00:06:06"/>
    <n v="139"/>
    <n v="44"/>
    <n v="195"/>
    <n v="26"/>
    <n v="1.0646976979509235"/>
    <s v="Mizuno"/>
    <n v="194.60000000000002"/>
    <s v="-"/>
    <n v="212.96"/>
    <n v="1.4028776978417266"/>
  </r>
  <r>
    <x v="1855"/>
    <m/>
    <m/>
    <x v="1"/>
    <m/>
    <s v=""/>
    <s v=""/>
    <m/>
    <s v="0"/>
    <m/>
    <m/>
    <s v=""/>
    <m/>
    <s v=""/>
    <s v="-"/>
    <s v=""/>
    <s v=""/>
  </r>
  <r>
    <x v="1856"/>
    <m/>
    <m/>
    <x v="1"/>
    <m/>
    <s v=""/>
    <s v=""/>
    <m/>
    <s v="0"/>
    <m/>
    <m/>
    <s v=""/>
    <m/>
    <s v=""/>
    <s v="-"/>
    <s v=""/>
    <s v=""/>
  </r>
  <r>
    <x v="1857"/>
    <n v="10"/>
    <s v="j"/>
    <x v="88"/>
    <d v="1899-12-30T00:36:38"/>
    <n v="6.33"/>
    <d v="1899-12-30T00:05:47"/>
    <n v="133"/>
    <n v="41"/>
    <n v="207"/>
    <n v="23"/>
    <n v="1.0728018674400508"/>
    <s v="Mizuno"/>
    <n v="194.60000000000002"/>
    <s v="-"/>
    <n v="212.96"/>
    <n v="1.5563909774436091"/>
  </r>
  <r>
    <x v="1858"/>
    <m/>
    <m/>
    <x v="1"/>
    <m/>
    <s v=""/>
    <s v=""/>
    <m/>
    <s v="0"/>
    <m/>
    <m/>
    <s v=""/>
    <m/>
    <s v=""/>
    <s v="-"/>
    <s v=""/>
    <s v=""/>
  </r>
  <r>
    <x v="1859"/>
    <n v="11"/>
    <s v="j"/>
    <x v="87"/>
    <d v="1899-12-30T00:35:47"/>
    <n v="5.84"/>
    <d v="1899-12-30T00:06:08"/>
    <n v="137"/>
    <n v="37"/>
    <n v="193"/>
    <n v="15"/>
    <n v="1.0590140053158863"/>
    <s v="Mizuno"/>
    <n v="194.60000000000002"/>
    <s v="-"/>
    <n v="212.96"/>
    <n v="1.4087591240875912"/>
  </r>
  <r>
    <x v="1860"/>
    <n v="12"/>
    <s v="j"/>
    <x v="88"/>
    <d v="1899-12-30T00:34:37"/>
    <n v="5.53"/>
    <d v="1899-12-30T00:06:16"/>
    <n v="138"/>
    <n v="36"/>
    <n v="192"/>
    <n v="21"/>
    <n v="1.0763110307414103"/>
    <s v="Adidas Solarglide 5"/>
    <n v="194.60000000000002"/>
    <s v="-"/>
    <n v="212.96"/>
    <n v="1.3913043478260869"/>
  </r>
  <r>
    <x v="1861"/>
    <m/>
    <m/>
    <x v="1"/>
    <m/>
    <s v=""/>
    <s v=""/>
    <m/>
    <s v="0"/>
    <m/>
    <m/>
    <s v=""/>
    <m/>
    <s v=""/>
    <s v="-"/>
    <s v=""/>
    <s v=""/>
  </r>
  <r>
    <x v="1862"/>
    <n v="13"/>
    <s v="j"/>
    <x v="55"/>
    <d v="1899-12-30T00:59:23"/>
    <n v="9.7899999999999991"/>
    <d v="1899-12-30T00:06:04"/>
    <n v="132"/>
    <n v="64"/>
    <n v="198"/>
    <n v="33"/>
    <n v="1.0755324501090058"/>
    <s v="HOKA Rincon 3"/>
    <n v="194.60000000000002"/>
    <s v="-"/>
    <n v="212.96"/>
    <n v="1.5"/>
  </r>
  <r>
    <x v="1863"/>
    <n v="14"/>
    <s v="j"/>
    <x v="88"/>
    <d v="1899-12-30T00:40:26"/>
    <n v="6.81"/>
    <d v="1899-12-30T00:05:56"/>
    <n v="135"/>
    <n v="44"/>
    <n v="202"/>
    <n v="22"/>
    <n v="1.0740394941591602"/>
    <s v="HOKA Rincon 3"/>
    <n v="194.60000000000002"/>
    <s v="-"/>
    <n v="212.96"/>
    <n v="1.4962962962962962"/>
  </r>
  <r>
    <x v="1864"/>
    <n v="15"/>
    <s v="n"/>
    <x v="99"/>
    <d v="1899-12-30T00:40:34"/>
    <n v="7.27"/>
    <d v="1899-12-30T00:05:35"/>
    <n v="136"/>
    <n v="52"/>
    <n v="213"/>
    <n v="19"/>
    <n v="1.0643659282678768"/>
    <s v="HOKA Rincon 3"/>
    <s v=""/>
    <s v="-"/>
    <s v=""/>
    <n v="1.5661764705882353"/>
  </r>
  <r>
    <x v="1865"/>
    <m/>
    <m/>
    <x v="1"/>
    <m/>
    <s v=""/>
    <s v=""/>
    <m/>
    <s v="0"/>
    <m/>
    <m/>
    <s v=""/>
    <m/>
    <s v=""/>
    <s v="-"/>
    <s v=""/>
    <s v=""/>
  </r>
  <r>
    <x v="1866"/>
    <n v="16"/>
    <s v="n"/>
    <x v="98"/>
    <d v="1899-12-30T00:34:26"/>
    <n v="5.99"/>
    <d v="1899-12-30T00:05:45"/>
    <n v="136"/>
    <n v="40"/>
    <n v="205"/>
    <n v="19"/>
    <n v="1.055316074053771"/>
    <s v="Adizero Boston 8"/>
    <n v="255.10000000000002"/>
    <s v="-"/>
    <n v="278.29999999999995"/>
    <n v="1.5073529411764706"/>
  </r>
  <r>
    <x v="1867"/>
    <n v="17"/>
    <s v="n"/>
    <x v="88"/>
    <d v="1899-12-30T00:37:43"/>
    <n v="6.34"/>
    <d v="1899-12-30T00:05:57"/>
    <n v="129"/>
    <n v="39"/>
    <n v="196"/>
    <n v="17"/>
    <n v="1.0441828711332926"/>
    <s v="HOKA Clifton 7"/>
    <n v="194.60000000000002"/>
    <s v="-"/>
    <n v="212.96"/>
    <n v="1.5193798449612403"/>
  </r>
  <r>
    <x v="1868"/>
    <m/>
    <m/>
    <x v="1"/>
    <m/>
    <s v=""/>
    <s v=""/>
    <m/>
    <s v="0"/>
    <m/>
    <m/>
    <s v=""/>
    <m/>
    <s v=""/>
    <s v="-"/>
    <s v=""/>
    <s v=""/>
  </r>
  <r>
    <x v="1869"/>
    <n v="18"/>
    <s v="j"/>
    <x v="88"/>
    <d v="1899-12-30T00:42:55"/>
    <n v="6.99"/>
    <d v="1899-12-30T00:06:08"/>
    <n v="129"/>
    <n v="44"/>
    <n v="195"/>
    <n v="24"/>
    <n v="1.0721606559477292"/>
    <s v="Mizuno"/>
    <n v="194.60000000000002"/>
    <s v="-"/>
    <n v="212.96"/>
    <n v="1.5116279069767442"/>
  </r>
  <r>
    <x v="1870"/>
    <n v="19"/>
    <s v="n"/>
    <x v="87"/>
    <d v="1899-12-30T00:37:28"/>
    <n v="6.56"/>
    <d v="1899-12-30T00:05:43"/>
    <n v="126"/>
    <n v="43"/>
    <n v="209"/>
    <n v="19"/>
    <n v="1.0689661448853296"/>
    <s v="HOKA Rincon 3"/>
    <n v="194.60000000000002"/>
    <s v="-"/>
    <n v="212.96"/>
    <n v="1.6587301587301588"/>
  </r>
  <r>
    <x v="1871"/>
    <n v="20"/>
    <s v="n"/>
    <x v="84"/>
    <d v="1899-12-30T00:54:21"/>
    <n v="9.74"/>
    <d v="1899-12-30T00:05:35"/>
    <n v="143"/>
    <n v="72"/>
    <n v="213"/>
    <n v="24"/>
    <n v="1.0643798461491312"/>
    <s v="HOKA Carbon X"/>
    <n v="255.10000000000002"/>
    <s v="-"/>
    <n v="278.29999999999995"/>
    <n v="1.4895104895104896"/>
  </r>
  <r>
    <x v="1872"/>
    <m/>
    <m/>
    <x v="1"/>
    <m/>
    <s v=""/>
    <s v=""/>
    <m/>
    <s v="0"/>
    <m/>
    <m/>
    <s v=""/>
    <m/>
    <s v=""/>
    <s v="-"/>
    <s v=""/>
    <s v=""/>
  </r>
  <r>
    <x v="1873"/>
    <n v="21"/>
    <s v="n"/>
    <x v="98"/>
    <d v="1899-12-30T00:37:05"/>
    <n v="6.52"/>
    <d v="1899-12-30T00:05:41"/>
    <n v="138"/>
    <n v="44"/>
    <n v="208"/>
    <n v="20"/>
    <n v="1.059426792418277"/>
    <s v="HOKA Clifton 8"/>
    <n v="255.10000000000002"/>
    <s v="-"/>
    <n v="278.29999999999995"/>
    <n v="1.5072463768115942"/>
  </r>
  <r>
    <x v="1874"/>
    <m/>
    <m/>
    <x v="1"/>
    <m/>
    <s v=""/>
    <s v=""/>
    <m/>
    <s v="0"/>
    <m/>
    <m/>
    <s v=""/>
    <m/>
    <s v=""/>
    <s v="-"/>
    <s v=""/>
    <s v=""/>
  </r>
  <r>
    <x v="1875"/>
    <n v="22"/>
    <s v="j"/>
    <x v="55"/>
    <d v="1899-12-30T00:59:41"/>
    <n v="10.029999999999999"/>
    <d v="1899-12-30T00:05:57"/>
    <n v="133"/>
    <n v="69"/>
    <n v="200"/>
    <n v="35"/>
    <n v="1.0657579500305057"/>
    <s v="HOKA Rincon 3"/>
    <n v="194.60000000000002"/>
    <s v="-"/>
    <n v="212.96"/>
    <n v="1.5037593984962405"/>
  </r>
  <r>
    <x v="1876"/>
    <m/>
    <m/>
    <x v="1"/>
    <m/>
    <s v=""/>
    <s v=""/>
    <m/>
    <s v="0"/>
    <m/>
    <m/>
    <s v=""/>
    <m/>
    <s v=""/>
    <s v="-"/>
    <s v=""/>
    <s v=""/>
  </r>
  <r>
    <x v="1877"/>
    <n v="23"/>
    <s v="n"/>
    <x v="87"/>
    <d v="1899-12-30T00:39:20"/>
    <n v="6.72"/>
    <d v="1899-12-30T00:05:51"/>
    <n v="133"/>
    <n v="43"/>
    <n v="202"/>
    <n v="14"/>
    <n v="1.0588130774697939"/>
    <s v="HOKA Clifton 8"/>
    <n v="194.60000000000002"/>
    <s v="-"/>
    <n v="212.96"/>
    <n v="1.518796992481203"/>
  </r>
  <r>
    <x v="1878"/>
    <n v="24"/>
    <s v="n"/>
    <x v="84"/>
    <d v="1899-12-30T00:50:28"/>
    <n v="9.2200000000000006"/>
    <d v="1899-12-30T00:05:28"/>
    <n v="135"/>
    <n v="67"/>
    <n v="215"/>
    <n v="15"/>
    <n v="1.0538737980380095"/>
    <s v="HOKA Carbon X"/>
    <n v="255.10000000000002"/>
    <s v="-"/>
    <n v="278.29999999999995"/>
    <n v="1.5925925925925926"/>
  </r>
  <r>
    <x v="1879"/>
    <m/>
    <m/>
    <x v="1"/>
    <m/>
    <s v=""/>
    <s v=""/>
    <m/>
    <s v="0"/>
    <m/>
    <m/>
    <s v=""/>
    <m/>
    <s v=""/>
    <s v="-"/>
    <s v=""/>
    <s v=""/>
  </r>
  <r>
    <x v="1880"/>
    <n v="25"/>
    <s v="n"/>
    <x v="98"/>
    <d v="1899-12-30T00:35:45"/>
    <n v="6.2"/>
    <d v="1899-12-30T00:05:46"/>
    <n v="136"/>
    <n v="41"/>
    <n v="205"/>
    <n v="12"/>
    <n v="1.0585580163697641"/>
    <s v="HOKA Rincon 3"/>
    <n v="255.10000000000002"/>
    <s v="-"/>
    <n v="278.29999999999995"/>
    <n v="1.5073529411764706"/>
  </r>
  <r>
    <x v="1881"/>
    <n v="26"/>
    <s v="j"/>
    <x v="88"/>
    <d v="1899-12-30T00:38:48"/>
    <n v="6.41"/>
    <d v="1899-12-30T00:06:03"/>
    <n v="132"/>
    <n v="40"/>
    <n v="193"/>
    <n v="14"/>
    <n v="1.0461825040165784"/>
    <s v="HOKA Clifton 8"/>
    <n v="194.60000000000002"/>
    <s v="-"/>
    <n v="212.96"/>
    <n v="1.4621212121212122"/>
  </r>
  <r>
    <x v="1882"/>
    <n v="27"/>
    <s v="j"/>
    <x v="55"/>
    <d v="1899-12-30T01:10:39"/>
    <n v="11.7"/>
    <d v="1899-12-30T00:06:02"/>
    <n v="131"/>
    <n v="80"/>
    <n v="199"/>
    <n v="45"/>
    <n v="1.0761079219288177"/>
    <s v="Mizuno"/>
    <n v="194.60000000000002"/>
    <s v="-"/>
    <n v="212.96"/>
    <n v="1.5190839694656488"/>
  </r>
  <r>
    <x v="1883"/>
    <m/>
    <m/>
    <x v="1"/>
    <m/>
    <s v=""/>
    <s v=""/>
    <m/>
    <s v="0"/>
    <m/>
    <m/>
    <s v=""/>
    <m/>
    <s v=""/>
    <s v="-"/>
    <s v=""/>
    <s v=""/>
  </r>
  <r>
    <x v="1884"/>
    <n v="28"/>
    <s v="n"/>
    <x v="88"/>
    <d v="1899-12-30T00:41:45"/>
    <n v="7.24"/>
    <d v="1899-12-30T00:05:46"/>
    <n v="133"/>
    <n v="47"/>
    <n v="205"/>
    <n v="21"/>
    <n v="1.0586398119897749"/>
    <s v="HOKA Clifton 8"/>
    <n v="194.60000000000002"/>
    <s v="-"/>
    <n v="212.96"/>
    <n v="1.5413533834586466"/>
  </r>
  <r>
    <x v="1885"/>
    <n v="29"/>
    <s v="n"/>
    <x v="100"/>
    <d v="1899-12-30T00:51:02"/>
    <n v="9.0399999999999991"/>
    <d v="1899-12-30T00:05:39"/>
    <n v="137"/>
    <n v="65"/>
    <n v="209"/>
    <n v="15"/>
    <n v="1.0565942411834632"/>
    <s v="HOKA Carbon X"/>
    <s v=""/>
    <s v="-"/>
    <s v=""/>
    <n v="1.5255474452554745"/>
  </r>
  <r>
    <x v="1886"/>
    <m/>
    <m/>
    <x v="1"/>
    <m/>
    <s v=""/>
    <s v=""/>
    <m/>
    <s v="0"/>
    <m/>
    <m/>
    <s v=""/>
    <m/>
    <s v=""/>
    <s v="-"/>
    <s v=""/>
    <s v=""/>
  </r>
  <r>
    <x v="1887"/>
    <n v="30"/>
    <s v="n"/>
    <x v="98"/>
    <d v="1899-12-30T00:40:57"/>
    <n v="7.46"/>
    <d v="1899-12-30T00:05:29"/>
    <n v="134"/>
    <n v="54"/>
    <n v="222"/>
    <n v="21"/>
    <n v="1.0913008683125927"/>
    <s v="HOKA Rincon 3"/>
    <n v="255.10000000000002"/>
    <s v="-"/>
    <n v="278.29999999999995"/>
    <n v="1.6567164179104477"/>
  </r>
  <r>
    <x v="1888"/>
    <n v="31"/>
    <s v="n"/>
    <x v="88"/>
    <d v="1899-12-30T00:40:14"/>
    <n v="7.14"/>
    <d v="1899-12-30T00:05:38"/>
    <n v="129"/>
    <n v="48"/>
    <n v="212"/>
    <n v="17"/>
    <n v="1.0697938877043356"/>
    <s v="HOKA Clifton 8"/>
    <n v="194.60000000000002"/>
    <s v="-"/>
    <n v="212.96"/>
    <n v="1.6434108527131783"/>
  </r>
  <r>
    <x v="1889"/>
    <m/>
    <m/>
    <x v="1"/>
    <m/>
    <s v=""/>
    <s v=""/>
    <m/>
    <s v="0"/>
    <m/>
    <m/>
    <s v=""/>
    <m/>
    <s v=""/>
    <s v="-"/>
    <s v=""/>
    <s v=""/>
  </r>
  <r>
    <x v="1890"/>
    <n v="32"/>
    <s v="n"/>
    <x v="55"/>
    <d v="1899-12-30T00:56:11"/>
    <n v="9.8699999999999992"/>
    <d v="1899-12-30T00:05:42"/>
    <n v="130"/>
    <n v="69"/>
    <n v="216"/>
    <n v="23"/>
    <n v="1.1010842444313389"/>
    <s v="Mizuno"/>
    <n v="194.60000000000002"/>
    <s v="-"/>
    <n v="212.96"/>
    <n v="1.6615384615384616"/>
  </r>
  <r>
    <x v="1891"/>
    <m/>
    <m/>
    <x v="1"/>
    <m/>
    <s v=""/>
    <s v=""/>
    <m/>
    <s v="0"/>
    <m/>
    <m/>
    <s v=""/>
    <m/>
    <s v=""/>
    <s v="-"/>
    <s v=""/>
    <s v=""/>
  </r>
  <r>
    <x v="1892"/>
    <n v="33"/>
    <s v="n"/>
    <x v="88"/>
    <d v="1899-12-30T00:40:08"/>
    <n v="7.32"/>
    <d v="1899-12-30T00:05:29"/>
    <n v="138"/>
    <n v="53"/>
    <n v="223"/>
    <n v="19"/>
    <n v="1.0949025364978384"/>
    <s v="HOKA Rincon 3"/>
    <n v="194.60000000000002"/>
    <s v="-"/>
    <n v="212.96"/>
    <n v="1.6159420289855073"/>
  </r>
  <r>
    <x v="1893"/>
    <n v="34"/>
    <s v="n"/>
    <x v="100"/>
    <d v="1899-12-30T00:41:12"/>
    <n v="7.92"/>
    <d v="1899-12-30T00:05:12"/>
    <n v="141"/>
    <n v="58"/>
    <n v="228"/>
    <n v="19"/>
    <n v="1.062143826322931"/>
    <s v="HOKA Carbon X"/>
    <s v=""/>
    <s v="-"/>
    <s v=""/>
    <n v="1.6170212765957446"/>
  </r>
  <r>
    <x v="1894"/>
    <m/>
    <m/>
    <x v="1"/>
    <m/>
    <s v=""/>
    <s v=""/>
    <m/>
    <s v="0"/>
    <m/>
    <m/>
    <s v=""/>
    <m/>
    <s v=""/>
    <s v="-"/>
    <s v=""/>
    <s v=""/>
  </r>
  <r>
    <x v="1895"/>
    <m/>
    <m/>
    <x v="1"/>
    <m/>
    <s v=""/>
    <s v=""/>
    <m/>
    <s v="0"/>
    <m/>
    <m/>
    <s v=""/>
    <m/>
    <s v=""/>
    <s v="-"/>
    <s v=""/>
    <s v=""/>
  </r>
  <r>
    <x v="1896"/>
    <m/>
    <m/>
    <x v="1"/>
    <m/>
    <s v=""/>
    <s v=""/>
    <m/>
    <s v="0"/>
    <m/>
    <m/>
    <s v=""/>
    <m/>
    <s v=""/>
    <s v="-"/>
    <s v=""/>
    <s v=""/>
  </r>
  <r>
    <x v="1897"/>
    <m/>
    <m/>
    <x v="1"/>
    <m/>
    <s v=""/>
    <s v=""/>
    <m/>
    <s v="0"/>
    <m/>
    <m/>
    <s v=""/>
    <m/>
    <s v=""/>
    <s v="-"/>
    <s v=""/>
    <s v=""/>
  </r>
  <r>
    <x v="1898"/>
    <m/>
    <m/>
    <x v="1"/>
    <m/>
    <s v=""/>
    <s v=""/>
    <m/>
    <s v="0"/>
    <m/>
    <m/>
    <s v=""/>
    <m/>
    <s v=""/>
    <s v="-"/>
    <s v=""/>
    <s v=""/>
  </r>
  <r>
    <x v="1899"/>
    <m/>
    <m/>
    <x v="1"/>
    <m/>
    <s v=""/>
    <s v=""/>
    <m/>
    <s v="0"/>
    <m/>
    <m/>
    <s v=""/>
    <m/>
    <s v=""/>
    <s v="-"/>
    <s v=""/>
    <s v=""/>
  </r>
  <r>
    <x v="1900"/>
    <m/>
    <m/>
    <x v="1"/>
    <m/>
    <s v=""/>
    <s v=""/>
    <m/>
    <s v="0"/>
    <m/>
    <m/>
    <s v=""/>
    <m/>
    <s v=""/>
    <s v="-"/>
    <s v=""/>
    <s v=""/>
  </r>
  <r>
    <x v="1901"/>
    <m/>
    <m/>
    <x v="1"/>
    <m/>
    <s v=""/>
    <s v=""/>
    <m/>
    <s v="0"/>
    <m/>
    <m/>
    <s v=""/>
    <m/>
    <s v=""/>
    <s v="-"/>
    <s v=""/>
    <s v=""/>
  </r>
  <r>
    <x v="1902"/>
    <m/>
    <m/>
    <x v="1"/>
    <m/>
    <s v=""/>
    <s v=""/>
    <m/>
    <s v="0"/>
    <m/>
    <m/>
    <s v=""/>
    <m/>
    <s v=""/>
    <s v="-"/>
    <s v=""/>
    <s v=""/>
  </r>
  <r>
    <x v="1903"/>
    <m/>
    <m/>
    <x v="1"/>
    <m/>
    <s v=""/>
    <s v=""/>
    <m/>
    <s v="0"/>
    <m/>
    <m/>
    <s v=""/>
    <m/>
    <s v=""/>
    <s v="-"/>
    <s v=""/>
    <s v=""/>
  </r>
  <r>
    <x v="1904"/>
    <m/>
    <m/>
    <x v="1"/>
    <m/>
    <s v=""/>
    <s v=""/>
    <m/>
    <s v="0"/>
    <m/>
    <m/>
    <s v=""/>
    <m/>
    <s v=""/>
    <s v="-"/>
    <s v=""/>
    <s v=""/>
  </r>
  <r>
    <x v="1905"/>
    <m/>
    <m/>
    <x v="1"/>
    <m/>
    <s v=""/>
    <s v=""/>
    <m/>
    <s v="0"/>
    <m/>
    <m/>
    <s v=""/>
    <m/>
    <s v=""/>
    <s v="-"/>
    <s v=""/>
    <s v=""/>
  </r>
  <r>
    <x v="1906"/>
    <n v="35"/>
    <s v="n"/>
    <x v="88"/>
    <d v="1899-12-30T00:31:54"/>
    <n v="5.52"/>
    <d v="1899-12-30T00:05:47"/>
    <n v="137"/>
    <n v="37"/>
    <n v="210"/>
    <n v="11"/>
    <n v="1.0867942894224529"/>
    <s v="HOKA Rincon 3"/>
    <n v="194.60000000000002"/>
    <s v="-"/>
    <n v="212.96"/>
    <n v="1.5328467153284671"/>
  </r>
  <r>
    <x v="1907"/>
    <m/>
    <m/>
    <x v="1"/>
    <m/>
    <s v=""/>
    <s v=""/>
    <m/>
    <s v="0"/>
    <m/>
    <m/>
    <s v=""/>
    <m/>
    <s v=""/>
    <s v="-"/>
    <s v=""/>
    <s v=""/>
  </r>
  <r>
    <x v="1908"/>
    <n v="36"/>
    <s v="n"/>
    <x v="98"/>
    <d v="1899-12-30T00:38:58"/>
    <n v="6.95"/>
    <d v="1899-12-30T00:05:36"/>
    <n v="143"/>
    <n v="48"/>
    <n v="215"/>
    <n v="18"/>
    <n v="1.0795017717169548"/>
    <s v="HOKA Rincon 3"/>
    <n v="255.10000000000002"/>
    <s v="-"/>
    <n v="278.29999999999995"/>
    <n v="1.5034965034965035"/>
  </r>
  <r>
    <x v="1909"/>
    <m/>
    <m/>
    <x v="1"/>
    <m/>
    <s v=""/>
    <s v=""/>
    <m/>
    <s v="0"/>
    <m/>
    <m/>
    <s v=""/>
    <m/>
    <s v=""/>
    <s v="-"/>
    <s v=""/>
    <s v=""/>
  </r>
  <r>
    <x v="1910"/>
    <n v="37"/>
    <s v="j"/>
    <x v="88"/>
    <d v="1899-12-30T00:36:01"/>
    <n v="6.18"/>
    <d v="1899-12-30T00:05:50"/>
    <n v="139"/>
    <n v="40"/>
    <n v="202"/>
    <n v="26"/>
    <n v="1.0542481765927645"/>
    <s v="HOKA Clifton 8"/>
    <n v="194.60000000000002"/>
    <s v="-"/>
    <n v="212.96"/>
    <n v="1.4532374100719425"/>
  </r>
  <r>
    <x v="1911"/>
    <m/>
    <m/>
    <x v="1"/>
    <m/>
    <s v=""/>
    <s v=""/>
    <m/>
    <s v="0"/>
    <m/>
    <m/>
    <s v=""/>
    <m/>
    <s v=""/>
    <s v="-"/>
    <s v=""/>
    <s v=""/>
  </r>
  <r>
    <x v="1912"/>
    <n v="38"/>
    <s v="n"/>
    <x v="88"/>
    <d v="1899-12-30T00:35:46"/>
    <n v="6.24"/>
    <d v="1899-12-30T00:05:44"/>
    <n v="144"/>
    <n v="41"/>
    <n v="210"/>
    <n v="20"/>
    <n v="1.0779276693455799"/>
    <s v="HOKA Clifton 8"/>
    <n v="194.60000000000002"/>
    <s v="-"/>
    <n v="212.96"/>
    <n v="1.4583333333333333"/>
  </r>
  <r>
    <x v="1913"/>
    <m/>
    <m/>
    <x v="1"/>
    <m/>
    <s v=""/>
    <s v=""/>
    <m/>
    <s v="0"/>
    <m/>
    <m/>
    <s v=""/>
    <m/>
    <s v=""/>
    <s v="-"/>
    <s v=""/>
    <s v=""/>
  </r>
  <r>
    <x v="1914"/>
    <n v="39"/>
    <s v="j"/>
    <x v="88"/>
    <d v="1899-12-30T00:47:10"/>
    <n v="8.06"/>
    <d v="1899-12-30T00:05:51"/>
    <n v="143"/>
    <n v="52"/>
    <n v="203"/>
    <n v="31"/>
    <n v="1.0638309692233618"/>
    <s v="HOKA Clifton 8"/>
    <n v="194.60000000000002"/>
    <s v="-"/>
    <n v="212.96"/>
    <n v="1.4195804195804196"/>
  </r>
  <r>
    <x v="1915"/>
    <n v="40"/>
    <s v="n"/>
    <x v="88"/>
    <d v="1899-12-30T00:37:31"/>
    <n v="6.44"/>
    <d v="1899-12-30T00:05:50"/>
    <n v="139"/>
    <n v="42"/>
    <n v="206"/>
    <n v="15"/>
    <n v="1.0746871233892648"/>
    <s v="HOKA Clifton 8"/>
    <n v="194.60000000000002"/>
    <s v="-"/>
    <n v="212.96"/>
    <n v="1.4820143884892085"/>
  </r>
  <r>
    <x v="1916"/>
    <n v="41"/>
    <s v="n"/>
    <x v="55"/>
    <d v="1899-12-30T00:57:04"/>
    <n v="10.15"/>
    <d v="1899-12-30T00:05:37"/>
    <n v="138"/>
    <n v="72"/>
    <n v="219"/>
    <n v="35"/>
    <n v="1.1026483346812734"/>
    <s v="Mizuno"/>
    <n v="194.60000000000002"/>
    <s v="-"/>
    <n v="212.96"/>
    <n v="1.5869565217391304"/>
  </r>
  <r>
    <x v="1917"/>
    <m/>
    <m/>
    <x v="1"/>
    <m/>
    <s v=""/>
    <s v=""/>
    <m/>
    <s v="0"/>
    <m/>
    <m/>
    <s v=""/>
    <m/>
    <s v=""/>
    <s v="-"/>
    <s v=""/>
    <s v=""/>
  </r>
  <r>
    <x v="1918"/>
    <n v="42"/>
    <s v="j"/>
    <x v="74"/>
    <d v="1899-12-30T01:15:40"/>
    <n v="12.7"/>
    <d v="1899-12-30T00:05:57"/>
    <n v="131"/>
    <n v="82"/>
    <n v="192"/>
    <n v="41"/>
    <n v="1.0244212010812079"/>
    <s v="HOKA Rincon 3"/>
    <n v="194.60000000000002"/>
    <s v="-"/>
    <n v="212.96"/>
    <n v="1.4656488549618321"/>
  </r>
  <r>
    <x v="1919"/>
    <m/>
    <m/>
    <x v="1"/>
    <m/>
    <s v=""/>
    <s v=""/>
    <m/>
    <s v="0"/>
    <m/>
    <m/>
    <s v=""/>
    <m/>
    <s v=""/>
    <s v="-"/>
    <s v=""/>
    <s v=""/>
  </r>
  <r>
    <x v="1920"/>
    <n v="43"/>
    <s v="n"/>
    <x v="88"/>
    <d v="1899-12-30T00:36:54"/>
    <n v="6.65"/>
    <d v="1899-12-30T00:05:33"/>
    <n v="137"/>
    <n v="47"/>
    <n v="220"/>
    <n v="23"/>
    <n v="1.09321063853664"/>
    <s v="HOKA Rincon 3"/>
    <n v="194.60000000000002"/>
    <s v="-"/>
    <n v="212.96"/>
    <n v="1.6058394160583942"/>
  </r>
  <r>
    <x v="1921"/>
    <n v="44"/>
    <s v="n"/>
    <x v="101"/>
    <d v="1899-12-30T00:50:16"/>
    <n v="9.1999999999999993"/>
    <d v="1899-12-30T00:05:28"/>
    <n v="137"/>
    <n v="65"/>
    <n v="217"/>
    <n v="18"/>
    <n v="1.061765087605451"/>
    <s v="HOKA Carbon X"/>
    <s v=""/>
    <s v="-"/>
    <s v=""/>
    <n v="1.583941605839416"/>
  </r>
  <r>
    <x v="1922"/>
    <n v="45"/>
    <s v="n"/>
    <x v="98"/>
    <d v="1899-12-30T00:40:18"/>
    <n v="7.07"/>
    <d v="1899-12-30T00:05:42"/>
    <n v="134"/>
    <n v="49"/>
    <n v="210"/>
    <n v="19"/>
    <n v="1.0719668981823556"/>
    <s v="Adidas Solarglide 5"/>
    <n v="255.10000000000002"/>
    <s v="-"/>
    <n v="278.29999999999995"/>
    <n v="1.5671641791044777"/>
  </r>
  <r>
    <x v="1923"/>
    <n v="46"/>
    <s v="n"/>
    <x v="88"/>
    <d v="1899-12-30T00:36:58"/>
    <n v="6.53"/>
    <d v="1899-12-30T00:05:40"/>
    <n v="132"/>
    <n v="46"/>
    <n v="217"/>
    <n v="26"/>
    <n v="1.1001028547918905"/>
    <s v="Adidas Solarglide 5"/>
    <n v="194.60000000000002"/>
    <s v="-"/>
    <n v="212.96"/>
    <n v="1.643939393939394"/>
  </r>
  <r>
    <x v="1924"/>
    <n v="47"/>
    <s v="j"/>
    <x v="63"/>
    <d v="1899-12-30T01:47:08"/>
    <n v="17.899999999999999"/>
    <d v="1899-12-30T00:05:59"/>
    <n v="136"/>
    <n v="121"/>
    <n v="200"/>
    <n v="78"/>
    <n v="1.0719586425414829"/>
    <s v="Mizuno"/>
    <n v="194.60000000000002"/>
    <s v="-"/>
    <n v="212.96"/>
    <n v="1.4705882352941178"/>
  </r>
  <r>
    <x v="1925"/>
    <m/>
    <m/>
    <x v="1"/>
    <m/>
    <s v=""/>
    <s v=""/>
    <m/>
    <s v="0"/>
    <m/>
    <m/>
    <s v=""/>
    <m/>
    <s v=""/>
    <s v="-"/>
    <s v=""/>
    <s v=""/>
  </r>
  <r>
    <x v="1926"/>
    <m/>
    <m/>
    <x v="1"/>
    <m/>
    <s v=""/>
    <s v=""/>
    <m/>
    <s v="0"/>
    <m/>
    <m/>
    <s v=""/>
    <m/>
    <s v=""/>
    <s v="-"/>
    <s v=""/>
    <s v=""/>
  </r>
  <r>
    <x v="1927"/>
    <n v="48"/>
    <s v="j"/>
    <x v="88"/>
    <d v="1899-12-30T00:43:54"/>
    <n v="7.49"/>
    <d v="1899-12-30T00:05:52"/>
    <n v="130"/>
    <n v="48"/>
    <n v="205"/>
    <n v="27"/>
    <n v="1.076001833290158"/>
    <s v="HOKA Clifton 7"/>
    <n v="194.60000000000002"/>
    <s v="-"/>
    <n v="212.96"/>
    <n v="1.5769230769230769"/>
  </r>
  <r>
    <x v="1928"/>
    <m/>
    <m/>
    <x v="1"/>
    <m/>
    <s v=""/>
    <s v=""/>
    <m/>
    <s v="0"/>
    <m/>
    <m/>
    <s v=""/>
    <m/>
    <s v=""/>
    <s v="-"/>
    <s v=""/>
    <s v=""/>
  </r>
  <r>
    <x v="1929"/>
    <m/>
    <m/>
    <x v="1"/>
    <m/>
    <s v=""/>
    <s v=""/>
    <m/>
    <s v="0"/>
    <m/>
    <m/>
    <s v=""/>
    <m/>
    <s v=""/>
    <s v="-"/>
    <s v=""/>
    <s v=""/>
  </r>
  <r>
    <x v="1930"/>
    <m/>
    <m/>
    <x v="1"/>
    <m/>
    <s v=""/>
    <s v=""/>
    <m/>
    <s v="0"/>
    <m/>
    <m/>
    <s v=""/>
    <m/>
    <s v=""/>
    <s v="-"/>
    <s v=""/>
    <s v=""/>
  </r>
  <r>
    <x v="1931"/>
    <n v="49"/>
    <s v="n"/>
    <x v="55"/>
    <d v="1899-12-30T00:53:19"/>
    <n v="9.51"/>
    <d v="1899-12-30T00:05:36"/>
    <n v="134"/>
    <n v="65"/>
    <n v="216"/>
    <n v="34"/>
    <n v="1.0844578369979756"/>
    <s v="HOKA Clifton 8"/>
    <n v="194.60000000000002"/>
    <s v="-"/>
    <n v="212.96"/>
    <n v="1.6119402985074627"/>
  </r>
  <r>
    <x v="1932"/>
    <n v="50"/>
    <s v="j"/>
    <x v="88"/>
    <d v="1899-12-30T00:37:15"/>
    <n v="6.27"/>
    <d v="1899-12-30T00:05:56"/>
    <n v="127"/>
    <n v="40"/>
    <n v="202"/>
    <n v="12"/>
    <n v="1.0746982789402271"/>
    <s v="Mizuno"/>
    <n v="194.60000000000002"/>
    <s v="-"/>
    <n v="212.96"/>
    <n v="1.5905511811023623"/>
  </r>
  <r>
    <x v="1933"/>
    <n v="51"/>
    <s v="n"/>
    <x v="88"/>
    <d v="1899-12-30T00:34:37"/>
    <n v="5.92"/>
    <d v="1899-12-30T00:05:51"/>
    <n v="128"/>
    <n v="38"/>
    <n v="201"/>
    <n v="19"/>
    <n v="1.052533783783784"/>
    <s v="HOKA Clifton 8"/>
    <n v="194.60000000000002"/>
    <s v="-"/>
    <n v="212.96"/>
    <n v="1.5703125"/>
  </r>
  <r>
    <x v="1934"/>
    <n v="52"/>
    <s v="n"/>
    <x v="101"/>
    <d v="1899-12-30T00:46:36"/>
    <n v="8.61"/>
    <d v="1899-12-30T00:05:25"/>
    <n v="143"/>
    <n v="63"/>
    <n v="221"/>
    <n v="16"/>
    <n v="1.0711529460710387"/>
    <s v="Adizero Boston 8"/>
    <s v=""/>
    <s v="-"/>
    <s v=""/>
    <n v="1.5454545454545454"/>
  </r>
  <r>
    <x v="1935"/>
    <m/>
    <m/>
    <x v="1"/>
    <m/>
    <s v=""/>
    <s v=""/>
    <m/>
    <s v="0"/>
    <m/>
    <m/>
    <s v=""/>
    <m/>
    <s v=""/>
    <s v="-"/>
    <s v=""/>
    <s v=""/>
  </r>
  <r>
    <x v="1936"/>
    <n v="53"/>
    <s v="n"/>
    <x v="98"/>
    <d v="1899-12-30T00:39:46"/>
    <n v="7.03"/>
    <d v="1899-12-30T00:05:39"/>
    <n v="134"/>
    <n v="48"/>
    <n v="211"/>
    <n v="21"/>
    <n v="1.0688647799409781"/>
    <s v="HOKA Rincon 3"/>
    <n v="255.10000000000002"/>
    <s v="-"/>
    <n v="278.29999999999995"/>
    <n v="1.5746268656716418"/>
  </r>
  <r>
    <x v="1937"/>
    <n v="54"/>
    <s v="n"/>
    <x v="88"/>
    <d v="1899-12-30T00:36:36"/>
    <n v="6.21"/>
    <d v="1899-12-30T00:05:54"/>
    <n v="132"/>
    <n v="39"/>
    <n v="200"/>
    <n v="20"/>
    <n v="1.0555916071814837"/>
    <s v="HOKA Clifton 8"/>
    <n v="194.60000000000002"/>
    <s v="-"/>
    <n v="212.96"/>
    <n v="1.5151515151515151"/>
  </r>
  <r>
    <x v="1938"/>
    <m/>
    <m/>
    <x v="1"/>
    <m/>
    <s v=""/>
    <s v=""/>
    <m/>
    <s v="0"/>
    <m/>
    <m/>
    <s v=""/>
    <m/>
    <s v=""/>
    <s v="-"/>
    <s v=""/>
    <s v=""/>
  </r>
  <r>
    <x v="1939"/>
    <n v="55"/>
    <s v="j"/>
    <x v="55"/>
    <d v="1899-12-30T00:55:55"/>
    <n v="9.24"/>
    <d v="1899-12-30T00:06:03"/>
    <n v="127"/>
    <n v="58"/>
    <n v="197"/>
    <n v="29"/>
    <n v="1.0676083866382371"/>
    <s v="Mizuno"/>
    <n v="194.60000000000002"/>
    <s v="-"/>
    <n v="212.96"/>
    <n v="1.5511811023622046"/>
  </r>
  <r>
    <x v="1940"/>
    <n v="56"/>
    <s v="n"/>
    <x v="102"/>
    <d v="1899-12-30T00:35:08"/>
    <n v="5.92"/>
    <d v="1899-12-30T00:05:56"/>
    <n v="120"/>
    <n v="37"/>
    <n v="200"/>
    <n v="13"/>
    <n v="1.0629286002420328"/>
    <s v="HOKA Clifton 8"/>
    <n v="194.60000000000002"/>
    <s v="-"/>
    <n v="212.96"/>
    <n v="1.6666666666666667"/>
  </r>
  <r>
    <x v="1941"/>
    <n v="57"/>
    <s v="n"/>
    <x v="101"/>
    <d v="1899-12-30T00:30:02"/>
    <n v="5.51"/>
    <d v="1899-12-30T00:05:27"/>
    <n v="143"/>
    <n v="40"/>
    <n v="217"/>
    <n v="25"/>
    <n v="1.0592247474063439"/>
    <s v="HOKA Carbon X"/>
    <s v=""/>
    <s v="-"/>
    <s v=""/>
    <n v="1.5174825174825175"/>
  </r>
  <r>
    <x v="1942"/>
    <m/>
    <m/>
    <x v="1"/>
    <m/>
    <s v=""/>
    <s v=""/>
    <m/>
    <s v="0"/>
    <m/>
    <m/>
    <s v=""/>
    <m/>
    <s v=""/>
    <s v="-"/>
    <s v=""/>
    <s v=""/>
  </r>
  <r>
    <x v="1943"/>
    <n v="58"/>
    <s v="n"/>
    <x v="98"/>
    <d v="1899-12-30T00:38:46"/>
    <n v="6.63"/>
    <d v="1899-12-30T00:05:51"/>
    <n v="129"/>
    <n v="45"/>
    <n v="206"/>
    <n v="22"/>
    <n v="1.0786699984241688"/>
    <s v="HOKA Rincon 3"/>
    <n v="255.10000000000002"/>
    <s v="-"/>
    <n v="278.29999999999995"/>
    <n v="1.5968992248062015"/>
  </r>
  <r>
    <x v="1944"/>
    <n v="59"/>
    <s v="n"/>
    <x v="102"/>
    <d v="1899-12-30T00:31:47"/>
    <n v="5.3"/>
    <d v="1899-12-30T00:06:00"/>
    <n v="123"/>
    <n v="33"/>
    <n v="197"/>
    <n v="16"/>
    <n v="1.057952689383272"/>
    <s v="HOKA Clifton 8"/>
    <n v="194.60000000000002"/>
    <s v="-"/>
    <n v="212.96"/>
    <n v="1.6016260162601625"/>
  </r>
  <r>
    <x v="1945"/>
    <m/>
    <m/>
    <x v="1"/>
    <m/>
    <s v=""/>
    <s v=""/>
    <m/>
    <s v="0"/>
    <m/>
    <m/>
    <s v=""/>
    <m/>
    <s v=""/>
    <s v="-"/>
    <s v=""/>
    <s v=""/>
  </r>
  <r>
    <x v="1946"/>
    <n v="60"/>
    <s v="n"/>
    <x v="4"/>
    <d v="1899-12-30T00:22:09"/>
    <n v="5"/>
    <d v="1899-12-30T00:04:26"/>
    <n v="165"/>
    <n v="41"/>
    <n v="268"/>
    <n v="29"/>
    <n v="1.0631999999999997"/>
    <s v="HOKA Carbon X"/>
    <s v=""/>
    <s v="-"/>
    <s v=""/>
    <n v="1.6242424242424243"/>
  </r>
  <r>
    <x v="1947"/>
    <m/>
    <m/>
    <x v="1"/>
    <m/>
    <s v=""/>
    <s v=""/>
    <m/>
    <s v="0"/>
    <m/>
    <m/>
    <s v=""/>
    <m/>
    <s v=""/>
    <s v="-"/>
    <s v=""/>
    <s v=""/>
  </r>
  <r>
    <x v="1948"/>
    <m/>
    <m/>
    <x v="1"/>
    <m/>
    <s v=""/>
    <s v=""/>
    <m/>
    <s v="0"/>
    <m/>
    <m/>
    <s v=""/>
    <m/>
    <s v=""/>
    <s v="-"/>
    <s v=""/>
    <s v=""/>
  </r>
  <r>
    <x v="1949"/>
    <n v="61"/>
    <s v="n"/>
    <x v="102"/>
    <d v="1899-12-30T00:27:42"/>
    <n v="4.6900000000000004"/>
    <d v="1899-12-30T00:05:54"/>
    <n v="124"/>
    <n v="26"/>
    <n v="200"/>
    <n v="10"/>
    <n v="1.0578238869617795"/>
    <s v="HOKA Clifton 8"/>
    <n v="194.60000000000002"/>
    <s v="-"/>
    <n v="212.96"/>
    <n v="1.6129032258064515"/>
  </r>
  <r>
    <x v="1950"/>
    <n v="62"/>
    <s v="n"/>
    <x v="102"/>
    <d v="1899-12-30T00:31:26"/>
    <n v="5.45"/>
    <d v="1899-12-30T00:05:46"/>
    <n v="124"/>
    <n v="31"/>
    <n v="208"/>
    <n v="10"/>
    <n v="1.0743201424072297"/>
    <s v="HOKA Rincon 3"/>
    <n v="194.60000000000002"/>
    <s v="-"/>
    <n v="212.96"/>
    <n v="1.6774193548387097"/>
  </r>
  <r>
    <x v="1951"/>
    <n v="63"/>
    <s v="n"/>
    <x v="102"/>
    <d v="1899-12-30T00:32:56"/>
    <n v="5.73"/>
    <d v="1899-12-30T00:05:45"/>
    <n v="127"/>
    <n v="34"/>
    <n v="206"/>
    <n v="19"/>
    <n v="1.0602901721757703"/>
    <s v="Adidas Solarglide 5"/>
    <n v="194.60000000000002"/>
    <s v="-"/>
    <n v="212.96"/>
    <n v="1.6220472440944882"/>
  </r>
  <r>
    <x v="1952"/>
    <m/>
    <m/>
    <x v="1"/>
    <m/>
    <s v=""/>
    <s v=""/>
    <m/>
    <s v="0"/>
    <m/>
    <m/>
    <s v=""/>
    <m/>
    <s v=""/>
    <s v="-"/>
    <s v=""/>
    <s v=""/>
  </r>
  <r>
    <x v="1953"/>
    <m/>
    <m/>
    <x v="1"/>
    <m/>
    <s v=""/>
    <s v=""/>
    <m/>
    <s v="0"/>
    <m/>
    <m/>
    <s v=""/>
    <m/>
    <s v=""/>
    <s v="-"/>
    <s v=""/>
    <s v=""/>
  </r>
  <r>
    <x v="1954"/>
    <n v="64"/>
    <s v="n"/>
    <x v="87"/>
    <d v="1899-12-30T00:33:49"/>
    <n v="5.68"/>
    <d v="1899-12-30T00:05:57"/>
    <n v="123"/>
    <n v="32"/>
    <n v="201"/>
    <n v="23"/>
    <n v="1.0716549295774649"/>
    <s v="HOKA Rincon 3"/>
    <n v="194.60000000000002"/>
    <s v="-"/>
    <n v="212.96"/>
    <n v="1.6341463414634145"/>
  </r>
  <r>
    <x v="1955"/>
    <n v="65"/>
    <s v="n"/>
    <x v="87"/>
    <d v="1899-12-30T00:39:03"/>
    <n v="6.71"/>
    <d v="1899-12-30T00:05:49"/>
    <n v="128"/>
    <n v="38"/>
    <n v="202"/>
    <n v="16"/>
    <n v="1.0527526302911667"/>
    <s v="HOKA Clifton 8"/>
    <n v="194.60000000000002"/>
    <s v="-"/>
    <n v="212.96"/>
    <n v="1.578125"/>
  </r>
  <r>
    <x v="1956"/>
    <m/>
    <m/>
    <x v="1"/>
    <m/>
    <s v=""/>
    <s v=""/>
    <m/>
    <s v="0"/>
    <m/>
    <m/>
    <s v=""/>
    <m/>
    <s v=""/>
    <s v="-"/>
    <s v=""/>
    <s v=""/>
  </r>
  <r>
    <x v="1957"/>
    <n v="66"/>
    <s v="j"/>
    <x v="87"/>
    <d v="1899-12-30T00:39:55"/>
    <n v="6.94"/>
    <d v="1899-12-30T00:05:45"/>
    <n v="134"/>
    <n v="40"/>
    <n v="205"/>
    <n v="16"/>
    <n v="1.0559056303496923"/>
    <s v="HOKA Clifton 8"/>
    <n v="194.60000000000002"/>
    <s v="-"/>
    <n v="212.96"/>
    <n v="1.5298507462686568"/>
  </r>
  <r>
    <x v="1958"/>
    <m/>
    <m/>
    <x v="1"/>
    <m/>
    <s v=""/>
    <s v=""/>
    <m/>
    <s v="0"/>
    <m/>
    <m/>
    <s v=""/>
    <m/>
    <s v=""/>
    <s v="-"/>
    <s v=""/>
    <s v=""/>
  </r>
  <r>
    <x v="1959"/>
    <m/>
    <m/>
    <x v="1"/>
    <m/>
    <s v=""/>
    <s v=""/>
    <m/>
    <s v="0"/>
    <m/>
    <m/>
    <s v=""/>
    <m/>
    <s v=""/>
    <s v="-"/>
    <s v=""/>
    <s v=""/>
  </r>
  <r>
    <x v="1960"/>
    <m/>
    <m/>
    <x v="1"/>
    <m/>
    <s v=""/>
    <s v=""/>
    <m/>
    <s v="0"/>
    <m/>
    <m/>
    <s v=""/>
    <m/>
    <s v=""/>
    <s v="-"/>
    <s v=""/>
    <s v=""/>
  </r>
  <r>
    <x v="1961"/>
    <m/>
    <m/>
    <x v="1"/>
    <m/>
    <s v=""/>
    <s v=""/>
    <m/>
    <s v="0"/>
    <m/>
    <m/>
    <s v=""/>
    <m/>
    <s v=""/>
    <s v="-"/>
    <s v=""/>
    <s v=""/>
  </r>
  <r>
    <x v="1962"/>
    <n v="67"/>
    <s v="n"/>
    <x v="68"/>
    <d v="1899-12-30T01:00:56"/>
    <n v="7.69"/>
    <d v="1899-12-30T00:07:55"/>
    <n v="128"/>
    <n v="55"/>
    <n v="182"/>
    <n v="370"/>
    <m/>
    <s v="Innov-8 Terraultra"/>
    <s v=""/>
    <s v="-"/>
    <s v=""/>
    <m/>
  </r>
  <r>
    <x v="1963"/>
    <m/>
    <m/>
    <x v="1"/>
    <m/>
    <s v=""/>
    <s v=""/>
    <m/>
    <s v="0"/>
    <m/>
    <m/>
    <s v=""/>
    <m/>
    <s v=""/>
    <s v="-"/>
    <s v=""/>
    <s v=""/>
  </r>
  <r>
    <x v="1964"/>
    <m/>
    <m/>
    <x v="1"/>
    <m/>
    <s v=""/>
    <s v=""/>
    <m/>
    <s v="0"/>
    <m/>
    <m/>
    <s v=""/>
    <m/>
    <s v=""/>
    <s v="-"/>
    <s v=""/>
    <s v=""/>
  </r>
  <r>
    <x v="1965"/>
    <m/>
    <m/>
    <x v="1"/>
    <m/>
    <s v=""/>
    <s v=""/>
    <m/>
    <s v="0"/>
    <m/>
    <m/>
    <s v=""/>
    <m/>
    <s v=""/>
    <s v="-"/>
    <s v=""/>
    <s v=""/>
  </r>
  <r>
    <x v="1966"/>
    <m/>
    <m/>
    <x v="1"/>
    <m/>
    <s v=""/>
    <s v=""/>
    <m/>
    <s v="0"/>
    <m/>
    <m/>
    <s v=""/>
    <m/>
    <s v=""/>
    <s v="-"/>
    <s v=""/>
    <s v=""/>
  </r>
  <r>
    <x v="1967"/>
    <n v="68"/>
    <s v="j"/>
    <x v="88"/>
    <d v="1899-12-30T00:44:55"/>
    <n v="6.9"/>
    <d v="1899-12-30T00:06:31"/>
    <n v="127"/>
    <n v="35"/>
    <n v="182"/>
    <n v="28"/>
    <n v="1.0609777200951762"/>
    <s v="HOKA Clifton 8"/>
    <n v="194.60000000000002"/>
    <s v="-"/>
    <n v="212.96"/>
    <n v="1.4330708661417322"/>
  </r>
  <r>
    <x v="1968"/>
    <n v="69"/>
    <s v="n"/>
    <x v="87"/>
    <d v="1899-12-30T00:36:11"/>
    <n v="6.1"/>
    <d v="1899-12-30T00:05:56"/>
    <n v="122"/>
    <n v="35"/>
    <n v="200"/>
    <n v="10"/>
    <n v="1.0623929532664547"/>
    <s v="HOKA Rincon 3"/>
    <n v="194.60000000000002"/>
    <s v="-"/>
    <n v="212.96"/>
    <n v="1.639344262295082"/>
  </r>
  <r>
    <x v="1969"/>
    <m/>
    <m/>
    <x v="1"/>
    <m/>
    <s v=""/>
    <s v=""/>
    <m/>
    <s v="0"/>
    <m/>
    <m/>
    <s v=""/>
    <m/>
    <s v=""/>
    <s v="-"/>
    <s v=""/>
    <s v=""/>
  </r>
  <r>
    <x v="1970"/>
    <n v="70"/>
    <s v="n"/>
    <x v="87"/>
    <d v="1899-12-30T00:35:35"/>
    <n v="6.01"/>
    <d v="1899-12-30T00:05:55"/>
    <n v="127"/>
    <n v="34"/>
    <n v="200"/>
    <n v="14"/>
    <n v="1.06042168525095"/>
    <s v="HOKA Clifton 8"/>
    <n v="194.60000000000002"/>
    <s v="-"/>
    <n v="212.96"/>
    <n v="1.5748031496062993"/>
  </r>
  <r>
    <x v="1971"/>
    <n v="71"/>
    <s v="n"/>
    <x v="98"/>
    <d v="1899-12-30T00:39:34"/>
    <n v="6.96"/>
    <d v="1899-12-30T00:05:41"/>
    <n v="126"/>
    <n v="43"/>
    <n v="210"/>
    <n v="14"/>
    <n v="1.0690941842511581"/>
    <s v="HOKA Rincon 3"/>
    <n v="255.10000000000002"/>
    <s v="-"/>
    <n v="278.29999999999995"/>
    <n v="1.6666666666666667"/>
  </r>
  <r>
    <x v="1972"/>
    <n v="72"/>
    <s v="n"/>
    <x v="87"/>
    <d v="1899-12-30T00:38:16"/>
    <n v="6.74"/>
    <d v="1899-12-30T00:05:41"/>
    <n v="129"/>
    <n v="40"/>
    <n v="209"/>
    <n v="14"/>
    <n v="1.0626334204349173"/>
    <s v="Mizuno"/>
    <n v="194.60000000000002"/>
    <s v="-"/>
    <n v="212.96"/>
    <n v="1.6201550387596899"/>
  </r>
  <r>
    <x v="1973"/>
    <m/>
    <m/>
    <x v="1"/>
    <m/>
    <s v=""/>
    <s v=""/>
    <m/>
    <s v="0"/>
    <m/>
    <m/>
    <s v=""/>
    <m/>
    <s v=""/>
    <s v="-"/>
    <s v=""/>
    <s v=""/>
  </r>
  <r>
    <x v="1974"/>
    <m/>
    <m/>
    <x v="1"/>
    <m/>
    <s v=""/>
    <s v=""/>
    <m/>
    <s v="0"/>
    <m/>
    <m/>
    <s v=""/>
    <m/>
    <s v=""/>
    <s v="-"/>
    <s v=""/>
    <s v=""/>
  </r>
  <r>
    <x v="1975"/>
    <m/>
    <m/>
    <x v="1"/>
    <m/>
    <s v=""/>
    <s v=""/>
    <m/>
    <s v="0"/>
    <m/>
    <m/>
    <s v=""/>
    <m/>
    <s v=""/>
    <s v="-"/>
    <s v=""/>
    <s v=""/>
  </r>
  <r>
    <x v="1976"/>
    <n v="73"/>
    <s v="n"/>
    <x v="87"/>
    <d v="1899-12-30T00:32:40"/>
    <n v="5.55"/>
    <d v="1899-12-30T00:05:53"/>
    <n v="130"/>
    <n v="32"/>
    <n v="204"/>
    <n v="14"/>
    <n v="1.0752722872125857"/>
    <s v="Mizuno"/>
    <n v="194.60000000000002"/>
    <s v="-"/>
    <n v="212.96"/>
    <n v="1.5692307692307692"/>
  </r>
  <r>
    <x v="1977"/>
    <n v="74"/>
    <s v="n"/>
    <x v="87"/>
    <d v="1899-12-30T00:39:33"/>
    <n v="7.06"/>
    <d v="1899-12-30T00:05:36"/>
    <n v="128"/>
    <n v="42"/>
    <n v="210"/>
    <n v="15"/>
    <n v="1.0535072512790156"/>
    <s v="HOKA Clifton 8"/>
    <n v="194.60000000000002"/>
    <s v="-"/>
    <n v="212.96"/>
    <n v="1.640625"/>
  </r>
  <r>
    <x v="1978"/>
    <n v="75"/>
    <s v="n"/>
    <x v="98"/>
    <d v="1899-12-30T00:39:03"/>
    <n v="6.99"/>
    <d v="1899-12-30T00:05:35"/>
    <n v="128"/>
    <n v="44"/>
    <n v="212"/>
    <n v="12"/>
    <n v="1.0606111075523665"/>
    <s v="HOKA Rincon 3"/>
    <n v="255.10000000000002"/>
    <s v="-"/>
    <n v="278.29999999999995"/>
    <n v="1.65625"/>
  </r>
  <r>
    <x v="1979"/>
    <n v="76"/>
    <s v="n"/>
    <x v="87"/>
    <d v="1899-12-30T00:32:03"/>
    <n v="6.11"/>
    <d v="1899-12-30T00:05:15"/>
    <n v="136"/>
    <n v="40"/>
    <n v="230"/>
    <n v="12"/>
    <n v="1.0804162493587706"/>
    <s v="Adidas Solarglide 5"/>
    <n v="194.60000000000002"/>
    <s v="-"/>
    <n v="212.96"/>
    <n v="1.6911764705882353"/>
  </r>
  <r>
    <x v="1980"/>
    <m/>
    <m/>
    <x v="1"/>
    <m/>
    <s v=""/>
    <s v=""/>
    <m/>
    <s v="0"/>
    <m/>
    <m/>
    <s v=""/>
    <m/>
    <s v=""/>
    <s v="-"/>
    <s v=""/>
    <s v=""/>
  </r>
  <r>
    <x v="1981"/>
    <n v="77"/>
    <s v="j"/>
    <x v="74"/>
    <d v="1899-12-30T01:12:09"/>
    <n v="12.4"/>
    <d v="1899-12-30T00:05:49"/>
    <n v="137"/>
    <n v="72"/>
    <n v="206"/>
    <n v="31"/>
    <n v="1.0733919114106887"/>
    <s v="Mizuno"/>
    <n v="194.60000000000002"/>
    <s v="-"/>
    <n v="212.96"/>
    <n v="1.5036496350364963"/>
  </r>
  <r>
    <x v="1982"/>
    <m/>
    <m/>
    <x v="1"/>
    <m/>
    <s v=""/>
    <s v=""/>
    <m/>
    <s v="0"/>
    <m/>
    <m/>
    <s v=""/>
    <m/>
    <s v=""/>
    <s v="-"/>
    <s v=""/>
    <s v=""/>
  </r>
  <r>
    <x v="1983"/>
    <n v="78"/>
    <s v="j"/>
    <x v="88"/>
    <d v="1899-12-30T00:46:50"/>
    <n v="8.11"/>
    <d v="1899-12-30T00:05:46"/>
    <n v="127"/>
    <n v="46"/>
    <n v="203"/>
    <n v="19"/>
    <n v="1.0498003202237887"/>
    <s v="HOKA Clifton 8"/>
    <n v="194.60000000000002"/>
    <s v="-"/>
    <n v="212.96"/>
    <n v="1.5984251968503937"/>
  </r>
  <r>
    <x v="1984"/>
    <m/>
    <m/>
    <x v="1"/>
    <m/>
    <s v=""/>
    <s v=""/>
    <m/>
    <s v="0"/>
    <m/>
    <m/>
    <s v=""/>
    <m/>
    <s v=""/>
    <s v="-"/>
    <s v=""/>
    <s v=""/>
  </r>
  <r>
    <x v="1985"/>
    <m/>
    <m/>
    <x v="1"/>
    <m/>
    <s v=""/>
    <s v=""/>
    <m/>
    <s v="0"/>
    <m/>
    <m/>
    <s v=""/>
    <m/>
    <s v=""/>
    <s v="-"/>
    <s v=""/>
    <s v=""/>
  </r>
  <r>
    <x v="1986"/>
    <n v="79"/>
    <s v="j"/>
    <x v="55"/>
    <d v="1899-12-30T00:55:06"/>
    <n v="9.35"/>
    <d v="1899-12-30T00:05:54"/>
    <n v="128"/>
    <n v="52"/>
    <n v="202"/>
    <n v="24"/>
    <n v="1.066026019634448"/>
    <s v="HOKA Rincon 3"/>
    <n v="194.60000000000002"/>
    <s v="-"/>
    <n v="212.96"/>
    <n v="1.578125"/>
  </r>
  <r>
    <x v="1987"/>
    <m/>
    <m/>
    <x v="1"/>
    <m/>
    <s v=""/>
    <s v=""/>
    <m/>
    <s v="0"/>
    <m/>
    <m/>
    <s v=""/>
    <m/>
    <s v=""/>
    <s v="-"/>
    <s v=""/>
    <s v=""/>
  </r>
  <r>
    <x v="1988"/>
    <n v="80"/>
    <s v="n"/>
    <x v="68"/>
    <d v="1899-12-30T01:27:59"/>
    <n v="11.7"/>
    <d v="1899-12-30T00:07:31"/>
    <n v="133"/>
    <n v="76"/>
    <n v="179"/>
    <n v="490"/>
    <m/>
    <s v="Innov-8 Terraultra"/>
    <s v=""/>
    <s v="-"/>
    <s v=""/>
    <m/>
  </r>
  <r>
    <x v="1989"/>
    <n v="81"/>
    <s v="n"/>
    <x v="87"/>
    <d v="1899-12-30T00:35:51"/>
    <n v="6.22"/>
    <d v="1899-12-30T00:05:46"/>
    <n v="121"/>
    <n v="36"/>
    <n v="206"/>
    <n v="11"/>
    <n v="1.063267264961367"/>
    <s v="HOKA Rincon 3"/>
    <n v="194.60000000000002"/>
    <s v="-"/>
    <n v="212.96"/>
    <n v="1.7024793388429753"/>
  </r>
  <r>
    <x v="1990"/>
    <n v="82"/>
    <s v="n"/>
    <x v="87"/>
    <d v="1899-12-30T00:37:41"/>
    <n v="6.67"/>
    <d v="1899-12-30T00:05:39"/>
    <n v="125"/>
    <n v="39"/>
    <n v="208"/>
    <n v="16"/>
    <n v="1.0523574033878582"/>
    <s v="HOKA Clifton 8"/>
    <n v="194.60000000000002"/>
    <s v="-"/>
    <n v="212.96"/>
    <n v="1.6639999999999999"/>
  </r>
  <r>
    <x v="1991"/>
    <m/>
    <m/>
    <x v="1"/>
    <m/>
    <s v=""/>
    <s v=""/>
    <m/>
    <s v="0"/>
    <m/>
    <m/>
    <s v=""/>
    <m/>
    <s v=""/>
    <s v="-"/>
    <s v=""/>
    <s v=""/>
  </r>
  <r>
    <x v="1992"/>
    <n v="83"/>
    <s v="n"/>
    <x v="98"/>
    <d v="1899-12-30T00:39:24"/>
    <n v="7.06"/>
    <d v="1899-12-30T00:05:35"/>
    <n v="126"/>
    <n v="44"/>
    <n v="213"/>
    <n v="12"/>
    <n v="1.0645046721068878"/>
    <s v="Adidas Solarglide 5"/>
    <n v="255.10000000000002"/>
    <s v="-"/>
    <n v="278.29999999999995"/>
    <n v="1.6904761904761905"/>
  </r>
  <r>
    <x v="1993"/>
    <n v="84"/>
    <s v="n"/>
    <x v="87"/>
    <d v="1899-12-30T00:42:54"/>
    <n v="7.51"/>
    <d v="1899-12-30T00:05:43"/>
    <n v="125"/>
    <n v="43"/>
    <n v="206"/>
    <n v="12"/>
    <n v="1.0538068644792018"/>
    <s v="HOKA Clifton 8"/>
    <n v="194.60000000000002"/>
    <s v="-"/>
    <n v="212.96"/>
    <n v="1.6479999999999999"/>
  </r>
  <r>
    <x v="1994"/>
    <m/>
    <m/>
    <x v="1"/>
    <m/>
    <s v=""/>
    <s v=""/>
    <m/>
    <s v="0"/>
    <m/>
    <m/>
    <s v=""/>
    <m/>
    <s v=""/>
    <s v="-"/>
    <s v=""/>
    <s v=""/>
  </r>
  <r>
    <x v="1995"/>
    <n v="85"/>
    <s v="j"/>
    <x v="74"/>
    <d v="1899-12-30T01:14:49"/>
    <n v="12.98"/>
    <d v="1899-12-30T00:05:46"/>
    <n v="137"/>
    <n v="77"/>
    <n v="208"/>
    <n v="33"/>
    <n v="1.0736517719568566"/>
    <s v="Mizuno"/>
    <n v="194.60000000000002"/>
    <s v="-"/>
    <n v="212.96"/>
    <n v="1.5182481751824817"/>
  </r>
  <r>
    <x v="1996"/>
    <n v="86"/>
    <s v="n"/>
    <x v="87"/>
    <d v="1899-12-30T00:37:01"/>
    <n v="6.51"/>
    <d v="1899-12-30T00:05:41"/>
    <n v="121"/>
    <n v="37"/>
    <n v="206"/>
    <n v="10"/>
    <n v="1.0489625604695418"/>
    <s v="HOKA Clifton 8"/>
    <n v="194.60000000000002"/>
    <s v="-"/>
    <n v="212.96"/>
    <n v="1.7024793388429753"/>
  </r>
  <r>
    <x v="1997"/>
    <n v="87"/>
    <s v="n"/>
    <x v="88"/>
    <d v="1899-12-30T00:44:53"/>
    <n v="8.02"/>
    <d v="1899-12-30T00:05:36"/>
    <n v="123"/>
    <n v="48"/>
    <n v="212"/>
    <n v="12"/>
    <n v="1.0624855771020212"/>
    <s v="HOKA Rincon 3"/>
    <n v="194.60000000000002"/>
    <s v="-"/>
    <n v="212.96"/>
    <n v="1.7235772357723578"/>
  </r>
  <r>
    <x v="1998"/>
    <m/>
    <m/>
    <x v="1"/>
    <m/>
    <s v=""/>
    <s v=""/>
    <m/>
    <s v="0"/>
    <m/>
    <m/>
    <s v=""/>
    <m/>
    <s v=""/>
    <s v="-"/>
    <s v=""/>
    <s v=""/>
  </r>
  <r>
    <x v="1999"/>
    <n v="88"/>
    <s v="n"/>
    <x v="87"/>
    <d v="1899-12-30T00:34:17"/>
    <n v="5.84"/>
    <d v="1899-12-30T00:05:52"/>
    <n v="125"/>
    <n v="34"/>
    <n v="204"/>
    <n v="12"/>
    <n v="1.0724493968513595"/>
    <s v="Adidas Solarglide 5"/>
    <n v="194.60000000000002"/>
    <s v="-"/>
    <n v="212.96"/>
    <n v="1.6319999999999999"/>
  </r>
  <r>
    <x v="2000"/>
    <n v="89"/>
    <s v="j"/>
    <x v="87"/>
    <d v="1899-12-30T00:45:03"/>
    <n v="7.22"/>
    <d v="1899-12-30T00:06:14"/>
    <n v="119"/>
    <n v="38"/>
    <n v="189"/>
    <n v="27"/>
    <n v="1.0560776450159177"/>
    <s v="HOKA Clifton 8"/>
    <n v="194.60000000000002"/>
    <s v="-"/>
    <n v="212.96"/>
    <n v="1.588235294117647"/>
  </r>
  <r>
    <x v="2001"/>
    <m/>
    <m/>
    <x v="1"/>
    <m/>
    <s v=""/>
    <s v=""/>
    <m/>
    <s v="0"/>
    <m/>
    <m/>
    <s v=""/>
    <m/>
    <s v=""/>
    <s v="-"/>
    <s v=""/>
    <s v=""/>
  </r>
  <r>
    <x v="2002"/>
    <n v="90"/>
    <s v="j"/>
    <x v="74"/>
    <d v="1899-12-30T01:14:59"/>
    <n v="12.97"/>
    <d v="1899-12-30T00:05:47"/>
    <n v="129"/>
    <n v="77"/>
    <n v="207"/>
    <n v="38"/>
    <n v="1.071695876822518"/>
    <s v="Mizuno"/>
    <n v="194.60000000000002"/>
    <s v="-"/>
    <n v="212.96"/>
    <n v="1.6046511627906976"/>
  </r>
  <r>
    <x v="2003"/>
    <n v="91"/>
    <s v="n"/>
    <x v="87"/>
    <d v="1899-12-30T00:34:35"/>
    <n v="5.97"/>
    <d v="1899-12-30T00:05:48"/>
    <n v="121"/>
    <n v="34"/>
    <n v="202"/>
    <n v="8"/>
    <n v="1.0479011975299384"/>
    <s v="HOKA Clifton 8"/>
    <n v="194.60000000000002"/>
    <s v="-"/>
    <n v="212.96"/>
    <n v="1.6694214876033058"/>
  </r>
  <r>
    <x v="2004"/>
    <n v="92"/>
    <s v="n"/>
    <x v="88"/>
    <d v="1899-12-30T00:44:50"/>
    <n v="7.93"/>
    <d v="1899-12-30T00:05:39"/>
    <n v="123"/>
    <n v="47"/>
    <n v="210"/>
    <n v="17"/>
    <n v="1.0632210950292675"/>
    <s v="HOKA Rincon 3"/>
    <n v="194.60000000000002"/>
    <s v="-"/>
    <n v="212.96"/>
    <n v="1.7073170731707317"/>
  </r>
  <r>
    <x v="2005"/>
    <m/>
    <m/>
    <x v="1"/>
    <m/>
    <s v=""/>
    <s v=""/>
    <m/>
    <s v="0"/>
    <m/>
    <m/>
    <s v=""/>
    <m/>
    <s v=""/>
    <s v="-"/>
    <s v=""/>
    <s v=""/>
  </r>
  <r>
    <x v="2006"/>
    <n v="93"/>
    <s v="n"/>
    <x v="98"/>
    <d v="1899-12-30T00:38:36"/>
    <n v="6.71"/>
    <d v="1899-12-30T00:05:45"/>
    <n v="127"/>
    <n v="41"/>
    <n v="207"/>
    <n v="15"/>
    <n v="1.0663789843628355"/>
    <s v="Adidas Solarglide 5"/>
    <n v="255.10000000000002"/>
    <s v="-"/>
    <n v="278.29999999999995"/>
    <n v="1.6299212598425197"/>
  </r>
  <r>
    <x v="2007"/>
    <n v="94"/>
    <s v="n"/>
    <x v="88"/>
    <d v="1899-12-30T00:44:43"/>
    <n v="7.93"/>
    <d v="1899-12-30T00:05:38"/>
    <n v="121"/>
    <n v="47"/>
    <n v="210"/>
    <n v="11"/>
    <n v="1.0604543486853253"/>
    <s v="HOKA Rincon 3 II"/>
    <n v="194.60000000000002"/>
    <s v="-"/>
    <n v="212.96"/>
    <n v="1.7355371900826446"/>
  </r>
  <r>
    <x v="2008"/>
    <m/>
    <m/>
    <x v="1"/>
    <m/>
    <s v=""/>
    <s v=""/>
    <m/>
    <s v="0"/>
    <m/>
    <m/>
    <s v=""/>
    <m/>
    <s v=""/>
    <s v="-"/>
    <s v=""/>
    <s v=""/>
  </r>
  <r>
    <x v="2009"/>
    <n v="95"/>
    <s v="j"/>
    <x v="74"/>
    <d v="1899-12-30T01:09:16"/>
    <n v="11.99"/>
    <d v="1899-12-30T00:05:47"/>
    <n v="136"/>
    <n v="74"/>
    <n v="208"/>
    <n v="45"/>
    <n v="1.0760808136133344"/>
    <s v="Mizuno"/>
    <n v="194.60000000000002"/>
    <s v="-"/>
    <n v="212.96"/>
    <n v="1.5294117647058822"/>
  </r>
  <r>
    <x v="2010"/>
    <n v="96"/>
    <s v="n"/>
    <x v="87"/>
    <d v="1899-12-30T00:36:09"/>
    <n v="6.12"/>
    <d v="1899-12-30T00:05:54"/>
    <n v="117"/>
    <n v="35"/>
    <n v="199"/>
    <n v="14"/>
    <n v="1.0526558384547848"/>
    <s v="HOKA Clifton 8"/>
    <n v="194.60000000000002"/>
    <s v="-"/>
    <n v="212.96"/>
    <n v="1.7008547008547008"/>
  </r>
  <r>
    <x v="2011"/>
    <m/>
    <m/>
    <x v="1"/>
    <m/>
    <s v=""/>
    <s v=""/>
    <m/>
    <s v="0"/>
    <m/>
    <m/>
    <s v=""/>
    <m/>
    <s v=""/>
    <s v="-"/>
    <s v=""/>
    <s v=""/>
  </r>
  <r>
    <x v="2012"/>
    <m/>
    <m/>
    <x v="1"/>
    <m/>
    <s v=""/>
    <s v=""/>
    <m/>
    <s v="0"/>
    <m/>
    <m/>
    <s v=""/>
    <m/>
    <s v=""/>
    <s v="-"/>
    <s v=""/>
    <s v=""/>
  </r>
  <r>
    <x v="2013"/>
    <n v="97"/>
    <s v="n"/>
    <x v="101"/>
    <d v="1899-12-30T00:52:33"/>
    <n v="10.31"/>
    <d v="1899-12-30T00:05:06"/>
    <n v="141"/>
    <n v="72"/>
    <n v="233"/>
    <n v="20"/>
    <n v="1.0635218669021524"/>
    <s v="Adizero Boston 8"/>
    <s v=""/>
    <s v="-"/>
    <s v=""/>
    <n v="1.6524822695035462"/>
  </r>
  <r>
    <x v="2014"/>
    <n v="98"/>
    <s v="n"/>
    <x v="87"/>
    <d v="1899-12-30T00:35:50"/>
    <n v="6.24"/>
    <d v="1899-12-30T00:05:45"/>
    <n v="124"/>
    <n v="37"/>
    <n v="205"/>
    <n v="12"/>
    <n v="1.0542240719479528"/>
    <s v="HOKA Clifton 8"/>
    <n v="194.60000000000002"/>
    <s v="-"/>
    <n v="212.96"/>
    <n v="1.653225806451613"/>
  </r>
  <r>
    <x v="2015"/>
    <m/>
    <m/>
    <x v="1"/>
    <m/>
    <s v=""/>
    <s v=""/>
    <m/>
    <s v="0"/>
    <m/>
    <m/>
    <s v=""/>
    <m/>
    <s v=""/>
    <s v="-"/>
    <s v=""/>
    <s v=""/>
  </r>
  <r>
    <x v="2016"/>
    <n v="99"/>
    <s v="j"/>
    <x v="62"/>
    <d v="1899-12-30T01:32:58"/>
    <n v="15.21"/>
    <d v="1899-12-30T00:06:07"/>
    <n v="128"/>
    <n v="88"/>
    <n v="196"/>
    <n v="43"/>
    <n v="1.0728291481448775"/>
    <s v="Mizuno"/>
    <n v="194.60000000000002"/>
    <s v="-"/>
    <n v="212.96"/>
    <n v="1.53125"/>
  </r>
  <r>
    <x v="2017"/>
    <n v="100"/>
    <s v="n"/>
    <x v="88"/>
    <d v="1899-12-30T00:42:09"/>
    <n v="7.43"/>
    <d v="1899-12-30T00:05:40"/>
    <n v="122"/>
    <n v="45"/>
    <n v="209"/>
    <n v="17"/>
    <n v="1.0617725638295734"/>
    <s v="HOKA Rincon 3 II"/>
    <n v="194.60000000000002"/>
    <s v="-"/>
    <n v="212.96"/>
    <n v="1.7131147540983607"/>
  </r>
  <r>
    <x v="2018"/>
    <n v="101"/>
    <s v="n"/>
    <x v="87"/>
    <d v="1899-12-30T00:41:29"/>
    <n v="6.96"/>
    <d v="1899-12-30T00:05:58"/>
    <n v="120"/>
    <n v="39"/>
    <n v="196"/>
    <n v="15"/>
    <n v="1.0461571453079432"/>
    <s v="HOKA Clifton 8"/>
    <n v="194.60000000000002"/>
    <s v="-"/>
    <n v="212.96"/>
    <n v="1.6333333333333333"/>
  </r>
  <r>
    <x v="2019"/>
    <m/>
    <m/>
    <x v="1"/>
    <m/>
    <s v=""/>
    <s v=""/>
    <m/>
    <s v="0"/>
    <m/>
    <m/>
    <s v=""/>
    <m/>
    <s v=""/>
    <s v="-"/>
    <s v=""/>
    <s v=""/>
  </r>
  <r>
    <x v="2020"/>
    <n v="102"/>
    <s v="n"/>
    <x v="88"/>
    <d v="1899-12-30T00:44:00"/>
    <n v="8.06"/>
    <d v="1899-12-30T00:05:28"/>
    <n v="130"/>
    <n v="52"/>
    <n v="220"/>
    <n v="14"/>
    <n v="1.0755157216399394"/>
    <s v="HOKA Rincon 3 II"/>
    <n v="194.60000000000002"/>
    <s v="-"/>
    <n v="212.96"/>
    <n v="1.6923076923076923"/>
  </r>
  <r>
    <x v="2021"/>
    <n v="103"/>
    <s v="n"/>
    <x v="88"/>
    <d v="1899-12-30T00:38:39"/>
    <n v="6.61"/>
    <d v="1899-12-30T00:05:51"/>
    <n v="117"/>
    <n v="38"/>
    <n v="201"/>
    <n v="13"/>
    <n v="1.0524962178517399"/>
    <s v="HOKA Rincon 3"/>
    <n v="194.60000000000002"/>
    <s v="-"/>
    <n v="212.96"/>
    <n v="1.7179487179487178"/>
  </r>
  <r>
    <x v="2022"/>
    <m/>
    <m/>
    <x v="1"/>
    <m/>
    <s v=""/>
    <s v=""/>
    <m/>
    <s v="0"/>
    <m/>
    <m/>
    <s v=""/>
    <m/>
    <s v=""/>
    <s v="-"/>
    <s v=""/>
    <s v=""/>
  </r>
  <r>
    <x v="2023"/>
    <n v="104"/>
    <s v="j"/>
    <x v="62"/>
    <d v="1899-12-30T01:31:26"/>
    <n v="15.3"/>
    <d v="1899-12-30T00:05:59"/>
    <n v="128"/>
    <n v="91"/>
    <n v="200"/>
    <n v="54"/>
    <n v="1.0703346015022925"/>
    <s v="Mizuno"/>
    <n v="194.60000000000002"/>
    <s v="-"/>
    <n v="212.96"/>
    <n v="1.5625"/>
  </r>
  <r>
    <x v="2024"/>
    <n v="105"/>
    <s v="n"/>
    <x v="87"/>
    <d v="1899-12-30T00:39:03"/>
    <n v="6.55"/>
    <d v="1899-12-30T00:05:58"/>
    <n v="118"/>
    <n v="36"/>
    <n v="195"/>
    <n v="11"/>
    <n v="1.0410960464851315"/>
    <s v="HOKA Clifton 8"/>
    <n v="194.60000000000002"/>
    <s v="-"/>
    <n v="212.96"/>
    <n v="1.652542372881356"/>
  </r>
  <r>
    <x v="2025"/>
    <m/>
    <m/>
    <x v="1"/>
    <m/>
    <s v=""/>
    <s v=""/>
    <m/>
    <s v="0"/>
    <m/>
    <m/>
    <s v=""/>
    <m/>
    <s v=""/>
    <s v="-"/>
    <s v=""/>
    <s v=""/>
  </r>
  <r>
    <x v="2026"/>
    <m/>
    <m/>
    <x v="1"/>
    <m/>
    <s v=""/>
    <s v=""/>
    <m/>
    <s v="0"/>
    <m/>
    <m/>
    <s v=""/>
    <m/>
    <s v=""/>
    <s v="-"/>
    <s v=""/>
    <s v=""/>
  </r>
  <r>
    <x v="2027"/>
    <n v="106"/>
    <s v="j"/>
    <x v="103"/>
    <d v="1899-12-30T00:38:06"/>
    <n v="5.98"/>
    <d v="1899-12-30T00:06:22"/>
    <n v="116"/>
    <n v="34"/>
    <n v="186"/>
    <n v="17"/>
    <n v="1.0612389557230568"/>
    <s v="HOKA Rincon 3 II"/>
    <n v="194.60000000000002"/>
    <s v="-"/>
    <n v="212.96"/>
    <n v="1.603448275862069"/>
  </r>
  <r>
    <x v="2028"/>
    <n v="107"/>
    <s v="n"/>
    <x v="7"/>
    <d v="1899-12-30T00:45:10"/>
    <n v="8.59"/>
    <d v="1899-12-30T00:05:15"/>
    <n v="141"/>
    <n v="60"/>
    <n v="225"/>
    <n v="14"/>
    <n v="1.0594582384932152"/>
    <s v="HOKA Carbon X"/>
    <n v="279.53100000000006"/>
    <s v="-"/>
    <n v="306.15300000000002"/>
    <n v="1.5957446808510638"/>
  </r>
  <r>
    <x v="2029"/>
    <m/>
    <m/>
    <x v="1"/>
    <m/>
    <s v=""/>
    <s v=""/>
    <m/>
    <s v="0"/>
    <m/>
    <m/>
    <s v=""/>
    <m/>
    <s v=""/>
    <s v="-"/>
    <s v=""/>
    <s v=""/>
  </r>
  <r>
    <x v="2030"/>
    <n v="108"/>
    <s v="j"/>
    <x v="74"/>
    <d v="1899-12-30T01:22:45"/>
    <n v="13.99"/>
    <d v="1899-12-30T00:05:55"/>
    <n v="131"/>
    <n v="85"/>
    <n v="201"/>
    <n v="39"/>
    <n v="1.0646890636168693"/>
    <s v="HOKA Rincon 3 II"/>
    <n v="194.60000000000002"/>
    <s v="-"/>
    <n v="212.96"/>
    <n v="1.5343511450381679"/>
  </r>
  <r>
    <x v="2031"/>
    <n v="109"/>
    <s v="n"/>
    <x v="103"/>
    <d v="1899-12-30T00:38:54"/>
    <n v="6.72"/>
    <d v="1899-12-30T00:05:47"/>
    <n v="122"/>
    <n v="40"/>
    <n v="204"/>
    <n v="16"/>
    <n v="1.0575159914712151"/>
    <s v="HOKA Clifton 8"/>
    <n v="194.60000000000002"/>
    <s v="-"/>
    <n v="212.96"/>
    <n v="1.6721311475409837"/>
  </r>
  <r>
    <x v="2032"/>
    <m/>
    <m/>
    <x v="1"/>
    <m/>
    <s v=""/>
    <s v=""/>
    <m/>
    <s v="0"/>
    <m/>
    <m/>
    <s v=""/>
    <m/>
    <s v=""/>
    <s v="-"/>
    <s v=""/>
    <s v=""/>
  </r>
  <r>
    <x v="2033"/>
    <n v="110"/>
    <s v="n"/>
    <x v="94"/>
    <d v="1899-12-30T00:47:45"/>
    <n v="8.7799999999999994"/>
    <d v="1899-12-30T00:05:26"/>
    <n v="136"/>
    <n v="61"/>
    <n v="218"/>
    <n v="14"/>
    <n v="1.061724407574882"/>
    <s v="HOKA Carbon X"/>
    <n v="279.29999999999995"/>
    <s v="-"/>
    <n v="314.60000000000002"/>
    <n v="1.6029411764705883"/>
  </r>
  <r>
    <x v="2034"/>
    <n v="111"/>
    <s v="n"/>
    <x v="103"/>
    <d v="1899-12-30T00:41:20"/>
    <n v="7.06"/>
    <d v="1899-12-30T00:05:51"/>
    <n v="116"/>
    <n v="42"/>
    <n v="204"/>
    <n v="15"/>
    <n v="1.069553084436176"/>
    <s v="Adidas Solarglide 5"/>
    <n v="194.60000000000002"/>
    <s v="-"/>
    <n v="212.96"/>
    <n v="1.7586206896551724"/>
  </r>
  <r>
    <x v="2035"/>
    <n v="112"/>
    <s v="n"/>
    <x v="88"/>
    <d v="1899-12-30T00:44:12"/>
    <n v="7.66"/>
    <d v="1899-12-30T00:05:46"/>
    <n v="123"/>
    <n v="46"/>
    <n v="207"/>
    <n v="18"/>
    <n v="1.0696465453411792"/>
    <s v="HOKA Rincon 3 II"/>
    <n v="194.60000000000002"/>
    <s v="-"/>
    <n v="212.96"/>
    <n v="1.6829268292682926"/>
  </r>
  <r>
    <x v="2036"/>
    <m/>
    <m/>
    <x v="1"/>
    <m/>
    <s v=""/>
    <s v=""/>
    <m/>
    <s v="0"/>
    <m/>
    <m/>
    <s v=""/>
    <m/>
    <s v=""/>
    <s v="-"/>
    <s v=""/>
    <s v=""/>
  </r>
  <r>
    <x v="2037"/>
    <n v="113"/>
    <s v="j"/>
    <x v="76"/>
    <d v="1899-12-30T01:25:08"/>
    <n v="14.38"/>
    <d v="1899-12-30T00:05:55"/>
    <n v="131"/>
    <n v="85"/>
    <n v="202"/>
    <n v="42"/>
    <n v="1.0709484566043219"/>
    <s v="Mizuno"/>
    <n v="194.60000000000002"/>
    <s v="-"/>
    <n v="212.96"/>
    <n v="1.5419847328244274"/>
  </r>
  <r>
    <x v="2038"/>
    <n v="114"/>
    <s v="n"/>
    <x v="88"/>
    <d v="1899-12-30T00:46:18"/>
    <n v="8.02"/>
    <d v="1899-12-30T00:05:46"/>
    <n v="116"/>
    <n v="49"/>
    <n v="206"/>
    <n v="14"/>
    <n v="1.0650016749171847"/>
    <s v="HOKA Rincon 3 II"/>
    <n v="194.60000000000002"/>
    <s v="-"/>
    <n v="212.96"/>
    <n v="1.7758620689655173"/>
  </r>
  <r>
    <x v="2039"/>
    <m/>
    <m/>
    <x v="1"/>
    <m/>
    <s v=""/>
    <s v=""/>
    <m/>
    <s v="0"/>
    <m/>
    <m/>
    <s v=""/>
    <m/>
    <s v=""/>
    <s v="-"/>
    <s v=""/>
    <s v=""/>
  </r>
  <r>
    <x v="2040"/>
    <n v="115"/>
    <s v="n"/>
    <x v="94"/>
    <d v="1899-12-30T00:51:18"/>
    <n v="9.16"/>
    <d v="1899-12-30T00:05:36"/>
    <n v="135"/>
    <n v="65"/>
    <n v="210"/>
    <n v="15"/>
    <n v="1.0532164504985986"/>
    <s v="HOKA Carbon X"/>
    <n v="279.29999999999995"/>
    <s v="-"/>
    <n v="314.60000000000002"/>
    <n v="1.5555555555555556"/>
  </r>
  <r>
    <x v="2041"/>
    <n v="116"/>
    <s v="n"/>
    <x v="88"/>
    <d v="1899-12-30T00:44:06"/>
    <n v="7.24"/>
    <d v="1899-12-30T00:06:05"/>
    <n v="120"/>
    <n v="41"/>
    <n v="193"/>
    <n v="24"/>
    <n v="1.0527706770017318"/>
    <s v="HOKA Clifton 8"/>
    <n v="194.60000000000002"/>
    <s v="-"/>
    <n v="212.96"/>
    <n v="1.6083333333333334"/>
  </r>
  <r>
    <x v="2042"/>
    <n v="117"/>
    <s v="n"/>
    <x v="91"/>
    <d v="1899-12-30T00:58:59"/>
    <n v="11.12"/>
    <d v="1899-12-30T00:05:18"/>
    <n v="135"/>
    <n v="80"/>
    <n v="224"/>
    <n v="19"/>
    <n v="1.0640180392999035"/>
    <s v="HOKA Carbon X"/>
    <n v="230.89999999999998"/>
    <s v="-"/>
    <n v="254.10000000000002"/>
    <n v="1.6592592592592592"/>
  </r>
  <r>
    <x v="2043"/>
    <m/>
    <m/>
    <x v="1"/>
    <m/>
    <s v=""/>
    <s v=""/>
    <m/>
    <s v="0"/>
    <m/>
    <m/>
    <s v=""/>
    <m/>
    <s v=""/>
    <s v="-"/>
    <s v=""/>
    <s v=""/>
  </r>
  <r>
    <x v="2044"/>
    <n v="118"/>
    <s v="j"/>
    <x v="62"/>
    <d v="1899-12-30T01:33:19"/>
    <n v="15.83"/>
    <d v="1899-12-30T00:05:54"/>
    <n v="134"/>
    <n v="98"/>
    <n v="200"/>
    <n v="61"/>
    <n v="1.0558075070006885"/>
    <s v="Mizuno"/>
    <n v="194.60000000000002"/>
    <s v="-"/>
    <n v="212.96"/>
    <n v="1.4925373134328359"/>
  </r>
  <r>
    <x v="2045"/>
    <m/>
    <m/>
    <x v="1"/>
    <m/>
    <s v=""/>
    <s v=""/>
    <m/>
    <s v="0"/>
    <m/>
    <m/>
    <s v=""/>
    <m/>
    <s v=""/>
    <s v="-"/>
    <s v=""/>
    <s v=""/>
  </r>
  <r>
    <x v="2046"/>
    <n v="119"/>
    <s v="j"/>
    <x v="88"/>
    <d v="1899-12-30T00:47:09"/>
    <n v="7.67"/>
    <d v="1899-12-30T00:06:09"/>
    <n v="116"/>
    <n v="43"/>
    <n v="189"/>
    <n v="22"/>
    <n v="1.0404580746852439"/>
    <s v="HOKA Rincon 3 II"/>
    <n v="194.60000000000002"/>
    <s v="-"/>
    <n v="212.96"/>
    <n v="1.6293103448275863"/>
  </r>
  <r>
    <x v="2047"/>
    <m/>
    <m/>
    <x v="1"/>
    <m/>
    <s v=""/>
    <s v=""/>
    <m/>
    <s v="0"/>
    <m/>
    <m/>
    <s v=""/>
    <m/>
    <s v=""/>
    <s v="-"/>
    <s v=""/>
    <s v=""/>
  </r>
  <r>
    <x v="2048"/>
    <m/>
    <m/>
    <x v="1"/>
    <m/>
    <s v=""/>
    <s v=""/>
    <m/>
    <s v="0"/>
    <m/>
    <m/>
    <s v=""/>
    <m/>
    <s v=""/>
    <s v="-"/>
    <s v=""/>
    <s v=""/>
  </r>
  <r>
    <x v="2049"/>
    <n v="120"/>
    <s v="j"/>
    <x v="55"/>
    <d v="1899-12-30T00:55:40"/>
    <n v="8.8699999999999992"/>
    <d v="1899-12-30T00:06:17"/>
    <n v="120"/>
    <n v="50"/>
    <n v="188"/>
    <n v="17"/>
    <n v="1.0565885342173016"/>
    <s v="HOKA Clifton 8"/>
    <n v="194.60000000000002"/>
    <s v="-"/>
    <n v="212.96"/>
    <n v="1.5666666666666667"/>
  </r>
  <r>
    <x v="2050"/>
    <n v="121"/>
    <s v="j"/>
    <x v="88"/>
    <d v="1899-12-30T00:53:02"/>
    <n v="8.9"/>
    <d v="1899-12-30T00:05:58"/>
    <n v="124"/>
    <n v="55"/>
    <n v="202"/>
    <n v="24"/>
    <n v="1.077920509810498"/>
    <s v="HOKA Rincon 3 II"/>
    <n v="194.60000000000002"/>
    <s v="-"/>
    <n v="212.96"/>
    <n v="1.6290322580645162"/>
  </r>
  <r>
    <x v="2051"/>
    <n v="122"/>
    <s v="n"/>
    <x v="68"/>
    <d v="1899-12-30T02:00:21"/>
    <n v="17.2"/>
    <d v="1899-12-30T00:07:00"/>
    <n v="134"/>
    <n v="115"/>
    <n v="185"/>
    <n v="290"/>
    <m/>
    <s v="Innov-8 Trailfly"/>
    <s v=""/>
    <s v="-"/>
    <s v=""/>
    <m/>
  </r>
  <r>
    <x v="2052"/>
    <m/>
    <m/>
    <x v="1"/>
    <m/>
    <s v=""/>
    <s v=""/>
    <m/>
    <s v="0"/>
    <m/>
    <m/>
    <s v=""/>
    <m/>
    <s v=""/>
    <s v="-"/>
    <s v=""/>
    <s v=""/>
  </r>
  <r>
    <x v="2053"/>
    <n v="123"/>
    <s v="j"/>
    <x v="88"/>
    <d v="1899-12-30T00:55:17"/>
    <n v="8.8800000000000008"/>
    <d v="1899-12-30T00:06:14"/>
    <n v="123"/>
    <n v="49"/>
    <n v="190"/>
    <n v="15"/>
    <n v="1.0592812962215945"/>
    <s v="HOKA Clifton 8"/>
    <n v="194.60000000000002"/>
    <s v="-"/>
    <n v="212.96"/>
    <n v="1.5447154471544715"/>
  </r>
  <r>
    <x v="2054"/>
    <m/>
    <m/>
    <x v="1"/>
    <m/>
    <s v=""/>
    <s v=""/>
    <m/>
    <s v="0"/>
    <m/>
    <m/>
    <s v=""/>
    <m/>
    <s v=""/>
    <s v="-"/>
    <s v=""/>
    <s v=""/>
  </r>
  <r>
    <x v="2055"/>
    <n v="124"/>
    <s v="j"/>
    <x v="88"/>
    <d v="1899-12-30T00:51:03"/>
    <n v="8.39"/>
    <d v="1899-12-30T00:06:05"/>
    <n v="125"/>
    <n v="49"/>
    <n v="197"/>
    <n v="16"/>
    <n v="1.0734367495063417"/>
    <s v="Adidas Solarglide 5"/>
    <n v="194.60000000000002"/>
    <s v="-"/>
    <n v="212.96"/>
    <n v="1.5760000000000001"/>
  </r>
  <r>
    <x v="2056"/>
    <m/>
    <m/>
    <x v="1"/>
    <m/>
    <s v=""/>
    <s v=""/>
    <m/>
    <s v="0"/>
    <m/>
    <m/>
    <s v=""/>
    <m/>
    <s v=""/>
    <s v="-"/>
    <s v=""/>
    <s v=""/>
  </r>
  <r>
    <x v="2057"/>
    <m/>
    <m/>
    <x v="1"/>
    <m/>
    <s v=""/>
    <s v=""/>
    <m/>
    <s v="0"/>
    <m/>
    <m/>
    <s v=""/>
    <m/>
    <s v=""/>
    <s v="-"/>
    <s v=""/>
    <s v=""/>
  </r>
  <r>
    <x v="2058"/>
    <n v="125"/>
    <s v="j"/>
    <x v="55"/>
    <d v="1899-12-30T01:13:57"/>
    <n v="11.86"/>
    <d v="1899-12-30T00:06:14"/>
    <n v="123"/>
    <n v="68"/>
    <n v="193"/>
    <n v="33"/>
    <n v="1.077673604993582"/>
    <s v="Mizuno"/>
    <n v="194.60000000000002"/>
    <s v="-"/>
    <n v="212.96"/>
    <n v="1.5691056910569106"/>
  </r>
  <r>
    <x v="2059"/>
    <m/>
    <m/>
    <x v="1"/>
    <m/>
    <s v=""/>
    <s v=""/>
    <m/>
    <s v="0"/>
    <m/>
    <m/>
    <s v=""/>
    <m/>
    <s v=""/>
    <s v="-"/>
    <s v=""/>
    <s v=""/>
  </r>
  <r>
    <x v="2060"/>
    <n v="126"/>
    <s v="j"/>
    <x v="88"/>
    <d v="1899-12-30T00:42:36"/>
    <n v="7.21"/>
    <d v="1899-12-30T00:05:55"/>
    <n v="128"/>
    <n v="42"/>
    <n v="199"/>
    <n v="18"/>
    <n v="1.0529405676195995"/>
    <s v="HOKA Clifton 8"/>
    <n v="194.60000000000002"/>
    <s v="-"/>
    <n v="212.96"/>
    <n v="1.5546875"/>
  </r>
  <r>
    <x v="2061"/>
    <m/>
    <m/>
    <x v="1"/>
    <m/>
    <s v=""/>
    <s v=""/>
    <m/>
    <s v="0"/>
    <m/>
    <m/>
    <s v=""/>
    <m/>
    <s v=""/>
    <s v="-"/>
    <s v=""/>
    <s v=""/>
  </r>
  <r>
    <x v="2062"/>
    <n v="127"/>
    <s v="n"/>
    <x v="84"/>
    <d v="1899-12-30T00:44:55"/>
    <n v="7.93"/>
    <d v="1899-12-30T00:05:40"/>
    <n v="143"/>
    <n v="59"/>
    <n v="207"/>
    <n v="21"/>
    <n v="1.0499802375261145"/>
    <s v="HOKA Carbon X"/>
    <n v="255.10000000000002"/>
    <s v="-"/>
    <n v="278.29999999999995"/>
    <n v="1.4475524475524475"/>
  </r>
  <r>
    <x v="2063"/>
    <n v="128"/>
    <s v="j"/>
    <x v="88"/>
    <d v="1899-12-30T00:52:28"/>
    <n v="8.56"/>
    <d v="1899-12-30T00:06:08"/>
    <n v="121"/>
    <n v="50"/>
    <n v="193"/>
    <n v="21"/>
    <n v="1.059359743339378"/>
    <s v="HOKA Rincon 3 II"/>
    <n v="194.60000000000002"/>
    <s v="-"/>
    <n v="212.96"/>
    <n v="1.5950413223140496"/>
  </r>
  <r>
    <x v="2064"/>
    <m/>
    <m/>
    <x v="1"/>
    <m/>
    <s v=""/>
    <s v=""/>
    <m/>
    <s v="0"/>
    <m/>
    <m/>
    <s v=""/>
    <m/>
    <s v=""/>
    <s v="-"/>
    <s v=""/>
    <s v=""/>
  </r>
  <r>
    <x v="2065"/>
    <n v="129"/>
    <s v="j"/>
    <x v="74"/>
    <d v="1899-12-30T01:21:39"/>
    <n v="13.52"/>
    <d v="1899-12-30T00:06:02"/>
    <n v="130"/>
    <n v="80"/>
    <n v="199"/>
    <n v="43"/>
    <n v="1.0762397332862317"/>
    <s v="Mizuno"/>
    <n v="194.60000000000002"/>
    <s v="-"/>
    <n v="212.96"/>
    <n v="1.5307692307692307"/>
  </r>
  <r>
    <x v="2066"/>
    <m/>
    <m/>
    <x v="1"/>
    <m/>
    <s v=""/>
    <s v=""/>
    <m/>
    <s v="0"/>
    <m/>
    <m/>
    <s v=""/>
    <m/>
    <s v=""/>
    <s v="-"/>
    <s v=""/>
    <s v=""/>
  </r>
  <r>
    <x v="2067"/>
    <n v="130"/>
    <s v="n"/>
    <x v="88"/>
    <d v="1899-12-30T00:49:31"/>
    <n v="8.1999999999999993"/>
    <d v="1899-12-30T00:06:02"/>
    <n v="132"/>
    <n v="48"/>
    <n v="196"/>
    <n v="16"/>
    <n v="1.0599126319621406"/>
    <s v="HOKA Rincon 3 II"/>
    <n v="194.60000000000002"/>
    <s v="-"/>
    <n v="212.96"/>
    <n v="1.4848484848484849"/>
  </r>
  <r>
    <x v="2068"/>
    <m/>
    <m/>
    <x v="1"/>
    <m/>
    <s v=""/>
    <s v=""/>
    <m/>
    <s v="0"/>
    <m/>
    <m/>
    <s v=""/>
    <m/>
    <s v=""/>
    <s v="-"/>
    <s v=""/>
    <s v=""/>
  </r>
  <r>
    <x v="2069"/>
    <n v="131"/>
    <s v="n"/>
    <x v="77"/>
    <d v="1899-12-30T01:03:50"/>
    <n v="11.75"/>
    <d v="1899-12-30T00:05:26"/>
    <n v="143"/>
    <n v="82"/>
    <n v="216"/>
    <n v="20"/>
    <n v="1.050847888218482"/>
    <s v="HOKA Carbon X"/>
    <n v="230.89999999999998"/>
    <s v="-"/>
    <n v="254.10000000000002"/>
    <n v="1.5104895104895104"/>
  </r>
  <r>
    <x v="2070"/>
    <n v="132"/>
    <s v="n"/>
    <x v="88"/>
    <d v="1899-12-30T00:40:00"/>
    <n v="6.8"/>
    <d v="1899-12-30T00:05:53"/>
    <n v="135"/>
    <n v="39"/>
    <n v="199"/>
    <n v="18"/>
    <n v="1.0482879719051801"/>
    <s v="HOKA Clifton 8"/>
    <n v="194.60000000000002"/>
    <s v="-"/>
    <n v="212.96"/>
    <n v="1.4740740740740741"/>
  </r>
  <r>
    <x v="2071"/>
    <m/>
    <m/>
    <x v="1"/>
    <m/>
    <s v=""/>
    <s v=""/>
    <m/>
    <s v="0"/>
    <m/>
    <m/>
    <s v=""/>
    <m/>
    <s v=""/>
    <s v="-"/>
    <s v=""/>
    <s v=""/>
  </r>
  <r>
    <x v="2072"/>
    <n v="133"/>
    <s v="j"/>
    <x v="76"/>
    <d v="1899-12-30T01:25:35"/>
    <n v="14.43"/>
    <d v="1899-12-30T00:05:56"/>
    <n v="132"/>
    <n v="87"/>
    <n v="203"/>
    <n v="43"/>
    <n v="1.0781901304289363"/>
    <s v="Mizuno"/>
    <n v="194.60000000000002"/>
    <s v="-"/>
    <n v="212.96"/>
    <n v="1.5378787878787878"/>
  </r>
  <r>
    <x v="2073"/>
    <n v="134"/>
    <s v="n"/>
    <x v="88"/>
    <d v="1899-12-30T00:47:31"/>
    <n v="8.1999999999999993"/>
    <d v="1899-12-30T00:05:48"/>
    <n v="119"/>
    <n v="49"/>
    <n v="204"/>
    <n v="15"/>
    <n v="1.0586166727338915"/>
    <s v="HOKA Rincon 3 II"/>
    <n v="194.60000000000002"/>
    <s v="-"/>
    <n v="212.96"/>
    <n v="1.7142857142857142"/>
  </r>
  <r>
    <x v="2074"/>
    <n v="135"/>
    <s v="n"/>
    <x v="96"/>
    <d v="1899-12-30T01:03:36"/>
    <n v="11.55"/>
    <d v="1899-12-30T00:05:30"/>
    <n v="138"/>
    <n v="85"/>
    <n v="215"/>
    <n v="20"/>
    <n v="1.0602054661756155"/>
    <s v="Adizero Boston 8"/>
    <n v="255.10000000000002"/>
    <s v="-"/>
    <n v="278.29999999999995"/>
    <n v="1.5579710144927537"/>
  </r>
  <r>
    <x v="2075"/>
    <n v="136"/>
    <s v="n"/>
    <x v="103"/>
    <d v="1899-12-30T00:49:48"/>
    <n v="8.4600000000000009"/>
    <d v="1899-12-30T00:05:53"/>
    <n v="123"/>
    <n v="49"/>
    <n v="199"/>
    <n v="15"/>
    <n v="1.0490314385519213"/>
    <s v="HOKA Clifton 8"/>
    <n v="194.60000000000002"/>
    <s v="-"/>
    <n v="212.96"/>
    <n v="1.6178861788617886"/>
  </r>
  <r>
    <x v="2076"/>
    <m/>
    <m/>
    <x v="1"/>
    <m/>
    <s v=""/>
    <s v=""/>
    <m/>
    <s v="0"/>
    <m/>
    <m/>
    <s v=""/>
    <m/>
    <s v=""/>
    <s v="-"/>
    <s v=""/>
    <s v=""/>
  </r>
  <r>
    <x v="2077"/>
    <n v="137"/>
    <s v="n"/>
    <x v="77"/>
    <d v="1899-12-30T00:44:40"/>
    <n v="8.25"/>
    <d v="1899-12-30T00:05:25"/>
    <n v="137"/>
    <n v="59"/>
    <n v="220"/>
    <n v="15"/>
    <n v="1.0666666666666667"/>
    <s v="HOKA Carbon X"/>
    <n v="230.89999999999998"/>
    <s v="-"/>
    <n v="254.10000000000002"/>
    <n v="1.6058394160583942"/>
  </r>
  <r>
    <x v="2078"/>
    <n v="138"/>
    <s v="j"/>
    <x v="55"/>
    <d v="1899-12-30T01:21:32"/>
    <n v="13.78"/>
    <d v="1899-12-30T00:05:55"/>
    <n v="133"/>
    <n v="83"/>
    <n v="202"/>
    <n v="35"/>
    <n v="1.0703203864566864"/>
    <s v="Mizuno"/>
    <n v="194.60000000000002"/>
    <s v="-"/>
    <n v="212.96"/>
    <n v="1.518796992481203"/>
  </r>
  <r>
    <x v="2079"/>
    <m/>
    <m/>
    <x v="1"/>
    <m/>
    <s v=""/>
    <s v=""/>
    <m/>
    <s v="0"/>
    <m/>
    <m/>
    <s v=""/>
    <m/>
    <s v=""/>
    <s v="-"/>
    <s v=""/>
    <s v=""/>
  </r>
  <r>
    <x v="2080"/>
    <n v="139"/>
    <s v="j"/>
    <x v="55"/>
    <d v="1899-12-30T01:01:12"/>
    <n v="10.15"/>
    <d v="1899-12-30T00:06:02"/>
    <n v="129"/>
    <n v="60"/>
    <n v="198"/>
    <n v="31"/>
    <n v="1.0691213881332258"/>
    <s v="HOKA Rincon 3 II"/>
    <n v="194.60000000000002"/>
    <s v="-"/>
    <n v="212.96"/>
    <n v="1.5348837209302326"/>
  </r>
  <r>
    <x v="2081"/>
    <m/>
    <m/>
    <x v="1"/>
    <m/>
    <s v=""/>
    <s v=""/>
    <m/>
    <s v="0"/>
    <m/>
    <m/>
    <s v=""/>
    <m/>
    <s v=""/>
    <s v="-"/>
    <s v=""/>
    <s v=""/>
  </r>
  <r>
    <x v="2082"/>
    <n v="140"/>
    <s v="j"/>
    <x v="55"/>
    <d v="1899-12-30T00:54:34"/>
    <n v="9.3000000000000007"/>
    <d v="1899-12-30T00:05:52"/>
    <n v="133"/>
    <n v="57"/>
    <n v="205"/>
    <n v="20"/>
    <n v="1.0771465254373298"/>
    <s v="HOKA Rincon 3 II"/>
    <n v="194.60000000000002"/>
    <s v="-"/>
    <n v="212.96"/>
    <n v="1.5413533834586466"/>
  </r>
  <r>
    <x v="2083"/>
    <m/>
    <m/>
    <x v="1"/>
    <m/>
    <s v=""/>
    <s v=""/>
    <m/>
    <s v="0"/>
    <m/>
    <m/>
    <s v=""/>
    <m/>
    <s v=""/>
    <s v="-"/>
    <s v=""/>
    <s v=""/>
  </r>
  <r>
    <x v="2084"/>
    <m/>
    <m/>
    <x v="1"/>
    <m/>
    <s v=""/>
    <s v=""/>
    <m/>
    <s v="0"/>
    <m/>
    <m/>
    <s v=""/>
    <m/>
    <s v=""/>
    <s v="-"/>
    <s v=""/>
    <s v=""/>
  </r>
  <r>
    <x v="2085"/>
    <m/>
    <m/>
    <x v="1"/>
    <m/>
    <s v=""/>
    <s v=""/>
    <m/>
    <s v="0"/>
    <m/>
    <m/>
    <s v=""/>
    <m/>
    <s v=""/>
    <s v="-"/>
    <s v=""/>
    <s v=""/>
  </r>
  <r>
    <x v="2086"/>
    <n v="141"/>
    <s v="j"/>
    <x v="62"/>
    <d v="1899-12-30T01:43:59"/>
    <n v="17.36"/>
    <d v="1899-12-30T00:05:59"/>
    <n v="135"/>
    <n v="103"/>
    <n v="199"/>
    <n v="44"/>
    <n v="1.0674401609464201"/>
    <s v="Mizuno"/>
    <n v="194.60000000000002"/>
    <s v="-"/>
    <n v="212.96"/>
    <n v="1.4740740740740741"/>
  </r>
  <r>
    <x v="2087"/>
    <n v="142"/>
    <s v="n"/>
    <x v="88"/>
    <d v="1899-12-30T00:53:12"/>
    <n v="8.7100000000000009"/>
    <d v="1899-12-30T00:06:06"/>
    <n v="124"/>
    <n v="49"/>
    <n v="193"/>
    <n v="18"/>
    <n v="1.0556677005329267"/>
    <s v="HOKA Clifton 8"/>
    <n v="194.60000000000002"/>
    <s v="-"/>
    <n v="212.96"/>
    <n v="1.5564516129032258"/>
  </r>
  <r>
    <x v="2088"/>
    <m/>
    <m/>
    <x v="1"/>
    <m/>
    <s v=""/>
    <s v=""/>
    <m/>
    <s v="0"/>
    <m/>
    <m/>
    <s v=""/>
    <m/>
    <s v=""/>
    <s v="-"/>
    <s v=""/>
    <s v=""/>
  </r>
  <r>
    <x v="2089"/>
    <n v="143"/>
    <s v="n"/>
    <x v="96"/>
    <d v="1899-12-30T01:01:42"/>
    <n v="11.106999999999999"/>
    <d v="1899-12-30T00:05:33"/>
    <n v="140"/>
    <n v="82"/>
    <n v="212"/>
    <n v="20"/>
    <n v="1.0546314076506815"/>
    <s v="HOKA Carbon X"/>
    <n v="255.10000000000002"/>
    <s v="-"/>
    <n v="278.29999999999995"/>
    <n v="1.5142857142857142"/>
  </r>
  <r>
    <x v="2090"/>
    <n v="144"/>
    <s v="n"/>
    <x v="88"/>
    <d v="1899-12-30T00:47:30"/>
    <n v="8.4600000000000009"/>
    <d v="1899-12-30T00:05:37"/>
    <n v="127"/>
    <n v="54"/>
    <n v="212"/>
    <n v="22"/>
    <n v="1.0659468614374932"/>
    <s v="HOKA Rincon 3 II"/>
    <n v="194.60000000000002"/>
    <s v="-"/>
    <n v="212.96"/>
    <n v="1.6692913385826771"/>
  </r>
  <r>
    <x v="2091"/>
    <m/>
    <m/>
    <x v="1"/>
    <m/>
    <s v=""/>
    <s v=""/>
    <m/>
    <s v="0"/>
    <m/>
    <m/>
    <s v=""/>
    <m/>
    <s v=""/>
    <s v="-"/>
    <s v=""/>
    <s v=""/>
  </r>
  <r>
    <x v="2092"/>
    <m/>
    <m/>
    <x v="1"/>
    <m/>
    <s v=""/>
    <s v=""/>
    <m/>
    <s v="0"/>
    <m/>
    <m/>
    <s v=""/>
    <m/>
    <s v=""/>
    <s v="-"/>
    <s v=""/>
    <s v=""/>
  </r>
  <r>
    <x v="2093"/>
    <n v="145"/>
    <s v="n"/>
    <x v="68"/>
    <d v="1899-12-30T02:10:14"/>
    <n v="15.81"/>
    <d v="1899-12-30T00:08:14"/>
    <n v="137"/>
    <n v="114"/>
    <n v="169"/>
    <n v="663"/>
    <m/>
    <s v="Innov-8 Trailfly"/>
    <s v=""/>
    <s v="-"/>
    <s v=""/>
    <m/>
  </r>
  <r>
    <x v="2094"/>
    <n v="146"/>
    <s v="n"/>
    <x v="88"/>
    <d v="1899-12-30T00:36:23"/>
    <n v="5.84"/>
    <d v="1899-12-30T00:06:14"/>
    <n v="118"/>
    <n v="32"/>
    <n v="188"/>
    <n v="14"/>
    <n v="1.0488754855857698"/>
    <s v="HOKA Clifton 8"/>
    <n v="194.60000000000002"/>
    <s v="-"/>
    <n v="212.96"/>
    <n v="1.5932203389830508"/>
  </r>
  <r>
    <x v="2095"/>
    <m/>
    <m/>
    <x v="1"/>
    <m/>
    <s v=""/>
    <s v=""/>
    <m/>
    <s v="0"/>
    <m/>
    <m/>
    <s v=""/>
    <m/>
    <s v=""/>
    <s v="-"/>
    <s v=""/>
    <s v=""/>
  </r>
  <r>
    <x v="2096"/>
    <n v="147"/>
    <s v="n"/>
    <x v="88"/>
    <d v="1899-12-30T00:41:38"/>
    <n v="6.84"/>
    <d v="1899-12-30T00:06:05"/>
    <n v="122"/>
    <n v="39"/>
    <n v="194"/>
    <n v="19"/>
    <n v="1.0574583224229728"/>
    <s v="HOKA Rincon 3 II"/>
    <n v="194.60000000000002"/>
    <s v="-"/>
    <n v="212.96"/>
    <n v="1.5901639344262295"/>
  </r>
  <r>
    <x v="2097"/>
    <m/>
    <m/>
    <x v="1"/>
    <m/>
    <s v=""/>
    <s v=""/>
    <m/>
    <s v="0"/>
    <m/>
    <m/>
    <s v=""/>
    <m/>
    <s v=""/>
    <s v="-"/>
    <s v=""/>
    <s v=""/>
  </r>
  <r>
    <x v="2098"/>
    <n v="148"/>
    <s v="j"/>
    <x v="102"/>
    <d v="1899-12-30T00:28:22"/>
    <n v="4.22"/>
    <d v="1899-12-30T00:06:43"/>
    <n v="128"/>
    <n v="23"/>
    <n v="178"/>
    <n v="9"/>
    <n v="1.0715003183136449"/>
    <s v="HOKA Rincon 3 II"/>
    <n v="194.60000000000002"/>
    <s v="-"/>
    <n v="212.96"/>
    <n v="1.390625"/>
  </r>
  <r>
    <x v="2099"/>
    <m/>
    <m/>
    <x v="1"/>
    <m/>
    <s v=""/>
    <s v=""/>
    <m/>
    <s v="0"/>
    <m/>
    <m/>
    <s v=""/>
    <m/>
    <s v=""/>
    <s v="-"/>
    <s v=""/>
    <s v=""/>
  </r>
  <r>
    <x v="2100"/>
    <m/>
    <m/>
    <x v="1"/>
    <m/>
    <s v=""/>
    <s v=""/>
    <m/>
    <s v="0"/>
    <m/>
    <m/>
    <s v=""/>
    <m/>
    <s v=""/>
    <s v="-"/>
    <s v=""/>
    <s v=""/>
  </r>
  <r>
    <x v="2101"/>
    <n v="149"/>
    <s v="j"/>
    <x v="55"/>
    <d v="1899-12-30T01:04:15"/>
    <n v="10.81"/>
    <d v="1899-12-30T00:05:57"/>
    <n v="133"/>
    <n v="66"/>
    <n v="202"/>
    <n v="35"/>
    <n v="1.0751653388929543"/>
    <s v="HOKA Rincon 3 II"/>
    <n v="194.60000000000002"/>
    <s v="-"/>
    <n v="212.96"/>
    <n v="1.518796992481203"/>
  </r>
  <r>
    <x v="2102"/>
    <n v="150"/>
    <s v="j"/>
    <x v="55"/>
    <d v="1899-12-30T00:59:33"/>
    <n v="10.119999999999999"/>
    <d v="1899-12-30T00:05:53"/>
    <n v="126"/>
    <n v="61"/>
    <n v="203"/>
    <n v="28"/>
    <n v="1.0697289245472246"/>
    <s v="HOKA Rincon 3 II"/>
    <n v="194.60000000000002"/>
    <s v="-"/>
    <n v="212.96"/>
    <n v="1.6111111111111112"/>
  </r>
  <r>
    <x v="2103"/>
    <m/>
    <m/>
    <x v="1"/>
    <m/>
    <s v=""/>
    <s v=""/>
    <m/>
    <s v="0"/>
    <m/>
    <m/>
    <s v=""/>
    <m/>
    <s v=""/>
    <s v="-"/>
    <s v=""/>
    <s v=""/>
  </r>
  <r>
    <x v="2104"/>
    <n v="151"/>
    <s v="j"/>
    <x v="103"/>
    <d v="1899-12-30T00:48:18"/>
    <n v="8.23"/>
    <d v="1899-12-30T00:05:52"/>
    <n v="124"/>
    <n v="48"/>
    <n v="202"/>
    <n v="20"/>
    <n v="1.0616347182677137"/>
    <s v="HOKA Clifton 8"/>
    <n v="194.60000000000002"/>
    <s v="-"/>
    <n v="212.96"/>
    <n v="1.6290322580645162"/>
  </r>
  <r>
    <x v="2105"/>
    <m/>
    <m/>
    <x v="1"/>
    <m/>
    <s v=""/>
    <s v=""/>
    <m/>
    <s v="0"/>
    <m/>
    <m/>
    <s v=""/>
    <m/>
    <s v=""/>
    <s v="-"/>
    <s v=""/>
    <s v=""/>
  </r>
  <r>
    <x v="2106"/>
    <n v="152"/>
    <s v="n"/>
    <x v="104"/>
    <d v="1899-12-30T00:21:29"/>
    <n v="5"/>
    <d v="1899-12-30T00:04:18"/>
    <n v="167"/>
    <n v="40"/>
    <n v="277"/>
    <n v="13"/>
    <n v="1.0658298507462685"/>
    <s v="HOKA Carbon X"/>
    <n v="260"/>
    <s v="-"/>
    <n v="270"/>
    <n v="1.658682634730539"/>
  </r>
  <r>
    <x v="2107"/>
    <m/>
    <m/>
    <x v="1"/>
    <m/>
    <s v=""/>
    <s v=""/>
    <m/>
    <s v="0"/>
    <m/>
    <m/>
    <s v=""/>
    <m/>
    <s v=""/>
    <s v="-"/>
    <s v=""/>
    <s v=""/>
  </r>
  <r>
    <x v="2108"/>
    <n v="153"/>
    <s v="n"/>
    <x v="103"/>
    <d v="1899-12-30T00:42:47"/>
    <n v="7.31"/>
    <d v="1899-12-30T00:05:51"/>
    <n v="120"/>
    <n v="39"/>
    <n v="202"/>
    <n v="18"/>
    <n v="1.0587296077750783"/>
    <s v="HOKA Clifton 8"/>
    <n v="194.60000000000002"/>
    <s v="-"/>
    <n v="212.96"/>
    <n v="1.6833333333333333"/>
  </r>
  <r>
    <x v="2109"/>
    <n v="154"/>
    <s v="n"/>
    <x v="88"/>
    <d v="1899-12-30T00:48:41"/>
    <n v="8.57"/>
    <d v="1899-12-30T00:05:41"/>
    <n v="127"/>
    <n v="49"/>
    <n v="209"/>
    <n v="20"/>
    <n v="1.0632177502220519"/>
    <s v="HOKA Rincon 3 II"/>
    <n v="194.60000000000002"/>
    <s v="-"/>
    <n v="212.96"/>
    <n v="1.6456692913385826"/>
  </r>
  <r>
    <x v="2110"/>
    <n v="155"/>
    <s v="n"/>
    <x v="79"/>
    <d v="1899-12-30T01:12:36"/>
    <n v="13.22"/>
    <d v="1899-12-30T00:05:30"/>
    <n v="143"/>
    <n v="90"/>
    <n v="215"/>
    <n v="17"/>
    <n v="1.0573531736175401"/>
    <s v="HOKA Carbon X"/>
    <n v="255.10000000000002"/>
    <s v="-"/>
    <n v="278.29999999999995"/>
    <n v="1.5034965034965035"/>
  </r>
  <r>
    <x v="2111"/>
    <n v="156"/>
    <s v="n"/>
    <x v="103"/>
    <d v="1899-12-30T00:46:32"/>
    <n v="7.46"/>
    <d v="1899-12-30T00:06:14"/>
    <n v="135"/>
    <n v="39"/>
    <n v="189"/>
    <n v="19"/>
    <n v="1.0557560721859871"/>
    <s v="HOKA Clifton 8"/>
    <n v="194.60000000000002"/>
    <s v="-"/>
    <n v="212.96"/>
    <n v="1.4"/>
  </r>
  <r>
    <x v="2112"/>
    <n v="157"/>
    <s v="n"/>
    <x v="88"/>
    <d v="1899-12-30T00:48:37"/>
    <n v="8.18"/>
    <d v="1899-12-30T00:05:57"/>
    <n v="122"/>
    <n v="45"/>
    <n v="200"/>
    <n v="18"/>
    <n v="1.0644819910228809"/>
    <s v="HOKA Rincon 3 II"/>
    <n v="194.60000000000002"/>
    <s v="-"/>
    <n v="212.96"/>
    <n v="1.639344262295082"/>
  </r>
  <r>
    <x v="2113"/>
    <n v="158"/>
    <s v="j"/>
    <x v="80"/>
    <d v="1899-12-30T01:39:12"/>
    <n v="17.329999999999998"/>
    <d v="1899-12-30T00:05:43"/>
    <n v="132"/>
    <n v="98"/>
    <n v="208"/>
    <n v="60"/>
    <n v="1.066234895918561"/>
    <s v="Mizuno"/>
    <n v="194.60000000000002"/>
    <s v="-"/>
    <n v="212.96"/>
    <n v="1.5757575757575757"/>
  </r>
  <r>
    <x v="2114"/>
    <m/>
    <m/>
    <x v="1"/>
    <m/>
    <s v=""/>
    <s v=""/>
    <m/>
    <s v="0"/>
    <m/>
    <m/>
    <s v=""/>
    <m/>
    <s v=""/>
    <s v="-"/>
    <s v=""/>
    <s v=""/>
  </r>
  <r>
    <x v="2115"/>
    <n v="159"/>
    <s v="n"/>
    <x v="88"/>
    <d v="1899-12-30T00:47:08"/>
    <n v="8.07"/>
    <d v="1899-12-30T00:05:50"/>
    <n v="120"/>
    <n v="45"/>
    <n v="205"/>
    <n v="18"/>
    <n v="1.072222530470325"/>
    <s v="HOKA Rincon 3 II"/>
    <n v="194.60000000000002"/>
    <s v="-"/>
    <n v="212.96"/>
    <n v="1.7083333333333333"/>
  </r>
  <r>
    <x v="2116"/>
    <m/>
    <m/>
    <x v="1"/>
    <m/>
    <s v=""/>
    <s v=""/>
    <m/>
    <s v="0"/>
    <m/>
    <m/>
    <s v=""/>
    <m/>
    <s v=""/>
    <s v="-"/>
    <s v=""/>
    <s v=""/>
  </r>
  <r>
    <x v="2117"/>
    <n v="160"/>
    <s v="n"/>
    <x v="105"/>
    <d v="1899-12-30T01:08:36"/>
    <n v="13.55"/>
    <d v="1899-12-30T00:05:04"/>
    <n v="148"/>
    <n v="93"/>
    <n v="234"/>
    <n v="40"/>
    <n v="1.0609065374235831"/>
    <s v="Adizero Boston 8"/>
    <n v="255.10000000000002"/>
    <s v="-"/>
    <n v="278.29999999999995"/>
    <n v="1.5810810810810811"/>
  </r>
  <r>
    <x v="2118"/>
    <n v="161"/>
    <s v="n"/>
    <x v="103"/>
    <d v="1899-12-30T00:39:46"/>
    <n v="6.84"/>
    <d v="1899-12-30T00:05:49"/>
    <n v="127"/>
    <n v="36"/>
    <n v="201"/>
    <n v="21"/>
    <n v="1.0464912280701755"/>
    <s v="HOKA Clifton 8"/>
    <n v="194.60000000000002"/>
    <s v="-"/>
    <n v="212.96"/>
    <n v="1.5826771653543308"/>
  </r>
  <r>
    <x v="2119"/>
    <n v="162"/>
    <s v="n"/>
    <x v="88"/>
    <d v="1899-12-30T00:47:22"/>
    <n v="8.35"/>
    <d v="1899-12-30T00:05:40"/>
    <n v="128"/>
    <n v="47"/>
    <n v="210"/>
    <n v="18"/>
    <n v="1.0667977477880064"/>
    <s v="HOKA Rincon 3 II"/>
    <n v="194.60000000000002"/>
    <s v="-"/>
    <n v="212.96"/>
    <n v="1.640625"/>
  </r>
  <r>
    <x v="2120"/>
    <m/>
    <m/>
    <x v="1"/>
    <m/>
    <s v=""/>
    <s v=""/>
    <m/>
    <s v="0"/>
    <m/>
    <m/>
    <s v=""/>
    <m/>
    <s v=""/>
    <s v="-"/>
    <s v=""/>
    <s v=""/>
  </r>
  <r>
    <x v="2121"/>
    <n v="163"/>
    <s v="j"/>
    <x v="63"/>
    <d v="1899-12-30T01:53:33"/>
    <n v="19.54"/>
    <d v="1899-12-30T00:05:49"/>
    <n v="131"/>
    <n v="110"/>
    <n v="205"/>
    <n v="78"/>
    <n v="1.0668242716815106"/>
    <s v="Mizuno"/>
    <n v="194.60000000000002"/>
    <s v="-"/>
    <n v="212.96"/>
    <n v="1.5648854961832062"/>
  </r>
  <r>
    <x v="2122"/>
    <n v="164"/>
    <s v="j"/>
    <x v="103"/>
    <d v="1899-12-30T00:38:58"/>
    <n v="6.31"/>
    <d v="1899-12-30T00:06:11"/>
    <n v="117"/>
    <n v="32"/>
    <n v="191"/>
    <n v="11"/>
    <n v="1.0562670009697948"/>
    <s v="HOKA Clifton 8"/>
    <n v="194.60000000000002"/>
    <s v="-"/>
    <n v="212.96"/>
    <n v="1.6324786324786325"/>
  </r>
  <r>
    <x v="2123"/>
    <m/>
    <m/>
    <x v="1"/>
    <m/>
    <s v=""/>
    <s v=""/>
    <m/>
    <s v="0"/>
    <m/>
    <m/>
    <s v=""/>
    <m/>
    <s v=""/>
    <s v="-"/>
    <s v=""/>
    <s v=""/>
  </r>
  <r>
    <x v="2124"/>
    <n v="165"/>
    <s v="n"/>
    <x v="78"/>
    <d v="1899-12-30T01:02:48"/>
    <n v="12.01"/>
    <d v="1899-12-30T00:05:14"/>
    <n v="143"/>
    <n v="80"/>
    <n v="229"/>
    <n v="35"/>
    <n v="1.0723302720369841"/>
    <s v="Adizero Boston 8"/>
    <n v="230.89999999999998"/>
    <s v="-"/>
    <n v="254.10000000000002"/>
    <n v="1.6013986013986015"/>
  </r>
  <r>
    <x v="2125"/>
    <m/>
    <m/>
    <x v="1"/>
    <m/>
    <s v=""/>
    <s v=""/>
    <m/>
    <s v="0"/>
    <m/>
    <m/>
    <s v=""/>
    <m/>
    <s v=""/>
    <s v="-"/>
    <s v=""/>
    <s v=""/>
  </r>
  <r>
    <x v="2126"/>
    <m/>
    <m/>
    <x v="1"/>
    <m/>
    <s v=""/>
    <s v=""/>
    <m/>
    <s v="0"/>
    <m/>
    <m/>
    <s v=""/>
    <m/>
    <s v=""/>
    <s v="-"/>
    <s v=""/>
    <s v=""/>
  </r>
  <r>
    <x v="2127"/>
    <m/>
    <m/>
    <x v="1"/>
    <m/>
    <s v=""/>
    <s v=""/>
    <m/>
    <s v="0"/>
    <m/>
    <m/>
    <s v=""/>
    <m/>
    <s v=""/>
    <s v="-"/>
    <s v=""/>
    <s v=""/>
  </r>
  <r>
    <x v="2128"/>
    <m/>
    <m/>
    <x v="1"/>
    <m/>
    <m/>
    <s v=""/>
    <m/>
    <s v="0"/>
    <m/>
    <m/>
    <s v=""/>
    <m/>
    <m/>
    <s v="-"/>
    <m/>
    <s v=""/>
  </r>
  <r>
    <x v="2129"/>
    <m/>
    <m/>
    <x v="1"/>
    <m/>
    <s v=""/>
    <s v=""/>
    <m/>
    <s v="0"/>
    <m/>
    <m/>
    <s v=""/>
    <m/>
    <s v=""/>
    <s v="-"/>
    <s v=""/>
    <s v=""/>
  </r>
  <r>
    <x v="2130"/>
    <m/>
    <m/>
    <x v="1"/>
    <m/>
    <s v=""/>
    <s v=""/>
    <m/>
    <s v="0"/>
    <m/>
    <m/>
    <s v=""/>
    <m/>
    <s v=""/>
    <s v="-"/>
    <s v=""/>
    <s v=""/>
  </r>
  <r>
    <x v="2131"/>
    <m/>
    <m/>
    <x v="1"/>
    <m/>
    <m/>
    <s v=""/>
    <m/>
    <s v="0"/>
    <m/>
    <m/>
    <s v=""/>
    <m/>
    <s v=""/>
    <s v="-"/>
    <s v=""/>
    <s v=""/>
  </r>
  <r>
    <x v="2132"/>
    <m/>
    <m/>
    <x v="1"/>
    <m/>
    <s v=""/>
    <s v=""/>
    <m/>
    <s v="0"/>
    <m/>
    <m/>
    <s v=""/>
    <m/>
    <s v=""/>
    <s v="-"/>
    <s v=""/>
    <s v=""/>
  </r>
  <r>
    <x v="2133"/>
    <m/>
    <m/>
    <x v="1"/>
    <m/>
    <s v=""/>
    <s v=""/>
    <m/>
    <s v="0"/>
    <m/>
    <m/>
    <s v=""/>
    <m/>
    <s v=""/>
    <s v="-"/>
    <s v=""/>
    <s v=""/>
  </r>
  <r>
    <x v="2134"/>
    <m/>
    <m/>
    <x v="1"/>
    <m/>
    <s v=""/>
    <s v=""/>
    <m/>
    <s v="0"/>
    <m/>
    <m/>
    <s v=""/>
    <m/>
    <s v=""/>
    <s v="-"/>
    <s v=""/>
    <s v=""/>
  </r>
  <r>
    <x v="2135"/>
    <m/>
    <m/>
    <x v="1"/>
    <m/>
    <s v=""/>
    <s v=""/>
    <m/>
    <s v="0"/>
    <m/>
    <m/>
    <s v=""/>
    <m/>
    <s v=""/>
    <s v="-"/>
    <s v=""/>
    <s v=""/>
  </r>
  <r>
    <x v="2136"/>
    <m/>
    <m/>
    <x v="1"/>
    <m/>
    <s v=""/>
    <s v=""/>
    <m/>
    <s v="0"/>
    <m/>
    <m/>
    <s v=""/>
    <m/>
    <s v=""/>
    <s v="-"/>
    <s v=""/>
    <s v=""/>
  </r>
  <r>
    <x v="2137"/>
    <n v="166"/>
    <s v="n"/>
    <x v="103"/>
    <d v="1899-12-30T00:34:49"/>
    <n v="5.85"/>
    <d v="1899-12-30T00:05:57"/>
    <n v="125"/>
    <n v="31"/>
    <n v="197"/>
    <n v="13"/>
    <n v="1.0499630054853935"/>
    <s v="HOKA Clifton 8"/>
    <n v="194.60000000000002"/>
    <s v="-"/>
    <n v="212.96"/>
    <n v="1.5760000000000001"/>
  </r>
  <r>
    <x v="2138"/>
    <m/>
    <m/>
    <x v="1"/>
    <m/>
    <s v=""/>
    <s v=""/>
    <m/>
    <s v="0"/>
    <m/>
    <m/>
    <s v=""/>
    <m/>
    <s v=""/>
    <s v="-"/>
    <s v=""/>
    <s v=""/>
  </r>
  <r>
    <x v="2139"/>
    <m/>
    <m/>
    <x v="1"/>
    <m/>
    <s v=""/>
    <s v=""/>
    <m/>
    <s v="0"/>
    <m/>
    <m/>
    <s v=""/>
    <m/>
    <s v=""/>
    <s v="-"/>
    <s v=""/>
    <s v=""/>
  </r>
  <r>
    <x v="2140"/>
    <m/>
    <m/>
    <x v="1"/>
    <m/>
    <s v=""/>
    <s v=""/>
    <m/>
    <s v="0"/>
    <m/>
    <m/>
    <s v=""/>
    <m/>
    <s v=""/>
    <s v="-"/>
    <s v=""/>
    <s v=""/>
  </r>
  <r>
    <x v="2141"/>
    <m/>
    <m/>
    <x v="1"/>
    <m/>
    <s v=""/>
    <s v=""/>
    <m/>
    <s v="0"/>
    <m/>
    <m/>
    <s v=""/>
    <m/>
    <s v=""/>
    <s v="-"/>
    <s v=""/>
    <s v=""/>
  </r>
  <r>
    <x v="2142"/>
    <n v="167"/>
    <s v="j"/>
    <x v="103"/>
    <d v="1899-12-30T00:39:16"/>
    <n v="6.07"/>
    <d v="1899-12-30T00:06:28"/>
    <n v="129"/>
    <n v="31"/>
    <n v="197"/>
    <n v="19"/>
    <n v="1.1412427155818925"/>
    <s v="HOKA Clifton 8"/>
    <n v="194.60000000000002"/>
    <s v="-"/>
    <n v="212.96"/>
    <n v="1.5271317829457365"/>
  </r>
  <r>
    <x v="2143"/>
    <m/>
    <m/>
    <x v="1"/>
    <m/>
    <s v=""/>
    <s v=""/>
    <m/>
    <s v="0"/>
    <m/>
    <m/>
    <s v=""/>
    <m/>
    <s v=""/>
    <s v="-"/>
    <s v=""/>
    <s v=""/>
  </r>
  <r>
    <x v="2144"/>
    <m/>
    <m/>
    <x v="1"/>
    <m/>
    <s v=""/>
    <s v=""/>
    <m/>
    <s v="0"/>
    <m/>
    <m/>
    <s v=""/>
    <m/>
    <s v=""/>
    <s v="-"/>
    <s v=""/>
    <s v=""/>
  </r>
  <r>
    <x v="2145"/>
    <m/>
    <m/>
    <x v="1"/>
    <m/>
    <s v=""/>
    <s v=""/>
    <m/>
    <s v="0"/>
    <m/>
    <m/>
    <s v=""/>
    <m/>
    <s v=""/>
    <s v="-"/>
    <s v=""/>
    <s v=""/>
  </r>
  <r>
    <x v="2146"/>
    <m/>
    <m/>
    <x v="1"/>
    <m/>
    <s v=""/>
    <s v=""/>
    <m/>
    <s v="0"/>
    <m/>
    <m/>
    <s v=""/>
    <m/>
    <s v=""/>
    <s v="-"/>
    <s v=""/>
    <s v=""/>
  </r>
  <r>
    <x v="2147"/>
    <m/>
    <m/>
    <x v="1"/>
    <m/>
    <s v=""/>
    <s v=""/>
    <m/>
    <s v="0"/>
    <m/>
    <m/>
    <s v=""/>
    <m/>
    <s v=""/>
    <s v="-"/>
    <s v=""/>
    <s v=""/>
  </r>
  <r>
    <x v="2148"/>
    <m/>
    <m/>
    <x v="1"/>
    <m/>
    <s v=""/>
    <s v=""/>
    <m/>
    <s v="0"/>
    <m/>
    <m/>
    <s v=""/>
    <m/>
    <s v=""/>
    <s v="-"/>
    <s v=""/>
    <s v=""/>
  </r>
  <r>
    <x v="2149"/>
    <m/>
    <m/>
    <x v="1"/>
    <m/>
    <s v=""/>
    <s v=""/>
    <m/>
    <s v="0"/>
    <m/>
    <m/>
    <s v=""/>
    <m/>
    <s v=""/>
    <s v="-"/>
    <s v=""/>
    <s v=""/>
  </r>
  <r>
    <x v="2150"/>
    <m/>
    <m/>
    <x v="1"/>
    <m/>
    <s v=""/>
    <s v=""/>
    <m/>
    <s v="0"/>
    <m/>
    <m/>
    <s v=""/>
    <m/>
    <s v=""/>
    <s v="-"/>
    <s v=""/>
    <s v=""/>
  </r>
  <r>
    <x v="2151"/>
    <m/>
    <m/>
    <x v="1"/>
    <m/>
    <s v=""/>
    <s v=""/>
    <m/>
    <s v="0"/>
    <m/>
    <m/>
    <s v=""/>
    <m/>
    <s v=""/>
    <s v="-"/>
    <s v=""/>
    <s v=""/>
  </r>
  <r>
    <x v="2152"/>
    <m/>
    <m/>
    <x v="1"/>
    <m/>
    <s v=""/>
    <s v=""/>
    <m/>
    <s v="0"/>
    <m/>
    <m/>
    <s v=""/>
    <m/>
    <s v=""/>
    <s v="-"/>
    <s v=""/>
    <s v=""/>
  </r>
  <r>
    <x v="2153"/>
    <m/>
    <m/>
    <x v="1"/>
    <m/>
    <s v=""/>
    <s v=""/>
    <m/>
    <s v="0"/>
    <m/>
    <m/>
    <s v=""/>
    <m/>
    <s v=""/>
    <s v="-"/>
    <s v=""/>
    <s v=""/>
  </r>
  <r>
    <x v="2154"/>
    <m/>
    <m/>
    <x v="1"/>
    <m/>
    <s v=""/>
    <s v=""/>
    <m/>
    <s v="0"/>
    <m/>
    <m/>
    <s v=""/>
    <m/>
    <s v=""/>
    <s v="-"/>
    <s v=""/>
    <s v=""/>
  </r>
  <r>
    <x v="2155"/>
    <m/>
    <m/>
    <x v="1"/>
    <m/>
    <s v=""/>
    <s v=""/>
    <m/>
    <s v="0"/>
    <m/>
    <m/>
    <s v=""/>
    <m/>
    <s v=""/>
    <s v="-"/>
    <s v=""/>
    <s v=""/>
  </r>
  <r>
    <x v="2156"/>
    <m/>
    <m/>
    <x v="1"/>
    <m/>
    <s v=""/>
    <s v=""/>
    <m/>
    <s v="0"/>
    <m/>
    <m/>
    <s v=""/>
    <m/>
    <s v=""/>
    <s v="-"/>
    <s v=""/>
    <s v=""/>
  </r>
  <r>
    <x v="2157"/>
    <m/>
    <m/>
    <x v="1"/>
    <m/>
    <s v=""/>
    <s v=""/>
    <m/>
    <s v="0"/>
    <m/>
    <m/>
    <s v=""/>
    <m/>
    <s v=""/>
    <s v="-"/>
    <s v=""/>
    <s v=""/>
  </r>
  <r>
    <x v="2158"/>
    <m/>
    <m/>
    <x v="1"/>
    <m/>
    <s v=""/>
    <s v=""/>
    <m/>
    <s v="0"/>
    <m/>
    <m/>
    <s v=""/>
    <m/>
    <s v=""/>
    <s v="-"/>
    <s v=""/>
    <s v=""/>
  </r>
  <r>
    <x v="2159"/>
    <m/>
    <m/>
    <x v="1"/>
    <m/>
    <s v=""/>
    <s v=""/>
    <m/>
    <s v="0"/>
    <m/>
    <m/>
    <s v=""/>
    <m/>
    <s v=""/>
    <s v="-"/>
    <s v=""/>
    <s v=""/>
  </r>
  <r>
    <x v="2160"/>
    <m/>
    <m/>
    <x v="1"/>
    <m/>
    <s v=""/>
    <s v=""/>
    <m/>
    <s v="0"/>
    <m/>
    <m/>
    <s v=""/>
    <m/>
    <s v=""/>
    <s v="-"/>
    <s v=""/>
    <s v=""/>
  </r>
  <r>
    <x v="2161"/>
    <m/>
    <m/>
    <x v="1"/>
    <m/>
    <s v=""/>
    <s v=""/>
    <m/>
    <s v="0"/>
    <m/>
    <m/>
    <s v=""/>
    <m/>
    <s v=""/>
    <s v="-"/>
    <s v=""/>
    <s v=""/>
  </r>
  <r>
    <x v="2162"/>
    <m/>
    <m/>
    <x v="1"/>
    <m/>
    <s v=""/>
    <s v=""/>
    <m/>
    <s v="0"/>
    <m/>
    <m/>
    <s v=""/>
    <m/>
    <s v=""/>
    <s v="-"/>
    <s v=""/>
    <s v=""/>
  </r>
  <r>
    <x v="2163"/>
    <m/>
    <m/>
    <x v="1"/>
    <m/>
    <s v=""/>
    <s v=""/>
    <m/>
    <s v="0"/>
    <m/>
    <m/>
    <s v=""/>
    <m/>
    <s v=""/>
    <s v="-"/>
    <s v=""/>
    <s v=""/>
  </r>
  <r>
    <x v="2164"/>
    <m/>
    <m/>
    <x v="1"/>
    <m/>
    <s v=""/>
    <s v=""/>
    <m/>
    <s v="0"/>
    <m/>
    <m/>
    <s v=""/>
    <m/>
    <s v=""/>
    <s v="-"/>
    <s v=""/>
    <s v=""/>
  </r>
  <r>
    <x v="2165"/>
    <m/>
    <m/>
    <x v="1"/>
    <m/>
    <s v=""/>
    <s v=""/>
    <m/>
    <s v="0"/>
    <m/>
    <m/>
    <s v=""/>
    <m/>
    <s v=""/>
    <s v="-"/>
    <s v=""/>
    <s v=""/>
  </r>
  <r>
    <x v="2166"/>
    <m/>
    <m/>
    <x v="1"/>
    <m/>
    <s v=""/>
    <s v=""/>
    <m/>
    <s v="0"/>
    <m/>
    <m/>
    <s v=""/>
    <m/>
    <s v=""/>
    <s v="-"/>
    <s v=""/>
    <s v=""/>
  </r>
  <r>
    <x v="2167"/>
    <m/>
    <m/>
    <x v="1"/>
    <m/>
    <s v=""/>
    <s v=""/>
    <m/>
    <s v="0"/>
    <m/>
    <m/>
    <s v=""/>
    <m/>
    <s v=""/>
    <s v="-"/>
    <s v=""/>
    <s v=""/>
  </r>
  <r>
    <x v="2168"/>
    <m/>
    <m/>
    <x v="1"/>
    <m/>
    <s v=""/>
    <s v=""/>
    <m/>
    <s v="0"/>
    <m/>
    <m/>
    <s v=""/>
    <m/>
    <s v=""/>
    <s v="-"/>
    <s v=""/>
    <s v=""/>
  </r>
  <r>
    <x v="2169"/>
    <m/>
    <m/>
    <x v="1"/>
    <m/>
    <s v=""/>
    <s v=""/>
    <m/>
    <s v="0"/>
    <m/>
    <m/>
    <s v=""/>
    <m/>
    <s v=""/>
    <s v="-"/>
    <s v=""/>
    <s v=""/>
  </r>
  <r>
    <x v="2170"/>
    <m/>
    <m/>
    <x v="1"/>
    <m/>
    <s v=""/>
    <s v=""/>
    <m/>
    <s v="0"/>
    <m/>
    <m/>
    <s v=""/>
    <m/>
    <s v=""/>
    <s v="-"/>
    <s v=""/>
    <s v=""/>
  </r>
  <r>
    <x v="2171"/>
    <m/>
    <m/>
    <x v="1"/>
    <m/>
    <s v=""/>
    <s v=""/>
    <m/>
    <s v="0"/>
    <m/>
    <m/>
    <s v=""/>
    <m/>
    <s v=""/>
    <s v="-"/>
    <s v=""/>
    <s v=""/>
  </r>
  <r>
    <x v="2172"/>
    <n v="168"/>
    <s v="n"/>
    <x v="102"/>
    <d v="1899-12-30T00:24:57"/>
    <n v="3.99"/>
    <d v="1899-12-30T00:06:15"/>
    <n v="129"/>
    <n v="20"/>
    <n v="190"/>
    <n v="12"/>
    <n v="1.0639658848614073"/>
    <s v="HOKA Rincon 3 II"/>
    <n v="194.60000000000002"/>
    <s v="-"/>
    <n v="212.96"/>
    <n v="1.4728682170542635"/>
  </r>
  <r>
    <x v="2173"/>
    <m/>
    <m/>
    <x v="1"/>
    <m/>
    <s v=""/>
    <s v=""/>
    <m/>
    <s v="0"/>
    <m/>
    <m/>
    <s v=""/>
    <m/>
    <s v=""/>
    <s v="-"/>
    <s v=""/>
    <s v=""/>
  </r>
  <r>
    <x v="2174"/>
    <m/>
    <m/>
    <x v="1"/>
    <m/>
    <s v=""/>
    <s v=""/>
    <m/>
    <s v="0"/>
    <m/>
    <m/>
    <s v=""/>
    <m/>
    <s v=""/>
    <s v="-"/>
    <s v=""/>
    <s v=""/>
  </r>
  <r>
    <x v="2175"/>
    <m/>
    <m/>
    <x v="1"/>
    <m/>
    <s v=""/>
    <s v=""/>
    <m/>
    <s v="0"/>
    <m/>
    <m/>
    <s v=""/>
    <m/>
    <s v=""/>
    <s v="-"/>
    <s v=""/>
    <s v=""/>
  </r>
  <r>
    <x v="2176"/>
    <m/>
    <m/>
    <x v="1"/>
    <m/>
    <s v=""/>
    <s v=""/>
    <m/>
    <s v="0"/>
    <m/>
    <m/>
    <s v=""/>
    <m/>
    <s v=""/>
    <s v="-"/>
    <s v=""/>
    <s v=""/>
  </r>
  <r>
    <x v="2177"/>
    <m/>
    <m/>
    <x v="1"/>
    <m/>
    <s v=""/>
    <s v=""/>
    <m/>
    <s v="0"/>
    <m/>
    <m/>
    <s v=""/>
    <m/>
    <s v=""/>
    <s v="-"/>
    <s v=""/>
    <s v=""/>
  </r>
  <r>
    <x v="2178"/>
    <m/>
    <m/>
    <x v="1"/>
    <m/>
    <s v=""/>
    <s v=""/>
    <m/>
    <s v="0"/>
    <m/>
    <m/>
    <s v=""/>
    <m/>
    <s v=""/>
    <s v="-"/>
    <s v=""/>
    <s v=""/>
  </r>
  <r>
    <x v="2179"/>
    <m/>
    <m/>
    <x v="1"/>
    <m/>
    <s v=""/>
    <s v=""/>
    <m/>
    <s v="0"/>
    <m/>
    <m/>
    <s v=""/>
    <m/>
    <s v=""/>
    <s v="-"/>
    <s v=""/>
    <s v=""/>
  </r>
  <r>
    <x v="2180"/>
    <m/>
    <m/>
    <x v="1"/>
    <m/>
    <s v=""/>
    <s v=""/>
    <m/>
    <s v="0"/>
    <m/>
    <m/>
    <s v=""/>
    <m/>
    <s v=""/>
    <s v="-"/>
    <s v=""/>
    <s v=""/>
  </r>
  <r>
    <x v="2181"/>
    <m/>
    <m/>
    <x v="1"/>
    <m/>
    <s v=""/>
    <s v=""/>
    <m/>
    <s v="0"/>
    <m/>
    <m/>
    <s v=""/>
    <m/>
    <s v=""/>
    <s v="-"/>
    <s v=""/>
    <s v=""/>
  </r>
  <r>
    <x v="2182"/>
    <m/>
    <m/>
    <x v="1"/>
    <m/>
    <s v=""/>
    <s v=""/>
    <m/>
    <s v="0"/>
    <m/>
    <m/>
    <s v=""/>
    <m/>
    <s v=""/>
    <s v="-"/>
    <s v=""/>
    <s v=""/>
  </r>
  <r>
    <x v="2183"/>
    <m/>
    <m/>
    <x v="1"/>
    <m/>
    <s v=""/>
    <s v=""/>
    <m/>
    <s v="0"/>
    <m/>
    <m/>
    <s v=""/>
    <m/>
    <s v=""/>
    <s v="-"/>
    <s v=""/>
    <s v=""/>
  </r>
  <r>
    <x v="2184"/>
    <m/>
    <m/>
    <x v="1"/>
    <m/>
    <s v=""/>
    <s v=""/>
    <m/>
    <s v="0"/>
    <m/>
    <m/>
    <s v=""/>
    <m/>
    <s v=""/>
    <s v="-"/>
    <s v=""/>
    <s v=""/>
  </r>
  <r>
    <x v="2185"/>
    <m/>
    <m/>
    <x v="1"/>
    <m/>
    <s v=""/>
    <s v=""/>
    <m/>
    <s v="0"/>
    <m/>
    <m/>
    <s v=""/>
    <m/>
    <s v=""/>
    <s v="-"/>
    <s v=""/>
    <s v=""/>
  </r>
  <r>
    <x v="2186"/>
    <m/>
    <m/>
    <x v="1"/>
    <m/>
    <s v=""/>
    <s v=""/>
    <m/>
    <s v="0"/>
    <m/>
    <m/>
    <s v=""/>
    <m/>
    <s v=""/>
    <s v="-"/>
    <s v=""/>
    <s v=""/>
  </r>
  <r>
    <x v="2187"/>
    <n v="169"/>
    <s v="n"/>
    <x v="102"/>
    <d v="1899-12-30T00:31:08"/>
    <n v="5.37"/>
    <d v="1899-12-30T00:05:48"/>
    <n v="139"/>
    <n v="30"/>
    <n v="207"/>
    <n v="16"/>
    <n v="1.0747269240390227"/>
    <s v="HOKA Clifton 7"/>
    <n v="194.60000000000002"/>
    <s v="-"/>
    <n v="212.96"/>
    <n v="1.4892086330935252"/>
  </r>
  <r>
    <x v="2188"/>
    <m/>
    <m/>
    <x v="1"/>
    <m/>
    <s v=""/>
    <s v=""/>
    <m/>
    <s v="0"/>
    <m/>
    <m/>
    <s v=""/>
    <m/>
    <s v=""/>
    <s v="-"/>
    <s v=""/>
    <s v=""/>
  </r>
  <r>
    <x v="2189"/>
    <n v="170"/>
    <s v="j"/>
    <x v="102"/>
    <d v="1899-12-30T00:31:53"/>
    <n v="4.8600000000000003"/>
    <d v="1899-12-30T00:06:34"/>
    <n v="122"/>
    <n v="24"/>
    <n v="179"/>
    <n v="17"/>
    <n v="1.0516153798906702"/>
    <s v="HOKA Rincon 3 II"/>
    <n v="194.60000000000002"/>
    <s v="-"/>
    <n v="212.96"/>
    <n v="1.4672131147540983"/>
  </r>
  <r>
    <x v="2190"/>
    <m/>
    <m/>
    <x v="1"/>
    <m/>
    <s v=""/>
    <s v=""/>
    <m/>
    <s v="0"/>
    <m/>
    <m/>
    <s v=""/>
    <m/>
    <s v=""/>
    <s v="-"/>
    <s v=""/>
    <s v=""/>
  </r>
  <r>
    <x v="2191"/>
    <n v="171"/>
    <s v="n"/>
    <x v="103"/>
    <d v="1899-12-30T00:48:53"/>
    <n v="7.86"/>
    <d v="1899-12-30T00:06:13"/>
    <n v="139"/>
    <n v="41"/>
    <n v="192"/>
    <n v="16"/>
    <n v="1.0693403212942918"/>
    <s v="HOKA Rincon 3 II"/>
    <n v="194.60000000000002"/>
    <s v="-"/>
    <n v="212.96"/>
    <n v="1.3812949640287771"/>
  </r>
  <r>
    <x v="2192"/>
    <m/>
    <m/>
    <x v="1"/>
    <m/>
    <s v=""/>
    <s v=""/>
    <m/>
    <s v="0"/>
    <m/>
    <m/>
    <s v=""/>
    <m/>
    <s v=""/>
    <s v="-"/>
    <s v=""/>
    <s v=""/>
  </r>
  <r>
    <x v="2193"/>
    <m/>
    <m/>
    <x v="1"/>
    <m/>
    <s v=""/>
    <s v=""/>
    <m/>
    <s v="0"/>
    <m/>
    <m/>
    <s v=""/>
    <m/>
    <s v=""/>
    <s v="-"/>
    <s v=""/>
    <s v=""/>
  </r>
  <r>
    <x v="2194"/>
    <n v="1"/>
    <s v="n"/>
    <x v="88"/>
    <d v="1899-12-30T00:45:06"/>
    <n v="8.1"/>
    <d v="1899-12-30T00:05:34"/>
    <n v="139"/>
    <n v="48"/>
    <n v="219"/>
    <n v="32"/>
    <n v="1.0919734660033167"/>
    <s v="HOKA Rincon 3 II"/>
    <n v="194.60000000000002"/>
    <s v="-"/>
    <n v="212.96"/>
    <n v="1.5755395683453237"/>
  </r>
  <r>
    <x v="2195"/>
    <m/>
    <m/>
    <x v="1"/>
    <m/>
    <s v=""/>
    <s v=""/>
    <m/>
    <s v="0"/>
    <m/>
    <m/>
    <s v=""/>
    <m/>
    <s v=""/>
    <s v="-"/>
    <s v=""/>
    <s v=""/>
  </r>
  <r>
    <x v="2196"/>
    <m/>
    <m/>
    <x v="1"/>
    <m/>
    <s v=""/>
    <s v=""/>
    <m/>
    <s v="0"/>
    <m/>
    <m/>
    <s v=""/>
    <m/>
    <s v=""/>
    <s v="-"/>
    <s v=""/>
    <s v=""/>
  </r>
  <r>
    <x v="2197"/>
    <n v="2"/>
    <s v="j"/>
    <x v="88"/>
    <d v="1899-12-30T00:35:58"/>
    <n v="5.95"/>
    <d v="1899-12-30T00:06:03"/>
    <n v="131"/>
    <n v="34"/>
    <n v="195"/>
    <n v="14"/>
    <n v="1.0555876081775994"/>
    <s v="HOKA Clifton 8"/>
    <n v="194.60000000000002"/>
    <s v="-"/>
    <n v="212.96"/>
    <n v="1.4885496183206106"/>
  </r>
  <r>
    <x v="2198"/>
    <m/>
    <m/>
    <x v="1"/>
    <m/>
    <s v=""/>
    <s v=""/>
    <m/>
    <s v="0"/>
    <m/>
    <m/>
    <s v=""/>
    <m/>
    <s v=""/>
    <s v="-"/>
    <s v=""/>
    <s v=""/>
  </r>
  <r>
    <x v="2199"/>
    <n v="3"/>
    <s v="n"/>
    <x v="103"/>
    <d v="1899-12-30T00:41:35"/>
    <n v="6.95"/>
    <d v="1899-12-30T00:05:59"/>
    <n v="124"/>
    <n v="39"/>
    <n v="196"/>
    <n v="21"/>
    <n v="1.0501879093739936"/>
    <s v="HOKA Clifton 8"/>
    <n v="194.60000000000002"/>
    <s v="-"/>
    <n v="212.96"/>
    <n v="1.5806451612903225"/>
  </r>
  <r>
    <x v="2200"/>
    <m/>
    <m/>
    <x v="1"/>
    <m/>
    <s v=""/>
    <s v=""/>
    <m/>
    <s v="0"/>
    <m/>
    <m/>
    <s v=""/>
    <m/>
    <s v=""/>
    <s v="-"/>
    <s v=""/>
    <s v=""/>
  </r>
  <r>
    <x v="2201"/>
    <n v="4"/>
    <s v="n"/>
    <x v="103"/>
    <d v="1899-12-30T00:35:22"/>
    <n v="5.93"/>
    <d v="1899-12-30T00:05:58"/>
    <n v="141"/>
    <n v="34"/>
    <n v="198"/>
    <n v="18"/>
    <n v="1.0575016989252726"/>
    <s v="HOKA Mach 5"/>
    <n v="194.60000000000002"/>
    <s v="-"/>
    <n v="212.96"/>
    <n v="1.4042553191489362"/>
  </r>
  <r>
    <x v="2202"/>
    <m/>
    <m/>
    <x v="1"/>
    <m/>
    <s v=""/>
    <s v=""/>
    <m/>
    <s v="0"/>
    <m/>
    <m/>
    <s v=""/>
    <m/>
    <s v=""/>
    <s v="-"/>
    <s v=""/>
    <s v=""/>
  </r>
  <r>
    <x v="2203"/>
    <m/>
    <m/>
    <x v="1"/>
    <m/>
    <s v=""/>
    <s v=""/>
    <m/>
    <s v="0"/>
    <m/>
    <m/>
    <s v=""/>
    <m/>
    <s v=""/>
    <s v="-"/>
    <s v=""/>
    <s v=""/>
  </r>
  <r>
    <x v="2204"/>
    <m/>
    <m/>
    <x v="1"/>
    <m/>
    <m/>
    <s v=""/>
    <m/>
    <s v="0"/>
    <m/>
    <m/>
    <s v=""/>
    <m/>
    <s v=""/>
    <s v="-"/>
    <s v=""/>
    <s v=""/>
  </r>
  <r>
    <x v="2205"/>
    <n v="5"/>
    <s v="j"/>
    <x v="88"/>
    <d v="1899-12-30T00:38:21"/>
    <n v="5.72"/>
    <d v="1899-12-30T00:06:42"/>
    <n v="130"/>
    <n v="32"/>
    <n v="180"/>
    <n v="18"/>
    <n v="1.0807327001356855"/>
    <s v="Saucony Triumph 21"/>
    <n v="194.60000000000002"/>
    <s v="-"/>
    <n v="212.96"/>
    <n v="1.3846153846153846"/>
  </r>
  <r>
    <x v="2206"/>
    <n v="6"/>
    <s v="n"/>
    <x v="102"/>
    <d v="1899-12-30T00:33:19"/>
    <n v="5.34"/>
    <d v="1899-12-30T00:06:14"/>
    <n v="121"/>
    <n v="30"/>
    <n v="190"/>
    <n v="20"/>
    <n v="1.0615741517133437"/>
    <s v="Saucony Triumph 21"/>
    <n v="194.60000000000002"/>
    <s v="-"/>
    <n v="212.96"/>
    <n v="1.5702479338842976"/>
  </r>
  <r>
    <x v="2207"/>
    <m/>
    <m/>
    <x v="1"/>
    <m/>
    <s v=""/>
    <s v=""/>
    <m/>
    <s v="0"/>
    <m/>
    <m/>
    <s v=""/>
    <m/>
    <s v=""/>
    <s v="-"/>
    <s v=""/>
    <s v=""/>
  </r>
  <r>
    <x v="2208"/>
    <n v="7"/>
    <s v="n"/>
    <x v="102"/>
    <d v="1899-12-30T00:33:23"/>
    <n v="5.48"/>
    <d v="1899-12-30T00:06:06"/>
    <n v="130"/>
    <n v="32"/>
    <n v="198"/>
    <n v="25"/>
    <n v="1.0801666848240548"/>
    <s v="Innov-8 Trailfly"/>
    <n v="194.60000000000002"/>
    <s v="-"/>
    <n v="212.96"/>
    <n v="1.523076923076923"/>
  </r>
  <r>
    <x v="2209"/>
    <n v="8"/>
    <s v="n"/>
    <x v="7"/>
    <d v="1899-12-30T00:19:14"/>
    <n v="3.19"/>
    <d v="1899-12-30T00:06:02"/>
    <n v="146"/>
    <n v="25"/>
    <n v="193"/>
    <n v="0"/>
    <n v="1.0420717727974547"/>
    <s v="HOKA Mach 5"/>
    <n v="279.53100000000006"/>
    <s v="-"/>
    <n v="306.15300000000002"/>
    <n v="1.321917808219178"/>
  </r>
  <r>
    <x v="2210"/>
    <m/>
    <m/>
    <x v="1"/>
    <m/>
    <s v=""/>
    <s v=""/>
    <m/>
    <s v="0"/>
    <m/>
    <m/>
    <s v=""/>
    <m/>
    <s v=""/>
    <s v="-"/>
    <s v=""/>
    <s v=""/>
  </r>
  <r>
    <x v="2211"/>
    <n v="9"/>
    <m/>
    <x v="103"/>
    <m/>
    <n v="6.7807113565308406"/>
    <d v="1899-12-30T00:00:00"/>
    <m/>
    <n v="32"/>
    <m/>
    <m/>
    <s v=""/>
    <s v="Saucony Triumph 21"/>
    <n v="194.60000000000002"/>
    <s v="-"/>
    <n v="212.96"/>
    <s v=""/>
  </r>
  <r>
    <x v="2212"/>
    <m/>
    <m/>
    <x v="1"/>
    <m/>
    <s v=""/>
    <s v=""/>
    <m/>
    <s v="0"/>
    <m/>
    <m/>
    <s v=""/>
    <m/>
    <s v=""/>
    <s v="-"/>
    <s v=""/>
    <s v=""/>
  </r>
  <r>
    <x v="2213"/>
    <m/>
    <m/>
    <x v="102"/>
    <m/>
    <n v="5.0855335173981304"/>
    <d v="1899-12-30T00:00:00"/>
    <m/>
    <n v="36.125"/>
    <m/>
    <m/>
    <s v=""/>
    <s v="HOKA Rincon 3 II"/>
    <n v="194.60000000000002"/>
    <s v="-"/>
    <n v="212.96"/>
    <s v=""/>
  </r>
  <r>
    <x v="2214"/>
    <m/>
    <m/>
    <x v="7"/>
    <m/>
    <n v="10.232623456990277"/>
    <d v="1899-12-30T00:00:00"/>
    <m/>
    <n v="72.052680000000009"/>
    <m/>
    <m/>
    <s v=""/>
    <s v="HOKA Mach 5"/>
    <n v="279.53100000000006"/>
    <s v="-"/>
    <n v="306.15300000000002"/>
    <s v=""/>
  </r>
  <r>
    <x v="2215"/>
    <m/>
    <m/>
    <x v="1"/>
    <m/>
    <s v=""/>
    <s v=""/>
    <m/>
    <s v="0"/>
    <m/>
    <m/>
    <s v=""/>
    <m/>
    <s v=""/>
    <s v="-"/>
    <s v=""/>
    <s v=""/>
  </r>
  <r>
    <x v="2216"/>
    <m/>
    <m/>
    <x v="102"/>
    <m/>
    <n v="5.0855335173981304"/>
    <d v="1899-12-30T00:00:00"/>
    <m/>
    <n v="36.125"/>
    <m/>
    <m/>
    <s v=""/>
    <s v="HOKA Clifton 8"/>
    <n v="194.60000000000002"/>
    <s v="-"/>
    <n v="212.96"/>
    <s v=""/>
  </r>
  <r>
    <x v="2217"/>
    <m/>
    <m/>
    <x v="1"/>
    <m/>
    <s v=""/>
    <s v=""/>
    <m/>
    <s v="0"/>
    <m/>
    <m/>
    <s v=""/>
    <m/>
    <s v=""/>
    <s v="-"/>
    <s v=""/>
    <s v=""/>
  </r>
  <r>
    <x v="2218"/>
    <m/>
    <m/>
    <x v="7"/>
    <m/>
    <n v="10.232623456990277"/>
    <d v="1899-12-30T00:00:00"/>
    <m/>
    <n v="72.052680000000009"/>
    <m/>
    <m/>
    <s v=""/>
    <s v="HOKA Mach 5"/>
    <n v="279.53100000000006"/>
    <s v="-"/>
    <n v="306.15300000000002"/>
    <s v=""/>
  </r>
  <r>
    <x v="2219"/>
    <m/>
    <m/>
    <x v="1"/>
    <m/>
    <s v=""/>
    <s v=""/>
    <m/>
    <s v="0"/>
    <m/>
    <m/>
    <s v=""/>
    <m/>
    <s v=""/>
    <s v="-"/>
    <s v=""/>
    <s v=""/>
  </r>
  <r>
    <x v="2220"/>
    <m/>
    <m/>
    <x v="91"/>
    <m/>
    <n v="9.3343054014628528"/>
    <d v="1899-12-30T00:00:00"/>
    <m/>
    <n v="72.139959115646775"/>
    <m/>
    <m/>
    <s v=""/>
    <m/>
    <n v="230.89999999999998"/>
    <s v="-"/>
    <n v="254.10000000000002"/>
    <s v=""/>
  </r>
  <r>
    <x v="2221"/>
    <m/>
    <m/>
    <x v="102"/>
    <m/>
    <n v="5.0855335173981304"/>
    <d v="1899-12-30T00:00:00"/>
    <m/>
    <n v="36.125"/>
    <m/>
    <m/>
    <s v=""/>
    <m/>
    <n v="194.60000000000002"/>
    <s v="-"/>
    <n v="212.96"/>
    <s v=""/>
  </r>
  <r>
    <x v="2222"/>
    <m/>
    <m/>
    <x v="1"/>
    <m/>
    <n v="9"/>
    <d v="1899-12-30T00:00:00"/>
    <m/>
    <s v="0"/>
    <m/>
    <m/>
    <s v=""/>
    <m/>
    <s v=""/>
    <s v="-"/>
    <s v=""/>
    <s v=""/>
  </r>
  <r>
    <x v="2223"/>
    <m/>
    <m/>
    <x v="1"/>
    <m/>
    <s v=""/>
    <s v=""/>
    <m/>
    <s v="0"/>
    <m/>
    <m/>
    <s v=""/>
    <m/>
    <s v=""/>
    <s v="-"/>
    <s v=""/>
    <s v=""/>
  </r>
  <r>
    <x v="2224"/>
    <m/>
    <m/>
    <x v="102"/>
    <m/>
    <n v="5.0855335173981304"/>
    <d v="1899-12-30T00:00:00"/>
    <m/>
    <n v="36.125"/>
    <m/>
    <m/>
    <s v=""/>
    <m/>
    <n v="194.60000000000002"/>
    <s v="-"/>
    <n v="212.96"/>
    <s v=""/>
  </r>
  <r>
    <x v="2225"/>
    <m/>
    <m/>
    <x v="1"/>
    <m/>
    <n v="13.6"/>
    <d v="1899-12-30T00:00:00"/>
    <m/>
    <s v="0"/>
    <m/>
    <m/>
    <s v=""/>
    <m/>
    <s v=""/>
    <s v="-"/>
    <s v=""/>
    <s v=""/>
  </r>
  <r>
    <x v="2226"/>
    <m/>
    <m/>
    <x v="1"/>
    <m/>
    <s v=""/>
    <s v=""/>
    <m/>
    <s v="0"/>
    <m/>
    <m/>
    <s v=""/>
    <m/>
    <s v=""/>
    <s v="-"/>
    <s v=""/>
    <s v=""/>
  </r>
  <r>
    <x v="2227"/>
    <m/>
    <m/>
    <x v="102"/>
    <m/>
    <n v="5.0855335173981304"/>
    <d v="1899-12-30T00:00:00"/>
    <m/>
    <n v="36.125"/>
    <m/>
    <m/>
    <s v=""/>
    <m/>
    <n v="194.60000000000002"/>
    <s v="-"/>
    <n v="212.96"/>
    <s v=""/>
  </r>
  <r>
    <x v="2228"/>
    <m/>
    <m/>
    <x v="102"/>
    <m/>
    <n v="5.0855335173981304"/>
    <d v="1899-12-30T00:00:00"/>
    <m/>
    <n v="36.125"/>
    <m/>
    <m/>
    <s v=""/>
    <m/>
    <n v="194.60000000000002"/>
    <s v="-"/>
    <n v="212.96"/>
    <s v=""/>
  </r>
  <r>
    <x v="2229"/>
    <m/>
    <m/>
    <x v="1"/>
    <m/>
    <n v="8"/>
    <d v="1899-12-30T00:00:00"/>
    <m/>
    <s v="0"/>
    <m/>
    <m/>
    <s v=""/>
    <m/>
    <s v=""/>
    <s v="-"/>
    <s v=""/>
    <s v=""/>
  </r>
  <r>
    <x v="2230"/>
    <m/>
    <m/>
    <x v="1"/>
    <m/>
    <s v=""/>
    <s v=""/>
    <m/>
    <s v="0"/>
    <m/>
    <m/>
    <s v=""/>
    <m/>
    <s v=""/>
    <s v="-"/>
    <s v=""/>
    <s v=""/>
  </r>
  <r>
    <x v="2231"/>
    <m/>
    <m/>
    <x v="102"/>
    <m/>
    <n v="5.0855335173981304"/>
    <d v="1899-12-30T00:00:00"/>
    <m/>
    <n v="36.125"/>
    <m/>
    <m/>
    <s v=""/>
    <m/>
    <n v="194.60000000000002"/>
    <s v="-"/>
    <n v="212.96"/>
    <s v=""/>
  </r>
  <r>
    <x v="2232"/>
    <m/>
    <m/>
    <x v="1"/>
    <m/>
    <n v="14.5"/>
    <d v="1899-12-30T00:00:00"/>
    <m/>
    <s v="0"/>
    <m/>
    <m/>
    <s v=""/>
    <m/>
    <s v=""/>
    <s v="-"/>
    <s v=""/>
    <s v=""/>
  </r>
  <r>
    <x v="2233"/>
    <m/>
    <m/>
    <x v="1"/>
    <m/>
    <s v=""/>
    <s v=""/>
    <m/>
    <s v="0"/>
    <m/>
    <m/>
    <s v=""/>
    <m/>
    <s v=""/>
    <s v="-"/>
    <s v=""/>
    <s v=""/>
  </r>
  <r>
    <x v="2234"/>
    <m/>
    <m/>
    <x v="1"/>
    <m/>
    <n v="8.4"/>
    <d v="1899-12-30T00:00:00"/>
    <m/>
    <s v="0"/>
    <m/>
    <m/>
    <s v=""/>
    <m/>
    <s v=""/>
    <s v="-"/>
    <s v=""/>
    <s v=""/>
  </r>
  <r>
    <x v="2235"/>
    <m/>
    <m/>
    <x v="102"/>
    <m/>
    <n v="5.0855335173981304"/>
    <d v="1899-12-30T00:00:00"/>
    <m/>
    <n v="36.125"/>
    <m/>
    <m/>
    <s v=""/>
    <m/>
    <n v="194.60000000000002"/>
    <s v="-"/>
    <n v="212.96"/>
    <s v=""/>
  </r>
  <r>
    <x v="2236"/>
    <m/>
    <m/>
    <x v="1"/>
    <m/>
    <n v="8.6"/>
    <d v="1899-12-30T00:00:00"/>
    <m/>
    <s v="0"/>
    <m/>
    <m/>
    <s v=""/>
    <m/>
    <s v=""/>
    <s v="-"/>
    <s v=""/>
    <s v=""/>
  </r>
  <r>
    <x v="2237"/>
    <m/>
    <m/>
    <x v="1"/>
    <m/>
    <s v=""/>
    <s v=""/>
    <m/>
    <s v="0"/>
    <m/>
    <m/>
    <s v=""/>
    <m/>
    <s v=""/>
    <s v="-"/>
    <s v=""/>
    <s v=""/>
  </r>
  <r>
    <x v="2238"/>
    <m/>
    <m/>
    <x v="102"/>
    <m/>
    <n v="5.0855335173981304"/>
    <d v="1899-12-30T00:00:00"/>
    <m/>
    <n v="36.125"/>
    <m/>
    <m/>
    <s v=""/>
    <m/>
    <n v="194.60000000000002"/>
    <s v="-"/>
    <n v="212.96"/>
    <s v=""/>
  </r>
  <r>
    <x v="2239"/>
    <m/>
    <m/>
    <x v="1"/>
    <m/>
    <n v="15.3"/>
    <d v="1899-12-30T00:00:00"/>
    <m/>
    <s v="0"/>
    <m/>
    <m/>
    <s v=""/>
    <m/>
    <s v=""/>
    <s v="-"/>
    <s v=""/>
    <s v=""/>
  </r>
  <r>
    <x v="2240"/>
    <m/>
    <m/>
    <x v="1"/>
    <m/>
    <s v=""/>
    <s v=""/>
    <m/>
    <s v="0"/>
    <m/>
    <m/>
    <s v=""/>
    <m/>
    <s v=""/>
    <s v="-"/>
    <s v=""/>
    <s v=""/>
  </r>
  <r>
    <x v="2241"/>
    <m/>
    <m/>
    <x v="102"/>
    <m/>
    <n v="5.0855335173981304"/>
    <d v="1899-12-30T00:00:00"/>
    <m/>
    <n v="36.125"/>
    <m/>
    <m/>
    <s v=""/>
    <m/>
    <n v="194.60000000000002"/>
    <s v="-"/>
    <n v="212.96"/>
    <s v=""/>
  </r>
  <r>
    <x v="2242"/>
    <m/>
    <m/>
    <x v="102"/>
    <m/>
    <n v="5.0855335173981304"/>
    <d v="1899-12-30T00:00:00"/>
    <m/>
    <n v="36.125"/>
    <m/>
    <m/>
    <s v=""/>
    <m/>
    <n v="194.60000000000002"/>
    <s v="-"/>
    <n v="212.96"/>
    <s v=""/>
  </r>
  <r>
    <x v="2243"/>
    <m/>
    <m/>
    <x v="1"/>
    <m/>
    <n v="6.9"/>
    <d v="1899-12-30T00:00:00"/>
    <m/>
    <s v="0"/>
    <m/>
    <m/>
    <s v=""/>
    <m/>
    <s v=""/>
    <s v="-"/>
    <s v=""/>
    <s v=""/>
  </r>
  <r>
    <x v="2244"/>
    <m/>
    <m/>
    <x v="1"/>
    <m/>
    <s v=""/>
    <s v=""/>
    <m/>
    <s v="0"/>
    <m/>
    <m/>
    <s v=""/>
    <m/>
    <s v=""/>
    <s v="-"/>
    <s v=""/>
    <s v=""/>
  </r>
  <r>
    <x v="2245"/>
    <m/>
    <m/>
    <x v="102"/>
    <m/>
    <n v="5.0855335173981304"/>
    <d v="1899-12-30T00:00:00"/>
    <m/>
    <n v="36.125"/>
    <m/>
    <m/>
    <s v=""/>
    <m/>
    <n v="194.60000000000002"/>
    <s v="-"/>
    <n v="212.96"/>
    <s v=""/>
  </r>
  <r>
    <x v="2246"/>
    <m/>
    <m/>
    <x v="1"/>
    <m/>
    <n v="8"/>
    <d v="1899-12-30T00:00:00"/>
    <m/>
    <s v="0"/>
    <m/>
    <m/>
    <s v=""/>
    <m/>
    <s v=""/>
    <s v="-"/>
    <s v=""/>
    <s v=""/>
  </r>
  <r>
    <x v="2247"/>
    <m/>
    <m/>
    <x v="1"/>
    <m/>
    <s v=""/>
    <s v=""/>
    <m/>
    <s v="0"/>
    <m/>
    <m/>
    <s v=""/>
    <m/>
    <s v=""/>
    <s v="-"/>
    <s v=""/>
    <s v=""/>
  </r>
  <r>
    <x v="2248"/>
    <m/>
    <m/>
    <x v="1"/>
    <m/>
    <n v="9"/>
    <d v="1899-12-30T00:00:00"/>
    <m/>
    <s v="0"/>
    <m/>
    <m/>
    <s v=""/>
    <m/>
    <s v=""/>
    <s v="-"/>
    <s v=""/>
    <s v=""/>
  </r>
  <r>
    <x v="2249"/>
    <m/>
    <m/>
    <x v="102"/>
    <m/>
    <n v="5.0855335173981304"/>
    <d v="1899-12-30T00:00:00"/>
    <m/>
    <n v="36.125"/>
    <m/>
    <m/>
    <s v=""/>
    <m/>
    <n v="194.60000000000002"/>
    <s v="-"/>
    <n v="212.96"/>
    <s v=""/>
  </r>
  <r>
    <x v="2250"/>
    <m/>
    <m/>
    <x v="1"/>
    <m/>
    <n v="9.5"/>
    <d v="1899-12-30T00:00:00"/>
    <m/>
    <s v="0"/>
    <m/>
    <m/>
    <s v=""/>
    <m/>
    <s v=""/>
    <s v="-"/>
    <s v=""/>
    <s v=""/>
  </r>
  <r>
    <x v="2251"/>
    <m/>
    <m/>
    <x v="1"/>
    <m/>
    <s v=""/>
    <s v=""/>
    <m/>
    <s v="0"/>
    <m/>
    <m/>
    <s v=""/>
    <m/>
    <s v=""/>
    <s v="-"/>
    <s v=""/>
    <s v=""/>
  </r>
  <r>
    <x v="2252"/>
    <m/>
    <m/>
    <x v="102"/>
    <m/>
    <n v="5.0855335173981304"/>
    <d v="1899-12-30T00:00:00"/>
    <m/>
    <n v="36.125"/>
    <m/>
    <m/>
    <s v=""/>
    <m/>
    <n v="194.60000000000002"/>
    <s v="-"/>
    <n v="212.96"/>
    <s v=""/>
  </r>
  <r>
    <x v="2253"/>
    <m/>
    <m/>
    <x v="1"/>
    <m/>
    <n v="16.2"/>
    <d v="1899-12-30T00:00:00"/>
    <m/>
    <s v="0"/>
    <m/>
    <m/>
    <s v=""/>
    <m/>
    <s v=""/>
    <s v="-"/>
    <s v=""/>
    <s v=""/>
  </r>
  <r>
    <x v="2254"/>
    <m/>
    <m/>
    <x v="1"/>
    <m/>
    <s v=""/>
    <s v=""/>
    <m/>
    <s v="0"/>
    <m/>
    <m/>
    <s v=""/>
    <m/>
    <s v=""/>
    <s v="-"/>
    <s v=""/>
    <s v=""/>
  </r>
  <r>
    <x v="2255"/>
    <m/>
    <m/>
    <x v="102"/>
    <m/>
    <n v="5.0855335173981304"/>
    <d v="1899-12-30T00:00:00"/>
    <m/>
    <n v="36.125"/>
    <m/>
    <m/>
    <s v=""/>
    <m/>
    <n v="194.60000000000002"/>
    <s v="-"/>
    <n v="212.96"/>
    <s v=""/>
  </r>
  <r>
    <x v="2256"/>
    <m/>
    <m/>
    <x v="102"/>
    <m/>
    <n v="5.0855335173981304"/>
    <d v="1899-12-30T00:00:00"/>
    <m/>
    <n v="36.125"/>
    <m/>
    <m/>
    <s v=""/>
    <m/>
    <n v="194.60000000000002"/>
    <s v="-"/>
    <n v="212.96"/>
    <s v=""/>
  </r>
  <r>
    <x v="2257"/>
    <m/>
    <m/>
    <x v="1"/>
    <m/>
    <n v="8.5"/>
    <d v="1899-12-30T00:00:00"/>
    <m/>
    <s v="0"/>
    <m/>
    <m/>
    <s v=""/>
    <m/>
    <s v=""/>
    <s v="-"/>
    <s v=""/>
    <s v=""/>
  </r>
  <r>
    <x v="2258"/>
    <m/>
    <m/>
    <x v="1"/>
    <m/>
    <s v=""/>
    <s v=""/>
    <m/>
    <s v="0"/>
    <m/>
    <m/>
    <s v=""/>
    <m/>
    <s v=""/>
    <s v="-"/>
    <s v=""/>
    <s v=""/>
  </r>
  <r>
    <x v="2259"/>
    <m/>
    <m/>
    <x v="102"/>
    <m/>
    <n v="5.0855335173981304"/>
    <d v="1899-12-30T00:00:00"/>
    <m/>
    <n v="36.125"/>
    <m/>
    <m/>
    <s v=""/>
    <m/>
    <n v="194.60000000000002"/>
    <s v="-"/>
    <n v="212.96"/>
    <s v=""/>
  </r>
  <r>
    <x v="2260"/>
    <m/>
    <m/>
    <x v="1"/>
    <m/>
    <n v="17"/>
    <d v="1899-12-30T00:00:00"/>
    <m/>
    <s v="0"/>
    <m/>
    <m/>
    <s v=""/>
    <m/>
    <s v=""/>
    <s v="-"/>
    <s v=""/>
    <s v=""/>
  </r>
  <r>
    <x v="2261"/>
    <m/>
    <m/>
    <x v="1"/>
    <m/>
    <s v=""/>
    <s v=""/>
    <m/>
    <s v="0"/>
    <m/>
    <m/>
    <s v=""/>
    <m/>
    <s v=""/>
    <s v="-"/>
    <s v=""/>
    <s v=""/>
  </r>
  <r>
    <x v="2262"/>
    <m/>
    <m/>
    <x v="1"/>
    <m/>
    <n v="9"/>
    <d v="1899-12-30T00:00:00"/>
    <m/>
    <s v="0"/>
    <m/>
    <m/>
    <s v=""/>
    <m/>
    <s v=""/>
    <s v="-"/>
    <s v=""/>
    <s v=""/>
  </r>
  <r>
    <x v="2263"/>
    <m/>
    <m/>
    <x v="102"/>
    <m/>
    <n v="5.0855335173981304"/>
    <d v="1899-12-30T00:00:00"/>
    <m/>
    <n v="36.125"/>
    <m/>
    <m/>
    <s v=""/>
    <m/>
    <n v="194.60000000000002"/>
    <s v="-"/>
    <n v="212.96"/>
    <s v=""/>
  </r>
  <r>
    <x v="2264"/>
    <m/>
    <m/>
    <x v="1"/>
    <m/>
    <n v="8.6999999999999993"/>
    <d v="1899-12-30T00:00:00"/>
    <m/>
    <s v="0"/>
    <m/>
    <m/>
    <s v=""/>
    <m/>
    <s v=""/>
    <s v="-"/>
    <s v=""/>
    <s v=""/>
  </r>
  <r>
    <x v="2265"/>
    <m/>
    <m/>
    <x v="1"/>
    <m/>
    <s v=""/>
    <s v=""/>
    <m/>
    <s v="0"/>
    <m/>
    <m/>
    <s v=""/>
    <m/>
    <s v=""/>
    <s v="-"/>
    <s v=""/>
    <s v=""/>
  </r>
  <r>
    <x v="2266"/>
    <m/>
    <m/>
    <x v="102"/>
    <m/>
    <n v="5.0855335173981304"/>
    <d v="1899-12-30T00:00:00"/>
    <m/>
    <n v="36.125"/>
    <m/>
    <m/>
    <s v=""/>
    <m/>
    <n v="194.60000000000002"/>
    <s v="-"/>
    <n v="212.96"/>
    <s v=""/>
  </r>
  <r>
    <x v="2267"/>
    <m/>
    <m/>
    <x v="1"/>
    <m/>
    <n v="17.899999999999999"/>
    <d v="1899-12-30T00:00:00"/>
    <m/>
    <s v="0"/>
    <m/>
    <m/>
    <s v=""/>
    <m/>
    <s v=""/>
    <s v="-"/>
    <s v=""/>
    <s v=""/>
  </r>
  <r>
    <x v="2268"/>
    <m/>
    <m/>
    <x v="1"/>
    <m/>
    <s v=""/>
    <s v=""/>
    <m/>
    <s v="0"/>
    <m/>
    <m/>
    <s v=""/>
    <m/>
    <s v=""/>
    <s v="-"/>
    <s v=""/>
    <s v=""/>
  </r>
  <r>
    <x v="2269"/>
    <m/>
    <m/>
    <x v="102"/>
    <m/>
    <n v="5.0855335173981304"/>
    <d v="1899-12-30T00:00:00"/>
    <m/>
    <n v="36.125"/>
    <m/>
    <m/>
    <s v=""/>
    <m/>
    <n v="194.60000000000002"/>
    <s v="-"/>
    <n v="212.96"/>
    <s v=""/>
  </r>
  <r>
    <x v="2270"/>
    <m/>
    <m/>
    <x v="102"/>
    <m/>
    <n v="5.0855335173981304"/>
    <d v="1899-12-30T00:00:00"/>
    <m/>
    <n v="36.125"/>
    <m/>
    <m/>
    <s v=""/>
    <m/>
    <n v="194.60000000000002"/>
    <s v="-"/>
    <n v="212.96"/>
    <s v=""/>
  </r>
  <r>
    <x v="2271"/>
    <m/>
    <m/>
    <x v="1"/>
    <m/>
    <n v="6.7"/>
    <d v="1899-12-30T00:00:00"/>
    <m/>
    <s v="0"/>
    <m/>
    <m/>
    <s v=""/>
    <m/>
    <s v=""/>
    <s v="-"/>
    <s v=""/>
    <s v=""/>
  </r>
  <r>
    <x v="2272"/>
    <m/>
    <m/>
    <x v="1"/>
    <m/>
    <s v=""/>
    <s v=""/>
    <m/>
    <s v="0"/>
    <m/>
    <m/>
    <s v=""/>
    <m/>
    <s v=""/>
    <s v="-"/>
    <s v=""/>
    <s v=""/>
  </r>
  <r>
    <x v="2273"/>
    <m/>
    <m/>
    <x v="102"/>
    <m/>
    <n v="5.0855335173981304"/>
    <d v="1899-12-30T00:00:00"/>
    <m/>
    <n v="36.125"/>
    <m/>
    <m/>
    <s v=""/>
    <m/>
    <n v="194.60000000000002"/>
    <s v="-"/>
    <n v="212.96"/>
    <s v=""/>
  </r>
  <r>
    <x v="2274"/>
    <m/>
    <m/>
    <x v="1"/>
    <m/>
    <n v="10.3"/>
    <d v="1899-12-30T00:00:00"/>
    <m/>
    <s v="0"/>
    <m/>
    <m/>
    <s v=""/>
    <m/>
    <s v=""/>
    <s v="-"/>
    <s v=""/>
    <s v=""/>
  </r>
  <r>
    <x v="2275"/>
    <m/>
    <m/>
    <x v="1"/>
    <m/>
    <s v=""/>
    <s v=""/>
    <m/>
    <s v="0"/>
    <m/>
    <m/>
    <s v=""/>
    <m/>
    <s v=""/>
    <s v="-"/>
    <s v=""/>
    <s v=""/>
  </r>
  <r>
    <x v="2276"/>
    <m/>
    <m/>
    <x v="1"/>
    <m/>
    <n v="8.1"/>
    <d v="1899-12-30T00:00:00"/>
    <m/>
    <s v="0"/>
    <m/>
    <m/>
    <s v=""/>
    <m/>
    <s v=""/>
    <s v="-"/>
    <s v=""/>
    <s v=""/>
  </r>
  <r>
    <x v="2277"/>
    <m/>
    <m/>
    <x v="102"/>
    <m/>
    <n v="5.0855335173981304"/>
    <d v="1899-12-30T00:00:00"/>
    <m/>
    <n v="36.125"/>
    <m/>
    <m/>
    <s v=""/>
    <m/>
    <n v="194.60000000000002"/>
    <s v="-"/>
    <n v="212.96"/>
    <s v=""/>
  </r>
  <r>
    <x v="2278"/>
    <m/>
    <m/>
    <x v="1"/>
    <m/>
    <n v="9.5"/>
    <d v="1899-12-30T00:00:00"/>
    <m/>
    <s v="0"/>
    <m/>
    <m/>
    <s v=""/>
    <m/>
    <s v=""/>
    <s v="-"/>
    <s v=""/>
    <s v=""/>
  </r>
  <r>
    <x v="2279"/>
    <m/>
    <m/>
    <x v="1"/>
    <m/>
    <s v=""/>
    <s v=""/>
    <m/>
    <s v="0"/>
    <m/>
    <m/>
    <s v=""/>
    <m/>
    <s v=""/>
    <s v="-"/>
    <s v=""/>
    <s v=""/>
  </r>
  <r>
    <x v="2280"/>
    <m/>
    <m/>
    <x v="102"/>
    <m/>
    <n v="5.0855335173981304"/>
    <d v="1899-12-30T00:00:00"/>
    <m/>
    <n v="36.125"/>
    <m/>
    <m/>
    <s v=""/>
    <m/>
    <n v="194.60000000000002"/>
    <s v="-"/>
    <n v="212.96"/>
    <s v=""/>
  </r>
  <r>
    <x v="2281"/>
    <m/>
    <m/>
    <x v="1"/>
    <m/>
    <n v="18.899999999999999"/>
    <d v="1899-12-30T00:00:00"/>
    <m/>
    <s v="0"/>
    <m/>
    <m/>
    <s v=""/>
    <m/>
    <s v=""/>
    <s v="-"/>
    <s v=""/>
    <s v=""/>
  </r>
  <r>
    <x v="2282"/>
    <m/>
    <m/>
    <x v="1"/>
    <m/>
    <s v=""/>
    <s v=""/>
    <m/>
    <s v="0"/>
    <m/>
    <m/>
    <s v=""/>
    <m/>
    <s v=""/>
    <s v="-"/>
    <s v=""/>
    <s v=""/>
  </r>
  <r>
    <x v="2283"/>
    <m/>
    <m/>
    <x v="102"/>
    <m/>
    <n v="5.0855335173981304"/>
    <d v="1899-12-30T00:00:00"/>
    <m/>
    <n v="36.125"/>
    <m/>
    <m/>
    <s v=""/>
    <m/>
    <n v="194.60000000000002"/>
    <s v="-"/>
    <n v="212.96"/>
    <s v=""/>
  </r>
  <r>
    <x v="2284"/>
    <m/>
    <m/>
    <x v="102"/>
    <m/>
    <n v="5.0855335173981304"/>
    <d v="1899-12-30T00:00:00"/>
    <m/>
    <n v="36.125"/>
    <m/>
    <m/>
    <s v=""/>
    <m/>
    <n v="194.60000000000002"/>
    <s v="-"/>
    <n v="212.96"/>
    <s v=""/>
  </r>
  <r>
    <x v="2285"/>
    <m/>
    <m/>
    <x v="1"/>
    <m/>
    <n v="8.3000000000000007"/>
    <d v="1899-12-30T00:00:00"/>
    <m/>
    <s v="0"/>
    <m/>
    <m/>
    <s v=""/>
    <m/>
    <s v=""/>
    <s v="-"/>
    <s v=""/>
    <s v=""/>
  </r>
  <r>
    <x v="2286"/>
    <m/>
    <m/>
    <x v="1"/>
    <m/>
    <s v=""/>
    <s v=""/>
    <m/>
    <s v="0"/>
    <m/>
    <m/>
    <s v=""/>
    <m/>
    <s v=""/>
    <s v="-"/>
    <s v=""/>
    <s v=""/>
  </r>
  <r>
    <x v="2287"/>
    <m/>
    <m/>
    <x v="102"/>
    <m/>
    <n v="5.0855335173981304"/>
    <d v="1899-12-30T00:00:00"/>
    <m/>
    <n v="36.125"/>
    <m/>
    <m/>
    <s v=""/>
    <m/>
    <n v="194.60000000000002"/>
    <s v="-"/>
    <n v="212.96"/>
    <s v=""/>
  </r>
  <r>
    <x v="2288"/>
    <m/>
    <m/>
    <x v="1"/>
    <m/>
    <n v="19.600000000000001"/>
    <d v="1899-12-30T00:00:00"/>
    <m/>
    <s v="0"/>
    <m/>
    <m/>
    <s v=""/>
    <m/>
    <s v=""/>
    <s v="-"/>
    <s v=""/>
    <s v=""/>
  </r>
  <r>
    <x v="2289"/>
    <m/>
    <m/>
    <x v="4"/>
    <m/>
    <n v="5"/>
    <d v="1899-12-30T00:00:00"/>
    <m/>
    <n v="40"/>
    <m/>
    <m/>
    <s v=""/>
    <m/>
    <s v=""/>
    <s v="-"/>
    <s v=""/>
    <s v=""/>
  </r>
  <r>
    <x v="2290"/>
    <m/>
    <m/>
    <x v="102"/>
    <m/>
    <n v="4.8"/>
    <d v="1899-12-30T00:00:00"/>
    <m/>
    <n v="36.125"/>
    <m/>
    <m/>
    <s v=""/>
    <m/>
    <n v="194.60000000000002"/>
    <s v="-"/>
    <n v="212.96"/>
    <s v=""/>
  </r>
  <r>
    <x v="2291"/>
    <m/>
    <m/>
    <x v="102"/>
    <m/>
    <n v="4.9000000000000004"/>
    <d v="1899-12-30T00:00:00"/>
    <m/>
    <n v="36.125"/>
    <m/>
    <m/>
    <s v=""/>
    <m/>
    <n v="194.60000000000002"/>
    <s v="-"/>
    <n v="212.96"/>
    <s v=""/>
  </r>
  <r>
    <x v="2292"/>
    <m/>
    <m/>
    <x v="1"/>
    <m/>
    <n v="7.7"/>
    <d v="1899-12-30T00:00:00"/>
    <m/>
    <s v="0"/>
    <m/>
    <m/>
    <s v=""/>
    <m/>
    <s v=""/>
    <s v="-"/>
    <s v=""/>
    <s v=""/>
  </r>
  <r>
    <x v="2293"/>
    <m/>
    <m/>
    <x v="1"/>
    <m/>
    <m/>
    <s v=""/>
    <m/>
    <s v="0"/>
    <m/>
    <m/>
    <s v=""/>
    <m/>
    <s v=""/>
    <s v="-"/>
    <s v=""/>
    <s v=""/>
  </r>
  <r>
    <x v="2294"/>
    <m/>
    <m/>
    <x v="102"/>
    <m/>
    <n v="4.9000000000000004"/>
    <d v="1899-12-30T00:00:00"/>
    <m/>
    <n v="36.125"/>
    <m/>
    <m/>
    <s v=""/>
    <m/>
    <n v="194.60000000000002"/>
    <s v="-"/>
    <n v="212.96"/>
    <s v=""/>
  </r>
  <r>
    <x v="2295"/>
    <m/>
    <m/>
    <x v="1"/>
    <m/>
    <n v="13.6"/>
    <d v="1899-12-30T00:00:00"/>
    <m/>
    <s v="0"/>
    <m/>
    <m/>
    <s v=""/>
    <m/>
    <s v=""/>
    <s v="-"/>
    <s v=""/>
    <s v=""/>
  </r>
  <r>
    <x v="2296"/>
    <m/>
    <m/>
    <x v="1"/>
    <m/>
    <m/>
    <s v=""/>
    <m/>
    <s v="0"/>
    <m/>
    <m/>
    <s v=""/>
    <m/>
    <s v=""/>
    <s v="-"/>
    <s v=""/>
    <s v=""/>
  </r>
  <r>
    <x v="2297"/>
    <m/>
    <m/>
    <x v="102"/>
    <m/>
    <n v="5"/>
    <d v="1899-12-30T00:00:00"/>
    <m/>
    <n v="36.125"/>
    <m/>
    <m/>
    <s v=""/>
    <m/>
    <n v="194.60000000000002"/>
    <s v="-"/>
    <n v="212.96"/>
    <s v=""/>
  </r>
  <r>
    <x v="2298"/>
    <m/>
    <m/>
    <x v="1"/>
    <m/>
    <n v="3.3"/>
    <d v="1899-12-30T00:00:00"/>
    <m/>
    <s v="0"/>
    <m/>
    <m/>
    <s v=""/>
    <m/>
    <s v=""/>
    <s v="-"/>
    <s v=""/>
    <s v=""/>
  </r>
  <r>
    <x v="2299"/>
    <m/>
    <m/>
    <x v="102"/>
    <m/>
    <n v="5"/>
    <d v="1899-12-30T00:00:00"/>
    <m/>
    <n v="36.125"/>
    <m/>
    <m/>
    <s v=""/>
    <m/>
    <n v="194.60000000000002"/>
    <s v="-"/>
    <n v="212.96"/>
    <s v=""/>
  </r>
  <r>
    <x v="2300"/>
    <m/>
    <m/>
    <x v="1"/>
    <m/>
    <m/>
    <s v=""/>
    <m/>
    <s v="0"/>
    <m/>
    <m/>
    <s v=""/>
    <m/>
    <s v=""/>
    <s v="-"/>
    <s v=""/>
    <s v=""/>
  </r>
  <r>
    <x v="2301"/>
    <m/>
    <m/>
    <x v="1"/>
    <m/>
    <n v="3.3"/>
    <d v="1899-12-30T00:00:00"/>
    <m/>
    <s v="0"/>
    <m/>
    <m/>
    <s v=""/>
    <m/>
    <s v=""/>
    <s v="-"/>
    <s v=""/>
    <s v=""/>
  </r>
  <r>
    <x v="2302"/>
    <m/>
    <m/>
    <x v="1"/>
    <m/>
    <m/>
    <s v=""/>
    <m/>
    <s v="0"/>
    <m/>
    <m/>
    <s v=""/>
    <m/>
    <s v=""/>
    <s v="-"/>
    <s v=""/>
    <s v=""/>
  </r>
  <r>
    <x v="2303"/>
    <m/>
    <m/>
    <x v="4"/>
    <m/>
    <n v="10"/>
    <d v="1899-12-30T00:00:00"/>
    <m/>
    <n v="80"/>
    <m/>
    <m/>
    <s v=""/>
    <m/>
    <s v=""/>
    <s v="-"/>
    <s v=""/>
    <s v=""/>
  </r>
  <r>
    <x v="2304"/>
    <m/>
    <m/>
    <x v="1"/>
    <m/>
    <s v=""/>
    <s v=""/>
    <m/>
    <s v="0"/>
    <m/>
    <m/>
    <s v=""/>
    <m/>
    <s v=""/>
    <s v="-"/>
    <s v=""/>
    <s v=""/>
  </r>
  <r>
    <x v="2305"/>
    <m/>
    <m/>
    <x v="1"/>
    <m/>
    <s v=""/>
    <s v=""/>
    <m/>
    <s v="0"/>
    <m/>
    <m/>
    <s v=""/>
    <m/>
    <s v=""/>
    <s v="-"/>
    <s v=""/>
    <s v=""/>
  </r>
  <r>
    <x v="2306"/>
    <m/>
    <m/>
    <x v="1"/>
    <m/>
    <s v=""/>
    <s v=""/>
    <m/>
    <s v="0"/>
    <m/>
    <m/>
    <s v=""/>
    <m/>
    <s v=""/>
    <s v="-"/>
    <s v=""/>
    <s v=""/>
  </r>
  <r>
    <x v="2307"/>
    <m/>
    <m/>
    <x v="1"/>
    <m/>
    <s v=""/>
    <s v=""/>
    <m/>
    <s v="0"/>
    <m/>
    <m/>
    <s v=""/>
    <m/>
    <s v=""/>
    <s v="-"/>
    <s v=""/>
    <s v=""/>
  </r>
  <r>
    <x v="2308"/>
    <m/>
    <m/>
    <x v="1"/>
    <m/>
    <s v=""/>
    <s v=""/>
    <m/>
    <s v="0"/>
    <m/>
    <m/>
    <s v=""/>
    <m/>
    <s v=""/>
    <s v="-"/>
    <s v=""/>
    <s v=""/>
  </r>
  <r>
    <x v="2309"/>
    <m/>
    <m/>
    <x v="1"/>
    <m/>
    <s v=""/>
    <s v=""/>
    <m/>
    <s v="0"/>
    <m/>
    <m/>
    <s v=""/>
    <m/>
    <s v=""/>
    <s v="-"/>
    <s v=""/>
    <s v=""/>
  </r>
  <r>
    <x v="2310"/>
    <m/>
    <m/>
    <x v="1"/>
    <m/>
    <m/>
    <s v=""/>
    <m/>
    <s v="0"/>
    <m/>
    <m/>
    <s v=""/>
    <m/>
    <s v=""/>
    <s v="-"/>
    <s v=""/>
    <s v=""/>
  </r>
  <r>
    <x v="2311"/>
    <m/>
    <m/>
    <x v="102"/>
    <m/>
    <n v="5.0855335173981304"/>
    <d v="1899-12-30T00:00:00"/>
    <m/>
    <n v="36.125"/>
    <m/>
    <m/>
    <s v=""/>
    <m/>
    <n v="194.60000000000002"/>
    <s v="-"/>
    <n v="212.96"/>
    <s v=""/>
  </r>
  <r>
    <x v="2312"/>
    <m/>
    <m/>
    <x v="1"/>
    <m/>
    <s v=""/>
    <s v=""/>
    <m/>
    <s v="0"/>
    <m/>
    <m/>
    <s v=""/>
    <m/>
    <s v=""/>
    <s v="-"/>
    <s v=""/>
    <s v=""/>
  </r>
  <r>
    <x v="2313"/>
    <m/>
    <m/>
    <x v="103"/>
    <m/>
    <n v="6.7807113565308406"/>
    <d v="1899-12-30T00:00:00"/>
    <m/>
    <n v="48.166666666666671"/>
    <m/>
    <m/>
    <s v=""/>
    <m/>
    <n v="194.60000000000002"/>
    <s v="-"/>
    <n v="212.96"/>
    <s v=""/>
  </r>
  <r>
    <x v="2314"/>
    <m/>
    <m/>
    <x v="1"/>
    <m/>
    <s v=""/>
    <s v=""/>
    <m/>
    <s v="0"/>
    <m/>
    <m/>
    <s v=""/>
    <m/>
    <s v=""/>
    <s v="-"/>
    <s v=""/>
    <s v=""/>
  </r>
  <r>
    <x v="2315"/>
    <m/>
    <m/>
    <x v="102"/>
    <m/>
    <n v="5.0855335173981304"/>
    <d v="1899-12-30T00:00:00"/>
    <m/>
    <n v="36.125"/>
    <m/>
    <m/>
    <s v=""/>
    <m/>
    <n v="194.60000000000002"/>
    <s v="-"/>
    <n v="212.96"/>
    <s v=""/>
  </r>
  <r>
    <x v="2316"/>
    <m/>
    <m/>
    <x v="1"/>
    <m/>
    <s v=""/>
    <s v=""/>
    <m/>
    <s v="0"/>
    <m/>
    <m/>
    <s v=""/>
    <m/>
    <s v=""/>
    <s v="-"/>
    <s v=""/>
    <s v=""/>
  </r>
  <r>
    <x v="2317"/>
    <m/>
    <m/>
    <x v="55"/>
    <m/>
    <n v="10.171067034796261"/>
    <d v="1899-12-30T00:00:00"/>
    <m/>
    <n v="72.25"/>
    <m/>
    <m/>
    <s v=""/>
    <m/>
    <n v="194.60000000000002"/>
    <s v="-"/>
    <n v="212.96"/>
    <s v=""/>
  </r>
  <r>
    <x v="2318"/>
    <m/>
    <m/>
    <x v="102"/>
    <m/>
    <n v="5.0855335173981304"/>
    <d v="1899-12-30T00:00:00"/>
    <m/>
    <n v="36.125"/>
    <m/>
    <m/>
    <s v=""/>
    <m/>
    <n v="194.60000000000002"/>
    <s v="-"/>
    <n v="212.96"/>
    <s v=""/>
  </r>
  <r>
    <x v="2319"/>
    <m/>
    <m/>
    <x v="1"/>
    <m/>
    <s v=""/>
    <s v=""/>
    <m/>
    <s v="0"/>
    <m/>
    <m/>
    <s v=""/>
    <m/>
    <s v=""/>
    <s v="-"/>
    <s v=""/>
    <s v=""/>
  </r>
  <r>
    <x v="2320"/>
    <m/>
    <m/>
    <x v="103"/>
    <m/>
    <n v="6.7807113565308406"/>
    <d v="1899-12-30T00:00:00"/>
    <m/>
    <n v="48.166666666666671"/>
    <m/>
    <m/>
    <s v=""/>
    <m/>
    <n v="194.60000000000002"/>
    <s v="-"/>
    <n v="212.96"/>
    <s v=""/>
  </r>
  <r>
    <x v="2321"/>
    <m/>
    <m/>
    <x v="1"/>
    <m/>
    <s v=""/>
    <s v=""/>
    <m/>
    <s v="0"/>
    <m/>
    <m/>
    <s v=""/>
    <m/>
    <s v=""/>
    <s v="-"/>
    <s v=""/>
    <s v=""/>
  </r>
  <r>
    <x v="2322"/>
    <m/>
    <m/>
    <x v="102"/>
    <m/>
    <n v="5.0855335173981304"/>
    <d v="1899-12-30T00:00:00"/>
    <m/>
    <n v="36.125"/>
    <m/>
    <m/>
    <s v=""/>
    <m/>
    <n v="194.60000000000002"/>
    <s v="-"/>
    <n v="212.96"/>
    <s v=""/>
  </r>
  <r>
    <x v="2323"/>
    <m/>
    <m/>
    <x v="1"/>
    <m/>
    <s v=""/>
    <s v=""/>
    <m/>
    <s v="0"/>
    <m/>
    <m/>
    <s v=""/>
    <m/>
    <s v=""/>
    <s v="-"/>
    <s v=""/>
    <s v=""/>
  </r>
  <r>
    <x v="2324"/>
    <m/>
    <m/>
    <x v="55"/>
    <m/>
    <n v="10.171067034796261"/>
    <d v="1899-12-30T00:00:00"/>
    <m/>
    <n v="72.25"/>
    <m/>
    <m/>
    <s v=""/>
    <m/>
    <n v="194.60000000000002"/>
    <s v="-"/>
    <n v="212.96"/>
    <s v=""/>
  </r>
  <r>
    <x v="2325"/>
    <m/>
    <m/>
    <x v="102"/>
    <m/>
    <n v="5.0855335173981304"/>
    <d v="1899-12-30T00:00:00"/>
    <m/>
    <n v="36.125"/>
    <m/>
    <m/>
    <s v=""/>
    <m/>
    <n v="194.60000000000002"/>
    <s v="-"/>
    <n v="212.96"/>
    <s v=""/>
  </r>
  <r>
    <x v="2326"/>
    <m/>
    <m/>
    <x v="1"/>
    <m/>
    <s v=""/>
    <s v=""/>
    <m/>
    <s v="0"/>
    <m/>
    <m/>
    <s v=""/>
    <m/>
    <s v=""/>
    <s v="-"/>
    <s v=""/>
    <s v=""/>
  </r>
  <r>
    <x v="2327"/>
    <m/>
    <m/>
    <x v="103"/>
    <m/>
    <n v="6.7807113565308406"/>
    <d v="1899-12-30T00:00:00"/>
    <m/>
    <n v="48.166666666666671"/>
    <m/>
    <m/>
    <s v=""/>
    <m/>
    <n v="194.60000000000002"/>
    <s v="-"/>
    <n v="212.96"/>
    <s v=""/>
  </r>
  <r>
    <x v="2328"/>
    <m/>
    <m/>
    <x v="1"/>
    <m/>
    <s v=""/>
    <s v=""/>
    <m/>
    <s v="0"/>
    <m/>
    <m/>
    <s v=""/>
    <m/>
    <s v=""/>
    <s v="-"/>
    <s v=""/>
    <s v=""/>
  </r>
  <r>
    <x v="2329"/>
    <m/>
    <m/>
    <x v="102"/>
    <m/>
    <n v="5.0855335173981304"/>
    <d v="1899-12-30T00:00:00"/>
    <m/>
    <n v="36.125"/>
    <m/>
    <m/>
    <s v=""/>
    <m/>
    <n v="194.60000000000002"/>
    <s v="-"/>
    <n v="212.96"/>
    <s v=""/>
  </r>
  <r>
    <x v="2330"/>
    <m/>
    <m/>
    <x v="1"/>
    <m/>
    <s v=""/>
    <s v=""/>
    <m/>
    <s v="0"/>
    <m/>
    <m/>
    <s v=""/>
    <m/>
    <s v=""/>
    <s v="-"/>
    <s v=""/>
    <s v=""/>
  </r>
  <r>
    <x v="2331"/>
    <m/>
    <m/>
    <x v="55"/>
    <m/>
    <n v="10.171067034796261"/>
    <d v="1899-12-30T00:00:00"/>
    <m/>
    <n v="72.25"/>
    <m/>
    <m/>
    <s v=""/>
    <m/>
    <n v="194.60000000000002"/>
    <s v="-"/>
    <n v="212.96"/>
    <s v=""/>
  </r>
  <r>
    <x v="2332"/>
    <m/>
    <m/>
    <x v="102"/>
    <m/>
    <n v="5.0855335173981304"/>
    <d v="1899-12-30T00:00:00"/>
    <m/>
    <n v="36.125"/>
    <m/>
    <m/>
    <s v=""/>
    <m/>
    <n v="194.60000000000002"/>
    <s v="-"/>
    <n v="212.96"/>
    <s v=""/>
  </r>
  <r>
    <x v="2333"/>
    <m/>
    <m/>
    <x v="1"/>
    <m/>
    <s v=""/>
    <s v=""/>
    <m/>
    <s v="0"/>
    <m/>
    <m/>
    <s v=""/>
    <m/>
    <s v=""/>
    <s v="-"/>
    <s v=""/>
    <s v=""/>
  </r>
  <r>
    <x v="2334"/>
    <m/>
    <m/>
    <x v="103"/>
    <m/>
    <n v="6.7807113565308406"/>
    <d v="1899-12-30T00:00:00"/>
    <m/>
    <n v="48.166666666666671"/>
    <m/>
    <m/>
    <s v=""/>
    <m/>
    <n v="194.60000000000002"/>
    <s v="-"/>
    <n v="212.96"/>
    <s v=""/>
  </r>
  <r>
    <x v="2335"/>
    <m/>
    <m/>
    <x v="1"/>
    <m/>
    <s v=""/>
    <s v=""/>
    <m/>
    <s v="0"/>
    <m/>
    <m/>
    <s v=""/>
    <m/>
    <s v=""/>
    <s v="-"/>
    <s v=""/>
    <s v=""/>
  </r>
  <r>
    <x v="2336"/>
    <m/>
    <m/>
    <x v="102"/>
    <m/>
    <n v="5.0855335173981304"/>
    <d v="1899-12-30T00:00:00"/>
    <m/>
    <n v="36.125"/>
    <m/>
    <m/>
    <s v=""/>
    <m/>
    <n v="194.60000000000002"/>
    <s v="-"/>
    <n v="212.96"/>
    <s v=""/>
  </r>
  <r>
    <x v="2337"/>
    <m/>
    <m/>
    <x v="1"/>
    <m/>
    <s v=""/>
    <s v=""/>
    <m/>
    <s v="0"/>
    <m/>
    <m/>
    <s v=""/>
    <m/>
    <s v=""/>
    <s v="-"/>
    <s v=""/>
    <s v=""/>
  </r>
  <r>
    <x v="2338"/>
    <m/>
    <m/>
    <x v="55"/>
    <m/>
    <n v="10.171067034796261"/>
    <d v="1899-12-30T00:00:00"/>
    <m/>
    <n v="72.25"/>
    <m/>
    <m/>
    <s v=""/>
    <m/>
    <n v="194.60000000000002"/>
    <s v="-"/>
    <n v="212.96"/>
    <s v=""/>
  </r>
  <r>
    <x v="2339"/>
    <m/>
    <m/>
    <x v="102"/>
    <m/>
    <n v="5.0855335173981304"/>
    <d v="1899-12-30T00:00:00"/>
    <m/>
    <n v="36.125"/>
    <m/>
    <m/>
    <s v=""/>
    <m/>
    <n v="194.60000000000002"/>
    <s v="-"/>
    <n v="212.96"/>
    <s v=""/>
  </r>
  <r>
    <x v="2340"/>
    <m/>
    <m/>
    <x v="102"/>
    <m/>
    <n v="5.0855335173981304"/>
    <d v="1899-12-30T00:00:00"/>
    <m/>
    <n v="36.125"/>
    <m/>
    <m/>
    <s v=""/>
    <m/>
    <n v="194.60000000000002"/>
    <s v="-"/>
    <n v="212.96"/>
    <s v=""/>
  </r>
  <r>
    <x v="2341"/>
    <m/>
    <m/>
    <x v="1"/>
    <m/>
    <s v=""/>
    <s v=""/>
    <m/>
    <s v="0"/>
    <m/>
    <m/>
    <s v=""/>
    <m/>
    <s v=""/>
    <s v="-"/>
    <s v=""/>
    <s v=""/>
  </r>
  <r>
    <x v="2342"/>
    <m/>
    <m/>
    <x v="103"/>
    <m/>
    <n v="6.7807113565308406"/>
    <d v="1899-12-30T00:00:00"/>
    <m/>
    <n v="48.166666666666671"/>
    <m/>
    <m/>
    <s v=""/>
    <m/>
    <n v="194.60000000000002"/>
    <s v="-"/>
    <n v="212.96"/>
    <s v=""/>
  </r>
  <r>
    <x v="2343"/>
    <m/>
    <m/>
    <x v="102"/>
    <m/>
    <n v="5.0855335173981304"/>
    <d v="1899-12-30T00:00:00"/>
    <m/>
    <n v="36.125"/>
    <m/>
    <m/>
    <s v=""/>
    <m/>
    <n v="194.60000000000002"/>
    <s v="-"/>
    <n v="212.96"/>
    <s v=""/>
  </r>
  <r>
    <x v="2344"/>
    <m/>
    <m/>
    <x v="1"/>
    <m/>
    <s v=""/>
    <s v=""/>
    <m/>
    <s v="0"/>
    <m/>
    <m/>
    <s v=""/>
    <m/>
    <s v=""/>
    <s v="-"/>
    <s v=""/>
    <s v=""/>
  </r>
  <r>
    <x v="2345"/>
    <m/>
    <m/>
    <x v="55"/>
    <m/>
    <n v="10.171067034796261"/>
    <d v="1899-12-30T00:00:00"/>
    <m/>
    <n v="72.25"/>
    <m/>
    <m/>
    <s v=""/>
    <m/>
    <n v="194.60000000000002"/>
    <s v="-"/>
    <n v="212.96"/>
    <s v=""/>
  </r>
  <r>
    <x v="2346"/>
    <m/>
    <m/>
    <x v="102"/>
    <m/>
    <n v="5.0855335173981304"/>
    <d v="1899-12-30T00:00:00"/>
    <m/>
    <n v="36.125"/>
    <m/>
    <m/>
    <s v=""/>
    <m/>
    <n v="194.60000000000002"/>
    <s v="-"/>
    <n v="212.96"/>
    <s v=""/>
  </r>
  <r>
    <x v="2347"/>
    <m/>
    <m/>
    <x v="102"/>
    <m/>
    <n v="5.0855335173981304"/>
    <d v="1899-12-30T00:00:00"/>
    <m/>
    <n v="36.125"/>
    <m/>
    <m/>
    <s v=""/>
    <m/>
    <n v="194.60000000000002"/>
    <s v="-"/>
    <n v="212.96"/>
    <s v=""/>
  </r>
  <r>
    <x v="2348"/>
    <m/>
    <m/>
    <x v="1"/>
    <m/>
    <s v=""/>
    <s v=""/>
    <m/>
    <s v="0"/>
    <m/>
    <m/>
    <s v=""/>
    <m/>
    <s v=""/>
    <s v="-"/>
    <s v=""/>
    <s v=""/>
  </r>
  <r>
    <x v="2349"/>
    <m/>
    <m/>
    <x v="103"/>
    <m/>
    <n v="6.7807113565308406"/>
    <d v="1899-12-30T00:00:00"/>
    <m/>
    <n v="48.166666666666671"/>
    <m/>
    <m/>
    <s v=""/>
    <m/>
    <n v="194.60000000000002"/>
    <s v="-"/>
    <n v="212.96"/>
    <s v=""/>
  </r>
  <r>
    <x v="2350"/>
    <m/>
    <m/>
    <x v="102"/>
    <m/>
    <n v="5.0855335173981304"/>
    <d v="1899-12-30T00:00:00"/>
    <m/>
    <n v="36.125"/>
    <m/>
    <m/>
    <s v=""/>
    <m/>
    <n v="194.60000000000002"/>
    <s v="-"/>
    <n v="212.96"/>
    <s v=""/>
  </r>
  <r>
    <x v="2351"/>
    <m/>
    <m/>
    <x v="1"/>
    <m/>
    <s v=""/>
    <s v=""/>
    <m/>
    <s v="0"/>
    <m/>
    <m/>
    <s v=""/>
    <m/>
    <s v=""/>
    <s v="-"/>
    <s v=""/>
    <s v=""/>
  </r>
  <r>
    <x v="2352"/>
    <m/>
    <m/>
    <x v="55"/>
    <m/>
    <n v="10.171067034796261"/>
    <d v="1899-12-30T00:00:00"/>
    <m/>
    <n v="72.25"/>
    <m/>
    <m/>
    <s v=""/>
    <m/>
    <n v="194.60000000000002"/>
    <s v="-"/>
    <n v="212.96"/>
    <s v=""/>
  </r>
  <r>
    <x v="2353"/>
    <m/>
    <m/>
    <x v="102"/>
    <m/>
    <n v="5.0855335173981304"/>
    <d v="1899-12-30T00:00:00"/>
    <m/>
    <n v="36.125"/>
    <m/>
    <m/>
    <s v=""/>
    <m/>
    <n v="194.60000000000002"/>
    <s v="-"/>
    <n v="212.96"/>
    <s v=""/>
  </r>
  <r>
    <x v="2354"/>
    <m/>
    <m/>
    <x v="102"/>
    <m/>
    <n v="5.0855335173981304"/>
    <d v="1899-12-30T00:00:00"/>
    <m/>
    <n v="36.125"/>
    <m/>
    <m/>
    <s v=""/>
    <m/>
    <n v="194.60000000000002"/>
    <s v="-"/>
    <n v="212.96"/>
    <s v=""/>
  </r>
  <r>
    <x v="2355"/>
    <m/>
    <m/>
    <x v="1"/>
    <m/>
    <s v=""/>
    <s v=""/>
    <m/>
    <s v="0"/>
    <m/>
    <m/>
    <s v=""/>
    <m/>
    <s v=""/>
    <s v="-"/>
    <s v=""/>
    <s v=""/>
  </r>
  <r>
    <x v="2356"/>
    <m/>
    <m/>
    <x v="103"/>
    <m/>
    <n v="6.7807113565308406"/>
    <d v="1899-12-30T00:00:00"/>
    <m/>
    <n v="48.166666666666671"/>
    <m/>
    <m/>
    <s v=""/>
    <m/>
    <n v="194.60000000000002"/>
    <s v="-"/>
    <n v="212.96"/>
    <s v=""/>
  </r>
  <r>
    <x v="2357"/>
    <m/>
    <m/>
    <x v="102"/>
    <m/>
    <n v="5.0855335173981304"/>
    <d v="1899-12-30T00:00:00"/>
    <m/>
    <n v="36.125"/>
    <m/>
    <m/>
    <s v=""/>
    <m/>
    <n v="194.60000000000002"/>
    <s v="-"/>
    <n v="212.96"/>
    <s v=""/>
  </r>
  <r>
    <x v="2358"/>
    <m/>
    <m/>
    <x v="1"/>
    <m/>
    <s v=""/>
    <s v=""/>
    <m/>
    <s v="0"/>
    <m/>
    <m/>
    <s v=""/>
    <m/>
    <s v=""/>
    <s v="-"/>
    <s v=""/>
    <s v=""/>
  </r>
  <r>
    <x v="2359"/>
    <m/>
    <m/>
    <x v="55"/>
    <m/>
    <n v="10.171067034796261"/>
    <d v="1899-12-30T00:00:00"/>
    <m/>
    <n v="72.25"/>
    <m/>
    <m/>
    <s v=""/>
    <m/>
    <n v="194.60000000000002"/>
    <s v="-"/>
    <n v="212.96"/>
    <s v=""/>
  </r>
  <r>
    <x v="2360"/>
    <m/>
    <m/>
    <x v="102"/>
    <m/>
    <n v="5.0855335173981304"/>
    <d v="1899-12-30T00:00:00"/>
    <m/>
    <n v="36.125"/>
    <m/>
    <m/>
    <s v=""/>
    <m/>
    <n v="194.60000000000002"/>
    <s v="-"/>
    <n v="212.96"/>
    <s v=""/>
  </r>
  <r>
    <x v="2361"/>
    <m/>
    <m/>
    <x v="102"/>
    <m/>
    <n v="5.0855335173981304"/>
    <d v="1899-12-30T00:00:00"/>
    <m/>
    <n v="36.125"/>
    <m/>
    <m/>
    <s v=""/>
    <m/>
    <n v="194.60000000000002"/>
    <s v="-"/>
    <n v="212.96"/>
    <s v=""/>
  </r>
  <r>
    <x v="2362"/>
    <m/>
    <m/>
    <x v="1"/>
    <m/>
    <s v=""/>
    <s v=""/>
    <m/>
    <s v="0"/>
    <m/>
    <m/>
    <s v=""/>
    <m/>
    <s v=""/>
    <s v="-"/>
    <s v=""/>
    <s v=""/>
  </r>
  <r>
    <x v="2363"/>
    <m/>
    <m/>
    <x v="103"/>
    <m/>
    <n v="6.7807113565308406"/>
    <d v="1899-12-30T00:00:00"/>
    <m/>
    <n v="48.166666666666671"/>
    <m/>
    <m/>
    <s v=""/>
    <m/>
    <n v="194.60000000000002"/>
    <s v="-"/>
    <n v="212.96"/>
    <s v=""/>
  </r>
  <r>
    <x v="2364"/>
    <m/>
    <m/>
    <x v="102"/>
    <m/>
    <n v="5.0855335173981304"/>
    <d v="1899-12-30T00:00:00"/>
    <m/>
    <n v="36.125"/>
    <m/>
    <m/>
    <s v=""/>
    <m/>
    <n v="194.60000000000002"/>
    <s v="-"/>
    <n v="212.96"/>
    <s v=""/>
  </r>
  <r>
    <x v="2365"/>
    <m/>
    <m/>
    <x v="1"/>
    <m/>
    <s v=""/>
    <s v=""/>
    <m/>
    <s v="0"/>
    <m/>
    <m/>
    <s v=""/>
    <m/>
    <s v=""/>
    <s v="-"/>
    <s v=""/>
    <s v=""/>
  </r>
  <r>
    <x v="2366"/>
    <m/>
    <m/>
    <x v="55"/>
    <m/>
    <n v="10.171067034796261"/>
    <d v="1899-12-30T00:00:00"/>
    <m/>
    <n v="72.25"/>
    <m/>
    <m/>
    <s v=""/>
    <m/>
    <n v="194.60000000000002"/>
    <s v="-"/>
    <n v="212.96"/>
    <s v=""/>
  </r>
  <r>
    <x v="2367"/>
    <m/>
    <m/>
    <x v="102"/>
    <m/>
    <n v="5.0855335173981304"/>
    <d v="1899-12-30T00:00:00"/>
    <m/>
    <n v="36.125"/>
    <m/>
    <m/>
    <s v=""/>
    <m/>
    <n v="194.60000000000002"/>
    <s v="-"/>
    <n v="212.96"/>
    <s v=""/>
  </r>
  <r>
    <x v="2368"/>
    <m/>
    <m/>
    <x v="102"/>
    <m/>
    <n v="5.0855335173981304"/>
    <d v="1899-12-30T00:00:00"/>
    <m/>
    <n v="36.125"/>
    <m/>
    <m/>
    <s v=""/>
    <m/>
    <n v="194.60000000000002"/>
    <s v="-"/>
    <n v="212.96"/>
    <s v=""/>
  </r>
  <r>
    <x v="2369"/>
    <m/>
    <m/>
    <x v="1"/>
    <m/>
    <s v=""/>
    <s v=""/>
    <m/>
    <s v="0"/>
    <m/>
    <m/>
    <s v=""/>
    <m/>
    <s v=""/>
    <s v="-"/>
    <s v=""/>
    <s v=""/>
  </r>
  <r>
    <x v="2370"/>
    <m/>
    <m/>
    <x v="103"/>
    <m/>
    <n v="6.7807113565308406"/>
    <d v="1899-12-30T00:00:00"/>
    <m/>
    <n v="48.166666666666671"/>
    <m/>
    <m/>
    <s v=""/>
    <m/>
    <n v="194.60000000000002"/>
    <s v="-"/>
    <n v="212.96"/>
    <s v=""/>
  </r>
  <r>
    <x v="2371"/>
    <m/>
    <m/>
    <x v="102"/>
    <m/>
    <n v="5.0855335173981304"/>
    <d v="1899-12-30T00:00:00"/>
    <m/>
    <n v="36.125"/>
    <m/>
    <m/>
    <s v=""/>
    <m/>
    <n v="194.60000000000002"/>
    <s v="-"/>
    <n v="212.96"/>
    <s v=""/>
  </r>
  <r>
    <x v="2372"/>
    <m/>
    <m/>
    <x v="1"/>
    <m/>
    <s v=""/>
    <s v=""/>
    <m/>
    <s v="0"/>
    <m/>
    <m/>
    <s v=""/>
    <m/>
    <s v=""/>
    <s v="-"/>
    <s v=""/>
    <s v=""/>
  </r>
  <r>
    <x v="2373"/>
    <m/>
    <m/>
    <x v="55"/>
    <m/>
    <n v="10.171067034796261"/>
    <d v="1899-12-30T00:00:00"/>
    <m/>
    <n v="72.25"/>
    <m/>
    <m/>
    <s v=""/>
    <m/>
    <n v="194.60000000000002"/>
    <s v="-"/>
    <n v="212.96"/>
    <s v=""/>
  </r>
  <r>
    <x v="2374"/>
    <m/>
    <m/>
    <x v="102"/>
    <m/>
    <n v="5.0855335173981304"/>
    <d v="1899-12-30T00:00:00"/>
    <m/>
    <n v="36.125"/>
    <m/>
    <m/>
    <s v=""/>
    <m/>
    <n v="194.60000000000002"/>
    <s v="-"/>
    <n v="212.96"/>
    <s v=""/>
  </r>
  <r>
    <x v="2375"/>
    <m/>
    <m/>
    <x v="102"/>
    <m/>
    <n v="5.0855335173981304"/>
    <d v="1899-12-30T00:00:00"/>
    <m/>
    <n v="36.125"/>
    <m/>
    <m/>
    <s v=""/>
    <m/>
    <n v="194.60000000000002"/>
    <s v="-"/>
    <n v="212.96"/>
    <s v=""/>
  </r>
  <r>
    <x v="2376"/>
    <m/>
    <m/>
    <x v="1"/>
    <m/>
    <s v=""/>
    <s v=""/>
    <m/>
    <s v="0"/>
    <m/>
    <m/>
    <s v=""/>
    <m/>
    <s v=""/>
    <s v="-"/>
    <s v=""/>
    <s v=""/>
  </r>
  <r>
    <x v="2377"/>
    <m/>
    <m/>
    <x v="103"/>
    <m/>
    <n v="6.7807113565308406"/>
    <d v="1899-12-30T00:00:00"/>
    <m/>
    <n v="48.166666666666671"/>
    <m/>
    <m/>
    <s v=""/>
    <m/>
    <n v="194.60000000000002"/>
    <s v="-"/>
    <n v="212.96"/>
    <s v=""/>
  </r>
  <r>
    <x v="2378"/>
    <m/>
    <m/>
    <x v="102"/>
    <m/>
    <n v="5.0855335173981304"/>
    <d v="1899-12-30T00:00:00"/>
    <m/>
    <n v="36.125"/>
    <m/>
    <m/>
    <s v=""/>
    <m/>
    <n v="194.60000000000002"/>
    <s v="-"/>
    <n v="212.96"/>
    <s v=""/>
  </r>
  <r>
    <x v="2379"/>
    <m/>
    <m/>
    <x v="1"/>
    <m/>
    <s v=""/>
    <s v=""/>
    <m/>
    <s v="0"/>
    <m/>
    <m/>
    <s v=""/>
    <m/>
    <s v=""/>
    <s v="-"/>
    <s v=""/>
    <s v=""/>
  </r>
  <r>
    <x v="2380"/>
    <m/>
    <m/>
    <x v="55"/>
    <m/>
    <n v="10.171067034796261"/>
    <d v="1899-12-30T00:00:00"/>
    <m/>
    <n v="72.25"/>
    <m/>
    <m/>
    <s v=""/>
    <m/>
    <n v="194.60000000000002"/>
    <s v="-"/>
    <n v="212.96"/>
    <s v=""/>
  </r>
  <r>
    <x v="2381"/>
    <m/>
    <m/>
    <x v="102"/>
    <m/>
    <n v="5.0855335173981304"/>
    <d v="1899-12-30T00:00:00"/>
    <m/>
    <n v="36.125"/>
    <m/>
    <m/>
    <s v=""/>
    <m/>
    <n v="194.60000000000002"/>
    <s v="-"/>
    <n v="212.96"/>
    <s v=""/>
  </r>
  <r>
    <x v="2382"/>
    <m/>
    <m/>
    <x v="102"/>
    <m/>
    <n v="5.0855335173981304"/>
    <d v="1899-12-30T00:00:00"/>
    <m/>
    <n v="36.125"/>
    <m/>
    <m/>
    <s v=""/>
    <m/>
    <n v="194.60000000000002"/>
    <s v="-"/>
    <n v="212.96"/>
    <s v=""/>
  </r>
  <r>
    <x v="2383"/>
    <m/>
    <m/>
    <x v="1"/>
    <m/>
    <s v=""/>
    <s v=""/>
    <m/>
    <s v="0"/>
    <m/>
    <m/>
    <s v=""/>
    <m/>
    <s v=""/>
    <s v="-"/>
    <s v=""/>
    <s v=""/>
  </r>
  <r>
    <x v="2384"/>
    <m/>
    <m/>
    <x v="103"/>
    <m/>
    <n v="6.7807113565308406"/>
    <d v="1899-12-30T00:00:00"/>
    <m/>
    <n v="48.166666666666671"/>
    <m/>
    <m/>
    <s v=""/>
    <m/>
    <n v="194.60000000000002"/>
    <s v="-"/>
    <n v="212.96"/>
    <s v=""/>
  </r>
  <r>
    <x v="2385"/>
    <m/>
    <m/>
    <x v="102"/>
    <m/>
    <n v="5.0855335173981304"/>
    <d v="1899-12-30T00:00:00"/>
    <m/>
    <n v="36.125"/>
    <m/>
    <m/>
    <s v=""/>
    <m/>
    <n v="194.60000000000002"/>
    <s v="-"/>
    <n v="212.96"/>
    <s v=""/>
  </r>
  <r>
    <x v="2386"/>
    <m/>
    <m/>
    <x v="1"/>
    <m/>
    <s v=""/>
    <s v=""/>
    <m/>
    <s v="0"/>
    <m/>
    <m/>
    <s v=""/>
    <m/>
    <s v=""/>
    <s v="-"/>
    <s v=""/>
    <s v=""/>
  </r>
  <r>
    <x v="2387"/>
    <m/>
    <m/>
    <x v="55"/>
    <m/>
    <n v="10.171067034796261"/>
    <d v="1899-12-30T00:00:00"/>
    <m/>
    <n v="72.25"/>
    <m/>
    <m/>
    <s v=""/>
    <m/>
    <n v="194.60000000000002"/>
    <s v="-"/>
    <n v="212.96"/>
    <s v=""/>
  </r>
  <r>
    <x v="2388"/>
    <m/>
    <m/>
    <x v="102"/>
    <m/>
    <n v="5.0855335173981304"/>
    <d v="1899-12-30T00:00:00"/>
    <m/>
    <n v="36.125"/>
    <m/>
    <m/>
    <s v=""/>
    <m/>
    <n v="194.60000000000002"/>
    <s v="-"/>
    <n v="212.96"/>
    <s v=""/>
  </r>
  <r>
    <x v="2389"/>
    <m/>
    <m/>
    <x v="102"/>
    <m/>
    <n v="5.0855335173981304"/>
    <d v="1899-12-30T00:00:00"/>
    <m/>
    <n v="36.125"/>
    <m/>
    <m/>
    <s v=""/>
    <m/>
    <n v="194.60000000000002"/>
    <s v="-"/>
    <n v="212.96"/>
    <s v=""/>
  </r>
  <r>
    <x v="2390"/>
    <m/>
    <m/>
    <x v="1"/>
    <m/>
    <s v=""/>
    <s v=""/>
    <m/>
    <s v="0"/>
    <m/>
    <m/>
    <s v=""/>
    <m/>
    <s v=""/>
    <s v="-"/>
    <s v=""/>
    <s v=""/>
  </r>
  <r>
    <x v="2391"/>
    <m/>
    <m/>
    <x v="103"/>
    <m/>
    <n v="6.7807113565308406"/>
    <d v="1899-12-30T00:00:00"/>
    <m/>
    <n v="48.166666666666671"/>
    <m/>
    <m/>
    <s v=""/>
    <m/>
    <n v="194.60000000000002"/>
    <s v="-"/>
    <n v="212.96"/>
    <s v=""/>
  </r>
  <r>
    <x v="2392"/>
    <m/>
    <m/>
    <x v="102"/>
    <m/>
    <n v="5.0855335173981304"/>
    <d v="1899-12-30T00:00:00"/>
    <m/>
    <n v="36.125"/>
    <m/>
    <m/>
    <s v=""/>
    <m/>
    <n v="194.60000000000002"/>
    <s v="-"/>
    <n v="212.96"/>
    <s v=""/>
  </r>
  <r>
    <x v="2393"/>
    <m/>
    <m/>
    <x v="1"/>
    <m/>
    <s v=""/>
    <s v=""/>
    <m/>
    <s v="0"/>
    <m/>
    <m/>
    <s v=""/>
    <m/>
    <s v=""/>
    <s v="-"/>
    <s v=""/>
    <s v=""/>
  </r>
  <r>
    <x v="2394"/>
    <m/>
    <m/>
    <x v="55"/>
    <m/>
    <n v="10.171067034796261"/>
    <d v="1899-12-30T00:00:00"/>
    <m/>
    <n v="72.25"/>
    <m/>
    <m/>
    <s v=""/>
    <m/>
    <n v="194.60000000000002"/>
    <s v="-"/>
    <n v="212.96"/>
    <s v=""/>
  </r>
  <r>
    <x v="2395"/>
    <m/>
    <m/>
    <x v="88"/>
    <m/>
    <n v="7.6283002760971961"/>
    <d v="1899-12-30T00:00:00"/>
    <m/>
    <n v="54.1875"/>
    <m/>
    <m/>
    <s v=""/>
    <m/>
    <n v="194.60000000000002"/>
    <s v="-"/>
    <n v="212.96"/>
    <s v=""/>
  </r>
  <r>
    <x v="2396"/>
    <m/>
    <m/>
    <x v="88"/>
    <m/>
    <n v="7.6283002760971961"/>
    <d v="1899-12-30T00:00:00"/>
    <m/>
    <n v="54.1875"/>
    <m/>
    <m/>
    <s v=""/>
    <m/>
    <n v="194.60000000000002"/>
    <s v="-"/>
    <n v="212.96"/>
    <s v=""/>
  </r>
  <r>
    <x v="2397"/>
    <m/>
    <m/>
    <x v="94"/>
    <m/>
    <n v="7.5625738372723088"/>
    <d v="1899-12-30T00:00:00"/>
    <m/>
    <n v="58.644125782313438"/>
    <m/>
    <m/>
    <s v=""/>
    <m/>
    <n v="279.29999999999995"/>
    <s v="-"/>
    <n v="314.60000000000002"/>
    <s v=""/>
  </r>
  <r>
    <x v="2398"/>
    <m/>
    <m/>
    <x v="88"/>
    <m/>
    <n v="7.6283002760971961"/>
    <d v="1899-12-30T00:00:00"/>
    <m/>
    <n v="54.1875"/>
    <m/>
    <m/>
    <s v=""/>
    <m/>
    <n v="194.60000000000002"/>
    <s v="-"/>
    <n v="212.96"/>
    <s v=""/>
  </r>
  <r>
    <x v="2399"/>
    <m/>
    <m/>
    <x v="88"/>
    <m/>
    <n v="7.6283002760971961"/>
    <d v="1899-12-30T00:00:00"/>
    <m/>
    <n v="54.1875"/>
    <m/>
    <m/>
    <s v=""/>
    <m/>
    <n v="194.60000000000002"/>
    <s v="-"/>
    <n v="212.96"/>
    <s v=""/>
  </r>
  <r>
    <x v="2400"/>
    <m/>
    <m/>
    <x v="62"/>
    <m/>
    <n v="15.256600552194392"/>
    <d v="1899-12-30T00:00:00"/>
    <m/>
    <n v="108.375"/>
    <m/>
    <m/>
    <s v=""/>
    <m/>
    <n v="194.60000000000002"/>
    <s v="-"/>
    <n v="212.96"/>
    <s v=""/>
  </r>
  <r>
    <x v="2401"/>
    <m/>
    <m/>
    <x v="1"/>
    <m/>
    <s v=""/>
    <s v=""/>
    <m/>
    <s v="0"/>
    <m/>
    <m/>
    <s v=""/>
    <m/>
    <s v=""/>
    <s v="-"/>
    <s v=""/>
    <s v=""/>
  </r>
  <r>
    <x v="2402"/>
    <m/>
    <m/>
    <x v="88"/>
    <m/>
    <n v="7.6283002760971961"/>
    <d v="1899-12-30T00:00:00"/>
    <m/>
    <n v="54.1875"/>
    <m/>
    <m/>
    <s v=""/>
    <m/>
    <n v="194.60000000000002"/>
    <s v="-"/>
    <n v="212.96"/>
    <s v=""/>
  </r>
  <r>
    <x v="2403"/>
    <m/>
    <m/>
    <x v="88"/>
    <m/>
    <n v="7.6283002760971961"/>
    <d v="1899-12-30T00:00:00"/>
    <m/>
    <n v="54.1875"/>
    <m/>
    <m/>
    <s v=""/>
    <m/>
    <n v="194.60000000000002"/>
    <s v="-"/>
    <n v="212.96"/>
    <s v=""/>
  </r>
  <r>
    <x v="2404"/>
    <m/>
    <m/>
    <x v="94"/>
    <m/>
    <n v="7.5625738372723088"/>
    <d v="1899-12-30T00:00:00"/>
    <m/>
    <n v="58.644125782313438"/>
    <m/>
    <m/>
    <s v=""/>
    <m/>
    <n v="279.29999999999995"/>
    <s v="-"/>
    <n v="314.60000000000002"/>
    <s v=""/>
  </r>
  <r>
    <x v="2405"/>
    <m/>
    <m/>
    <x v="88"/>
    <m/>
    <n v="7.6283002760971961"/>
    <d v="1899-12-30T00:00:00"/>
    <m/>
    <n v="54.1875"/>
    <m/>
    <m/>
    <s v=""/>
    <m/>
    <n v="194.60000000000002"/>
    <s v="-"/>
    <n v="212.96"/>
    <s v=""/>
  </r>
  <r>
    <x v="2406"/>
    <m/>
    <m/>
    <x v="88"/>
    <m/>
    <n v="7.6283002760971961"/>
    <d v="1899-12-30T00:00:00"/>
    <m/>
    <n v="54.1875"/>
    <m/>
    <m/>
    <s v=""/>
    <m/>
    <n v="194.60000000000002"/>
    <s v="-"/>
    <n v="212.96"/>
    <s v=""/>
  </r>
  <r>
    <x v="2407"/>
    <m/>
    <m/>
    <x v="80"/>
    <m/>
    <n v="16.9517783913271"/>
    <d v="1899-12-30T00:00:00"/>
    <m/>
    <n v="120.41666666666664"/>
    <m/>
    <m/>
    <s v=""/>
    <m/>
    <n v="194.60000000000002"/>
    <s v="-"/>
    <n v="212.96"/>
    <s v=""/>
  </r>
  <r>
    <x v="2408"/>
    <m/>
    <m/>
    <x v="1"/>
    <m/>
    <s v=""/>
    <s v=""/>
    <m/>
    <s v="0"/>
    <m/>
    <m/>
    <s v=""/>
    <m/>
    <s v=""/>
    <s v="-"/>
    <s v=""/>
    <s v=""/>
  </r>
  <r>
    <x v="2409"/>
    <m/>
    <m/>
    <x v="88"/>
    <m/>
    <n v="7.6283002760971961"/>
    <d v="1899-12-30T00:00:00"/>
    <m/>
    <n v="54.1875"/>
    <m/>
    <m/>
    <s v=""/>
    <m/>
    <n v="194.60000000000002"/>
    <s v="-"/>
    <n v="212.96"/>
    <s v=""/>
  </r>
  <r>
    <x v="2410"/>
    <m/>
    <m/>
    <x v="95"/>
    <m/>
    <n v="8.7500984496964129"/>
    <d v="1899-12-30T00:00:00"/>
    <m/>
    <n v="68.069125782313449"/>
    <m/>
    <m/>
    <s v=""/>
    <m/>
    <n v="279.29999999999995"/>
    <s v="-"/>
    <n v="314.60000000000002"/>
    <s v=""/>
  </r>
  <r>
    <x v="2411"/>
    <m/>
    <m/>
    <x v="88"/>
    <m/>
    <n v="7.6283002760971961"/>
    <d v="1899-12-30T00:00:00"/>
    <m/>
    <n v="54.1875"/>
    <m/>
    <m/>
    <s v=""/>
    <m/>
    <n v="194.60000000000002"/>
    <s v="-"/>
    <n v="212.96"/>
    <s v=""/>
  </r>
  <r>
    <x v="2412"/>
    <m/>
    <m/>
    <x v="91"/>
    <m/>
    <n v="9.3343054014628528"/>
    <d v="1899-12-30T00:00:00"/>
    <m/>
    <n v="72.139959115646775"/>
    <m/>
    <m/>
    <s v=""/>
    <m/>
    <n v="230.89999999999998"/>
    <s v="-"/>
    <n v="254.10000000000002"/>
    <s v=""/>
  </r>
  <r>
    <x v="2413"/>
    <m/>
    <m/>
    <x v="88"/>
    <m/>
    <n v="7.6283002760971961"/>
    <d v="1899-12-30T00:00:00"/>
    <m/>
    <n v="54.1875"/>
    <m/>
    <m/>
    <s v=""/>
    <m/>
    <n v="194.60000000000002"/>
    <s v="-"/>
    <n v="212.96"/>
    <s v=""/>
  </r>
  <r>
    <x v="2414"/>
    <m/>
    <m/>
    <x v="63"/>
    <m/>
    <n v="18.646956230459814"/>
    <d v="1899-12-30T00:00:00"/>
    <m/>
    <n v="132.45833333333337"/>
    <m/>
    <m/>
    <s v=""/>
    <m/>
    <n v="194.60000000000002"/>
    <s v="-"/>
    <n v="212.96"/>
    <s v=""/>
  </r>
  <r>
    <x v="2415"/>
    <m/>
    <m/>
    <x v="1"/>
    <m/>
    <s v=""/>
    <s v=""/>
    <m/>
    <s v="0"/>
    <m/>
    <m/>
    <s v=""/>
    <m/>
    <s v=""/>
    <s v="-"/>
    <s v=""/>
    <s v=""/>
  </r>
  <r>
    <x v="2416"/>
    <m/>
    <m/>
    <x v="1"/>
    <m/>
    <s v=""/>
    <s v=""/>
    <m/>
    <s v="0"/>
    <m/>
    <m/>
    <s v=""/>
    <m/>
    <s v=""/>
    <s v="-"/>
    <s v=""/>
    <s v=""/>
  </r>
  <r>
    <x v="2417"/>
    <m/>
    <m/>
    <x v="88"/>
    <m/>
    <n v="7.6283002760971961"/>
    <d v="1899-12-30T00:00:00"/>
    <m/>
    <n v="54.1875"/>
    <m/>
    <m/>
    <s v=""/>
    <m/>
    <n v="194.60000000000002"/>
    <s v="-"/>
    <n v="212.96"/>
    <s v=""/>
  </r>
  <r>
    <x v="2418"/>
    <m/>
    <m/>
    <x v="1"/>
    <m/>
    <s v=""/>
    <s v=""/>
    <m/>
    <s v="0"/>
    <m/>
    <m/>
    <s v=""/>
    <m/>
    <s v=""/>
    <s v="-"/>
    <s v=""/>
    <s v=""/>
  </r>
  <r>
    <x v="2419"/>
    <m/>
    <m/>
    <x v="88"/>
    <m/>
    <n v="7.6283002760971961"/>
    <d v="1899-12-30T00:00:00"/>
    <m/>
    <n v="54.1875"/>
    <m/>
    <m/>
    <s v=""/>
    <m/>
    <n v="194.60000000000002"/>
    <s v="-"/>
    <n v="212.96"/>
    <s v=""/>
  </r>
  <r>
    <x v="2420"/>
    <m/>
    <m/>
    <x v="1"/>
    <m/>
    <s v=""/>
    <s v=""/>
    <m/>
    <s v="0"/>
    <m/>
    <m/>
    <s v=""/>
    <m/>
    <s v=""/>
    <s v="-"/>
    <s v=""/>
    <s v=""/>
  </r>
  <r>
    <x v="2421"/>
    <m/>
    <m/>
    <x v="55"/>
    <m/>
    <n v="10.171067034796261"/>
    <d v="1899-12-30T00:00:00"/>
    <m/>
    <n v="72.25"/>
    <m/>
    <m/>
    <s v=""/>
    <m/>
    <n v="194.60000000000002"/>
    <s v="-"/>
    <n v="212.96"/>
    <s v=""/>
  </r>
  <r>
    <x v="2422"/>
    <m/>
    <m/>
    <x v="1"/>
    <m/>
    <s v=""/>
    <s v=""/>
    <m/>
    <s v="0"/>
    <m/>
    <m/>
    <s v=""/>
    <m/>
    <s v=""/>
    <s v="-"/>
    <s v=""/>
    <s v=""/>
  </r>
  <r>
    <x v="2423"/>
    <m/>
    <m/>
    <x v="88"/>
    <m/>
    <n v="7.6283002760971961"/>
    <d v="1899-12-30T00:00:00"/>
    <m/>
    <n v="54.1875"/>
    <m/>
    <m/>
    <s v=""/>
    <m/>
    <n v="194.60000000000002"/>
    <s v="-"/>
    <n v="212.96"/>
    <s v=""/>
  </r>
  <r>
    <x v="2424"/>
    <m/>
    <m/>
    <x v="88"/>
    <m/>
    <n v="7.6283002760971961"/>
    <d v="1899-12-30T00:00:00"/>
    <m/>
    <n v="54.1875"/>
    <m/>
    <m/>
    <s v=""/>
    <m/>
    <n v="194.60000000000002"/>
    <s v="-"/>
    <n v="212.96"/>
    <s v=""/>
  </r>
  <r>
    <x v="2425"/>
    <m/>
    <m/>
    <x v="96"/>
    <m/>
    <n v="10.168100893300783"/>
    <d v="1899-12-30T00:00:00"/>
    <m/>
    <n v="80.731625782313444"/>
    <m/>
    <m/>
    <s v=""/>
    <m/>
    <n v="255.10000000000002"/>
    <s v="-"/>
    <n v="278.29999999999995"/>
    <s v=""/>
  </r>
  <r>
    <x v="2426"/>
    <m/>
    <m/>
    <x v="88"/>
    <m/>
    <n v="7.6283002760971961"/>
    <d v="1899-12-30T00:00:00"/>
    <m/>
    <n v="54.1875"/>
    <m/>
    <m/>
    <s v=""/>
    <m/>
    <n v="194.60000000000002"/>
    <s v="-"/>
    <n v="212.96"/>
    <s v=""/>
  </r>
  <r>
    <x v="2427"/>
    <m/>
    <m/>
    <x v="88"/>
    <m/>
    <n v="7.6283002760971961"/>
    <d v="1899-12-30T00:00:00"/>
    <m/>
    <n v="54.1875"/>
    <m/>
    <m/>
    <s v=""/>
    <m/>
    <n v="194.60000000000002"/>
    <s v="-"/>
    <n v="212.96"/>
    <s v=""/>
  </r>
  <r>
    <x v="2428"/>
    <m/>
    <m/>
    <x v="80"/>
    <m/>
    <n v="16.9517783913271"/>
    <d v="1899-12-30T00:00:00"/>
    <m/>
    <n v="120.41666666666664"/>
    <m/>
    <m/>
    <s v=""/>
    <m/>
    <n v="194.60000000000002"/>
    <s v="-"/>
    <n v="212.96"/>
    <s v=""/>
  </r>
  <r>
    <x v="2429"/>
    <m/>
    <m/>
    <x v="1"/>
    <m/>
    <s v=""/>
    <s v=""/>
    <m/>
    <s v="0"/>
    <m/>
    <m/>
    <s v=""/>
    <m/>
    <s v=""/>
    <s v="-"/>
    <s v=""/>
    <s v=""/>
  </r>
  <r>
    <x v="2430"/>
    <m/>
    <m/>
    <x v="88"/>
    <m/>
    <n v="7.6283002760971961"/>
    <d v="1899-12-30T00:00:00"/>
    <m/>
    <n v="54.1875"/>
    <m/>
    <m/>
    <s v=""/>
    <m/>
    <n v="194.60000000000002"/>
    <s v="-"/>
    <n v="212.96"/>
    <s v=""/>
  </r>
  <r>
    <x v="2431"/>
    <m/>
    <m/>
    <x v="88"/>
    <m/>
    <n v="7.6283002760971961"/>
    <d v="1899-12-30T00:00:00"/>
    <m/>
    <n v="54.1875"/>
    <m/>
    <m/>
    <s v=""/>
    <m/>
    <n v="194.60000000000002"/>
    <s v="-"/>
    <n v="212.96"/>
    <s v=""/>
  </r>
  <r>
    <x v="2432"/>
    <m/>
    <m/>
    <x v="96"/>
    <m/>
    <n v="10.168100893300783"/>
    <d v="1899-12-30T00:00:00"/>
    <m/>
    <n v="80.731625782313444"/>
    <m/>
    <m/>
    <s v=""/>
    <m/>
    <n v="255.10000000000002"/>
    <s v="-"/>
    <n v="278.29999999999995"/>
    <s v=""/>
  </r>
  <r>
    <x v="2433"/>
    <m/>
    <m/>
    <x v="88"/>
    <m/>
    <n v="7.6283002760971961"/>
    <d v="1899-12-30T00:00:00"/>
    <m/>
    <n v="54.1875"/>
    <m/>
    <m/>
    <s v=""/>
    <m/>
    <n v="194.60000000000002"/>
    <s v="-"/>
    <n v="212.96"/>
    <s v=""/>
  </r>
  <r>
    <x v="2434"/>
    <m/>
    <m/>
    <x v="88"/>
    <m/>
    <n v="7.6283002760971961"/>
    <d v="1899-12-30T00:00:00"/>
    <m/>
    <n v="54.1875"/>
    <m/>
    <m/>
    <s v=""/>
    <m/>
    <n v="194.60000000000002"/>
    <s v="-"/>
    <n v="212.96"/>
    <s v=""/>
  </r>
  <r>
    <x v="2435"/>
    <m/>
    <m/>
    <x v="63"/>
    <m/>
    <n v="18.646956230459814"/>
    <d v="1899-12-30T00:00:00"/>
    <m/>
    <n v="132.45833333333337"/>
    <m/>
    <m/>
    <s v=""/>
    <m/>
    <n v="194.60000000000002"/>
    <s v="-"/>
    <n v="212.96"/>
    <s v=""/>
  </r>
  <r>
    <x v="2436"/>
    <m/>
    <m/>
    <x v="1"/>
    <m/>
    <s v=""/>
    <s v=""/>
    <m/>
    <s v="0"/>
    <m/>
    <m/>
    <s v=""/>
    <m/>
    <s v=""/>
    <s v="-"/>
    <s v=""/>
    <s v=""/>
  </r>
  <r>
    <x v="2437"/>
    <m/>
    <m/>
    <x v="88"/>
    <m/>
    <n v="7.6283002760971961"/>
    <d v="1899-12-30T00:00:00"/>
    <m/>
    <n v="54.1875"/>
    <m/>
    <m/>
    <s v=""/>
    <m/>
    <n v="194.60000000000002"/>
    <s v="-"/>
    <n v="212.96"/>
    <s v=""/>
  </r>
  <r>
    <x v="2438"/>
    <m/>
    <m/>
    <x v="79"/>
    <m/>
    <n v="12.362515195287774"/>
    <d v="1899-12-30T00:00:00"/>
    <m/>
    <n v="98.456625782313438"/>
    <m/>
    <m/>
    <s v=""/>
    <m/>
    <n v="255.10000000000002"/>
    <s v="-"/>
    <n v="278.29999999999995"/>
    <s v=""/>
  </r>
  <r>
    <x v="2439"/>
    <m/>
    <m/>
    <x v="88"/>
    <m/>
    <n v="7.6283002760971961"/>
    <d v="1899-12-30T00:00:00"/>
    <m/>
    <n v="54.1875"/>
    <m/>
    <m/>
    <s v=""/>
    <m/>
    <n v="194.60000000000002"/>
    <s v="-"/>
    <n v="212.96"/>
    <s v=""/>
  </r>
  <r>
    <x v="2440"/>
    <m/>
    <m/>
    <x v="77"/>
    <m/>
    <n v="10.152081274159309"/>
    <d v="1899-12-30T00:00:00"/>
    <m/>
    <n v="78.806625782313432"/>
    <m/>
    <m/>
    <s v=""/>
    <m/>
    <n v="230.89999999999998"/>
    <s v="-"/>
    <n v="254.10000000000002"/>
    <s v=""/>
  </r>
  <r>
    <x v="2441"/>
    <m/>
    <m/>
    <x v="88"/>
    <m/>
    <n v="7.6283002760971961"/>
    <d v="1899-12-30T00:00:00"/>
    <m/>
    <n v="54.1875"/>
    <m/>
    <m/>
    <s v=""/>
    <m/>
    <n v="194.60000000000002"/>
    <s v="-"/>
    <n v="212.96"/>
    <s v=""/>
  </r>
  <r>
    <x v="2442"/>
    <m/>
    <m/>
    <x v="64"/>
    <m/>
    <n v="20.342134069592522"/>
    <d v="1899-12-30T00:00:00"/>
    <m/>
    <n v="144.5"/>
    <m/>
    <m/>
    <s v=""/>
    <m/>
    <n v="194.60000000000002"/>
    <s v="-"/>
    <n v="212.96"/>
    <s v=""/>
  </r>
  <r>
    <x v="2443"/>
    <m/>
    <m/>
    <x v="1"/>
    <m/>
    <s v=""/>
    <s v=""/>
    <m/>
    <s v="0"/>
    <m/>
    <m/>
    <s v=""/>
    <m/>
    <s v=""/>
    <s v="-"/>
    <s v=""/>
    <s v=""/>
  </r>
  <r>
    <x v="2444"/>
    <m/>
    <m/>
    <x v="1"/>
    <m/>
    <s v=""/>
    <s v=""/>
    <m/>
    <s v="0"/>
    <m/>
    <m/>
    <s v=""/>
    <m/>
    <s v=""/>
    <s v="-"/>
    <s v=""/>
    <s v=""/>
  </r>
  <r>
    <x v="2445"/>
    <m/>
    <m/>
    <x v="88"/>
    <m/>
    <n v="7.6283002760971961"/>
    <d v="1899-12-30T00:00:00"/>
    <m/>
    <n v="54.1875"/>
    <m/>
    <m/>
    <s v=""/>
    <m/>
    <n v="194.60000000000002"/>
    <s v="-"/>
    <n v="212.96"/>
    <s v=""/>
  </r>
  <r>
    <x v="2446"/>
    <m/>
    <m/>
    <x v="1"/>
    <m/>
    <s v=""/>
    <s v=""/>
    <m/>
    <s v="0"/>
    <m/>
    <m/>
    <s v=""/>
    <m/>
    <s v=""/>
    <s v="-"/>
    <s v=""/>
    <s v=""/>
  </r>
  <r>
    <x v="2447"/>
    <m/>
    <m/>
    <x v="88"/>
    <m/>
    <n v="7.6283002760971961"/>
    <d v="1899-12-30T00:00:00"/>
    <m/>
    <n v="54.1875"/>
    <m/>
    <m/>
    <s v=""/>
    <m/>
    <n v="194.60000000000002"/>
    <s v="-"/>
    <n v="212.96"/>
    <s v=""/>
  </r>
  <r>
    <x v="2448"/>
    <m/>
    <m/>
    <x v="1"/>
    <m/>
    <s v=""/>
    <s v=""/>
    <m/>
    <s v="0"/>
    <m/>
    <m/>
    <s v=""/>
    <m/>
    <s v=""/>
    <s v="-"/>
    <s v=""/>
    <s v=""/>
  </r>
  <r>
    <x v="2449"/>
    <m/>
    <m/>
    <x v="55"/>
    <m/>
    <n v="10.171067034796261"/>
    <d v="1899-12-30T00:00:00"/>
    <m/>
    <n v="72.25"/>
    <m/>
    <m/>
    <s v=""/>
    <m/>
    <n v="194.60000000000002"/>
    <s v="-"/>
    <n v="212.96"/>
    <s v=""/>
  </r>
  <r>
    <x v="2450"/>
    <m/>
    <m/>
    <x v="1"/>
    <m/>
    <s v=""/>
    <s v=""/>
    <m/>
    <s v="0"/>
    <m/>
    <m/>
    <s v=""/>
    <m/>
    <s v=""/>
    <s v="-"/>
    <s v=""/>
    <s v=""/>
  </r>
  <r>
    <x v="2451"/>
    <m/>
    <m/>
    <x v="88"/>
    <m/>
    <n v="7.6283002760971961"/>
    <d v="1899-12-30T00:00:00"/>
    <m/>
    <n v="54.1875"/>
    <m/>
    <m/>
    <s v=""/>
    <m/>
    <n v="194.60000000000002"/>
    <s v="-"/>
    <n v="212.96"/>
    <s v=""/>
  </r>
  <r>
    <x v="2452"/>
    <m/>
    <m/>
    <x v="88"/>
    <m/>
    <n v="7.6283002760971961"/>
    <d v="1899-12-30T00:00:00"/>
    <m/>
    <n v="54.1875"/>
    <m/>
    <m/>
    <s v=""/>
    <m/>
    <n v="194.60000000000002"/>
    <s v="-"/>
    <n v="212.96"/>
    <s v=""/>
  </r>
  <r>
    <x v="2453"/>
    <m/>
    <m/>
    <x v="77"/>
    <m/>
    <n v="10.152081274159309"/>
    <d v="1899-12-30T00:00:00"/>
    <m/>
    <n v="78.806625782313432"/>
    <m/>
    <m/>
    <s v=""/>
    <m/>
    <n v="230.89999999999998"/>
    <s v="-"/>
    <n v="254.10000000000002"/>
    <s v=""/>
  </r>
  <r>
    <x v="2454"/>
    <m/>
    <m/>
    <x v="88"/>
    <m/>
    <n v="7.6283002760971961"/>
    <d v="1899-12-30T00:00:00"/>
    <m/>
    <n v="54.1875"/>
    <m/>
    <m/>
    <s v=""/>
    <m/>
    <n v="194.60000000000002"/>
    <s v="-"/>
    <n v="212.96"/>
    <s v=""/>
  </r>
  <r>
    <x v="2455"/>
    <m/>
    <m/>
    <x v="88"/>
    <m/>
    <n v="7.6283002760971961"/>
    <d v="1899-12-30T00:00:00"/>
    <m/>
    <n v="54.1875"/>
    <m/>
    <m/>
    <s v=""/>
    <m/>
    <n v="194.60000000000002"/>
    <s v="-"/>
    <n v="212.96"/>
    <s v=""/>
  </r>
  <r>
    <x v="2456"/>
    <m/>
    <m/>
    <x v="63"/>
    <m/>
    <n v="18.646956230459814"/>
    <d v="1899-12-30T00:00:00"/>
    <m/>
    <n v="132.45833333333337"/>
    <m/>
    <m/>
    <s v=""/>
    <m/>
    <n v="194.60000000000002"/>
    <s v="-"/>
    <n v="212.96"/>
    <s v=""/>
  </r>
  <r>
    <x v="2457"/>
    <m/>
    <m/>
    <x v="1"/>
    <m/>
    <s v=""/>
    <s v=""/>
    <m/>
    <s v="0"/>
    <m/>
    <m/>
    <s v=""/>
    <m/>
    <s v=""/>
    <s v="-"/>
    <s v=""/>
    <s v=""/>
  </r>
  <r>
    <x v="2458"/>
    <m/>
    <m/>
    <x v="88"/>
    <m/>
    <n v="7.6283002760971961"/>
    <d v="1899-12-30T00:00:00"/>
    <m/>
    <n v="54.1875"/>
    <m/>
    <m/>
    <s v=""/>
    <m/>
    <n v="194.60000000000002"/>
    <s v="-"/>
    <n v="212.96"/>
    <s v=""/>
  </r>
  <r>
    <x v="2459"/>
    <m/>
    <m/>
    <x v="88"/>
    <m/>
    <n v="7.6283002760971961"/>
    <d v="1899-12-30T00:00:00"/>
    <m/>
    <n v="54.1875"/>
    <m/>
    <m/>
    <s v=""/>
    <m/>
    <n v="194.60000000000002"/>
    <s v="-"/>
    <n v="212.96"/>
    <s v=""/>
  </r>
  <r>
    <x v="2460"/>
    <m/>
    <m/>
    <x v="78"/>
    <m/>
    <n v="11.787633019552224"/>
    <d v="1899-12-30T00:00:00"/>
    <m/>
    <n v="92.139959115646775"/>
    <m/>
    <m/>
    <s v=""/>
    <m/>
    <n v="230.89999999999998"/>
    <s v="-"/>
    <n v="254.10000000000002"/>
    <s v=""/>
  </r>
  <r>
    <x v="2461"/>
    <m/>
    <m/>
    <x v="88"/>
    <m/>
    <n v="7.6283002760971961"/>
    <d v="1899-12-30T00:00:00"/>
    <m/>
    <n v="54.1875"/>
    <m/>
    <m/>
    <s v=""/>
    <m/>
    <n v="194.60000000000002"/>
    <s v="-"/>
    <n v="212.96"/>
    <s v=""/>
  </r>
  <r>
    <x v="2462"/>
    <m/>
    <m/>
    <x v="88"/>
    <m/>
    <n v="7.6283002760971961"/>
    <d v="1899-12-30T00:00:00"/>
    <m/>
    <n v="54.1875"/>
    <m/>
    <m/>
    <s v=""/>
    <m/>
    <n v="194.60000000000002"/>
    <s v="-"/>
    <n v="212.96"/>
    <s v=""/>
  </r>
  <r>
    <x v="2463"/>
    <m/>
    <m/>
    <x v="64"/>
    <m/>
    <n v="20.342134069592522"/>
    <d v="1899-12-30T00:00:00"/>
    <m/>
    <n v="144.5"/>
    <m/>
    <m/>
    <s v=""/>
    <m/>
    <n v="194.60000000000002"/>
    <s v="-"/>
    <n v="212.96"/>
    <s v=""/>
  </r>
  <r>
    <x v="2464"/>
    <m/>
    <m/>
    <x v="1"/>
    <m/>
    <s v=""/>
    <s v=""/>
    <m/>
    <s v="0"/>
    <m/>
    <m/>
    <s v=""/>
    <m/>
    <s v=""/>
    <s v="-"/>
    <s v=""/>
    <s v=""/>
  </r>
  <r>
    <x v="2465"/>
    <m/>
    <m/>
    <x v="88"/>
    <m/>
    <n v="7.6283002760971961"/>
    <d v="1899-12-30T00:00:00"/>
    <m/>
    <n v="54.1875"/>
    <m/>
    <m/>
    <s v=""/>
    <m/>
    <n v="194.60000000000002"/>
    <s v="-"/>
    <n v="212.96"/>
    <s v=""/>
  </r>
  <r>
    <x v="2466"/>
    <m/>
    <m/>
    <x v="88"/>
    <m/>
    <n v="7.6283002760971961"/>
    <d v="1899-12-30T00:00:00"/>
    <m/>
    <n v="54.1875"/>
    <m/>
    <m/>
    <s v=""/>
    <m/>
    <n v="194.60000000000002"/>
    <s v="-"/>
    <n v="212.96"/>
    <s v=""/>
  </r>
  <r>
    <x v="2467"/>
    <m/>
    <m/>
    <x v="81"/>
    <m/>
    <n v="13.423184764945141"/>
    <d v="1899-12-30T00:00:00"/>
    <m/>
    <n v="105.47329244898009"/>
    <m/>
    <m/>
    <s v=""/>
    <m/>
    <n v="230.89999999999998"/>
    <s v="-"/>
    <n v="254.10000000000002"/>
    <s v=""/>
  </r>
  <r>
    <x v="2468"/>
    <m/>
    <m/>
    <x v="88"/>
    <m/>
    <n v="7.6283002760971961"/>
    <d v="1899-12-30T00:00:00"/>
    <m/>
    <n v="54.1875"/>
    <m/>
    <m/>
    <s v=""/>
    <m/>
    <n v="194.60000000000002"/>
    <s v="-"/>
    <n v="212.96"/>
    <s v=""/>
  </r>
  <r>
    <x v="2469"/>
    <m/>
    <m/>
    <x v="88"/>
    <m/>
    <n v="7.6283002760971961"/>
    <d v="1899-12-30T00:00:00"/>
    <m/>
    <n v="54.1875"/>
    <m/>
    <m/>
    <s v=""/>
    <m/>
    <n v="194.60000000000002"/>
    <s v="-"/>
    <n v="212.96"/>
    <s v=""/>
  </r>
  <r>
    <x v="2470"/>
    <m/>
    <m/>
    <x v="66"/>
    <m/>
    <n v="25"/>
    <d v="1899-12-30T00:00:00"/>
    <m/>
    <n v="177.58707064073354"/>
    <m/>
    <m/>
    <s v=""/>
    <m/>
    <n v="194.60000000000002"/>
    <s v="-"/>
    <n v="212.96"/>
    <s v=""/>
  </r>
  <r>
    <x v="2471"/>
    <m/>
    <m/>
    <x v="1"/>
    <m/>
    <s v=""/>
    <s v=""/>
    <m/>
    <s v="0"/>
    <m/>
    <m/>
    <s v=""/>
    <m/>
    <s v=""/>
    <s v="-"/>
    <s v=""/>
    <s v=""/>
  </r>
  <r>
    <x v="2472"/>
    <m/>
    <m/>
    <x v="88"/>
    <m/>
    <n v="7.6283002760971961"/>
    <d v="1899-12-30T00:00:00"/>
    <m/>
    <n v="54.1875"/>
    <m/>
    <m/>
    <s v=""/>
    <m/>
    <n v="194.60000000000002"/>
    <s v="-"/>
    <n v="212.96"/>
    <s v=""/>
  </r>
  <r>
    <x v="2473"/>
    <m/>
    <m/>
    <x v="1"/>
    <m/>
    <s v=""/>
    <s v=""/>
    <m/>
    <s v="0"/>
    <m/>
    <m/>
    <s v=""/>
    <m/>
    <s v=""/>
    <s v="-"/>
    <s v=""/>
    <s v=""/>
  </r>
  <r>
    <x v="2474"/>
    <m/>
    <m/>
    <x v="55"/>
    <m/>
    <n v="10.171067034796261"/>
    <d v="1899-12-30T00:00:00"/>
    <m/>
    <n v="72.25"/>
    <m/>
    <m/>
    <s v=""/>
    <m/>
    <n v="194.60000000000002"/>
    <s v="-"/>
    <n v="212.96"/>
    <s v=""/>
  </r>
  <r>
    <x v="2475"/>
    <m/>
    <m/>
    <x v="1"/>
    <m/>
    <s v=""/>
    <s v=""/>
    <m/>
    <s v="0"/>
    <m/>
    <m/>
    <s v=""/>
    <m/>
    <s v=""/>
    <s v="-"/>
    <s v=""/>
    <s v=""/>
  </r>
  <r>
    <x v="2476"/>
    <m/>
    <m/>
    <x v="94"/>
    <m/>
    <n v="7.5625738372723088"/>
    <d v="1899-12-30T00:00:00"/>
    <m/>
    <n v="58.644125782313438"/>
    <m/>
    <m/>
    <s v=""/>
    <m/>
    <n v="279.29999999999995"/>
    <s v="-"/>
    <n v="314.60000000000002"/>
    <s v=""/>
  </r>
  <r>
    <x v="2477"/>
    <m/>
    <m/>
    <x v="1"/>
    <m/>
    <s v=""/>
    <s v=""/>
    <m/>
    <s v="0"/>
    <m/>
    <m/>
    <s v=""/>
    <m/>
    <s v=""/>
    <s v="-"/>
    <s v=""/>
    <s v=""/>
  </r>
  <r>
    <x v="2478"/>
    <m/>
    <m/>
    <x v="57"/>
    <m/>
    <n v="14"/>
    <d v="1899-12-30T00:00:00"/>
    <m/>
    <n v="99.448759558810778"/>
    <m/>
    <m/>
    <s v=""/>
    <m/>
    <n v="194.60000000000002"/>
    <s v="-"/>
    <n v="212.96"/>
    <s v=""/>
  </r>
  <r>
    <x v="2479"/>
    <m/>
    <m/>
    <x v="1"/>
    <m/>
    <s v=""/>
    <s v=""/>
    <m/>
    <s v="0"/>
    <m/>
    <m/>
    <s v=""/>
    <m/>
    <s v=""/>
    <s v="-"/>
    <s v=""/>
    <s v=""/>
  </r>
  <r>
    <x v="2480"/>
    <m/>
    <m/>
    <x v="55"/>
    <m/>
    <n v="10.171067034796261"/>
    <d v="1899-12-30T00:00:00"/>
    <m/>
    <n v="72.25"/>
    <m/>
    <m/>
    <s v=""/>
    <m/>
    <n v="194.60000000000002"/>
    <s v="-"/>
    <n v="212.96"/>
    <s v=""/>
  </r>
  <r>
    <x v="2481"/>
    <m/>
    <m/>
    <x v="1"/>
    <m/>
    <s v=""/>
    <s v=""/>
    <m/>
    <s v="0"/>
    <m/>
    <m/>
    <s v=""/>
    <m/>
    <s v=""/>
    <s v="-"/>
    <s v=""/>
    <s v=""/>
  </r>
  <r>
    <x v="2482"/>
    <m/>
    <m/>
    <x v="87"/>
    <m/>
    <n v="6"/>
    <d v="1899-12-30T00:00:00"/>
    <m/>
    <n v="42.620896953776047"/>
    <m/>
    <m/>
    <s v=""/>
    <m/>
    <n v="194.60000000000002"/>
    <s v="-"/>
    <n v="212.96"/>
    <s v=""/>
  </r>
  <r>
    <x v="2483"/>
    <m/>
    <m/>
    <x v="1"/>
    <m/>
    <s v=""/>
    <s v=""/>
    <m/>
    <s v="0"/>
    <m/>
    <m/>
    <s v=""/>
    <m/>
    <s v=""/>
    <s v="-"/>
    <s v=""/>
    <s v=""/>
  </r>
  <r>
    <x v="2484"/>
    <m/>
    <m/>
    <x v="106"/>
    <m/>
    <n v="4"/>
    <d v="1899-12-30T00:00:00"/>
    <m/>
    <n v="28.413931302517366"/>
    <m/>
    <m/>
    <s v=""/>
    <m/>
    <n v="194.60000000000002"/>
    <s v="-"/>
    <n v="212.96"/>
    <s v=""/>
  </r>
  <r>
    <x v="2485"/>
    <m/>
    <m/>
    <x v="4"/>
    <m/>
    <n v="21"/>
    <d v="1899-12-30T00:00:00"/>
    <m/>
    <s v="0"/>
    <m/>
    <m/>
    <s v=""/>
    <m/>
    <s v=""/>
    <s v="-"/>
    <s v=""/>
    <s v=""/>
  </r>
  <r>
    <x v="2486"/>
    <m/>
    <m/>
    <x v="1"/>
    <m/>
    <s v=""/>
    <s v=""/>
    <m/>
    <s v="0"/>
    <m/>
    <m/>
    <s v=""/>
    <m/>
    <s v=""/>
    <s v="-"/>
    <s v=""/>
    <s v=""/>
  </r>
  <r>
    <x v="2487"/>
    <m/>
    <m/>
    <x v="1"/>
    <m/>
    <s v=""/>
    <s v=""/>
    <m/>
    <s v="0"/>
    <m/>
    <m/>
    <s v=""/>
    <m/>
    <s v=""/>
    <s v="-"/>
    <s v=""/>
    <s v=""/>
  </r>
  <r>
    <x v="2488"/>
    <m/>
    <m/>
    <x v="1"/>
    <m/>
    <s v=""/>
    <s v=""/>
    <m/>
    <s v="0"/>
    <m/>
    <m/>
    <s v=""/>
    <m/>
    <s v=""/>
    <s v="-"/>
    <s v=""/>
    <s v=""/>
  </r>
  <r>
    <x v="2489"/>
    <m/>
    <m/>
    <x v="1"/>
    <m/>
    <s v=""/>
    <s v=""/>
    <m/>
    <s v="0"/>
    <m/>
    <m/>
    <s v=""/>
    <m/>
    <s v=""/>
    <s v="-"/>
    <s v=""/>
    <s v=""/>
  </r>
  <r>
    <x v="2490"/>
    <m/>
    <m/>
    <x v="1"/>
    <m/>
    <s v=""/>
    <s v=""/>
    <m/>
    <s v="0"/>
    <m/>
    <m/>
    <s v=""/>
    <m/>
    <s v=""/>
    <s v="-"/>
    <s v=""/>
    <s v=""/>
  </r>
  <r>
    <x v="2491"/>
    <m/>
    <m/>
    <x v="1"/>
    <m/>
    <s v=""/>
    <s v=""/>
    <m/>
    <s v="0"/>
    <m/>
    <m/>
    <s v=""/>
    <m/>
    <s v=""/>
    <s v="-"/>
    <s v=""/>
    <s v=""/>
  </r>
  <r>
    <x v="2492"/>
    <m/>
    <m/>
    <x v="1"/>
    <m/>
    <s v=""/>
    <s v=""/>
    <m/>
    <s v="0"/>
    <m/>
    <m/>
    <s v=""/>
    <m/>
    <s v=""/>
    <s v="-"/>
    <s v=""/>
    <s v=""/>
  </r>
  <r>
    <x v="2493"/>
    <m/>
    <m/>
    <x v="102"/>
    <m/>
    <n v="5.0855335173981304"/>
    <d v="1899-12-30T00:00:00"/>
    <m/>
    <n v="36.125"/>
    <m/>
    <m/>
    <s v=""/>
    <m/>
    <n v="194.60000000000002"/>
    <s v="-"/>
    <n v="212.96"/>
    <s v=""/>
  </r>
  <r>
    <x v="2494"/>
    <m/>
    <m/>
    <x v="102"/>
    <m/>
    <n v="5.0855335173981304"/>
    <d v="1899-12-30T00:00:00"/>
    <m/>
    <n v="36.125"/>
    <m/>
    <m/>
    <s v=""/>
    <m/>
    <n v="194.60000000000002"/>
    <s v="-"/>
    <n v="212.96"/>
    <s v=""/>
  </r>
  <r>
    <x v="2495"/>
    <m/>
    <m/>
    <x v="1"/>
    <m/>
    <s v=""/>
    <s v=""/>
    <m/>
    <s v="0"/>
    <m/>
    <m/>
    <s v=""/>
    <m/>
    <s v=""/>
    <s v="-"/>
    <s v=""/>
    <s v=""/>
  </r>
  <r>
    <x v="2496"/>
    <m/>
    <m/>
    <x v="102"/>
    <m/>
    <n v="5.0855335173981304"/>
    <d v="1899-12-30T00:00:00"/>
    <m/>
    <n v="36.125"/>
    <m/>
    <m/>
    <s v=""/>
    <m/>
    <n v="194.60000000000002"/>
    <s v="-"/>
    <n v="212.96"/>
    <s v=""/>
  </r>
  <r>
    <x v="2497"/>
    <m/>
    <m/>
    <x v="102"/>
    <m/>
    <n v="5.0855335173981304"/>
    <d v="1899-12-30T00:00:00"/>
    <m/>
    <n v="36.125"/>
    <m/>
    <m/>
    <s v=""/>
    <m/>
    <n v="194.60000000000002"/>
    <s v="-"/>
    <n v="212.96"/>
    <s v=""/>
  </r>
  <r>
    <x v="2498"/>
    <m/>
    <m/>
    <x v="1"/>
    <m/>
    <s v=""/>
    <s v=""/>
    <m/>
    <s v="0"/>
    <m/>
    <m/>
    <s v=""/>
    <m/>
    <s v=""/>
    <s v="-"/>
    <s v=""/>
    <s v=""/>
  </r>
  <r>
    <x v="2499"/>
    <m/>
    <m/>
    <x v="55"/>
    <m/>
    <n v="10.171067034796261"/>
    <d v="1899-12-30T00:00:00"/>
    <m/>
    <n v="72.25"/>
    <m/>
    <m/>
    <s v=""/>
    <m/>
    <n v="194.60000000000002"/>
    <s v="-"/>
    <n v="212.96"/>
    <s v=""/>
  </r>
  <r>
    <x v="2500"/>
    <m/>
    <m/>
    <x v="102"/>
    <m/>
    <n v="5.0855335173981304"/>
    <d v="1899-12-30T00:00:00"/>
    <m/>
    <n v="36.125"/>
    <m/>
    <m/>
    <s v=""/>
    <m/>
    <n v="194.60000000000002"/>
    <s v="-"/>
    <n v="212.96"/>
    <s v=""/>
  </r>
  <r>
    <x v="2501"/>
    <m/>
    <m/>
    <x v="102"/>
    <m/>
    <n v="5.0855335173981304"/>
    <d v="1899-12-30T00:00:00"/>
    <m/>
    <n v="36.125"/>
    <m/>
    <m/>
    <s v=""/>
    <m/>
    <n v="194.60000000000002"/>
    <s v="-"/>
    <n v="212.96"/>
    <s v=""/>
  </r>
  <r>
    <x v="2502"/>
    <m/>
    <m/>
    <x v="1"/>
    <m/>
    <s v=""/>
    <s v=""/>
    <m/>
    <s v="0"/>
    <m/>
    <m/>
    <s v=""/>
    <m/>
    <s v=""/>
    <s v="-"/>
    <s v=""/>
    <s v=""/>
  </r>
  <r>
    <x v="2503"/>
    <m/>
    <m/>
    <x v="102"/>
    <m/>
    <n v="5.0855335173981304"/>
    <d v="1899-12-30T00:00:00"/>
    <m/>
    <n v="36.125"/>
    <m/>
    <m/>
    <s v=""/>
    <m/>
    <n v="194.60000000000002"/>
    <s v="-"/>
    <n v="212.96"/>
    <s v=""/>
  </r>
  <r>
    <x v="2504"/>
    <m/>
    <m/>
    <x v="102"/>
    <m/>
    <n v="5.0855335173981304"/>
    <d v="1899-12-30T00:00:00"/>
    <m/>
    <n v="36.125"/>
    <m/>
    <m/>
    <s v=""/>
    <m/>
    <n v="194.60000000000002"/>
    <s v="-"/>
    <n v="212.96"/>
    <s v=""/>
  </r>
  <r>
    <x v="2505"/>
    <m/>
    <m/>
    <x v="1"/>
    <m/>
    <s v=""/>
    <s v=""/>
    <m/>
    <s v="0"/>
    <m/>
    <m/>
    <s v=""/>
    <m/>
    <s v=""/>
    <s v="-"/>
    <s v=""/>
    <s v=""/>
  </r>
  <r>
    <x v="2506"/>
    <m/>
    <m/>
    <x v="55"/>
    <m/>
    <n v="10.171067034796261"/>
    <d v="1899-12-30T00:00:00"/>
    <m/>
    <n v="72.25"/>
    <m/>
    <m/>
    <s v=""/>
    <m/>
    <n v="194.60000000000002"/>
    <s v="-"/>
    <n v="212.96"/>
    <s v=""/>
  </r>
  <r>
    <x v="2507"/>
    <m/>
    <m/>
    <x v="102"/>
    <m/>
    <n v="5.0855335173981304"/>
    <d v="1899-12-30T00:00:00"/>
    <m/>
    <n v="36.125"/>
    <m/>
    <m/>
    <s v=""/>
    <m/>
    <n v="194.60000000000002"/>
    <s v="-"/>
    <n v="212.96"/>
    <s v=""/>
  </r>
  <r>
    <x v="2508"/>
    <m/>
    <m/>
    <x v="102"/>
    <m/>
    <n v="5.0855335173981304"/>
    <d v="1899-12-30T00:00:00"/>
    <m/>
    <n v="36.125"/>
    <m/>
    <m/>
    <s v=""/>
    <m/>
    <n v="194.60000000000002"/>
    <s v="-"/>
    <n v="212.96"/>
    <s v=""/>
  </r>
  <r>
    <x v="2509"/>
    <m/>
    <m/>
    <x v="1"/>
    <m/>
    <s v=""/>
    <s v=""/>
    <m/>
    <s v="0"/>
    <m/>
    <m/>
    <s v=""/>
    <m/>
    <s v=""/>
    <s v="-"/>
    <s v=""/>
    <s v=""/>
  </r>
  <r>
    <x v="2510"/>
    <m/>
    <m/>
    <x v="102"/>
    <m/>
    <n v="5.0855335173981304"/>
    <d v="1899-12-30T00:00:00"/>
    <m/>
    <n v="36.125"/>
    <m/>
    <m/>
    <s v=""/>
    <m/>
    <n v="194.60000000000002"/>
    <s v="-"/>
    <n v="212.96"/>
    <s v=""/>
  </r>
  <r>
    <x v="2511"/>
    <m/>
    <m/>
    <x v="102"/>
    <m/>
    <n v="5.0855335173981304"/>
    <d v="1899-12-30T00:00:00"/>
    <m/>
    <n v="36.125"/>
    <m/>
    <m/>
    <s v=""/>
    <m/>
    <n v="194.60000000000002"/>
    <s v="-"/>
    <n v="212.96"/>
    <s v=""/>
  </r>
  <r>
    <x v="2512"/>
    <m/>
    <m/>
    <x v="1"/>
    <m/>
    <s v=""/>
    <s v=""/>
    <m/>
    <s v="0"/>
    <m/>
    <m/>
    <s v=""/>
    <m/>
    <s v=""/>
    <s v="-"/>
    <s v=""/>
    <s v=""/>
  </r>
  <r>
    <x v="2513"/>
    <m/>
    <m/>
    <x v="55"/>
    <m/>
    <n v="10.171067034796261"/>
    <d v="1899-12-30T00:00:00"/>
    <m/>
    <n v="72.25"/>
    <m/>
    <m/>
    <s v=""/>
    <m/>
    <n v="194.60000000000002"/>
    <s v="-"/>
    <n v="212.96"/>
    <s v=""/>
  </r>
  <r>
    <x v="2514"/>
    <m/>
    <m/>
    <x v="102"/>
    <m/>
    <n v="5.0855335173981304"/>
    <d v="1899-12-30T00:00:00"/>
    <m/>
    <n v="36.125"/>
    <m/>
    <m/>
    <s v=""/>
    <m/>
    <n v="194.60000000000002"/>
    <s v="-"/>
    <n v="212.96"/>
    <s v=""/>
  </r>
  <r>
    <x v="2515"/>
    <m/>
    <m/>
    <x v="102"/>
    <m/>
    <n v="5.0855335173981304"/>
    <d v="1899-12-30T00:00:00"/>
    <m/>
    <n v="36.125"/>
    <m/>
    <m/>
    <s v=""/>
    <m/>
    <n v="194.60000000000002"/>
    <s v="-"/>
    <n v="212.96"/>
    <s v=""/>
  </r>
  <r>
    <x v="2516"/>
    <m/>
    <m/>
    <x v="1"/>
    <m/>
    <s v=""/>
    <s v=""/>
    <m/>
    <s v="0"/>
    <m/>
    <m/>
    <s v=""/>
    <m/>
    <s v=""/>
    <s v="-"/>
    <s v=""/>
    <s v=""/>
  </r>
  <r>
    <x v="2517"/>
    <m/>
    <m/>
    <x v="102"/>
    <m/>
    <n v="5.0855335173981304"/>
    <d v="1899-12-30T00:00:00"/>
    <m/>
    <n v="36.125"/>
    <m/>
    <m/>
    <s v=""/>
    <m/>
    <n v="194.60000000000002"/>
    <s v="-"/>
    <n v="212.96"/>
    <s v=""/>
  </r>
  <r>
    <x v="2518"/>
    <m/>
    <m/>
    <x v="102"/>
    <m/>
    <n v="5.0855335173981304"/>
    <d v="1899-12-30T00:00:00"/>
    <m/>
    <n v="36.125"/>
    <m/>
    <m/>
    <s v=""/>
    <m/>
    <n v="194.60000000000002"/>
    <s v="-"/>
    <n v="212.96"/>
    <s v=""/>
  </r>
  <r>
    <x v="2519"/>
    <m/>
    <m/>
    <x v="1"/>
    <m/>
    <s v=""/>
    <s v=""/>
    <m/>
    <s v="0"/>
    <m/>
    <m/>
    <s v=""/>
    <m/>
    <s v=""/>
    <s v="-"/>
    <s v=""/>
    <s v=""/>
  </r>
  <r>
    <x v="2520"/>
    <m/>
    <m/>
    <x v="55"/>
    <m/>
    <n v="10.171067034796261"/>
    <d v="1899-12-30T00:00:00"/>
    <m/>
    <n v="72.25"/>
    <m/>
    <m/>
    <s v=""/>
    <m/>
    <n v="194.60000000000002"/>
    <s v="-"/>
    <n v="212.96"/>
    <s v=""/>
  </r>
  <r>
    <x v="2521"/>
    <m/>
    <m/>
    <x v="102"/>
    <m/>
    <n v="5.0855335173981304"/>
    <d v="1899-12-30T00:00:00"/>
    <m/>
    <n v="36.125"/>
    <m/>
    <m/>
    <s v=""/>
    <m/>
    <n v="194.60000000000002"/>
    <s v="-"/>
    <n v="212.96"/>
    <s v=""/>
  </r>
  <r>
    <x v="2522"/>
    <m/>
    <m/>
    <x v="102"/>
    <m/>
    <n v="5.0855335173981304"/>
    <d v="1899-12-30T00:00:00"/>
    <m/>
    <n v="36.125"/>
    <m/>
    <m/>
    <s v=""/>
    <m/>
    <n v="194.60000000000002"/>
    <s v="-"/>
    <n v="212.96"/>
    <s v=""/>
  </r>
  <r>
    <x v="2523"/>
    <m/>
    <m/>
    <x v="1"/>
    <m/>
    <s v=""/>
    <s v=""/>
    <m/>
    <s v="0"/>
    <m/>
    <m/>
    <s v=""/>
    <m/>
    <s v=""/>
    <s v="-"/>
    <s v=""/>
    <s v=""/>
  </r>
  <r>
    <x v="2524"/>
    <m/>
    <m/>
    <x v="102"/>
    <m/>
    <n v="5.0855335173981304"/>
    <d v="1899-12-30T00:00:00"/>
    <m/>
    <n v="36.125"/>
    <m/>
    <m/>
    <s v=""/>
    <m/>
    <n v="194.60000000000002"/>
    <s v="-"/>
    <n v="212.96"/>
    <s v=""/>
  </r>
  <r>
    <x v="2525"/>
    <m/>
    <m/>
    <x v="102"/>
    <m/>
    <n v="5.0855335173981304"/>
    <d v="1899-12-30T00:00:00"/>
    <m/>
    <n v="36.125"/>
    <m/>
    <m/>
    <s v=""/>
    <m/>
    <n v="194.60000000000002"/>
    <s v="-"/>
    <n v="212.96"/>
    <s v=""/>
  </r>
  <r>
    <x v="2526"/>
    <m/>
    <m/>
    <x v="1"/>
    <m/>
    <s v=""/>
    <s v=""/>
    <m/>
    <s v="0"/>
    <m/>
    <m/>
    <s v=""/>
    <m/>
    <s v=""/>
    <s v="-"/>
    <s v=""/>
    <s v=""/>
  </r>
  <r>
    <x v="2527"/>
    <m/>
    <m/>
    <x v="55"/>
    <m/>
    <n v="10.171067034796261"/>
    <d v="1899-12-30T00:00:00"/>
    <m/>
    <n v="72.25"/>
    <m/>
    <m/>
    <s v=""/>
    <m/>
    <n v="194.60000000000002"/>
    <s v="-"/>
    <n v="212.96"/>
    <s v=""/>
  </r>
  <r>
    <x v="2528"/>
    <m/>
    <m/>
    <x v="102"/>
    <m/>
    <n v="5.0855335173981304"/>
    <d v="1899-12-30T00:00:00"/>
    <m/>
    <n v="36.125"/>
    <m/>
    <m/>
    <s v=""/>
    <m/>
    <n v="194.60000000000002"/>
    <s v="-"/>
    <n v="212.96"/>
    <s v=""/>
  </r>
  <r>
    <x v="2529"/>
    <m/>
    <m/>
    <x v="102"/>
    <m/>
    <n v="5.0855335173981304"/>
    <d v="1899-12-30T00:00:00"/>
    <m/>
    <n v="36.125"/>
    <m/>
    <m/>
    <s v=""/>
    <m/>
    <n v="194.60000000000002"/>
    <s v="-"/>
    <n v="212.96"/>
    <s v=""/>
  </r>
  <r>
    <x v="2530"/>
    <m/>
    <m/>
    <x v="1"/>
    <m/>
    <s v=""/>
    <s v=""/>
    <m/>
    <s v="0"/>
    <m/>
    <m/>
    <s v=""/>
    <m/>
    <s v=""/>
    <s v="-"/>
    <s v=""/>
    <s v=""/>
  </r>
  <r>
    <x v="2531"/>
    <m/>
    <m/>
    <x v="102"/>
    <m/>
    <n v="5.0855335173981304"/>
    <d v="1899-12-30T00:00:00"/>
    <m/>
    <n v="36.125"/>
    <m/>
    <m/>
    <s v=""/>
    <m/>
    <n v="194.60000000000002"/>
    <s v="-"/>
    <n v="212.96"/>
    <s v=""/>
  </r>
  <r>
    <x v="2532"/>
    <m/>
    <m/>
    <x v="102"/>
    <m/>
    <n v="5.0855335173981304"/>
    <d v="1899-12-30T00:00:00"/>
    <m/>
    <n v="36.125"/>
    <m/>
    <m/>
    <s v=""/>
    <m/>
    <n v="194.60000000000002"/>
    <s v="-"/>
    <n v="212.96"/>
    <s v=""/>
  </r>
  <r>
    <x v="2533"/>
    <m/>
    <m/>
    <x v="1"/>
    <m/>
    <s v=""/>
    <s v=""/>
    <m/>
    <s v="0"/>
    <m/>
    <m/>
    <s v=""/>
    <m/>
    <s v=""/>
    <s v="-"/>
    <s v=""/>
    <s v=""/>
  </r>
  <r>
    <x v="2534"/>
    <m/>
    <m/>
    <x v="55"/>
    <m/>
    <n v="10.171067034796261"/>
    <d v="1899-12-30T00:00:00"/>
    <m/>
    <n v="72.25"/>
    <m/>
    <m/>
    <s v=""/>
    <m/>
    <n v="194.60000000000002"/>
    <s v="-"/>
    <n v="212.96"/>
    <s v=""/>
  </r>
  <r>
    <x v="2535"/>
    <m/>
    <m/>
    <x v="102"/>
    <m/>
    <n v="5.0855335173981304"/>
    <d v="1899-12-30T00:00:00"/>
    <m/>
    <n v="36.125"/>
    <m/>
    <m/>
    <s v=""/>
    <m/>
    <n v="194.60000000000002"/>
    <s v="-"/>
    <n v="212.96"/>
    <s v=""/>
  </r>
  <r>
    <x v="2536"/>
    <m/>
    <m/>
    <x v="102"/>
    <m/>
    <n v="5.0855335173981304"/>
    <d v="1899-12-30T00:00:00"/>
    <m/>
    <n v="36.125"/>
    <m/>
    <m/>
    <s v=""/>
    <m/>
    <n v="194.60000000000002"/>
    <s v="-"/>
    <n v="212.96"/>
    <s v=""/>
  </r>
  <r>
    <x v="2537"/>
    <m/>
    <m/>
    <x v="1"/>
    <m/>
    <s v=""/>
    <s v=""/>
    <m/>
    <s v="0"/>
    <m/>
    <m/>
    <s v=""/>
    <m/>
    <s v=""/>
    <s v="-"/>
    <s v=""/>
    <s v=""/>
  </r>
  <r>
    <x v="2538"/>
    <m/>
    <m/>
    <x v="102"/>
    <m/>
    <n v="5.0855335173981304"/>
    <d v="1899-12-30T00:00:00"/>
    <m/>
    <n v="36.125"/>
    <m/>
    <m/>
    <s v=""/>
    <m/>
    <n v="194.60000000000002"/>
    <s v="-"/>
    <n v="212.96"/>
    <s v=""/>
  </r>
  <r>
    <x v="2539"/>
    <m/>
    <m/>
    <x v="102"/>
    <m/>
    <n v="5.0855335173981304"/>
    <d v="1899-12-30T00:00:00"/>
    <m/>
    <n v="36.125"/>
    <m/>
    <m/>
    <s v=""/>
    <m/>
    <n v="194.60000000000002"/>
    <s v="-"/>
    <n v="212.96"/>
    <s v=""/>
  </r>
  <r>
    <x v="2540"/>
    <m/>
    <m/>
    <x v="1"/>
    <m/>
    <s v=""/>
    <s v=""/>
    <m/>
    <s v="0"/>
    <m/>
    <m/>
    <s v=""/>
    <m/>
    <s v=""/>
    <s v="-"/>
    <s v=""/>
    <s v=""/>
  </r>
  <r>
    <x v="2541"/>
    <m/>
    <m/>
    <x v="55"/>
    <m/>
    <n v="10.171067034796261"/>
    <d v="1899-12-30T00:00:00"/>
    <m/>
    <n v="72.25"/>
    <m/>
    <m/>
    <s v=""/>
    <m/>
    <n v="194.60000000000002"/>
    <s v="-"/>
    <n v="212.96"/>
    <s v=""/>
  </r>
  <r>
    <x v="2542"/>
    <m/>
    <m/>
    <x v="102"/>
    <m/>
    <n v="5.0855335173981304"/>
    <d v="1899-12-30T00:00:00"/>
    <m/>
    <n v="36.125"/>
    <m/>
    <m/>
    <s v=""/>
    <m/>
    <n v="194.60000000000002"/>
    <s v="-"/>
    <n v="212.96"/>
    <s v=""/>
  </r>
  <r>
    <x v="2543"/>
    <m/>
    <m/>
    <x v="102"/>
    <m/>
    <n v="5.0855335173981304"/>
    <d v="1899-12-30T00:00:00"/>
    <m/>
    <n v="36.125"/>
    <m/>
    <m/>
    <s v=""/>
    <m/>
    <n v="194.60000000000002"/>
    <s v="-"/>
    <n v="212.96"/>
    <s v=""/>
  </r>
  <r>
    <x v="2544"/>
    <m/>
    <m/>
    <x v="1"/>
    <m/>
    <s v=""/>
    <s v=""/>
    <m/>
    <s v="0"/>
    <m/>
    <m/>
    <s v=""/>
    <m/>
    <s v=""/>
    <s v="-"/>
    <s v=""/>
    <s v=""/>
  </r>
  <r>
    <x v="2545"/>
    <m/>
    <m/>
    <x v="102"/>
    <m/>
    <n v="5.0855335173981304"/>
    <d v="1899-12-30T00:00:00"/>
    <m/>
    <n v="36.125"/>
    <m/>
    <m/>
    <s v=""/>
    <m/>
    <n v="194.60000000000002"/>
    <s v="-"/>
    <n v="212.96"/>
    <s v=""/>
  </r>
  <r>
    <x v="2546"/>
    <m/>
    <m/>
    <x v="102"/>
    <m/>
    <n v="5.0855335173981304"/>
    <d v="1899-12-30T00:00:00"/>
    <m/>
    <n v="36.125"/>
    <m/>
    <m/>
    <s v=""/>
    <m/>
    <n v="194.60000000000002"/>
    <s v="-"/>
    <n v="212.96"/>
    <s v=""/>
  </r>
  <r>
    <x v="2547"/>
    <m/>
    <m/>
    <x v="1"/>
    <m/>
    <s v=""/>
    <s v=""/>
    <m/>
    <s v="0"/>
    <m/>
    <m/>
    <s v=""/>
    <m/>
    <s v=""/>
    <s v="-"/>
    <s v=""/>
    <s v=""/>
  </r>
  <r>
    <x v="2548"/>
    <m/>
    <m/>
    <x v="55"/>
    <m/>
    <n v="10.171067034796261"/>
    <d v="1899-12-30T00:00:00"/>
    <m/>
    <n v="72.25"/>
    <m/>
    <m/>
    <s v=""/>
    <m/>
    <n v="194.60000000000002"/>
    <s v="-"/>
    <n v="212.96"/>
    <s v=""/>
  </r>
  <r>
    <x v="2549"/>
    <m/>
    <m/>
    <x v="102"/>
    <m/>
    <n v="5.0855335173981304"/>
    <d v="1899-12-30T00:00:00"/>
    <m/>
    <n v="36.125"/>
    <m/>
    <m/>
    <s v=""/>
    <m/>
    <n v="194.60000000000002"/>
    <s v="-"/>
    <n v="212.96"/>
    <s v=""/>
  </r>
  <r>
    <x v="2550"/>
    <m/>
    <m/>
    <x v="102"/>
    <m/>
    <n v="5.0855335173981304"/>
    <d v="1899-12-30T00:00:00"/>
    <m/>
    <n v="36.125"/>
    <m/>
    <m/>
    <s v=""/>
    <m/>
    <n v="194.60000000000002"/>
    <s v="-"/>
    <n v="212.96"/>
    <s v=""/>
  </r>
  <r>
    <x v="2551"/>
    <m/>
    <m/>
    <x v="1"/>
    <m/>
    <s v=""/>
    <s v=""/>
    <m/>
    <s v="0"/>
    <m/>
    <m/>
    <s v=""/>
    <m/>
    <s v=""/>
    <s v="-"/>
    <s v=""/>
    <s v=""/>
  </r>
  <r>
    <x v="2552"/>
    <m/>
    <m/>
    <x v="102"/>
    <m/>
    <n v="5.0855335173981304"/>
    <d v="1899-12-30T00:00:00"/>
    <m/>
    <n v="36.125"/>
    <m/>
    <m/>
    <s v=""/>
    <m/>
    <n v="194.60000000000002"/>
    <s v="-"/>
    <n v="212.96"/>
    <s v=""/>
  </r>
  <r>
    <x v="2553"/>
    <m/>
    <m/>
    <x v="102"/>
    <m/>
    <n v="5.0855335173981304"/>
    <d v="1899-12-30T00:00:00"/>
    <m/>
    <n v="36.125"/>
    <m/>
    <m/>
    <s v=""/>
    <m/>
    <n v="194.60000000000002"/>
    <s v="-"/>
    <n v="212.96"/>
    <s v=""/>
  </r>
  <r>
    <x v="2554"/>
    <m/>
    <m/>
    <x v="1"/>
    <m/>
    <s v=""/>
    <s v=""/>
    <m/>
    <s v="0"/>
    <m/>
    <m/>
    <s v=""/>
    <m/>
    <s v=""/>
    <s v="-"/>
    <s v=""/>
    <s v=""/>
  </r>
  <r>
    <x v="2555"/>
    <m/>
    <m/>
    <x v="55"/>
    <m/>
    <n v="10.171067034796261"/>
    <d v="1899-12-30T00:00:00"/>
    <m/>
    <n v="72.25"/>
    <m/>
    <m/>
    <s v=""/>
    <m/>
    <n v="194.60000000000002"/>
    <s v="-"/>
    <n v="212.96"/>
    <s v=""/>
  </r>
  <r>
    <x v="2556"/>
    <m/>
    <m/>
    <x v="1"/>
    <m/>
    <s v=""/>
    <s v=""/>
    <m/>
    <s v="0"/>
    <m/>
    <m/>
    <s v=""/>
    <m/>
    <s v=""/>
    <s v="-"/>
    <s v=""/>
    <s v=""/>
  </r>
  <r>
    <x v="2557"/>
    <m/>
    <m/>
    <x v="55"/>
    <m/>
    <n v="10.171067034796261"/>
    <d v="1899-12-30T00:00:00"/>
    <m/>
    <n v="72.25"/>
    <m/>
    <m/>
    <s v=""/>
    <m/>
    <n v="194.60000000000002"/>
    <s v="-"/>
    <n v="212.96"/>
    <s v=""/>
  </r>
  <r>
    <x v="2558"/>
    <m/>
    <m/>
    <x v="1"/>
    <m/>
    <s v=""/>
    <s v=""/>
    <m/>
    <s v="0"/>
    <m/>
    <m/>
    <s v=""/>
    <m/>
    <s v=""/>
    <s v="-"/>
    <s v=""/>
    <s v=""/>
  </r>
  <r>
    <x v="2559"/>
    <m/>
    <m/>
    <x v="1"/>
    <m/>
    <s v=""/>
    <s v=""/>
    <m/>
    <s v="0"/>
    <m/>
    <m/>
    <s v=""/>
    <m/>
    <s v=""/>
    <s v="-"/>
    <s v=""/>
    <s v=""/>
  </r>
  <r>
    <x v="2560"/>
    <m/>
    <m/>
    <x v="1"/>
    <m/>
    <s v=""/>
    <s v=""/>
    <m/>
    <s v="0"/>
    <m/>
    <m/>
    <s v=""/>
    <m/>
    <s v=""/>
    <s v="-"/>
    <s v=""/>
    <s v=""/>
  </r>
  <r>
    <x v="2561"/>
    <m/>
    <m/>
    <x v="1"/>
    <m/>
    <s v=""/>
    <s v=""/>
    <m/>
    <s v="0"/>
    <m/>
    <m/>
    <s v=""/>
    <m/>
    <s v=""/>
    <s v="-"/>
    <s v=""/>
    <s v=""/>
  </r>
  <r>
    <x v="2562"/>
    <m/>
    <m/>
    <x v="1"/>
    <m/>
    <s v=""/>
    <s v=""/>
    <m/>
    <s v="0"/>
    <m/>
    <m/>
    <s v=""/>
    <m/>
    <s v=""/>
    <s v="-"/>
    <s v=""/>
    <s v=""/>
  </r>
  <r>
    <x v="2563"/>
    <m/>
    <m/>
    <x v="1"/>
    <m/>
    <m/>
    <m/>
    <m/>
    <m/>
    <m/>
    <m/>
    <m/>
    <m/>
    <m/>
    <m/>
    <m/>
    <m/>
  </r>
  <r>
    <x v="2563"/>
    <m/>
    <m/>
    <x v="1"/>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8B824E-AD57-3446-B649-68A98935E6A5}" name="PivotTable1" cacheId="46"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chartFormat="2">
  <location ref="C8:E19" firstHeaderRow="0" firstDataRow="1" firstDataCol="1"/>
  <pivotFields count="12">
    <pivotField showAll="0"/>
    <pivotField showAll="0"/>
    <pivotField axis="axisRow" showAll="0">
      <items count="166">
        <item x="31"/>
        <item x="7"/>
        <item x="32"/>
        <item m="1" x="112"/>
        <item m="1" x="109"/>
        <item m="1" x="107"/>
        <item m="1" x="164"/>
        <item m="1" x="126"/>
        <item m="1" x="141"/>
        <item x="2"/>
        <item x="37"/>
        <item x="17"/>
        <item x="21"/>
        <item m="1" x="131"/>
        <item x="19"/>
        <item x="41"/>
        <item x="24"/>
        <item x="10"/>
        <item x="43"/>
        <item x="29"/>
        <item m="1" x="120"/>
        <item x="15"/>
        <item x="14"/>
        <item x="11"/>
        <item x="0"/>
        <item x="36"/>
        <item x="38"/>
        <item x="39"/>
        <item x="8"/>
        <item x="12"/>
        <item x="47"/>
        <item x="5"/>
        <item x="33"/>
        <item x="28"/>
        <item x="70"/>
        <item x="30"/>
        <item x="9"/>
        <item x="34"/>
        <item x="23"/>
        <item x="26"/>
        <item x="16"/>
        <item x="48"/>
        <item x="6"/>
        <item x="18"/>
        <item x="20"/>
        <item x="35"/>
        <item m="1" x="160"/>
        <item m="1" x="161"/>
        <item m="1" x="162"/>
        <item m="1" x="163"/>
        <item x="4"/>
        <item x="1"/>
        <item m="1" x="147"/>
        <item m="1" x="110"/>
        <item x="3"/>
        <item x="13"/>
        <item x="22"/>
        <item x="25"/>
        <item x="27"/>
        <item x="44"/>
        <item m="1" x="128"/>
        <item m="1" x="152"/>
        <item m="1" x="138"/>
        <item m="1" x="124"/>
        <item x="56"/>
        <item x="51"/>
        <item x="57"/>
        <item m="1" x="113"/>
        <item x="55"/>
        <item x="50"/>
        <item x="62"/>
        <item x="80"/>
        <item x="92"/>
        <item x="63"/>
        <item x="64"/>
        <item x="87"/>
        <item x="106"/>
        <item x="88"/>
        <item x="49"/>
        <item x="52"/>
        <item x="53"/>
        <item x="54"/>
        <item x="58"/>
        <item x="59"/>
        <item x="61"/>
        <item m="1" x="139"/>
        <item x="40"/>
        <item x="42"/>
        <item x="45"/>
        <item x="46"/>
        <item x="60"/>
        <item m="1" x="115"/>
        <item x="66"/>
        <item x="65"/>
        <item m="1" x="127"/>
        <item x="68"/>
        <item x="67"/>
        <item m="1" x="119"/>
        <item m="1" x="136"/>
        <item m="1" x="137"/>
        <item x="69"/>
        <item m="1" x="129"/>
        <item m="1" x="117"/>
        <item m="1" x="132"/>
        <item x="71"/>
        <item m="1" x="159"/>
        <item m="1" x="150"/>
        <item m="1" x="142"/>
        <item m="1" x="116"/>
        <item m="1" x="123"/>
        <item m="1" x="134"/>
        <item x="77"/>
        <item x="78"/>
        <item x="81"/>
        <item m="1" x="149"/>
        <item m="1" x="143"/>
        <item x="72"/>
        <item x="86"/>
        <item x="73"/>
        <item x="74"/>
        <item x="76"/>
        <item x="75"/>
        <item m="1" x="144"/>
        <item x="79"/>
        <item x="94"/>
        <item x="95"/>
        <item x="84"/>
        <item x="96"/>
        <item m="1" x="153"/>
        <item x="82"/>
        <item x="91"/>
        <item m="1" x="111"/>
        <item m="1" x="140"/>
        <item x="85"/>
        <item x="83"/>
        <item x="93"/>
        <item m="1" x="114"/>
        <item m="1" x="122"/>
        <item m="1" x="130"/>
        <item m="1" x="154"/>
        <item x="89"/>
        <item x="90"/>
        <item m="1" x="121"/>
        <item x="97"/>
        <item x="98"/>
        <item x="102"/>
        <item x="99"/>
        <item m="1" x="158"/>
        <item m="1" x="151"/>
        <item x="101"/>
        <item x="100"/>
        <item m="1" x="155"/>
        <item x="104"/>
        <item m="1" x="118"/>
        <item m="1" x="157"/>
        <item x="103"/>
        <item m="1" x="133"/>
        <item m="1" x="108"/>
        <item x="105"/>
        <item m="1" x="125"/>
        <item m="1" x="145"/>
        <item m="1" x="135"/>
        <item m="1" x="156"/>
        <item m="1" x="148"/>
        <item m="1" x="146"/>
        <item t="default"/>
      </items>
    </pivotField>
    <pivotField showAll="0"/>
    <pivotField dataField="1" showAll="0"/>
    <pivotField showAll="0"/>
    <pivotField showAll="0"/>
    <pivotField showAll="0"/>
    <pivotField showAll="0"/>
    <pivotField showAll="0"/>
    <pivotField dataField="1" showAll="0"/>
    <pivotField axis="axisRow" showAll="0" sortType="descending">
      <items count="25">
        <item h="1" sd="0" x="5"/>
        <item h="1" sd="0" x="2"/>
        <item h="1" sd="0" x="3"/>
        <item h="1" sd="0" x="9"/>
        <item h="1" sd="0" x="1"/>
        <item h="1" sd="0" x="8"/>
        <item h="1" sd="0" x="6"/>
        <item h="1" sd="0" x="7"/>
        <item h="1" sd="0" x="4"/>
        <item h="1" sd="0" x="0"/>
        <item sd="0" x="10"/>
        <item h="1" sd="0" x="11"/>
        <item sd="0" x="12"/>
        <item h="1" sd="0" x="13"/>
        <item h="1" sd="0" x="14"/>
        <item h="1" sd="0" x="15"/>
        <item sd="0" x="16"/>
        <item sd="0" x="17"/>
        <item sd="0" x="18"/>
        <item sd="0" x="19"/>
        <item sd="0" x="20"/>
        <item sd="0" x="21"/>
        <item sd="0" x="22"/>
        <item sd="0" x="23"/>
        <item t="default" sd="0"/>
      </items>
      <autoSortScope>
        <pivotArea dataOnly="0" outline="0" fieldPosition="0">
          <references count="1">
            <reference field="4294967294" count="1" selected="0">
              <x v="0"/>
            </reference>
          </references>
        </pivotArea>
      </autoSortScope>
    </pivotField>
  </pivotFields>
  <rowFields count="2">
    <field x="11"/>
    <field x="2"/>
  </rowFields>
  <rowItems count="11">
    <i>
      <x v="16"/>
    </i>
    <i>
      <x v="18"/>
    </i>
    <i>
      <x v="10"/>
    </i>
    <i>
      <x v="19"/>
    </i>
    <i>
      <x v="20"/>
    </i>
    <i>
      <x v="17"/>
    </i>
    <i>
      <x v="12"/>
    </i>
    <i>
      <x v="21"/>
    </i>
    <i>
      <x v="22"/>
    </i>
    <i>
      <x v="23"/>
    </i>
    <i t="grand">
      <x/>
    </i>
  </rowItems>
  <colFields count="1">
    <field x="-2"/>
  </colFields>
  <colItems count="2">
    <i>
      <x/>
    </i>
    <i i="1">
      <x v="1"/>
    </i>
  </colItems>
  <dataFields count="2">
    <dataField name="Summe von KM" fld="4" baseField="0" baseItem="0" numFmtId="1"/>
    <dataField name="Average of ECOR" fld="10" subtotal="average" baseField="10" baseItem="3" numFmtId="173"/>
  </dataFields>
  <formats count="8">
    <format dxfId="4373">
      <pivotArea outline="0" collapsedLevelsAreSubtotals="1" fieldPosition="0"/>
    </format>
    <format dxfId="4372">
      <pivotArea outline="0" collapsedLevelsAreSubtotals="1" fieldPosition="0">
        <references count="1">
          <reference field="4294967294" count="1" selected="0">
            <x v="1"/>
          </reference>
        </references>
      </pivotArea>
    </format>
    <format dxfId="4371">
      <pivotArea type="all" dataOnly="0" outline="0" fieldPosition="0"/>
    </format>
    <format dxfId="4370">
      <pivotArea outline="0" collapsedLevelsAreSubtotals="1" fieldPosition="0"/>
    </format>
    <format dxfId="4369">
      <pivotArea field="11" type="button" dataOnly="0" labelOnly="1" outline="0" axis="axisRow" fieldPosition="0"/>
    </format>
    <format dxfId="4368">
      <pivotArea dataOnly="0" labelOnly="1" fieldPosition="0">
        <references count="1">
          <reference field="11" count="0"/>
        </references>
      </pivotArea>
    </format>
    <format dxfId="4367">
      <pivotArea dataOnly="0" labelOnly="1" grandRow="1" outline="0" fieldPosition="0"/>
    </format>
    <format dxfId="4366">
      <pivotArea dataOnly="0" labelOnly="1" outline="0" fieldPosition="0">
        <references count="1">
          <reference field="4294967294" count="2">
            <x v="0"/>
            <x v="1"/>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478D86-DC85-0642-A1AF-9BC3ED291071}" name="PivotTable1" cacheId="39"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chartFormat="4">
  <location ref="G332:H346" firstHeaderRow="1" firstDataRow="1" firstDataCol="1"/>
  <pivotFields count="15">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items count="6">
        <item x="0"/>
        <item x="5"/>
        <item x="1"/>
        <item x="2"/>
        <item x="3"/>
        <item x="4"/>
      </items>
    </pivotField>
    <pivotField axis="axisRow" showAll="0" defaultSubtotal="0">
      <items count="11">
        <item h="1" sd="0" x="1"/>
        <item h="1" x="2"/>
        <item h="1" x="3"/>
        <item h="1" x="4"/>
        <item h="1" x="5"/>
        <item h="1" x="6"/>
        <item h="1" x="7"/>
        <item h="1" x="0"/>
        <item x="8"/>
        <item h="1" x="9"/>
        <item h="1" x="10"/>
      </items>
    </pivotField>
  </pivotFields>
  <rowFields count="2">
    <field x="14"/>
    <field x="0"/>
  </rowFields>
  <rowItems count="14">
    <i>
      <x v="8"/>
    </i>
    <i r="1">
      <x v="1"/>
    </i>
    <i r="1">
      <x v="2"/>
    </i>
    <i r="1">
      <x v="3"/>
    </i>
    <i r="1">
      <x v="4"/>
    </i>
    <i r="1">
      <x v="5"/>
    </i>
    <i r="1">
      <x v="6"/>
    </i>
    <i r="1">
      <x v="7"/>
    </i>
    <i r="1">
      <x v="8"/>
    </i>
    <i r="1">
      <x v="9"/>
    </i>
    <i r="1">
      <x v="10"/>
    </i>
    <i r="1">
      <x v="11"/>
    </i>
    <i r="1">
      <x v="12"/>
    </i>
    <i t="grand">
      <x/>
    </i>
  </rowItems>
  <colItems count="1">
    <i/>
  </colItems>
  <dataFields count="1">
    <dataField name="Kilometer" fld="5" baseField="0" baseItem="0" numFmtId="1"/>
  </dataFields>
  <formats count="7">
    <format dxfId="4365">
      <pivotArea type="all" dataOnly="0" outline="0" fieldPosition="0"/>
    </format>
    <format dxfId="4364">
      <pivotArea outline="0" collapsedLevelsAreSubtotals="1" fieldPosition="0"/>
    </format>
    <format dxfId="4363">
      <pivotArea field="14" type="button" dataOnly="0" labelOnly="1" outline="0" axis="axisRow" fieldPosition="0"/>
    </format>
    <format dxfId="4362">
      <pivotArea dataOnly="0" labelOnly="1" fieldPosition="0">
        <references count="1">
          <reference field="14" count="0"/>
        </references>
      </pivotArea>
    </format>
    <format dxfId="4361">
      <pivotArea dataOnly="0" labelOnly="1" grandRow="1" outline="0" fieldPosition="0"/>
    </format>
    <format dxfId="4360">
      <pivotArea dataOnly="0" labelOnly="1" fieldPosition="0">
        <references count="2">
          <reference field="0" count="12">
            <x v="1"/>
            <x v="2"/>
            <x v="3"/>
            <x v="4"/>
            <x v="5"/>
            <x v="6"/>
            <x v="7"/>
            <x v="8"/>
            <x v="9"/>
            <x v="10"/>
            <x v="11"/>
            <x v="12"/>
          </reference>
          <reference field="14" count="0" selected="0"/>
        </references>
      </pivotArea>
    </format>
    <format dxfId="435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A789DA-C9AD-4743-88CB-AF82AB777141}" name="PivotTable1" cacheId="51" applyNumberFormats="0" applyBorderFormats="0" applyFontFormats="0" applyPatternFormats="0" applyAlignmentFormats="0" applyWidthHeightFormats="1" dataCaption="Werte" updatedVersion="8" minRefreshableVersion="3" useAutoFormatting="1" colGrandTotals="0" itemPrintTitles="1" createdVersion="6" indent="0" outline="1" outlineData="1" multipleFieldFilters="0" chartFormat="1">
  <location ref="B3:F17" firstHeaderRow="1" firstDataRow="2" firstDataCol="1"/>
  <pivotFields count="21">
    <pivotField axis="axisRow" showAll="0">
      <items count="15">
        <item h="1" x="0"/>
        <item x="1"/>
        <item x="2"/>
        <item x="3"/>
        <item x="4"/>
        <item x="5"/>
        <item x="6"/>
        <item x="7"/>
        <item x="8"/>
        <item x="9"/>
        <item x="10"/>
        <item x="11"/>
        <item x="12"/>
        <item h="1" x="13"/>
        <item t="default"/>
      </items>
    </pivotField>
    <pivotField showAll="0"/>
    <pivotField showAll="0"/>
    <pivotField showAll="0">
      <items count="157">
        <item x="69"/>
        <item m="1" x="119"/>
        <item x="31"/>
        <item m="1" x="113"/>
        <item m="1" x="142"/>
        <item m="1" x="133"/>
        <item m="1" x="123"/>
        <item m="1" x="127"/>
        <item x="85"/>
        <item m="1" x="114"/>
        <item x="86"/>
        <item x="7"/>
        <item x="32"/>
        <item x="60"/>
        <item x="2"/>
        <item x="37"/>
        <item x="17"/>
        <item x="21"/>
        <item x="19"/>
        <item x="41"/>
        <item x="24"/>
        <item x="10"/>
        <item x="43"/>
        <item x="29"/>
        <item x="15"/>
        <item x="14"/>
        <item x="11"/>
        <item x="0"/>
        <item x="36"/>
        <item x="38"/>
        <item x="39"/>
        <item m="1" x="139"/>
        <item x="72"/>
        <item m="1" x="111"/>
        <item m="1" x="118"/>
        <item m="1" x="124"/>
        <item x="8"/>
        <item x="12"/>
        <item x="47"/>
        <item m="1" x="122"/>
        <item x="5"/>
        <item x="33"/>
        <item x="28"/>
        <item x="70"/>
        <item x="30"/>
        <item x="9"/>
        <item x="67"/>
        <item x="34"/>
        <item x="23"/>
        <item x="26"/>
        <item m="1" x="121"/>
        <item x="16"/>
        <item x="48"/>
        <item x="3"/>
        <item x="27"/>
        <item x="44"/>
        <item x="22"/>
        <item x="13"/>
        <item x="25"/>
        <item x="6"/>
        <item x="18"/>
        <item x="20"/>
        <item x="35"/>
        <item m="1" x="152"/>
        <item m="1" x="153"/>
        <item m="1" x="154"/>
        <item m="1" x="155"/>
        <item x="68"/>
        <item m="1" x="129"/>
        <item m="1" x="130"/>
        <item x="73"/>
        <item x="4"/>
        <item x="53"/>
        <item x="92"/>
        <item m="1" x="110"/>
        <item x="65"/>
        <item x="58"/>
        <item x="52"/>
        <item x="51"/>
        <item x="80"/>
        <item x="63"/>
        <item x="56"/>
        <item x="57"/>
        <item m="1" x="116"/>
        <item x="61"/>
        <item m="1" x="136"/>
        <item m="1" x="151"/>
        <item m="1" x="149"/>
        <item x="66"/>
        <item x="64"/>
        <item x="106"/>
        <item x="88"/>
        <item x="87"/>
        <item x="55"/>
        <item x="74"/>
        <item x="54"/>
        <item x="76"/>
        <item x="62"/>
        <item x="50"/>
        <item x="49"/>
        <item x="59"/>
        <item m="1" x="131"/>
        <item x="89"/>
        <item x="83"/>
        <item x="90"/>
        <item m="1" x="117"/>
        <item x="93"/>
        <item m="1" x="125"/>
        <item x="71"/>
        <item x="75"/>
        <item m="1" x="145"/>
        <item x="42"/>
        <item m="1" x="112"/>
        <item m="1" x="132"/>
        <item x="82"/>
        <item m="1" x="134"/>
        <item m="1" x="109"/>
        <item x="40"/>
        <item x="81"/>
        <item m="1" x="141"/>
        <item m="1" x="144"/>
        <item x="91"/>
        <item x="77"/>
        <item x="78"/>
        <item x="45"/>
        <item x="46"/>
        <item x="84"/>
        <item x="96"/>
        <item x="79"/>
        <item m="1" x="135"/>
        <item m="1" x="108"/>
        <item x="94"/>
        <item x="95"/>
        <item x="1"/>
        <item x="97"/>
        <item x="98"/>
        <item x="102"/>
        <item x="99"/>
        <item m="1" x="150"/>
        <item m="1" x="143"/>
        <item x="101"/>
        <item x="100"/>
        <item m="1" x="146"/>
        <item x="104"/>
        <item m="1" x="115"/>
        <item m="1" x="148"/>
        <item x="103"/>
        <item m="1" x="126"/>
        <item m="1" x="107"/>
        <item x="105"/>
        <item m="1" x="120"/>
        <item m="1" x="137"/>
        <item m="1" x="128"/>
        <item m="1" x="147"/>
        <item m="1" x="140"/>
        <item m="1" x="13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77"/>
        <item x="78"/>
        <item x="79"/>
        <item x="80"/>
        <item x="81"/>
        <item x="82"/>
        <item x="83"/>
        <item x="116"/>
        <item x="117"/>
        <item x="118"/>
        <item x="119"/>
        <item x="120"/>
        <item x="121"/>
        <item x="122"/>
        <item x="123"/>
        <item x="124"/>
        <item x="125"/>
        <item x="126"/>
        <item x="127"/>
        <item x="128"/>
        <item x="129"/>
        <item x="130"/>
        <item x="131"/>
      </items>
    </pivotField>
    <pivotField showAll="0" defaultSubtotal="0">
      <items count="6">
        <item sd="0" x="0"/>
        <item x="5"/>
        <item x="1"/>
        <item x="2"/>
        <item x="3"/>
        <item x="4"/>
      </items>
    </pivotField>
    <pivotField axis="axisCol" showAll="0" defaultSubtotal="0">
      <items count="11">
        <item h="1" sd="0" x="0"/>
        <item h="1" sd="0" x="1"/>
        <item h="1" sd="0" x="2"/>
        <item h="1" sd="0" x="3"/>
        <item h="1" sd="0" x="4"/>
        <item sd="0" x="5"/>
        <item sd="0" x="6"/>
        <item sd="0" x="7"/>
        <item x="8"/>
        <item h="1" x="9"/>
        <item h="1" x="10"/>
      </items>
    </pivotField>
    <pivotField showAll="0" defaultSubtota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s>
    </pivotField>
  </pivotFields>
  <rowFields count="1">
    <field x="0"/>
  </rowFields>
  <rowItems count="13">
    <i>
      <x v="1"/>
    </i>
    <i>
      <x v="2"/>
    </i>
    <i>
      <x v="3"/>
    </i>
    <i>
      <x v="4"/>
    </i>
    <i>
      <x v="5"/>
    </i>
    <i>
      <x v="6"/>
    </i>
    <i>
      <x v="7"/>
    </i>
    <i>
      <x v="8"/>
    </i>
    <i>
      <x v="9"/>
    </i>
    <i>
      <x v="10"/>
    </i>
    <i>
      <x v="11"/>
    </i>
    <i>
      <x v="12"/>
    </i>
    <i t="grand">
      <x/>
    </i>
  </rowItems>
  <colFields count="1">
    <field x="19"/>
  </colFields>
  <colItems count="4">
    <i>
      <x v="5"/>
    </i>
    <i>
      <x v="6"/>
    </i>
    <i>
      <x v="7"/>
    </i>
    <i>
      <x v="8"/>
    </i>
  </colItems>
  <dataFields count="1">
    <dataField name="Summe von HM" fld="10" baseField="0" baseItem="0"/>
  </dataFields>
  <formats count="2">
    <format dxfId="4358">
      <pivotArea dataOnly="0" labelOnly="1" fieldPosition="0">
        <references count="1">
          <reference field="19" count="1">
            <x v="5"/>
          </reference>
        </references>
      </pivotArea>
    </format>
    <format dxfId="4357">
      <pivotArea dataOnly="0" outline="0" fieldPosition="0">
        <references count="1">
          <reference field="19" count="1">
            <x v="4"/>
          </reference>
        </references>
      </pivotArea>
    </format>
  </formats>
  <chartFormats count="8">
    <chartFormat chart="0" format="0" series="1">
      <pivotArea type="data" outline="0" fieldPosition="0">
        <references count="2">
          <reference field="4294967294" count="1" selected="0">
            <x v="0"/>
          </reference>
          <reference field="19" count="1" selected="0">
            <x v="1"/>
          </reference>
        </references>
      </pivotArea>
    </chartFormat>
    <chartFormat chart="0" format="1" series="1">
      <pivotArea type="data" outline="0" fieldPosition="0">
        <references count="2">
          <reference field="4294967294" count="1" selected="0">
            <x v="0"/>
          </reference>
          <reference field="19" count="1" selected="0">
            <x v="2"/>
          </reference>
        </references>
      </pivotArea>
    </chartFormat>
    <chartFormat chart="0" format="2" series="1">
      <pivotArea type="data" outline="0" fieldPosition="0">
        <references count="2">
          <reference field="4294967294" count="1" selected="0">
            <x v="0"/>
          </reference>
          <reference field="19" count="1" selected="0">
            <x v="3"/>
          </reference>
        </references>
      </pivotArea>
    </chartFormat>
    <chartFormat chart="0" format="3" series="1">
      <pivotArea type="data" outline="0" fieldPosition="0">
        <references count="2">
          <reference field="4294967294" count="1" selected="0">
            <x v="0"/>
          </reference>
          <reference field="19" count="1" selected="0">
            <x v="4"/>
          </reference>
        </references>
      </pivotArea>
    </chartFormat>
    <chartFormat chart="0" format="4" series="1">
      <pivotArea type="data" outline="0" fieldPosition="0">
        <references count="2">
          <reference field="4294967294" count="1" selected="0">
            <x v="0"/>
          </reference>
          <reference field="19" count="1" selected="0">
            <x v="5"/>
          </reference>
        </references>
      </pivotArea>
    </chartFormat>
    <chartFormat chart="0" format="5" series="1">
      <pivotArea type="data" outline="0" fieldPosition="0">
        <references count="2">
          <reference field="4294967294" count="1" selected="0">
            <x v="0"/>
          </reference>
          <reference field="19" count="1" selected="0">
            <x v="6"/>
          </reference>
        </references>
      </pivotArea>
    </chartFormat>
    <chartFormat chart="0" format="6" series="1">
      <pivotArea type="data" outline="0" fieldPosition="0">
        <references count="2">
          <reference field="4294967294" count="1" selected="0">
            <x v="0"/>
          </reference>
          <reference field="19" count="1" selected="0">
            <x v="7"/>
          </reference>
        </references>
      </pivotArea>
    </chartFormat>
    <chartFormat chart="0" format="7" series="1">
      <pivotArea type="data" outline="0" fieldPosition="0">
        <references count="2">
          <reference field="4294967294" count="1" selected="0">
            <x v="0"/>
          </reference>
          <reference field="19" count="1" selected="0">
            <x v="8"/>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BD43F7-1F50-43B6-BF85-C1F34262B2DD}" name="PivotTable2" cacheId="51"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chartFormat="1">
  <location ref="C5:D18" firstHeaderRow="1" firstDataRow="1" firstDataCol="1" rowPageCount="2" colPageCount="1"/>
  <pivotFields count="21">
    <pivotField axis="axisPage" showAll="0">
      <items count="15">
        <item x="0"/>
        <item x="1"/>
        <item x="2"/>
        <item x="3"/>
        <item x="4"/>
        <item x="5"/>
        <item x="6"/>
        <item x="7"/>
        <item x="8"/>
        <item x="9"/>
        <item x="10"/>
        <item x="11"/>
        <item x="12"/>
        <item x="13"/>
        <item t="default"/>
      </items>
    </pivotField>
    <pivotField showAll="0"/>
    <pivotField showAll="0"/>
    <pivotField axis="axisRow" showAll="0" sortType="ascending">
      <items count="157">
        <item h="1" x="31"/>
        <item h="1" x="7"/>
        <item h="1" x="32"/>
        <item sd="0" x="2"/>
        <item sd="0" x="37"/>
        <item sd="0" x="17"/>
        <item sd="0" x="21"/>
        <item sd="0" x="19"/>
        <item sd="0" x="41"/>
        <item sd="0" x="24"/>
        <item sd="0" x="10"/>
        <item sd="0" x="43"/>
        <item sd="0" x="29"/>
        <item sd="0" x="15"/>
        <item sd="0" x="14"/>
        <item sd="0" x="11"/>
        <item h="1" sd="0" x="0"/>
        <item h="1" sd="0" x="36"/>
        <item h="1" sd="0" x="38"/>
        <item h="1" sd="0" x="39"/>
        <item h="1" m="1" x="139"/>
        <item h="1" x="8"/>
        <item h="1" x="12"/>
        <item h="1" x="47"/>
        <item h="1" m="1" x="122"/>
        <item h="1" x="5"/>
        <item h="1" x="33"/>
        <item h="1" x="28"/>
        <item h="1" x="70"/>
        <item h="1" x="30"/>
        <item h="1" x="9"/>
        <item h="1" x="34"/>
        <item h="1" x="23"/>
        <item h="1" x="26"/>
        <item sd="0" x="16"/>
        <item sd="0" x="48"/>
        <item h="1" x="3"/>
        <item h="1" x="27"/>
        <item h="1" x="44"/>
        <item h="1" x="22"/>
        <item h="1" x="13"/>
        <item h="1" x="25"/>
        <item h="1" x="6"/>
        <item h="1" x="18"/>
        <item h="1" x="20"/>
        <item h="1" x="35"/>
        <item h="1" m="1" x="152"/>
        <item h="1" m="1" x="153"/>
        <item h="1" m="1" x="154"/>
        <item h="1" m="1" x="155"/>
        <item h="1" x="4"/>
        <item h="1" sd="0" x="92"/>
        <item h="1" m="1" x="110"/>
        <item sd="0" x="51"/>
        <item sd="0" x="80"/>
        <item sd="0" x="63"/>
        <item sd="0" x="56"/>
        <item sd="0" x="57"/>
        <item sd="0" x="64"/>
        <item h="1" sd="0" x="106"/>
        <item sd="0" x="88"/>
        <item sd="0" x="87"/>
        <item sd="0" x="55"/>
        <item sd="0" x="54"/>
        <item sd="0" x="62"/>
        <item sd="0" x="50"/>
        <item h="1" x="1"/>
        <item h="1" sd="0" x="53"/>
        <item h="1" m="1" x="108"/>
        <item sd="0" x="49"/>
        <item h="1" sd="0" x="52"/>
        <item h="1" sd="0" x="58"/>
        <item sd="0" x="59"/>
        <item sd="0" x="61"/>
        <item m="1" x="131"/>
        <item m="1" x="136"/>
        <item m="1" x="151"/>
        <item m="1" x="149"/>
        <item h="1" sd="0" x="40"/>
        <item h="1" sd="0" x="42"/>
        <item h="1" sd="0" x="45"/>
        <item h="1" sd="0" x="46"/>
        <item h="1" x="60"/>
        <item h="1" m="1" x="112"/>
        <item sd="0" x="66"/>
        <item h="1" sd="0" x="65"/>
        <item h="1" m="1" x="121"/>
        <item h="1" x="67"/>
        <item h="1" sd="0" x="68"/>
        <item m="1" x="116"/>
        <item h="1" m="1" x="130"/>
        <item h="1" x="69"/>
        <item h="1" m="1" x="123"/>
        <item h="1" m="1" x="114"/>
        <item h="1" m="1" x="125"/>
        <item h="1" x="71"/>
        <item h="1" m="1" x="142"/>
        <item h="1" m="1" x="133"/>
        <item h="1" m="1" x="113"/>
        <item h="1" m="1" x="119"/>
        <item h="1" m="1" x="127"/>
        <item h="1" x="77"/>
        <item h="1" x="78"/>
        <item h="1" x="81"/>
        <item h="1" m="1" x="141"/>
        <item h="1" m="1" x="134"/>
        <item h="1" x="72"/>
        <item h="1" x="86"/>
        <item h="1" x="73"/>
        <item sd="0" x="74"/>
        <item h="1" x="75"/>
        <item sd="0" x="76"/>
        <item h="1" m="1" x="135"/>
        <item h="1" x="79"/>
        <item h="1" x="94"/>
        <item h="1" x="95"/>
        <item h="1" x="84"/>
        <item h="1" x="96"/>
        <item h="1" m="1" x="144"/>
        <item h="1" x="82"/>
        <item h="1" x="91"/>
        <item h="1" m="1" x="109"/>
        <item h="1" m="1" x="132"/>
        <item h="1" x="85"/>
        <item h="1" x="83"/>
        <item h="1" x="93"/>
        <item h="1" m="1" x="111"/>
        <item h="1" m="1" x="118"/>
        <item h="1" m="1" x="124"/>
        <item h="1" m="1" x="145"/>
        <item h="1" m="1" x="129"/>
        <item h="1" x="89"/>
        <item h="1" x="90"/>
        <item h="1" m="1" x="117"/>
        <item h="1" x="97"/>
        <item h="1" x="98"/>
        <item x="102"/>
        <item h="1" x="99"/>
        <item h="1" m="1" x="150"/>
        <item h="1" m="1" x="143"/>
        <item h="1" x="101"/>
        <item h="1" x="100"/>
        <item h="1" m="1" x="146"/>
        <item h="1" x="104"/>
        <item h="1" m="1" x="115"/>
        <item h="1" m="1" x="148"/>
        <item x="103"/>
        <item h="1" m="1" x="126"/>
        <item m="1" x="107"/>
        <item h="1" x="105"/>
        <item h="1" m="1" x="120"/>
        <item h="1" m="1" x="137"/>
        <item h="1" m="1" x="128"/>
        <item h="1" m="1" x="147"/>
        <item h="1" m="1" x="140"/>
        <item h="1" m="1"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sortType="ascending">
      <items count="133">
        <item h="1" x="35"/>
        <item h="1" x="78"/>
        <item h="1" x="43"/>
        <item h="1" x="82"/>
        <item h="1" x="7"/>
        <item h="1" x="42"/>
        <item h="1" x="40"/>
        <item h="1" x="41"/>
        <item h="1" x="36"/>
        <item h="1" x="44"/>
        <item h="1" x="119"/>
        <item h="1" x="65"/>
        <item h="1" x="37"/>
        <item h="1" x="81"/>
        <item h="1" x="117"/>
        <item h="1" x="51"/>
        <item h="1" x="8"/>
        <item h="1" x="19"/>
        <item h="1" x="125"/>
        <item x="84"/>
        <item x="85"/>
        <item x="86"/>
        <item x="87"/>
        <item x="88"/>
        <item x="89"/>
        <item x="90"/>
        <item x="91"/>
        <item x="92"/>
        <item x="93"/>
        <item x="94"/>
        <item x="95"/>
        <item x="96"/>
        <item x="0"/>
        <item x="10"/>
        <item x="11"/>
        <item x="12"/>
        <item x="14"/>
        <item h="1" x="50"/>
        <item h="1" x="68"/>
        <item h="1" x="69"/>
        <item h="1" x="70"/>
        <item x="3"/>
        <item x="4"/>
        <item x="13"/>
        <item x="15"/>
        <item h="1" x="27"/>
        <item x="9"/>
        <item x="5"/>
        <item x="6"/>
        <item h="1" x="26"/>
        <item h="1" x="20"/>
        <item h="1" x="21"/>
        <item h="1" x="22"/>
        <item h="1" x="23"/>
        <item h="1" x="79"/>
        <item h="1" sd="0" x="28"/>
        <item h="1" x="72"/>
        <item h="1" x="34"/>
        <item h="1" x="52"/>
        <item h="1" x="121"/>
        <item h="1" x="126"/>
        <item h="1" x="127"/>
        <item h="1" x="116"/>
        <item h="1" x="76"/>
        <item x="97"/>
        <item x="98"/>
        <item x="99"/>
        <item x="100"/>
        <item h="1" x="131"/>
        <item x="101"/>
        <item x="29"/>
        <item x="112"/>
        <item x="31"/>
        <item x="32"/>
        <item x="33"/>
        <item x="113"/>
        <item x="102"/>
        <item h="1" x="80"/>
        <item x="103"/>
        <item h="1" x="122"/>
        <item h="1" x="124"/>
        <item h="1" x="123"/>
        <item x="104"/>
        <item x="105"/>
        <item h="1" x="120"/>
        <item x="106"/>
        <item x="114"/>
        <item x="107"/>
        <item x="115"/>
        <item x="108"/>
        <item x="109"/>
        <item x="110"/>
        <item x="111"/>
        <item x="30"/>
        <item h="1" x="73"/>
        <item h="1" x="66"/>
        <item h="1" x="74"/>
        <item h="1" x="75"/>
        <item h="1" x="118"/>
        <item h="1" x="67"/>
        <item h="1" x="38"/>
        <item h="1" x="39"/>
        <item h="1" x="53"/>
        <item h="1" x="71"/>
        <item h="1" x="25"/>
        <item h="1" x="64"/>
        <item h="1" x="61"/>
        <item h="1" x="49"/>
        <item h="1" x="63"/>
        <item h="1" x="47"/>
        <item h="1" x="130"/>
        <item h="1" x="48"/>
        <item h="1" x="60"/>
        <item h="1" x="62"/>
        <item h="1" x="45"/>
        <item h="1" x="128"/>
        <item h="1" x="46"/>
        <item h="1" x="129"/>
        <item h="1" x="83"/>
        <item h="1" x="58"/>
        <item h="1" x="59"/>
        <item h="1" x="55"/>
        <item h="1" x="54"/>
        <item h="1" x="18"/>
        <item h="1" x="56"/>
        <item h="1" x="57"/>
        <item n="Zone 1" h="1" x="77"/>
        <item n="Zone 4" h="1" sd="0" x="24"/>
        <item n="Zone 5" h="1" sd="0" x="17"/>
        <item n="Zone 6" h="1" sd="0" x="16"/>
        <item n="ZZ_WK" h="1" sd="0" x="2"/>
        <item h="1" x="1"/>
        <item t="default"/>
      </items>
    </pivotField>
    <pivotField showAll="0">
      <items count="7">
        <item x="0"/>
        <item x="5"/>
        <item x="1"/>
        <item x="2"/>
        <item x="3"/>
        <item x="4"/>
        <item t="default"/>
      </items>
    </pivotField>
    <pivotField axis="axisPage" multipleItemSelectionAllowed="1" showAll="0">
      <items count="12">
        <item h="1" sd="0" x="1"/>
        <item h="1" sd="0" x="2"/>
        <item h="1" sd="0" x="3"/>
        <item h="1" sd="0" x="4"/>
        <item h="1" sd="0" x="5"/>
        <item sd="0" x="6"/>
        <item x="7"/>
        <item h="1" x="0"/>
        <item h="1" x="8"/>
        <item h="1" x="9"/>
        <item h="1" x="10"/>
        <item t="default"/>
      </items>
    </pivotField>
    <pivotField showAll="0">
      <items count="102">
        <item h="1" x="35"/>
        <item h="1" x="43"/>
        <item h="1" x="7"/>
        <item h="1" x="42"/>
        <item h="1" x="40"/>
        <item h="1" x="41"/>
        <item h="1" x="36"/>
        <item h="1" x="44"/>
        <item h="1" x="65"/>
        <item h="1" x="37"/>
        <item h="1" x="51"/>
        <item h="1" x="8"/>
        <item h="1" x="19"/>
        <item x="0"/>
        <item x="10"/>
        <item x="11"/>
        <item x="12"/>
        <item x="14"/>
        <item n="Zone 2" x="77"/>
        <item h="1" x="50"/>
        <item h="1" x="68"/>
        <item h="1" x="69"/>
        <item h="1" x="70"/>
        <item x="3"/>
        <item x="4"/>
        <item x="13"/>
        <item x="15"/>
        <item h="1" x="27"/>
        <item x="9"/>
        <item x="5"/>
        <item x="6"/>
        <item h="1" x="26"/>
        <item n="Zone 1" sd="0" x="78"/>
        <item h="1" x="20"/>
        <item h="1" x="21"/>
        <item h="1" x="22"/>
        <item h="1" x="23"/>
        <item h="1" sd="0" x="28"/>
        <item h="1" x="72"/>
        <item h="1" x="34"/>
        <item h="1" x="52"/>
        <item x="76"/>
        <item x="29"/>
        <item x="31"/>
        <item x="32"/>
        <item x="33"/>
        <item x="30"/>
        <item h="1" x="73"/>
        <item h="1" x="66"/>
        <item h="1" x="74"/>
        <item h="1" x="75"/>
        <item h="1" x="67"/>
        <item h="1" x="38"/>
        <item h="1" x="39"/>
        <item h="1" x="53"/>
        <item h="1" x="71"/>
        <item h="1" x="25"/>
        <item h="1" x="64"/>
        <item h="1" x="61"/>
        <item h="1" x="49"/>
        <item h="1" x="63"/>
        <item h="1" x="47"/>
        <item h="1" x="48"/>
        <item h="1" x="60"/>
        <item h="1" x="62"/>
        <item h="1" x="45"/>
        <item h="1" x="46"/>
        <item h="1" x="58"/>
        <item h="1" x="59"/>
        <item h="1" x="55"/>
        <item h="1" x="54"/>
        <item h="1" x="18"/>
        <item h="1" x="56"/>
        <item h="1" x="57"/>
        <item n="Zone 4" h="1" sd="0" x="24"/>
        <item n="Zone 5" h="1" sd="0" x="17"/>
        <item n="Zone 6" h="1" sd="0" x="16"/>
        <item n="ZZ_WK" h="1" sd="0" x="2"/>
        <item h="1" x="1"/>
        <item h="1" x="79"/>
        <item h="1" x="80"/>
        <item h="1" x="81"/>
        <item h="1" x="82"/>
        <item h="1" x="83"/>
        <item h="1" x="84"/>
        <item h="1" x="85"/>
        <item h="1" x="86"/>
        <item h="1" x="87"/>
        <item h="1" x="88"/>
        <item h="1" x="89"/>
        <item h="1" x="90"/>
        <item h="1" x="91"/>
        <item h="1" x="92"/>
        <item h="1" x="93"/>
        <item h="1" x="94"/>
        <item h="1" x="95"/>
        <item h="1" x="96"/>
        <item h="1" x="97"/>
        <item h="1" x="98"/>
        <item h="1" x="99"/>
        <item h="1" x="100"/>
        <item t="default"/>
      </items>
    </pivotField>
  </pivotFields>
  <rowFields count="1">
    <field x="3"/>
  </rowFields>
  <rowItems count="13">
    <i>
      <x v="136"/>
    </i>
    <i>
      <x v="146"/>
    </i>
    <i>
      <x v="61"/>
    </i>
    <i>
      <x v="64"/>
    </i>
    <i>
      <x v="54"/>
    </i>
    <i>
      <x v="60"/>
    </i>
    <i>
      <x v="111"/>
    </i>
    <i>
      <x v="109"/>
    </i>
    <i>
      <x v="62"/>
    </i>
    <i>
      <x v="63"/>
    </i>
    <i>
      <x v="55"/>
    </i>
    <i>
      <x v="58"/>
    </i>
    <i t="grand">
      <x/>
    </i>
  </rowItems>
  <colItems count="1">
    <i/>
  </colItems>
  <pageFields count="2">
    <pageField fld="19" hier="-1"/>
    <pageField fld="0" hier="-1"/>
  </pageFields>
  <dataFields count="1">
    <dataField name="Mittelwert von ECOR" fld="11" subtotal="average" baseField="0" baseItem="0" numFmtId="173"/>
  </dataFields>
  <formats count="19">
    <format dxfId="4356">
      <pivotArea type="all" dataOnly="0" outline="0" fieldPosition="0"/>
    </format>
    <format dxfId="4355">
      <pivotArea outline="0" collapsedLevelsAreSubtotals="1" fieldPosition="0"/>
    </format>
    <format dxfId="4354">
      <pivotArea type="origin" dataOnly="0" labelOnly="1" outline="0" fieldPosition="0"/>
    </format>
    <format dxfId="4353">
      <pivotArea field="19" type="button" dataOnly="0" labelOnly="1" outline="0" axis="axisPage" fieldPosition="0"/>
    </format>
    <format dxfId="4352">
      <pivotArea type="topRight" dataOnly="0" labelOnly="1" outline="0" fieldPosition="0"/>
    </format>
    <format dxfId="4351">
      <pivotArea field="17" type="button" dataOnly="0" labelOnly="1" outline="0"/>
    </format>
    <format dxfId="4350">
      <pivotArea dataOnly="0" labelOnly="1" grandRow="1" outline="0" fieldPosition="0"/>
    </format>
    <format dxfId="4349">
      <pivotArea dataOnly="0" labelOnly="1" fieldPosition="0">
        <references count="1">
          <reference field="19" count="3">
            <x v="3"/>
            <x v="4"/>
            <x v="5"/>
          </reference>
        </references>
      </pivotArea>
    </format>
    <format dxfId="4348">
      <pivotArea dataOnly="0" labelOnly="1" grandCol="1" outline="0" fieldPosition="0"/>
    </format>
    <format dxfId="4347">
      <pivotArea type="all" dataOnly="0" outline="0" fieldPosition="0"/>
    </format>
    <format dxfId="4346">
      <pivotArea outline="0" collapsedLevelsAreSubtotals="1" fieldPosition="0"/>
    </format>
    <format dxfId="4345">
      <pivotArea type="origin" dataOnly="0" labelOnly="1" outline="0" fieldPosition="0"/>
    </format>
    <format dxfId="4344">
      <pivotArea field="19" type="button" dataOnly="0" labelOnly="1" outline="0" axis="axisPage" fieldPosition="0"/>
    </format>
    <format dxfId="4343">
      <pivotArea type="topRight" dataOnly="0" labelOnly="1" outline="0" fieldPosition="0"/>
    </format>
    <format dxfId="4342">
      <pivotArea field="17" type="button" dataOnly="0" labelOnly="1" outline="0"/>
    </format>
    <format dxfId="4341">
      <pivotArea dataOnly="0" labelOnly="1" grandRow="1" outline="0" fieldPosition="0"/>
    </format>
    <format dxfId="4340">
      <pivotArea dataOnly="0" labelOnly="1" fieldPosition="0">
        <references count="1">
          <reference field="19" count="3">
            <x v="3"/>
            <x v="4"/>
            <x v="5"/>
          </reference>
        </references>
      </pivotArea>
    </format>
    <format dxfId="4339">
      <pivotArea dataOnly="0" labelOnly="1" grandCol="1" outline="0" fieldPosition="0"/>
    </format>
    <format dxfId="4338">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19" count="1" selected="0">
            <x v="1"/>
          </reference>
        </references>
      </pivotArea>
    </chartFormat>
    <chartFormat chart="0" format="1" series="1">
      <pivotArea type="data" outline="0" fieldPosition="0">
        <references count="2">
          <reference field="4294967294" count="1" selected="0">
            <x v="0"/>
          </reference>
          <reference field="19" count="1" selected="0">
            <x v="2"/>
          </reference>
        </references>
      </pivotArea>
    </chartFormat>
    <chartFormat chart="0" format="2" series="1">
      <pivotArea type="data" outline="0" fieldPosition="0">
        <references count="2">
          <reference field="4294967294" count="1" selected="0">
            <x v="0"/>
          </reference>
          <reference field="19" count="1" selected="0">
            <x v="3"/>
          </reference>
        </references>
      </pivotArea>
    </chartFormat>
    <chartFormat chart="0" format="3" series="1">
      <pivotArea type="data" outline="0" fieldPosition="0">
        <references count="2">
          <reference field="4294967294" count="1" selected="0">
            <x v="0"/>
          </reference>
          <reference field="19" count="1" selected="0">
            <x v="4"/>
          </reference>
        </references>
      </pivotArea>
    </chartFormat>
    <chartFormat chart="0" format="4" series="1">
      <pivotArea type="data" outline="0" fieldPosition="0">
        <references count="2">
          <reference field="4294967294" count="1" selected="0">
            <x v="0"/>
          </reference>
          <reference field="19" count="1" selected="0">
            <x v="5"/>
          </reference>
        </references>
      </pivotArea>
    </chartFormat>
    <chartFormat chart="0" format="5"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2F9CF3-D3C3-49C8-9D18-5BAD38523365}" name="PivotTable2" cacheId="3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A3:G18" firstHeaderRow="1" firstDataRow="2" firstDataCol="1"/>
  <pivotFields count="15">
    <pivotField axis="axisRow" showAll="0">
      <items count="15">
        <item x="0"/>
        <item x="1"/>
        <item x="2"/>
        <item x="3"/>
        <item x="4"/>
        <item x="5"/>
        <item x="6"/>
        <item x="7"/>
        <item x="8"/>
        <item x="9"/>
        <item x="10"/>
        <item x="11"/>
        <item x="12"/>
        <item x="13"/>
        <item t="default"/>
      </items>
    </pivotField>
    <pivotField showAll="0"/>
    <pivotField axis="axisRow" showAll="0">
      <items count="5">
        <item x="2"/>
        <item h="1" x="1"/>
        <item h="1" x="0"/>
        <item h="1" m="1" x="3"/>
        <item t="default"/>
      </items>
    </pivotField>
    <pivotField showAll="0"/>
    <pivotField showAll="0"/>
    <pivotField dataField="1" showAll="0"/>
    <pivotField showAll="0"/>
    <pivotField showAll="0"/>
    <pivotField showAll="0"/>
    <pivotField showAll="0"/>
    <pivotField showAll="0"/>
    <pivotField showAll="0"/>
    <pivotField showAll="0"/>
    <pivotField showAll="0">
      <items count="7">
        <item x="0"/>
        <item x="5"/>
        <item x="1"/>
        <item x="2"/>
        <item x="3"/>
        <item x="4"/>
        <item t="default"/>
      </items>
    </pivotField>
    <pivotField axis="axisCol" showAll="0">
      <items count="12">
        <item sd="0" x="1"/>
        <item sd="0" x="2"/>
        <item sd="0" x="3"/>
        <item x="4"/>
        <item x="5"/>
        <item x="6"/>
        <item x="7"/>
        <item x="0"/>
        <item x="8"/>
        <item x="9"/>
        <item x="10"/>
        <item t="default"/>
      </items>
    </pivotField>
  </pivotFields>
  <rowFields count="2">
    <field x="2"/>
    <field x="0"/>
  </rowFields>
  <rowItems count="14">
    <i>
      <x/>
    </i>
    <i r="1">
      <x v="1"/>
    </i>
    <i r="1">
      <x v="2"/>
    </i>
    <i r="1">
      <x v="3"/>
    </i>
    <i r="1">
      <x v="4"/>
    </i>
    <i r="1">
      <x v="5"/>
    </i>
    <i r="1">
      <x v="6"/>
    </i>
    <i r="1">
      <x v="7"/>
    </i>
    <i r="1">
      <x v="8"/>
    </i>
    <i r="1">
      <x v="9"/>
    </i>
    <i r="1">
      <x v="10"/>
    </i>
    <i r="1">
      <x v="11"/>
    </i>
    <i r="1">
      <x v="12"/>
    </i>
    <i t="grand">
      <x/>
    </i>
  </rowItems>
  <colFields count="1">
    <field x="14"/>
  </colFields>
  <colItems count="6">
    <i>
      <x v="3"/>
    </i>
    <i>
      <x v="4"/>
    </i>
    <i>
      <x v="5"/>
    </i>
    <i>
      <x v="6"/>
    </i>
    <i>
      <x v="8"/>
    </i>
    <i t="grand">
      <x/>
    </i>
  </colItems>
  <dataFields count="1">
    <dataField name="Sum of KM" fld="5" baseField="13" baseItem="0" numFmtId="1"/>
  </dataFields>
  <formats count="2">
    <format dxfId="4337">
      <pivotArea outline="0" collapsedLevelsAreSubtotals="1" fieldPosition="0"/>
    </format>
    <format dxfId="4336">
      <pivotArea dataOnly="0" labelOnly="1" fieldPosition="0">
        <references count="1">
          <reference field="14" count="1">
            <x v="3"/>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4" count="1" selected="0">
            <x v="4"/>
          </reference>
        </references>
      </pivotArea>
    </chartFormat>
    <chartFormat chart="0" format="2" series="1">
      <pivotArea type="data" outline="0" fieldPosition="0">
        <references count="2">
          <reference field="4294967294" count="1" selected="0">
            <x v="0"/>
          </reference>
          <reference field="14" count="1" selected="0">
            <x v="5"/>
          </reference>
        </references>
      </pivotArea>
    </chartFormat>
    <chartFormat chart="0" format="3" series="1">
      <pivotArea type="data" outline="0" fieldPosition="0">
        <references count="2">
          <reference field="4294967294" count="1" selected="0">
            <x v="0"/>
          </reference>
          <reference field="14" count="1" selected="0">
            <x v="6"/>
          </reference>
        </references>
      </pivotArea>
    </chartFormat>
    <chartFormat chart="1" format="0" series="1">
      <pivotArea type="data" outline="0" fieldPosition="0">
        <references count="2">
          <reference field="4294967294" count="1" selected="0">
            <x v="0"/>
          </reference>
          <reference field="14" count="1" selected="0">
            <x v="3"/>
          </reference>
        </references>
      </pivotArea>
    </chartFormat>
    <chartFormat chart="1" format="1" series="1">
      <pivotArea type="data" outline="0" fieldPosition="0">
        <references count="2">
          <reference field="4294967294" count="1" selected="0">
            <x v="0"/>
          </reference>
          <reference field="14" count="1" selected="0">
            <x v="4"/>
          </reference>
        </references>
      </pivotArea>
    </chartFormat>
    <chartFormat chart="1" format="2" series="1">
      <pivotArea type="data" outline="0" fieldPosition="0">
        <references count="2">
          <reference field="4294967294" count="1" selected="0">
            <x v="0"/>
          </reference>
          <reference field="14" count="1" selected="0">
            <x v="5"/>
          </reference>
        </references>
      </pivotArea>
    </chartFormat>
    <chartFormat chart="1" format="3" series="1">
      <pivotArea type="data" outline="0" fieldPosition="0">
        <references count="2">
          <reference field="4294967294" count="1" selected="0">
            <x v="0"/>
          </reference>
          <reference field="14" count="1" selected="0">
            <x v="6"/>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 chart="1" format="6" series="1">
      <pivotArea type="data" outline="0" fieldPosition="0">
        <references count="2">
          <reference field="4294967294" count="1" selected="0">
            <x v="0"/>
          </reference>
          <reference field="14" count="1" selected="0">
            <x v="8"/>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strava.com/routes/2741244796400244660"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I179"/>
  <sheetViews>
    <sheetView workbookViewId="0">
      <selection activeCell="A180" sqref="A180"/>
    </sheetView>
  </sheetViews>
  <sheetFormatPr baseColWidth="10" defaultColWidth="11.5" defaultRowHeight="13" x14ac:dyDescent="0.15"/>
  <cols>
    <col min="3" max="3" width="7.5" customWidth="1"/>
    <col min="4" max="4" width="8.5" customWidth="1"/>
    <col min="5" max="5" width="12.83203125" customWidth="1"/>
    <col min="6" max="6" width="14.5" customWidth="1"/>
    <col min="7" max="7" width="10.5" customWidth="1"/>
    <col min="8" max="8" width="9.5" customWidth="1"/>
  </cols>
  <sheetData>
    <row r="1" spans="1:9" ht="19" x14ac:dyDescent="0.2">
      <c r="A1" s="3413" t="s">
        <v>0</v>
      </c>
      <c r="B1" s="3413"/>
      <c r="C1" s="3413"/>
      <c r="D1" s="3413"/>
      <c r="E1" s="3413"/>
      <c r="F1" s="3413"/>
      <c r="G1" s="3413"/>
      <c r="H1" s="3413"/>
    </row>
    <row r="2" spans="1:9" x14ac:dyDescent="0.15">
      <c r="I2" s="1"/>
    </row>
    <row r="3" spans="1:9" x14ac:dyDescent="0.15">
      <c r="A3" s="2"/>
      <c r="B3" s="2"/>
      <c r="C3" s="2"/>
      <c r="D3" s="2"/>
      <c r="E3" s="2"/>
      <c r="F3" s="2"/>
      <c r="G3" s="2"/>
      <c r="H3" s="2"/>
    </row>
    <row r="4" spans="1:9" x14ac:dyDescent="0.15">
      <c r="A4" s="3" t="s">
        <v>1</v>
      </c>
      <c r="B4" s="4" t="s">
        <v>2</v>
      </c>
      <c r="C4" s="5" t="s">
        <v>3</v>
      </c>
      <c r="D4" s="4" t="s">
        <v>4</v>
      </c>
      <c r="E4" s="5" t="s">
        <v>5</v>
      </c>
      <c r="F4" s="3" t="s">
        <v>6</v>
      </c>
      <c r="G4" s="3" t="s">
        <v>7</v>
      </c>
      <c r="H4" s="4" t="s">
        <v>8</v>
      </c>
    </row>
    <row r="5" spans="1:9" x14ac:dyDescent="0.15">
      <c r="A5" s="4">
        <v>1</v>
      </c>
      <c r="B5" s="6" t="s">
        <v>9</v>
      </c>
      <c r="C5" s="7" t="s">
        <v>10</v>
      </c>
      <c r="D5" s="8"/>
      <c r="E5" s="9"/>
      <c r="F5" s="7"/>
      <c r="G5" s="7"/>
      <c r="H5" s="10"/>
    </row>
    <row r="6" spans="1:9" x14ac:dyDescent="0.15">
      <c r="A6" s="11" t="s">
        <v>11</v>
      </c>
      <c r="B6" s="12" t="s">
        <v>12</v>
      </c>
      <c r="C6" s="12" t="s">
        <v>13</v>
      </c>
      <c r="D6" s="13" t="s">
        <v>14</v>
      </c>
      <c r="E6" s="14" t="s">
        <v>15</v>
      </c>
      <c r="F6" s="12" t="s">
        <v>16</v>
      </c>
      <c r="G6" s="12">
        <v>7</v>
      </c>
      <c r="H6" s="13"/>
    </row>
    <row r="7" spans="1:9" x14ac:dyDescent="0.15">
      <c r="A7" s="15">
        <f>SUM(G5:G11)</f>
        <v>28</v>
      </c>
      <c r="B7" s="12" t="s">
        <v>17</v>
      </c>
      <c r="C7" s="12" t="s">
        <v>18</v>
      </c>
      <c r="D7" s="13"/>
      <c r="E7" s="14"/>
      <c r="F7" s="12"/>
      <c r="G7" s="12"/>
      <c r="H7" s="13"/>
    </row>
    <row r="8" spans="1:9" x14ac:dyDescent="0.15">
      <c r="A8" s="2"/>
      <c r="B8" s="12" t="s">
        <v>19</v>
      </c>
      <c r="C8" s="12" t="s">
        <v>20</v>
      </c>
      <c r="D8" s="13" t="s">
        <v>14</v>
      </c>
      <c r="E8" s="14" t="s">
        <v>15</v>
      </c>
      <c r="F8" s="12" t="s">
        <v>16</v>
      </c>
      <c r="G8" s="12">
        <v>7</v>
      </c>
      <c r="H8" s="13"/>
    </row>
    <row r="9" spans="1:9" x14ac:dyDescent="0.15">
      <c r="A9" s="2"/>
      <c r="B9" s="12" t="s">
        <v>21</v>
      </c>
      <c r="C9" s="12" t="s">
        <v>22</v>
      </c>
      <c r="D9" s="13"/>
      <c r="E9" s="14"/>
      <c r="F9" s="12"/>
      <c r="G9" s="12"/>
      <c r="H9" s="13"/>
    </row>
    <row r="10" spans="1:9" x14ac:dyDescent="0.15">
      <c r="A10" s="2"/>
      <c r="B10" s="12" t="s">
        <v>23</v>
      </c>
      <c r="C10" s="12" t="s">
        <v>24</v>
      </c>
      <c r="D10" s="13"/>
      <c r="E10" s="14"/>
      <c r="F10" s="12"/>
      <c r="G10" s="12"/>
      <c r="H10" s="13"/>
    </row>
    <row r="11" spans="1:9" x14ac:dyDescent="0.15">
      <c r="A11" s="2"/>
      <c r="B11" s="16" t="s">
        <v>25</v>
      </c>
      <c r="C11" s="16" t="s">
        <v>26</v>
      </c>
      <c r="D11" s="17" t="s">
        <v>14</v>
      </c>
      <c r="E11" s="18" t="s">
        <v>27</v>
      </c>
      <c r="F11" s="16" t="s">
        <v>16</v>
      </c>
      <c r="G11" s="16">
        <v>14</v>
      </c>
      <c r="H11" s="13"/>
    </row>
    <row r="12" spans="1:9" x14ac:dyDescent="0.15">
      <c r="A12" s="4">
        <v>2</v>
      </c>
      <c r="B12" s="6" t="s">
        <v>9</v>
      </c>
      <c r="C12" s="6" t="s">
        <v>28</v>
      </c>
      <c r="D12" s="10"/>
      <c r="E12" s="19"/>
      <c r="F12" s="20"/>
      <c r="G12" s="7"/>
      <c r="H12" s="13"/>
    </row>
    <row r="13" spans="1:9" x14ac:dyDescent="0.15">
      <c r="A13" s="11" t="s">
        <v>11</v>
      </c>
      <c r="B13" s="12" t="s">
        <v>12</v>
      </c>
      <c r="C13" s="12" t="s">
        <v>29</v>
      </c>
      <c r="D13" s="13" t="s">
        <v>14</v>
      </c>
      <c r="E13" s="14" t="s">
        <v>15</v>
      </c>
      <c r="F13" s="12" t="s">
        <v>16</v>
      </c>
      <c r="G13" s="12">
        <v>7</v>
      </c>
      <c r="H13" s="13"/>
    </row>
    <row r="14" spans="1:9" x14ac:dyDescent="0.15">
      <c r="A14" s="15">
        <f>SUM(G12:G18)</f>
        <v>31</v>
      </c>
      <c r="B14" s="12" t="s">
        <v>17</v>
      </c>
      <c r="C14" s="12" t="s">
        <v>30</v>
      </c>
      <c r="D14" s="13"/>
      <c r="E14" s="14"/>
      <c r="F14" s="21"/>
      <c r="G14" s="12"/>
      <c r="H14" s="13"/>
    </row>
    <row r="15" spans="1:9" x14ac:dyDescent="0.15">
      <c r="A15" s="2"/>
      <c r="B15" s="12" t="s">
        <v>19</v>
      </c>
      <c r="C15" s="12" t="s">
        <v>31</v>
      </c>
      <c r="D15" s="3414" t="s">
        <v>32</v>
      </c>
      <c r="E15" s="3414"/>
      <c r="F15" s="3414"/>
      <c r="G15" s="3414"/>
      <c r="H15" s="13"/>
    </row>
    <row r="16" spans="1:9" x14ac:dyDescent="0.15">
      <c r="A16" s="2"/>
      <c r="B16" s="12" t="s">
        <v>21</v>
      </c>
      <c r="C16" s="12" t="s">
        <v>33</v>
      </c>
      <c r="D16" s="13" t="s">
        <v>14</v>
      </c>
      <c r="E16" s="14" t="s">
        <v>34</v>
      </c>
      <c r="F16" s="12" t="s">
        <v>16</v>
      </c>
      <c r="G16" s="12">
        <v>10</v>
      </c>
      <c r="H16" s="13"/>
    </row>
    <row r="17" spans="1:8" x14ac:dyDescent="0.15">
      <c r="A17" s="2"/>
      <c r="B17" s="12" t="s">
        <v>23</v>
      </c>
      <c r="C17" s="12" t="s">
        <v>35</v>
      </c>
      <c r="D17" s="13"/>
      <c r="E17" s="14"/>
      <c r="F17" s="21"/>
      <c r="G17" s="12"/>
      <c r="H17" s="13"/>
    </row>
    <row r="18" spans="1:8" x14ac:dyDescent="0.15">
      <c r="A18" s="2"/>
      <c r="B18" s="16" t="s">
        <v>25</v>
      </c>
      <c r="C18" s="16" t="s">
        <v>36</v>
      </c>
      <c r="D18" s="17" t="s">
        <v>14</v>
      </c>
      <c r="E18" s="18" t="s">
        <v>27</v>
      </c>
      <c r="F18" s="23" t="s">
        <v>16</v>
      </c>
      <c r="G18" s="16">
        <v>14</v>
      </c>
      <c r="H18" s="13"/>
    </row>
    <row r="19" spans="1:8" x14ac:dyDescent="0.15">
      <c r="A19" s="4">
        <v>3</v>
      </c>
      <c r="B19" s="6" t="s">
        <v>9</v>
      </c>
      <c r="C19" s="6" t="s">
        <v>37</v>
      </c>
      <c r="D19" s="10"/>
      <c r="E19" s="19"/>
      <c r="F19" s="20"/>
      <c r="G19" s="7"/>
      <c r="H19" s="13"/>
    </row>
    <row r="20" spans="1:8" x14ac:dyDescent="0.15">
      <c r="A20" s="11" t="s">
        <v>11</v>
      </c>
      <c r="B20" s="12" t="s">
        <v>12</v>
      </c>
      <c r="C20" s="12" t="s">
        <v>38</v>
      </c>
      <c r="D20" s="13"/>
      <c r="E20" s="14"/>
      <c r="F20" s="21"/>
      <c r="G20" s="12"/>
      <c r="H20" s="13"/>
    </row>
    <row r="21" spans="1:8" x14ac:dyDescent="0.15">
      <c r="A21" s="15">
        <f>SUM(G19:G25)</f>
        <v>17</v>
      </c>
      <c r="B21" s="12" t="s">
        <v>17</v>
      </c>
      <c r="C21" s="12" t="s">
        <v>39</v>
      </c>
      <c r="D21" s="13" t="s">
        <v>40</v>
      </c>
      <c r="E21" s="14" t="s">
        <v>41</v>
      </c>
      <c r="F21" s="21" t="s">
        <v>42</v>
      </c>
      <c r="G21" s="12">
        <v>10</v>
      </c>
      <c r="H21" s="13"/>
    </row>
    <row r="22" spans="1:8" x14ac:dyDescent="0.15">
      <c r="A22" s="2"/>
      <c r="B22" s="12" t="s">
        <v>19</v>
      </c>
      <c r="C22" s="12" t="s">
        <v>43</v>
      </c>
      <c r="D22" s="13"/>
      <c r="E22" s="14"/>
      <c r="F22" s="21"/>
      <c r="G22" s="12"/>
      <c r="H22" s="13"/>
    </row>
    <row r="23" spans="1:8" x14ac:dyDescent="0.15">
      <c r="A23" s="2"/>
      <c r="B23" s="12" t="s">
        <v>21</v>
      </c>
      <c r="C23" s="12" t="s">
        <v>44</v>
      </c>
      <c r="D23" s="13" t="s">
        <v>14</v>
      </c>
      <c r="E23" s="14">
        <v>45</v>
      </c>
      <c r="F23" s="21" t="s">
        <v>16</v>
      </c>
      <c r="G23" s="12">
        <v>7</v>
      </c>
      <c r="H23" s="13"/>
    </row>
    <row r="24" spans="1:8" x14ac:dyDescent="0.15">
      <c r="A24" s="2"/>
      <c r="B24" s="12" t="s">
        <v>23</v>
      </c>
      <c r="C24" s="12" t="s">
        <v>45</v>
      </c>
      <c r="D24" s="13"/>
      <c r="E24" s="14"/>
      <c r="F24" s="21"/>
      <c r="G24" s="12"/>
      <c r="H24" s="13"/>
    </row>
    <row r="25" spans="1:8" x14ac:dyDescent="0.15">
      <c r="A25" s="2"/>
      <c r="B25" s="16" t="s">
        <v>25</v>
      </c>
      <c r="C25" s="16" t="s">
        <v>46</v>
      </c>
      <c r="D25" s="3415" t="s">
        <v>32</v>
      </c>
      <c r="E25" s="3415"/>
      <c r="F25" s="3415"/>
      <c r="G25" s="3415"/>
      <c r="H25" s="13"/>
    </row>
    <row r="26" spans="1:8" x14ac:dyDescent="0.15">
      <c r="A26" s="4">
        <v>4</v>
      </c>
      <c r="B26" s="6" t="s">
        <v>9</v>
      </c>
      <c r="C26" s="6" t="s">
        <v>47</v>
      </c>
      <c r="D26" s="10"/>
      <c r="E26" s="19"/>
      <c r="F26" s="20"/>
      <c r="G26" s="7"/>
      <c r="H26" s="13"/>
    </row>
    <row r="27" spans="1:8" x14ac:dyDescent="0.15">
      <c r="A27" s="11" t="s">
        <v>11</v>
      </c>
      <c r="B27" s="12" t="s">
        <v>12</v>
      </c>
      <c r="C27" s="24" t="s">
        <v>48</v>
      </c>
      <c r="D27" s="13" t="s">
        <v>49</v>
      </c>
      <c r="E27" s="14" t="s">
        <v>50</v>
      </c>
      <c r="F27" s="21" t="s">
        <v>51</v>
      </c>
      <c r="G27" s="12">
        <v>5</v>
      </c>
      <c r="H27" s="13"/>
    </row>
    <row r="28" spans="1:8" x14ac:dyDescent="0.15">
      <c r="A28" s="15">
        <f>SUM(G26:G32)</f>
        <v>27.5</v>
      </c>
      <c r="B28" s="12" t="s">
        <v>17</v>
      </c>
      <c r="C28" s="12" t="s">
        <v>52</v>
      </c>
      <c r="D28" s="13"/>
      <c r="E28" s="14"/>
      <c r="F28" s="21"/>
      <c r="G28" s="12"/>
      <c r="H28" s="13"/>
    </row>
    <row r="29" spans="1:8" x14ac:dyDescent="0.15">
      <c r="A29" s="2"/>
      <c r="B29" s="12" t="s">
        <v>19</v>
      </c>
      <c r="C29" s="12" t="s">
        <v>53</v>
      </c>
      <c r="D29" s="13" t="s">
        <v>14</v>
      </c>
      <c r="E29" s="14" t="s">
        <v>15</v>
      </c>
      <c r="F29" s="21" t="s">
        <v>16</v>
      </c>
      <c r="G29" s="12">
        <v>7</v>
      </c>
      <c r="H29" s="13"/>
    </row>
    <row r="30" spans="1:8" x14ac:dyDescent="0.15">
      <c r="A30" s="2"/>
      <c r="B30" s="12" t="s">
        <v>21</v>
      </c>
      <c r="C30" s="12" t="s">
        <v>54</v>
      </c>
      <c r="D30" s="13"/>
      <c r="E30" s="14"/>
      <c r="F30" s="21"/>
      <c r="G30" s="12"/>
      <c r="H30" s="13"/>
    </row>
    <row r="31" spans="1:8" x14ac:dyDescent="0.15">
      <c r="A31" s="2"/>
      <c r="B31" s="12" t="s">
        <v>23</v>
      </c>
      <c r="C31" s="12" t="s">
        <v>55</v>
      </c>
      <c r="D31" s="13"/>
      <c r="E31" s="14"/>
      <c r="F31" s="21"/>
      <c r="G31" s="12"/>
      <c r="H31" s="13"/>
    </row>
    <row r="32" spans="1:8" x14ac:dyDescent="0.15">
      <c r="A32" s="2"/>
      <c r="B32" s="16" t="s">
        <v>25</v>
      </c>
      <c r="C32" s="16" t="s">
        <v>56</v>
      </c>
      <c r="D32" s="17" t="s">
        <v>14</v>
      </c>
      <c r="E32" s="18" t="s">
        <v>34</v>
      </c>
      <c r="F32" s="23" t="s">
        <v>16</v>
      </c>
      <c r="G32" s="16">
        <v>15.5</v>
      </c>
      <c r="H32" s="13"/>
    </row>
    <row r="33" spans="1:8" x14ac:dyDescent="0.15">
      <c r="A33" s="4">
        <v>5</v>
      </c>
      <c r="B33" s="6" t="s">
        <v>9</v>
      </c>
      <c r="C33" s="6" t="s">
        <v>57</v>
      </c>
      <c r="D33" s="10"/>
      <c r="E33" s="19"/>
      <c r="F33" s="20"/>
      <c r="G33" s="7"/>
      <c r="H33" s="13"/>
    </row>
    <row r="34" spans="1:8" x14ac:dyDescent="0.15">
      <c r="A34" s="11" t="s">
        <v>11</v>
      </c>
      <c r="B34" s="12" t="s">
        <v>12</v>
      </c>
      <c r="C34" s="12" t="s">
        <v>58</v>
      </c>
      <c r="D34" s="13" t="s">
        <v>14</v>
      </c>
      <c r="E34" s="14" t="s">
        <v>15</v>
      </c>
      <c r="F34" s="21" t="s">
        <v>16</v>
      </c>
      <c r="G34" s="12">
        <v>7</v>
      </c>
      <c r="H34" s="13"/>
    </row>
    <row r="35" spans="1:8" x14ac:dyDescent="0.15">
      <c r="A35" s="15">
        <f>SUM(G33:G39)</f>
        <v>31</v>
      </c>
      <c r="B35" s="12" t="s">
        <v>17</v>
      </c>
      <c r="C35" s="12" t="s">
        <v>59</v>
      </c>
      <c r="D35" s="13"/>
      <c r="E35" s="14"/>
      <c r="F35" s="21"/>
      <c r="G35" s="12"/>
      <c r="H35" s="13"/>
    </row>
    <row r="36" spans="1:8" x14ac:dyDescent="0.15">
      <c r="A36" s="2"/>
      <c r="B36" s="12" t="s">
        <v>19</v>
      </c>
      <c r="C36" s="12" t="s">
        <v>60</v>
      </c>
      <c r="D36" s="13" t="s">
        <v>14</v>
      </c>
      <c r="E36" s="14" t="s">
        <v>61</v>
      </c>
      <c r="F36" s="21" t="s">
        <v>16</v>
      </c>
      <c r="G36" s="12">
        <v>10</v>
      </c>
      <c r="H36" s="13"/>
    </row>
    <row r="37" spans="1:8" x14ac:dyDescent="0.15">
      <c r="A37" s="2"/>
      <c r="B37" s="12" t="s">
        <v>21</v>
      </c>
      <c r="C37" s="12" t="s">
        <v>62</v>
      </c>
      <c r="D37" s="13"/>
      <c r="E37" s="14"/>
      <c r="F37" s="21"/>
      <c r="G37" s="12"/>
      <c r="H37" s="13"/>
    </row>
    <row r="38" spans="1:8" x14ac:dyDescent="0.15">
      <c r="A38" s="2"/>
      <c r="B38" s="12" t="s">
        <v>23</v>
      </c>
      <c r="C38" s="12" t="s">
        <v>63</v>
      </c>
      <c r="D38" s="13"/>
      <c r="E38" s="14"/>
      <c r="F38" s="21"/>
      <c r="G38" s="12"/>
      <c r="H38" s="13"/>
    </row>
    <row r="39" spans="1:8" x14ac:dyDescent="0.15">
      <c r="A39" s="2"/>
      <c r="B39" s="16" t="s">
        <v>25</v>
      </c>
      <c r="C39" s="16" t="s">
        <v>64</v>
      </c>
      <c r="D39" s="17" t="s">
        <v>14</v>
      </c>
      <c r="E39" s="18" t="s">
        <v>27</v>
      </c>
      <c r="F39" s="23" t="s">
        <v>16</v>
      </c>
      <c r="G39" s="16">
        <v>14</v>
      </c>
      <c r="H39" s="13"/>
    </row>
    <row r="40" spans="1:8" x14ac:dyDescent="0.15">
      <c r="A40" s="4">
        <v>6</v>
      </c>
      <c r="B40" s="6" t="s">
        <v>9</v>
      </c>
      <c r="C40" s="6" t="s">
        <v>65</v>
      </c>
      <c r="D40" s="10"/>
      <c r="E40" s="19"/>
      <c r="F40" s="20"/>
      <c r="G40" s="7"/>
      <c r="H40" s="13"/>
    </row>
    <row r="41" spans="1:8" x14ac:dyDescent="0.15">
      <c r="A41" s="11" t="s">
        <v>11</v>
      </c>
      <c r="B41" s="12" t="s">
        <v>12</v>
      </c>
      <c r="C41" s="12" t="s">
        <v>66</v>
      </c>
      <c r="D41" s="13"/>
      <c r="E41" s="14"/>
      <c r="F41" s="21"/>
      <c r="G41" s="12"/>
      <c r="H41" s="13"/>
    </row>
    <row r="42" spans="1:8" x14ac:dyDescent="0.15">
      <c r="A42" s="15">
        <f>SUM(G40:G46)</f>
        <v>30</v>
      </c>
      <c r="B42" s="12" t="s">
        <v>17</v>
      </c>
      <c r="C42" s="12" t="s">
        <v>67</v>
      </c>
      <c r="D42" s="13" t="s">
        <v>14</v>
      </c>
      <c r="E42" s="14" t="s">
        <v>61</v>
      </c>
      <c r="F42" s="21" t="s">
        <v>16</v>
      </c>
      <c r="G42" s="12">
        <v>10</v>
      </c>
      <c r="H42" s="13"/>
    </row>
    <row r="43" spans="1:8" x14ac:dyDescent="0.15">
      <c r="A43" s="2"/>
      <c r="B43" s="12" t="s">
        <v>19</v>
      </c>
      <c r="C43" s="12" t="s">
        <v>68</v>
      </c>
      <c r="D43" s="13"/>
      <c r="E43" s="14"/>
      <c r="F43" s="21"/>
      <c r="G43" s="12"/>
      <c r="H43" s="13"/>
    </row>
    <row r="44" spans="1:8" x14ac:dyDescent="0.15">
      <c r="A44" s="2"/>
      <c r="B44" s="12" t="s">
        <v>21</v>
      </c>
      <c r="C44" s="12" t="s">
        <v>69</v>
      </c>
      <c r="D44" s="13" t="s">
        <v>14</v>
      </c>
      <c r="E44" s="14" t="s">
        <v>61</v>
      </c>
      <c r="F44" s="21" t="s">
        <v>16</v>
      </c>
      <c r="G44" s="12">
        <v>10</v>
      </c>
      <c r="H44" s="13"/>
    </row>
    <row r="45" spans="1:8" x14ac:dyDescent="0.15">
      <c r="A45" s="2"/>
      <c r="B45" s="12" t="s">
        <v>23</v>
      </c>
      <c r="C45" s="12" t="s">
        <v>70</v>
      </c>
      <c r="D45" s="13"/>
      <c r="E45" s="14"/>
      <c r="F45" s="21"/>
      <c r="G45" s="12"/>
      <c r="H45" s="13"/>
    </row>
    <row r="46" spans="1:8" x14ac:dyDescent="0.15">
      <c r="A46" s="2"/>
      <c r="B46" s="16" t="s">
        <v>25</v>
      </c>
      <c r="C46" s="25" t="s">
        <v>71</v>
      </c>
      <c r="D46" s="17" t="s">
        <v>49</v>
      </c>
      <c r="E46" s="18" t="s">
        <v>72</v>
      </c>
      <c r="F46" s="23" t="s">
        <v>73</v>
      </c>
      <c r="G46" s="16">
        <v>10</v>
      </c>
      <c r="H46" s="13"/>
    </row>
    <row r="47" spans="1:8" x14ac:dyDescent="0.15">
      <c r="A47" s="4">
        <v>7</v>
      </c>
      <c r="B47" s="6" t="s">
        <v>9</v>
      </c>
      <c r="C47" s="6" t="s">
        <v>74</v>
      </c>
      <c r="D47" s="10"/>
      <c r="E47" s="19"/>
      <c r="F47" s="20"/>
      <c r="G47" s="7"/>
      <c r="H47" s="13"/>
    </row>
    <row r="48" spans="1:8" x14ac:dyDescent="0.15">
      <c r="A48" s="11" t="s">
        <v>11</v>
      </c>
      <c r="B48" s="12" t="s">
        <v>12</v>
      </c>
      <c r="C48" s="12" t="s">
        <v>75</v>
      </c>
      <c r="D48" s="13"/>
      <c r="E48" s="14"/>
      <c r="F48" s="21"/>
      <c r="G48" s="12"/>
      <c r="H48" s="13"/>
    </row>
    <row r="49" spans="1:8" x14ac:dyDescent="0.15">
      <c r="A49" s="15">
        <f>SUM(G47:G53)</f>
        <v>24</v>
      </c>
      <c r="B49" s="12" t="s">
        <v>17</v>
      </c>
      <c r="C49" s="12" t="s">
        <v>76</v>
      </c>
      <c r="D49" s="13"/>
      <c r="E49" s="14"/>
      <c r="F49" s="21"/>
      <c r="G49" s="12"/>
      <c r="H49" s="13"/>
    </row>
    <row r="50" spans="1:8" x14ac:dyDescent="0.15">
      <c r="A50" s="2"/>
      <c r="B50" s="12" t="s">
        <v>19</v>
      </c>
      <c r="C50" s="12" t="s">
        <v>77</v>
      </c>
      <c r="D50" s="13" t="s">
        <v>14</v>
      </c>
      <c r="E50" s="14" t="s">
        <v>61</v>
      </c>
      <c r="F50" s="21" t="s">
        <v>16</v>
      </c>
      <c r="G50" s="12">
        <v>10</v>
      </c>
      <c r="H50" s="13"/>
    </row>
    <row r="51" spans="1:8" x14ac:dyDescent="0.15">
      <c r="A51" s="2"/>
      <c r="B51" s="12" t="s">
        <v>21</v>
      </c>
      <c r="C51" s="12" t="s">
        <v>78</v>
      </c>
      <c r="D51" s="13"/>
      <c r="E51" s="14"/>
      <c r="F51" s="21"/>
      <c r="G51" s="12"/>
      <c r="H51" s="13"/>
    </row>
    <row r="52" spans="1:8" x14ac:dyDescent="0.15">
      <c r="A52" s="2"/>
      <c r="B52" s="12" t="s">
        <v>23</v>
      </c>
      <c r="C52" s="12" t="s">
        <v>79</v>
      </c>
      <c r="D52" s="13"/>
      <c r="E52" s="14"/>
      <c r="F52" s="21"/>
      <c r="G52" s="12"/>
      <c r="H52" s="13"/>
    </row>
    <row r="53" spans="1:8" x14ac:dyDescent="0.15">
      <c r="A53" s="2"/>
      <c r="B53" s="16" t="s">
        <v>25</v>
      </c>
      <c r="C53" s="16" t="s">
        <v>80</v>
      </c>
      <c r="D53" s="17" t="s">
        <v>49</v>
      </c>
      <c r="E53" s="18" t="s">
        <v>72</v>
      </c>
      <c r="F53" s="23" t="s">
        <v>73</v>
      </c>
      <c r="G53" s="16">
        <v>14</v>
      </c>
      <c r="H53" s="13"/>
    </row>
    <row r="54" spans="1:8" ht="13.5" customHeight="1" x14ac:dyDescent="0.15">
      <c r="A54" s="4">
        <v>8</v>
      </c>
      <c r="B54" s="6" t="s">
        <v>9</v>
      </c>
      <c r="C54" s="3416" t="s">
        <v>81</v>
      </c>
      <c r="D54" s="3416"/>
      <c r="E54" s="3416"/>
      <c r="F54" s="3416"/>
      <c r="G54" s="3416"/>
      <c r="H54" s="13"/>
    </row>
    <row r="55" spans="1:8" ht="12.75" customHeight="1" x14ac:dyDescent="0.15">
      <c r="A55" s="11" t="s">
        <v>11</v>
      </c>
      <c r="B55" s="12" t="s">
        <v>12</v>
      </c>
      <c r="C55" s="3416"/>
      <c r="D55" s="3416"/>
      <c r="E55" s="3416"/>
      <c r="F55" s="3416"/>
      <c r="G55" s="3416"/>
      <c r="H55" s="13"/>
    </row>
    <row r="56" spans="1:8" ht="13.5" customHeight="1" x14ac:dyDescent="0.15">
      <c r="A56" s="26">
        <v>0</v>
      </c>
      <c r="B56" s="12" t="s">
        <v>17</v>
      </c>
      <c r="C56" s="3416"/>
      <c r="D56" s="3416"/>
      <c r="E56" s="3416"/>
      <c r="F56" s="3416"/>
      <c r="G56" s="3416"/>
      <c r="H56" s="13"/>
    </row>
    <row r="57" spans="1:8" ht="12.75" customHeight="1" x14ac:dyDescent="0.15">
      <c r="A57" s="2"/>
      <c r="B57" s="12" t="s">
        <v>19</v>
      </c>
      <c r="C57" s="3417" t="s">
        <v>82</v>
      </c>
      <c r="D57" s="3417"/>
      <c r="E57" s="3417"/>
      <c r="F57" s="3417"/>
      <c r="G57" s="3417"/>
      <c r="H57" s="13"/>
    </row>
    <row r="58" spans="1:8" ht="12.75" customHeight="1" x14ac:dyDescent="0.15">
      <c r="A58" s="2"/>
      <c r="B58" s="12" t="s">
        <v>21</v>
      </c>
      <c r="C58" s="3417"/>
      <c r="D58" s="3417"/>
      <c r="E58" s="3417"/>
      <c r="F58" s="3417"/>
      <c r="G58" s="3417"/>
      <c r="H58" s="13"/>
    </row>
    <row r="59" spans="1:8" ht="12.75" customHeight="1" x14ac:dyDescent="0.15">
      <c r="A59" s="2"/>
      <c r="B59" s="12" t="s">
        <v>23</v>
      </c>
      <c r="C59" s="3417"/>
      <c r="D59" s="3417"/>
      <c r="E59" s="3417"/>
      <c r="F59" s="3417"/>
      <c r="G59" s="3417"/>
      <c r="H59" s="13"/>
    </row>
    <row r="60" spans="1:8" ht="13.5" customHeight="1" x14ac:dyDescent="0.15">
      <c r="A60" s="2"/>
      <c r="B60" s="16" t="s">
        <v>25</v>
      </c>
      <c r="C60" s="3417"/>
      <c r="D60" s="3417"/>
      <c r="E60" s="3417"/>
      <c r="F60" s="3417"/>
      <c r="G60" s="3417"/>
      <c r="H60" s="13"/>
    </row>
    <row r="61" spans="1:8" x14ac:dyDescent="0.15">
      <c r="A61" s="4">
        <v>9</v>
      </c>
      <c r="B61" s="6" t="s">
        <v>9</v>
      </c>
      <c r="C61" s="6" t="s">
        <v>83</v>
      </c>
      <c r="D61" s="10"/>
      <c r="E61" s="19"/>
      <c r="F61" s="20"/>
      <c r="G61" s="7"/>
      <c r="H61" s="13"/>
    </row>
    <row r="62" spans="1:8" x14ac:dyDescent="0.15">
      <c r="A62" s="11" t="s">
        <v>11</v>
      </c>
      <c r="B62" s="12" t="s">
        <v>12</v>
      </c>
      <c r="C62" s="12" t="s">
        <v>84</v>
      </c>
      <c r="D62" s="13" t="s">
        <v>14</v>
      </c>
      <c r="E62" s="14" t="s">
        <v>85</v>
      </c>
      <c r="F62" s="21" t="s">
        <v>16</v>
      </c>
      <c r="G62" s="12">
        <v>10</v>
      </c>
      <c r="H62" s="13"/>
    </row>
    <row r="63" spans="1:8" x14ac:dyDescent="0.15">
      <c r="A63" s="15">
        <f>SUM(G61:G67)</f>
        <v>33</v>
      </c>
      <c r="B63" s="12" t="s">
        <v>17</v>
      </c>
      <c r="C63" s="12" t="s">
        <v>86</v>
      </c>
      <c r="D63" s="13"/>
      <c r="E63" s="14"/>
      <c r="F63" s="21"/>
      <c r="G63" s="12"/>
      <c r="H63" s="13"/>
    </row>
    <row r="64" spans="1:8" x14ac:dyDescent="0.15">
      <c r="A64" s="2"/>
      <c r="B64" s="12" t="s">
        <v>19</v>
      </c>
      <c r="C64" s="12" t="s">
        <v>87</v>
      </c>
      <c r="D64" s="13" t="s">
        <v>14</v>
      </c>
      <c r="E64" s="14" t="s">
        <v>61</v>
      </c>
      <c r="F64" s="21" t="s">
        <v>16</v>
      </c>
      <c r="G64" s="12">
        <v>9</v>
      </c>
      <c r="H64" s="13"/>
    </row>
    <row r="65" spans="1:8" x14ac:dyDescent="0.15">
      <c r="A65" s="2"/>
      <c r="B65" s="12" t="s">
        <v>21</v>
      </c>
      <c r="C65" s="12" t="s">
        <v>88</v>
      </c>
      <c r="D65" s="13"/>
      <c r="E65" s="14"/>
      <c r="F65" s="21"/>
      <c r="G65" s="12"/>
      <c r="H65" s="13"/>
    </row>
    <row r="66" spans="1:8" x14ac:dyDescent="0.15">
      <c r="A66" s="2"/>
      <c r="B66" s="12" t="s">
        <v>23</v>
      </c>
      <c r="C66" s="12" t="s">
        <v>89</v>
      </c>
      <c r="D66" s="13"/>
      <c r="E66" s="14"/>
      <c r="F66" s="21"/>
      <c r="G66" s="12"/>
      <c r="H66" s="13"/>
    </row>
    <row r="67" spans="1:8" x14ac:dyDescent="0.15">
      <c r="A67" s="2"/>
      <c r="B67" s="16" t="s">
        <v>25</v>
      </c>
      <c r="C67" s="16" t="s">
        <v>90</v>
      </c>
      <c r="D67" s="17" t="s">
        <v>14</v>
      </c>
      <c r="E67" s="18" t="s">
        <v>27</v>
      </c>
      <c r="F67" s="23" t="s">
        <v>16</v>
      </c>
      <c r="G67" s="16">
        <v>14</v>
      </c>
      <c r="H67" s="13"/>
    </row>
    <row r="68" spans="1:8" x14ac:dyDescent="0.15">
      <c r="A68" s="4">
        <v>10</v>
      </c>
      <c r="B68" s="6" t="s">
        <v>9</v>
      </c>
      <c r="C68" s="6" t="s">
        <v>91</v>
      </c>
      <c r="D68" s="10"/>
      <c r="E68" s="19"/>
      <c r="F68" s="20"/>
      <c r="G68" s="7"/>
      <c r="H68" s="13"/>
    </row>
    <row r="69" spans="1:8" x14ac:dyDescent="0.15">
      <c r="A69" s="11" t="s">
        <v>11</v>
      </c>
      <c r="B69" s="12" t="s">
        <v>12</v>
      </c>
      <c r="C69" s="12" t="s">
        <v>92</v>
      </c>
      <c r="D69" s="13" t="s">
        <v>14</v>
      </c>
      <c r="E69" s="14" t="s">
        <v>85</v>
      </c>
      <c r="F69" s="21" t="s">
        <v>16</v>
      </c>
      <c r="G69" s="12">
        <v>9</v>
      </c>
      <c r="H69" s="13"/>
    </row>
    <row r="70" spans="1:8" x14ac:dyDescent="0.15">
      <c r="A70" s="15">
        <f>SUM(G68:G74)</f>
        <v>34.5</v>
      </c>
      <c r="B70" s="12" t="s">
        <v>17</v>
      </c>
      <c r="C70" s="12" t="s">
        <v>93</v>
      </c>
      <c r="D70" s="13"/>
      <c r="E70" s="14"/>
      <c r="F70" s="21"/>
      <c r="G70" s="12"/>
      <c r="H70" s="13"/>
    </row>
    <row r="71" spans="1:8" x14ac:dyDescent="0.15">
      <c r="A71" s="2"/>
      <c r="B71" s="12" t="s">
        <v>19</v>
      </c>
      <c r="C71" s="12" t="s">
        <v>94</v>
      </c>
      <c r="D71" s="13" t="s">
        <v>14</v>
      </c>
      <c r="E71" s="27" t="s">
        <v>95</v>
      </c>
      <c r="F71" s="21" t="s">
        <v>16</v>
      </c>
      <c r="G71" s="28">
        <v>9</v>
      </c>
      <c r="H71" s="13"/>
    </row>
    <row r="72" spans="1:8" x14ac:dyDescent="0.15">
      <c r="A72" s="2"/>
      <c r="B72" s="12" t="s">
        <v>21</v>
      </c>
      <c r="C72" s="12" t="s">
        <v>96</v>
      </c>
      <c r="D72" s="13"/>
      <c r="E72" s="14"/>
      <c r="F72" s="21"/>
      <c r="G72" s="12"/>
      <c r="H72" s="13"/>
    </row>
    <row r="73" spans="1:8" x14ac:dyDescent="0.15">
      <c r="A73" s="2"/>
      <c r="B73" s="12" t="s">
        <v>23</v>
      </c>
      <c r="C73" s="12" t="s">
        <v>97</v>
      </c>
      <c r="D73" s="13"/>
      <c r="E73" s="14"/>
      <c r="F73" s="21"/>
      <c r="G73" s="12"/>
      <c r="H73" s="13"/>
    </row>
    <row r="74" spans="1:8" x14ac:dyDescent="0.15">
      <c r="A74" s="2"/>
      <c r="B74" s="16" t="s">
        <v>25</v>
      </c>
      <c r="C74" s="16" t="s">
        <v>98</v>
      </c>
      <c r="D74" s="17" t="s">
        <v>14</v>
      </c>
      <c r="E74" s="18" t="s">
        <v>27</v>
      </c>
      <c r="F74" s="23" t="s">
        <v>16</v>
      </c>
      <c r="G74" s="16">
        <v>16.5</v>
      </c>
      <c r="H74" s="13"/>
    </row>
    <row r="75" spans="1:8" x14ac:dyDescent="0.15">
      <c r="A75" s="4">
        <v>11</v>
      </c>
      <c r="B75" s="6" t="s">
        <v>9</v>
      </c>
      <c r="C75" s="6" t="s">
        <v>99</v>
      </c>
      <c r="D75" s="10"/>
      <c r="E75" s="19"/>
      <c r="F75" s="20"/>
      <c r="G75" s="7"/>
      <c r="H75" s="13"/>
    </row>
    <row r="76" spans="1:8" x14ac:dyDescent="0.15">
      <c r="A76" s="11" t="s">
        <v>11</v>
      </c>
      <c r="B76" s="12" t="s">
        <v>12</v>
      </c>
      <c r="C76" s="12" t="s">
        <v>100</v>
      </c>
      <c r="D76" s="13" t="s">
        <v>14</v>
      </c>
      <c r="E76" s="14" t="s">
        <v>85</v>
      </c>
      <c r="F76" s="21" t="s">
        <v>16</v>
      </c>
      <c r="G76" s="12">
        <v>9</v>
      </c>
      <c r="H76" s="13"/>
    </row>
    <row r="77" spans="1:8" x14ac:dyDescent="0.15">
      <c r="A77" s="15">
        <f>SUM(G75:G81)</f>
        <v>33</v>
      </c>
      <c r="B77" s="12" t="s">
        <v>17</v>
      </c>
      <c r="C77" s="12" t="s">
        <v>101</v>
      </c>
      <c r="D77" s="13"/>
      <c r="E77" s="14"/>
      <c r="F77" s="21"/>
      <c r="G77" s="12"/>
      <c r="H77" s="13"/>
    </row>
    <row r="78" spans="1:8" x14ac:dyDescent="0.15">
      <c r="A78" s="2"/>
      <c r="B78" s="12" t="s">
        <v>19</v>
      </c>
      <c r="C78" s="12" t="s">
        <v>102</v>
      </c>
      <c r="D78" s="13" t="s">
        <v>14</v>
      </c>
      <c r="E78" s="14" t="s">
        <v>61</v>
      </c>
      <c r="F78" s="21" t="s">
        <v>16</v>
      </c>
      <c r="G78" s="12">
        <v>10</v>
      </c>
      <c r="H78" s="13"/>
    </row>
    <row r="79" spans="1:8" x14ac:dyDescent="0.15">
      <c r="A79" s="2"/>
      <c r="B79" s="12" t="s">
        <v>21</v>
      </c>
      <c r="C79" s="12" t="s">
        <v>103</v>
      </c>
      <c r="D79" s="13"/>
      <c r="E79" s="14"/>
      <c r="F79" s="21"/>
      <c r="G79" s="12"/>
      <c r="H79" s="13"/>
    </row>
    <row r="80" spans="1:8" x14ac:dyDescent="0.15">
      <c r="A80" s="2"/>
      <c r="B80" s="12" t="s">
        <v>23</v>
      </c>
      <c r="C80" s="12" t="s">
        <v>104</v>
      </c>
      <c r="D80" s="13"/>
      <c r="E80" s="14"/>
      <c r="F80" s="21"/>
      <c r="G80" s="12"/>
      <c r="H80" s="13"/>
    </row>
    <row r="81" spans="1:8" x14ac:dyDescent="0.15">
      <c r="A81" s="2"/>
      <c r="B81" s="16" t="s">
        <v>25</v>
      </c>
      <c r="C81" s="16" t="s">
        <v>105</v>
      </c>
      <c r="D81" s="17" t="s">
        <v>49</v>
      </c>
      <c r="E81" s="18" t="s">
        <v>72</v>
      </c>
      <c r="F81" s="23" t="s">
        <v>16</v>
      </c>
      <c r="G81" s="16">
        <v>14</v>
      </c>
      <c r="H81" s="13"/>
    </row>
    <row r="82" spans="1:8" x14ac:dyDescent="0.15">
      <c r="A82" s="4">
        <v>12</v>
      </c>
      <c r="B82" s="6" t="s">
        <v>9</v>
      </c>
      <c r="C82" s="6" t="s">
        <v>106</v>
      </c>
      <c r="D82" s="10"/>
      <c r="E82" s="19"/>
      <c r="F82" s="20"/>
      <c r="G82" s="7"/>
      <c r="H82" s="13"/>
    </row>
    <row r="83" spans="1:8" x14ac:dyDescent="0.15">
      <c r="A83" s="11" t="s">
        <v>11</v>
      </c>
      <c r="B83" s="12" t="s">
        <v>12</v>
      </c>
      <c r="C83" s="12" t="s">
        <v>107</v>
      </c>
      <c r="D83" s="13" t="s">
        <v>14</v>
      </c>
      <c r="E83" s="14" t="s">
        <v>61</v>
      </c>
      <c r="F83" s="21" t="s">
        <v>16</v>
      </c>
      <c r="G83" s="12">
        <v>9</v>
      </c>
      <c r="H83" s="13"/>
    </row>
    <row r="84" spans="1:8" x14ac:dyDescent="0.15">
      <c r="A84" s="15">
        <f>SUM(G82:G88)</f>
        <v>37</v>
      </c>
      <c r="B84" s="12" t="s">
        <v>17</v>
      </c>
      <c r="C84" s="12" t="s">
        <v>108</v>
      </c>
      <c r="D84" s="13"/>
      <c r="E84" s="14"/>
      <c r="F84" s="21"/>
      <c r="G84" s="12"/>
      <c r="H84" s="13"/>
    </row>
    <row r="85" spans="1:8" x14ac:dyDescent="0.15">
      <c r="A85" s="2"/>
      <c r="B85" s="12" t="s">
        <v>19</v>
      </c>
      <c r="C85" s="12" t="s">
        <v>109</v>
      </c>
      <c r="D85" s="13" t="s">
        <v>14</v>
      </c>
      <c r="E85" s="14" t="s">
        <v>15</v>
      </c>
      <c r="F85" s="21" t="s">
        <v>16</v>
      </c>
      <c r="G85" s="12">
        <v>10</v>
      </c>
      <c r="H85" s="13"/>
    </row>
    <row r="86" spans="1:8" x14ac:dyDescent="0.15">
      <c r="A86" s="2"/>
      <c r="B86" s="12" t="s">
        <v>21</v>
      </c>
      <c r="C86" s="12" t="s">
        <v>110</v>
      </c>
      <c r="D86" s="13"/>
      <c r="E86" s="14"/>
      <c r="F86" s="21"/>
      <c r="G86" s="12"/>
      <c r="H86" s="13"/>
    </row>
    <row r="87" spans="1:8" x14ac:dyDescent="0.15">
      <c r="A87" s="2"/>
      <c r="B87" s="12" t="s">
        <v>23</v>
      </c>
      <c r="C87" s="12" t="s">
        <v>111</v>
      </c>
      <c r="D87" s="13"/>
      <c r="E87" s="14"/>
      <c r="F87" s="21"/>
      <c r="G87" s="12"/>
      <c r="H87" s="13"/>
    </row>
    <row r="88" spans="1:8" x14ac:dyDescent="0.15">
      <c r="A88" s="2"/>
      <c r="B88" s="16" t="s">
        <v>25</v>
      </c>
      <c r="C88" s="16" t="s">
        <v>112</v>
      </c>
      <c r="D88" s="17" t="s">
        <v>14</v>
      </c>
      <c r="E88" s="18" t="s">
        <v>113</v>
      </c>
      <c r="F88" s="23" t="s">
        <v>16</v>
      </c>
      <c r="G88" s="16">
        <v>18</v>
      </c>
      <c r="H88" s="13"/>
    </row>
    <row r="89" spans="1:8" x14ac:dyDescent="0.15">
      <c r="A89" s="4">
        <v>13</v>
      </c>
      <c r="B89" s="6" t="s">
        <v>9</v>
      </c>
      <c r="C89" s="6" t="s">
        <v>114</v>
      </c>
      <c r="D89" s="10"/>
      <c r="E89" s="19"/>
      <c r="F89" s="20"/>
      <c r="G89" s="7"/>
      <c r="H89" s="13"/>
    </row>
    <row r="90" spans="1:8" x14ac:dyDescent="0.15">
      <c r="A90" s="11" t="s">
        <v>11</v>
      </c>
      <c r="B90" s="12" t="s">
        <v>12</v>
      </c>
      <c r="C90" s="12" t="s">
        <v>115</v>
      </c>
      <c r="D90" s="13" t="s">
        <v>40</v>
      </c>
      <c r="E90" s="14" t="s">
        <v>61</v>
      </c>
      <c r="F90" s="21" t="s">
        <v>42</v>
      </c>
      <c r="G90" s="12">
        <v>8</v>
      </c>
      <c r="H90" s="13"/>
    </row>
    <row r="91" spans="1:8" x14ac:dyDescent="0.15">
      <c r="A91" s="15">
        <f>SUM(G89:G95)</f>
        <v>32</v>
      </c>
      <c r="B91" s="12" t="s">
        <v>17</v>
      </c>
      <c r="C91" s="12" t="s">
        <v>116</v>
      </c>
      <c r="D91" s="13"/>
      <c r="E91" s="14"/>
      <c r="F91" s="21"/>
      <c r="G91" s="12"/>
      <c r="H91" s="13"/>
    </row>
    <row r="92" spans="1:8" x14ac:dyDescent="0.15">
      <c r="A92" s="2"/>
      <c r="B92" s="12" t="s">
        <v>19</v>
      </c>
      <c r="C92" s="12" t="s">
        <v>117</v>
      </c>
      <c r="D92" s="13" t="s">
        <v>14</v>
      </c>
      <c r="E92" s="14" t="s">
        <v>61</v>
      </c>
      <c r="F92" s="21" t="s">
        <v>16</v>
      </c>
      <c r="G92" s="12">
        <v>10</v>
      </c>
      <c r="H92" s="13"/>
    </row>
    <row r="93" spans="1:8" x14ac:dyDescent="0.15">
      <c r="A93" s="2"/>
      <c r="B93" s="12" t="s">
        <v>21</v>
      </c>
      <c r="C93" s="12" t="s">
        <v>118</v>
      </c>
      <c r="D93" s="13"/>
      <c r="E93" s="14"/>
      <c r="F93" s="21"/>
      <c r="G93" s="12"/>
      <c r="H93" s="13"/>
    </row>
    <row r="94" spans="1:8" x14ac:dyDescent="0.15">
      <c r="A94" s="2"/>
      <c r="B94" s="12" t="s">
        <v>23</v>
      </c>
      <c r="C94" s="12" t="s">
        <v>119</v>
      </c>
      <c r="D94" s="13"/>
      <c r="E94" s="14"/>
      <c r="F94" s="21"/>
      <c r="G94" s="12"/>
      <c r="H94" s="13"/>
    </row>
    <row r="95" spans="1:8" x14ac:dyDescent="0.15">
      <c r="A95" s="2"/>
      <c r="B95" s="29" t="s">
        <v>25</v>
      </c>
      <c r="C95" s="29" t="s">
        <v>120</v>
      </c>
      <c r="D95" s="30" t="s">
        <v>14</v>
      </c>
      <c r="E95" s="31" t="s">
        <v>121</v>
      </c>
      <c r="F95" s="32" t="s">
        <v>16</v>
      </c>
      <c r="G95" s="29">
        <v>14</v>
      </c>
      <c r="H95" s="13"/>
    </row>
    <row r="96" spans="1:8" x14ac:dyDescent="0.15">
      <c r="A96" s="4">
        <v>14</v>
      </c>
      <c r="B96" s="8" t="s">
        <v>9</v>
      </c>
      <c r="C96" s="33" t="s">
        <v>122</v>
      </c>
      <c r="D96" s="7"/>
      <c r="E96" s="8"/>
      <c r="F96" s="9"/>
      <c r="G96" s="33"/>
      <c r="H96" s="13"/>
    </row>
    <row r="97" spans="1:8" x14ac:dyDescent="0.15">
      <c r="A97" s="34" t="s">
        <v>11</v>
      </c>
      <c r="B97" s="13" t="s">
        <v>12</v>
      </c>
      <c r="C97" s="21" t="s">
        <v>123</v>
      </c>
      <c r="D97" s="12" t="s">
        <v>14</v>
      </c>
      <c r="E97" s="13" t="s">
        <v>61</v>
      </c>
      <c r="F97" s="14" t="s">
        <v>16</v>
      </c>
      <c r="G97" s="21">
        <v>10</v>
      </c>
      <c r="H97" s="13"/>
    </row>
    <row r="98" spans="1:8" x14ac:dyDescent="0.15">
      <c r="A98" s="15">
        <f>SUM(G96:G102)</f>
        <v>41</v>
      </c>
      <c r="B98" s="13" t="s">
        <v>17</v>
      </c>
      <c r="C98" s="21" t="s">
        <v>124</v>
      </c>
      <c r="D98" s="12"/>
      <c r="E98" s="13"/>
      <c r="F98" s="14"/>
      <c r="G98" s="21"/>
      <c r="H98" s="13"/>
    </row>
    <row r="99" spans="1:8" x14ac:dyDescent="0.15">
      <c r="A99" s="2"/>
      <c r="B99" s="13" t="s">
        <v>19</v>
      </c>
      <c r="C99" s="21" t="s">
        <v>125</v>
      </c>
      <c r="D99" s="12" t="s">
        <v>49</v>
      </c>
      <c r="E99" s="13" t="s">
        <v>126</v>
      </c>
      <c r="F99" s="14" t="s">
        <v>73</v>
      </c>
      <c r="G99" s="21">
        <v>9</v>
      </c>
      <c r="H99" s="13"/>
    </row>
    <row r="100" spans="1:8" x14ac:dyDescent="0.15">
      <c r="A100" s="2"/>
      <c r="B100" s="13" t="s">
        <v>21</v>
      </c>
      <c r="C100" s="21" t="s">
        <v>127</v>
      </c>
      <c r="D100" s="12"/>
      <c r="E100" s="13"/>
      <c r="F100" s="14"/>
      <c r="G100" s="21"/>
      <c r="H100" s="13"/>
    </row>
    <row r="101" spans="1:8" x14ac:dyDescent="0.15">
      <c r="A101" s="2"/>
      <c r="B101" s="30" t="s">
        <v>23</v>
      </c>
      <c r="C101" s="32" t="s">
        <v>128</v>
      </c>
      <c r="D101" s="29"/>
      <c r="E101" s="30"/>
      <c r="F101" s="31"/>
      <c r="G101" s="21"/>
      <c r="H101" s="13"/>
    </row>
    <row r="102" spans="1:8" x14ac:dyDescent="0.15">
      <c r="A102" s="35"/>
      <c r="B102" s="17" t="s">
        <v>25</v>
      </c>
      <c r="C102" s="23" t="s">
        <v>129</v>
      </c>
      <c r="D102" s="16" t="s">
        <v>14</v>
      </c>
      <c r="E102" s="17" t="s">
        <v>130</v>
      </c>
      <c r="F102" s="18" t="s">
        <v>16</v>
      </c>
      <c r="G102" s="23">
        <v>22</v>
      </c>
      <c r="H102" s="13"/>
    </row>
    <row r="103" spans="1:8" x14ac:dyDescent="0.15">
      <c r="A103" s="4">
        <v>15</v>
      </c>
      <c r="B103" s="6" t="s">
        <v>9</v>
      </c>
      <c r="C103" s="6" t="s">
        <v>131</v>
      </c>
      <c r="D103" s="10"/>
      <c r="E103" s="19"/>
      <c r="F103" s="20"/>
      <c r="G103" s="7"/>
      <c r="H103" s="13"/>
    </row>
    <row r="104" spans="1:8" x14ac:dyDescent="0.15">
      <c r="A104" s="11" t="s">
        <v>11</v>
      </c>
      <c r="B104" s="12" t="s">
        <v>12</v>
      </c>
      <c r="C104" s="12" t="s">
        <v>132</v>
      </c>
      <c r="D104" s="13" t="s">
        <v>40</v>
      </c>
      <c r="E104" s="14" t="s">
        <v>61</v>
      </c>
      <c r="F104" s="21" t="s">
        <v>42</v>
      </c>
      <c r="G104" s="12">
        <v>9</v>
      </c>
      <c r="H104" s="13"/>
    </row>
    <row r="105" spans="1:8" x14ac:dyDescent="0.15">
      <c r="A105" s="15">
        <f>SUM(G103:G109)</f>
        <v>43</v>
      </c>
      <c r="B105" s="12" t="s">
        <v>17</v>
      </c>
      <c r="C105" s="12" t="s">
        <v>133</v>
      </c>
      <c r="D105" s="13"/>
      <c r="E105" s="14"/>
      <c r="F105" s="21"/>
      <c r="G105" s="12"/>
      <c r="H105" s="13"/>
    </row>
    <row r="106" spans="1:8" x14ac:dyDescent="0.15">
      <c r="A106" s="2"/>
      <c r="B106" s="12" t="s">
        <v>19</v>
      </c>
      <c r="C106" s="12" t="s">
        <v>134</v>
      </c>
      <c r="D106" s="3411" t="s">
        <v>135</v>
      </c>
      <c r="E106" s="3411"/>
      <c r="F106" s="3411"/>
      <c r="G106" s="3411"/>
      <c r="H106" s="13"/>
    </row>
    <row r="107" spans="1:8" x14ac:dyDescent="0.15">
      <c r="A107" s="2"/>
      <c r="B107" s="12" t="s">
        <v>21</v>
      </c>
      <c r="C107" s="12" t="s">
        <v>136</v>
      </c>
      <c r="D107" s="13" t="s">
        <v>14</v>
      </c>
      <c r="E107" s="14" t="s">
        <v>61</v>
      </c>
      <c r="F107" s="21" t="s">
        <v>16</v>
      </c>
      <c r="G107" s="12">
        <v>10</v>
      </c>
      <c r="H107" s="13"/>
    </row>
    <row r="108" spans="1:8" x14ac:dyDescent="0.15">
      <c r="A108" s="2"/>
      <c r="B108" s="12" t="s">
        <v>23</v>
      </c>
      <c r="C108" s="12" t="s">
        <v>137</v>
      </c>
      <c r="D108" s="13"/>
      <c r="E108" s="14"/>
      <c r="F108" s="21"/>
      <c r="G108" s="12"/>
      <c r="H108" s="13"/>
    </row>
    <row r="109" spans="1:8" x14ac:dyDescent="0.15">
      <c r="A109" s="2"/>
      <c r="B109" s="16" t="s">
        <v>25</v>
      </c>
      <c r="C109" s="16" t="s">
        <v>138</v>
      </c>
      <c r="D109" s="17" t="s">
        <v>14</v>
      </c>
      <c r="E109" s="18" t="s">
        <v>121</v>
      </c>
      <c r="F109" s="23" t="s">
        <v>16</v>
      </c>
      <c r="G109" s="16">
        <v>24</v>
      </c>
      <c r="H109" s="13"/>
    </row>
    <row r="110" spans="1:8" x14ac:dyDescent="0.15">
      <c r="A110" s="4">
        <v>16</v>
      </c>
      <c r="B110" s="6" t="s">
        <v>9</v>
      </c>
      <c r="C110" s="6" t="s">
        <v>139</v>
      </c>
      <c r="D110" s="10"/>
      <c r="E110" s="19"/>
      <c r="F110" s="20"/>
      <c r="G110" s="7"/>
      <c r="H110" s="13"/>
    </row>
    <row r="111" spans="1:8" x14ac:dyDescent="0.15">
      <c r="A111" s="11" t="s">
        <v>11</v>
      </c>
      <c r="B111" s="12" t="s">
        <v>12</v>
      </c>
      <c r="C111" s="24" t="s">
        <v>140</v>
      </c>
      <c r="D111" s="13" t="s">
        <v>14</v>
      </c>
      <c r="E111" s="14" t="s">
        <v>61</v>
      </c>
      <c r="F111" s="21" t="s">
        <v>16</v>
      </c>
      <c r="G111" s="12">
        <v>10</v>
      </c>
      <c r="H111" s="13"/>
    </row>
    <row r="112" spans="1:8" x14ac:dyDescent="0.15">
      <c r="A112" s="15">
        <f>SUM(G110:G116)</f>
        <v>36</v>
      </c>
      <c r="B112" s="12" t="s">
        <v>17</v>
      </c>
      <c r="C112" s="12" t="s">
        <v>141</v>
      </c>
      <c r="D112" s="13"/>
      <c r="E112" s="14"/>
      <c r="F112" s="21"/>
      <c r="G112" s="12"/>
      <c r="H112" s="13"/>
    </row>
    <row r="113" spans="1:8" x14ac:dyDescent="0.15">
      <c r="A113" s="2"/>
      <c r="B113" s="12" t="s">
        <v>19</v>
      </c>
      <c r="C113" s="12" t="s">
        <v>142</v>
      </c>
      <c r="D113" s="13" t="s">
        <v>14</v>
      </c>
      <c r="E113" s="14" t="s">
        <v>143</v>
      </c>
      <c r="F113" s="21" t="s">
        <v>16</v>
      </c>
      <c r="G113" s="12">
        <v>12</v>
      </c>
      <c r="H113" s="13"/>
    </row>
    <row r="114" spans="1:8" x14ac:dyDescent="0.15">
      <c r="A114" s="2"/>
      <c r="B114" s="12" t="s">
        <v>21</v>
      </c>
      <c r="C114" s="12" t="s">
        <v>144</v>
      </c>
      <c r="D114" s="13"/>
      <c r="E114" s="14"/>
      <c r="F114" s="21"/>
      <c r="G114" s="12"/>
      <c r="H114" s="13"/>
    </row>
    <row r="115" spans="1:8" x14ac:dyDescent="0.15">
      <c r="A115" s="2"/>
      <c r="B115" s="12" t="s">
        <v>23</v>
      </c>
      <c r="C115" s="12" t="s">
        <v>145</v>
      </c>
      <c r="D115" s="13"/>
      <c r="E115" s="14"/>
      <c r="F115" s="21"/>
      <c r="G115" s="12"/>
      <c r="H115" s="13"/>
    </row>
    <row r="116" spans="1:8" x14ac:dyDescent="0.15">
      <c r="A116" s="2"/>
      <c r="B116" s="16" t="s">
        <v>25</v>
      </c>
      <c r="C116" s="16" t="s">
        <v>146</v>
      </c>
      <c r="D116" s="17" t="s">
        <v>147</v>
      </c>
      <c r="E116" s="18" t="s">
        <v>148</v>
      </c>
      <c r="F116" s="23" t="s">
        <v>149</v>
      </c>
      <c r="G116" s="16">
        <v>14</v>
      </c>
      <c r="H116" s="13"/>
    </row>
    <row r="117" spans="1:8" x14ac:dyDescent="0.15">
      <c r="A117" s="4">
        <v>17</v>
      </c>
      <c r="B117" s="6" t="s">
        <v>9</v>
      </c>
      <c r="C117" s="6" t="s">
        <v>150</v>
      </c>
      <c r="D117" s="10"/>
      <c r="E117" s="19"/>
      <c r="F117" s="20"/>
      <c r="G117" s="7"/>
      <c r="H117" s="13"/>
    </row>
    <row r="118" spans="1:8" x14ac:dyDescent="0.15">
      <c r="A118" s="11" t="s">
        <v>11</v>
      </c>
      <c r="B118" s="12" t="s">
        <v>12</v>
      </c>
      <c r="C118" s="12" t="s">
        <v>151</v>
      </c>
      <c r="D118" s="13" t="s">
        <v>40</v>
      </c>
      <c r="E118" s="14" t="s">
        <v>41</v>
      </c>
      <c r="F118" s="21" t="s">
        <v>42</v>
      </c>
      <c r="G118" s="12">
        <v>10</v>
      </c>
      <c r="H118" s="13"/>
    </row>
    <row r="119" spans="1:8" x14ac:dyDescent="0.15">
      <c r="A119" s="15">
        <f>SUM(G117:G123)</f>
        <v>50</v>
      </c>
      <c r="B119" s="12" t="s">
        <v>17</v>
      </c>
      <c r="C119" s="12" t="s">
        <v>152</v>
      </c>
      <c r="D119" s="13"/>
      <c r="E119" s="14"/>
      <c r="F119" s="21"/>
      <c r="G119" s="12"/>
      <c r="H119" s="13"/>
    </row>
    <row r="120" spans="1:8" x14ac:dyDescent="0.15">
      <c r="A120" s="2"/>
      <c r="B120" s="12" t="s">
        <v>19</v>
      </c>
      <c r="C120" s="12" t="s">
        <v>153</v>
      </c>
      <c r="D120" s="13" t="s">
        <v>14</v>
      </c>
      <c r="E120" s="14" t="s">
        <v>143</v>
      </c>
      <c r="F120" s="21" t="s">
        <v>16</v>
      </c>
      <c r="G120" s="12">
        <v>12</v>
      </c>
      <c r="H120" s="13"/>
    </row>
    <row r="121" spans="1:8" x14ac:dyDescent="0.15">
      <c r="A121" s="2"/>
      <c r="B121" s="12" t="s">
        <v>21</v>
      </c>
      <c r="C121" s="12" t="s">
        <v>154</v>
      </c>
      <c r="D121" s="13"/>
      <c r="E121" s="14"/>
      <c r="F121" s="21"/>
      <c r="G121" s="12"/>
      <c r="H121" s="13"/>
    </row>
    <row r="122" spans="1:8" x14ac:dyDescent="0.15">
      <c r="A122" s="2"/>
      <c r="B122" s="12" t="s">
        <v>23</v>
      </c>
      <c r="C122" s="12" t="s">
        <v>155</v>
      </c>
      <c r="D122" s="3410" t="s">
        <v>156</v>
      </c>
      <c r="E122" s="3410"/>
      <c r="F122" s="3410"/>
      <c r="G122" s="3410"/>
      <c r="H122" s="13"/>
    </row>
    <row r="123" spans="1:8" x14ac:dyDescent="0.15">
      <c r="A123" s="2"/>
      <c r="B123" s="16" t="s">
        <v>25</v>
      </c>
      <c r="C123" s="16" t="s">
        <v>157</v>
      </c>
      <c r="D123" s="17" t="s">
        <v>158</v>
      </c>
      <c r="E123" s="18" t="s">
        <v>159</v>
      </c>
      <c r="F123" s="23" t="s">
        <v>16</v>
      </c>
      <c r="G123" s="16">
        <v>28</v>
      </c>
      <c r="H123" s="13"/>
    </row>
    <row r="124" spans="1:8" x14ac:dyDescent="0.15">
      <c r="A124" s="4">
        <v>18</v>
      </c>
      <c r="B124" s="6" t="s">
        <v>9</v>
      </c>
      <c r="C124" s="6" t="s">
        <v>160</v>
      </c>
      <c r="D124" s="10"/>
      <c r="E124" s="19"/>
      <c r="F124" s="20"/>
      <c r="G124" s="7"/>
      <c r="H124" s="13"/>
    </row>
    <row r="125" spans="1:8" x14ac:dyDescent="0.15">
      <c r="A125" s="11" t="s">
        <v>11</v>
      </c>
      <c r="B125" s="12" t="s">
        <v>12</v>
      </c>
      <c r="C125" s="12" t="s">
        <v>161</v>
      </c>
      <c r="D125" s="13" t="s">
        <v>14</v>
      </c>
      <c r="E125" s="14" t="s">
        <v>61</v>
      </c>
      <c r="F125" s="21" t="s">
        <v>16</v>
      </c>
      <c r="G125" s="12">
        <v>10</v>
      </c>
      <c r="H125" s="13"/>
    </row>
    <row r="126" spans="1:8" x14ac:dyDescent="0.15">
      <c r="A126" s="15">
        <f>SUM(G124:G130)</f>
        <v>22</v>
      </c>
      <c r="B126" s="12" t="s">
        <v>17</v>
      </c>
      <c r="C126" s="12" t="s">
        <v>162</v>
      </c>
      <c r="D126" s="13"/>
      <c r="E126" s="14"/>
      <c r="F126" s="21"/>
      <c r="G126" s="12"/>
      <c r="H126" s="13"/>
    </row>
    <row r="127" spans="1:8" x14ac:dyDescent="0.15">
      <c r="A127" s="2"/>
      <c r="B127" s="12" t="s">
        <v>19</v>
      </c>
      <c r="C127" s="12" t="s">
        <v>163</v>
      </c>
      <c r="D127" s="13" t="s">
        <v>14</v>
      </c>
      <c r="E127" s="14" t="s">
        <v>61</v>
      </c>
      <c r="F127" s="21" t="s">
        <v>16</v>
      </c>
      <c r="G127" s="12">
        <v>12</v>
      </c>
      <c r="H127" s="13"/>
    </row>
    <row r="128" spans="1:8" x14ac:dyDescent="0.15">
      <c r="A128" s="2"/>
      <c r="B128" s="12" t="s">
        <v>21</v>
      </c>
      <c r="C128" s="12" t="s">
        <v>164</v>
      </c>
      <c r="D128" s="13"/>
      <c r="E128" s="14"/>
      <c r="F128" s="21"/>
      <c r="G128" s="12"/>
      <c r="H128" s="13"/>
    </row>
    <row r="129" spans="1:8" x14ac:dyDescent="0.15">
      <c r="A129" s="2"/>
      <c r="B129" s="12" t="s">
        <v>23</v>
      </c>
      <c r="C129" s="12" t="s">
        <v>165</v>
      </c>
      <c r="D129" s="13"/>
      <c r="E129" s="14"/>
      <c r="F129" s="21"/>
      <c r="G129" s="12"/>
      <c r="H129" s="13"/>
    </row>
    <row r="130" spans="1:8" x14ac:dyDescent="0.15">
      <c r="A130" s="2"/>
      <c r="B130" s="16" t="s">
        <v>25</v>
      </c>
      <c r="C130" s="16" t="s">
        <v>166</v>
      </c>
      <c r="D130" s="17"/>
      <c r="E130" s="18"/>
      <c r="F130" s="23"/>
      <c r="G130" s="16"/>
      <c r="H130" s="13"/>
    </row>
    <row r="131" spans="1:8" x14ac:dyDescent="0.15">
      <c r="A131" s="4">
        <v>19</v>
      </c>
      <c r="B131" s="6" t="s">
        <v>9</v>
      </c>
      <c r="C131" s="6" t="s">
        <v>167</v>
      </c>
      <c r="D131" s="8"/>
      <c r="E131" s="9"/>
      <c r="F131" s="33"/>
      <c r="G131" s="7"/>
      <c r="H131" s="13"/>
    </row>
    <row r="132" spans="1:8" x14ac:dyDescent="0.15">
      <c r="A132" s="11" t="s">
        <v>11</v>
      </c>
      <c r="B132" s="12" t="s">
        <v>12</v>
      </c>
      <c r="C132" s="12" t="s">
        <v>168</v>
      </c>
      <c r="D132" s="13" t="s">
        <v>14</v>
      </c>
      <c r="E132" s="14" t="s">
        <v>61</v>
      </c>
      <c r="F132" s="21" t="s">
        <v>16</v>
      </c>
      <c r="G132" s="12">
        <v>10</v>
      </c>
      <c r="H132" s="13"/>
    </row>
    <row r="133" spans="1:8" x14ac:dyDescent="0.15">
      <c r="A133" s="15">
        <f>SUM(G131:G137)</f>
        <v>50</v>
      </c>
      <c r="B133" s="12" t="s">
        <v>17</v>
      </c>
      <c r="C133" s="12" t="s">
        <v>169</v>
      </c>
      <c r="D133" s="13"/>
      <c r="E133" s="14"/>
      <c r="F133" s="21"/>
      <c r="G133" s="12"/>
      <c r="H133" s="13"/>
    </row>
    <row r="134" spans="1:8" x14ac:dyDescent="0.15">
      <c r="A134" s="2"/>
      <c r="B134" s="12" t="s">
        <v>19</v>
      </c>
      <c r="C134" s="12" t="s">
        <v>170</v>
      </c>
      <c r="D134" s="13" t="s">
        <v>14</v>
      </c>
      <c r="E134" s="14" t="s">
        <v>61</v>
      </c>
      <c r="F134" s="21" t="s">
        <v>16</v>
      </c>
      <c r="G134" s="12">
        <v>10</v>
      </c>
      <c r="H134" s="13"/>
    </row>
    <row r="135" spans="1:8" x14ac:dyDescent="0.15">
      <c r="A135" s="2"/>
      <c r="B135" s="12" t="s">
        <v>21</v>
      </c>
      <c r="C135" s="12" t="s">
        <v>171</v>
      </c>
      <c r="D135" s="3411" t="s">
        <v>172</v>
      </c>
      <c r="E135" s="3411"/>
      <c r="F135" s="3411"/>
      <c r="G135" s="3411"/>
      <c r="H135" s="13"/>
    </row>
    <row r="136" spans="1:8" x14ac:dyDescent="0.15">
      <c r="A136" s="2"/>
      <c r="B136" s="12" t="s">
        <v>23</v>
      </c>
      <c r="C136" s="12" t="s">
        <v>173</v>
      </c>
      <c r="D136" s="13"/>
      <c r="E136" s="14"/>
      <c r="F136" s="21"/>
      <c r="G136" s="12"/>
      <c r="H136" s="13"/>
    </row>
    <row r="137" spans="1:8" x14ac:dyDescent="0.15">
      <c r="A137" s="2"/>
      <c r="B137" s="16" t="s">
        <v>25</v>
      </c>
      <c r="C137" s="16" t="s">
        <v>174</v>
      </c>
      <c r="D137" s="17" t="s">
        <v>147</v>
      </c>
      <c r="E137" s="18" t="s">
        <v>175</v>
      </c>
      <c r="F137" s="23" t="s">
        <v>149</v>
      </c>
      <c r="G137" s="16">
        <v>30</v>
      </c>
      <c r="H137" s="13"/>
    </row>
    <row r="138" spans="1:8" x14ac:dyDescent="0.15">
      <c r="A138" s="4">
        <v>20</v>
      </c>
      <c r="B138" s="6" t="s">
        <v>9</v>
      </c>
      <c r="C138" s="6" t="s">
        <v>176</v>
      </c>
      <c r="D138" s="10"/>
      <c r="E138" s="19"/>
      <c r="F138" s="20"/>
      <c r="G138" s="7"/>
      <c r="H138" s="13"/>
    </row>
    <row r="139" spans="1:8" x14ac:dyDescent="0.15">
      <c r="A139" s="11" t="s">
        <v>11</v>
      </c>
      <c r="B139" s="12" t="s">
        <v>12</v>
      </c>
      <c r="C139" s="12" t="s">
        <v>177</v>
      </c>
      <c r="D139" s="13" t="s">
        <v>49</v>
      </c>
      <c r="E139" s="14" t="s">
        <v>143</v>
      </c>
      <c r="F139" s="21" t="s">
        <v>73</v>
      </c>
      <c r="G139" s="12">
        <v>12</v>
      </c>
      <c r="H139" s="13"/>
    </row>
    <row r="140" spans="1:8" x14ac:dyDescent="0.15">
      <c r="A140" s="15">
        <f>SUM(G138:G144)</f>
        <v>33</v>
      </c>
      <c r="B140" s="12" t="s">
        <v>17</v>
      </c>
      <c r="C140" s="12" t="s">
        <v>178</v>
      </c>
      <c r="D140" s="13"/>
      <c r="E140" s="14"/>
      <c r="F140" s="21"/>
      <c r="G140" s="12"/>
      <c r="H140" s="13"/>
    </row>
    <row r="141" spans="1:8" x14ac:dyDescent="0.15">
      <c r="A141" s="2"/>
      <c r="B141" s="12" t="s">
        <v>19</v>
      </c>
      <c r="C141" s="12" t="s">
        <v>179</v>
      </c>
      <c r="D141" s="13"/>
      <c r="E141" s="14"/>
      <c r="F141" s="21"/>
      <c r="G141" s="12"/>
      <c r="H141" s="13"/>
    </row>
    <row r="142" spans="1:8" x14ac:dyDescent="0.15">
      <c r="A142" s="2"/>
      <c r="B142" s="12" t="s">
        <v>21</v>
      </c>
      <c r="C142" s="12" t="s">
        <v>180</v>
      </c>
      <c r="D142" s="13"/>
      <c r="E142" s="14"/>
      <c r="F142" s="21"/>
      <c r="G142" s="12"/>
      <c r="H142" s="13"/>
    </row>
    <row r="143" spans="1:8" x14ac:dyDescent="0.15">
      <c r="A143" s="2"/>
      <c r="B143" s="12" t="s">
        <v>23</v>
      </c>
      <c r="C143" s="12" t="s">
        <v>181</v>
      </c>
      <c r="D143" s="13"/>
      <c r="E143" s="14"/>
      <c r="F143" s="21"/>
      <c r="G143" s="12"/>
      <c r="H143" s="13"/>
    </row>
    <row r="144" spans="1:8" x14ac:dyDescent="0.15">
      <c r="A144" s="2"/>
      <c r="B144" s="16" t="s">
        <v>25</v>
      </c>
      <c r="C144" s="16" t="s">
        <v>182</v>
      </c>
      <c r="D144" s="17" t="s">
        <v>183</v>
      </c>
      <c r="E144" s="18" t="s">
        <v>184</v>
      </c>
      <c r="F144" s="23">
        <v>90</v>
      </c>
      <c r="G144" s="16">
        <v>21</v>
      </c>
      <c r="H144" s="13"/>
    </row>
    <row r="145" spans="1:8" x14ac:dyDescent="0.15">
      <c r="A145" s="4">
        <v>21</v>
      </c>
      <c r="B145" s="6" t="s">
        <v>9</v>
      </c>
      <c r="C145" s="6" t="s">
        <v>185</v>
      </c>
      <c r="D145" s="10"/>
      <c r="E145" s="19"/>
      <c r="F145" s="20"/>
      <c r="G145" s="7"/>
      <c r="H145" s="13"/>
    </row>
    <row r="146" spans="1:8" x14ac:dyDescent="0.15">
      <c r="A146" s="11" t="s">
        <v>11</v>
      </c>
      <c r="B146" s="12" t="s">
        <v>12</v>
      </c>
      <c r="C146" s="12" t="s">
        <v>186</v>
      </c>
      <c r="D146" s="13" t="s">
        <v>14</v>
      </c>
      <c r="E146" s="14" t="s">
        <v>143</v>
      </c>
      <c r="F146" s="21" t="s">
        <v>16</v>
      </c>
      <c r="G146" s="12">
        <v>10</v>
      </c>
      <c r="H146" s="13"/>
    </row>
    <row r="147" spans="1:8" x14ac:dyDescent="0.15">
      <c r="A147" s="15">
        <f>SUM(G145:G151)</f>
        <v>46</v>
      </c>
      <c r="B147" s="12" t="s">
        <v>17</v>
      </c>
      <c r="C147" s="12" t="s">
        <v>187</v>
      </c>
      <c r="D147" s="13"/>
      <c r="E147" s="14"/>
      <c r="F147" s="21"/>
      <c r="G147" s="12"/>
      <c r="H147" s="13"/>
    </row>
    <row r="148" spans="1:8" x14ac:dyDescent="0.15">
      <c r="A148" s="2"/>
      <c r="B148" s="12" t="s">
        <v>19</v>
      </c>
      <c r="C148" s="12" t="s">
        <v>188</v>
      </c>
      <c r="D148" s="13" t="s">
        <v>189</v>
      </c>
      <c r="E148" s="14" t="s">
        <v>190</v>
      </c>
      <c r="F148" s="21" t="s">
        <v>191</v>
      </c>
      <c r="G148" s="12">
        <v>12</v>
      </c>
      <c r="H148" s="13"/>
    </row>
    <row r="149" spans="1:8" x14ac:dyDescent="0.15">
      <c r="A149" s="2"/>
      <c r="B149" s="12" t="s">
        <v>21</v>
      </c>
      <c r="C149" s="12" t="s">
        <v>192</v>
      </c>
      <c r="D149" s="13"/>
      <c r="E149" s="14"/>
      <c r="F149" s="21"/>
      <c r="G149" s="12"/>
      <c r="H149" s="13"/>
    </row>
    <row r="150" spans="1:8" x14ac:dyDescent="0.15">
      <c r="A150" s="2"/>
      <c r="B150" s="12" t="s">
        <v>23</v>
      </c>
      <c r="C150" s="12" t="s">
        <v>193</v>
      </c>
      <c r="D150" s="13"/>
      <c r="E150" s="14"/>
      <c r="F150" s="21"/>
      <c r="G150" s="12"/>
      <c r="H150" s="13"/>
    </row>
    <row r="151" spans="1:8" x14ac:dyDescent="0.15">
      <c r="A151" s="2"/>
      <c r="B151" s="16" t="s">
        <v>25</v>
      </c>
      <c r="C151" s="16" t="s">
        <v>194</v>
      </c>
      <c r="D151" s="17" t="s">
        <v>195</v>
      </c>
      <c r="E151" s="18" t="s">
        <v>196</v>
      </c>
      <c r="F151" s="23" t="s">
        <v>197</v>
      </c>
      <c r="G151" s="16">
        <v>24</v>
      </c>
      <c r="H151" s="13"/>
    </row>
    <row r="152" spans="1:8" x14ac:dyDescent="0.15">
      <c r="A152" s="4">
        <v>22</v>
      </c>
      <c r="B152" s="6" t="s">
        <v>9</v>
      </c>
      <c r="C152" s="6" t="s">
        <v>198</v>
      </c>
      <c r="D152" s="10"/>
      <c r="E152" s="19"/>
      <c r="F152" s="20"/>
      <c r="G152" s="7"/>
      <c r="H152" s="13"/>
    </row>
    <row r="153" spans="1:8" x14ac:dyDescent="0.15">
      <c r="A153" s="11" t="s">
        <v>11</v>
      </c>
      <c r="B153" s="12" t="s">
        <v>12</v>
      </c>
      <c r="C153" s="12" t="s">
        <v>199</v>
      </c>
      <c r="D153" s="13" t="s">
        <v>40</v>
      </c>
      <c r="E153" s="14" t="s">
        <v>34</v>
      </c>
      <c r="F153" s="21" t="s">
        <v>42</v>
      </c>
      <c r="G153" s="12">
        <v>10</v>
      </c>
      <c r="H153" s="13"/>
    </row>
    <row r="154" spans="1:8" x14ac:dyDescent="0.15">
      <c r="A154" s="15">
        <f>SUM(G152:G158)</f>
        <v>56</v>
      </c>
      <c r="B154" s="12" t="s">
        <v>17</v>
      </c>
      <c r="C154" s="12" t="s">
        <v>200</v>
      </c>
      <c r="D154" s="13"/>
      <c r="E154" s="14"/>
      <c r="F154" s="21"/>
      <c r="G154" s="12"/>
      <c r="H154" s="13"/>
    </row>
    <row r="155" spans="1:8" x14ac:dyDescent="0.15">
      <c r="A155" s="2"/>
      <c r="B155" s="12" t="s">
        <v>19</v>
      </c>
      <c r="C155" s="12" t="s">
        <v>201</v>
      </c>
      <c r="D155" s="13" t="s">
        <v>14</v>
      </c>
      <c r="E155" s="14" t="s">
        <v>27</v>
      </c>
      <c r="F155" s="21" t="s">
        <v>16</v>
      </c>
      <c r="G155" s="12">
        <v>14</v>
      </c>
      <c r="H155" s="13"/>
    </row>
    <row r="156" spans="1:8" x14ac:dyDescent="0.15">
      <c r="A156" s="2"/>
      <c r="B156" s="12" t="s">
        <v>21</v>
      </c>
      <c r="C156" s="12" t="s">
        <v>202</v>
      </c>
      <c r="D156" s="13"/>
      <c r="E156" s="14"/>
      <c r="F156" s="21"/>
      <c r="G156" s="12"/>
      <c r="H156" s="13"/>
    </row>
    <row r="157" spans="1:8" x14ac:dyDescent="0.15">
      <c r="A157" s="2"/>
      <c r="B157" s="12" t="s">
        <v>23</v>
      </c>
      <c r="C157" s="12" t="s">
        <v>203</v>
      </c>
      <c r="D157" s="13"/>
      <c r="E157" s="14"/>
      <c r="F157" s="21"/>
      <c r="G157" s="12"/>
      <c r="H157" s="13"/>
    </row>
    <row r="158" spans="1:8" x14ac:dyDescent="0.15">
      <c r="A158" s="2"/>
      <c r="B158" s="16" t="s">
        <v>25</v>
      </c>
      <c r="C158" s="16" t="s">
        <v>204</v>
      </c>
      <c r="D158" s="17" t="s">
        <v>14</v>
      </c>
      <c r="E158" s="18" t="s">
        <v>205</v>
      </c>
      <c r="F158" s="23" t="s">
        <v>16</v>
      </c>
      <c r="G158" s="16">
        <v>32</v>
      </c>
      <c r="H158" s="13"/>
    </row>
    <row r="159" spans="1:8" x14ac:dyDescent="0.15">
      <c r="A159" s="4">
        <v>23</v>
      </c>
      <c r="B159" s="6" t="s">
        <v>9</v>
      </c>
      <c r="C159" s="6" t="s">
        <v>206</v>
      </c>
      <c r="D159" s="10"/>
      <c r="E159" s="19"/>
      <c r="F159" s="20"/>
      <c r="G159" s="7"/>
      <c r="H159" s="13"/>
    </row>
    <row r="160" spans="1:8" x14ac:dyDescent="0.15">
      <c r="A160" s="11" t="s">
        <v>11</v>
      </c>
      <c r="B160" s="12" t="s">
        <v>12</v>
      </c>
      <c r="C160" s="12" t="s">
        <v>207</v>
      </c>
      <c r="D160" s="13" t="s">
        <v>14</v>
      </c>
      <c r="E160" s="14" t="s">
        <v>208</v>
      </c>
      <c r="F160" s="21" t="s">
        <v>16</v>
      </c>
      <c r="G160" s="12">
        <v>14</v>
      </c>
      <c r="H160" s="13"/>
    </row>
    <row r="161" spans="1:8" x14ac:dyDescent="0.15">
      <c r="A161" s="15">
        <f>SUM(G159:G165)</f>
        <v>56</v>
      </c>
      <c r="B161" s="12" t="s">
        <v>17</v>
      </c>
      <c r="C161" s="12" t="s">
        <v>209</v>
      </c>
      <c r="D161" s="13"/>
      <c r="E161" s="14"/>
      <c r="F161" s="21"/>
      <c r="G161" s="12"/>
      <c r="H161" s="13"/>
    </row>
    <row r="162" spans="1:8" x14ac:dyDescent="0.15">
      <c r="A162" s="2"/>
      <c r="B162" s="12" t="s">
        <v>19</v>
      </c>
      <c r="C162" s="12" t="s">
        <v>210</v>
      </c>
      <c r="D162" s="13" t="s">
        <v>14</v>
      </c>
      <c r="E162" s="14" t="s">
        <v>208</v>
      </c>
      <c r="F162" s="21" t="s">
        <v>16</v>
      </c>
      <c r="G162" s="12">
        <v>14</v>
      </c>
      <c r="H162" s="13"/>
    </row>
    <row r="163" spans="1:8" x14ac:dyDescent="0.15">
      <c r="A163" s="2"/>
      <c r="B163" s="12" t="s">
        <v>21</v>
      </c>
      <c r="C163" s="12" t="s">
        <v>211</v>
      </c>
      <c r="D163" s="13"/>
      <c r="E163" s="14"/>
      <c r="F163" s="21"/>
      <c r="G163" s="12"/>
      <c r="H163" s="13"/>
    </row>
    <row r="164" spans="1:8" x14ac:dyDescent="0.15">
      <c r="A164" s="2"/>
      <c r="B164" s="12" t="s">
        <v>23</v>
      </c>
      <c r="C164" s="12" t="s">
        <v>212</v>
      </c>
      <c r="D164" s="13"/>
      <c r="E164" s="14"/>
      <c r="F164" s="21"/>
      <c r="G164" s="12"/>
      <c r="H164" s="13"/>
    </row>
    <row r="165" spans="1:8" x14ac:dyDescent="0.15">
      <c r="A165" s="2"/>
      <c r="B165" s="16" t="s">
        <v>25</v>
      </c>
      <c r="C165" s="16" t="s">
        <v>213</v>
      </c>
      <c r="D165" s="17" t="s">
        <v>14</v>
      </c>
      <c r="E165" s="18" t="s">
        <v>148</v>
      </c>
      <c r="F165" s="23" t="s">
        <v>16</v>
      </c>
      <c r="G165" s="16">
        <v>28</v>
      </c>
      <c r="H165" s="13"/>
    </row>
    <row r="166" spans="1:8" x14ac:dyDescent="0.15">
      <c r="A166" s="4">
        <v>24</v>
      </c>
      <c r="B166" s="6" t="s">
        <v>9</v>
      </c>
      <c r="C166" s="6" t="s">
        <v>214</v>
      </c>
      <c r="D166" s="10"/>
      <c r="E166" s="19"/>
      <c r="F166" s="20"/>
      <c r="G166" s="7"/>
      <c r="H166" s="13"/>
    </row>
    <row r="167" spans="1:8" x14ac:dyDescent="0.15">
      <c r="A167" s="11" t="s">
        <v>11</v>
      </c>
      <c r="B167" s="12" t="s">
        <v>12</v>
      </c>
      <c r="C167" s="12" t="s">
        <v>215</v>
      </c>
      <c r="D167" s="13" t="s">
        <v>14</v>
      </c>
      <c r="E167" s="14" t="s">
        <v>61</v>
      </c>
      <c r="F167" s="21" t="s">
        <v>16</v>
      </c>
      <c r="G167" s="12">
        <v>10</v>
      </c>
      <c r="H167" s="13"/>
    </row>
    <row r="168" spans="1:8" x14ac:dyDescent="0.15">
      <c r="A168" s="15">
        <f>SUM(G166:G172)</f>
        <v>44</v>
      </c>
      <c r="B168" s="12" t="s">
        <v>17</v>
      </c>
      <c r="C168" s="12" t="s">
        <v>216</v>
      </c>
      <c r="D168" s="13"/>
      <c r="E168" s="14"/>
      <c r="F168" s="21"/>
      <c r="G168" s="12"/>
      <c r="H168" s="13"/>
    </row>
    <row r="169" spans="1:8" x14ac:dyDescent="0.15">
      <c r="A169" s="2"/>
      <c r="B169" s="12" t="s">
        <v>19</v>
      </c>
      <c r="C169" s="12" t="s">
        <v>217</v>
      </c>
      <c r="D169" s="13" t="s">
        <v>218</v>
      </c>
      <c r="E169" s="14" t="s">
        <v>85</v>
      </c>
      <c r="F169" s="21" t="s">
        <v>191</v>
      </c>
      <c r="G169" s="12">
        <v>8</v>
      </c>
      <c r="H169" s="13"/>
    </row>
    <row r="170" spans="1:8" x14ac:dyDescent="0.15">
      <c r="A170" s="2"/>
      <c r="B170" s="12" t="s">
        <v>21</v>
      </c>
      <c r="C170" s="12" t="s">
        <v>219</v>
      </c>
      <c r="D170" s="13"/>
      <c r="E170" s="14"/>
      <c r="F170" s="21"/>
      <c r="G170" s="12"/>
      <c r="H170" s="13"/>
    </row>
    <row r="171" spans="1:8" x14ac:dyDescent="0.15">
      <c r="A171" s="2"/>
      <c r="B171" s="12" t="s">
        <v>23</v>
      </c>
      <c r="C171" s="12" t="s">
        <v>220</v>
      </c>
      <c r="D171" s="13" t="s">
        <v>14</v>
      </c>
      <c r="E171" s="14" t="s">
        <v>126</v>
      </c>
      <c r="F171" s="21" t="s">
        <v>16</v>
      </c>
      <c r="G171" s="12">
        <v>6</v>
      </c>
      <c r="H171" s="13"/>
    </row>
    <row r="172" spans="1:8" x14ac:dyDescent="0.15">
      <c r="A172" s="2"/>
      <c r="B172" s="16" t="s">
        <v>25</v>
      </c>
      <c r="C172" s="16" t="s">
        <v>221</v>
      </c>
      <c r="D172" s="17" t="s">
        <v>147</v>
      </c>
      <c r="E172" s="18" t="s">
        <v>222</v>
      </c>
      <c r="F172" s="23" t="s">
        <v>16</v>
      </c>
      <c r="G172" s="16">
        <v>20</v>
      </c>
      <c r="H172" s="13"/>
    </row>
    <row r="173" spans="1:8" x14ac:dyDescent="0.15">
      <c r="A173" s="4">
        <v>25</v>
      </c>
      <c r="B173" s="6" t="s">
        <v>9</v>
      </c>
      <c r="C173" s="6" t="s">
        <v>223</v>
      </c>
      <c r="D173" s="10"/>
      <c r="E173" s="19"/>
      <c r="F173" s="20"/>
      <c r="G173" s="6"/>
      <c r="H173" s="13"/>
    </row>
    <row r="174" spans="1:8" x14ac:dyDescent="0.15">
      <c r="A174" s="11" t="s">
        <v>11</v>
      </c>
      <c r="B174" s="12" t="s">
        <v>12</v>
      </c>
      <c r="C174" s="12" t="s">
        <v>224</v>
      </c>
      <c r="D174" s="13" t="s">
        <v>14</v>
      </c>
      <c r="E174" s="14" t="s">
        <v>61</v>
      </c>
      <c r="F174" s="21" t="s">
        <v>16</v>
      </c>
      <c r="G174" s="12">
        <v>10</v>
      </c>
      <c r="H174" s="13"/>
    </row>
    <row r="175" spans="1:8" x14ac:dyDescent="0.15">
      <c r="A175" s="15">
        <f>SUM(G173:G179)+42</f>
        <v>60</v>
      </c>
      <c r="B175" s="12" t="s">
        <v>17</v>
      </c>
      <c r="C175" s="12" t="s">
        <v>225</v>
      </c>
      <c r="D175" s="13"/>
      <c r="E175" s="14"/>
      <c r="F175" s="21"/>
      <c r="G175" s="12"/>
      <c r="H175" s="13"/>
    </row>
    <row r="176" spans="1:8" x14ac:dyDescent="0.15">
      <c r="A176" s="2"/>
      <c r="B176" s="12" t="s">
        <v>19</v>
      </c>
      <c r="C176" s="12" t="s">
        <v>226</v>
      </c>
      <c r="D176" s="13" t="s">
        <v>218</v>
      </c>
      <c r="E176" s="14" t="s">
        <v>227</v>
      </c>
      <c r="F176" s="21" t="s">
        <v>191</v>
      </c>
      <c r="G176" s="12">
        <v>4</v>
      </c>
      <c r="H176" s="13"/>
    </row>
    <row r="177" spans="1:8" x14ac:dyDescent="0.15">
      <c r="A177" s="2"/>
      <c r="B177" s="12" t="s">
        <v>21</v>
      </c>
      <c r="C177" s="12" t="s">
        <v>228</v>
      </c>
      <c r="D177" s="13"/>
      <c r="E177" s="14"/>
      <c r="F177" s="21"/>
      <c r="G177" s="12"/>
      <c r="H177" s="13"/>
    </row>
    <row r="178" spans="1:8" x14ac:dyDescent="0.15">
      <c r="A178" s="36" t="s">
        <v>229</v>
      </c>
      <c r="B178" s="21" t="s">
        <v>23</v>
      </c>
      <c r="C178" s="12" t="s">
        <v>230</v>
      </c>
      <c r="D178" s="13" t="s">
        <v>218</v>
      </c>
      <c r="E178" s="14" t="s">
        <v>227</v>
      </c>
      <c r="F178" s="21" t="s">
        <v>191</v>
      </c>
      <c r="G178" s="12">
        <v>4</v>
      </c>
      <c r="H178" s="13"/>
    </row>
    <row r="179" spans="1:8" x14ac:dyDescent="0.15">
      <c r="A179" s="37">
        <f>868+42</f>
        <v>910</v>
      </c>
      <c r="B179" s="38" t="s">
        <v>25</v>
      </c>
      <c r="C179" s="39" t="s">
        <v>231</v>
      </c>
      <c r="D179" s="3412" t="s">
        <v>232</v>
      </c>
      <c r="E179" s="3412"/>
      <c r="F179" s="3412"/>
      <c r="G179" s="3412"/>
      <c r="H179" s="17"/>
    </row>
  </sheetData>
  <sheetProtection selectLockedCells="1" selectUnlockedCells="1"/>
  <mergeCells count="9">
    <mergeCell ref="D122:G122"/>
    <mergeCell ref="D135:G135"/>
    <mergeCell ref="D179:G179"/>
    <mergeCell ref="A1:H1"/>
    <mergeCell ref="D15:G15"/>
    <mergeCell ref="D25:G25"/>
    <mergeCell ref="C54:G56"/>
    <mergeCell ref="C57:G60"/>
    <mergeCell ref="D106:G106"/>
  </mergeCells>
  <pageMargins left="0.78749999999999998" right="0.78749999999999998" top="0.78749999999999998" bottom="0.78749999999999998" header="0.51180555555555551" footer="0.51180555555555551"/>
  <pageSetup paperSize="9" firstPageNumber="0"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G50"/>
  <sheetViews>
    <sheetView zoomScale="85" zoomScaleNormal="85" zoomScalePageLayoutView="85" workbookViewId="0">
      <selection activeCell="D15" sqref="D15"/>
    </sheetView>
  </sheetViews>
  <sheetFormatPr baseColWidth="10" defaultColWidth="11.5" defaultRowHeight="13" x14ac:dyDescent="0.15"/>
  <cols>
    <col min="1" max="7" width="11.5" style="2"/>
  </cols>
  <sheetData>
    <row r="1" spans="1:7" x14ac:dyDescent="0.15">
      <c r="A1" s="40" t="s">
        <v>233</v>
      </c>
      <c r="B1" s="40" t="s">
        <v>234</v>
      </c>
      <c r="C1" s="40" t="s">
        <v>235</v>
      </c>
      <c r="D1" s="40" t="s">
        <v>236</v>
      </c>
      <c r="E1" s="40" t="s">
        <v>237</v>
      </c>
      <c r="F1" s="40" t="s">
        <v>238</v>
      </c>
      <c r="G1" s="40"/>
    </row>
    <row r="2" spans="1:7" x14ac:dyDescent="0.15">
      <c r="A2" s="41" t="s">
        <v>239</v>
      </c>
      <c r="B2" s="41" t="s">
        <v>240</v>
      </c>
      <c r="C2" s="41" t="s">
        <v>241</v>
      </c>
      <c r="D2" s="42">
        <v>12</v>
      </c>
      <c r="E2" s="41" t="s">
        <v>242</v>
      </c>
      <c r="F2" s="41">
        <v>11.8</v>
      </c>
    </row>
    <row r="3" spans="1:7" x14ac:dyDescent="0.15">
      <c r="A3" s="41" t="s">
        <v>243</v>
      </c>
      <c r="B3" s="41" t="s">
        <v>244</v>
      </c>
      <c r="C3" s="41" t="s">
        <v>245</v>
      </c>
      <c r="D3" s="42">
        <v>9.7100000000000009</v>
      </c>
      <c r="E3" s="41" t="s">
        <v>246</v>
      </c>
      <c r="F3" s="41">
        <v>12.1</v>
      </c>
    </row>
    <row r="4" spans="1:7" x14ac:dyDescent="0.15">
      <c r="A4" s="41" t="s">
        <v>247</v>
      </c>
      <c r="B4" s="41" t="s">
        <v>248</v>
      </c>
      <c r="C4" s="41" t="s">
        <v>249</v>
      </c>
      <c r="D4" s="42">
        <v>10.56</v>
      </c>
      <c r="E4" s="41" t="s">
        <v>250</v>
      </c>
      <c r="F4" s="41">
        <v>10.79</v>
      </c>
    </row>
    <row r="5" spans="1:7" x14ac:dyDescent="0.15">
      <c r="A5" s="41" t="s">
        <v>251</v>
      </c>
      <c r="B5" s="41" t="s">
        <v>248</v>
      </c>
      <c r="C5" s="41" t="s">
        <v>252</v>
      </c>
      <c r="D5" s="42">
        <v>9.84</v>
      </c>
      <c r="E5" s="41" t="s">
        <v>253</v>
      </c>
      <c r="F5" s="41">
        <v>11.31</v>
      </c>
    </row>
    <row r="6" spans="1:7" x14ac:dyDescent="0.15">
      <c r="A6" s="41" t="s">
        <v>254</v>
      </c>
      <c r="B6" s="41" t="s">
        <v>255</v>
      </c>
      <c r="C6" s="41" t="s">
        <v>256</v>
      </c>
      <c r="D6" s="42">
        <v>9.91</v>
      </c>
      <c r="E6" s="41" t="s">
        <v>257</v>
      </c>
      <c r="F6" s="41">
        <v>11.25</v>
      </c>
    </row>
    <row r="7" spans="1:7" x14ac:dyDescent="0.15">
      <c r="A7" s="41" t="s">
        <v>258</v>
      </c>
      <c r="B7" s="41" t="s">
        <v>244</v>
      </c>
      <c r="C7" s="41" t="s">
        <v>259</v>
      </c>
      <c r="D7" s="42">
        <v>9.9</v>
      </c>
      <c r="E7" s="41" t="s">
        <v>260</v>
      </c>
      <c r="F7" s="41">
        <v>11.72</v>
      </c>
    </row>
    <row r="8" spans="1:7" x14ac:dyDescent="0.15">
      <c r="A8" s="41" t="s">
        <v>261</v>
      </c>
      <c r="B8" s="41" t="s">
        <v>248</v>
      </c>
      <c r="C8" s="41" t="s">
        <v>262</v>
      </c>
      <c r="D8" s="42">
        <v>12.3</v>
      </c>
      <c r="E8" s="41" t="s">
        <v>263</v>
      </c>
      <c r="F8" s="41">
        <v>8.39</v>
      </c>
    </row>
    <row r="9" spans="1:7" x14ac:dyDescent="0.15">
      <c r="A9" s="41" t="s">
        <v>264</v>
      </c>
      <c r="B9" s="41" t="s">
        <v>244</v>
      </c>
      <c r="C9" s="41" t="s">
        <v>265</v>
      </c>
      <c r="D9" s="42">
        <v>13.64</v>
      </c>
      <c r="E9" s="41" t="s">
        <v>253</v>
      </c>
      <c r="F9" s="41">
        <v>11.34</v>
      </c>
    </row>
    <row r="10" spans="1:7" x14ac:dyDescent="0.15">
      <c r="A10" s="41" t="s">
        <v>266</v>
      </c>
      <c r="B10" s="41" t="s">
        <v>267</v>
      </c>
      <c r="C10" s="41" t="s">
        <v>268</v>
      </c>
      <c r="D10" s="42">
        <v>8.8000000000000007</v>
      </c>
      <c r="E10" s="41" t="s">
        <v>269</v>
      </c>
      <c r="F10" s="41">
        <v>9.89</v>
      </c>
    </row>
    <row r="11" spans="1:7" x14ac:dyDescent="0.15">
      <c r="A11" s="41" t="s">
        <v>270</v>
      </c>
      <c r="B11" s="41" t="s">
        <v>244</v>
      </c>
      <c r="C11" s="41" t="s">
        <v>271</v>
      </c>
      <c r="D11" s="42">
        <v>10</v>
      </c>
      <c r="E11" s="41" t="s">
        <v>272</v>
      </c>
      <c r="F11" s="41">
        <v>11.43</v>
      </c>
    </row>
    <row r="12" spans="1:7" x14ac:dyDescent="0.15">
      <c r="A12" s="41" t="s">
        <v>273</v>
      </c>
      <c r="B12" s="41" t="s">
        <v>274</v>
      </c>
      <c r="C12" s="41" t="s">
        <v>275</v>
      </c>
      <c r="D12" s="42">
        <v>8.9</v>
      </c>
      <c r="E12" s="41" t="s">
        <v>276</v>
      </c>
      <c r="F12" s="41">
        <v>11.36</v>
      </c>
    </row>
    <row r="13" spans="1:7" x14ac:dyDescent="0.15">
      <c r="A13" s="41" t="s">
        <v>277</v>
      </c>
      <c r="B13" s="41" t="s">
        <v>244</v>
      </c>
      <c r="C13" s="41" t="s">
        <v>278</v>
      </c>
      <c r="D13" s="42">
        <v>9.8000000000000007</v>
      </c>
      <c r="E13" s="41" t="s">
        <v>279</v>
      </c>
      <c r="F13" s="41">
        <v>8.0500000000000007</v>
      </c>
      <c r="G13" s="41"/>
    </row>
    <row r="14" spans="1:7" x14ac:dyDescent="0.15">
      <c r="A14" s="41" t="s">
        <v>280</v>
      </c>
      <c r="B14" s="41" t="s">
        <v>281</v>
      </c>
      <c r="C14" s="41" t="s">
        <v>282</v>
      </c>
      <c r="D14" s="42">
        <v>12</v>
      </c>
      <c r="E14" s="41" t="s">
        <v>283</v>
      </c>
      <c r="F14" s="41">
        <v>10.29</v>
      </c>
    </row>
    <row r="15" spans="1:7" x14ac:dyDescent="0.15">
      <c r="A15" s="41" t="s">
        <v>284</v>
      </c>
      <c r="B15" s="41" t="s">
        <v>281</v>
      </c>
      <c r="C15" s="41" t="s">
        <v>285</v>
      </c>
      <c r="D15" s="42">
        <v>10</v>
      </c>
      <c r="E15" s="41" t="s">
        <v>286</v>
      </c>
      <c r="F15" s="41">
        <v>12.5</v>
      </c>
    </row>
    <row r="16" spans="1:7" x14ac:dyDescent="0.15">
      <c r="A16" s="41" t="s">
        <v>287</v>
      </c>
      <c r="B16" s="41" t="s">
        <v>288</v>
      </c>
      <c r="C16" s="41" t="s">
        <v>289</v>
      </c>
      <c r="D16" s="42">
        <v>10</v>
      </c>
      <c r="E16" s="41" t="s">
        <v>290</v>
      </c>
      <c r="F16" s="41">
        <v>11.68</v>
      </c>
    </row>
    <row r="17" spans="1:6" x14ac:dyDescent="0.15">
      <c r="A17" s="41" t="s">
        <v>291</v>
      </c>
      <c r="B17" s="41" t="s">
        <v>292</v>
      </c>
      <c r="C17" s="41" t="s">
        <v>293</v>
      </c>
      <c r="D17" s="42">
        <v>10</v>
      </c>
      <c r="E17" s="41" t="s">
        <v>294</v>
      </c>
      <c r="F17" s="41">
        <v>12.83</v>
      </c>
    </row>
    <row r="18" spans="1:6" x14ac:dyDescent="0.15">
      <c r="A18" s="41" t="s">
        <v>295</v>
      </c>
      <c r="B18" s="41" t="s">
        <v>296</v>
      </c>
      <c r="C18" s="41" t="s">
        <v>297</v>
      </c>
      <c r="D18" s="42">
        <v>21.0975</v>
      </c>
      <c r="E18" s="41" t="s">
        <v>298</v>
      </c>
      <c r="F18" s="41">
        <v>12.4</v>
      </c>
    </row>
    <row r="19" spans="1:6" x14ac:dyDescent="0.15">
      <c r="A19" s="41" t="s">
        <v>299</v>
      </c>
      <c r="B19" s="41" t="s">
        <v>300</v>
      </c>
      <c r="C19" s="41" t="s">
        <v>301</v>
      </c>
      <c r="D19" s="42">
        <v>6.7</v>
      </c>
      <c r="E19" s="41" t="s">
        <v>302</v>
      </c>
      <c r="F19" s="41">
        <v>10.36</v>
      </c>
    </row>
    <row r="20" spans="1:6" x14ac:dyDescent="0.15">
      <c r="A20" s="41" t="s">
        <v>303</v>
      </c>
      <c r="B20" s="41" t="s">
        <v>304</v>
      </c>
      <c r="C20" s="41" t="s">
        <v>305</v>
      </c>
      <c r="D20" s="42">
        <v>10</v>
      </c>
      <c r="E20" s="41" t="s">
        <v>306</v>
      </c>
      <c r="F20" s="41">
        <v>10.95</v>
      </c>
    </row>
    <row r="21" spans="1:6" x14ac:dyDescent="0.15">
      <c r="A21" s="41" t="s">
        <v>307</v>
      </c>
      <c r="B21" s="41" t="s">
        <v>308</v>
      </c>
      <c r="C21" s="41" t="s">
        <v>309</v>
      </c>
      <c r="D21" s="42">
        <v>12</v>
      </c>
      <c r="E21" s="41" t="s">
        <v>310</v>
      </c>
      <c r="F21" s="41">
        <v>11.08</v>
      </c>
    </row>
    <row r="22" spans="1:6" x14ac:dyDescent="0.15">
      <c r="A22" s="41" t="s">
        <v>311</v>
      </c>
      <c r="B22" s="41" t="s">
        <v>312</v>
      </c>
      <c r="C22" s="41" t="s">
        <v>313</v>
      </c>
      <c r="D22" s="42">
        <v>14.15</v>
      </c>
      <c r="E22" s="41" t="s">
        <v>314</v>
      </c>
      <c r="F22" s="41">
        <v>10.9</v>
      </c>
    </row>
    <row r="23" spans="1:6" x14ac:dyDescent="0.15">
      <c r="A23" s="41" t="s">
        <v>315</v>
      </c>
      <c r="B23" s="41" t="s">
        <v>316</v>
      </c>
      <c r="C23" s="41" t="s">
        <v>317</v>
      </c>
      <c r="D23" s="42">
        <v>10</v>
      </c>
      <c r="E23" s="41" t="s">
        <v>318</v>
      </c>
      <c r="F23" s="41">
        <v>11.67</v>
      </c>
    </row>
    <row r="24" spans="1:6" x14ac:dyDescent="0.15">
      <c r="A24" s="41" t="s">
        <v>319</v>
      </c>
      <c r="B24" s="41" t="s">
        <v>320</v>
      </c>
      <c r="C24" s="41" t="s">
        <v>321</v>
      </c>
      <c r="D24" s="42">
        <v>12</v>
      </c>
      <c r="E24" s="41" t="s">
        <v>322</v>
      </c>
      <c r="F24" s="41">
        <v>11.01</v>
      </c>
    </row>
    <row r="25" spans="1:6" x14ac:dyDescent="0.15">
      <c r="A25" s="41" t="s">
        <v>323</v>
      </c>
      <c r="B25" s="41" t="s">
        <v>324</v>
      </c>
      <c r="C25" s="41" t="s">
        <v>325</v>
      </c>
      <c r="D25" s="42">
        <v>10</v>
      </c>
      <c r="E25" s="41" t="s">
        <v>326</v>
      </c>
      <c r="F25" s="41">
        <v>11.59</v>
      </c>
    </row>
    <row r="26" spans="1:6" x14ac:dyDescent="0.15">
      <c r="A26" s="41" t="s">
        <v>327</v>
      </c>
      <c r="B26" s="41" t="s">
        <v>328</v>
      </c>
      <c r="C26" s="41" t="s">
        <v>329</v>
      </c>
      <c r="D26" s="42">
        <v>10</v>
      </c>
      <c r="E26" s="41" t="s">
        <v>330</v>
      </c>
      <c r="F26" s="41">
        <v>10.86</v>
      </c>
    </row>
    <row r="27" spans="1:6" x14ac:dyDescent="0.15">
      <c r="A27" s="41" t="s">
        <v>331</v>
      </c>
      <c r="B27" s="41" t="s">
        <v>332</v>
      </c>
      <c r="C27" s="41" t="s">
        <v>333</v>
      </c>
      <c r="D27" s="42">
        <v>10</v>
      </c>
      <c r="E27" s="41" t="s">
        <v>334</v>
      </c>
      <c r="F27" s="41">
        <v>11.14</v>
      </c>
    </row>
    <row r="28" spans="1:6" x14ac:dyDescent="0.15">
      <c r="A28" s="41" t="s">
        <v>335</v>
      </c>
      <c r="B28" s="41" t="s">
        <v>336</v>
      </c>
      <c r="C28" s="41" t="s">
        <v>337</v>
      </c>
      <c r="D28" s="42">
        <v>10</v>
      </c>
      <c r="E28" s="41" t="s">
        <v>338</v>
      </c>
      <c r="F28" s="41">
        <v>11.27</v>
      </c>
    </row>
    <row r="29" spans="1:6" x14ac:dyDescent="0.15">
      <c r="A29" s="41" t="s">
        <v>339</v>
      </c>
      <c r="B29" s="41" t="s">
        <v>340</v>
      </c>
      <c r="C29" s="41" t="s">
        <v>341</v>
      </c>
      <c r="D29" s="42">
        <v>10</v>
      </c>
      <c r="E29" s="41" t="s">
        <v>257</v>
      </c>
      <c r="F29" s="41">
        <v>11.26</v>
      </c>
    </row>
    <row r="30" spans="1:6" x14ac:dyDescent="0.15">
      <c r="A30" s="41" t="s">
        <v>342</v>
      </c>
      <c r="B30" s="41" t="s">
        <v>343</v>
      </c>
      <c r="C30" s="41" t="s">
        <v>344</v>
      </c>
      <c r="D30" s="42">
        <v>10</v>
      </c>
      <c r="E30" s="41" t="s">
        <v>322</v>
      </c>
      <c r="F30" s="41">
        <v>11.02</v>
      </c>
    </row>
    <row r="31" spans="1:6" x14ac:dyDescent="0.15">
      <c r="A31" s="41" t="s">
        <v>345</v>
      </c>
      <c r="B31" s="43"/>
      <c r="C31" s="41" t="s">
        <v>346</v>
      </c>
      <c r="D31" s="42">
        <v>10</v>
      </c>
      <c r="E31" s="41" t="s">
        <v>347</v>
      </c>
      <c r="F31" s="41">
        <v>9.7100000000000009</v>
      </c>
    </row>
    <row r="32" spans="1:6" x14ac:dyDescent="0.15">
      <c r="A32" s="41" t="s">
        <v>348</v>
      </c>
      <c r="B32" s="41" t="s">
        <v>349</v>
      </c>
      <c r="C32" s="41" t="s">
        <v>350</v>
      </c>
      <c r="D32" s="42">
        <v>10</v>
      </c>
      <c r="E32" s="41" t="s">
        <v>351</v>
      </c>
      <c r="F32" s="41">
        <v>9.8699999999999992</v>
      </c>
    </row>
    <row r="33" spans="1:7" x14ac:dyDescent="0.15">
      <c r="A33" s="41" t="s">
        <v>352</v>
      </c>
      <c r="B33" s="41" t="s">
        <v>353</v>
      </c>
      <c r="C33" s="41" t="s">
        <v>354</v>
      </c>
      <c r="D33" s="42">
        <v>8</v>
      </c>
      <c r="E33" s="41" t="s">
        <v>253</v>
      </c>
      <c r="F33" s="41">
        <v>11.31</v>
      </c>
    </row>
    <row r="34" spans="1:7" x14ac:dyDescent="0.15">
      <c r="A34" s="41" t="s">
        <v>355</v>
      </c>
      <c r="B34" s="41" t="s">
        <v>356</v>
      </c>
      <c r="C34" s="41" t="s">
        <v>357</v>
      </c>
      <c r="D34" s="42">
        <v>10</v>
      </c>
      <c r="E34" s="41" t="s">
        <v>358</v>
      </c>
      <c r="F34" s="41">
        <v>10.59</v>
      </c>
    </row>
    <row r="35" spans="1:7" x14ac:dyDescent="0.15">
      <c r="A35" s="41" t="s">
        <v>359</v>
      </c>
      <c r="B35" s="41" t="s">
        <v>360</v>
      </c>
      <c r="C35" s="41" t="s">
        <v>361</v>
      </c>
      <c r="D35" s="42">
        <v>10</v>
      </c>
      <c r="E35" s="41" t="s">
        <v>362</v>
      </c>
      <c r="F35" s="41">
        <v>10.56</v>
      </c>
    </row>
    <row r="36" spans="1:7" x14ac:dyDescent="0.15">
      <c r="A36" s="41" t="s">
        <v>363</v>
      </c>
      <c r="B36" s="41" t="s">
        <v>364</v>
      </c>
      <c r="C36" s="41" t="s">
        <v>357</v>
      </c>
      <c r="D36" s="42">
        <v>10</v>
      </c>
      <c r="E36" s="41" t="s">
        <v>358</v>
      </c>
      <c r="F36" s="41">
        <v>10.59</v>
      </c>
    </row>
    <row r="37" spans="1:7" x14ac:dyDescent="0.15">
      <c r="A37" s="41" t="s">
        <v>365</v>
      </c>
      <c r="B37" s="41" t="s">
        <v>366</v>
      </c>
      <c r="C37" s="41" t="s">
        <v>367</v>
      </c>
      <c r="D37" s="42">
        <v>12</v>
      </c>
      <c r="E37" s="41" t="s">
        <v>368</v>
      </c>
      <c r="F37" s="41">
        <v>10.5</v>
      </c>
    </row>
    <row r="38" spans="1:7" x14ac:dyDescent="0.15">
      <c r="A38" s="41" t="s">
        <v>369</v>
      </c>
      <c r="B38" s="41" t="s">
        <v>370</v>
      </c>
      <c r="C38" s="41" t="s">
        <v>371</v>
      </c>
      <c r="D38" s="42">
        <v>10</v>
      </c>
      <c r="E38" s="41" t="s">
        <v>372</v>
      </c>
      <c r="F38" s="41">
        <v>11.39</v>
      </c>
    </row>
    <row r="39" spans="1:7" x14ac:dyDescent="0.15">
      <c r="A39" s="41" t="s">
        <v>373</v>
      </c>
      <c r="B39" s="41" t="s">
        <v>374</v>
      </c>
      <c r="C39" s="41" t="s">
        <v>375</v>
      </c>
      <c r="D39" s="42">
        <v>10</v>
      </c>
      <c r="E39" s="41" t="s">
        <v>306</v>
      </c>
      <c r="F39" s="41">
        <v>10.93</v>
      </c>
    </row>
    <row r="40" spans="1:7" x14ac:dyDescent="0.15">
      <c r="A40" s="41" t="s">
        <v>376</v>
      </c>
      <c r="B40" s="41" t="s">
        <v>377</v>
      </c>
      <c r="C40" s="41" t="s">
        <v>378</v>
      </c>
      <c r="D40" s="42">
        <v>12</v>
      </c>
      <c r="E40" s="41" t="s">
        <v>250</v>
      </c>
      <c r="F40" s="41">
        <v>10.79</v>
      </c>
    </row>
    <row r="41" spans="1:7" x14ac:dyDescent="0.15">
      <c r="A41" s="41" t="s">
        <v>379</v>
      </c>
      <c r="B41" s="41" t="s">
        <v>380</v>
      </c>
      <c r="C41" s="41" t="s">
        <v>381</v>
      </c>
      <c r="D41" s="42">
        <v>10</v>
      </c>
      <c r="E41" s="41" t="s">
        <v>322</v>
      </c>
      <c r="F41" s="41">
        <v>11</v>
      </c>
    </row>
    <row r="42" spans="1:7" x14ac:dyDescent="0.15">
      <c r="A42" s="41" t="s">
        <v>382</v>
      </c>
      <c r="B42" s="41" t="s">
        <v>244</v>
      </c>
      <c r="C42" s="41" t="s">
        <v>383</v>
      </c>
      <c r="D42" s="42">
        <v>8.4</v>
      </c>
      <c r="E42" s="41" t="s">
        <v>384</v>
      </c>
      <c r="F42" s="41">
        <v>10.64</v>
      </c>
    </row>
    <row r="43" spans="1:7" x14ac:dyDescent="0.15">
      <c r="A43" s="41" t="s">
        <v>385</v>
      </c>
      <c r="B43" s="41" t="s">
        <v>386</v>
      </c>
      <c r="C43" s="41" t="s">
        <v>387</v>
      </c>
      <c r="D43" s="42">
        <v>10</v>
      </c>
      <c r="E43" s="41" t="s">
        <v>388</v>
      </c>
      <c r="F43" s="41">
        <v>10.98</v>
      </c>
    </row>
    <row r="44" spans="1:7" x14ac:dyDescent="0.15">
      <c r="A44" s="41" t="s">
        <v>389</v>
      </c>
      <c r="B44" s="41" t="s">
        <v>390</v>
      </c>
      <c r="C44" s="41" t="s">
        <v>391</v>
      </c>
      <c r="D44" s="42">
        <v>12</v>
      </c>
      <c r="E44" s="41" t="s">
        <v>358</v>
      </c>
      <c r="F44" s="41">
        <v>10.59</v>
      </c>
      <c r="G44" s="41"/>
    </row>
    <row r="45" spans="1:7" x14ac:dyDescent="0.15">
      <c r="A45" s="41" t="s">
        <v>392</v>
      </c>
      <c r="B45" s="41" t="s">
        <v>393</v>
      </c>
      <c r="C45" s="41" t="s">
        <v>394</v>
      </c>
      <c r="D45" s="42">
        <v>12</v>
      </c>
      <c r="E45" s="41" t="s">
        <v>257</v>
      </c>
      <c r="F45" s="41">
        <v>11.25</v>
      </c>
    </row>
    <row r="46" spans="1:7" x14ac:dyDescent="0.15">
      <c r="A46" s="41" t="s">
        <v>395</v>
      </c>
      <c r="B46" s="41" t="s">
        <v>396</v>
      </c>
      <c r="C46" s="41" t="s">
        <v>397</v>
      </c>
      <c r="D46" s="42">
        <v>10</v>
      </c>
      <c r="E46" s="41" t="s">
        <v>326</v>
      </c>
      <c r="F46" s="41">
        <v>11.6</v>
      </c>
      <c r="G46" s="41"/>
    </row>
    <row r="47" spans="1:7" x14ac:dyDescent="0.15">
      <c r="A47" s="41" t="s">
        <v>398</v>
      </c>
      <c r="B47" s="41" t="s">
        <v>399</v>
      </c>
      <c r="C47" s="41" t="s">
        <v>400</v>
      </c>
      <c r="D47" s="42">
        <v>8.4</v>
      </c>
      <c r="E47" s="41" t="s">
        <v>401</v>
      </c>
      <c r="F47" s="41">
        <v>10.8</v>
      </c>
    </row>
    <row r="48" spans="1:7" x14ac:dyDescent="0.15">
      <c r="A48" s="41" t="s">
        <v>402</v>
      </c>
      <c r="B48" s="41" t="s">
        <v>403</v>
      </c>
      <c r="C48" s="41" t="s">
        <v>404</v>
      </c>
      <c r="D48" s="42">
        <v>10</v>
      </c>
      <c r="E48" s="41" t="s">
        <v>405</v>
      </c>
      <c r="F48" s="41">
        <v>12.18</v>
      </c>
    </row>
    <row r="49" spans="1:6" x14ac:dyDescent="0.15">
      <c r="A49" s="41" t="s">
        <v>406</v>
      </c>
      <c r="B49" s="41" t="s">
        <v>281</v>
      </c>
      <c r="C49" s="41" t="s">
        <v>407</v>
      </c>
      <c r="D49" s="42">
        <v>10</v>
      </c>
      <c r="E49" s="41" t="s">
        <v>408</v>
      </c>
      <c r="F49" s="41">
        <v>11.54</v>
      </c>
    </row>
    <row r="50" spans="1:6" x14ac:dyDescent="0.15">
      <c r="D50" s="44">
        <f>SUM(D2:D49)</f>
        <v>506.10749999999996</v>
      </c>
      <c r="E50" s="45"/>
    </row>
  </sheetData>
  <sheetProtection selectLockedCells="1" selectUnlockedCells="1"/>
  <pageMargins left="0.78749999999999998" right="0.78749999999999998" top="0.78749999999999998" bottom="0.78749999999999998" header="0.51180555555555551" footer="0.51180555555555551"/>
  <pageSetup paperSize="9" firstPageNumber="0" orientation="landscape"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M229"/>
  <sheetViews>
    <sheetView topLeftCell="A192" workbookViewId="0">
      <selection activeCell="J225" sqref="J225"/>
    </sheetView>
  </sheetViews>
  <sheetFormatPr baseColWidth="10" defaultColWidth="11.5" defaultRowHeight="13" x14ac:dyDescent="0.15"/>
  <cols>
    <col min="3" max="3" width="7.1640625" style="46" customWidth="1"/>
    <col min="4" max="4" width="5.6640625" customWidth="1"/>
    <col min="5" max="5" width="8.5" style="47" customWidth="1"/>
    <col min="6" max="6" width="9.5" customWidth="1"/>
    <col min="7" max="7" width="10" customWidth="1"/>
    <col min="8" max="8" width="9" customWidth="1"/>
    <col min="11" max="11" width="11" style="48" customWidth="1"/>
  </cols>
  <sheetData>
    <row r="1" spans="1:13" ht="19" x14ac:dyDescent="0.2">
      <c r="A1" s="3413" t="s">
        <v>409</v>
      </c>
      <c r="B1" s="3413"/>
      <c r="C1" s="3413"/>
      <c r="D1" s="3413"/>
      <c r="E1" s="3413"/>
      <c r="F1" s="3413"/>
      <c r="G1" s="3413"/>
      <c r="H1" s="3413"/>
    </row>
    <row r="2" spans="1:13" x14ac:dyDescent="0.15">
      <c r="A2" s="2"/>
      <c r="B2" s="2"/>
      <c r="D2" s="2"/>
      <c r="E2" s="43"/>
      <c r="F2" s="2"/>
      <c r="G2" s="2"/>
      <c r="H2" s="2"/>
    </row>
    <row r="3" spans="1:13" x14ac:dyDescent="0.15">
      <c r="A3" s="3" t="s">
        <v>1</v>
      </c>
      <c r="B3" s="4" t="s">
        <v>2</v>
      </c>
      <c r="C3" s="49" t="s">
        <v>3</v>
      </c>
      <c r="D3" s="4" t="s">
        <v>4</v>
      </c>
      <c r="E3" s="50" t="s">
        <v>5</v>
      </c>
      <c r="F3" s="3" t="s">
        <v>410</v>
      </c>
      <c r="G3" s="3" t="s">
        <v>7</v>
      </c>
      <c r="H3" s="4" t="s">
        <v>8</v>
      </c>
    </row>
    <row r="4" spans="1:13" x14ac:dyDescent="0.15">
      <c r="A4" s="4">
        <v>1</v>
      </c>
      <c r="B4" s="6" t="s">
        <v>9</v>
      </c>
      <c r="C4" s="51">
        <v>39874</v>
      </c>
      <c r="D4" s="8"/>
      <c r="E4" s="52"/>
      <c r="F4" s="7"/>
      <c r="G4" s="7"/>
      <c r="H4" s="10" t="s">
        <v>411</v>
      </c>
      <c r="K4"/>
    </row>
    <row r="5" spans="1:13" x14ac:dyDescent="0.15">
      <c r="A5" s="11" t="s">
        <v>11</v>
      </c>
      <c r="B5" s="12" t="s">
        <v>12</v>
      </c>
      <c r="C5" s="53">
        <v>39875</v>
      </c>
      <c r="D5" s="13"/>
      <c r="E5" s="54"/>
      <c r="F5" s="2"/>
      <c r="G5" s="12"/>
      <c r="H5" s="13" t="s">
        <v>411</v>
      </c>
      <c r="K5"/>
    </row>
    <row r="6" spans="1:13" x14ac:dyDescent="0.15">
      <c r="A6" s="15">
        <f>SUM(G4:G10)</f>
        <v>31.519999999999996</v>
      </c>
      <c r="B6" s="12" t="s">
        <v>17</v>
      </c>
      <c r="C6" s="53">
        <v>39876</v>
      </c>
      <c r="D6" s="13" t="s">
        <v>14</v>
      </c>
      <c r="E6" s="54">
        <v>4.704861111111111E-2</v>
      </c>
      <c r="F6" s="12">
        <v>154</v>
      </c>
      <c r="G6" s="12">
        <v>11.2</v>
      </c>
      <c r="H6" s="13" t="s">
        <v>411</v>
      </c>
      <c r="K6"/>
    </row>
    <row r="7" spans="1:13" x14ac:dyDescent="0.15">
      <c r="A7" s="2"/>
      <c r="B7" s="12" t="s">
        <v>19</v>
      </c>
      <c r="C7" s="53">
        <v>39877</v>
      </c>
      <c r="D7" s="13"/>
      <c r="E7" s="54"/>
      <c r="F7" s="2"/>
      <c r="G7" s="12"/>
      <c r="H7" s="13" t="s">
        <v>411</v>
      </c>
      <c r="J7" s="2"/>
      <c r="K7" s="2" t="s">
        <v>412</v>
      </c>
      <c r="L7" s="2" t="s">
        <v>410</v>
      </c>
    </row>
    <row r="8" spans="1:13" x14ac:dyDescent="0.15">
      <c r="A8" s="2"/>
      <c r="B8" s="12" t="s">
        <v>21</v>
      </c>
      <c r="C8" s="53">
        <v>39878</v>
      </c>
      <c r="D8" s="13" t="s">
        <v>14</v>
      </c>
      <c r="E8" s="54">
        <v>3.920138888888889E-2</v>
      </c>
      <c r="F8" s="12">
        <v>163</v>
      </c>
      <c r="G8" s="12">
        <v>10.6</v>
      </c>
      <c r="H8" s="13" t="s">
        <v>411</v>
      </c>
      <c r="J8" s="2" t="s">
        <v>40</v>
      </c>
      <c r="K8" s="2" t="s">
        <v>413</v>
      </c>
      <c r="L8" s="2" t="s">
        <v>414</v>
      </c>
    </row>
    <row r="9" spans="1:13" x14ac:dyDescent="0.15">
      <c r="A9" s="2"/>
      <c r="B9" s="12" t="s">
        <v>23</v>
      </c>
      <c r="C9" s="53">
        <v>39879</v>
      </c>
      <c r="D9" s="13"/>
      <c r="E9" s="54"/>
      <c r="F9" s="12"/>
      <c r="G9" s="12"/>
      <c r="H9" s="13" t="s">
        <v>411</v>
      </c>
      <c r="J9" s="2" t="s">
        <v>147</v>
      </c>
      <c r="K9" s="2" t="s">
        <v>415</v>
      </c>
      <c r="L9" s="2" t="s">
        <v>416</v>
      </c>
    </row>
    <row r="10" spans="1:13" x14ac:dyDescent="0.15">
      <c r="A10" s="2"/>
      <c r="B10" s="16" t="s">
        <v>25</v>
      </c>
      <c r="C10" s="55">
        <v>39880</v>
      </c>
      <c r="D10" s="17" t="s">
        <v>14</v>
      </c>
      <c r="E10" s="54">
        <v>3.6504629629629623E-2</v>
      </c>
      <c r="F10" s="2">
        <v>155</v>
      </c>
      <c r="G10" s="16">
        <v>9.7200000000000006</v>
      </c>
      <c r="H10" s="13" t="s">
        <v>411</v>
      </c>
      <c r="J10" s="2" t="s">
        <v>14</v>
      </c>
      <c r="K10" s="2" t="s">
        <v>417</v>
      </c>
      <c r="L10" s="2" t="s">
        <v>418</v>
      </c>
    </row>
    <row r="11" spans="1:13" x14ac:dyDescent="0.15">
      <c r="A11" s="4">
        <f>A4+1</f>
        <v>2</v>
      </c>
      <c r="B11" s="6" t="s">
        <v>9</v>
      </c>
      <c r="C11" s="51">
        <v>39881</v>
      </c>
      <c r="D11" s="8"/>
      <c r="E11" s="52"/>
      <c r="F11" s="7"/>
      <c r="G11" s="7"/>
      <c r="H11" s="10" t="s">
        <v>411</v>
      </c>
      <c r="J11" s="2" t="s">
        <v>49</v>
      </c>
      <c r="K11" s="2" t="s">
        <v>419</v>
      </c>
      <c r="L11" s="2" t="s">
        <v>420</v>
      </c>
    </row>
    <row r="12" spans="1:13" x14ac:dyDescent="0.15">
      <c r="A12" s="11" t="s">
        <v>11</v>
      </c>
      <c r="B12" s="12" t="s">
        <v>12</v>
      </c>
      <c r="C12" s="53">
        <v>39882</v>
      </c>
      <c r="D12" s="13"/>
      <c r="E12" s="54"/>
      <c r="F12" s="2"/>
      <c r="G12" s="12"/>
      <c r="H12" s="13" t="s">
        <v>411</v>
      </c>
      <c r="K12"/>
    </row>
    <row r="13" spans="1:13" x14ac:dyDescent="0.15">
      <c r="A13" s="15">
        <f>SUM(G11:G17)</f>
        <v>21.65</v>
      </c>
      <c r="B13" s="12" t="s">
        <v>17</v>
      </c>
      <c r="C13" s="53">
        <v>39883</v>
      </c>
      <c r="D13" s="13"/>
      <c r="E13" s="54"/>
      <c r="F13" s="12"/>
      <c r="G13" s="12"/>
      <c r="H13" s="13" t="s">
        <v>411</v>
      </c>
      <c r="K13"/>
    </row>
    <row r="14" spans="1:13" x14ac:dyDescent="0.15">
      <c r="A14" s="2"/>
      <c r="B14" s="12" t="s">
        <v>19</v>
      </c>
      <c r="C14" s="53">
        <v>39884</v>
      </c>
      <c r="D14" s="13"/>
      <c r="E14" s="54"/>
      <c r="F14" s="2"/>
      <c r="G14" s="12"/>
      <c r="H14" s="13" t="s">
        <v>411</v>
      </c>
      <c r="J14" s="2"/>
      <c r="K14" s="2" t="s">
        <v>421</v>
      </c>
      <c r="L14" s="2" t="s">
        <v>422</v>
      </c>
      <c r="M14" s="2" t="s">
        <v>423</v>
      </c>
    </row>
    <row r="15" spans="1:13" x14ac:dyDescent="0.15">
      <c r="A15" s="2"/>
      <c r="B15" s="12" t="s">
        <v>21</v>
      </c>
      <c r="C15" s="53">
        <v>39885</v>
      </c>
      <c r="D15" s="13" t="s">
        <v>14</v>
      </c>
      <c r="E15" s="54">
        <v>3.107638888888889E-2</v>
      </c>
      <c r="F15" s="12">
        <v>168</v>
      </c>
      <c r="G15" s="12">
        <v>9.75</v>
      </c>
      <c r="H15" s="13" t="s">
        <v>411</v>
      </c>
      <c r="J15" s="2" t="s">
        <v>183</v>
      </c>
      <c r="K15" s="43">
        <v>6.9432870370370381E-2</v>
      </c>
      <c r="L15" s="45">
        <f>K15/(42.192/2)</f>
        <v>3.2912813031081901E-3</v>
      </c>
      <c r="M15" s="2">
        <f>284/60</f>
        <v>4.7333333333333334</v>
      </c>
    </row>
    <row r="16" spans="1:13" x14ac:dyDescent="0.15">
      <c r="A16" s="2"/>
      <c r="B16" s="12" t="s">
        <v>23</v>
      </c>
      <c r="C16" s="53">
        <v>39886</v>
      </c>
      <c r="D16" s="13"/>
      <c r="E16" s="54"/>
      <c r="F16" s="12"/>
      <c r="G16" s="12"/>
      <c r="H16" s="13" t="s">
        <v>411</v>
      </c>
      <c r="J16" s="2" t="s">
        <v>424</v>
      </c>
      <c r="K16" s="43">
        <v>0.14582175925925928</v>
      </c>
      <c r="L16" s="45">
        <f>K16/42.192</f>
        <v>3.4561471193415641E-3</v>
      </c>
      <c r="M16" s="2">
        <f>(4*60+59)/60</f>
        <v>4.9833333333333334</v>
      </c>
    </row>
    <row r="17" spans="1:11" x14ac:dyDescent="0.15">
      <c r="A17" s="2"/>
      <c r="B17" s="16" t="s">
        <v>25</v>
      </c>
      <c r="C17" s="55">
        <v>39887</v>
      </c>
      <c r="D17" s="17" t="s">
        <v>14</v>
      </c>
      <c r="E17" s="54">
        <v>4.0590277777777781E-2</v>
      </c>
      <c r="F17" s="2">
        <v>158</v>
      </c>
      <c r="G17" s="16">
        <v>11.9</v>
      </c>
      <c r="H17" s="13" t="s">
        <v>411</v>
      </c>
      <c r="K17"/>
    </row>
    <row r="18" spans="1:11" x14ac:dyDescent="0.15">
      <c r="A18" s="4">
        <f>A11+1</f>
        <v>3</v>
      </c>
      <c r="B18" s="6" t="s">
        <v>9</v>
      </c>
      <c r="C18" s="51">
        <v>39888</v>
      </c>
      <c r="D18" s="8"/>
      <c r="E18" s="52"/>
      <c r="F18" s="7"/>
      <c r="G18" s="7"/>
      <c r="H18" s="10" t="s">
        <v>411</v>
      </c>
      <c r="K18"/>
    </row>
    <row r="19" spans="1:11" x14ac:dyDescent="0.15">
      <c r="A19" s="11" t="s">
        <v>11</v>
      </c>
      <c r="B19" s="12" t="s">
        <v>12</v>
      </c>
      <c r="C19" s="53">
        <v>39889</v>
      </c>
      <c r="D19" s="13"/>
      <c r="E19" s="54"/>
      <c r="F19" s="2"/>
      <c r="G19" s="12"/>
      <c r="H19" s="13" t="s">
        <v>411</v>
      </c>
      <c r="K19"/>
    </row>
    <row r="20" spans="1:11" x14ac:dyDescent="0.15">
      <c r="A20" s="15">
        <f>SUM(G18:G24)</f>
        <v>32.29</v>
      </c>
      <c r="B20" s="12" t="s">
        <v>17</v>
      </c>
      <c r="C20" s="53">
        <v>39890</v>
      </c>
      <c r="D20" s="13" t="s">
        <v>14</v>
      </c>
      <c r="E20" s="54">
        <v>3.9409722222222221E-2</v>
      </c>
      <c r="F20" s="12">
        <v>150</v>
      </c>
      <c r="G20" s="12">
        <v>11</v>
      </c>
      <c r="H20" s="13" t="s">
        <v>411</v>
      </c>
      <c r="K20"/>
    </row>
    <row r="21" spans="1:11" x14ac:dyDescent="0.15">
      <c r="A21" s="2"/>
      <c r="B21" s="12" t="s">
        <v>19</v>
      </c>
      <c r="C21" s="53">
        <v>39891</v>
      </c>
      <c r="D21" s="13"/>
      <c r="E21" s="54"/>
      <c r="F21" s="2"/>
      <c r="G21" s="12"/>
      <c r="H21" s="13" t="s">
        <v>411</v>
      </c>
      <c r="K21"/>
    </row>
    <row r="22" spans="1:11" x14ac:dyDescent="0.15">
      <c r="A22" s="2"/>
      <c r="B22" s="12" t="s">
        <v>21</v>
      </c>
      <c r="C22" s="53">
        <v>39892</v>
      </c>
      <c r="D22" s="13" t="s">
        <v>14</v>
      </c>
      <c r="E22" s="54">
        <v>4.0486111111111112E-2</v>
      </c>
      <c r="F22" s="12">
        <v>161</v>
      </c>
      <c r="G22" s="12">
        <v>11.79</v>
      </c>
      <c r="H22" s="13" t="s">
        <v>411</v>
      </c>
      <c r="K22"/>
    </row>
    <row r="23" spans="1:11" x14ac:dyDescent="0.15">
      <c r="A23" s="2"/>
      <c r="B23" s="12" t="s">
        <v>23</v>
      </c>
      <c r="C23" s="53">
        <v>39893</v>
      </c>
      <c r="D23" s="13"/>
      <c r="E23" s="54"/>
      <c r="F23" s="12"/>
      <c r="G23" s="12"/>
      <c r="H23" s="13" t="s">
        <v>411</v>
      </c>
      <c r="K23"/>
    </row>
    <row r="24" spans="1:11" x14ac:dyDescent="0.15">
      <c r="A24" s="2"/>
      <c r="B24" s="16" t="s">
        <v>25</v>
      </c>
      <c r="C24" s="55">
        <v>39894</v>
      </c>
      <c r="D24" s="17" t="s">
        <v>147</v>
      </c>
      <c r="E24" s="54">
        <v>4.3749999999999997E-2</v>
      </c>
      <c r="F24" s="2">
        <v>141</v>
      </c>
      <c r="G24" s="16">
        <v>9.5</v>
      </c>
      <c r="H24" s="13" t="s">
        <v>411</v>
      </c>
      <c r="K24"/>
    </row>
    <row r="25" spans="1:11" x14ac:dyDescent="0.15">
      <c r="A25" s="4">
        <f>A18+1</f>
        <v>4</v>
      </c>
      <c r="B25" s="6" t="s">
        <v>9</v>
      </c>
      <c r="C25" s="51">
        <v>39530</v>
      </c>
      <c r="D25" s="8"/>
      <c r="E25" s="52"/>
      <c r="F25" s="7"/>
      <c r="G25" s="7"/>
      <c r="H25" s="10" t="s">
        <v>411</v>
      </c>
      <c r="K25"/>
    </row>
    <row r="26" spans="1:11" x14ac:dyDescent="0.15">
      <c r="A26" s="11" t="s">
        <v>11</v>
      </c>
      <c r="B26" s="12" t="s">
        <v>12</v>
      </c>
      <c r="C26" s="53">
        <v>39531</v>
      </c>
      <c r="D26" s="13"/>
      <c r="E26" s="54"/>
      <c r="F26" s="2"/>
      <c r="G26" s="12"/>
      <c r="H26" s="13" t="s">
        <v>411</v>
      </c>
      <c r="K26"/>
    </row>
    <row r="27" spans="1:11" x14ac:dyDescent="0.15">
      <c r="A27" s="15">
        <f>SUM(G25:G31)</f>
        <v>34.33</v>
      </c>
      <c r="B27" s="12" t="s">
        <v>17</v>
      </c>
      <c r="C27" s="53">
        <v>39532</v>
      </c>
      <c r="D27" s="13" t="s">
        <v>14</v>
      </c>
      <c r="E27" s="54">
        <v>3.6805555555555557E-2</v>
      </c>
      <c r="F27" s="12">
        <v>154</v>
      </c>
      <c r="G27" s="12">
        <v>10.41</v>
      </c>
      <c r="H27" s="13" t="s">
        <v>411</v>
      </c>
      <c r="K27"/>
    </row>
    <row r="28" spans="1:11" x14ac:dyDescent="0.15">
      <c r="A28" s="2"/>
      <c r="B28" s="12" t="s">
        <v>19</v>
      </c>
      <c r="C28" s="53">
        <v>39533</v>
      </c>
      <c r="D28" s="13"/>
      <c r="E28" s="54"/>
      <c r="F28" s="2"/>
      <c r="G28" s="12"/>
      <c r="H28" s="13" t="s">
        <v>411</v>
      </c>
      <c r="K28"/>
    </row>
    <row r="29" spans="1:11" x14ac:dyDescent="0.15">
      <c r="A29" s="2"/>
      <c r="B29" s="12" t="s">
        <v>21</v>
      </c>
      <c r="C29" s="53">
        <v>39534</v>
      </c>
      <c r="D29" s="13" t="s">
        <v>14</v>
      </c>
      <c r="E29" s="54">
        <v>3.1122685185185184E-2</v>
      </c>
      <c r="F29" s="12">
        <v>172</v>
      </c>
      <c r="G29" s="12">
        <v>9.8000000000000007</v>
      </c>
      <c r="H29" s="13" t="s">
        <v>411</v>
      </c>
      <c r="K29"/>
    </row>
    <row r="30" spans="1:11" x14ac:dyDescent="0.15">
      <c r="A30" s="2"/>
      <c r="B30" s="12" t="s">
        <v>23</v>
      </c>
      <c r="C30" s="53">
        <v>39535</v>
      </c>
      <c r="D30" s="13"/>
      <c r="E30" s="54"/>
      <c r="F30" s="12"/>
      <c r="G30" s="12"/>
      <c r="H30" s="13" t="s">
        <v>411</v>
      </c>
      <c r="K30"/>
    </row>
    <row r="31" spans="1:11" x14ac:dyDescent="0.15">
      <c r="A31" s="2"/>
      <c r="B31" s="16" t="s">
        <v>25</v>
      </c>
      <c r="C31" s="55">
        <v>39536</v>
      </c>
      <c r="D31" s="17" t="s">
        <v>14</v>
      </c>
      <c r="E31" s="54">
        <v>5.0173611111111106E-2</v>
      </c>
      <c r="F31" s="2">
        <v>154</v>
      </c>
      <c r="G31" s="16">
        <v>14.12</v>
      </c>
      <c r="H31" s="13" t="s">
        <v>411</v>
      </c>
      <c r="K31"/>
    </row>
    <row r="32" spans="1:11" x14ac:dyDescent="0.15">
      <c r="A32" s="4">
        <f>A25+1</f>
        <v>5</v>
      </c>
      <c r="B32" s="6" t="s">
        <v>9</v>
      </c>
      <c r="C32" s="51">
        <v>39537</v>
      </c>
      <c r="D32" s="8"/>
      <c r="E32" s="52"/>
      <c r="F32" s="7"/>
      <c r="G32" s="7"/>
      <c r="H32" s="10" t="s">
        <v>411</v>
      </c>
      <c r="K32"/>
    </row>
    <row r="33" spans="1:11" x14ac:dyDescent="0.15">
      <c r="A33" s="11" t="s">
        <v>11</v>
      </c>
      <c r="B33" s="12" t="s">
        <v>12</v>
      </c>
      <c r="C33" s="53">
        <v>39538</v>
      </c>
      <c r="D33" s="13" t="s">
        <v>14</v>
      </c>
      <c r="E33" s="54">
        <v>4.1226851851851855E-2</v>
      </c>
      <c r="F33" s="2">
        <v>153</v>
      </c>
      <c r="G33" s="12">
        <v>11.78</v>
      </c>
      <c r="H33" s="13" t="s">
        <v>411</v>
      </c>
      <c r="K33"/>
    </row>
    <row r="34" spans="1:11" x14ac:dyDescent="0.15">
      <c r="A34" s="15">
        <f>SUM(G32:G38)</f>
        <v>38.92</v>
      </c>
      <c r="B34" s="12" t="s">
        <v>17</v>
      </c>
      <c r="C34" s="53">
        <v>39539</v>
      </c>
      <c r="D34" s="13"/>
      <c r="E34" s="54"/>
      <c r="F34" s="12"/>
      <c r="G34" s="12"/>
      <c r="H34" s="13" t="s">
        <v>411</v>
      </c>
      <c r="K34"/>
    </row>
    <row r="35" spans="1:11" x14ac:dyDescent="0.15">
      <c r="A35" s="2"/>
      <c r="B35" s="12" t="s">
        <v>19</v>
      </c>
      <c r="C35" s="53">
        <v>39540</v>
      </c>
      <c r="D35" s="13" t="s">
        <v>14</v>
      </c>
      <c r="E35" s="54">
        <v>4.3715277777777777E-2</v>
      </c>
      <c r="F35" s="2">
        <v>157</v>
      </c>
      <c r="G35" s="12">
        <v>12.94</v>
      </c>
      <c r="H35" s="13" t="s">
        <v>411</v>
      </c>
      <c r="K35"/>
    </row>
    <row r="36" spans="1:11" x14ac:dyDescent="0.15">
      <c r="A36" s="2"/>
      <c r="B36" s="12" t="s">
        <v>21</v>
      </c>
      <c r="C36" s="53">
        <v>39541</v>
      </c>
      <c r="D36" s="13"/>
      <c r="E36" s="54"/>
      <c r="F36" s="12"/>
      <c r="G36" s="12"/>
      <c r="H36" s="13" t="s">
        <v>411</v>
      </c>
      <c r="K36"/>
    </row>
    <row r="37" spans="1:11" x14ac:dyDescent="0.15">
      <c r="A37" s="2"/>
      <c r="B37" s="12" t="s">
        <v>23</v>
      </c>
      <c r="C37" s="53">
        <v>39542</v>
      </c>
      <c r="D37" s="13"/>
      <c r="E37" s="54"/>
      <c r="F37" s="12"/>
      <c r="G37" s="12"/>
      <c r="H37" s="13" t="s">
        <v>411</v>
      </c>
      <c r="K37"/>
    </row>
    <row r="38" spans="1:11" x14ac:dyDescent="0.15">
      <c r="A38" s="2"/>
      <c r="B38" s="16" t="s">
        <v>25</v>
      </c>
      <c r="C38" s="55">
        <v>39543</v>
      </c>
      <c r="D38" s="17" t="s">
        <v>14</v>
      </c>
      <c r="E38" s="54">
        <v>4.5335648148148146E-2</v>
      </c>
      <c r="F38" s="2">
        <v>167</v>
      </c>
      <c r="G38" s="16">
        <v>14.2</v>
      </c>
      <c r="H38" s="13" t="s">
        <v>411</v>
      </c>
      <c r="K38"/>
    </row>
    <row r="39" spans="1:11" x14ac:dyDescent="0.15">
      <c r="A39" s="4">
        <f>A32+1</f>
        <v>6</v>
      </c>
      <c r="B39" s="6" t="s">
        <v>9</v>
      </c>
      <c r="C39" s="51">
        <v>39544</v>
      </c>
      <c r="D39" s="8"/>
      <c r="E39" s="52"/>
      <c r="F39" s="7"/>
      <c r="G39" s="7"/>
      <c r="H39" s="10" t="s">
        <v>411</v>
      </c>
      <c r="K39"/>
    </row>
    <row r="40" spans="1:11" x14ac:dyDescent="0.15">
      <c r="A40" s="11" t="s">
        <v>11</v>
      </c>
      <c r="B40" s="12" t="s">
        <v>12</v>
      </c>
      <c r="C40" s="53">
        <v>39545</v>
      </c>
      <c r="D40" s="13" t="s">
        <v>40</v>
      </c>
      <c r="E40" s="54">
        <v>3.7384259259259263E-2</v>
      </c>
      <c r="F40" s="2">
        <v>147</v>
      </c>
      <c r="G40" s="12">
        <v>10.039999999999999</v>
      </c>
      <c r="H40" s="13" t="s">
        <v>411</v>
      </c>
      <c r="K40"/>
    </row>
    <row r="41" spans="1:11" x14ac:dyDescent="0.15">
      <c r="A41" s="15">
        <f>SUM(G39:G45)</f>
        <v>38.01</v>
      </c>
      <c r="B41" s="12" t="s">
        <v>17</v>
      </c>
      <c r="C41" s="53">
        <v>39546</v>
      </c>
      <c r="D41" s="13"/>
      <c r="E41" s="54"/>
      <c r="F41" s="12"/>
      <c r="G41" s="12"/>
      <c r="H41" s="13" t="s">
        <v>411</v>
      </c>
      <c r="K41"/>
    </row>
    <row r="42" spans="1:11" x14ac:dyDescent="0.15">
      <c r="A42" s="2"/>
      <c r="B42" s="12" t="s">
        <v>19</v>
      </c>
      <c r="C42" s="53">
        <v>39547</v>
      </c>
      <c r="D42" s="13"/>
      <c r="E42" s="54"/>
      <c r="F42" s="2"/>
      <c r="G42" s="12"/>
      <c r="H42" s="13" t="s">
        <v>411</v>
      </c>
      <c r="K42"/>
    </row>
    <row r="43" spans="1:11" x14ac:dyDescent="0.15">
      <c r="A43" s="2"/>
      <c r="B43" s="12" t="s">
        <v>21</v>
      </c>
      <c r="C43" s="53">
        <v>39548</v>
      </c>
      <c r="D43" s="13" t="s">
        <v>14</v>
      </c>
      <c r="E43" s="54">
        <v>4.0081018518518516E-2</v>
      </c>
      <c r="F43" s="12">
        <v>159</v>
      </c>
      <c r="G43" s="12">
        <v>11.75</v>
      </c>
      <c r="H43" s="13" t="s">
        <v>411</v>
      </c>
      <c r="K43"/>
    </row>
    <row r="44" spans="1:11" x14ac:dyDescent="0.15">
      <c r="A44" s="2"/>
      <c r="B44" s="12" t="s">
        <v>23</v>
      </c>
      <c r="C44" s="53">
        <v>39549</v>
      </c>
      <c r="D44" s="13"/>
      <c r="E44" s="54"/>
      <c r="F44" s="12"/>
      <c r="G44" s="12"/>
      <c r="H44" s="13" t="s">
        <v>411</v>
      </c>
      <c r="K44"/>
    </row>
    <row r="45" spans="1:11" x14ac:dyDescent="0.15">
      <c r="A45" s="2"/>
      <c r="B45" s="16" t="s">
        <v>25</v>
      </c>
      <c r="C45" s="55">
        <v>39550</v>
      </c>
      <c r="D45" s="17" t="s">
        <v>14</v>
      </c>
      <c r="E45" s="54">
        <v>5.785879629629629E-2</v>
      </c>
      <c r="F45" s="2">
        <v>152</v>
      </c>
      <c r="G45" s="16">
        <v>16.22</v>
      </c>
      <c r="H45" s="13" t="s">
        <v>411</v>
      </c>
      <c r="K45"/>
    </row>
    <row r="46" spans="1:11" x14ac:dyDescent="0.15">
      <c r="A46" s="4">
        <f>A39+1</f>
        <v>7</v>
      </c>
      <c r="B46" s="6" t="s">
        <v>9</v>
      </c>
      <c r="C46" s="51">
        <v>39551</v>
      </c>
      <c r="D46" s="8"/>
      <c r="E46" s="52"/>
      <c r="F46" s="7"/>
      <c r="G46" s="7"/>
      <c r="H46" s="10" t="s">
        <v>411</v>
      </c>
      <c r="K46"/>
    </row>
    <row r="47" spans="1:11" x14ac:dyDescent="0.15">
      <c r="A47" s="11" t="s">
        <v>11</v>
      </c>
      <c r="B47" s="12" t="s">
        <v>12</v>
      </c>
      <c r="C47" s="53">
        <v>39552</v>
      </c>
      <c r="D47" s="13"/>
      <c r="E47" s="54"/>
      <c r="F47" s="2"/>
      <c r="G47" s="12"/>
      <c r="H47" s="13" t="s">
        <v>411</v>
      </c>
      <c r="K47"/>
    </row>
    <row r="48" spans="1:11" x14ac:dyDescent="0.15">
      <c r="A48" s="15">
        <f>SUM(G46:G52)</f>
        <v>35.909999999999997</v>
      </c>
      <c r="B48" s="12" t="s">
        <v>17</v>
      </c>
      <c r="C48" s="53">
        <v>39553</v>
      </c>
      <c r="D48" s="13" t="s">
        <v>40</v>
      </c>
      <c r="E48" s="54">
        <v>3.3217592592592597E-2</v>
      </c>
      <c r="F48" s="12">
        <v>141</v>
      </c>
      <c r="G48" s="12">
        <v>9.1199999999999992</v>
      </c>
      <c r="H48" s="13" t="s">
        <v>411</v>
      </c>
      <c r="K48"/>
    </row>
    <row r="49" spans="1:11" x14ac:dyDescent="0.15">
      <c r="A49" s="2"/>
      <c r="B49" s="12" t="s">
        <v>19</v>
      </c>
      <c r="C49" s="53">
        <v>39554</v>
      </c>
      <c r="D49" s="13"/>
      <c r="E49" s="54"/>
      <c r="F49" s="2"/>
      <c r="G49" s="12"/>
      <c r="H49" s="13" t="s">
        <v>411</v>
      </c>
      <c r="K49"/>
    </row>
    <row r="50" spans="1:11" x14ac:dyDescent="0.15">
      <c r="A50" s="2"/>
      <c r="B50" s="12" t="s">
        <v>21</v>
      </c>
      <c r="C50" s="53">
        <v>39555</v>
      </c>
      <c r="D50" s="13" t="s">
        <v>14</v>
      </c>
      <c r="E50" s="54">
        <v>4.3935185185185181E-2</v>
      </c>
      <c r="F50" s="12">
        <v>151</v>
      </c>
      <c r="G50" s="12">
        <v>12.62</v>
      </c>
      <c r="H50" s="13" t="s">
        <v>411</v>
      </c>
      <c r="K50"/>
    </row>
    <row r="51" spans="1:11" x14ac:dyDescent="0.15">
      <c r="A51" s="2"/>
      <c r="B51" s="12" t="s">
        <v>23</v>
      </c>
      <c r="C51" s="53">
        <v>39556</v>
      </c>
      <c r="D51" s="13"/>
      <c r="E51" s="54"/>
      <c r="F51" s="12"/>
      <c r="G51" s="12"/>
      <c r="H51" s="13" t="s">
        <v>411</v>
      </c>
      <c r="K51"/>
    </row>
    <row r="52" spans="1:11" x14ac:dyDescent="0.15">
      <c r="A52" s="2"/>
      <c r="B52" s="16" t="s">
        <v>25</v>
      </c>
      <c r="C52" s="55">
        <v>39557</v>
      </c>
      <c r="D52" s="17" t="s">
        <v>14</v>
      </c>
      <c r="E52" s="54">
        <v>4.4062499999999998E-2</v>
      </c>
      <c r="F52" s="2">
        <v>168</v>
      </c>
      <c r="G52" s="16">
        <v>14.17</v>
      </c>
      <c r="H52" s="13" t="s">
        <v>411</v>
      </c>
      <c r="K52"/>
    </row>
    <row r="53" spans="1:11" x14ac:dyDescent="0.15">
      <c r="A53" s="4">
        <f>A46+1</f>
        <v>8</v>
      </c>
      <c r="B53" s="6" t="s">
        <v>9</v>
      </c>
      <c r="C53" s="51">
        <v>39558</v>
      </c>
      <c r="D53" s="8"/>
      <c r="E53" s="52"/>
      <c r="F53" s="7"/>
      <c r="G53" s="7"/>
      <c r="H53" s="10" t="s">
        <v>411</v>
      </c>
      <c r="K53"/>
    </row>
    <row r="54" spans="1:11" x14ac:dyDescent="0.15">
      <c r="A54" s="11" t="s">
        <v>11</v>
      </c>
      <c r="B54" s="12" t="s">
        <v>12</v>
      </c>
      <c r="C54" s="53">
        <v>39559</v>
      </c>
      <c r="D54" s="13"/>
      <c r="E54" s="54"/>
      <c r="F54" s="2"/>
      <c r="G54" s="12"/>
      <c r="H54" s="13" t="s">
        <v>411</v>
      </c>
      <c r="K54"/>
    </row>
    <row r="55" spans="1:11" x14ac:dyDescent="0.15">
      <c r="A55" s="15">
        <f>SUM(G53:G59)</f>
        <v>39.83</v>
      </c>
      <c r="B55" s="12" t="s">
        <v>17</v>
      </c>
      <c r="C55" s="53">
        <v>39560</v>
      </c>
      <c r="D55" s="13" t="s">
        <v>14</v>
      </c>
      <c r="E55" s="54">
        <v>3.3877314814814811E-2</v>
      </c>
      <c r="F55" s="12">
        <v>139</v>
      </c>
      <c r="G55" s="12">
        <v>9.1</v>
      </c>
      <c r="H55" s="13" t="s">
        <v>411</v>
      </c>
      <c r="K55"/>
    </row>
    <row r="56" spans="1:11" x14ac:dyDescent="0.15">
      <c r="A56" s="2"/>
      <c r="B56" s="12" t="s">
        <v>19</v>
      </c>
      <c r="C56" s="53">
        <v>39561</v>
      </c>
      <c r="D56" s="13"/>
      <c r="E56" s="54"/>
      <c r="F56" s="2"/>
      <c r="G56" s="12"/>
      <c r="H56" s="13" t="s">
        <v>411</v>
      </c>
      <c r="K56"/>
    </row>
    <row r="57" spans="1:11" x14ac:dyDescent="0.15">
      <c r="A57" s="2"/>
      <c r="B57" s="12" t="s">
        <v>21</v>
      </c>
      <c r="C57" s="53">
        <v>39562</v>
      </c>
      <c r="D57" s="13" t="s">
        <v>14</v>
      </c>
      <c r="E57" s="54">
        <v>4.8310185185185178E-2</v>
      </c>
      <c r="F57" s="12">
        <v>145</v>
      </c>
      <c r="G57" s="12">
        <v>13.93</v>
      </c>
      <c r="H57" s="13" t="s">
        <v>411</v>
      </c>
    </row>
    <row r="58" spans="1:11" x14ac:dyDescent="0.15">
      <c r="A58" s="2"/>
      <c r="B58" s="12" t="s">
        <v>23</v>
      </c>
      <c r="C58" s="53">
        <v>39563</v>
      </c>
      <c r="D58" s="13"/>
      <c r="E58" s="54"/>
      <c r="F58" s="12"/>
      <c r="G58" s="12"/>
      <c r="H58" s="13" t="s">
        <v>411</v>
      </c>
    </row>
    <row r="59" spans="1:11" x14ac:dyDescent="0.15">
      <c r="A59" s="2"/>
      <c r="B59" s="16" t="s">
        <v>25</v>
      </c>
      <c r="C59" s="55">
        <v>39564</v>
      </c>
      <c r="D59" s="17" t="s">
        <v>14</v>
      </c>
      <c r="E59" s="54">
        <v>5.7847222222222217E-2</v>
      </c>
      <c r="F59" s="2"/>
      <c r="G59" s="16">
        <v>16.8</v>
      </c>
      <c r="H59" s="13" t="s">
        <v>411</v>
      </c>
    </row>
    <row r="60" spans="1:11" x14ac:dyDescent="0.15">
      <c r="A60" s="4">
        <f>A53+1</f>
        <v>9</v>
      </c>
      <c r="B60" s="6" t="s">
        <v>9</v>
      </c>
      <c r="C60" s="51">
        <v>39565</v>
      </c>
      <c r="D60" s="8"/>
      <c r="E60" s="52"/>
      <c r="F60" s="7"/>
      <c r="G60" s="7"/>
      <c r="H60" s="10" t="s">
        <v>411</v>
      </c>
    </row>
    <row r="61" spans="1:11" x14ac:dyDescent="0.15">
      <c r="A61" s="11" t="s">
        <v>11</v>
      </c>
      <c r="B61" s="12" t="s">
        <v>12</v>
      </c>
      <c r="C61" s="53">
        <v>39566</v>
      </c>
      <c r="D61" s="13"/>
      <c r="E61" s="54"/>
      <c r="F61" s="2"/>
      <c r="G61" s="12"/>
      <c r="H61" s="13" t="s">
        <v>411</v>
      </c>
    </row>
    <row r="62" spans="1:11" x14ac:dyDescent="0.15">
      <c r="A62" s="15">
        <f>SUM(G60:G66)</f>
        <v>31.71</v>
      </c>
      <c r="B62" s="12" t="s">
        <v>17</v>
      </c>
      <c r="C62" s="53">
        <v>39567</v>
      </c>
      <c r="D62" s="13"/>
      <c r="E62" s="54"/>
      <c r="F62" s="12"/>
      <c r="G62" s="12"/>
      <c r="H62" s="13" t="s">
        <v>411</v>
      </c>
    </row>
    <row r="63" spans="1:11" x14ac:dyDescent="0.15">
      <c r="A63" s="2"/>
      <c r="B63" s="12" t="s">
        <v>19</v>
      </c>
      <c r="C63" s="53">
        <v>39568</v>
      </c>
      <c r="D63" s="13"/>
      <c r="E63" s="54"/>
      <c r="F63" s="2"/>
      <c r="G63" s="12"/>
      <c r="H63" s="13" t="s">
        <v>411</v>
      </c>
    </row>
    <row r="64" spans="1:11" x14ac:dyDescent="0.15">
      <c r="A64" s="2"/>
      <c r="B64" s="12" t="s">
        <v>21</v>
      </c>
      <c r="C64" s="53">
        <v>39569</v>
      </c>
      <c r="D64" s="13" t="s">
        <v>14</v>
      </c>
      <c r="E64" s="54">
        <v>4.5474537037037036E-2</v>
      </c>
      <c r="F64" s="12">
        <v>154</v>
      </c>
      <c r="G64" s="12">
        <v>13.56</v>
      </c>
      <c r="H64" s="13" t="s">
        <v>411</v>
      </c>
    </row>
    <row r="65" spans="1:8" x14ac:dyDescent="0.15">
      <c r="A65" s="2"/>
      <c r="B65" s="12" t="s">
        <v>23</v>
      </c>
      <c r="C65" s="53">
        <v>39570</v>
      </c>
      <c r="D65" s="13"/>
      <c r="E65" s="54"/>
      <c r="F65" s="12"/>
      <c r="G65" s="12"/>
      <c r="H65" s="13" t="s">
        <v>411</v>
      </c>
    </row>
    <row r="66" spans="1:8" x14ac:dyDescent="0.15">
      <c r="A66" s="2"/>
      <c r="B66" s="16" t="s">
        <v>25</v>
      </c>
      <c r="C66" s="55">
        <v>39571</v>
      </c>
      <c r="D66" s="17" t="s">
        <v>14</v>
      </c>
      <c r="E66" s="54">
        <v>6.5254629629629621E-2</v>
      </c>
      <c r="F66" s="2">
        <v>155</v>
      </c>
      <c r="G66" s="16">
        <v>18.149999999999999</v>
      </c>
      <c r="H66" s="13" t="s">
        <v>411</v>
      </c>
    </row>
    <row r="67" spans="1:8" x14ac:dyDescent="0.15">
      <c r="A67" s="4">
        <f>A60+1</f>
        <v>10</v>
      </c>
      <c r="B67" s="6" t="s">
        <v>9</v>
      </c>
      <c r="C67" s="51">
        <v>39572</v>
      </c>
      <c r="D67" s="8"/>
      <c r="E67" s="52"/>
      <c r="F67" s="7"/>
      <c r="G67" s="7"/>
      <c r="H67" s="10" t="s">
        <v>411</v>
      </c>
    </row>
    <row r="68" spans="1:8" x14ac:dyDescent="0.15">
      <c r="A68" s="11" t="s">
        <v>11</v>
      </c>
      <c r="B68" s="12" t="s">
        <v>12</v>
      </c>
      <c r="C68" s="53">
        <v>39573</v>
      </c>
      <c r="D68" s="13"/>
      <c r="E68" s="54"/>
      <c r="F68" s="2"/>
      <c r="G68" s="12"/>
      <c r="H68" s="13" t="s">
        <v>411</v>
      </c>
    </row>
    <row r="69" spans="1:8" x14ac:dyDescent="0.15">
      <c r="A69" s="15">
        <f>SUM(G67:G73)</f>
        <v>40.340000000000003</v>
      </c>
      <c r="B69" s="12" t="s">
        <v>17</v>
      </c>
      <c r="C69" s="53">
        <v>39574</v>
      </c>
      <c r="D69" s="13" t="s">
        <v>14</v>
      </c>
      <c r="E69" s="54">
        <v>3.3935185185185186E-2</v>
      </c>
      <c r="F69" s="12">
        <v>152</v>
      </c>
      <c r="G69" s="12">
        <v>10.08</v>
      </c>
      <c r="H69" s="13" t="s">
        <v>411</v>
      </c>
    </row>
    <row r="70" spans="1:8" x14ac:dyDescent="0.15">
      <c r="A70" s="2"/>
      <c r="B70" s="12" t="s">
        <v>19</v>
      </c>
      <c r="C70" s="53">
        <v>39575</v>
      </c>
      <c r="D70" s="13"/>
      <c r="E70" s="54"/>
      <c r="F70" s="2"/>
      <c r="G70" s="12"/>
      <c r="H70" s="13" t="s">
        <v>411</v>
      </c>
    </row>
    <row r="71" spans="1:8" x14ac:dyDescent="0.15">
      <c r="A71" s="2"/>
      <c r="B71" s="12" t="s">
        <v>21</v>
      </c>
      <c r="C71" s="53">
        <v>39576</v>
      </c>
      <c r="D71" s="13"/>
      <c r="E71" s="54"/>
      <c r="F71" s="12"/>
      <c r="G71" s="12"/>
      <c r="H71" s="13" t="s">
        <v>411</v>
      </c>
    </row>
    <row r="72" spans="1:8" x14ac:dyDescent="0.15">
      <c r="A72" s="2"/>
      <c r="B72" s="12" t="s">
        <v>23</v>
      </c>
      <c r="C72" s="53">
        <v>39577</v>
      </c>
      <c r="D72" s="13" t="s">
        <v>14</v>
      </c>
      <c r="E72" s="54">
        <v>3.484953703703704E-2</v>
      </c>
      <c r="F72" s="12">
        <v>154</v>
      </c>
      <c r="G72" s="12">
        <v>10</v>
      </c>
      <c r="H72" s="13" t="s">
        <v>411</v>
      </c>
    </row>
    <row r="73" spans="1:8" x14ac:dyDescent="0.15">
      <c r="A73" s="2"/>
      <c r="B73" s="16" t="s">
        <v>25</v>
      </c>
      <c r="C73" s="55">
        <v>39578</v>
      </c>
      <c r="D73" s="17" t="s">
        <v>14</v>
      </c>
      <c r="E73" s="54">
        <v>6.5763888888888886E-2</v>
      </c>
      <c r="F73" s="2">
        <v>157</v>
      </c>
      <c r="G73" s="16">
        <v>20.260000000000002</v>
      </c>
      <c r="H73" s="13" t="s">
        <v>411</v>
      </c>
    </row>
    <row r="74" spans="1:8" x14ac:dyDescent="0.15">
      <c r="A74" s="4">
        <f>A67+1</f>
        <v>11</v>
      </c>
      <c r="B74" s="6" t="s">
        <v>9</v>
      </c>
      <c r="C74" s="51">
        <v>39579</v>
      </c>
      <c r="D74" s="8"/>
      <c r="E74" s="52"/>
      <c r="F74" s="7"/>
      <c r="G74" s="7"/>
      <c r="H74" s="10" t="s">
        <v>411</v>
      </c>
    </row>
    <row r="75" spans="1:8" x14ac:dyDescent="0.15">
      <c r="A75" s="11" t="s">
        <v>11</v>
      </c>
      <c r="B75" s="12" t="s">
        <v>12</v>
      </c>
      <c r="C75" s="53">
        <v>39580</v>
      </c>
      <c r="D75" s="13"/>
      <c r="E75" s="54"/>
      <c r="F75" s="2"/>
      <c r="G75" s="12"/>
      <c r="H75" s="13" t="s">
        <v>411</v>
      </c>
    </row>
    <row r="76" spans="1:8" x14ac:dyDescent="0.15">
      <c r="A76" s="15">
        <f>SUM(G74:G80)</f>
        <v>10.1</v>
      </c>
      <c r="B76" s="12" t="s">
        <v>17</v>
      </c>
      <c r="C76" s="53">
        <v>39581</v>
      </c>
      <c r="D76" s="13" t="s">
        <v>14</v>
      </c>
      <c r="E76" s="54">
        <v>3.7951388888888889E-2</v>
      </c>
      <c r="F76" s="12">
        <v>139</v>
      </c>
      <c r="G76" s="12">
        <v>10.1</v>
      </c>
      <c r="H76" s="13" t="s">
        <v>411</v>
      </c>
    </row>
    <row r="77" spans="1:8" x14ac:dyDescent="0.15">
      <c r="A77" s="2"/>
      <c r="B77" s="12" t="s">
        <v>19</v>
      </c>
      <c r="C77" s="53">
        <v>39582</v>
      </c>
      <c r="D77" s="13"/>
      <c r="E77" s="54"/>
      <c r="F77" s="2"/>
      <c r="G77" s="12"/>
      <c r="H77" s="13" t="s">
        <v>411</v>
      </c>
    </row>
    <row r="78" spans="1:8" x14ac:dyDescent="0.15">
      <c r="A78" s="2"/>
      <c r="B78" s="12" t="s">
        <v>21</v>
      </c>
      <c r="C78" s="53">
        <v>39583</v>
      </c>
      <c r="D78" s="13"/>
      <c r="E78" s="54"/>
      <c r="F78" s="12"/>
      <c r="G78" s="12"/>
      <c r="H78" s="13" t="s">
        <v>411</v>
      </c>
    </row>
    <row r="79" spans="1:8" x14ac:dyDescent="0.15">
      <c r="A79" s="2"/>
      <c r="B79" s="12" t="s">
        <v>23</v>
      </c>
      <c r="C79" s="53">
        <v>39584</v>
      </c>
      <c r="D79" s="13"/>
      <c r="E79" s="54"/>
      <c r="F79" s="12"/>
      <c r="G79" s="12"/>
      <c r="H79" s="13" t="s">
        <v>411</v>
      </c>
    </row>
    <row r="80" spans="1:8" x14ac:dyDescent="0.15">
      <c r="A80" s="2"/>
      <c r="B80" s="16" t="s">
        <v>25</v>
      </c>
      <c r="C80" s="55">
        <v>39585</v>
      </c>
      <c r="D80" s="17"/>
      <c r="E80" s="54"/>
      <c r="F80" s="2"/>
      <c r="G80" s="16"/>
      <c r="H80" s="13" t="s">
        <v>411</v>
      </c>
    </row>
    <row r="81" spans="1:8" x14ac:dyDescent="0.15">
      <c r="A81" s="4">
        <f>A74+1</f>
        <v>12</v>
      </c>
      <c r="B81" s="6" t="s">
        <v>9</v>
      </c>
      <c r="C81" s="51">
        <v>39586</v>
      </c>
      <c r="D81" s="8" t="s">
        <v>14</v>
      </c>
      <c r="E81" s="52">
        <v>4.0960648148148149E-2</v>
      </c>
      <c r="F81" s="7">
        <v>157</v>
      </c>
      <c r="G81" s="7">
        <v>13</v>
      </c>
      <c r="H81" s="10" t="s">
        <v>411</v>
      </c>
    </row>
    <row r="82" spans="1:8" x14ac:dyDescent="0.15">
      <c r="A82" s="11" t="s">
        <v>11</v>
      </c>
      <c r="B82" s="12" t="s">
        <v>12</v>
      </c>
      <c r="C82" s="53">
        <v>39587</v>
      </c>
      <c r="D82" s="13"/>
      <c r="E82" s="54"/>
      <c r="F82" s="2"/>
      <c r="G82" s="12"/>
      <c r="H82" s="13" t="s">
        <v>411</v>
      </c>
    </row>
    <row r="83" spans="1:8" x14ac:dyDescent="0.15">
      <c r="A83" s="15">
        <f>SUM(G81:G87)+21.08</f>
        <v>55.28</v>
      </c>
      <c r="B83" s="12" t="s">
        <v>17</v>
      </c>
      <c r="C83" s="53">
        <v>39588</v>
      </c>
      <c r="D83" s="13"/>
      <c r="E83" s="54"/>
      <c r="F83" s="12"/>
      <c r="G83" s="12"/>
      <c r="H83" s="13" t="s">
        <v>411</v>
      </c>
    </row>
    <row r="84" spans="1:8" x14ac:dyDescent="0.15">
      <c r="A84" s="2"/>
      <c r="B84" s="12" t="s">
        <v>19</v>
      </c>
      <c r="C84" s="53">
        <v>39589</v>
      </c>
      <c r="D84" s="13"/>
      <c r="E84" s="54"/>
      <c r="F84" s="12"/>
      <c r="G84" s="12"/>
      <c r="H84" s="13" t="s">
        <v>411</v>
      </c>
    </row>
    <row r="85" spans="1:8" x14ac:dyDescent="0.15">
      <c r="A85" s="2"/>
      <c r="B85" s="12" t="s">
        <v>21</v>
      </c>
      <c r="C85" s="53">
        <v>39590</v>
      </c>
      <c r="D85" s="13"/>
      <c r="E85" s="54"/>
      <c r="F85" s="2"/>
      <c r="G85" s="12"/>
      <c r="H85" s="13" t="s">
        <v>411</v>
      </c>
    </row>
    <row r="86" spans="1:8" x14ac:dyDescent="0.15">
      <c r="A86" s="2"/>
      <c r="B86" s="12" t="s">
        <v>23</v>
      </c>
      <c r="C86" s="53">
        <v>39591</v>
      </c>
      <c r="D86" s="13"/>
      <c r="E86" s="54"/>
      <c r="F86" s="12"/>
      <c r="G86" s="12"/>
      <c r="H86" s="13" t="s">
        <v>411</v>
      </c>
    </row>
    <row r="87" spans="1:8" x14ac:dyDescent="0.15">
      <c r="A87" s="2"/>
      <c r="B87" s="16" t="s">
        <v>25</v>
      </c>
      <c r="C87" s="55">
        <v>39592</v>
      </c>
      <c r="D87" s="56" t="s">
        <v>425</v>
      </c>
      <c r="E87" s="56"/>
      <c r="F87" s="56"/>
      <c r="G87" s="56">
        <v>21.2</v>
      </c>
      <c r="H87" s="13" t="s">
        <v>411</v>
      </c>
    </row>
    <row r="88" spans="1:8" x14ac:dyDescent="0.15">
      <c r="A88" s="4">
        <f>A81+1</f>
        <v>13</v>
      </c>
      <c r="B88" s="6" t="s">
        <v>9</v>
      </c>
      <c r="C88" s="51">
        <v>39593</v>
      </c>
      <c r="D88" s="8" t="s">
        <v>40</v>
      </c>
      <c r="E88" s="52">
        <v>3.2615740740740737E-2</v>
      </c>
      <c r="F88" s="7">
        <v>151</v>
      </c>
      <c r="G88" s="7">
        <v>9.1</v>
      </c>
      <c r="H88" s="10" t="s">
        <v>411</v>
      </c>
    </row>
    <row r="89" spans="1:8" x14ac:dyDescent="0.15">
      <c r="A89" s="11" t="s">
        <v>11</v>
      </c>
      <c r="B89" s="12" t="s">
        <v>12</v>
      </c>
      <c r="C89" s="53">
        <v>39594</v>
      </c>
      <c r="D89" s="13"/>
      <c r="E89" s="54"/>
      <c r="F89" s="2"/>
      <c r="G89" s="12"/>
      <c r="H89" s="13" t="s">
        <v>411</v>
      </c>
    </row>
    <row r="90" spans="1:8" x14ac:dyDescent="0.15">
      <c r="A90" s="15">
        <f>SUM(G88:G94)</f>
        <v>19.100000000000001</v>
      </c>
      <c r="B90" s="12" t="s">
        <v>17</v>
      </c>
      <c r="C90" s="53">
        <v>39595</v>
      </c>
      <c r="D90" s="13"/>
      <c r="E90" s="54"/>
      <c r="F90" s="12"/>
      <c r="G90" s="12"/>
      <c r="H90" s="13" t="s">
        <v>411</v>
      </c>
    </row>
    <row r="91" spans="1:8" x14ac:dyDescent="0.15">
      <c r="A91" s="2"/>
      <c r="B91" s="12" t="s">
        <v>19</v>
      </c>
      <c r="C91" s="53">
        <v>39596</v>
      </c>
      <c r="D91" s="13"/>
      <c r="E91" s="54"/>
      <c r="F91" s="2"/>
      <c r="G91" s="12"/>
      <c r="H91" s="13" t="s">
        <v>411</v>
      </c>
    </row>
    <row r="92" spans="1:8" x14ac:dyDescent="0.15">
      <c r="A92" s="2"/>
      <c r="B92" s="12" t="s">
        <v>21</v>
      </c>
      <c r="C92" s="53">
        <v>39597</v>
      </c>
      <c r="D92" s="13"/>
      <c r="E92" s="54"/>
      <c r="F92" s="12"/>
      <c r="G92" s="12"/>
      <c r="H92" s="13" t="s">
        <v>411</v>
      </c>
    </row>
    <row r="93" spans="1:8" x14ac:dyDescent="0.15">
      <c r="A93" s="2"/>
      <c r="B93" s="12" t="s">
        <v>23</v>
      </c>
      <c r="C93" s="53">
        <v>39598</v>
      </c>
      <c r="D93" s="13"/>
      <c r="E93" s="54"/>
      <c r="F93" s="12"/>
      <c r="G93" s="12"/>
      <c r="H93" s="13" t="s">
        <v>411</v>
      </c>
    </row>
    <row r="94" spans="1:8" x14ac:dyDescent="0.15">
      <c r="A94" s="2"/>
      <c r="B94" s="16" t="s">
        <v>25</v>
      </c>
      <c r="C94" s="55">
        <v>39599</v>
      </c>
      <c r="D94" s="17" t="s">
        <v>40</v>
      </c>
      <c r="E94" s="54">
        <v>3.3761574074074076E-2</v>
      </c>
      <c r="F94" s="2">
        <v>147</v>
      </c>
      <c r="G94" s="16">
        <v>10</v>
      </c>
      <c r="H94" s="13" t="s">
        <v>411</v>
      </c>
    </row>
    <row r="95" spans="1:8" x14ac:dyDescent="0.15">
      <c r="A95" s="4">
        <f>A88+1</f>
        <v>14</v>
      </c>
      <c r="B95" s="6" t="s">
        <v>9</v>
      </c>
      <c r="C95" s="51">
        <v>39600</v>
      </c>
      <c r="D95" s="8"/>
      <c r="E95" s="52"/>
      <c r="F95" s="7"/>
      <c r="G95" s="7"/>
      <c r="H95" s="13" t="s">
        <v>411</v>
      </c>
    </row>
    <row r="96" spans="1:8" x14ac:dyDescent="0.15">
      <c r="A96" s="11" t="s">
        <v>11</v>
      </c>
      <c r="B96" s="12" t="s">
        <v>12</v>
      </c>
      <c r="C96" s="53">
        <v>39601</v>
      </c>
      <c r="D96" s="13"/>
      <c r="E96" s="54"/>
      <c r="F96" s="2"/>
      <c r="G96" s="12"/>
      <c r="H96" s="13" t="s">
        <v>411</v>
      </c>
    </row>
    <row r="97" spans="1:8" x14ac:dyDescent="0.15">
      <c r="A97" s="15">
        <f>SUM(G95:G101)</f>
        <v>33.799999999999997</v>
      </c>
      <c r="B97" s="12" t="s">
        <v>17</v>
      </c>
      <c r="C97" s="53">
        <v>39602</v>
      </c>
      <c r="D97" s="13" t="s">
        <v>14</v>
      </c>
      <c r="E97" s="54">
        <v>3.5995370370370372E-2</v>
      </c>
      <c r="F97" s="12">
        <v>142</v>
      </c>
      <c r="G97" s="12">
        <v>10</v>
      </c>
      <c r="H97" s="13" t="s">
        <v>411</v>
      </c>
    </row>
    <row r="98" spans="1:8" x14ac:dyDescent="0.15">
      <c r="A98" s="2"/>
      <c r="B98" s="12" t="s">
        <v>19</v>
      </c>
      <c r="C98" s="53">
        <v>39603</v>
      </c>
      <c r="D98" s="13"/>
      <c r="E98" s="54"/>
      <c r="F98" s="2"/>
      <c r="G98" s="12"/>
      <c r="H98" s="13" t="s">
        <v>411</v>
      </c>
    </row>
    <row r="99" spans="1:8" x14ac:dyDescent="0.15">
      <c r="A99" s="2"/>
      <c r="B99" s="12" t="s">
        <v>21</v>
      </c>
      <c r="C99" s="53">
        <v>39604</v>
      </c>
      <c r="D99" s="13" t="s">
        <v>14</v>
      </c>
      <c r="E99" s="54">
        <v>3.3564814814814811E-2</v>
      </c>
      <c r="F99" s="12">
        <v>154</v>
      </c>
      <c r="G99" s="12">
        <v>10</v>
      </c>
      <c r="H99" s="13" t="s">
        <v>411</v>
      </c>
    </row>
    <row r="100" spans="1:8" x14ac:dyDescent="0.15">
      <c r="A100" s="2"/>
      <c r="B100" s="12" t="s">
        <v>23</v>
      </c>
      <c r="C100" s="53">
        <v>39605</v>
      </c>
      <c r="D100" s="13"/>
      <c r="E100" s="54"/>
      <c r="F100" s="12"/>
      <c r="G100" s="12"/>
      <c r="H100" s="13" t="s">
        <v>411</v>
      </c>
    </row>
    <row r="101" spans="1:8" x14ac:dyDescent="0.15">
      <c r="A101" s="2"/>
      <c r="B101" s="16" t="s">
        <v>25</v>
      </c>
      <c r="C101" s="55">
        <v>39606</v>
      </c>
      <c r="D101" s="17" t="s">
        <v>14</v>
      </c>
      <c r="E101" s="54">
        <v>4.6516203703703699E-2</v>
      </c>
      <c r="F101" s="2">
        <v>149</v>
      </c>
      <c r="G101" s="16">
        <v>13.8</v>
      </c>
      <c r="H101" s="13" t="s">
        <v>411</v>
      </c>
    </row>
    <row r="102" spans="1:8" x14ac:dyDescent="0.15">
      <c r="A102" s="4">
        <f>A95+1</f>
        <v>15</v>
      </c>
      <c r="B102" s="6" t="s">
        <v>9</v>
      </c>
      <c r="C102" s="51">
        <v>39607</v>
      </c>
      <c r="D102" s="8"/>
      <c r="E102" s="52"/>
      <c r="F102" s="7"/>
      <c r="G102" s="7"/>
      <c r="H102" s="13" t="s">
        <v>411</v>
      </c>
    </row>
    <row r="103" spans="1:8" x14ac:dyDescent="0.15">
      <c r="A103" s="11" t="s">
        <v>11</v>
      </c>
      <c r="B103" s="12" t="s">
        <v>12</v>
      </c>
      <c r="C103" s="53">
        <v>39608</v>
      </c>
      <c r="D103" s="13"/>
      <c r="E103" s="54"/>
      <c r="F103" s="2"/>
      <c r="G103" s="12"/>
      <c r="H103" s="13" t="s">
        <v>411</v>
      </c>
    </row>
    <row r="104" spans="1:8" x14ac:dyDescent="0.15">
      <c r="A104" s="15">
        <f>SUM(G102:G108)</f>
        <v>27</v>
      </c>
      <c r="B104" s="12" t="s">
        <v>17</v>
      </c>
      <c r="C104" s="53">
        <v>39609</v>
      </c>
      <c r="D104" s="13"/>
      <c r="E104" s="54"/>
      <c r="F104" s="12"/>
      <c r="G104" s="12"/>
      <c r="H104" s="13" t="s">
        <v>411</v>
      </c>
    </row>
    <row r="105" spans="1:8" x14ac:dyDescent="0.15">
      <c r="A105" s="2"/>
      <c r="B105" s="12" t="s">
        <v>19</v>
      </c>
      <c r="C105" s="53">
        <v>39610</v>
      </c>
      <c r="D105" s="13" t="s">
        <v>49</v>
      </c>
      <c r="E105" s="54">
        <v>3.4826388888888893E-2</v>
      </c>
      <c r="F105" s="2">
        <v>164</v>
      </c>
      <c r="G105" s="12">
        <v>11</v>
      </c>
      <c r="H105" s="13" t="s">
        <v>411</v>
      </c>
    </row>
    <row r="106" spans="1:8" x14ac:dyDescent="0.15">
      <c r="A106" s="2"/>
      <c r="B106" s="12" t="s">
        <v>21</v>
      </c>
      <c r="C106" s="53">
        <v>39611</v>
      </c>
      <c r="D106" s="13"/>
      <c r="E106" s="54"/>
      <c r="F106" s="12"/>
      <c r="G106" s="12"/>
      <c r="H106" s="13" t="s">
        <v>411</v>
      </c>
    </row>
    <row r="107" spans="1:8" x14ac:dyDescent="0.15">
      <c r="A107" s="2"/>
      <c r="B107" s="12" t="s">
        <v>23</v>
      </c>
      <c r="C107" s="53">
        <v>39612</v>
      </c>
      <c r="D107" s="13" t="s">
        <v>14</v>
      </c>
      <c r="E107" s="54">
        <v>5.6446759259259252E-2</v>
      </c>
      <c r="F107" s="12">
        <v>166</v>
      </c>
      <c r="G107" s="12">
        <v>16</v>
      </c>
      <c r="H107" s="13" t="s">
        <v>411</v>
      </c>
    </row>
    <row r="108" spans="1:8" x14ac:dyDescent="0.15">
      <c r="A108" s="2"/>
      <c r="B108" s="16" t="s">
        <v>25</v>
      </c>
      <c r="C108" s="55">
        <v>39613</v>
      </c>
      <c r="D108" s="17"/>
      <c r="E108" s="57"/>
      <c r="F108" s="2"/>
      <c r="G108" s="16"/>
      <c r="H108" s="13" t="s">
        <v>411</v>
      </c>
    </row>
    <row r="109" spans="1:8" x14ac:dyDescent="0.15">
      <c r="A109" s="4">
        <f>A102+1</f>
        <v>16</v>
      </c>
      <c r="B109" s="6" t="s">
        <v>9</v>
      </c>
      <c r="C109" s="51">
        <v>39614</v>
      </c>
      <c r="D109" s="8"/>
      <c r="E109" s="52"/>
      <c r="F109" s="7"/>
      <c r="G109" s="7"/>
      <c r="H109" s="13" t="s">
        <v>411</v>
      </c>
    </row>
    <row r="110" spans="1:8" x14ac:dyDescent="0.15">
      <c r="A110" s="11" t="s">
        <v>11</v>
      </c>
      <c r="B110" s="12" t="s">
        <v>12</v>
      </c>
      <c r="C110" s="53">
        <v>39615</v>
      </c>
      <c r="D110" s="13" t="s">
        <v>14</v>
      </c>
      <c r="E110" s="54">
        <v>3.3043981481481487E-2</v>
      </c>
      <c r="F110" s="2">
        <v>144</v>
      </c>
      <c r="G110" s="12">
        <v>9.6</v>
      </c>
      <c r="H110" s="13" t="s">
        <v>411</v>
      </c>
    </row>
    <row r="111" spans="1:8" x14ac:dyDescent="0.15">
      <c r="A111" s="15">
        <f>SUM(G109:G115)</f>
        <v>23.6</v>
      </c>
      <c r="B111" s="12" t="s">
        <v>17</v>
      </c>
      <c r="C111" s="53">
        <v>39616</v>
      </c>
      <c r="D111" s="13"/>
      <c r="E111" s="54"/>
      <c r="F111" s="12"/>
      <c r="G111" s="12"/>
      <c r="H111" s="13" t="s">
        <v>411</v>
      </c>
    </row>
    <row r="112" spans="1:8" x14ac:dyDescent="0.15">
      <c r="A112" s="2"/>
      <c r="B112" s="12" t="s">
        <v>19</v>
      </c>
      <c r="C112" s="53">
        <v>39617</v>
      </c>
      <c r="D112" s="13"/>
      <c r="E112" s="54"/>
      <c r="F112" s="2"/>
      <c r="G112" s="12"/>
      <c r="H112" s="13" t="s">
        <v>411</v>
      </c>
    </row>
    <row r="113" spans="1:8" x14ac:dyDescent="0.15">
      <c r="A113" s="2"/>
      <c r="B113" s="12" t="s">
        <v>21</v>
      </c>
      <c r="C113" s="53">
        <v>39618</v>
      </c>
      <c r="D113" s="13"/>
      <c r="E113" s="54"/>
      <c r="F113" s="12"/>
      <c r="G113" s="12"/>
      <c r="H113" s="13" t="s">
        <v>411</v>
      </c>
    </row>
    <row r="114" spans="1:8" x14ac:dyDescent="0.15">
      <c r="A114" s="2"/>
      <c r="B114" s="12" t="s">
        <v>23</v>
      </c>
      <c r="C114" s="53">
        <v>39619</v>
      </c>
      <c r="D114" s="13"/>
      <c r="E114" s="54"/>
      <c r="F114" s="12"/>
      <c r="G114" s="12"/>
      <c r="H114" s="13" t="s">
        <v>411</v>
      </c>
    </row>
    <row r="115" spans="1:8" x14ac:dyDescent="0.15">
      <c r="A115" s="2"/>
      <c r="B115" s="16" t="s">
        <v>25</v>
      </c>
      <c r="C115" s="55">
        <v>39620</v>
      </c>
      <c r="D115" s="17" t="s">
        <v>14</v>
      </c>
      <c r="E115" s="57">
        <v>4.7731481481481479E-2</v>
      </c>
      <c r="F115" s="2">
        <v>154</v>
      </c>
      <c r="G115" s="16">
        <v>14</v>
      </c>
      <c r="H115" s="13" t="s">
        <v>411</v>
      </c>
    </row>
    <row r="116" spans="1:8" x14ac:dyDescent="0.15">
      <c r="A116" s="4">
        <f>A109+1</f>
        <v>17</v>
      </c>
      <c r="B116" s="6" t="s">
        <v>9</v>
      </c>
      <c r="C116" s="51">
        <v>39621</v>
      </c>
      <c r="D116" s="8"/>
      <c r="E116" s="52"/>
      <c r="F116" s="7"/>
      <c r="G116" s="7"/>
      <c r="H116" s="13" t="s">
        <v>411</v>
      </c>
    </row>
    <row r="117" spans="1:8" x14ac:dyDescent="0.15">
      <c r="A117" s="11" t="s">
        <v>11</v>
      </c>
      <c r="B117" s="12" t="s">
        <v>12</v>
      </c>
      <c r="C117" s="53">
        <v>39622</v>
      </c>
      <c r="D117" s="13"/>
      <c r="E117" s="54"/>
      <c r="F117" s="2"/>
      <c r="G117" s="12"/>
      <c r="H117" s="13" t="s">
        <v>411</v>
      </c>
    </row>
    <row r="118" spans="1:8" x14ac:dyDescent="0.15">
      <c r="A118" s="15">
        <f>SUM(G116:G122)</f>
        <v>11.5</v>
      </c>
      <c r="B118" s="12" t="s">
        <v>17</v>
      </c>
      <c r="C118" s="53">
        <v>39623</v>
      </c>
      <c r="D118" s="13"/>
      <c r="E118" s="54"/>
      <c r="F118" s="12"/>
      <c r="G118" s="12"/>
      <c r="H118" s="13" t="s">
        <v>411</v>
      </c>
    </row>
    <row r="119" spans="1:8" x14ac:dyDescent="0.15">
      <c r="A119" s="2"/>
      <c r="B119" s="12" t="s">
        <v>19</v>
      </c>
      <c r="C119" s="53">
        <v>39624</v>
      </c>
      <c r="D119" s="13"/>
      <c r="E119" s="54"/>
      <c r="F119" s="2"/>
      <c r="G119" s="12"/>
      <c r="H119" s="13" t="s">
        <v>411</v>
      </c>
    </row>
    <row r="120" spans="1:8" x14ac:dyDescent="0.15">
      <c r="A120" s="2"/>
      <c r="B120" s="12" t="s">
        <v>21</v>
      </c>
      <c r="C120" s="53">
        <v>39625</v>
      </c>
      <c r="D120" s="13"/>
      <c r="E120" s="54"/>
      <c r="F120" s="12"/>
      <c r="G120" s="12"/>
      <c r="H120" s="13" t="s">
        <v>411</v>
      </c>
    </row>
    <row r="121" spans="1:8" x14ac:dyDescent="0.15">
      <c r="A121" s="2"/>
      <c r="B121" s="12" t="s">
        <v>23</v>
      </c>
      <c r="C121" s="53">
        <v>39626</v>
      </c>
      <c r="D121" s="13" t="s">
        <v>49</v>
      </c>
      <c r="E121" s="54">
        <v>3.920138888888889E-2</v>
      </c>
      <c r="F121" s="12">
        <v>163</v>
      </c>
      <c r="G121" s="12">
        <v>11.5</v>
      </c>
      <c r="H121" s="13" t="s">
        <v>411</v>
      </c>
    </row>
    <row r="122" spans="1:8" x14ac:dyDescent="0.15">
      <c r="A122" s="2"/>
      <c r="B122" s="16" t="s">
        <v>25</v>
      </c>
      <c r="C122" s="55">
        <v>39627</v>
      </c>
      <c r="D122" s="17"/>
      <c r="E122" s="57"/>
      <c r="F122" s="2"/>
      <c r="G122" s="16"/>
      <c r="H122" s="13" t="s">
        <v>411</v>
      </c>
    </row>
    <row r="123" spans="1:8" x14ac:dyDescent="0.15">
      <c r="A123" s="4">
        <f>A116+1</f>
        <v>18</v>
      </c>
      <c r="B123" s="6" t="s">
        <v>9</v>
      </c>
      <c r="C123" s="51">
        <v>39628</v>
      </c>
      <c r="D123" s="8" t="s">
        <v>147</v>
      </c>
      <c r="E123" s="52">
        <v>3.4722222222222224E-2</v>
      </c>
      <c r="F123" s="7">
        <v>150</v>
      </c>
      <c r="G123" s="7">
        <v>10</v>
      </c>
      <c r="H123" s="13" t="s">
        <v>411</v>
      </c>
    </row>
    <row r="124" spans="1:8" x14ac:dyDescent="0.15">
      <c r="A124" s="11" t="s">
        <v>11</v>
      </c>
      <c r="B124" s="12" t="s">
        <v>12</v>
      </c>
      <c r="C124" s="53">
        <v>39629</v>
      </c>
      <c r="D124" s="13"/>
      <c r="E124" s="54"/>
      <c r="F124" s="2"/>
      <c r="G124" s="12"/>
      <c r="H124" s="13" t="s">
        <v>411</v>
      </c>
    </row>
    <row r="125" spans="1:8" x14ac:dyDescent="0.15">
      <c r="A125" s="15">
        <f>SUM(G123:G129)</f>
        <v>20</v>
      </c>
      <c r="B125" s="12" t="s">
        <v>17</v>
      </c>
      <c r="C125" s="53">
        <v>39630</v>
      </c>
      <c r="D125" s="13" t="s">
        <v>14</v>
      </c>
      <c r="E125" s="54">
        <v>3.8460648148148154E-2</v>
      </c>
      <c r="F125" s="12">
        <v>145</v>
      </c>
      <c r="G125" s="12">
        <v>10</v>
      </c>
      <c r="H125" s="13" t="s">
        <v>411</v>
      </c>
    </row>
    <row r="126" spans="1:8" x14ac:dyDescent="0.15">
      <c r="A126" s="2"/>
      <c r="B126" s="12" t="s">
        <v>19</v>
      </c>
      <c r="C126" s="53">
        <v>39631</v>
      </c>
      <c r="D126" s="13"/>
      <c r="E126" s="54"/>
      <c r="F126" s="2"/>
      <c r="G126" s="12"/>
      <c r="H126" s="13" t="s">
        <v>411</v>
      </c>
    </row>
    <row r="127" spans="1:8" x14ac:dyDescent="0.15">
      <c r="A127" s="2"/>
      <c r="B127" s="12" t="s">
        <v>21</v>
      </c>
      <c r="C127" s="53">
        <v>39632</v>
      </c>
      <c r="D127" s="13"/>
      <c r="E127" s="54"/>
      <c r="F127" s="12"/>
      <c r="G127" s="12"/>
      <c r="H127" s="13" t="s">
        <v>411</v>
      </c>
    </row>
    <row r="128" spans="1:8" x14ac:dyDescent="0.15">
      <c r="A128" s="2"/>
      <c r="B128" s="12" t="s">
        <v>23</v>
      </c>
      <c r="C128" s="53">
        <v>39633</v>
      </c>
      <c r="D128" s="13"/>
      <c r="E128" s="54"/>
      <c r="F128" s="12"/>
      <c r="G128" s="12"/>
      <c r="H128" s="13" t="s">
        <v>411</v>
      </c>
    </row>
    <row r="129" spans="1:8" x14ac:dyDescent="0.15">
      <c r="A129" s="2"/>
      <c r="B129" s="16" t="s">
        <v>25</v>
      </c>
      <c r="C129" s="55">
        <v>39634</v>
      </c>
      <c r="D129" s="17"/>
      <c r="E129" s="57"/>
      <c r="F129" s="2"/>
      <c r="G129" s="16"/>
      <c r="H129" s="13" t="s">
        <v>411</v>
      </c>
    </row>
    <row r="130" spans="1:8" x14ac:dyDescent="0.15">
      <c r="A130" s="4">
        <f>A123+1</f>
        <v>19</v>
      </c>
      <c r="B130" s="6" t="s">
        <v>9</v>
      </c>
      <c r="C130" s="51">
        <v>39635</v>
      </c>
      <c r="D130" s="8"/>
      <c r="E130" s="52"/>
      <c r="F130" s="7"/>
      <c r="G130" s="7"/>
      <c r="H130" s="13" t="s">
        <v>411</v>
      </c>
    </row>
    <row r="131" spans="1:8" x14ac:dyDescent="0.15">
      <c r="A131" s="11" t="s">
        <v>11</v>
      </c>
      <c r="B131" s="12" t="s">
        <v>12</v>
      </c>
      <c r="C131" s="53">
        <v>40001</v>
      </c>
      <c r="D131" s="13"/>
      <c r="E131" s="54"/>
      <c r="F131" s="2"/>
      <c r="G131" s="12"/>
      <c r="H131" s="13" t="s">
        <v>411</v>
      </c>
    </row>
    <row r="132" spans="1:8" x14ac:dyDescent="0.15">
      <c r="A132" s="15">
        <f>SUM(G130:G136)</f>
        <v>34</v>
      </c>
      <c r="B132" s="12" t="s">
        <v>17</v>
      </c>
      <c r="C132" s="53">
        <v>39637</v>
      </c>
      <c r="D132" s="13" t="s">
        <v>14</v>
      </c>
      <c r="E132" s="54">
        <f>G132*$L$16</f>
        <v>4.8386059670781897E-2</v>
      </c>
      <c r="F132" s="12" t="s">
        <v>418</v>
      </c>
      <c r="G132" s="12">
        <v>14</v>
      </c>
      <c r="H132" s="13" t="s">
        <v>411</v>
      </c>
    </row>
    <row r="133" spans="1:8" x14ac:dyDescent="0.15">
      <c r="A133" s="2"/>
      <c r="B133" s="12" t="s">
        <v>19</v>
      </c>
      <c r="C133" s="53">
        <v>39638</v>
      </c>
      <c r="D133" s="13"/>
      <c r="E133" s="54"/>
      <c r="F133" s="2"/>
      <c r="G133" s="12"/>
      <c r="H133" s="13" t="s">
        <v>411</v>
      </c>
    </row>
    <row r="134" spans="1:8" x14ac:dyDescent="0.15">
      <c r="A134" s="2"/>
      <c r="B134" s="12" t="s">
        <v>21</v>
      </c>
      <c r="C134" s="53">
        <v>39639</v>
      </c>
      <c r="D134" s="13"/>
      <c r="E134" s="54"/>
      <c r="F134" s="12"/>
      <c r="G134" s="12"/>
      <c r="H134" s="13" t="s">
        <v>411</v>
      </c>
    </row>
    <row r="135" spans="1:8" x14ac:dyDescent="0.15">
      <c r="A135" s="2"/>
      <c r="B135" s="12" t="s">
        <v>23</v>
      </c>
      <c r="C135" s="53">
        <v>39640</v>
      </c>
      <c r="D135" s="13"/>
      <c r="E135" s="54"/>
      <c r="F135" s="12"/>
      <c r="G135" s="12"/>
      <c r="H135" s="13" t="s">
        <v>411</v>
      </c>
    </row>
    <row r="136" spans="1:8" x14ac:dyDescent="0.15">
      <c r="A136" s="2"/>
      <c r="B136" s="16" t="s">
        <v>25</v>
      </c>
      <c r="C136" s="55">
        <v>39641</v>
      </c>
      <c r="D136" s="17" t="s">
        <v>14</v>
      </c>
      <c r="E136" s="57">
        <v>7.7824074074074073E-2</v>
      </c>
      <c r="F136" s="2">
        <v>150</v>
      </c>
      <c r="G136" s="16">
        <v>20</v>
      </c>
      <c r="H136" s="13" t="s">
        <v>411</v>
      </c>
    </row>
    <row r="137" spans="1:8" x14ac:dyDescent="0.15">
      <c r="A137" s="4">
        <f>A130+1</f>
        <v>20</v>
      </c>
      <c r="B137" s="6" t="s">
        <v>9</v>
      </c>
      <c r="C137" s="51">
        <v>39642</v>
      </c>
      <c r="D137" s="8"/>
      <c r="E137" s="52"/>
      <c r="F137" s="7"/>
      <c r="G137" s="7"/>
      <c r="H137" s="13" t="s">
        <v>411</v>
      </c>
    </row>
    <row r="138" spans="1:8" x14ac:dyDescent="0.15">
      <c r="A138" s="11" t="s">
        <v>11</v>
      </c>
      <c r="B138" s="12" t="s">
        <v>12</v>
      </c>
      <c r="C138" s="53">
        <v>39643</v>
      </c>
      <c r="D138" s="13" t="s">
        <v>14</v>
      </c>
      <c r="E138" s="54">
        <v>3.8240740740740742E-2</v>
      </c>
      <c r="F138" s="2">
        <v>153</v>
      </c>
      <c r="G138" s="12">
        <v>12</v>
      </c>
      <c r="H138" s="13" t="s">
        <v>411</v>
      </c>
    </row>
    <row r="139" spans="1:8" x14ac:dyDescent="0.15">
      <c r="A139" s="15">
        <f>SUM(G137:G143)</f>
        <v>32</v>
      </c>
      <c r="B139" s="12" t="s">
        <v>17</v>
      </c>
      <c r="C139" s="53">
        <v>39644</v>
      </c>
      <c r="D139" s="13"/>
      <c r="E139" s="54"/>
      <c r="F139" s="12"/>
      <c r="G139" s="12"/>
      <c r="H139" s="13" t="s">
        <v>411</v>
      </c>
    </row>
    <row r="140" spans="1:8" x14ac:dyDescent="0.15">
      <c r="A140" s="2"/>
      <c r="B140" s="12" t="s">
        <v>19</v>
      </c>
      <c r="C140" s="53">
        <v>39645</v>
      </c>
      <c r="D140" s="13"/>
      <c r="E140" s="54"/>
      <c r="F140" s="2"/>
      <c r="G140" s="12"/>
      <c r="H140" s="13" t="s">
        <v>411</v>
      </c>
    </row>
    <row r="141" spans="1:8" x14ac:dyDescent="0.15">
      <c r="A141" s="2"/>
      <c r="B141" s="12" t="s">
        <v>21</v>
      </c>
      <c r="C141" s="53">
        <v>39646</v>
      </c>
      <c r="D141" s="13"/>
      <c r="E141" s="54"/>
      <c r="F141" s="12"/>
      <c r="G141" s="12"/>
      <c r="H141" s="13" t="s">
        <v>411</v>
      </c>
    </row>
    <row r="142" spans="1:8" x14ac:dyDescent="0.15">
      <c r="A142" s="2"/>
      <c r="B142" s="12" t="s">
        <v>23</v>
      </c>
      <c r="C142" s="53">
        <v>39647</v>
      </c>
      <c r="D142" s="13"/>
      <c r="E142" s="54"/>
      <c r="F142" s="12"/>
      <c r="G142" s="12"/>
      <c r="H142" s="13" t="s">
        <v>411</v>
      </c>
    </row>
    <row r="143" spans="1:8" x14ac:dyDescent="0.15">
      <c r="A143" s="2"/>
      <c r="B143" s="16" t="s">
        <v>25</v>
      </c>
      <c r="C143" s="55">
        <v>39648</v>
      </c>
      <c r="D143" s="17" t="s">
        <v>14</v>
      </c>
      <c r="E143" s="57">
        <v>7.8125E-2</v>
      </c>
      <c r="F143" s="2"/>
      <c r="G143" s="16">
        <v>20</v>
      </c>
      <c r="H143" s="13" t="s">
        <v>411</v>
      </c>
    </row>
    <row r="144" spans="1:8" x14ac:dyDescent="0.15">
      <c r="A144" s="4">
        <f>A137+1</f>
        <v>21</v>
      </c>
      <c r="B144" s="6" t="s">
        <v>9</v>
      </c>
      <c r="C144" s="51">
        <v>39649</v>
      </c>
      <c r="D144" s="8"/>
      <c r="E144" s="52"/>
      <c r="F144" s="7"/>
      <c r="G144" s="7"/>
      <c r="H144" s="13" t="s">
        <v>411</v>
      </c>
    </row>
    <row r="145" spans="1:8" x14ac:dyDescent="0.15">
      <c r="A145" s="11" t="s">
        <v>11</v>
      </c>
      <c r="B145" s="12" t="s">
        <v>12</v>
      </c>
      <c r="C145" s="53">
        <v>39650</v>
      </c>
      <c r="D145" s="13" t="s">
        <v>40</v>
      </c>
      <c r="E145" s="54">
        <f>G145*$L$16</f>
        <v>4.1473765432098769E-2</v>
      </c>
      <c r="F145" s="2">
        <v>152</v>
      </c>
      <c r="G145" s="12">
        <v>12</v>
      </c>
      <c r="H145" s="13" t="s">
        <v>411</v>
      </c>
    </row>
    <row r="146" spans="1:8" x14ac:dyDescent="0.15">
      <c r="A146" s="15">
        <f>SUM(G144:G150)</f>
        <v>41.75</v>
      </c>
      <c r="B146" s="12" t="s">
        <v>17</v>
      </c>
      <c r="C146" s="53">
        <v>39651</v>
      </c>
      <c r="D146" s="13"/>
      <c r="E146" s="54"/>
      <c r="F146" s="12"/>
      <c r="G146" s="12"/>
      <c r="H146" s="13" t="s">
        <v>411</v>
      </c>
    </row>
    <row r="147" spans="1:8" x14ac:dyDescent="0.15">
      <c r="A147" s="2"/>
      <c r="B147" s="12" t="s">
        <v>19</v>
      </c>
      <c r="C147" s="53">
        <v>39652</v>
      </c>
      <c r="D147" s="13" t="s">
        <v>14</v>
      </c>
      <c r="E147" s="54">
        <v>2.2916666666666665E-2</v>
      </c>
      <c r="F147" s="2"/>
      <c r="G147" s="12">
        <v>6.75</v>
      </c>
      <c r="H147" s="13" t="s">
        <v>411</v>
      </c>
    </row>
    <row r="148" spans="1:8" x14ac:dyDescent="0.15">
      <c r="A148" s="2"/>
      <c r="B148" s="12" t="s">
        <v>21</v>
      </c>
      <c r="C148" s="53">
        <v>39653</v>
      </c>
      <c r="D148" s="13"/>
      <c r="E148" s="54"/>
      <c r="F148" s="12"/>
      <c r="G148" s="12"/>
      <c r="H148" s="13" t="s">
        <v>411</v>
      </c>
    </row>
    <row r="149" spans="1:8" x14ac:dyDescent="0.15">
      <c r="A149" s="2"/>
      <c r="B149" s="12" t="s">
        <v>23</v>
      </c>
      <c r="C149" s="53">
        <v>39654</v>
      </c>
      <c r="D149" s="13"/>
      <c r="E149" s="54"/>
      <c r="F149" s="12"/>
      <c r="G149" s="12"/>
      <c r="H149" s="13" t="s">
        <v>411</v>
      </c>
    </row>
    <row r="150" spans="1:8" x14ac:dyDescent="0.15">
      <c r="A150" s="2"/>
      <c r="B150" s="16" t="s">
        <v>25</v>
      </c>
      <c r="C150" s="55">
        <v>39655</v>
      </c>
      <c r="D150" s="17" t="s">
        <v>14</v>
      </c>
      <c r="E150" s="57">
        <v>8.4039351851851851E-2</v>
      </c>
      <c r="F150" s="2">
        <v>147</v>
      </c>
      <c r="G150" s="16">
        <v>23</v>
      </c>
      <c r="H150" s="13" t="s">
        <v>411</v>
      </c>
    </row>
    <row r="151" spans="1:8" x14ac:dyDescent="0.15">
      <c r="A151" s="4">
        <f>A144+1</f>
        <v>22</v>
      </c>
      <c r="B151" s="6" t="s">
        <v>9</v>
      </c>
      <c r="C151" s="51">
        <v>39656</v>
      </c>
      <c r="D151" s="8"/>
      <c r="E151" s="52"/>
      <c r="F151" s="7"/>
      <c r="G151" s="7"/>
      <c r="H151" s="13" t="s">
        <v>411</v>
      </c>
    </row>
    <row r="152" spans="1:8" x14ac:dyDescent="0.15">
      <c r="A152" s="11" t="s">
        <v>11</v>
      </c>
      <c r="B152" s="12" t="s">
        <v>12</v>
      </c>
      <c r="C152" s="53">
        <v>39657</v>
      </c>
      <c r="D152" s="13"/>
      <c r="E152" s="54"/>
      <c r="F152" s="2"/>
      <c r="G152" s="12"/>
      <c r="H152" s="13" t="s">
        <v>411</v>
      </c>
    </row>
    <row r="153" spans="1:8" x14ac:dyDescent="0.15">
      <c r="A153" s="15">
        <f>SUM(G151:G157)</f>
        <v>22</v>
      </c>
      <c r="B153" s="12" t="s">
        <v>17</v>
      </c>
      <c r="C153" s="53">
        <v>39658</v>
      </c>
      <c r="D153" s="13"/>
      <c r="E153" s="54"/>
      <c r="F153" s="12"/>
      <c r="G153" s="12"/>
      <c r="H153" s="13" t="s">
        <v>411</v>
      </c>
    </row>
    <row r="154" spans="1:8" x14ac:dyDescent="0.15">
      <c r="A154" s="2"/>
      <c r="B154" s="12" t="s">
        <v>19</v>
      </c>
      <c r="C154" s="53">
        <v>39659</v>
      </c>
      <c r="D154" s="13"/>
      <c r="E154" s="54"/>
      <c r="F154" s="2"/>
      <c r="G154" s="12"/>
      <c r="H154" s="13" t="s">
        <v>411</v>
      </c>
    </row>
    <row r="155" spans="1:8" x14ac:dyDescent="0.15">
      <c r="A155" s="2"/>
      <c r="B155" s="12" t="s">
        <v>21</v>
      </c>
      <c r="C155" s="53">
        <v>39660</v>
      </c>
      <c r="D155" s="13"/>
      <c r="E155" s="54"/>
      <c r="F155" s="12"/>
      <c r="G155" s="12"/>
      <c r="H155" s="13" t="s">
        <v>411</v>
      </c>
    </row>
    <row r="156" spans="1:8" x14ac:dyDescent="0.15">
      <c r="A156" s="2"/>
      <c r="B156" s="12" t="s">
        <v>23</v>
      </c>
      <c r="C156" s="53">
        <v>39661</v>
      </c>
      <c r="D156" s="13"/>
      <c r="E156" s="54"/>
      <c r="F156" s="12"/>
      <c r="G156" s="12"/>
      <c r="H156" s="13" t="s">
        <v>411</v>
      </c>
    </row>
    <row r="157" spans="1:8" x14ac:dyDescent="0.15">
      <c r="A157" s="2"/>
      <c r="B157" s="16" t="s">
        <v>25</v>
      </c>
      <c r="C157" s="55">
        <v>39662</v>
      </c>
      <c r="D157" s="17" t="s">
        <v>14</v>
      </c>
      <c r="E157" s="57">
        <v>8.1944444444444445E-2</v>
      </c>
      <c r="F157" s="2">
        <v>145</v>
      </c>
      <c r="G157" s="16">
        <v>22</v>
      </c>
      <c r="H157" s="13" t="s">
        <v>411</v>
      </c>
    </row>
    <row r="158" spans="1:8" x14ac:dyDescent="0.15">
      <c r="A158" s="4">
        <f>A151+1</f>
        <v>23</v>
      </c>
      <c r="B158" s="6" t="s">
        <v>9</v>
      </c>
      <c r="C158" s="51">
        <v>39663</v>
      </c>
      <c r="D158" s="8"/>
      <c r="E158" s="52"/>
      <c r="F158" s="7"/>
      <c r="G158" s="7"/>
      <c r="H158" s="13" t="s">
        <v>411</v>
      </c>
    </row>
    <row r="159" spans="1:8" x14ac:dyDescent="0.15">
      <c r="A159" s="11" t="s">
        <v>11</v>
      </c>
      <c r="B159" s="12" t="s">
        <v>12</v>
      </c>
      <c r="C159" s="53">
        <v>39664</v>
      </c>
      <c r="D159" s="13" t="s">
        <v>14</v>
      </c>
      <c r="E159" s="54">
        <v>3.9687500000000001E-2</v>
      </c>
      <c r="F159" s="2">
        <v>144</v>
      </c>
      <c r="G159" s="12">
        <v>12</v>
      </c>
      <c r="H159" s="13" t="s">
        <v>411</v>
      </c>
    </row>
    <row r="160" spans="1:8" x14ac:dyDescent="0.15">
      <c r="A160" s="15">
        <f>SUM(G158:G164)</f>
        <v>52</v>
      </c>
      <c r="B160" s="12" t="s">
        <v>17</v>
      </c>
      <c r="C160" s="53">
        <v>39665</v>
      </c>
      <c r="D160" s="13"/>
      <c r="E160" s="54"/>
      <c r="F160" s="12"/>
      <c r="G160" s="12"/>
      <c r="H160" s="13" t="s">
        <v>411</v>
      </c>
    </row>
    <row r="161" spans="1:8" x14ac:dyDescent="0.15">
      <c r="A161" s="2"/>
      <c r="B161" s="12" t="s">
        <v>19</v>
      </c>
      <c r="C161" s="53">
        <v>39666</v>
      </c>
      <c r="D161" s="13"/>
      <c r="E161" s="54"/>
      <c r="F161" s="2"/>
      <c r="G161" s="12"/>
      <c r="H161" s="13" t="s">
        <v>411</v>
      </c>
    </row>
    <row r="162" spans="1:8" x14ac:dyDescent="0.15">
      <c r="A162" s="2"/>
      <c r="B162" s="12" t="s">
        <v>21</v>
      </c>
      <c r="C162" s="53">
        <v>39667</v>
      </c>
      <c r="D162" s="13" t="s">
        <v>49</v>
      </c>
      <c r="E162" s="54">
        <v>4.9305555555555554E-2</v>
      </c>
      <c r="F162" s="12">
        <v>158</v>
      </c>
      <c r="G162" s="12">
        <v>14</v>
      </c>
      <c r="H162" s="13" t="s">
        <v>411</v>
      </c>
    </row>
    <row r="163" spans="1:8" x14ac:dyDescent="0.15">
      <c r="A163" s="2"/>
      <c r="B163" s="12" t="s">
        <v>23</v>
      </c>
      <c r="C163" s="53">
        <v>39668</v>
      </c>
      <c r="D163" s="13"/>
      <c r="E163" s="54"/>
      <c r="F163" s="12"/>
      <c r="G163" s="12"/>
      <c r="H163" s="13" t="s">
        <v>411</v>
      </c>
    </row>
    <row r="164" spans="1:8" x14ac:dyDescent="0.15">
      <c r="A164" s="2"/>
      <c r="B164" s="16" t="s">
        <v>25</v>
      </c>
      <c r="C164" s="55">
        <v>39669</v>
      </c>
      <c r="D164" s="17" t="s">
        <v>147</v>
      </c>
      <c r="E164" s="57">
        <v>9.4155092592592596E-2</v>
      </c>
      <c r="F164" s="2">
        <v>148</v>
      </c>
      <c r="G164" s="16">
        <v>26</v>
      </c>
      <c r="H164" s="13" t="s">
        <v>411</v>
      </c>
    </row>
    <row r="165" spans="1:8" x14ac:dyDescent="0.15">
      <c r="A165" s="4">
        <f>A158+1</f>
        <v>24</v>
      </c>
      <c r="B165" s="6" t="s">
        <v>9</v>
      </c>
      <c r="C165" s="51">
        <v>39670</v>
      </c>
      <c r="D165" s="8"/>
      <c r="E165" s="52"/>
      <c r="F165" s="7"/>
      <c r="G165" s="7"/>
      <c r="H165" s="13" t="s">
        <v>411</v>
      </c>
    </row>
    <row r="166" spans="1:8" x14ac:dyDescent="0.15">
      <c r="A166" s="11" t="s">
        <v>11</v>
      </c>
      <c r="B166" s="12" t="s">
        <v>12</v>
      </c>
      <c r="C166" s="53">
        <v>39671</v>
      </c>
      <c r="D166" s="13"/>
      <c r="E166" s="54"/>
      <c r="F166" s="2"/>
      <c r="G166" s="12"/>
      <c r="H166" s="13" t="s">
        <v>411</v>
      </c>
    </row>
    <row r="167" spans="1:8" x14ac:dyDescent="0.15">
      <c r="A167" s="15">
        <f>SUM(G165:G171)</f>
        <v>54</v>
      </c>
      <c r="B167" s="12" t="s">
        <v>17</v>
      </c>
      <c r="C167" s="53">
        <v>39672</v>
      </c>
      <c r="D167" s="13" t="s">
        <v>14</v>
      </c>
      <c r="E167" s="54">
        <v>4.4131944444444439E-2</v>
      </c>
      <c r="F167" s="12">
        <v>154</v>
      </c>
      <c r="G167" s="12">
        <v>14</v>
      </c>
      <c r="H167" s="13" t="s">
        <v>411</v>
      </c>
    </row>
    <row r="168" spans="1:8" x14ac:dyDescent="0.15">
      <c r="A168" s="2"/>
      <c r="B168" s="12" t="s">
        <v>19</v>
      </c>
      <c r="C168" s="53">
        <v>39673</v>
      </c>
      <c r="D168" s="13"/>
      <c r="E168" s="54"/>
      <c r="F168" s="2"/>
      <c r="G168" s="12"/>
      <c r="H168" s="13" t="s">
        <v>411</v>
      </c>
    </row>
    <row r="169" spans="1:8" x14ac:dyDescent="0.15">
      <c r="A169" s="2"/>
      <c r="B169" s="12" t="s">
        <v>21</v>
      </c>
      <c r="C169" s="53">
        <v>39674</v>
      </c>
      <c r="D169" s="13" t="s">
        <v>14</v>
      </c>
      <c r="E169" s="54">
        <v>3.8877314814814816E-2</v>
      </c>
      <c r="F169" s="12">
        <v>161</v>
      </c>
      <c r="G169" s="12">
        <v>12</v>
      </c>
      <c r="H169" s="13" t="s">
        <v>411</v>
      </c>
    </row>
    <row r="170" spans="1:8" x14ac:dyDescent="0.15">
      <c r="A170" s="2"/>
      <c r="B170" s="12" t="s">
        <v>23</v>
      </c>
      <c r="C170" s="53">
        <v>39675</v>
      </c>
      <c r="D170" s="13"/>
      <c r="E170" s="54"/>
      <c r="F170" s="12"/>
      <c r="G170" s="12"/>
      <c r="H170" s="13" t="s">
        <v>411</v>
      </c>
    </row>
    <row r="171" spans="1:8" x14ac:dyDescent="0.15">
      <c r="A171" s="2"/>
      <c r="B171" s="29" t="s">
        <v>25</v>
      </c>
      <c r="C171" s="55">
        <v>39676</v>
      </c>
      <c r="D171" s="17" t="s">
        <v>14</v>
      </c>
      <c r="E171" s="57">
        <v>9.722222222222221E-2</v>
      </c>
      <c r="F171" s="2">
        <v>159</v>
      </c>
      <c r="G171" s="16">
        <v>28</v>
      </c>
      <c r="H171" s="13" t="s">
        <v>411</v>
      </c>
    </row>
    <row r="172" spans="1:8" x14ac:dyDescent="0.15">
      <c r="A172" s="4">
        <f>A165+1</f>
        <v>25</v>
      </c>
      <c r="B172" s="8" t="s">
        <v>9</v>
      </c>
      <c r="C172" s="51">
        <v>39677</v>
      </c>
      <c r="D172" s="8"/>
      <c r="E172" s="52"/>
      <c r="F172" s="7"/>
      <c r="G172" s="7"/>
      <c r="H172" s="13" t="s">
        <v>411</v>
      </c>
    </row>
    <row r="173" spans="1:8" x14ac:dyDescent="0.15">
      <c r="A173" s="34" t="s">
        <v>11</v>
      </c>
      <c r="B173" s="13" t="s">
        <v>12</v>
      </c>
      <c r="C173" s="53">
        <v>39678</v>
      </c>
      <c r="D173" s="13"/>
      <c r="E173" s="54"/>
      <c r="F173" s="2"/>
      <c r="G173" s="12"/>
      <c r="H173" s="13" t="s">
        <v>411</v>
      </c>
    </row>
    <row r="174" spans="1:8" x14ac:dyDescent="0.15">
      <c r="A174" s="15">
        <f>SUM(G172:G178)</f>
        <v>42</v>
      </c>
      <c r="B174" s="13" t="s">
        <v>17</v>
      </c>
      <c r="C174" s="53">
        <v>39679</v>
      </c>
      <c r="D174" s="13" t="s">
        <v>14</v>
      </c>
      <c r="E174" s="54">
        <f>G174*$L$16</f>
        <v>4.1473765432098769E-2</v>
      </c>
      <c r="F174" s="12">
        <v>150</v>
      </c>
      <c r="G174" s="12">
        <v>12</v>
      </c>
      <c r="H174" s="13" t="s">
        <v>411</v>
      </c>
    </row>
    <row r="175" spans="1:8" x14ac:dyDescent="0.15">
      <c r="A175" s="2"/>
      <c r="B175" s="13" t="s">
        <v>19</v>
      </c>
      <c r="C175" s="53">
        <v>39680</v>
      </c>
      <c r="D175" s="13"/>
      <c r="E175" s="54"/>
      <c r="F175" s="2"/>
      <c r="G175" s="12"/>
      <c r="H175" s="13" t="s">
        <v>411</v>
      </c>
    </row>
    <row r="176" spans="1:8" x14ac:dyDescent="0.15">
      <c r="A176" s="2"/>
      <c r="B176" s="13" t="s">
        <v>21</v>
      </c>
      <c r="C176" s="53">
        <v>39681</v>
      </c>
      <c r="D176" s="13"/>
      <c r="E176" s="54"/>
      <c r="F176" s="12"/>
      <c r="G176" s="12"/>
      <c r="H176" s="13" t="s">
        <v>411</v>
      </c>
    </row>
    <row r="177" spans="1:9" x14ac:dyDescent="0.15">
      <c r="A177" s="2"/>
      <c r="B177" s="30" t="s">
        <v>23</v>
      </c>
      <c r="C177" s="53">
        <v>39682</v>
      </c>
      <c r="D177" s="13" t="s">
        <v>14</v>
      </c>
      <c r="E177" s="54">
        <v>0.10663194444444445</v>
      </c>
      <c r="F177" s="12">
        <v>153</v>
      </c>
      <c r="G177" s="12">
        <v>30</v>
      </c>
      <c r="H177" s="13" t="s">
        <v>411</v>
      </c>
    </row>
    <row r="178" spans="1:9" x14ac:dyDescent="0.15">
      <c r="A178" s="35"/>
      <c r="B178" s="17" t="s">
        <v>25</v>
      </c>
      <c r="C178" s="55">
        <v>39683</v>
      </c>
      <c r="D178" s="17"/>
      <c r="E178" s="57"/>
      <c r="F178" s="2"/>
      <c r="G178" s="16"/>
      <c r="H178" s="13" t="s">
        <v>411</v>
      </c>
    </row>
    <row r="179" spans="1:9" x14ac:dyDescent="0.15">
      <c r="A179" s="4">
        <f>A172+1</f>
        <v>26</v>
      </c>
      <c r="B179" s="6" t="s">
        <v>9</v>
      </c>
      <c r="C179" s="51">
        <v>39684</v>
      </c>
      <c r="D179" s="8" t="s">
        <v>40</v>
      </c>
      <c r="E179" s="52">
        <v>4.0659722222222222E-2</v>
      </c>
      <c r="F179" s="7">
        <v>141</v>
      </c>
      <c r="G179" s="7">
        <v>12</v>
      </c>
      <c r="H179" s="13" t="s">
        <v>411</v>
      </c>
    </row>
    <row r="180" spans="1:9" x14ac:dyDescent="0.15">
      <c r="A180" s="11" t="s">
        <v>11</v>
      </c>
      <c r="B180" s="12" t="s">
        <v>12</v>
      </c>
      <c r="C180" s="53">
        <v>39685</v>
      </c>
      <c r="D180" s="13"/>
      <c r="E180" s="54"/>
      <c r="F180" s="2"/>
      <c r="G180" s="12"/>
      <c r="H180" s="13" t="s">
        <v>411</v>
      </c>
    </row>
    <row r="181" spans="1:9" x14ac:dyDescent="0.15">
      <c r="A181" s="15">
        <f>SUM(G179:G185)</f>
        <v>49.2</v>
      </c>
      <c r="B181" s="12" t="s">
        <v>17</v>
      </c>
      <c r="C181" s="53">
        <v>39686</v>
      </c>
      <c r="D181" s="13" t="s">
        <v>14</v>
      </c>
      <c r="E181" s="54">
        <v>4.8240740740740737E-2</v>
      </c>
      <c r="F181" s="12">
        <v>141</v>
      </c>
      <c r="G181" s="12">
        <v>13.6</v>
      </c>
      <c r="H181" s="13" t="s">
        <v>411</v>
      </c>
    </row>
    <row r="182" spans="1:9" x14ac:dyDescent="0.15">
      <c r="A182" s="2"/>
      <c r="B182" s="12" t="s">
        <v>19</v>
      </c>
      <c r="C182" s="53">
        <v>39687</v>
      </c>
      <c r="D182" s="13"/>
      <c r="E182" s="54"/>
      <c r="F182" s="2"/>
      <c r="G182" s="12"/>
      <c r="H182" s="13" t="s">
        <v>411</v>
      </c>
    </row>
    <row r="183" spans="1:9" x14ac:dyDescent="0.15">
      <c r="A183" s="2"/>
      <c r="B183" s="12" t="s">
        <v>21</v>
      </c>
      <c r="C183" s="53">
        <v>39688</v>
      </c>
      <c r="D183" s="13" t="s">
        <v>147</v>
      </c>
      <c r="E183" s="54">
        <v>4.9456018518518517E-2</v>
      </c>
      <c r="F183" s="12">
        <v>141</v>
      </c>
      <c r="G183" s="12">
        <v>13.6</v>
      </c>
      <c r="H183" s="13" t="s">
        <v>411</v>
      </c>
    </row>
    <row r="184" spans="1:9" x14ac:dyDescent="0.15">
      <c r="A184" s="2"/>
      <c r="B184" s="12" t="s">
        <v>23</v>
      </c>
      <c r="C184" s="53">
        <v>39689</v>
      </c>
      <c r="D184" s="13"/>
      <c r="E184" s="54"/>
      <c r="F184" s="12"/>
      <c r="G184" s="12"/>
      <c r="H184" s="13" t="s">
        <v>411</v>
      </c>
    </row>
    <row r="185" spans="1:9" x14ac:dyDescent="0.15">
      <c r="A185" s="2"/>
      <c r="B185" s="16" t="s">
        <v>25</v>
      </c>
      <c r="C185" s="55">
        <v>39690</v>
      </c>
      <c r="D185" s="17" t="s">
        <v>49</v>
      </c>
      <c r="E185" s="57">
        <v>3.1574074074074074E-2</v>
      </c>
      <c r="F185" s="2">
        <v>141</v>
      </c>
      <c r="G185" s="16">
        <v>10</v>
      </c>
      <c r="H185" s="13" t="s">
        <v>411</v>
      </c>
    </row>
    <row r="186" spans="1:9" x14ac:dyDescent="0.15">
      <c r="A186" s="4">
        <f>A179+1</f>
        <v>27</v>
      </c>
      <c r="B186" s="6" t="s">
        <v>9</v>
      </c>
      <c r="C186" s="51">
        <v>39691</v>
      </c>
      <c r="D186" s="8"/>
      <c r="E186" s="52"/>
      <c r="F186" s="7"/>
      <c r="G186" s="7"/>
      <c r="H186" s="13" t="s">
        <v>411</v>
      </c>
    </row>
    <row r="187" spans="1:9" x14ac:dyDescent="0.15">
      <c r="A187" s="11" t="s">
        <v>11</v>
      </c>
      <c r="B187" s="12" t="s">
        <v>12</v>
      </c>
      <c r="C187" s="53">
        <v>39692</v>
      </c>
      <c r="D187" s="13" t="s">
        <v>14</v>
      </c>
      <c r="E187" s="54">
        <f>G187*$L$16</f>
        <v>4.8386059670781897E-2</v>
      </c>
      <c r="F187" s="2" t="s">
        <v>414</v>
      </c>
      <c r="G187" s="12">
        <v>14</v>
      </c>
      <c r="H187" s="13" t="s">
        <v>411</v>
      </c>
    </row>
    <row r="188" spans="1:9" x14ac:dyDescent="0.15">
      <c r="A188" s="15">
        <f>SUM(G186:G192)</f>
        <v>30</v>
      </c>
      <c r="B188" s="12" t="s">
        <v>17</v>
      </c>
      <c r="C188" s="53">
        <v>39693</v>
      </c>
      <c r="D188" s="13"/>
      <c r="E188" s="54"/>
      <c r="F188" s="12"/>
      <c r="G188" s="12"/>
      <c r="H188" s="13" t="s">
        <v>411</v>
      </c>
      <c r="I188" s="58"/>
    </row>
    <row r="189" spans="1:9" x14ac:dyDescent="0.15">
      <c r="A189" s="2"/>
      <c r="B189" s="12" t="s">
        <v>19</v>
      </c>
      <c r="C189" s="53">
        <v>39694</v>
      </c>
      <c r="D189" s="13" t="s">
        <v>14</v>
      </c>
      <c r="E189" s="54">
        <f>G189*$L$16</f>
        <v>5.5298353909465026E-2</v>
      </c>
      <c r="F189" s="2" t="s">
        <v>418</v>
      </c>
      <c r="G189" s="12">
        <v>16</v>
      </c>
      <c r="H189" s="13" t="s">
        <v>411</v>
      </c>
      <c r="I189" s="58"/>
    </row>
    <row r="190" spans="1:9" x14ac:dyDescent="0.15">
      <c r="A190" s="2"/>
      <c r="B190" s="12" t="s">
        <v>21</v>
      </c>
      <c r="C190" s="53">
        <v>39695</v>
      </c>
      <c r="D190" s="13"/>
      <c r="E190" s="54"/>
      <c r="F190" s="12"/>
      <c r="G190" s="12"/>
      <c r="H190" s="13" t="s">
        <v>411</v>
      </c>
      <c r="I190" s="3418" t="s">
        <v>426</v>
      </c>
    </row>
    <row r="191" spans="1:9" x14ac:dyDescent="0.15">
      <c r="A191" s="2"/>
      <c r="B191" s="12" t="s">
        <v>23</v>
      </c>
      <c r="C191" s="53">
        <v>39696</v>
      </c>
      <c r="D191" s="13"/>
      <c r="E191" s="54"/>
      <c r="F191" s="12"/>
      <c r="G191" s="12"/>
      <c r="H191" s="13" t="s">
        <v>411</v>
      </c>
      <c r="I191" s="3418"/>
    </row>
    <row r="192" spans="1:9" x14ac:dyDescent="0.15">
      <c r="A192" s="2"/>
      <c r="B192" s="16" t="s">
        <v>25</v>
      </c>
      <c r="C192" s="55">
        <v>39697</v>
      </c>
      <c r="D192" s="17"/>
      <c r="E192" s="57"/>
      <c r="F192" s="2"/>
      <c r="G192" s="16"/>
      <c r="H192" s="13" t="s">
        <v>411</v>
      </c>
      <c r="I192" s="3418"/>
    </row>
    <row r="193" spans="1:9" x14ac:dyDescent="0.15">
      <c r="A193" s="4">
        <f>A186+1</f>
        <v>28</v>
      </c>
      <c r="B193" s="6" t="s">
        <v>9</v>
      </c>
      <c r="C193" s="51">
        <v>39698</v>
      </c>
      <c r="D193" s="8"/>
      <c r="E193" s="52"/>
      <c r="F193" s="7"/>
      <c r="G193" s="7"/>
      <c r="H193" s="13" t="s">
        <v>411</v>
      </c>
      <c r="I193" s="3418"/>
    </row>
    <row r="194" spans="1:9" x14ac:dyDescent="0.15">
      <c r="A194" s="11" t="s">
        <v>11</v>
      </c>
      <c r="B194" s="12" t="s">
        <v>12</v>
      </c>
      <c r="C194" s="53">
        <v>39699</v>
      </c>
      <c r="D194" s="13"/>
      <c r="E194" s="54"/>
      <c r="F194" s="2"/>
      <c r="G194" s="12"/>
      <c r="H194" s="13" t="s">
        <v>411</v>
      </c>
      <c r="I194" s="3418"/>
    </row>
    <row r="195" spans="1:9" x14ac:dyDescent="0.15">
      <c r="A195" s="15">
        <f>SUM(G193:G199)</f>
        <v>0</v>
      </c>
      <c r="B195" s="12" t="s">
        <v>17</v>
      </c>
      <c r="C195" s="53">
        <v>39700</v>
      </c>
      <c r="D195" s="13"/>
      <c r="E195" s="54"/>
      <c r="F195" s="12"/>
      <c r="G195" s="12"/>
      <c r="H195" s="13" t="s">
        <v>411</v>
      </c>
      <c r="I195" s="3418"/>
    </row>
    <row r="196" spans="1:9" x14ac:dyDescent="0.15">
      <c r="A196" s="2"/>
      <c r="B196" s="12" t="s">
        <v>19</v>
      </c>
      <c r="C196" s="53">
        <v>39701</v>
      </c>
      <c r="D196" s="13"/>
      <c r="E196" s="54"/>
      <c r="F196" s="2"/>
      <c r="G196" s="12"/>
      <c r="H196" s="13" t="s">
        <v>411</v>
      </c>
      <c r="I196" s="3418"/>
    </row>
    <row r="197" spans="1:9" x14ac:dyDescent="0.15">
      <c r="A197" s="2"/>
      <c r="B197" s="12" t="s">
        <v>21</v>
      </c>
      <c r="C197" s="53">
        <v>39702</v>
      </c>
      <c r="D197" s="13"/>
      <c r="E197" s="54"/>
      <c r="F197" s="12"/>
      <c r="G197" s="12"/>
      <c r="H197" s="13" t="s">
        <v>411</v>
      </c>
      <c r="I197" s="3418"/>
    </row>
    <row r="198" spans="1:9" x14ac:dyDescent="0.15">
      <c r="A198" s="2"/>
      <c r="B198" s="12" t="s">
        <v>23</v>
      </c>
      <c r="C198" s="53">
        <v>39703</v>
      </c>
      <c r="D198" s="13"/>
      <c r="E198" s="54"/>
      <c r="F198" s="12"/>
      <c r="G198" s="12"/>
      <c r="H198" s="13" t="s">
        <v>411</v>
      </c>
      <c r="I198" s="3418"/>
    </row>
    <row r="199" spans="1:9" x14ac:dyDescent="0.15">
      <c r="A199" s="2"/>
      <c r="B199" s="16" t="s">
        <v>25</v>
      </c>
      <c r="C199" s="55">
        <v>39704</v>
      </c>
      <c r="D199" s="17"/>
      <c r="E199" s="57"/>
      <c r="F199" s="2"/>
      <c r="G199" s="16"/>
      <c r="H199" s="13" t="s">
        <v>411</v>
      </c>
      <c r="I199" s="3418"/>
    </row>
    <row r="200" spans="1:9" x14ac:dyDescent="0.15">
      <c r="A200" s="4">
        <f>A193+1</f>
        <v>29</v>
      </c>
      <c r="B200" s="6" t="s">
        <v>9</v>
      </c>
      <c r="C200" s="51">
        <v>39705</v>
      </c>
      <c r="D200" s="8"/>
      <c r="E200" s="52"/>
      <c r="F200" s="7"/>
      <c r="G200" s="7"/>
      <c r="H200" s="13" t="s">
        <v>411</v>
      </c>
      <c r="I200" s="3418"/>
    </row>
    <row r="201" spans="1:9" x14ac:dyDescent="0.15">
      <c r="A201" s="11" t="s">
        <v>11</v>
      </c>
      <c r="B201" s="12" t="s">
        <v>12</v>
      </c>
      <c r="C201" s="53">
        <v>39706</v>
      </c>
      <c r="D201" s="13"/>
      <c r="E201" s="54"/>
      <c r="F201" s="2"/>
      <c r="G201" s="12"/>
      <c r="H201" s="13" t="s">
        <v>411</v>
      </c>
      <c r="I201" s="3418"/>
    </row>
    <row r="202" spans="1:9" x14ac:dyDescent="0.15">
      <c r="A202" s="15">
        <f>SUM(G200:G206)</f>
        <v>0</v>
      </c>
      <c r="B202" s="12" t="s">
        <v>17</v>
      </c>
      <c r="C202" s="53">
        <v>39707</v>
      </c>
      <c r="D202" s="13"/>
      <c r="E202" s="54"/>
      <c r="F202" s="12"/>
      <c r="G202" s="12"/>
      <c r="H202" s="13" t="s">
        <v>411</v>
      </c>
      <c r="I202" s="3418"/>
    </row>
    <row r="203" spans="1:9" x14ac:dyDescent="0.15">
      <c r="A203" s="2"/>
      <c r="B203" s="12" t="s">
        <v>19</v>
      </c>
      <c r="C203" s="53">
        <v>39708</v>
      </c>
      <c r="D203" s="13"/>
      <c r="E203" s="54"/>
      <c r="F203" s="2"/>
      <c r="G203" s="12"/>
      <c r="H203" s="13" t="s">
        <v>411</v>
      </c>
      <c r="I203" s="3418"/>
    </row>
    <row r="204" spans="1:9" x14ac:dyDescent="0.15">
      <c r="A204" s="2"/>
      <c r="B204" s="12" t="s">
        <v>21</v>
      </c>
      <c r="C204" s="53">
        <v>39709</v>
      </c>
      <c r="D204" s="13"/>
      <c r="E204" s="54"/>
      <c r="F204" s="12"/>
      <c r="G204" s="12"/>
      <c r="H204" s="13" t="s">
        <v>411</v>
      </c>
      <c r="I204" s="3418"/>
    </row>
    <row r="205" spans="1:9" x14ac:dyDescent="0.15">
      <c r="A205" s="2"/>
      <c r="B205" s="12" t="s">
        <v>23</v>
      </c>
      <c r="C205" s="53">
        <v>39710</v>
      </c>
      <c r="D205" s="13"/>
      <c r="E205" s="54"/>
      <c r="F205" s="12"/>
      <c r="G205" s="12"/>
      <c r="H205" s="13" t="s">
        <v>411</v>
      </c>
      <c r="I205" s="3418"/>
    </row>
    <row r="206" spans="1:9" x14ac:dyDescent="0.15">
      <c r="A206" s="2"/>
      <c r="B206" s="16" t="s">
        <v>25</v>
      </c>
      <c r="C206" s="55">
        <v>39711</v>
      </c>
      <c r="D206" s="17"/>
      <c r="E206" s="57"/>
      <c r="F206" s="2"/>
      <c r="G206" s="16"/>
      <c r="H206" s="13" t="s">
        <v>411</v>
      </c>
    </row>
    <row r="207" spans="1:9" x14ac:dyDescent="0.15">
      <c r="A207" s="4">
        <f>A200+1</f>
        <v>30</v>
      </c>
      <c r="B207" s="6" t="s">
        <v>9</v>
      </c>
      <c r="C207" s="51">
        <v>39712</v>
      </c>
      <c r="D207" s="8" t="s">
        <v>14</v>
      </c>
      <c r="E207" s="52">
        <v>3.4097222222222216E-2</v>
      </c>
      <c r="F207" s="7">
        <v>163</v>
      </c>
      <c r="G207" s="7">
        <v>10</v>
      </c>
      <c r="H207" s="13" t="s">
        <v>411</v>
      </c>
    </row>
    <row r="208" spans="1:9" x14ac:dyDescent="0.15">
      <c r="A208" s="11" t="s">
        <v>11</v>
      </c>
      <c r="B208" s="12" t="s">
        <v>12</v>
      </c>
      <c r="C208" s="53">
        <v>39713</v>
      </c>
      <c r="D208" s="13"/>
      <c r="E208" s="54"/>
      <c r="F208" s="2"/>
      <c r="G208" s="12"/>
      <c r="H208" s="13" t="s">
        <v>411</v>
      </c>
    </row>
    <row r="209" spans="1:8" x14ac:dyDescent="0.15">
      <c r="A209" s="15">
        <f>SUM(G207:G213)</f>
        <v>40</v>
      </c>
      <c r="B209" s="12" t="s">
        <v>17</v>
      </c>
      <c r="C209" s="53">
        <v>39714</v>
      </c>
      <c r="D209" s="13" t="s">
        <v>40</v>
      </c>
      <c r="E209" s="54">
        <v>5.0821759259259261E-2</v>
      </c>
      <c r="F209" s="12">
        <v>163</v>
      </c>
      <c r="G209" s="12">
        <v>14</v>
      </c>
      <c r="H209" s="13" t="s">
        <v>411</v>
      </c>
    </row>
    <row r="210" spans="1:8" x14ac:dyDescent="0.15">
      <c r="A210" s="2"/>
      <c r="B210" s="12" t="s">
        <v>19</v>
      </c>
      <c r="C210" s="53">
        <v>39715</v>
      </c>
      <c r="D210" s="13"/>
      <c r="E210" s="54"/>
      <c r="F210" s="2"/>
      <c r="G210" s="12"/>
      <c r="H210" s="13" t="s">
        <v>411</v>
      </c>
    </row>
    <row r="211" spans="1:8" x14ac:dyDescent="0.15">
      <c r="A211" s="2"/>
      <c r="B211" s="12" t="s">
        <v>21</v>
      </c>
      <c r="C211" s="53">
        <v>39716</v>
      </c>
      <c r="D211" s="13" t="s">
        <v>14</v>
      </c>
      <c r="E211" s="54">
        <v>5.2986111111111109E-2</v>
      </c>
      <c r="F211" s="12">
        <v>159</v>
      </c>
      <c r="G211" s="12">
        <v>16</v>
      </c>
      <c r="H211" s="13" t="s">
        <v>411</v>
      </c>
    </row>
    <row r="212" spans="1:8" x14ac:dyDescent="0.15">
      <c r="A212" s="2"/>
      <c r="B212" s="12" t="s">
        <v>23</v>
      </c>
      <c r="C212" s="53">
        <v>39717</v>
      </c>
      <c r="D212" s="13"/>
      <c r="E212" s="54"/>
      <c r="F212" s="12"/>
      <c r="G212" s="12"/>
      <c r="H212" s="13" t="s">
        <v>411</v>
      </c>
    </row>
    <row r="213" spans="1:8" x14ac:dyDescent="0.15">
      <c r="A213" s="2"/>
      <c r="B213" s="16" t="s">
        <v>25</v>
      </c>
      <c r="C213" s="55">
        <v>39718</v>
      </c>
      <c r="D213" s="17"/>
      <c r="E213" s="57"/>
      <c r="F213" s="2"/>
      <c r="G213" s="16"/>
      <c r="H213" s="13" t="s">
        <v>411</v>
      </c>
    </row>
    <row r="214" spans="1:8" x14ac:dyDescent="0.15">
      <c r="A214" s="4">
        <f>A207+1</f>
        <v>31</v>
      </c>
      <c r="B214" s="6" t="s">
        <v>9</v>
      </c>
      <c r="C214" s="51">
        <v>39719</v>
      </c>
      <c r="D214" s="8"/>
      <c r="E214" s="52"/>
      <c r="F214" s="7"/>
      <c r="G214" s="7"/>
      <c r="H214" s="13" t="s">
        <v>411</v>
      </c>
    </row>
    <row r="215" spans="1:8" x14ac:dyDescent="0.15">
      <c r="A215" s="11" t="s">
        <v>11</v>
      </c>
      <c r="B215" s="12" t="s">
        <v>12</v>
      </c>
      <c r="C215" s="53">
        <v>39720</v>
      </c>
      <c r="D215" s="13"/>
      <c r="E215" s="54"/>
      <c r="F215" s="2"/>
      <c r="G215" s="12"/>
      <c r="H215" s="13" t="s">
        <v>411</v>
      </c>
    </row>
    <row r="216" spans="1:8" x14ac:dyDescent="0.15">
      <c r="A216" s="15">
        <f>SUM(G214:G220)</f>
        <v>50</v>
      </c>
      <c r="B216" s="12" t="s">
        <v>17</v>
      </c>
      <c r="C216" s="53">
        <v>39721</v>
      </c>
      <c r="D216" s="13" t="s">
        <v>49</v>
      </c>
      <c r="E216" s="54">
        <f>G216*$L$16</f>
        <v>4.8386059670781897E-2</v>
      </c>
      <c r="F216" s="12">
        <v>155</v>
      </c>
      <c r="G216" s="12">
        <v>14</v>
      </c>
      <c r="H216" s="13" t="s">
        <v>411</v>
      </c>
    </row>
    <row r="217" spans="1:8" x14ac:dyDescent="0.15">
      <c r="A217" s="2"/>
      <c r="B217" s="12" t="s">
        <v>19</v>
      </c>
      <c r="C217" s="53">
        <v>39722</v>
      </c>
      <c r="D217" s="13"/>
      <c r="E217" s="54"/>
      <c r="F217" s="2"/>
      <c r="G217" s="12"/>
      <c r="H217" s="13" t="s">
        <v>411</v>
      </c>
    </row>
    <row r="218" spans="1:8" x14ac:dyDescent="0.15">
      <c r="A218" s="2"/>
      <c r="B218" s="12" t="s">
        <v>21</v>
      </c>
      <c r="C218" s="53">
        <v>39723</v>
      </c>
      <c r="D218" s="13" t="s">
        <v>14</v>
      </c>
      <c r="E218" s="54">
        <f>G218*$L$16</f>
        <v>5.5298353909465026E-2</v>
      </c>
      <c r="F218" s="12">
        <v>156</v>
      </c>
      <c r="G218" s="12">
        <v>16</v>
      </c>
      <c r="H218" s="13" t="s">
        <v>411</v>
      </c>
    </row>
    <row r="219" spans="1:8" x14ac:dyDescent="0.15">
      <c r="A219" s="2"/>
      <c r="B219" s="12" t="s">
        <v>23</v>
      </c>
      <c r="C219" s="53">
        <v>39724</v>
      </c>
      <c r="D219" s="13"/>
      <c r="E219" s="54"/>
      <c r="F219" s="12"/>
      <c r="G219" s="12"/>
      <c r="H219" s="13" t="s">
        <v>411</v>
      </c>
    </row>
    <row r="220" spans="1:8" x14ac:dyDescent="0.15">
      <c r="A220" s="2"/>
      <c r="B220" s="16" t="s">
        <v>25</v>
      </c>
      <c r="C220" s="55">
        <v>39725</v>
      </c>
      <c r="D220" s="17" t="s">
        <v>14</v>
      </c>
      <c r="E220" s="57">
        <v>6.9328703703703712E-2</v>
      </c>
      <c r="F220" s="59">
        <v>157</v>
      </c>
      <c r="G220" s="16">
        <v>20</v>
      </c>
      <c r="H220" s="13" t="s">
        <v>411</v>
      </c>
    </row>
    <row r="221" spans="1:8" x14ac:dyDescent="0.15">
      <c r="A221" s="4">
        <f>A214+1</f>
        <v>32</v>
      </c>
      <c r="B221" s="6" t="s">
        <v>9</v>
      </c>
      <c r="C221" s="51">
        <v>39726</v>
      </c>
      <c r="D221" s="8" t="s">
        <v>40</v>
      </c>
      <c r="E221" s="52">
        <v>2.4525462962962964E-2</v>
      </c>
      <c r="F221" s="7"/>
      <c r="G221" s="7">
        <v>6</v>
      </c>
      <c r="H221" s="13" t="s">
        <v>411</v>
      </c>
    </row>
    <row r="222" spans="1:8" x14ac:dyDescent="0.15">
      <c r="A222" s="11" t="s">
        <v>11</v>
      </c>
      <c r="B222" s="12" t="s">
        <v>12</v>
      </c>
      <c r="C222" s="53">
        <v>39727</v>
      </c>
      <c r="D222" s="13"/>
      <c r="E222" s="54"/>
      <c r="F222" s="2"/>
      <c r="G222" s="12"/>
      <c r="H222" s="13" t="s">
        <v>411</v>
      </c>
    </row>
    <row r="223" spans="1:8" x14ac:dyDescent="0.15">
      <c r="A223" s="15">
        <f>SUM(G221:G227)+42.192</f>
        <v>96.387</v>
      </c>
      <c r="B223" s="12" t="s">
        <v>17</v>
      </c>
      <c r="C223" s="53">
        <v>39728</v>
      </c>
      <c r="D223" s="13"/>
      <c r="E223" s="54"/>
      <c r="F223" s="12"/>
      <c r="G223" s="12"/>
      <c r="H223" s="13" t="s">
        <v>411</v>
      </c>
    </row>
    <row r="224" spans="1:8" x14ac:dyDescent="0.15">
      <c r="A224" s="2"/>
      <c r="B224" s="12" t="s">
        <v>19</v>
      </c>
      <c r="C224" s="53">
        <v>39729</v>
      </c>
      <c r="D224" s="13"/>
      <c r="E224" s="54"/>
      <c r="F224" s="2"/>
      <c r="G224" s="12"/>
      <c r="H224" s="13" t="s">
        <v>411</v>
      </c>
    </row>
    <row r="225" spans="1:8" x14ac:dyDescent="0.15">
      <c r="A225" s="2"/>
      <c r="B225" s="12" t="s">
        <v>21</v>
      </c>
      <c r="C225" s="53">
        <v>39730</v>
      </c>
      <c r="D225" s="13" t="s">
        <v>40</v>
      </c>
      <c r="E225" s="54">
        <f>G225*$L$16</f>
        <v>2.0736882716049385E-2</v>
      </c>
      <c r="F225" s="12" t="s">
        <v>414</v>
      </c>
      <c r="G225" s="12">
        <v>6</v>
      </c>
      <c r="H225" s="13" t="s">
        <v>411</v>
      </c>
    </row>
    <row r="226" spans="1:8" x14ac:dyDescent="0.15">
      <c r="A226" s="36" t="s">
        <v>229</v>
      </c>
      <c r="B226" s="12" t="s">
        <v>23</v>
      </c>
      <c r="C226" s="53">
        <v>39731</v>
      </c>
      <c r="D226" s="13"/>
      <c r="E226" s="54"/>
      <c r="F226" s="12"/>
      <c r="G226" s="12"/>
      <c r="H226" s="13" t="s">
        <v>411</v>
      </c>
    </row>
    <row r="227" spans="1:8" x14ac:dyDescent="0.15">
      <c r="A227" s="37">
        <f>A223+A216+A209+A202+A195+A181+A174+A167+A160+A153+A146+A139+A132+A125+A118+A104+A97+A90+A27+A34+A41+A48+A55+A62+A69+A76+A83+A6+A13+A20</f>
        <v>1034.627</v>
      </c>
      <c r="B227" s="16" t="s">
        <v>25</v>
      </c>
      <c r="C227" s="55">
        <v>39732</v>
      </c>
      <c r="D227" s="56" t="s">
        <v>427</v>
      </c>
      <c r="E227" s="56"/>
      <c r="F227" s="56"/>
      <c r="G227" s="56">
        <v>42.195</v>
      </c>
      <c r="H227" s="13" t="s">
        <v>411</v>
      </c>
    </row>
    <row r="229" spans="1:8" x14ac:dyDescent="0.15">
      <c r="E229"/>
    </row>
  </sheetData>
  <sheetProtection selectLockedCells="1" selectUnlockedCells="1"/>
  <mergeCells count="2">
    <mergeCell ref="A1:H1"/>
    <mergeCell ref="I190:I205"/>
  </mergeCells>
  <pageMargins left="0.78749999999999998" right="0.78749999999999998" top="0.78749999999999998" bottom="0.78749999999999998" header="0.51180555555555551" footer="0.51180555555555551"/>
  <pageSetup paperSize="9" firstPageNumber="0" orientation="landscape"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P327"/>
  <sheetViews>
    <sheetView zoomScale="85" zoomScaleNormal="85" zoomScalePageLayoutView="85" workbookViewId="0">
      <pane ySplit="3" topLeftCell="A270" activePane="bottomLeft" state="frozen"/>
      <selection pane="bottomLeft" activeCell="C5" sqref="C5"/>
    </sheetView>
  </sheetViews>
  <sheetFormatPr baseColWidth="10" defaultColWidth="11.5" defaultRowHeight="13" x14ac:dyDescent="0.15"/>
  <cols>
    <col min="1" max="1" width="10.5" customWidth="1"/>
    <col min="2" max="2" width="0" style="61" hidden="1" customWidth="1"/>
    <col min="3" max="3" width="10.5" style="46" customWidth="1"/>
    <col min="4" max="4" width="4.83203125" customWidth="1"/>
    <col min="5" max="5" width="8.5" style="47" customWidth="1"/>
    <col min="6" max="6" width="5.5" customWidth="1"/>
    <col min="7" max="7" width="7" style="62" customWidth="1"/>
    <col min="8" max="8" width="10.1640625" style="63" customWidth="1"/>
    <col min="9" max="9" width="16.33203125" style="63" customWidth="1"/>
    <col min="10" max="10" width="6.5" customWidth="1"/>
    <col min="12" max="12" width="11" style="48" customWidth="1"/>
  </cols>
  <sheetData>
    <row r="1" spans="1:16" ht="19" x14ac:dyDescent="0.15">
      <c r="A1" s="3419" t="s">
        <v>428</v>
      </c>
      <c r="B1" s="3419"/>
      <c r="C1" s="3419"/>
      <c r="D1" s="3419"/>
      <c r="E1" s="3419"/>
      <c r="F1" s="3419"/>
      <c r="G1" s="3419"/>
      <c r="H1" s="3419"/>
      <c r="I1" s="3419"/>
      <c r="J1" s="3419"/>
    </row>
    <row r="2" spans="1:16" x14ac:dyDescent="0.15">
      <c r="A2" s="2"/>
      <c r="B2" s="64"/>
      <c r="D2" s="2"/>
      <c r="E2" s="43"/>
      <c r="F2" s="2"/>
      <c r="G2" s="65"/>
      <c r="H2" s="45"/>
      <c r="I2" s="45"/>
      <c r="J2" s="2"/>
    </row>
    <row r="3" spans="1:16" x14ac:dyDescent="0.15">
      <c r="A3" s="3" t="s">
        <v>1</v>
      </c>
      <c r="B3" s="66" t="s">
        <v>2</v>
      </c>
      <c r="C3" s="67" t="s">
        <v>3</v>
      </c>
      <c r="D3" s="4" t="s">
        <v>4</v>
      </c>
      <c r="E3" s="50" t="s">
        <v>5</v>
      </c>
      <c r="F3" s="3" t="s">
        <v>410</v>
      </c>
      <c r="G3" s="68" t="s">
        <v>429</v>
      </c>
      <c r="H3" s="69" t="s">
        <v>430</v>
      </c>
      <c r="I3" s="69" t="s">
        <v>431</v>
      </c>
      <c r="J3" s="4" t="s">
        <v>432</v>
      </c>
    </row>
    <row r="4" spans="1:16" x14ac:dyDescent="0.15">
      <c r="A4" s="70"/>
      <c r="B4" s="71"/>
      <c r="C4" s="70" t="s">
        <v>433</v>
      </c>
      <c r="D4" s="70"/>
      <c r="E4" s="70"/>
      <c r="F4" s="70"/>
      <c r="G4" s="72">
        <v>709.7</v>
      </c>
      <c r="H4" s="73"/>
      <c r="I4" s="73" t="s">
        <v>434</v>
      </c>
      <c r="J4" s="60" t="s">
        <v>411</v>
      </c>
    </row>
    <row r="5" spans="1:16" x14ac:dyDescent="0.15">
      <c r="A5" s="70"/>
      <c r="B5" s="74" t="s">
        <v>435</v>
      </c>
      <c r="C5" s="75">
        <v>40230</v>
      </c>
      <c r="D5" s="60" t="s">
        <v>147</v>
      </c>
      <c r="E5" s="76">
        <v>3.484953703703704E-2</v>
      </c>
      <c r="F5" s="77">
        <v>157</v>
      </c>
      <c r="G5" s="72">
        <v>10</v>
      </c>
      <c r="H5" s="73">
        <f>E5/G5</f>
        <v>3.4849537037037041E-3</v>
      </c>
      <c r="I5" s="73" t="s">
        <v>434</v>
      </c>
      <c r="J5" s="60" t="s">
        <v>411</v>
      </c>
    </row>
    <row r="6" spans="1:16" x14ac:dyDescent="0.15">
      <c r="A6" s="4">
        <v>1</v>
      </c>
      <c r="B6" s="78">
        <v>40231</v>
      </c>
      <c r="C6" s="79">
        <v>40231</v>
      </c>
      <c r="D6" s="8"/>
      <c r="E6" s="52"/>
      <c r="F6" s="7"/>
      <c r="G6" s="80"/>
      <c r="H6" s="81"/>
      <c r="I6" s="81"/>
      <c r="J6" s="10" t="s">
        <v>411</v>
      </c>
      <c r="L6"/>
    </row>
    <row r="7" spans="1:16" x14ac:dyDescent="0.15">
      <c r="A7" s="11" t="s">
        <v>11</v>
      </c>
      <c r="B7" s="78">
        <v>40232</v>
      </c>
      <c r="C7" s="82">
        <v>40232</v>
      </c>
      <c r="D7" s="13"/>
      <c r="E7" s="54"/>
      <c r="F7" s="2"/>
      <c r="G7" s="83"/>
      <c r="H7" s="84"/>
      <c r="I7" s="84"/>
      <c r="J7" s="13" t="s">
        <v>411</v>
      </c>
      <c r="L7"/>
    </row>
    <row r="8" spans="1:16" x14ac:dyDescent="0.15">
      <c r="A8" s="15">
        <f>SUM(G6:G12)+G5</f>
        <v>29.6</v>
      </c>
      <c r="B8" s="78">
        <v>40233</v>
      </c>
      <c r="C8" s="82">
        <v>40233</v>
      </c>
      <c r="D8" s="13" t="s">
        <v>147</v>
      </c>
      <c r="E8" s="54">
        <v>3.5046296296296298E-2</v>
      </c>
      <c r="F8" s="12">
        <v>157</v>
      </c>
      <c r="G8" s="83">
        <v>10</v>
      </c>
      <c r="H8" s="84">
        <f>E8/G8</f>
        <v>3.5046296296296297E-3</v>
      </c>
      <c r="I8" s="84" t="s">
        <v>434</v>
      </c>
      <c r="J8" s="13" t="s">
        <v>411</v>
      </c>
      <c r="L8"/>
    </row>
    <row r="9" spans="1:16" x14ac:dyDescent="0.15">
      <c r="A9" s="2"/>
      <c r="B9" s="78">
        <v>40234</v>
      </c>
      <c r="C9" s="82">
        <v>40234</v>
      </c>
      <c r="D9" s="13"/>
      <c r="E9" s="54"/>
      <c r="F9" s="2"/>
      <c r="G9" s="83"/>
      <c r="H9" s="84"/>
      <c r="I9" s="84"/>
      <c r="J9" s="13" t="s">
        <v>411</v>
      </c>
      <c r="L9"/>
      <c r="M9" s="2"/>
      <c r="N9" s="2" t="s">
        <v>412</v>
      </c>
      <c r="O9" s="2" t="s">
        <v>410</v>
      </c>
    </row>
    <row r="10" spans="1:16" x14ac:dyDescent="0.15">
      <c r="A10" s="2"/>
      <c r="B10" s="78">
        <v>40235</v>
      </c>
      <c r="C10" s="82">
        <v>40235</v>
      </c>
      <c r="D10" s="13"/>
      <c r="E10" s="54"/>
      <c r="F10" s="12"/>
      <c r="G10" s="83"/>
      <c r="H10" s="84"/>
      <c r="I10" s="84"/>
      <c r="J10" s="13" t="s">
        <v>411</v>
      </c>
      <c r="L10"/>
      <c r="M10" s="2" t="s">
        <v>40</v>
      </c>
      <c r="N10" s="2" t="s">
        <v>413</v>
      </c>
      <c r="O10" s="2" t="s">
        <v>414</v>
      </c>
    </row>
    <row r="11" spans="1:16" x14ac:dyDescent="0.15">
      <c r="A11" s="2"/>
      <c r="B11" s="78">
        <v>40236</v>
      </c>
      <c r="C11" s="82">
        <v>40236</v>
      </c>
      <c r="D11" s="13" t="s">
        <v>147</v>
      </c>
      <c r="E11" s="54">
        <v>3.8113425925925926E-2</v>
      </c>
      <c r="F11" s="12">
        <v>161</v>
      </c>
      <c r="G11" s="83">
        <v>9.6</v>
      </c>
      <c r="H11" s="84">
        <f>E11/G11</f>
        <v>3.9701485339506178E-3</v>
      </c>
      <c r="I11" s="84" t="s">
        <v>436</v>
      </c>
      <c r="J11" s="13" t="s">
        <v>411</v>
      </c>
      <c r="L11"/>
      <c r="M11" s="2" t="s">
        <v>147</v>
      </c>
      <c r="N11" s="2" t="s">
        <v>415</v>
      </c>
      <c r="O11" s="2" t="s">
        <v>416</v>
      </c>
    </row>
    <row r="12" spans="1:16" x14ac:dyDescent="0.15">
      <c r="A12" s="2"/>
      <c r="B12" s="85">
        <v>40237</v>
      </c>
      <c r="C12" s="82">
        <v>40237</v>
      </c>
      <c r="D12" s="17"/>
      <c r="E12" s="54"/>
      <c r="F12" s="2"/>
      <c r="G12" s="86"/>
      <c r="H12" s="87"/>
      <c r="I12" s="87"/>
      <c r="J12" s="13" t="s">
        <v>411</v>
      </c>
      <c r="L12"/>
      <c r="M12" s="2" t="s">
        <v>14</v>
      </c>
      <c r="N12" s="2" t="s">
        <v>417</v>
      </c>
      <c r="O12" s="2" t="s">
        <v>418</v>
      </c>
    </row>
    <row r="13" spans="1:16" x14ac:dyDescent="0.15">
      <c r="A13" s="4">
        <f>A6+1</f>
        <v>2</v>
      </c>
      <c r="B13" s="78">
        <v>40238</v>
      </c>
      <c r="C13" s="79">
        <v>40238</v>
      </c>
      <c r="D13" s="8"/>
      <c r="E13" s="52"/>
      <c r="F13" s="7"/>
      <c r="G13" s="80"/>
      <c r="H13" s="81"/>
      <c r="I13" s="81"/>
      <c r="J13" s="10" t="s">
        <v>411</v>
      </c>
      <c r="L13"/>
      <c r="M13" s="2" t="s">
        <v>49</v>
      </c>
      <c r="N13" s="2" t="s">
        <v>419</v>
      </c>
      <c r="O13" s="2" t="s">
        <v>420</v>
      </c>
    </row>
    <row r="14" spans="1:16" x14ac:dyDescent="0.15">
      <c r="A14" s="11" t="s">
        <v>11</v>
      </c>
      <c r="B14" s="78">
        <v>40239</v>
      </c>
      <c r="C14" s="82">
        <v>40239</v>
      </c>
      <c r="D14" s="13" t="s">
        <v>147</v>
      </c>
      <c r="E14" s="54">
        <v>3.560185185185185E-2</v>
      </c>
      <c r="F14" s="2">
        <v>154</v>
      </c>
      <c r="G14" s="83">
        <v>10</v>
      </c>
      <c r="H14" s="84">
        <f>E14/G14</f>
        <v>3.5601851851851849E-3</v>
      </c>
      <c r="I14" s="84" t="s">
        <v>436</v>
      </c>
      <c r="J14" s="13" t="s">
        <v>411</v>
      </c>
      <c r="L14"/>
    </row>
    <row r="15" spans="1:16" x14ac:dyDescent="0.15">
      <c r="A15" s="15">
        <f>SUM(G13:G19)</f>
        <v>30</v>
      </c>
      <c r="B15" s="78">
        <v>40240</v>
      </c>
      <c r="C15" s="82">
        <v>40240</v>
      </c>
      <c r="D15" s="13"/>
      <c r="E15" s="54"/>
      <c r="F15" s="12"/>
      <c r="G15" s="83"/>
      <c r="H15" s="84"/>
      <c r="I15" s="84"/>
      <c r="J15" s="13" t="s">
        <v>411</v>
      </c>
      <c r="L15"/>
    </row>
    <row r="16" spans="1:16" x14ac:dyDescent="0.15">
      <c r="A16" s="2"/>
      <c r="B16" s="78">
        <v>40241</v>
      </c>
      <c r="C16" s="82">
        <v>40241</v>
      </c>
      <c r="D16" s="13" t="s">
        <v>147</v>
      </c>
      <c r="E16" s="54">
        <v>3.3009259259259259E-2</v>
      </c>
      <c r="F16" s="2">
        <v>161</v>
      </c>
      <c r="G16" s="83">
        <v>10</v>
      </c>
      <c r="H16" s="84">
        <f>E16/G16</f>
        <v>3.3009259259259259E-3</v>
      </c>
      <c r="I16" s="84" t="s">
        <v>436</v>
      </c>
      <c r="J16" s="13" t="s">
        <v>411</v>
      </c>
      <c r="L16"/>
      <c r="M16" s="2"/>
      <c r="N16" s="2" t="s">
        <v>421</v>
      </c>
      <c r="O16" s="2" t="s">
        <v>422</v>
      </c>
      <c r="P16" s="2" t="s">
        <v>423</v>
      </c>
    </row>
    <row r="17" spans="1:16" x14ac:dyDescent="0.15">
      <c r="A17" s="2"/>
      <c r="B17" s="78">
        <v>40242</v>
      </c>
      <c r="C17" s="82">
        <v>40242</v>
      </c>
      <c r="D17" s="13"/>
      <c r="E17" s="54"/>
      <c r="F17" s="12"/>
      <c r="G17" s="83"/>
      <c r="H17" s="84"/>
      <c r="I17" s="84"/>
      <c r="J17" s="13" t="s">
        <v>411</v>
      </c>
      <c r="L17"/>
      <c r="M17" s="2" t="s">
        <v>183</v>
      </c>
      <c r="N17" s="43">
        <v>6.2488425925925926E-2</v>
      </c>
      <c r="O17" s="45">
        <f>N17/(42.192/2)</f>
        <v>2.9620983089650135E-3</v>
      </c>
      <c r="P17" s="2">
        <f>284/60</f>
        <v>4.7333333333333334</v>
      </c>
    </row>
    <row r="18" spans="1:16" x14ac:dyDescent="0.15">
      <c r="A18" s="2"/>
      <c r="B18" s="78">
        <v>40243</v>
      </c>
      <c r="C18" s="82">
        <v>40243</v>
      </c>
      <c r="D18" s="13"/>
      <c r="E18" s="54"/>
      <c r="F18" s="12"/>
      <c r="G18" s="83"/>
      <c r="H18" s="84"/>
      <c r="I18" s="84"/>
      <c r="J18" s="13" t="s">
        <v>411</v>
      </c>
      <c r="L18"/>
      <c r="M18" s="2" t="s">
        <v>424</v>
      </c>
      <c r="N18" s="43">
        <v>0.14582175925925928</v>
      </c>
      <c r="O18" s="45">
        <f>N18/42.192</f>
        <v>3.4561471193415641E-3</v>
      </c>
      <c r="P18" s="2">
        <f>(4*60+59)/60</f>
        <v>4.9833333333333334</v>
      </c>
    </row>
    <row r="19" spans="1:16" x14ac:dyDescent="0.15">
      <c r="A19" s="2"/>
      <c r="B19" s="85">
        <v>40244</v>
      </c>
      <c r="C19" s="82">
        <v>40244</v>
      </c>
      <c r="D19" s="13" t="s">
        <v>147</v>
      </c>
      <c r="E19" s="54">
        <v>3.4722222222222224E-2</v>
      </c>
      <c r="F19" s="12">
        <v>158</v>
      </c>
      <c r="G19" s="83">
        <v>10</v>
      </c>
      <c r="H19" s="84">
        <f>E19/G19</f>
        <v>3.4722222222222225E-3</v>
      </c>
      <c r="I19" s="84" t="s">
        <v>436</v>
      </c>
      <c r="J19" s="13" t="s">
        <v>411</v>
      </c>
      <c r="L19"/>
    </row>
    <row r="20" spans="1:16" x14ac:dyDescent="0.15">
      <c r="A20" s="4">
        <f>A13+1</f>
        <v>3</v>
      </c>
      <c r="B20" s="78">
        <v>40245</v>
      </c>
      <c r="C20" s="79">
        <v>40245</v>
      </c>
      <c r="D20" s="8"/>
      <c r="E20" s="52"/>
      <c r="F20" s="7"/>
      <c r="G20" s="80"/>
      <c r="H20" s="81"/>
      <c r="I20" s="81"/>
      <c r="J20" s="10" t="s">
        <v>411</v>
      </c>
      <c r="L20"/>
    </row>
    <row r="21" spans="1:16" x14ac:dyDescent="0.15">
      <c r="A21" s="11" t="s">
        <v>11</v>
      </c>
      <c r="B21" s="78">
        <v>40246</v>
      </c>
      <c r="C21" s="82">
        <v>40246</v>
      </c>
      <c r="D21" s="13"/>
      <c r="E21" s="54"/>
      <c r="F21" s="2"/>
      <c r="G21" s="83"/>
      <c r="H21" s="84"/>
      <c r="I21" s="84"/>
      <c r="J21" s="13" t="s">
        <v>411</v>
      </c>
      <c r="L21"/>
    </row>
    <row r="22" spans="1:16" x14ac:dyDescent="0.15">
      <c r="A22" s="15">
        <f>SUM(G20:G26)</f>
        <v>10</v>
      </c>
      <c r="B22" s="78">
        <v>40247</v>
      </c>
      <c r="C22" s="82">
        <v>40247</v>
      </c>
      <c r="D22" s="13"/>
      <c r="E22" s="54"/>
      <c r="F22" s="12"/>
      <c r="G22" s="83"/>
      <c r="H22" s="84"/>
      <c r="I22" s="84"/>
      <c r="J22" s="13" t="s">
        <v>411</v>
      </c>
      <c r="L22"/>
    </row>
    <row r="23" spans="1:16" x14ac:dyDescent="0.15">
      <c r="A23" s="2"/>
      <c r="B23" s="78">
        <v>40248</v>
      </c>
      <c r="C23" s="82">
        <v>40248</v>
      </c>
      <c r="D23" s="13"/>
      <c r="E23" s="54"/>
      <c r="F23" s="2"/>
      <c r="G23" s="83"/>
      <c r="H23" s="84"/>
      <c r="I23" s="84"/>
      <c r="J23" s="13" t="s">
        <v>411</v>
      </c>
      <c r="L23"/>
    </row>
    <row r="24" spans="1:16" x14ac:dyDescent="0.15">
      <c r="A24" s="2"/>
      <c r="B24" s="78">
        <v>40249</v>
      </c>
      <c r="C24" s="82">
        <v>40249</v>
      </c>
      <c r="D24" s="13" t="s">
        <v>14</v>
      </c>
      <c r="E24" s="54">
        <v>3.5335648148148151E-2</v>
      </c>
      <c r="F24" s="12">
        <v>153</v>
      </c>
      <c r="G24" s="83">
        <v>10</v>
      </c>
      <c r="H24" s="84">
        <f>E24/G24</f>
        <v>3.5335648148148149E-3</v>
      </c>
      <c r="I24" s="84" t="s">
        <v>436</v>
      </c>
      <c r="J24" s="13" t="s">
        <v>411</v>
      </c>
      <c r="L24"/>
    </row>
    <row r="25" spans="1:16" x14ac:dyDescent="0.15">
      <c r="A25" s="2"/>
      <c r="B25" s="78">
        <v>40250</v>
      </c>
      <c r="C25" s="82">
        <v>40250</v>
      </c>
      <c r="D25" s="13"/>
      <c r="E25" s="54"/>
      <c r="F25" s="12"/>
      <c r="G25" s="83"/>
      <c r="H25" s="84"/>
      <c r="I25" s="84"/>
      <c r="J25" s="13" t="s">
        <v>411</v>
      </c>
      <c r="L25"/>
    </row>
    <row r="26" spans="1:16" x14ac:dyDescent="0.15">
      <c r="A26" s="2"/>
      <c r="B26" s="85">
        <v>40251</v>
      </c>
      <c r="C26" s="82">
        <v>40251</v>
      </c>
      <c r="D26" s="17"/>
      <c r="E26" s="54"/>
      <c r="F26" s="2"/>
      <c r="G26" s="86"/>
      <c r="H26" s="87"/>
      <c r="I26" s="87"/>
      <c r="J26" s="13" t="s">
        <v>411</v>
      </c>
      <c r="L26"/>
    </row>
    <row r="27" spans="1:16" x14ac:dyDescent="0.15">
      <c r="A27" s="4">
        <f>A20+1</f>
        <v>4</v>
      </c>
      <c r="B27" s="78">
        <v>40252</v>
      </c>
      <c r="C27" s="79">
        <v>40252</v>
      </c>
      <c r="D27" s="8"/>
      <c r="E27" s="52"/>
      <c r="F27" s="7"/>
      <c r="G27" s="80"/>
      <c r="H27" s="81"/>
      <c r="I27" s="81"/>
      <c r="J27" s="10" t="s">
        <v>411</v>
      </c>
      <c r="L27"/>
    </row>
    <row r="28" spans="1:16" x14ac:dyDescent="0.15">
      <c r="A28" s="11" t="s">
        <v>11</v>
      </c>
      <c r="B28" s="78">
        <v>40253</v>
      </c>
      <c r="C28" s="82">
        <v>40253</v>
      </c>
      <c r="D28" s="13" t="s">
        <v>49</v>
      </c>
      <c r="E28" s="54">
        <v>3.1643518518518515E-2</v>
      </c>
      <c r="F28" s="2">
        <v>164</v>
      </c>
      <c r="G28" s="83">
        <v>10</v>
      </c>
      <c r="H28" s="84">
        <f>E28/G28</f>
        <v>3.1643518518518514E-3</v>
      </c>
      <c r="I28" s="84" t="s">
        <v>436</v>
      </c>
      <c r="J28" s="13" t="s">
        <v>411</v>
      </c>
      <c r="L28"/>
    </row>
    <row r="29" spans="1:16" x14ac:dyDescent="0.15">
      <c r="A29" s="15">
        <f>SUM(G27:G33)</f>
        <v>36</v>
      </c>
      <c r="B29" s="78">
        <v>40254</v>
      </c>
      <c r="C29" s="82">
        <v>40254</v>
      </c>
      <c r="D29" s="13"/>
      <c r="E29" s="54"/>
      <c r="F29" s="12"/>
      <c r="G29" s="83"/>
      <c r="H29" s="84"/>
      <c r="I29" s="84"/>
      <c r="J29" s="13" t="s">
        <v>411</v>
      </c>
      <c r="L29"/>
    </row>
    <row r="30" spans="1:16" x14ac:dyDescent="0.15">
      <c r="A30" s="2"/>
      <c r="B30" s="78">
        <v>40255</v>
      </c>
      <c r="C30" s="82">
        <v>40255</v>
      </c>
      <c r="D30" s="13" t="s">
        <v>14</v>
      </c>
      <c r="E30" s="54">
        <v>4.2094907407407407E-2</v>
      </c>
      <c r="F30" s="2">
        <v>159</v>
      </c>
      <c r="G30" s="83">
        <v>12</v>
      </c>
      <c r="H30" s="84">
        <f>E30/G30</f>
        <v>3.5079089506172838E-3</v>
      </c>
      <c r="I30" s="84" t="s">
        <v>434</v>
      </c>
      <c r="J30" s="13" t="s">
        <v>411</v>
      </c>
      <c r="L30"/>
    </row>
    <row r="31" spans="1:16" x14ac:dyDescent="0.15">
      <c r="A31" s="2"/>
      <c r="B31" s="78">
        <v>40256</v>
      </c>
      <c r="C31" s="82">
        <v>40256</v>
      </c>
      <c r="D31" s="13"/>
      <c r="E31" s="54"/>
      <c r="F31" s="12"/>
      <c r="G31" s="83"/>
      <c r="H31" s="84"/>
      <c r="I31" s="84"/>
      <c r="J31" s="13" t="s">
        <v>411</v>
      </c>
      <c r="L31"/>
    </row>
    <row r="32" spans="1:16" x14ac:dyDescent="0.15">
      <c r="A32" s="2"/>
      <c r="B32" s="78">
        <v>40257</v>
      </c>
      <c r="C32" s="82">
        <v>40257</v>
      </c>
      <c r="D32" s="13"/>
      <c r="E32" s="54"/>
      <c r="F32" s="12"/>
      <c r="G32" s="83"/>
      <c r="H32" s="84"/>
      <c r="I32" s="84"/>
      <c r="J32" s="13" t="s">
        <v>411</v>
      </c>
      <c r="L32"/>
    </row>
    <row r="33" spans="1:12" x14ac:dyDescent="0.15">
      <c r="A33" s="2"/>
      <c r="B33" s="85">
        <v>40258</v>
      </c>
      <c r="C33" s="82">
        <v>40258</v>
      </c>
      <c r="D33" s="17" t="s">
        <v>14</v>
      </c>
      <c r="E33" s="54">
        <v>5.1053240740740739E-2</v>
      </c>
      <c r="F33" s="2">
        <v>153</v>
      </c>
      <c r="G33" s="86">
        <v>14</v>
      </c>
      <c r="H33" s="84">
        <f>E33/G33</f>
        <v>3.646660052910053E-3</v>
      </c>
      <c r="I33" s="84" t="s">
        <v>434</v>
      </c>
      <c r="J33" s="13" t="s">
        <v>411</v>
      </c>
      <c r="L33"/>
    </row>
    <row r="34" spans="1:12" x14ac:dyDescent="0.15">
      <c r="A34" s="4">
        <f>A27+1</f>
        <v>5</v>
      </c>
      <c r="B34" s="78">
        <v>40259</v>
      </c>
      <c r="C34" s="79">
        <v>40259</v>
      </c>
      <c r="D34" s="8"/>
      <c r="E34" s="52"/>
      <c r="F34" s="7"/>
      <c r="G34" s="80"/>
      <c r="H34" s="81"/>
      <c r="I34" s="81"/>
      <c r="J34" s="10" t="s">
        <v>411</v>
      </c>
      <c r="L34"/>
    </row>
    <row r="35" spans="1:12" x14ac:dyDescent="0.15">
      <c r="A35" s="11" t="s">
        <v>11</v>
      </c>
      <c r="B35" s="78">
        <v>40260</v>
      </c>
      <c r="C35" s="82">
        <v>40260</v>
      </c>
      <c r="D35" s="13" t="s">
        <v>14</v>
      </c>
      <c r="E35" s="54">
        <v>4.1192129629629627E-2</v>
      </c>
      <c r="F35" s="2">
        <v>156</v>
      </c>
      <c r="G35" s="83">
        <v>11.78</v>
      </c>
      <c r="H35" s="84">
        <f>E35/G35</f>
        <v>3.4967851977614288E-3</v>
      </c>
      <c r="I35" s="84" t="s">
        <v>436</v>
      </c>
      <c r="J35" s="13" t="s">
        <v>411</v>
      </c>
      <c r="L35"/>
    </row>
    <row r="36" spans="1:12" x14ac:dyDescent="0.15">
      <c r="A36" s="15">
        <f>SUM(G34:G40)</f>
        <v>25.88</v>
      </c>
      <c r="B36" s="78">
        <v>40261</v>
      </c>
      <c r="C36" s="82">
        <v>40261</v>
      </c>
      <c r="D36" s="13"/>
      <c r="E36" s="54"/>
      <c r="F36" s="12"/>
      <c r="G36" s="83"/>
      <c r="H36" s="84"/>
      <c r="I36" s="84"/>
      <c r="J36" s="13" t="s">
        <v>411</v>
      </c>
      <c r="L36"/>
    </row>
    <row r="37" spans="1:12" x14ac:dyDescent="0.15">
      <c r="A37" s="2"/>
      <c r="B37" s="78">
        <v>40262</v>
      </c>
      <c r="C37" s="82">
        <v>40262</v>
      </c>
      <c r="D37" s="13" t="s">
        <v>14</v>
      </c>
      <c r="E37" s="54">
        <v>4.8182870370370369E-2</v>
      </c>
      <c r="F37" s="2">
        <v>150</v>
      </c>
      <c r="G37" s="83">
        <v>14.1</v>
      </c>
      <c r="H37" s="84">
        <f>E37/G37</f>
        <v>3.4172248489624376E-3</v>
      </c>
      <c r="I37" s="84" t="s">
        <v>436</v>
      </c>
      <c r="J37" s="13" t="s">
        <v>411</v>
      </c>
      <c r="L37"/>
    </row>
    <row r="38" spans="1:12" x14ac:dyDescent="0.15">
      <c r="A38" s="2"/>
      <c r="B38" s="78">
        <v>40263</v>
      </c>
      <c r="C38" s="82">
        <v>40263</v>
      </c>
      <c r="D38" s="13"/>
      <c r="E38" s="54"/>
      <c r="F38" s="12"/>
      <c r="G38" s="83"/>
      <c r="H38" s="84"/>
      <c r="I38" s="84"/>
      <c r="J38" s="13" t="s">
        <v>411</v>
      </c>
      <c r="L38"/>
    </row>
    <row r="39" spans="1:12" x14ac:dyDescent="0.15">
      <c r="A39" s="2"/>
      <c r="B39" s="78">
        <v>40264</v>
      </c>
      <c r="C39" s="82">
        <v>40264</v>
      </c>
      <c r="D39" s="13"/>
      <c r="E39" s="54"/>
      <c r="F39" s="12"/>
      <c r="G39" s="83"/>
      <c r="H39" s="84"/>
      <c r="I39" s="84"/>
      <c r="J39" s="13" t="s">
        <v>411</v>
      </c>
      <c r="L39"/>
    </row>
    <row r="40" spans="1:12" x14ac:dyDescent="0.15">
      <c r="A40" s="2"/>
      <c r="B40" s="85">
        <v>40265</v>
      </c>
      <c r="C40" s="82">
        <v>40265</v>
      </c>
      <c r="D40" s="17"/>
      <c r="E40" s="54"/>
      <c r="F40" s="2"/>
      <c r="G40" s="86"/>
      <c r="H40" s="87"/>
      <c r="I40" s="87"/>
      <c r="J40" s="13" t="s">
        <v>411</v>
      </c>
      <c r="L40"/>
    </row>
    <row r="41" spans="1:12" x14ac:dyDescent="0.15">
      <c r="A41" s="4">
        <f>A34+1</f>
        <v>6</v>
      </c>
      <c r="B41" s="78">
        <v>40266</v>
      </c>
      <c r="C41" s="79">
        <v>40266</v>
      </c>
      <c r="D41" s="8"/>
      <c r="E41" s="52"/>
      <c r="F41" s="7"/>
      <c r="G41" s="80"/>
      <c r="H41" s="81"/>
      <c r="I41" s="81"/>
      <c r="J41" s="10" t="s">
        <v>411</v>
      </c>
      <c r="L41"/>
    </row>
    <row r="42" spans="1:12" x14ac:dyDescent="0.15">
      <c r="A42" s="11" t="s">
        <v>11</v>
      </c>
      <c r="B42" s="78">
        <v>40267</v>
      </c>
      <c r="C42" s="82">
        <v>40267</v>
      </c>
      <c r="D42" s="13" t="s">
        <v>14</v>
      </c>
      <c r="E42" s="54">
        <v>5.9976851851851851E-2</v>
      </c>
      <c r="F42" s="2">
        <v>147</v>
      </c>
      <c r="G42" s="83">
        <v>17.2</v>
      </c>
      <c r="H42" s="84">
        <f>E42/G42</f>
        <v>3.487026270456503E-3</v>
      </c>
      <c r="I42" s="84" t="s">
        <v>436</v>
      </c>
      <c r="J42" s="13" t="s">
        <v>411</v>
      </c>
      <c r="L42"/>
    </row>
    <row r="43" spans="1:12" x14ac:dyDescent="0.15">
      <c r="A43" s="15">
        <f>SUM(G41:G47)</f>
        <v>41.2</v>
      </c>
      <c r="B43" s="78">
        <v>40268</v>
      </c>
      <c r="C43" s="82">
        <v>40268</v>
      </c>
      <c r="D43" s="13"/>
      <c r="E43" s="54"/>
      <c r="F43" s="12"/>
      <c r="G43" s="83"/>
      <c r="H43" s="84"/>
      <c r="I43" s="84"/>
      <c r="J43" s="13" t="s">
        <v>411</v>
      </c>
      <c r="L43"/>
    </row>
    <row r="44" spans="1:12" x14ac:dyDescent="0.15">
      <c r="A44" s="2"/>
      <c r="B44" s="78">
        <v>40269</v>
      </c>
      <c r="C44" s="82">
        <v>40269</v>
      </c>
      <c r="D44" s="13"/>
      <c r="E44" s="54"/>
      <c r="F44" s="2"/>
      <c r="G44" s="83"/>
      <c r="H44" s="84"/>
      <c r="I44" s="84"/>
      <c r="J44" s="13" t="s">
        <v>411</v>
      </c>
      <c r="L44"/>
    </row>
    <row r="45" spans="1:12" x14ac:dyDescent="0.15">
      <c r="A45" s="2"/>
      <c r="B45" s="78">
        <v>40270</v>
      </c>
      <c r="C45" s="82">
        <v>40270</v>
      </c>
      <c r="D45" s="13" t="s">
        <v>49</v>
      </c>
      <c r="E45" s="54">
        <v>2.9791666666666668E-2</v>
      </c>
      <c r="F45" s="12">
        <v>162</v>
      </c>
      <c r="G45" s="83">
        <v>10</v>
      </c>
      <c r="H45" s="84">
        <f>E45/G45</f>
        <v>2.9791666666666669E-3</v>
      </c>
      <c r="I45" s="84" t="s">
        <v>436</v>
      </c>
      <c r="J45" s="13" t="s">
        <v>411</v>
      </c>
      <c r="L45"/>
    </row>
    <row r="46" spans="1:12" x14ac:dyDescent="0.15">
      <c r="A46" s="2"/>
      <c r="B46" s="78">
        <v>40271</v>
      </c>
      <c r="C46" s="82">
        <v>40271</v>
      </c>
      <c r="D46" s="13"/>
      <c r="E46" s="54"/>
      <c r="F46" s="12"/>
      <c r="G46" s="83"/>
      <c r="H46" s="84"/>
      <c r="I46" s="84"/>
      <c r="J46" s="13" t="s">
        <v>411</v>
      </c>
      <c r="L46"/>
    </row>
    <row r="47" spans="1:12" x14ac:dyDescent="0.15">
      <c r="A47" s="2"/>
      <c r="B47" s="85">
        <v>40272</v>
      </c>
      <c r="C47" s="82">
        <v>40272</v>
      </c>
      <c r="D47" s="17" t="s">
        <v>14</v>
      </c>
      <c r="E47" s="54">
        <v>4.914351851851851E-2</v>
      </c>
      <c r="F47" s="2">
        <v>149</v>
      </c>
      <c r="G47" s="86">
        <v>14</v>
      </c>
      <c r="H47" s="87">
        <f>E47/G47</f>
        <v>3.510251322751322E-3</v>
      </c>
      <c r="I47" s="87" t="s">
        <v>434</v>
      </c>
      <c r="J47" s="13" t="s">
        <v>411</v>
      </c>
      <c r="L47"/>
    </row>
    <row r="48" spans="1:12" x14ac:dyDescent="0.15">
      <c r="A48" s="4">
        <f>A41+1</f>
        <v>7</v>
      </c>
      <c r="B48" s="78">
        <v>40273</v>
      </c>
      <c r="C48" s="79">
        <v>40273</v>
      </c>
      <c r="D48" s="8" t="s">
        <v>14</v>
      </c>
      <c r="E48" s="52">
        <v>5.5995370370370369E-2</v>
      </c>
      <c r="F48" s="7">
        <v>150</v>
      </c>
      <c r="G48" s="80">
        <v>16</v>
      </c>
      <c r="H48" s="84">
        <f>E48/G48</f>
        <v>3.4997106481481481E-3</v>
      </c>
      <c r="I48" s="84" t="s">
        <v>434</v>
      </c>
      <c r="J48" s="10" t="s">
        <v>411</v>
      </c>
      <c r="L48"/>
    </row>
    <row r="49" spans="1:12" x14ac:dyDescent="0.15">
      <c r="A49" s="11" t="s">
        <v>11</v>
      </c>
      <c r="B49" s="78">
        <v>40274</v>
      </c>
      <c r="C49" s="82">
        <v>40274</v>
      </c>
      <c r="D49" s="13"/>
      <c r="E49" s="54"/>
      <c r="F49" s="2"/>
      <c r="G49" s="83"/>
      <c r="H49" s="84"/>
      <c r="I49" s="84"/>
      <c r="J49" s="13" t="s">
        <v>411</v>
      </c>
      <c r="L49"/>
    </row>
    <row r="50" spans="1:12" x14ac:dyDescent="0.15">
      <c r="A50" s="15">
        <f>SUM(G48:G54)</f>
        <v>47.7</v>
      </c>
      <c r="B50" s="78">
        <v>40275</v>
      </c>
      <c r="C50" s="82">
        <v>40275</v>
      </c>
      <c r="D50" s="13" t="s">
        <v>14</v>
      </c>
      <c r="E50" s="54">
        <v>7.0370370370370375E-2</v>
      </c>
      <c r="F50" s="12">
        <v>146</v>
      </c>
      <c r="G50" s="83">
        <v>19.7</v>
      </c>
      <c r="H50" s="84">
        <f>E50/G50</f>
        <v>3.5721000188005266E-3</v>
      </c>
      <c r="I50" s="84" t="s">
        <v>436</v>
      </c>
      <c r="J50" s="13" t="s">
        <v>411</v>
      </c>
      <c r="L50"/>
    </row>
    <row r="51" spans="1:12" x14ac:dyDescent="0.15">
      <c r="A51" s="2"/>
      <c r="B51" s="78">
        <v>40276</v>
      </c>
      <c r="C51" s="82">
        <v>40276</v>
      </c>
      <c r="D51" s="13"/>
      <c r="E51" s="54"/>
      <c r="F51" s="2"/>
      <c r="G51" s="83"/>
      <c r="H51" s="84"/>
      <c r="I51" s="84"/>
      <c r="J51" s="13" t="s">
        <v>411</v>
      </c>
      <c r="L51"/>
    </row>
    <row r="52" spans="1:12" x14ac:dyDescent="0.15">
      <c r="A52" s="2"/>
      <c r="B52" s="78">
        <v>40277</v>
      </c>
      <c r="C52" s="82">
        <v>40277</v>
      </c>
      <c r="D52" s="13"/>
      <c r="E52" s="54"/>
      <c r="F52" s="12"/>
      <c r="G52" s="83"/>
      <c r="H52" s="84"/>
      <c r="I52" s="84"/>
      <c r="J52" s="13" t="s">
        <v>411</v>
      </c>
      <c r="L52"/>
    </row>
    <row r="53" spans="1:12" x14ac:dyDescent="0.15">
      <c r="A53" s="2"/>
      <c r="B53" s="78">
        <v>40278</v>
      </c>
      <c r="C53" s="82">
        <v>40278</v>
      </c>
      <c r="D53" s="13" t="s">
        <v>14</v>
      </c>
      <c r="E53" s="54">
        <v>3.9259259259259258E-2</v>
      </c>
      <c r="F53" s="20">
        <v>155</v>
      </c>
      <c r="G53" s="83">
        <v>12</v>
      </c>
      <c r="H53" s="84">
        <f>E53/G53</f>
        <v>3.2716049382716049E-3</v>
      </c>
      <c r="I53" s="84" t="s">
        <v>436</v>
      </c>
      <c r="J53" s="13" t="s">
        <v>411</v>
      </c>
      <c r="L53"/>
    </row>
    <row r="54" spans="1:12" x14ac:dyDescent="0.15">
      <c r="A54" s="2"/>
      <c r="B54" s="85">
        <v>40279</v>
      </c>
      <c r="C54" s="82">
        <v>40279</v>
      </c>
      <c r="D54" s="17"/>
      <c r="E54" s="54"/>
      <c r="F54" s="2"/>
      <c r="G54" s="86"/>
      <c r="H54" s="87"/>
      <c r="I54" s="87"/>
      <c r="J54" s="13" t="s">
        <v>411</v>
      </c>
      <c r="L54"/>
    </row>
    <row r="55" spans="1:12" x14ac:dyDescent="0.15">
      <c r="A55" s="4">
        <f>A48+1</f>
        <v>8</v>
      </c>
      <c r="B55" s="78">
        <v>40280</v>
      </c>
      <c r="C55" s="79">
        <v>40280</v>
      </c>
      <c r="D55" s="8"/>
      <c r="E55" s="52"/>
      <c r="F55" s="7"/>
      <c r="G55" s="80"/>
      <c r="H55" s="81"/>
      <c r="I55" s="81"/>
      <c r="J55" s="10" t="s">
        <v>411</v>
      </c>
      <c r="L55"/>
    </row>
    <row r="56" spans="1:12" x14ac:dyDescent="0.15">
      <c r="A56" s="11" t="s">
        <v>11</v>
      </c>
      <c r="B56" s="78">
        <v>40281</v>
      </c>
      <c r="C56" s="82">
        <v>40281</v>
      </c>
      <c r="D56" s="13"/>
      <c r="E56" s="54"/>
      <c r="F56" s="2"/>
      <c r="G56" s="83"/>
      <c r="H56" s="84"/>
      <c r="I56" s="84"/>
      <c r="J56" s="13" t="s">
        <v>411</v>
      </c>
      <c r="L56"/>
    </row>
    <row r="57" spans="1:12" x14ac:dyDescent="0.15">
      <c r="A57" s="15">
        <f>SUM(G55:G61)</f>
        <v>32.700000000000003</v>
      </c>
      <c r="B57" s="78">
        <v>40282</v>
      </c>
      <c r="C57" s="82">
        <v>40282</v>
      </c>
      <c r="D57" s="13" t="s">
        <v>14</v>
      </c>
      <c r="E57" s="54">
        <v>4.5057870370370366E-2</v>
      </c>
      <c r="F57" s="12">
        <v>160</v>
      </c>
      <c r="G57" s="83">
        <v>14</v>
      </c>
      <c r="H57" s="84">
        <f>E57/G57</f>
        <v>3.2184193121693118E-3</v>
      </c>
      <c r="I57" s="84" t="s">
        <v>436</v>
      </c>
      <c r="J57" s="13" t="s">
        <v>411</v>
      </c>
      <c r="L57"/>
    </row>
    <row r="58" spans="1:12" x14ac:dyDescent="0.15">
      <c r="A58" s="2"/>
      <c r="B58" s="78">
        <v>40283</v>
      </c>
      <c r="C58" s="82">
        <v>40283</v>
      </c>
      <c r="D58" s="13"/>
      <c r="E58" s="54"/>
      <c r="F58" s="2"/>
      <c r="G58" s="83"/>
      <c r="H58" s="84"/>
      <c r="I58" s="84"/>
      <c r="J58" s="13" t="s">
        <v>411</v>
      </c>
      <c r="L58"/>
    </row>
    <row r="59" spans="1:12" x14ac:dyDescent="0.15">
      <c r="A59" s="2"/>
      <c r="B59" s="78">
        <v>40284</v>
      </c>
      <c r="C59" s="82">
        <v>40284</v>
      </c>
      <c r="D59" s="13"/>
      <c r="E59" s="54"/>
      <c r="F59" s="12"/>
      <c r="G59" s="83"/>
      <c r="H59" s="84"/>
      <c r="I59" s="84"/>
      <c r="J59" s="13" t="s">
        <v>411</v>
      </c>
    </row>
    <row r="60" spans="1:12" x14ac:dyDescent="0.15">
      <c r="A60" s="2"/>
      <c r="B60" s="78">
        <v>40285</v>
      </c>
      <c r="C60" s="82">
        <v>40285</v>
      </c>
      <c r="D60" s="13"/>
      <c r="E60" s="54"/>
      <c r="F60" s="12"/>
      <c r="G60" s="83"/>
      <c r="H60" s="84"/>
      <c r="I60" s="84"/>
      <c r="J60" s="13" t="s">
        <v>411</v>
      </c>
    </row>
    <row r="61" spans="1:12" x14ac:dyDescent="0.15">
      <c r="A61" s="2"/>
      <c r="B61" s="85">
        <v>40286</v>
      </c>
      <c r="C61" s="82">
        <v>40286</v>
      </c>
      <c r="D61" s="17" t="s">
        <v>147</v>
      </c>
      <c r="E61" s="54">
        <v>6.6018518518518518E-2</v>
      </c>
      <c r="F61" s="2">
        <v>151</v>
      </c>
      <c r="G61" s="86">
        <v>18.7</v>
      </c>
      <c r="H61" s="84">
        <f>E61/G61</f>
        <v>3.5304020598138247E-3</v>
      </c>
      <c r="I61" s="84" t="s">
        <v>436</v>
      </c>
      <c r="J61" s="13" t="s">
        <v>411</v>
      </c>
    </row>
    <row r="62" spans="1:12" x14ac:dyDescent="0.15">
      <c r="A62" s="4">
        <f>A55+1</f>
        <v>9</v>
      </c>
      <c r="B62" s="78">
        <v>40287</v>
      </c>
      <c r="C62" s="79">
        <v>40287</v>
      </c>
      <c r="D62" s="8"/>
      <c r="E62" s="52"/>
      <c r="F62" s="7"/>
      <c r="G62" s="80"/>
      <c r="H62" s="81"/>
      <c r="I62" s="81"/>
      <c r="J62" s="10" t="s">
        <v>411</v>
      </c>
    </row>
    <row r="63" spans="1:12" x14ac:dyDescent="0.15">
      <c r="A63" s="11" t="s">
        <v>11</v>
      </c>
      <c r="B63" s="78">
        <v>40288</v>
      </c>
      <c r="C63" s="82">
        <v>40288</v>
      </c>
      <c r="D63" s="13"/>
      <c r="E63" s="54"/>
      <c r="F63" s="2"/>
      <c r="G63" s="83"/>
      <c r="H63" s="84"/>
      <c r="I63" s="84"/>
      <c r="J63" s="13" t="s">
        <v>411</v>
      </c>
    </row>
    <row r="64" spans="1:12" x14ac:dyDescent="0.15">
      <c r="A64" s="15">
        <f>SUM(G62:G68)</f>
        <v>24</v>
      </c>
      <c r="B64" s="78">
        <v>40289</v>
      </c>
      <c r="C64" s="82">
        <v>40289</v>
      </c>
      <c r="D64" s="13"/>
      <c r="E64" s="54"/>
      <c r="F64" s="12"/>
      <c r="G64" s="83"/>
      <c r="H64" s="84"/>
      <c r="I64" s="84"/>
      <c r="J64" s="13" t="s">
        <v>411</v>
      </c>
    </row>
    <row r="65" spans="1:10" x14ac:dyDescent="0.15">
      <c r="A65" s="2"/>
      <c r="B65" s="78">
        <v>40290</v>
      </c>
      <c r="C65" s="82">
        <v>40290</v>
      </c>
      <c r="D65" s="13" t="s">
        <v>49</v>
      </c>
      <c r="E65" s="54">
        <v>3.0624999999999999E-2</v>
      </c>
      <c r="F65" s="2">
        <v>160</v>
      </c>
      <c r="G65" s="83">
        <v>10</v>
      </c>
      <c r="H65" s="84">
        <f>E65/G65</f>
        <v>3.0625000000000001E-3</v>
      </c>
      <c r="I65" s="84" t="s">
        <v>436</v>
      </c>
      <c r="J65" s="13" t="s">
        <v>411</v>
      </c>
    </row>
    <row r="66" spans="1:10" x14ac:dyDescent="0.15">
      <c r="A66" s="2"/>
      <c r="B66" s="78">
        <v>40291</v>
      </c>
      <c r="C66" s="82">
        <v>40291</v>
      </c>
      <c r="D66" s="13"/>
      <c r="E66" s="54"/>
      <c r="F66" s="12"/>
      <c r="G66" s="83"/>
      <c r="H66" s="84"/>
      <c r="I66" s="84"/>
      <c r="J66" s="13" t="s">
        <v>411</v>
      </c>
    </row>
    <row r="67" spans="1:10" x14ac:dyDescent="0.15">
      <c r="A67" s="2"/>
      <c r="B67" s="78">
        <v>40292</v>
      </c>
      <c r="C67" s="82">
        <v>40292</v>
      </c>
      <c r="D67" s="13"/>
      <c r="E67" s="54"/>
      <c r="F67" s="12"/>
      <c r="G67" s="83"/>
      <c r="H67" s="84"/>
      <c r="I67" s="84"/>
      <c r="J67" s="13" t="s">
        <v>411</v>
      </c>
    </row>
    <row r="68" spans="1:10" x14ac:dyDescent="0.15">
      <c r="A68" s="2"/>
      <c r="B68" s="85">
        <v>40293</v>
      </c>
      <c r="C68" s="82">
        <v>40293</v>
      </c>
      <c r="D68" s="17" t="s">
        <v>147</v>
      </c>
      <c r="E68" s="57">
        <v>9.2361111111111102E-2</v>
      </c>
      <c r="F68" s="2" t="s">
        <v>437</v>
      </c>
      <c r="G68" s="86">
        <v>14</v>
      </c>
      <c r="H68" s="84">
        <f>E68/G68</f>
        <v>6.5972222222222213E-3</v>
      </c>
      <c r="I68" s="84" t="s">
        <v>436</v>
      </c>
      <c r="J68" s="13" t="s">
        <v>411</v>
      </c>
    </row>
    <row r="69" spans="1:10" x14ac:dyDescent="0.15">
      <c r="A69" s="4">
        <f>A62+1</f>
        <v>10</v>
      </c>
      <c r="B69" s="78">
        <v>40294</v>
      </c>
      <c r="C69" s="79">
        <v>40294</v>
      </c>
      <c r="D69" s="8"/>
      <c r="E69" s="52"/>
      <c r="F69" s="7"/>
      <c r="G69" s="80"/>
      <c r="H69" s="81"/>
      <c r="I69" s="81"/>
      <c r="J69" s="10" t="s">
        <v>411</v>
      </c>
    </row>
    <row r="70" spans="1:10" x14ac:dyDescent="0.15">
      <c r="A70" s="11" t="s">
        <v>11</v>
      </c>
      <c r="B70" s="78">
        <v>40295</v>
      </c>
      <c r="C70" s="82">
        <v>40295</v>
      </c>
      <c r="D70" s="13"/>
      <c r="E70" s="54"/>
      <c r="F70" s="2"/>
      <c r="G70" s="83"/>
      <c r="H70" s="84"/>
      <c r="I70" s="84"/>
      <c r="J70" s="13" t="s">
        <v>411</v>
      </c>
    </row>
    <row r="71" spans="1:10" x14ac:dyDescent="0.15">
      <c r="A71" s="15">
        <f>SUM(G69:G75)</f>
        <v>0</v>
      </c>
      <c r="B71" s="78">
        <v>40296</v>
      </c>
      <c r="C71" s="82">
        <v>40296</v>
      </c>
      <c r="D71" s="13"/>
      <c r="E71" s="54"/>
      <c r="F71" s="12"/>
      <c r="G71" s="83"/>
      <c r="H71" s="84"/>
      <c r="I71" s="84"/>
      <c r="J71" s="13" t="s">
        <v>411</v>
      </c>
    </row>
    <row r="72" spans="1:10" x14ac:dyDescent="0.15">
      <c r="A72" s="2"/>
      <c r="B72" s="78">
        <v>40297</v>
      </c>
      <c r="C72" s="82">
        <v>40297</v>
      </c>
      <c r="D72" s="13"/>
      <c r="E72" s="54"/>
      <c r="F72" s="2"/>
      <c r="G72" s="83"/>
      <c r="H72" s="84"/>
      <c r="I72" s="84"/>
      <c r="J72" s="13" t="s">
        <v>411</v>
      </c>
    </row>
    <row r="73" spans="1:10" x14ac:dyDescent="0.15">
      <c r="A73" s="2"/>
      <c r="B73" s="78">
        <v>40298</v>
      </c>
      <c r="C73" s="82">
        <v>40298</v>
      </c>
      <c r="D73" s="13"/>
      <c r="E73" s="54"/>
      <c r="F73" s="12"/>
      <c r="G73" s="83"/>
      <c r="H73" s="84"/>
      <c r="I73" s="84"/>
      <c r="J73" s="13" t="s">
        <v>411</v>
      </c>
    </row>
    <row r="74" spans="1:10" x14ac:dyDescent="0.15">
      <c r="A74" s="2"/>
      <c r="B74" s="78">
        <v>40299</v>
      </c>
      <c r="C74" s="82">
        <v>40299</v>
      </c>
      <c r="D74" s="13"/>
      <c r="E74" s="54"/>
      <c r="F74" s="12"/>
      <c r="G74" s="83"/>
      <c r="H74" s="84"/>
      <c r="I74" s="84"/>
      <c r="J74" s="13" t="s">
        <v>411</v>
      </c>
    </row>
    <row r="75" spans="1:10" x14ac:dyDescent="0.15">
      <c r="A75" s="2"/>
      <c r="B75" s="85">
        <v>40300</v>
      </c>
      <c r="C75" s="82">
        <v>40300</v>
      </c>
      <c r="D75" s="17"/>
      <c r="E75" s="57"/>
      <c r="F75" s="2"/>
      <c r="G75" s="86"/>
      <c r="H75" s="87"/>
      <c r="I75" s="87"/>
      <c r="J75" s="13" t="s">
        <v>411</v>
      </c>
    </row>
    <row r="76" spans="1:10" x14ac:dyDescent="0.15">
      <c r="A76" s="4">
        <f>A69+1</f>
        <v>11</v>
      </c>
      <c r="B76" s="78">
        <v>40301</v>
      </c>
      <c r="C76" s="79">
        <v>40301</v>
      </c>
      <c r="D76" s="8"/>
      <c r="E76" s="52"/>
      <c r="F76" s="7"/>
      <c r="G76" s="80"/>
      <c r="H76" s="81"/>
      <c r="I76" s="81"/>
      <c r="J76" s="10" t="s">
        <v>411</v>
      </c>
    </row>
    <row r="77" spans="1:10" x14ac:dyDescent="0.15">
      <c r="A77" s="11" t="s">
        <v>11</v>
      </c>
      <c r="B77" s="78">
        <v>40302</v>
      </c>
      <c r="C77" s="82">
        <v>40302</v>
      </c>
      <c r="D77" s="13"/>
      <c r="E77" s="54"/>
      <c r="F77" s="2"/>
      <c r="G77" s="83"/>
      <c r="H77" s="84"/>
      <c r="I77" s="84"/>
      <c r="J77" s="13" t="s">
        <v>411</v>
      </c>
    </row>
    <row r="78" spans="1:10" x14ac:dyDescent="0.15">
      <c r="A78" s="15">
        <f>SUM(G76:G82)</f>
        <v>0</v>
      </c>
      <c r="B78" s="78">
        <v>40303</v>
      </c>
      <c r="C78" s="82">
        <v>40303</v>
      </c>
      <c r="D78" s="13"/>
      <c r="E78" s="54"/>
      <c r="F78" s="12"/>
      <c r="G78" s="83"/>
      <c r="H78" s="84"/>
      <c r="I78" s="84"/>
      <c r="J78" s="13" t="s">
        <v>411</v>
      </c>
    </row>
    <row r="79" spans="1:10" x14ac:dyDescent="0.15">
      <c r="A79" s="2"/>
      <c r="B79" s="78">
        <v>40304</v>
      </c>
      <c r="C79" s="82">
        <v>40304</v>
      </c>
      <c r="D79" s="13"/>
      <c r="E79" s="54"/>
      <c r="F79" s="2"/>
      <c r="G79" s="83"/>
      <c r="H79" s="84"/>
      <c r="I79" s="84"/>
      <c r="J79" s="13" t="s">
        <v>411</v>
      </c>
    </row>
    <row r="80" spans="1:10" x14ac:dyDescent="0.15">
      <c r="A80" s="2"/>
      <c r="B80" s="78">
        <v>40305</v>
      </c>
      <c r="C80" s="82">
        <v>40305</v>
      </c>
      <c r="D80" s="13"/>
      <c r="E80" s="54"/>
      <c r="F80" s="12"/>
      <c r="G80" s="83"/>
      <c r="H80" s="84"/>
      <c r="I80" s="84"/>
      <c r="J80" s="13" t="s">
        <v>411</v>
      </c>
    </row>
    <row r="81" spans="1:10" x14ac:dyDescent="0.15">
      <c r="A81" s="2"/>
      <c r="B81" s="78">
        <v>40306</v>
      </c>
      <c r="C81" s="82">
        <v>40306</v>
      </c>
      <c r="D81" s="13"/>
      <c r="E81" s="54"/>
      <c r="F81" s="12"/>
      <c r="G81" s="83"/>
      <c r="H81" s="84"/>
      <c r="I81" s="84"/>
      <c r="J81" s="13" t="s">
        <v>411</v>
      </c>
    </row>
    <row r="82" spans="1:10" x14ac:dyDescent="0.15">
      <c r="A82" s="2"/>
      <c r="B82" s="85">
        <v>40307</v>
      </c>
      <c r="C82" s="82">
        <v>40307</v>
      </c>
      <c r="D82" s="17"/>
      <c r="E82" s="57"/>
      <c r="F82" s="2"/>
      <c r="G82" s="86"/>
      <c r="H82" s="87"/>
      <c r="I82" s="87"/>
      <c r="J82" s="13" t="s">
        <v>411</v>
      </c>
    </row>
    <row r="83" spans="1:10" x14ac:dyDescent="0.15">
      <c r="A83" s="4">
        <f>A76+1</f>
        <v>12</v>
      </c>
      <c r="B83" s="78">
        <v>40308</v>
      </c>
      <c r="C83" s="79">
        <v>40308</v>
      </c>
      <c r="D83" s="8" t="s">
        <v>14</v>
      </c>
      <c r="E83" s="52">
        <v>3.5567129629629629E-2</v>
      </c>
      <c r="F83" s="7">
        <v>152</v>
      </c>
      <c r="G83" s="80">
        <v>10.3</v>
      </c>
      <c r="H83" s="84">
        <f>E83/G83</f>
        <v>3.4531193815174393E-3</v>
      </c>
      <c r="I83" s="84" t="s">
        <v>436</v>
      </c>
      <c r="J83" s="10" t="s">
        <v>411</v>
      </c>
    </row>
    <row r="84" spans="1:10" x14ac:dyDescent="0.15">
      <c r="A84" s="11" t="s">
        <v>11</v>
      </c>
      <c r="B84" s="78">
        <v>40309</v>
      </c>
      <c r="C84" s="82">
        <v>40309</v>
      </c>
      <c r="D84" s="13"/>
      <c r="E84" s="54"/>
      <c r="F84" s="2"/>
      <c r="G84" s="83"/>
      <c r="H84" s="84"/>
      <c r="I84" s="84"/>
      <c r="J84" s="13" t="s">
        <v>411</v>
      </c>
    </row>
    <row r="85" spans="1:10" x14ac:dyDescent="0.15">
      <c r="A85" s="15">
        <f>SUM(G83:G89)+21.2</f>
        <v>31.5</v>
      </c>
      <c r="B85" s="78">
        <v>40310</v>
      </c>
      <c r="C85" s="82">
        <v>40310</v>
      </c>
      <c r="D85" s="13"/>
      <c r="E85" s="54"/>
      <c r="F85" s="12"/>
      <c r="G85" s="83"/>
      <c r="H85" s="84"/>
      <c r="I85" s="84"/>
      <c r="J85" s="13" t="s">
        <v>411</v>
      </c>
    </row>
    <row r="86" spans="1:10" x14ac:dyDescent="0.15">
      <c r="A86" s="2"/>
      <c r="B86" s="78">
        <v>40311</v>
      </c>
      <c r="C86" s="82">
        <v>40311</v>
      </c>
      <c r="D86" s="13"/>
      <c r="E86" s="54"/>
      <c r="F86" s="2"/>
      <c r="G86" s="83"/>
      <c r="H86" s="84"/>
      <c r="I86" s="84"/>
      <c r="J86" s="13" t="s">
        <v>411</v>
      </c>
    </row>
    <row r="87" spans="1:10" x14ac:dyDescent="0.15">
      <c r="A87" s="2"/>
      <c r="B87" s="78">
        <v>40312</v>
      </c>
      <c r="C87" s="82">
        <v>40312</v>
      </c>
      <c r="D87" s="13"/>
      <c r="E87" s="54"/>
      <c r="F87" s="12"/>
      <c r="G87" s="83"/>
      <c r="H87" s="84"/>
      <c r="I87" s="84"/>
      <c r="J87" s="13" t="s">
        <v>411</v>
      </c>
    </row>
    <row r="88" spans="1:10" x14ac:dyDescent="0.15">
      <c r="A88" s="2"/>
      <c r="B88" s="78">
        <v>40313</v>
      </c>
      <c r="C88" s="82">
        <v>40313</v>
      </c>
      <c r="D88" s="13"/>
      <c r="E88" s="54"/>
      <c r="F88" s="12"/>
      <c r="G88" s="83"/>
      <c r="H88" s="84"/>
      <c r="I88" s="84"/>
      <c r="J88" s="13" t="s">
        <v>411</v>
      </c>
    </row>
    <row r="89" spans="1:10" x14ac:dyDescent="0.15">
      <c r="A89" s="2"/>
      <c r="B89" s="85">
        <v>40314</v>
      </c>
      <c r="C89" s="82">
        <v>40314</v>
      </c>
      <c r="D89" s="17"/>
      <c r="E89" s="54"/>
      <c r="F89" s="2"/>
      <c r="G89" s="86"/>
      <c r="H89" s="87"/>
      <c r="I89" s="87"/>
      <c r="J89" s="13" t="s">
        <v>411</v>
      </c>
    </row>
    <row r="90" spans="1:10" x14ac:dyDescent="0.15">
      <c r="A90" s="4">
        <f>A83+1</f>
        <v>13</v>
      </c>
      <c r="B90" s="78">
        <v>40315</v>
      </c>
      <c r="C90" s="79">
        <v>40315</v>
      </c>
      <c r="D90" s="8"/>
      <c r="E90" s="52"/>
      <c r="F90" s="7"/>
      <c r="G90" s="80"/>
      <c r="H90" s="81"/>
      <c r="I90" s="81"/>
      <c r="J90" s="10" t="s">
        <v>411</v>
      </c>
    </row>
    <row r="91" spans="1:10" x14ac:dyDescent="0.15">
      <c r="A91" s="11" t="s">
        <v>11</v>
      </c>
      <c r="B91" s="78">
        <v>40316</v>
      </c>
      <c r="C91" s="82">
        <v>40316</v>
      </c>
      <c r="D91" s="13" t="s">
        <v>14</v>
      </c>
      <c r="E91" s="54">
        <v>3.3796296296296297E-2</v>
      </c>
      <c r="F91" s="2">
        <v>156</v>
      </c>
      <c r="G91" s="83">
        <v>10.1</v>
      </c>
      <c r="H91" s="84">
        <f>E91/G91</f>
        <v>3.3461679501283464E-3</v>
      </c>
      <c r="I91" s="84" t="s">
        <v>436</v>
      </c>
      <c r="J91" s="13" t="s">
        <v>411</v>
      </c>
    </row>
    <row r="92" spans="1:10" x14ac:dyDescent="0.15">
      <c r="A92" s="15">
        <f>SUM(G90:G96)</f>
        <v>20.100000000000001</v>
      </c>
      <c r="B92" s="78">
        <v>40317</v>
      </c>
      <c r="C92" s="82">
        <v>40317</v>
      </c>
      <c r="D92" s="13"/>
      <c r="E92" s="54"/>
      <c r="F92" s="12"/>
      <c r="G92" s="83"/>
      <c r="H92" s="84"/>
      <c r="I92" s="84"/>
      <c r="J92" s="13" t="s">
        <v>411</v>
      </c>
    </row>
    <row r="93" spans="1:10" x14ac:dyDescent="0.15">
      <c r="A93" s="2"/>
      <c r="B93" s="78">
        <v>40318</v>
      </c>
      <c r="C93" s="82">
        <v>40318</v>
      </c>
      <c r="D93" s="13"/>
      <c r="E93" s="54"/>
      <c r="F93" s="2"/>
      <c r="G93" s="83"/>
      <c r="H93" s="84"/>
      <c r="I93" s="84"/>
      <c r="J93" s="13" t="s">
        <v>411</v>
      </c>
    </row>
    <row r="94" spans="1:10" x14ac:dyDescent="0.15">
      <c r="A94" s="2"/>
      <c r="B94" s="78">
        <v>40319</v>
      </c>
      <c r="C94" s="82">
        <v>40319</v>
      </c>
      <c r="D94" s="13"/>
      <c r="E94" s="54"/>
      <c r="F94" s="12"/>
      <c r="G94" s="83"/>
      <c r="H94" s="84"/>
      <c r="I94" s="84"/>
      <c r="J94" s="13" t="s">
        <v>411</v>
      </c>
    </row>
    <row r="95" spans="1:10" x14ac:dyDescent="0.15">
      <c r="A95" s="2"/>
      <c r="B95" s="78">
        <v>40320</v>
      </c>
      <c r="C95" s="82">
        <v>40320</v>
      </c>
      <c r="D95" s="13" t="s">
        <v>14</v>
      </c>
      <c r="E95" s="54">
        <v>3.3217592592592597E-2</v>
      </c>
      <c r="F95" s="12" t="s">
        <v>437</v>
      </c>
      <c r="G95" s="83">
        <v>10</v>
      </c>
      <c r="H95" s="84">
        <f>E95/G95</f>
        <v>3.3217592592592595E-3</v>
      </c>
      <c r="I95" s="84" t="s">
        <v>436</v>
      </c>
      <c r="J95" s="13" t="s">
        <v>411</v>
      </c>
    </row>
    <row r="96" spans="1:10" x14ac:dyDescent="0.15">
      <c r="A96" s="2"/>
      <c r="B96" s="85">
        <v>40321</v>
      </c>
      <c r="C96" s="82">
        <v>40321</v>
      </c>
      <c r="D96" s="17"/>
      <c r="E96" s="54"/>
      <c r="F96" s="2"/>
      <c r="G96" s="86"/>
      <c r="H96" s="87"/>
      <c r="I96" s="87"/>
      <c r="J96" s="13" t="s">
        <v>411</v>
      </c>
    </row>
    <row r="97" spans="1:10" x14ac:dyDescent="0.15">
      <c r="A97" s="4">
        <f>A90+1</f>
        <v>14</v>
      </c>
      <c r="B97" s="78">
        <v>40322</v>
      </c>
      <c r="C97" s="79">
        <v>40322</v>
      </c>
      <c r="D97" s="8"/>
      <c r="E97" s="52"/>
      <c r="F97" s="7"/>
      <c r="G97" s="80"/>
      <c r="H97" s="81"/>
      <c r="I97" s="81"/>
      <c r="J97" s="13" t="s">
        <v>411</v>
      </c>
    </row>
    <row r="98" spans="1:10" x14ac:dyDescent="0.15">
      <c r="A98" s="11" t="s">
        <v>11</v>
      </c>
      <c r="B98" s="78">
        <v>40323</v>
      </c>
      <c r="C98" s="82">
        <v>40323</v>
      </c>
      <c r="D98" s="13" t="s">
        <v>14</v>
      </c>
      <c r="E98" s="54">
        <v>3.7465277777777778E-2</v>
      </c>
      <c r="F98" s="2">
        <v>159</v>
      </c>
      <c r="G98" s="83">
        <v>11.37</v>
      </c>
      <c r="H98" s="84">
        <f>E98/G98</f>
        <v>3.2950991888986616E-3</v>
      </c>
      <c r="I98" s="84" t="s">
        <v>436</v>
      </c>
      <c r="J98" s="13" t="s">
        <v>411</v>
      </c>
    </row>
    <row r="99" spans="1:10" x14ac:dyDescent="0.15">
      <c r="A99" s="15">
        <f>SUM(G97:G103)</f>
        <v>24.17</v>
      </c>
      <c r="B99" s="78">
        <v>40324</v>
      </c>
      <c r="C99" s="82">
        <v>40324</v>
      </c>
      <c r="D99" s="13"/>
      <c r="E99" s="54"/>
      <c r="F99" s="12"/>
      <c r="G99" s="83"/>
      <c r="H99" s="84"/>
      <c r="I99" s="84"/>
      <c r="J99" s="13" t="s">
        <v>411</v>
      </c>
    </row>
    <row r="100" spans="1:10" x14ac:dyDescent="0.15">
      <c r="A100" s="2"/>
      <c r="B100" s="78">
        <v>40325</v>
      </c>
      <c r="C100" s="82">
        <v>40325</v>
      </c>
      <c r="D100" s="13"/>
      <c r="E100" s="54"/>
      <c r="F100" s="2"/>
      <c r="G100" s="83"/>
      <c r="H100" s="84"/>
      <c r="I100" s="84"/>
      <c r="J100" s="13" t="s">
        <v>411</v>
      </c>
    </row>
    <row r="101" spans="1:10" x14ac:dyDescent="0.15">
      <c r="A101" s="2"/>
      <c r="B101" s="78">
        <v>40326</v>
      </c>
      <c r="C101" s="82">
        <v>40326</v>
      </c>
      <c r="D101" s="13" t="s">
        <v>14</v>
      </c>
      <c r="E101" s="54">
        <v>4.4756944444444439E-2</v>
      </c>
      <c r="F101" s="12">
        <v>156</v>
      </c>
      <c r="G101" s="83">
        <v>12.8</v>
      </c>
      <c r="H101" s="84">
        <f>E101/G101</f>
        <v>3.4966362847222215E-3</v>
      </c>
      <c r="I101" s="84" t="s">
        <v>436</v>
      </c>
      <c r="J101" s="13" t="s">
        <v>411</v>
      </c>
    </row>
    <row r="102" spans="1:10" x14ac:dyDescent="0.15">
      <c r="A102" s="2"/>
      <c r="B102" s="78">
        <v>40327</v>
      </c>
      <c r="C102" s="82">
        <v>40327</v>
      </c>
      <c r="D102" s="13"/>
      <c r="E102" s="54"/>
      <c r="F102" s="12"/>
      <c r="G102" s="83"/>
      <c r="H102" s="84"/>
      <c r="I102" s="84"/>
      <c r="J102" s="13" t="s">
        <v>411</v>
      </c>
    </row>
    <row r="103" spans="1:10" x14ac:dyDescent="0.15">
      <c r="A103" s="2"/>
      <c r="B103" s="85">
        <v>40328</v>
      </c>
      <c r="C103" s="82">
        <v>40328</v>
      </c>
      <c r="D103" s="17"/>
      <c r="E103" s="54"/>
      <c r="F103" s="2"/>
      <c r="G103" s="86"/>
      <c r="H103" s="87"/>
      <c r="I103" s="87"/>
      <c r="J103" s="13" t="s">
        <v>411</v>
      </c>
    </row>
    <row r="104" spans="1:10" x14ac:dyDescent="0.15">
      <c r="A104" s="4">
        <f>A97+1</f>
        <v>15</v>
      </c>
      <c r="B104" s="78">
        <v>40329</v>
      </c>
      <c r="C104" s="79">
        <v>40329</v>
      </c>
      <c r="D104" s="8"/>
      <c r="E104" s="52"/>
      <c r="F104" s="7"/>
      <c r="G104" s="80"/>
      <c r="H104" s="81"/>
      <c r="I104" s="81"/>
      <c r="J104" s="13" t="s">
        <v>411</v>
      </c>
    </row>
    <row r="105" spans="1:10" x14ac:dyDescent="0.15">
      <c r="A105" s="11" t="s">
        <v>11</v>
      </c>
      <c r="B105" s="78">
        <v>40330</v>
      </c>
      <c r="C105" s="82">
        <v>40330</v>
      </c>
      <c r="D105" s="13"/>
      <c r="E105" s="54"/>
      <c r="F105" s="2"/>
      <c r="G105" s="83"/>
      <c r="H105" s="84"/>
      <c r="I105" s="84"/>
      <c r="J105" s="13" t="s">
        <v>411</v>
      </c>
    </row>
    <row r="106" spans="1:10" x14ac:dyDescent="0.15">
      <c r="A106" s="15">
        <f>SUM(G104:G110)</f>
        <v>9.6</v>
      </c>
      <c r="B106" s="78">
        <v>40331</v>
      </c>
      <c r="C106" s="82">
        <v>40331</v>
      </c>
      <c r="D106" s="13"/>
      <c r="E106" s="54"/>
      <c r="F106" s="12"/>
      <c r="G106" s="83"/>
      <c r="H106" s="84"/>
      <c r="I106" s="84"/>
      <c r="J106" s="13" t="s">
        <v>411</v>
      </c>
    </row>
    <row r="107" spans="1:10" x14ac:dyDescent="0.15">
      <c r="A107" s="2"/>
      <c r="B107" s="78">
        <v>40332</v>
      </c>
      <c r="C107" s="82">
        <v>40332</v>
      </c>
      <c r="D107" s="13"/>
      <c r="E107" s="54"/>
      <c r="F107" s="2"/>
      <c r="G107" s="83"/>
      <c r="H107" s="84"/>
      <c r="I107" s="84"/>
      <c r="J107" s="13" t="s">
        <v>411</v>
      </c>
    </row>
    <row r="108" spans="1:10" x14ac:dyDescent="0.15">
      <c r="A108" s="2"/>
      <c r="B108" s="78">
        <v>40333</v>
      </c>
      <c r="C108" s="82">
        <v>40333</v>
      </c>
      <c r="D108" s="13"/>
      <c r="E108" s="54"/>
      <c r="F108" s="12"/>
      <c r="G108" s="83"/>
      <c r="H108" s="84"/>
      <c r="I108" s="84"/>
      <c r="J108" s="13" t="s">
        <v>411</v>
      </c>
    </row>
    <row r="109" spans="1:10" x14ac:dyDescent="0.15">
      <c r="A109" s="2"/>
      <c r="B109" s="78">
        <v>40334</v>
      </c>
      <c r="C109" s="82">
        <v>40334</v>
      </c>
      <c r="D109" s="13" t="s">
        <v>14</v>
      </c>
      <c r="E109" s="54">
        <v>3.3831018518518517E-2</v>
      </c>
      <c r="F109" s="12">
        <v>156</v>
      </c>
      <c r="G109" s="83">
        <v>9.6</v>
      </c>
      <c r="H109" s="84">
        <f>E109/G109</f>
        <v>3.5240644290123455E-3</v>
      </c>
      <c r="I109" s="84" t="s">
        <v>436</v>
      </c>
      <c r="J109" s="13" t="s">
        <v>411</v>
      </c>
    </row>
    <row r="110" spans="1:10" x14ac:dyDescent="0.15">
      <c r="A110" s="2"/>
      <c r="B110" s="85">
        <v>40335</v>
      </c>
      <c r="C110" s="82">
        <v>40335</v>
      </c>
      <c r="D110" s="17"/>
      <c r="E110" s="54"/>
      <c r="F110" s="2"/>
      <c r="G110" s="86"/>
      <c r="H110" s="87"/>
      <c r="I110" s="87"/>
      <c r="J110" s="13" t="s">
        <v>411</v>
      </c>
    </row>
    <row r="111" spans="1:10" x14ac:dyDescent="0.15">
      <c r="A111" s="4">
        <f>A104+1</f>
        <v>16</v>
      </c>
      <c r="B111" s="78">
        <v>40336</v>
      </c>
      <c r="C111" s="79">
        <v>40336</v>
      </c>
      <c r="D111" s="8"/>
      <c r="E111" s="52"/>
      <c r="F111" s="7"/>
      <c r="G111" s="80"/>
      <c r="H111" s="81"/>
      <c r="I111" s="81"/>
      <c r="J111" s="13" t="s">
        <v>411</v>
      </c>
    </row>
    <row r="112" spans="1:10" x14ac:dyDescent="0.15">
      <c r="A112" s="11" t="s">
        <v>11</v>
      </c>
      <c r="B112" s="78">
        <v>40337</v>
      </c>
      <c r="C112" s="82">
        <v>40337</v>
      </c>
      <c r="D112" s="13" t="s">
        <v>14</v>
      </c>
      <c r="E112" s="54">
        <v>4.0601851851851854E-2</v>
      </c>
      <c r="F112" s="2">
        <v>152</v>
      </c>
      <c r="G112" s="83">
        <v>10.6</v>
      </c>
      <c r="H112" s="84">
        <f>E112/G112</f>
        <v>3.8303633822501749E-3</v>
      </c>
      <c r="I112" s="84" t="s">
        <v>434</v>
      </c>
      <c r="J112" s="13" t="s">
        <v>411</v>
      </c>
    </row>
    <row r="113" spans="1:10" x14ac:dyDescent="0.15">
      <c r="A113" s="15">
        <f>SUM(G111:G117)</f>
        <v>21.38</v>
      </c>
      <c r="B113" s="78">
        <v>40338</v>
      </c>
      <c r="C113" s="82">
        <v>40338</v>
      </c>
      <c r="D113" s="13"/>
      <c r="E113" s="54"/>
      <c r="F113" s="12"/>
      <c r="G113" s="83"/>
      <c r="H113" s="84"/>
      <c r="I113" s="84"/>
      <c r="J113" s="13" t="s">
        <v>411</v>
      </c>
    </row>
    <row r="114" spans="1:10" x14ac:dyDescent="0.15">
      <c r="A114" s="2"/>
      <c r="B114" s="78">
        <v>40339</v>
      </c>
      <c r="C114" s="82">
        <v>40339</v>
      </c>
      <c r="D114" s="13"/>
      <c r="E114" s="54"/>
      <c r="F114" s="2"/>
      <c r="G114" s="83"/>
      <c r="H114" s="84"/>
      <c r="I114" s="84"/>
      <c r="J114" s="13" t="s">
        <v>411</v>
      </c>
    </row>
    <row r="115" spans="1:10" x14ac:dyDescent="0.15">
      <c r="A115" s="2"/>
      <c r="B115" s="78">
        <v>40340</v>
      </c>
      <c r="C115" s="82">
        <v>40340</v>
      </c>
      <c r="D115" s="13" t="s">
        <v>14</v>
      </c>
      <c r="E115" s="54">
        <v>4.0613425925925928E-2</v>
      </c>
      <c r="F115" s="12">
        <v>150</v>
      </c>
      <c r="G115" s="83">
        <v>10.78</v>
      </c>
      <c r="H115" s="84">
        <f>E115/G115</f>
        <v>3.7674792139077858E-3</v>
      </c>
      <c r="I115" s="84" t="s">
        <v>434</v>
      </c>
      <c r="J115" s="13" t="s">
        <v>411</v>
      </c>
    </row>
    <row r="116" spans="1:10" x14ac:dyDescent="0.15">
      <c r="A116" s="2"/>
      <c r="B116" s="78">
        <v>40341</v>
      </c>
      <c r="C116" s="82">
        <v>40341</v>
      </c>
      <c r="D116" s="13"/>
      <c r="E116" s="54"/>
      <c r="F116" s="12"/>
      <c r="G116" s="83"/>
      <c r="H116" s="84"/>
      <c r="I116" s="84"/>
      <c r="J116" s="13" t="s">
        <v>411</v>
      </c>
    </row>
    <row r="117" spans="1:10" x14ac:dyDescent="0.15">
      <c r="A117" s="2"/>
      <c r="B117" s="85">
        <v>40342</v>
      </c>
      <c r="C117" s="82">
        <v>40342</v>
      </c>
      <c r="D117" s="17"/>
      <c r="E117" s="54"/>
      <c r="F117" s="2"/>
      <c r="G117" s="86"/>
      <c r="H117" s="87"/>
      <c r="I117" s="87"/>
      <c r="J117" s="13" t="s">
        <v>411</v>
      </c>
    </row>
    <row r="118" spans="1:10" x14ac:dyDescent="0.15">
      <c r="A118" s="4">
        <f>A111+1</f>
        <v>17</v>
      </c>
      <c r="B118" s="78">
        <v>40343</v>
      </c>
      <c r="C118" s="79">
        <v>40343</v>
      </c>
      <c r="D118" s="8"/>
      <c r="E118" s="52"/>
      <c r="F118" s="7"/>
      <c r="G118" s="80"/>
      <c r="H118" s="81"/>
      <c r="I118" s="81"/>
      <c r="J118" s="13" t="s">
        <v>411</v>
      </c>
    </row>
    <row r="119" spans="1:10" x14ac:dyDescent="0.15">
      <c r="A119" s="11" t="s">
        <v>11</v>
      </c>
      <c r="B119" s="78">
        <v>40344</v>
      </c>
      <c r="C119" s="82">
        <v>40344</v>
      </c>
      <c r="D119" s="13"/>
      <c r="E119" s="54"/>
      <c r="F119" s="2"/>
      <c r="G119" s="83"/>
      <c r="H119" s="84"/>
      <c r="I119" s="84"/>
      <c r="J119" s="13" t="s">
        <v>411</v>
      </c>
    </row>
    <row r="120" spans="1:10" x14ac:dyDescent="0.15">
      <c r="A120" s="15">
        <f>SUM(G118:G124)</f>
        <v>13.85</v>
      </c>
      <c r="B120" s="78">
        <v>40345</v>
      </c>
      <c r="C120" s="82">
        <v>40345</v>
      </c>
      <c r="D120" s="13"/>
      <c r="E120" s="54"/>
      <c r="F120" s="12"/>
      <c r="G120" s="83"/>
      <c r="H120" s="84"/>
      <c r="I120" s="84"/>
      <c r="J120" s="13" t="s">
        <v>411</v>
      </c>
    </row>
    <row r="121" spans="1:10" x14ac:dyDescent="0.15">
      <c r="A121" s="2"/>
      <c r="B121" s="78">
        <v>40346</v>
      </c>
      <c r="C121" s="82">
        <v>40346</v>
      </c>
      <c r="D121" s="13"/>
      <c r="E121" s="54"/>
      <c r="F121" s="2"/>
      <c r="G121" s="83"/>
      <c r="H121" s="84"/>
      <c r="I121" s="84"/>
      <c r="J121" s="13" t="s">
        <v>411</v>
      </c>
    </row>
    <row r="122" spans="1:10" x14ac:dyDescent="0.15">
      <c r="A122" s="2"/>
      <c r="B122" s="78">
        <v>40347</v>
      </c>
      <c r="C122" s="82">
        <v>40347</v>
      </c>
      <c r="D122" s="13"/>
      <c r="E122" s="54"/>
      <c r="F122" s="12"/>
      <c r="G122" s="83"/>
      <c r="H122" s="84"/>
      <c r="I122" s="84"/>
      <c r="J122" s="13" t="s">
        <v>411</v>
      </c>
    </row>
    <row r="123" spans="1:10" x14ac:dyDescent="0.15">
      <c r="A123" s="2"/>
      <c r="B123" s="78">
        <v>40348</v>
      </c>
      <c r="C123" s="82">
        <v>40348</v>
      </c>
      <c r="D123" s="13" t="s">
        <v>14</v>
      </c>
      <c r="E123" s="54">
        <v>5.0219907407407401E-2</v>
      </c>
      <c r="F123" s="12">
        <v>152</v>
      </c>
      <c r="G123" s="83">
        <v>13.85</v>
      </c>
      <c r="H123" s="84">
        <f>E123/G123</f>
        <v>3.6259860943976463E-3</v>
      </c>
      <c r="I123" s="84" t="s">
        <v>434</v>
      </c>
      <c r="J123" s="13" t="s">
        <v>411</v>
      </c>
    </row>
    <row r="124" spans="1:10" x14ac:dyDescent="0.15">
      <c r="A124" s="2"/>
      <c r="B124" s="85">
        <v>40349</v>
      </c>
      <c r="C124" s="82">
        <v>40349</v>
      </c>
      <c r="D124" s="17"/>
      <c r="E124" s="54"/>
      <c r="F124" s="2"/>
      <c r="G124" s="86"/>
      <c r="H124" s="87"/>
      <c r="I124" s="87"/>
      <c r="J124" s="13" t="s">
        <v>411</v>
      </c>
    </row>
    <row r="125" spans="1:10" x14ac:dyDescent="0.15">
      <c r="A125" s="4">
        <f>A118+1</f>
        <v>18</v>
      </c>
      <c r="B125" s="78">
        <v>40350</v>
      </c>
      <c r="C125" s="79">
        <v>40350</v>
      </c>
      <c r="D125" s="8"/>
      <c r="E125" s="52"/>
      <c r="F125" s="7"/>
      <c r="G125" s="80"/>
      <c r="H125" s="81"/>
      <c r="I125" s="81"/>
      <c r="J125" s="13" t="s">
        <v>411</v>
      </c>
    </row>
    <row r="126" spans="1:10" x14ac:dyDescent="0.15">
      <c r="A126" s="11" t="s">
        <v>11</v>
      </c>
      <c r="B126" s="78">
        <v>40351</v>
      </c>
      <c r="C126" s="82">
        <v>40351</v>
      </c>
      <c r="D126" s="13"/>
      <c r="E126" s="54"/>
      <c r="F126" s="2"/>
      <c r="G126" s="83"/>
      <c r="H126" s="84"/>
      <c r="I126" s="84"/>
      <c r="J126" s="13" t="s">
        <v>411</v>
      </c>
    </row>
    <row r="127" spans="1:10" x14ac:dyDescent="0.15">
      <c r="A127" s="15">
        <f>SUM(G125:G131)</f>
        <v>10</v>
      </c>
      <c r="B127" s="78">
        <v>40352</v>
      </c>
      <c r="C127" s="82">
        <v>40352</v>
      </c>
      <c r="D127" s="13"/>
      <c r="E127" s="54"/>
      <c r="F127" s="12"/>
      <c r="G127" s="83"/>
      <c r="H127" s="84"/>
      <c r="I127" s="84"/>
      <c r="J127" s="13" t="s">
        <v>411</v>
      </c>
    </row>
    <row r="128" spans="1:10" x14ac:dyDescent="0.15">
      <c r="A128" s="2"/>
      <c r="B128" s="78">
        <v>40353</v>
      </c>
      <c r="C128" s="82">
        <v>40353</v>
      </c>
      <c r="D128" s="13" t="s">
        <v>14</v>
      </c>
      <c r="E128" s="54">
        <v>3.8194444444444448E-2</v>
      </c>
      <c r="F128" s="2" t="s">
        <v>437</v>
      </c>
      <c r="G128" s="83">
        <v>10</v>
      </c>
      <c r="H128" s="84">
        <f>E128/G128</f>
        <v>3.8194444444444448E-3</v>
      </c>
      <c r="I128" s="84" t="s">
        <v>436</v>
      </c>
      <c r="J128" s="13" t="s">
        <v>411</v>
      </c>
    </row>
    <row r="129" spans="1:10" x14ac:dyDescent="0.15">
      <c r="A129" s="2"/>
      <c r="B129" s="78">
        <v>40354</v>
      </c>
      <c r="C129" s="82">
        <v>40354</v>
      </c>
      <c r="D129" s="13"/>
      <c r="E129" s="54"/>
      <c r="F129" s="12"/>
      <c r="G129" s="83"/>
      <c r="H129" s="84"/>
      <c r="I129" s="84"/>
      <c r="J129" s="13" t="s">
        <v>411</v>
      </c>
    </row>
    <row r="130" spans="1:10" x14ac:dyDescent="0.15">
      <c r="A130" s="2"/>
      <c r="B130" s="78">
        <v>40355</v>
      </c>
      <c r="C130" s="82">
        <v>40355</v>
      </c>
      <c r="D130" s="13"/>
      <c r="E130" s="54"/>
      <c r="F130" s="12"/>
      <c r="G130" s="83"/>
      <c r="H130" s="84"/>
      <c r="I130" s="84"/>
      <c r="J130" s="13" t="s">
        <v>411</v>
      </c>
    </row>
    <row r="131" spans="1:10" x14ac:dyDescent="0.15">
      <c r="A131" s="2"/>
      <c r="B131" s="85">
        <v>40356</v>
      </c>
      <c r="C131" s="82">
        <v>40356</v>
      </c>
      <c r="D131" s="17"/>
      <c r="E131" s="54"/>
      <c r="F131" s="2"/>
      <c r="G131" s="86"/>
      <c r="H131" s="87"/>
      <c r="I131" s="87"/>
      <c r="J131" s="13" t="s">
        <v>411</v>
      </c>
    </row>
    <row r="132" spans="1:10" x14ac:dyDescent="0.15">
      <c r="A132" s="4">
        <f>A125+1</f>
        <v>19</v>
      </c>
      <c r="B132" s="78">
        <v>40357</v>
      </c>
      <c r="C132" s="79">
        <v>40357</v>
      </c>
      <c r="D132" s="8"/>
      <c r="E132" s="52"/>
      <c r="F132" s="7"/>
      <c r="G132" s="80"/>
      <c r="H132" s="81"/>
      <c r="I132" s="81"/>
      <c r="J132" s="13" t="s">
        <v>411</v>
      </c>
    </row>
    <row r="133" spans="1:10" x14ac:dyDescent="0.15">
      <c r="A133" s="11" t="s">
        <v>11</v>
      </c>
      <c r="B133" s="78">
        <v>40358</v>
      </c>
      <c r="C133" s="82">
        <v>40358</v>
      </c>
      <c r="D133" s="13" t="s">
        <v>14</v>
      </c>
      <c r="E133" s="54">
        <v>4.6898148148148147E-2</v>
      </c>
      <c r="F133" s="2">
        <v>160</v>
      </c>
      <c r="G133" s="83">
        <v>12.1</v>
      </c>
      <c r="H133" s="84">
        <f>E133/G133</f>
        <v>3.8758800122436488E-3</v>
      </c>
      <c r="I133" s="84" t="s">
        <v>436</v>
      </c>
      <c r="J133" s="13" t="s">
        <v>411</v>
      </c>
    </row>
    <row r="134" spans="1:10" x14ac:dyDescent="0.15">
      <c r="A134" s="15">
        <f>SUM(G132:G138)</f>
        <v>12.1</v>
      </c>
      <c r="B134" s="78">
        <v>40359</v>
      </c>
      <c r="C134" s="82">
        <v>40359</v>
      </c>
      <c r="D134" s="13"/>
      <c r="E134" s="54"/>
      <c r="F134" s="12"/>
      <c r="G134" s="83"/>
      <c r="H134" s="84"/>
      <c r="I134" s="84"/>
      <c r="J134" s="13" t="s">
        <v>411</v>
      </c>
    </row>
    <row r="135" spans="1:10" x14ac:dyDescent="0.15">
      <c r="A135" s="2"/>
      <c r="B135" s="78">
        <v>40360</v>
      </c>
      <c r="C135" s="82">
        <v>40360</v>
      </c>
      <c r="D135" s="13"/>
      <c r="E135" s="54"/>
      <c r="F135" s="2"/>
      <c r="G135" s="83"/>
      <c r="H135" s="84"/>
      <c r="I135" s="84"/>
      <c r="J135" s="13" t="s">
        <v>411</v>
      </c>
    </row>
    <row r="136" spans="1:10" x14ac:dyDescent="0.15">
      <c r="A136" s="2"/>
      <c r="B136" s="78">
        <v>40361</v>
      </c>
      <c r="C136" s="82">
        <v>40361</v>
      </c>
      <c r="D136" s="13"/>
      <c r="E136" s="54"/>
      <c r="F136" s="12"/>
      <c r="G136" s="83"/>
      <c r="H136" s="84"/>
      <c r="I136" s="84"/>
      <c r="J136" s="13" t="s">
        <v>411</v>
      </c>
    </row>
    <row r="137" spans="1:10" x14ac:dyDescent="0.15">
      <c r="A137" s="2"/>
      <c r="B137" s="78">
        <v>40362</v>
      </c>
      <c r="C137" s="82">
        <v>40362</v>
      </c>
      <c r="D137" s="13"/>
      <c r="E137" s="54"/>
      <c r="F137" s="12"/>
      <c r="G137" s="83"/>
      <c r="H137" s="84"/>
      <c r="I137" s="84"/>
      <c r="J137" s="13" t="s">
        <v>411</v>
      </c>
    </row>
    <row r="138" spans="1:10" x14ac:dyDescent="0.15">
      <c r="A138" s="2"/>
      <c r="B138" s="85">
        <v>40363</v>
      </c>
      <c r="C138" s="82">
        <v>40363</v>
      </c>
      <c r="D138" s="17"/>
      <c r="E138" s="54"/>
      <c r="F138" s="2"/>
      <c r="G138" s="86"/>
      <c r="H138" s="87"/>
      <c r="I138" s="87"/>
      <c r="J138" s="13" t="s">
        <v>411</v>
      </c>
    </row>
    <row r="139" spans="1:10" x14ac:dyDescent="0.15">
      <c r="A139" s="4">
        <f>A132+1</f>
        <v>20</v>
      </c>
      <c r="B139" s="78">
        <v>40364</v>
      </c>
      <c r="C139" s="79">
        <v>40364</v>
      </c>
      <c r="D139" s="8"/>
      <c r="E139" s="52"/>
      <c r="F139" s="7"/>
      <c r="G139" s="80"/>
      <c r="H139" s="81"/>
      <c r="I139" s="81"/>
      <c r="J139" s="13" t="s">
        <v>411</v>
      </c>
    </row>
    <row r="140" spans="1:10" x14ac:dyDescent="0.15">
      <c r="A140" s="11" t="s">
        <v>11</v>
      </c>
      <c r="B140" s="78">
        <v>40365</v>
      </c>
      <c r="C140" s="82">
        <v>40365</v>
      </c>
      <c r="D140" s="13" t="s">
        <v>14</v>
      </c>
      <c r="E140" s="54">
        <v>2.4305555555555556E-2</v>
      </c>
      <c r="F140" s="2" t="s">
        <v>437</v>
      </c>
      <c r="G140" s="83">
        <v>6.6</v>
      </c>
      <c r="H140" s="84">
        <f>E140/G140</f>
        <v>3.6826599326599328E-3</v>
      </c>
      <c r="I140" s="84" t="s">
        <v>436</v>
      </c>
      <c r="J140" s="13" t="s">
        <v>411</v>
      </c>
    </row>
    <row r="141" spans="1:10" x14ac:dyDescent="0.15">
      <c r="A141" s="15">
        <f>SUM(G139:G145)</f>
        <v>15.7</v>
      </c>
      <c r="B141" s="78">
        <v>40366</v>
      </c>
      <c r="C141" s="82">
        <v>40366</v>
      </c>
      <c r="D141" s="13"/>
      <c r="E141" s="54"/>
      <c r="F141" s="12"/>
      <c r="G141" s="83"/>
      <c r="H141" s="84"/>
      <c r="I141" s="84"/>
      <c r="J141" s="13" t="s">
        <v>411</v>
      </c>
    </row>
    <row r="142" spans="1:10" x14ac:dyDescent="0.15">
      <c r="A142" s="2"/>
      <c r="B142" s="78">
        <v>40367</v>
      </c>
      <c r="C142" s="82">
        <v>40367</v>
      </c>
      <c r="D142" s="13" t="s">
        <v>14</v>
      </c>
      <c r="E142" s="54">
        <v>3.2280092592592589E-2</v>
      </c>
      <c r="F142" s="2">
        <v>151</v>
      </c>
      <c r="G142" s="83">
        <v>9.1</v>
      </c>
      <c r="H142" s="84">
        <f>E142/G142</f>
        <v>3.5472629222629221E-3</v>
      </c>
      <c r="I142" s="84" t="s">
        <v>436</v>
      </c>
      <c r="J142" s="13" t="s">
        <v>411</v>
      </c>
    </row>
    <row r="143" spans="1:10" x14ac:dyDescent="0.15">
      <c r="A143" s="2"/>
      <c r="B143" s="78">
        <v>40368</v>
      </c>
      <c r="C143" s="82">
        <v>40368</v>
      </c>
      <c r="D143" s="13"/>
      <c r="E143" s="54"/>
      <c r="F143" s="12"/>
      <c r="G143" s="83"/>
      <c r="H143" s="84"/>
      <c r="I143" s="84"/>
      <c r="J143" s="13" t="s">
        <v>411</v>
      </c>
    </row>
    <row r="144" spans="1:10" x14ac:dyDescent="0.15">
      <c r="A144" s="2"/>
      <c r="B144" s="78">
        <v>40369</v>
      </c>
      <c r="C144" s="82">
        <v>40369</v>
      </c>
      <c r="D144" s="22"/>
      <c r="E144" s="54"/>
      <c r="F144" s="12"/>
      <c r="G144" s="83"/>
      <c r="H144" s="84"/>
      <c r="I144" s="84"/>
      <c r="J144" s="13" t="s">
        <v>411</v>
      </c>
    </row>
    <row r="145" spans="1:10" x14ac:dyDescent="0.15">
      <c r="A145" s="2"/>
      <c r="B145" s="85">
        <v>40370</v>
      </c>
      <c r="C145" s="82">
        <v>40370</v>
      </c>
      <c r="D145" s="17"/>
      <c r="E145" s="54"/>
      <c r="F145" s="2"/>
      <c r="G145" s="86"/>
      <c r="H145" s="87"/>
      <c r="I145" s="87"/>
      <c r="J145" s="13" t="s">
        <v>411</v>
      </c>
    </row>
    <row r="146" spans="1:10" x14ac:dyDescent="0.15">
      <c r="A146" s="4">
        <f>A139+1</f>
        <v>21</v>
      </c>
      <c r="B146" s="78">
        <v>40371</v>
      </c>
      <c r="C146" s="79">
        <v>40371</v>
      </c>
      <c r="D146" s="8" t="s">
        <v>14</v>
      </c>
      <c r="E146" s="52">
        <v>4.2106481481481481E-2</v>
      </c>
      <c r="F146" s="7">
        <v>152</v>
      </c>
      <c r="G146" s="80">
        <v>11.6</v>
      </c>
      <c r="H146" s="84">
        <f>E146/G146</f>
        <v>3.6298690932311624E-3</v>
      </c>
      <c r="I146" s="81" t="s">
        <v>436</v>
      </c>
      <c r="J146" s="13" t="s">
        <v>411</v>
      </c>
    </row>
    <row r="147" spans="1:10" x14ac:dyDescent="0.15">
      <c r="A147" s="11" t="s">
        <v>11</v>
      </c>
      <c r="B147" s="78">
        <v>40372</v>
      </c>
      <c r="C147" s="82">
        <v>40372</v>
      </c>
      <c r="D147" s="13"/>
      <c r="E147" s="54"/>
      <c r="F147" s="2"/>
      <c r="G147" s="83"/>
      <c r="H147" s="84"/>
      <c r="I147" s="84"/>
      <c r="J147" s="13" t="s">
        <v>411</v>
      </c>
    </row>
    <row r="148" spans="1:10" x14ac:dyDescent="0.15">
      <c r="A148" s="15">
        <f>SUM(G146:G152)</f>
        <v>22.560000000000002</v>
      </c>
      <c r="B148" s="78">
        <v>40373</v>
      </c>
      <c r="C148" s="82">
        <v>40373</v>
      </c>
      <c r="D148" s="13"/>
      <c r="E148" s="54"/>
      <c r="F148" s="12"/>
      <c r="G148" s="83"/>
      <c r="H148" s="84"/>
      <c r="I148" s="84"/>
      <c r="J148" s="13" t="s">
        <v>411</v>
      </c>
    </row>
    <row r="149" spans="1:10" x14ac:dyDescent="0.15">
      <c r="A149" s="2"/>
      <c r="B149" s="78">
        <v>40374</v>
      </c>
      <c r="C149" s="82">
        <v>40374</v>
      </c>
      <c r="D149" s="13"/>
      <c r="E149" s="54"/>
      <c r="F149" s="2"/>
      <c r="G149" s="83"/>
      <c r="H149" s="84"/>
      <c r="I149" s="84"/>
      <c r="J149" s="13" t="s">
        <v>411</v>
      </c>
    </row>
    <row r="150" spans="1:10" x14ac:dyDescent="0.15">
      <c r="A150" s="2"/>
      <c r="B150" s="78">
        <v>40375</v>
      </c>
      <c r="C150" s="82">
        <v>40375</v>
      </c>
      <c r="D150" s="13"/>
      <c r="E150" s="54"/>
      <c r="F150" s="12"/>
      <c r="G150" s="83"/>
      <c r="H150" s="84"/>
      <c r="I150" s="84"/>
      <c r="J150" s="13" t="s">
        <v>411</v>
      </c>
    </row>
    <row r="151" spans="1:10" x14ac:dyDescent="0.15">
      <c r="A151" s="2"/>
      <c r="B151" s="78">
        <v>40376</v>
      </c>
      <c r="C151" s="82">
        <v>40376</v>
      </c>
      <c r="D151" s="22"/>
      <c r="E151" s="54"/>
      <c r="F151" s="12"/>
      <c r="G151" s="83"/>
      <c r="H151" s="84"/>
      <c r="I151" s="84"/>
      <c r="J151" s="13" t="s">
        <v>411</v>
      </c>
    </row>
    <row r="152" spans="1:10" x14ac:dyDescent="0.15">
      <c r="A152" s="2"/>
      <c r="B152" s="85">
        <v>40377</v>
      </c>
      <c r="C152" s="82">
        <v>40377</v>
      </c>
      <c r="D152" s="17" t="s">
        <v>14</v>
      </c>
      <c r="E152" s="54">
        <v>3.7719907407407403E-2</v>
      </c>
      <c r="F152" s="2">
        <v>153</v>
      </c>
      <c r="G152" s="86">
        <v>10.96</v>
      </c>
      <c r="H152" s="84">
        <f>E152/G152</f>
        <v>3.4415973911868067E-3</v>
      </c>
      <c r="I152" s="87" t="s">
        <v>434</v>
      </c>
      <c r="J152" s="13" t="s">
        <v>411</v>
      </c>
    </row>
    <row r="153" spans="1:10" x14ac:dyDescent="0.15">
      <c r="A153" s="4">
        <f>A146+1</f>
        <v>22</v>
      </c>
      <c r="B153" s="78">
        <v>40378</v>
      </c>
      <c r="C153" s="79">
        <v>40378</v>
      </c>
      <c r="D153" s="8"/>
      <c r="E153" s="52"/>
      <c r="F153" s="7"/>
      <c r="G153" s="80"/>
      <c r="H153" s="81"/>
      <c r="I153" s="81"/>
      <c r="J153" s="13" t="s">
        <v>411</v>
      </c>
    </row>
    <row r="154" spans="1:10" x14ac:dyDescent="0.15">
      <c r="A154" s="11" t="s">
        <v>11</v>
      </c>
      <c r="B154" s="78">
        <v>40379</v>
      </c>
      <c r="C154" s="82">
        <v>40379</v>
      </c>
      <c r="D154" s="13"/>
      <c r="E154" s="54"/>
      <c r="F154" s="2"/>
      <c r="G154" s="83"/>
      <c r="H154" s="84"/>
      <c r="I154" s="84"/>
      <c r="J154" s="13" t="s">
        <v>411</v>
      </c>
    </row>
    <row r="155" spans="1:10" x14ac:dyDescent="0.15">
      <c r="A155" s="15">
        <f>SUM(G153:G159)</f>
        <v>16.829999999999998</v>
      </c>
      <c r="B155" s="78">
        <v>40380</v>
      </c>
      <c r="C155" s="82">
        <v>40380</v>
      </c>
      <c r="D155" s="13"/>
      <c r="E155" s="54"/>
      <c r="F155" s="12"/>
      <c r="G155" s="83"/>
      <c r="H155" s="84"/>
      <c r="I155" s="84"/>
      <c r="J155" s="13" t="s">
        <v>411</v>
      </c>
    </row>
    <row r="156" spans="1:10" x14ac:dyDescent="0.15">
      <c r="A156" s="2"/>
      <c r="B156" s="78">
        <v>40381</v>
      </c>
      <c r="C156" s="82">
        <v>40381</v>
      </c>
      <c r="D156" s="13" t="s">
        <v>14</v>
      </c>
      <c r="E156" s="54">
        <v>3.6354166666666667E-2</v>
      </c>
      <c r="F156" s="2">
        <v>155</v>
      </c>
      <c r="G156" s="83">
        <v>9.61</v>
      </c>
      <c r="H156" s="84">
        <f>E156/G156</f>
        <v>3.7829517863336806E-3</v>
      </c>
      <c r="I156" s="84" t="s">
        <v>436</v>
      </c>
      <c r="J156" s="13" t="s">
        <v>411</v>
      </c>
    </row>
    <row r="157" spans="1:10" x14ac:dyDescent="0.15">
      <c r="A157" s="2"/>
      <c r="B157" s="78">
        <v>40382</v>
      </c>
      <c r="C157" s="82">
        <v>40382</v>
      </c>
      <c r="D157" s="13"/>
      <c r="E157" s="54"/>
      <c r="F157" s="12"/>
      <c r="G157" s="83"/>
      <c r="H157" s="84"/>
      <c r="I157" s="84"/>
      <c r="J157" s="13" t="s">
        <v>411</v>
      </c>
    </row>
    <row r="158" spans="1:10" x14ac:dyDescent="0.15">
      <c r="A158" s="2"/>
      <c r="B158" s="78">
        <v>40383</v>
      </c>
      <c r="C158" s="82">
        <v>40383</v>
      </c>
      <c r="D158" s="13"/>
      <c r="E158" s="54"/>
      <c r="F158" s="12"/>
      <c r="G158" s="83"/>
      <c r="H158" s="84"/>
      <c r="I158" s="84"/>
      <c r="J158" s="13" t="s">
        <v>411</v>
      </c>
    </row>
    <row r="159" spans="1:10" x14ac:dyDescent="0.15">
      <c r="A159" s="2"/>
      <c r="B159" s="85">
        <v>40384</v>
      </c>
      <c r="C159" s="82">
        <v>40384</v>
      </c>
      <c r="D159" s="17" t="s">
        <v>14</v>
      </c>
      <c r="E159" s="54">
        <v>2.6388888888888889E-2</v>
      </c>
      <c r="F159" s="2" t="s">
        <v>437</v>
      </c>
      <c r="G159" s="86">
        <v>7.22</v>
      </c>
      <c r="H159" s="84">
        <f>E159/G159</f>
        <v>3.6549707602339184E-3</v>
      </c>
      <c r="I159" s="87" t="s">
        <v>436</v>
      </c>
      <c r="J159" s="13" t="s">
        <v>411</v>
      </c>
    </row>
    <row r="160" spans="1:10" x14ac:dyDescent="0.15">
      <c r="A160" s="4">
        <f>A153+1</f>
        <v>23</v>
      </c>
      <c r="B160" s="78">
        <v>40385</v>
      </c>
      <c r="C160" s="79">
        <v>40385</v>
      </c>
      <c r="D160" s="8"/>
      <c r="E160" s="52"/>
      <c r="F160" s="7"/>
      <c r="G160" s="80"/>
      <c r="H160" s="81"/>
      <c r="I160" s="81"/>
      <c r="J160" s="13" t="s">
        <v>411</v>
      </c>
    </row>
    <row r="161" spans="1:10" x14ac:dyDescent="0.15">
      <c r="A161" s="11" t="s">
        <v>11</v>
      </c>
      <c r="B161" s="78">
        <v>40386</v>
      </c>
      <c r="C161" s="82">
        <v>40386</v>
      </c>
      <c r="D161" s="13"/>
      <c r="E161" s="54"/>
      <c r="F161" s="2"/>
      <c r="G161" s="83"/>
      <c r="H161" s="84"/>
      <c r="I161" s="84"/>
      <c r="J161" s="13" t="s">
        <v>411</v>
      </c>
    </row>
    <row r="162" spans="1:10" x14ac:dyDescent="0.15">
      <c r="A162" s="15">
        <f>SUM(G160:G166)</f>
        <v>13.66</v>
      </c>
      <c r="B162" s="78">
        <v>40387</v>
      </c>
      <c r="C162" s="82">
        <v>40387</v>
      </c>
      <c r="D162" s="13"/>
      <c r="E162" s="54"/>
      <c r="F162" s="12"/>
      <c r="G162" s="83"/>
      <c r="H162" s="84"/>
      <c r="I162" s="84"/>
      <c r="J162" s="13" t="s">
        <v>411</v>
      </c>
    </row>
    <row r="163" spans="1:10" x14ac:dyDescent="0.15">
      <c r="A163" s="2"/>
      <c r="B163" s="78">
        <v>40388</v>
      </c>
      <c r="C163" s="82">
        <v>40388</v>
      </c>
      <c r="D163" s="13"/>
      <c r="E163" s="54"/>
      <c r="F163" s="2"/>
      <c r="G163" s="83"/>
      <c r="H163" s="84"/>
      <c r="I163" s="84"/>
      <c r="J163" s="13" t="s">
        <v>411</v>
      </c>
    </row>
    <row r="164" spans="1:10" x14ac:dyDescent="0.15">
      <c r="A164" s="2"/>
      <c r="B164" s="78">
        <v>40389</v>
      </c>
      <c r="C164" s="82">
        <v>40389</v>
      </c>
      <c r="D164" s="13"/>
      <c r="E164" s="54"/>
      <c r="F164" s="12"/>
      <c r="G164" s="83"/>
      <c r="H164" s="84"/>
      <c r="I164" s="84"/>
      <c r="J164" s="13" t="s">
        <v>411</v>
      </c>
    </row>
    <row r="165" spans="1:10" x14ac:dyDescent="0.15">
      <c r="A165" s="2"/>
      <c r="B165" s="78">
        <v>40390</v>
      </c>
      <c r="C165" s="82">
        <v>40390</v>
      </c>
      <c r="D165" s="13"/>
      <c r="E165" s="54"/>
      <c r="F165" s="12"/>
      <c r="G165" s="83"/>
      <c r="H165" s="84"/>
      <c r="I165" s="84"/>
      <c r="J165" s="13" t="s">
        <v>411</v>
      </c>
    </row>
    <row r="166" spans="1:10" x14ac:dyDescent="0.15">
      <c r="A166" s="2"/>
      <c r="B166" s="85">
        <v>40391</v>
      </c>
      <c r="C166" s="82">
        <v>40391</v>
      </c>
      <c r="D166" s="17" t="s">
        <v>14</v>
      </c>
      <c r="E166" s="54">
        <v>5.0682870370370364E-2</v>
      </c>
      <c r="F166" s="2" t="s">
        <v>437</v>
      </c>
      <c r="G166" s="86">
        <v>13.66</v>
      </c>
      <c r="H166" s="84">
        <f>E166/G166</f>
        <v>3.7103126186215493E-3</v>
      </c>
      <c r="I166" s="87" t="s">
        <v>434</v>
      </c>
      <c r="J166" s="13" t="s">
        <v>411</v>
      </c>
    </row>
    <row r="167" spans="1:10" x14ac:dyDescent="0.15">
      <c r="A167" s="4">
        <f>A160+1</f>
        <v>24</v>
      </c>
      <c r="B167" s="78">
        <v>40392</v>
      </c>
      <c r="C167" s="79">
        <v>40392</v>
      </c>
      <c r="D167" s="8"/>
      <c r="E167" s="52"/>
      <c r="F167" s="7"/>
      <c r="G167" s="80"/>
      <c r="H167" s="81"/>
      <c r="I167" s="81"/>
      <c r="J167" s="13" t="s">
        <v>411</v>
      </c>
    </row>
    <row r="168" spans="1:10" x14ac:dyDescent="0.15">
      <c r="A168" s="11" t="s">
        <v>11</v>
      </c>
      <c r="B168" s="78">
        <v>40393</v>
      </c>
      <c r="C168" s="82">
        <v>40393</v>
      </c>
      <c r="D168" s="13"/>
      <c r="E168" s="54"/>
      <c r="F168" s="2"/>
      <c r="G168" s="83"/>
      <c r="H168" s="84"/>
      <c r="I168" s="84"/>
      <c r="J168" s="13" t="s">
        <v>411</v>
      </c>
    </row>
    <row r="169" spans="1:10" x14ac:dyDescent="0.15">
      <c r="A169" s="15">
        <f>SUM(G167:G173)</f>
        <v>19.48</v>
      </c>
      <c r="B169" s="78">
        <v>40394</v>
      </c>
      <c r="C169" s="82">
        <v>40394</v>
      </c>
      <c r="D169" s="13" t="s">
        <v>14</v>
      </c>
      <c r="E169" s="54">
        <v>3.6168981481481476E-2</v>
      </c>
      <c r="F169" s="12">
        <v>147</v>
      </c>
      <c r="G169" s="83">
        <v>9.6</v>
      </c>
      <c r="H169" s="84">
        <f>E169/G169</f>
        <v>3.7676022376543204E-3</v>
      </c>
      <c r="I169" s="84" t="s">
        <v>434</v>
      </c>
      <c r="J169" s="13" t="s">
        <v>411</v>
      </c>
    </row>
    <row r="170" spans="1:10" x14ac:dyDescent="0.15">
      <c r="A170" s="2"/>
      <c r="B170" s="78">
        <v>40395</v>
      </c>
      <c r="C170" s="82">
        <v>40395</v>
      </c>
      <c r="D170" s="13"/>
      <c r="E170" s="54"/>
      <c r="F170" s="2"/>
      <c r="G170" s="83"/>
      <c r="H170" s="84"/>
      <c r="I170" s="84"/>
      <c r="J170" s="13" t="s">
        <v>411</v>
      </c>
    </row>
    <row r="171" spans="1:10" x14ac:dyDescent="0.15">
      <c r="A171" s="2"/>
      <c r="B171" s="78">
        <v>40396</v>
      </c>
      <c r="C171" s="82">
        <v>40396</v>
      </c>
      <c r="D171" s="13"/>
      <c r="E171" s="54"/>
      <c r="F171" s="12"/>
      <c r="G171" s="83"/>
      <c r="H171" s="84"/>
      <c r="I171" s="84"/>
      <c r="J171" s="13" t="s">
        <v>411</v>
      </c>
    </row>
    <row r="172" spans="1:10" x14ac:dyDescent="0.15">
      <c r="A172" s="2"/>
      <c r="B172" s="78">
        <v>40397</v>
      </c>
      <c r="C172" s="82">
        <v>40397</v>
      </c>
      <c r="D172" s="13" t="s">
        <v>14</v>
      </c>
      <c r="E172" s="54">
        <v>3.6296296296296292E-2</v>
      </c>
      <c r="F172" s="12">
        <v>147</v>
      </c>
      <c r="G172" s="83">
        <v>9.8800000000000008</v>
      </c>
      <c r="H172" s="84">
        <f>E172/G172</f>
        <v>3.6737142000299889E-3</v>
      </c>
      <c r="I172" s="84" t="s">
        <v>434</v>
      </c>
      <c r="J172" s="13" t="s">
        <v>411</v>
      </c>
    </row>
    <row r="173" spans="1:10" x14ac:dyDescent="0.15">
      <c r="A173" s="2"/>
      <c r="B173" s="85">
        <v>40398</v>
      </c>
      <c r="C173" s="82">
        <v>40398</v>
      </c>
      <c r="D173" s="17"/>
      <c r="E173" s="54"/>
      <c r="F173" s="2"/>
      <c r="G173" s="86"/>
      <c r="H173" s="87"/>
      <c r="I173" s="87"/>
      <c r="J173" s="13" t="s">
        <v>411</v>
      </c>
    </row>
    <row r="174" spans="1:10" x14ac:dyDescent="0.15">
      <c r="A174" s="4">
        <f>A167+1</f>
        <v>25</v>
      </c>
      <c r="B174" s="78">
        <v>40399</v>
      </c>
      <c r="C174" s="79">
        <v>40399</v>
      </c>
      <c r="D174" s="8"/>
      <c r="E174" s="52"/>
      <c r="F174" s="7"/>
      <c r="G174" s="80"/>
      <c r="H174" s="81"/>
      <c r="I174" s="81"/>
      <c r="J174" s="13" t="s">
        <v>411</v>
      </c>
    </row>
    <row r="175" spans="1:10" x14ac:dyDescent="0.15">
      <c r="A175" s="34" t="s">
        <v>11</v>
      </c>
      <c r="B175" s="78">
        <v>40400</v>
      </c>
      <c r="C175" s="82">
        <v>40400</v>
      </c>
      <c r="D175" s="13"/>
      <c r="E175" s="54"/>
      <c r="F175" s="2"/>
      <c r="G175" s="83"/>
      <c r="H175" s="84"/>
      <c r="I175" s="84"/>
      <c r="J175" s="13" t="s">
        <v>411</v>
      </c>
    </row>
    <row r="176" spans="1:10" x14ac:dyDescent="0.15">
      <c r="A176" s="15">
        <f>SUM(G174:G180)</f>
        <v>23.57</v>
      </c>
      <c r="B176" s="78">
        <v>40401</v>
      </c>
      <c r="C176" s="82">
        <v>40401</v>
      </c>
      <c r="D176" s="13" t="s">
        <v>14</v>
      </c>
      <c r="E176" s="54">
        <v>4.1388888888888892E-2</v>
      </c>
      <c r="F176" s="12">
        <v>152</v>
      </c>
      <c r="G176" s="83">
        <v>10.97</v>
      </c>
      <c r="H176" s="84">
        <f>E176/G176</f>
        <v>3.7729160336270637E-3</v>
      </c>
      <c r="I176" s="84" t="s">
        <v>434</v>
      </c>
      <c r="J176" s="13" t="s">
        <v>411</v>
      </c>
    </row>
    <row r="177" spans="1:10" x14ac:dyDescent="0.15">
      <c r="A177" s="2"/>
      <c r="B177" s="78">
        <v>40402</v>
      </c>
      <c r="C177" s="82">
        <v>40402</v>
      </c>
      <c r="D177" s="13"/>
      <c r="E177" s="54"/>
      <c r="F177" s="2"/>
      <c r="G177" s="83"/>
      <c r="H177" s="84"/>
      <c r="I177" s="84"/>
      <c r="J177" s="13" t="s">
        <v>411</v>
      </c>
    </row>
    <row r="178" spans="1:10" x14ac:dyDescent="0.15">
      <c r="A178" s="2"/>
      <c r="B178" s="78">
        <v>40403</v>
      </c>
      <c r="C178" s="82">
        <v>40403</v>
      </c>
      <c r="D178" s="13"/>
      <c r="E178" s="54"/>
      <c r="F178" s="12"/>
      <c r="G178" s="83"/>
      <c r="H178" s="84"/>
      <c r="I178" s="84"/>
      <c r="J178" s="13" t="s">
        <v>411</v>
      </c>
    </row>
    <row r="179" spans="1:10" x14ac:dyDescent="0.15">
      <c r="A179" s="2"/>
      <c r="B179" s="78">
        <v>40404</v>
      </c>
      <c r="C179" s="82">
        <v>40404</v>
      </c>
      <c r="D179" s="13"/>
      <c r="E179" s="54"/>
      <c r="F179" s="12"/>
      <c r="G179" s="83"/>
      <c r="H179" s="84"/>
      <c r="I179" s="84"/>
      <c r="J179" s="13" t="s">
        <v>411</v>
      </c>
    </row>
    <row r="180" spans="1:10" x14ac:dyDescent="0.15">
      <c r="A180" s="35"/>
      <c r="B180" s="85">
        <v>40405</v>
      </c>
      <c r="C180" s="82">
        <v>40405</v>
      </c>
      <c r="D180" s="17" t="s">
        <v>14</v>
      </c>
      <c r="E180" s="54">
        <v>4.6921296296296294E-2</v>
      </c>
      <c r="F180" s="2">
        <v>151</v>
      </c>
      <c r="G180" s="86">
        <v>12.6</v>
      </c>
      <c r="H180" s="84">
        <f>E180/G180</f>
        <v>3.7239124044679598E-3</v>
      </c>
      <c r="I180" s="87" t="s">
        <v>434</v>
      </c>
      <c r="J180" s="13" t="s">
        <v>411</v>
      </c>
    </row>
    <row r="181" spans="1:10" x14ac:dyDescent="0.15">
      <c r="A181" s="4">
        <f>A174+1</f>
        <v>26</v>
      </c>
      <c r="B181" s="78">
        <v>40406</v>
      </c>
      <c r="C181" s="79">
        <v>40406</v>
      </c>
      <c r="D181" s="8"/>
      <c r="E181" s="52"/>
      <c r="F181" s="7"/>
      <c r="G181" s="80"/>
      <c r="H181" s="81"/>
      <c r="I181" s="81"/>
      <c r="J181" s="13" t="s">
        <v>411</v>
      </c>
    </row>
    <row r="182" spans="1:10" x14ac:dyDescent="0.15">
      <c r="A182" s="11" t="s">
        <v>11</v>
      </c>
      <c r="B182" s="78">
        <v>40407</v>
      </c>
      <c r="C182" s="82">
        <v>40407</v>
      </c>
      <c r="D182" s="13"/>
      <c r="E182" s="54"/>
      <c r="F182" s="2"/>
      <c r="G182" s="83"/>
      <c r="H182" s="84"/>
      <c r="I182" s="84"/>
      <c r="J182" s="13" t="s">
        <v>411</v>
      </c>
    </row>
    <row r="183" spans="1:10" x14ac:dyDescent="0.15">
      <c r="A183" s="15">
        <f>SUM(G181:G187)</f>
        <v>10.48</v>
      </c>
      <c r="B183" s="78">
        <v>40408</v>
      </c>
      <c r="C183" s="82">
        <v>40408</v>
      </c>
      <c r="D183" s="13"/>
      <c r="E183" s="54"/>
      <c r="F183" s="12"/>
      <c r="G183" s="83"/>
      <c r="H183" s="84"/>
      <c r="I183" s="84"/>
      <c r="J183" s="13" t="s">
        <v>411</v>
      </c>
    </row>
    <row r="184" spans="1:10" x14ac:dyDescent="0.15">
      <c r="A184" s="2"/>
      <c r="B184" s="78">
        <v>40409</v>
      </c>
      <c r="C184" s="82">
        <v>40409</v>
      </c>
      <c r="D184" s="13" t="s">
        <v>14</v>
      </c>
      <c r="E184" s="54">
        <v>4.6921296296296294E-2</v>
      </c>
      <c r="F184" s="2">
        <v>151</v>
      </c>
      <c r="G184" s="83">
        <v>10.48</v>
      </c>
      <c r="H184" s="84">
        <f>E184/G184</f>
        <v>4.4772229290359058E-3</v>
      </c>
      <c r="I184" s="84" t="s">
        <v>434</v>
      </c>
      <c r="J184" s="13" t="s">
        <v>411</v>
      </c>
    </row>
    <row r="185" spans="1:10" x14ac:dyDescent="0.15">
      <c r="A185" s="2"/>
      <c r="B185" s="78">
        <v>40410</v>
      </c>
      <c r="C185" s="82">
        <v>40410</v>
      </c>
      <c r="D185" s="13"/>
      <c r="E185" s="54"/>
      <c r="F185" s="12"/>
      <c r="G185" s="83"/>
      <c r="H185" s="84"/>
      <c r="I185" s="84"/>
      <c r="J185" s="13" t="s">
        <v>411</v>
      </c>
    </row>
    <row r="186" spans="1:10" x14ac:dyDescent="0.15">
      <c r="A186" s="2"/>
      <c r="B186" s="78">
        <v>40411</v>
      </c>
      <c r="C186" s="82">
        <v>40411</v>
      </c>
      <c r="D186" s="13"/>
      <c r="E186" s="54"/>
      <c r="F186" s="12"/>
      <c r="G186" s="83"/>
      <c r="H186" s="84"/>
      <c r="I186" s="84"/>
      <c r="J186" s="13" t="s">
        <v>411</v>
      </c>
    </row>
    <row r="187" spans="1:10" x14ac:dyDescent="0.15">
      <c r="A187" s="2"/>
      <c r="B187" s="85">
        <v>40412</v>
      </c>
      <c r="C187" s="82">
        <v>40412</v>
      </c>
      <c r="D187" s="17"/>
      <c r="E187" s="54"/>
      <c r="F187" s="2"/>
      <c r="G187" s="86"/>
      <c r="H187" s="87"/>
      <c r="I187" s="87"/>
      <c r="J187" s="13" t="s">
        <v>411</v>
      </c>
    </row>
    <row r="188" spans="1:10" x14ac:dyDescent="0.15">
      <c r="A188" s="4">
        <f>A181+1</f>
        <v>27</v>
      </c>
      <c r="B188" s="78">
        <v>40413</v>
      </c>
      <c r="C188" s="79">
        <v>40413</v>
      </c>
      <c r="D188" s="8"/>
      <c r="E188" s="52"/>
      <c r="F188" s="7"/>
      <c r="G188" s="80"/>
      <c r="H188" s="81"/>
      <c r="I188" s="81"/>
      <c r="J188" s="13" t="s">
        <v>411</v>
      </c>
    </row>
    <row r="189" spans="1:10" x14ac:dyDescent="0.15">
      <c r="A189" s="11" t="s">
        <v>11</v>
      </c>
      <c r="B189" s="78">
        <v>40414</v>
      </c>
      <c r="C189" s="82">
        <v>40414</v>
      </c>
      <c r="D189" s="13"/>
      <c r="E189" s="54"/>
      <c r="F189" s="2"/>
      <c r="G189" s="83"/>
      <c r="H189" s="84"/>
      <c r="I189" s="84"/>
      <c r="J189" s="13" t="s">
        <v>411</v>
      </c>
    </row>
    <row r="190" spans="1:10" x14ac:dyDescent="0.15">
      <c r="A190" s="15">
        <f>SUM(G188:G194)</f>
        <v>0</v>
      </c>
      <c r="B190" s="78">
        <v>40415</v>
      </c>
      <c r="C190" s="82">
        <v>40415</v>
      </c>
      <c r="D190" s="13"/>
      <c r="E190" s="54"/>
      <c r="F190" s="12"/>
      <c r="G190" s="83"/>
      <c r="H190" s="84"/>
      <c r="I190" s="84"/>
      <c r="J190" s="13" t="s">
        <v>411</v>
      </c>
    </row>
    <row r="191" spans="1:10" x14ac:dyDescent="0.15">
      <c r="A191" s="2"/>
      <c r="B191" s="78">
        <v>40416</v>
      </c>
      <c r="C191" s="82">
        <v>40416</v>
      </c>
      <c r="D191" s="13"/>
      <c r="E191" s="54"/>
      <c r="F191" s="2"/>
      <c r="G191" s="83"/>
      <c r="H191" s="84"/>
      <c r="I191" s="84"/>
      <c r="J191" s="13" t="s">
        <v>411</v>
      </c>
    </row>
    <row r="192" spans="1:10" x14ac:dyDescent="0.15">
      <c r="A192" s="2"/>
      <c r="B192" s="78">
        <v>40417</v>
      </c>
      <c r="C192" s="82">
        <v>40417</v>
      </c>
      <c r="D192" s="13"/>
      <c r="E192" s="54"/>
      <c r="F192" s="12"/>
      <c r="G192" s="83"/>
      <c r="H192" s="84"/>
      <c r="I192" s="84"/>
      <c r="J192" s="13" t="s">
        <v>411</v>
      </c>
    </row>
    <row r="193" spans="1:10" x14ac:dyDescent="0.15">
      <c r="A193" s="2"/>
      <c r="B193" s="78">
        <v>40418</v>
      </c>
      <c r="C193" s="82">
        <v>40418</v>
      </c>
      <c r="D193" s="13"/>
      <c r="E193" s="54"/>
      <c r="F193" s="12"/>
      <c r="G193" s="83"/>
      <c r="H193" s="84"/>
      <c r="I193" s="84"/>
      <c r="J193" s="13" t="s">
        <v>411</v>
      </c>
    </row>
    <row r="194" spans="1:10" x14ac:dyDescent="0.15">
      <c r="A194" s="2"/>
      <c r="B194" s="85">
        <v>40419</v>
      </c>
      <c r="C194" s="82">
        <v>40419</v>
      </c>
      <c r="D194" s="17"/>
      <c r="E194" s="54"/>
      <c r="F194" s="2"/>
      <c r="G194" s="86"/>
      <c r="H194" s="87"/>
      <c r="I194" s="87"/>
      <c r="J194" s="13" t="s">
        <v>411</v>
      </c>
    </row>
    <row r="195" spans="1:10" x14ac:dyDescent="0.15">
      <c r="A195" s="4">
        <f>A188+1</f>
        <v>28</v>
      </c>
      <c r="B195" s="78">
        <v>40420</v>
      </c>
      <c r="C195" s="79">
        <v>40420</v>
      </c>
      <c r="D195" s="8"/>
      <c r="E195" s="52"/>
      <c r="F195" s="7"/>
      <c r="G195" s="80"/>
      <c r="H195" s="81"/>
      <c r="I195" s="81"/>
      <c r="J195" s="13" t="s">
        <v>411</v>
      </c>
    </row>
    <row r="196" spans="1:10" x14ac:dyDescent="0.15">
      <c r="A196" s="11" t="s">
        <v>11</v>
      </c>
      <c r="B196" s="78">
        <v>40421</v>
      </c>
      <c r="C196" s="82">
        <v>40421</v>
      </c>
      <c r="D196" s="13" t="s">
        <v>49</v>
      </c>
      <c r="E196" s="54">
        <v>3.1921296296296295E-2</v>
      </c>
      <c r="F196" s="2">
        <v>163</v>
      </c>
      <c r="G196" s="83">
        <v>9.6</v>
      </c>
      <c r="H196" s="84">
        <f>E196/G196</f>
        <v>3.3251350308641974E-3</v>
      </c>
      <c r="I196" s="84" t="s">
        <v>434</v>
      </c>
      <c r="J196" s="13" t="s">
        <v>411</v>
      </c>
    </row>
    <row r="197" spans="1:10" x14ac:dyDescent="0.15">
      <c r="A197" s="15">
        <f>SUM(G195:G201)</f>
        <v>9.6</v>
      </c>
      <c r="B197" s="78">
        <v>40422</v>
      </c>
      <c r="C197" s="82">
        <v>40422</v>
      </c>
      <c r="D197" s="13"/>
      <c r="E197" s="54"/>
      <c r="F197" s="12"/>
      <c r="G197" s="83"/>
      <c r="H197" s="84"/>
      <c r="I197" s="84"/>
      <c r="J197" s="13" t="s">
        <v>411</v>
      </c>
    </row>
    <row r="198" spans="1:10" x14ac:dyDescent="0.15">
      <c r="A198" s="2"/>
      <c r="B198" s="78">
        <v>40423</v>
      </c>
      <c r="C198" s="82">
        <v>40423</v>
      </c>
      <c r="D198" s="13"/>
      <c r="E198" s="54"/>
      <c r="F198" s="2"/>
      <c r="G198" s="83"/>
      <c r="H198" s="84"/>
      <c r="I198" s="84"/>
      <c r="J198" s="13" t="s">
        <v>411</v>
      </c>
    </row>
    <row r="199" spans="1:10" x14ac:dyDescent="0.15">
      <c r="A199" s="2"/>
      <c r="B199" s="78">
        <v>40424</v>
      </c>
      <c r="C199" s="82">
        <v>40424</v>
      </c>
      <c r="D199" s="13"/>
      <c r="E199"/>
      <c r="F199" s="12"/>
      <c r="G199" s="83"/>
      <c r="H199" s="84"/>
      <c r="I199" s="84"/>
      <c r="J199" s="13" t="s">
        <v>411</v>
      </c>
    </row>
    <row r="200" spans="1:10" x14ac:dyDescent="0.15">
      <c r="A200" s="2"/>
      <c r="B200" s="78">
        <v>40425</v>
      </c>
      <c r="C200" s="82">
        <v>40425</v>
      </c>
      <c r="D200" s="13"/>
      <c r="E200" s="54"/>
      <c r="F200" s="12"/>
      <c r="G200" s="83"/>
      <c r="H200" s="84"/>
      <c r="I200" s="84"/>
      <c r="J200" s="13" t="s">
        <v>411</v>
      </c>
    </row>
    <row r="201" spans="1:10" x14ac:dyDescent="0.15">
      <c r="A201" s="2"/>
      <c r="B201" s="85">
        <v>40426</v>
      </c>
      <c r="C201" s="82">
        <v>40426</v>
      </c>
      <c r="D201" s="17"/>
      <c r="E201" s="54"/>
      <c r="F201" s="2"/>
      <c r="G201" s="86"/>
      <c r="H201" s="87"/>
      <c r="I201" s="87"/>
      <c r="J201" s="13" t="s">
        <v>411</v>
      </c>
    </row>
    <row r="202" spans="1:10" x14ac:dyDescent="0.15">
      <c r="A202" s="4">
        <f>A195+1</f>
        <v>29</v>
      </c>
      <c r="B202" s="78">
        <v>40427</v>
      </c>
      <c r="C202" s="79">
        <v>40427</v>
      </c>
      <c r="D202" s="8"/>
      <c r="E202" s="52"/>
      <c r="F202" s="7"/>
      <c r="G202" s="80"/>
      <c r="H202" s="84"/>
      <c r="I202" s="84"/>
      <c r="J202" s="13" t="s">
        <v>411</v>
      </c>
    </row>
    <row r="203" spans="1:10" x14ac:dyDescent="0.15">
      <c r="A203" s="11" t="s">
        <v>11</v>
      </c>
      <c r="B203" s="78">
        <v>40428</v>
      </c>
      <c r="C203" s="82">
        <v>40428</v>
      </c>
      <c r="D203" s="13"/>
      <c r="E203" s="54"/>
      <c r="F203" s="2"/>
      <c r="G203" s="83"/>
      <c r="H203" s="84"/>
      <c r="I203" s="84"/>
      <c r="J203" s="13" t="s">
        <v>411</v>
      </c>
    </row>
    <row r="204" spans="1:10" x14ac:dyDescent="0.15">
      <c r="A204" s="15">
        <f>SUM(G202:G208)</f>
        <v>9.7899999999999991</v>
      </c>
      <c r="B204" s="78">
        <v>40429</v>
      </c>
      <c r="C204" s="82">
        <v>40429</v>
      </c>
      <c r="D204" s="13"/>
      <c r="E204" s="54"/>
      <c r="F204" s="12"/>
      <c r="G204" s="83"/>
      <c r="H204" s="84"/>
      <c r="I204" s="84"/>
      <c r="J204" s="13" t="s">
        <v>411</v>
      </c>
    </row>
    <row r="205" spans="1:10" x14ac:dyDescent="0.15">
      <c r="A205" s="2"/>
      <c r="B205" s="78">
        <v>40430</v>
      </c>
      <c r="C205" s="82">
        <v>40430</v>
      </c>
      <c r="D205" s="13"/>
      <c r="E205" s="54"/>
      <c r="F205" s="2"/>
      <c r="G205" s="83"/>
      <c r="H205" s="84"/>
      <c r="I205" s="84"/>
      <c r="J205" s="13" t="s">
        <v>411</v>
      </c>
    </row>
    <row r="206" spans="1:10" x14ac:dyDescent="0.15">
      <c r="A206" s="2"/>
      <c r="B206" s="78">
        <v>40431</v>
      </c>
      <c r="C206" s="82">
        <v>40431</v>
      </c>
      <c r="D206" s="13"/>
      <c r="E206" s="54"/>
      <c r="F206" s="12"/>
      <c r="G206" s="83"/>
      <c r="H206" s="84"/>
      <c r="I206" s="84"/>
      <c r="J206" s="13" t="s">
        <v>411</v>
      </c>
    </row>
    <row r="207" spans="1:10" x14ac:dyDescent="0.15">
      <c r="A207" s="2"/>
      <c r="B207" s="78">
        <v>40432</v>
      </c>
      <c r="C207" s="82">
        <v>40432</v>
      </c>
      <c r="D207" s="13"/>
      <c r="E207" s="54"/>
      <c r="F207" s="12"/>
      <c r="G207" s="83"/>
      <c r="H207" s="84"/>
      <c r="I207" s="84"/>
      <c r="J207" s="13" t="s">
        <v>411</v>
      </c>
    </row>
    <row r="208" spans="1:10" x14ac:dyDescent="0.15">
      <c r="A208" s="2"/>
      <c r="B208" s="85">
        <v>40433</v>
      </c>
      <c r="C208" s="82">
        <v>40433</v>
      </c>
      <c r="D208" s="17" t="s">
        <v>14</v>
      </c>
      <c r="E208" s="57">
        <v>3.6689814814814814E-2</v>
      </c>
      <c r="F208" s="2" t="s">
        <v>437</v>
      </c>
      <c r="G208" s="86">
        <v>9.7899999999999991</v>
      </c>
      <c r="H208" s="87">
        <f>E208/G208</f>
        <v>3.747682820716529E-3</v>
      </c>
      <c r="I208" s="87" t="s">
        <v>436</v>
      </c>
      <c r="J208" s="13" t="s">
        <v>411</v>
      </c>
    </row>
    <row r="209" spans="1:10" x14ac:dyDescent="0.15">
      <c r="A209" s="4">
        <f>A202+1</f>
        <v>30</v>
      </c>
      <c r="B209" s="78">
        <v>40434</v>
      </c>
      <c r="C209" s="79">
        <v>40434</v>
      </c>
      <c r="D209" s="8"/>
      <c r="E209" s="52"/>
      <c r="F209" s="7"/>
      <c r="G209" s="80"/>
      <c r="H209" s="84"/>
      <c r="I209" s="84"/>
      <c r="J209" s="13" t="s">
        <v>411</v>
      </c>
    </row>
    <row r="210" spans="1:10" x14ac:dyDescent="0.15">
      <c r="A210" s="11" t="s">
        <v>11</v>
      </c>
      <c r="B210" s="78">
        <v>40435</v>
      </c>
      <c r="C210" s="82">
        <v>40435</v>
      </c>
      <c r="D210" s="13"/>
      <c r="E210" s="54"/>
      <c r="F210" s="2"/>
      <c r="G210" s="83"/>
      <c r="H210" s="84"/>
      <c r="I210" s="84"/>
      <c r="J210" s="13" t="s">
        <v>411</v>
      </c>
    </row>
    <row r="211" spans="1:10" x14ac:dyDescent="0.15">
      <c r="A211" s="15">
        <f>SUM(G209:G215)</f>
        <v>0</v>
      </c>
      <c r="B211" s="78">
        <v>40436</v>
      </c>
      <c r="C211" s="82">
        <v>40436</v>
      </c>
      <c r="D211" s="13"/>
      <c r="E211" s="54"/>
      <c r="F211" s="12"/>
      <c r="G211" s="83"/>
      <c r="H211" s="84"/>
      <c r="I211" s="84"/>
      <c r="J211" s="13" t="s">
        <v>411</v>
      </c>
    </row>
    <row r="212" spans="1:10" x14ac:dyDescent="0.15">
      <c r="A212" s="2"/>
      <c r="B212" s="78">
        <v>40437</v>
      </c>
      <c r="C212" s="82">
        <v>40437</v>
      </c>
      <c r="D212" s="13"/>
      <c r="E212" s="54"/>
      <c r="F212" s="2"/>
      <c r="G212" s="83"/>
      <c r="H212" s="84"/>
      <c r="I212" s="84"/>
      <c r="J212" s="13" t="s">
        <v>411</v>
      </c>
    </row>
    <row r="213" spans="1:10" x14ac:dyDescent="0.15">
      <c r="A213" s="2"/>
      <c r="B213" s="78">
        <v>40438</v>
      </c>
      <c r="C213" s="82">
        <v>40438</v>
      </c>
      <c r="D213" s="13"/>
      <c r="E213" s="54"/>
      <c r="F213" s="12"/>
      <c r="G213" s="83"/>
      <c r="H213" s="84"/>
      <c r="I213" s="84"/>
      <c r="J213" s="13" t="s">
        <v>411</v>
      </c>
    </row>
    <row r="214" spans="1:10" x14ac:dyDescent="0.15">
      <c r="A214" s="2"/>
      <c r="B214" s="78">
        <v>40439</v>
      </c>
      <c r="C214" s="82">
        <v>40439</v>
      </c>
      <c r="D214" s="13"/>
      <c r="E214" s="54"/>
      <c r="F214" s="12"/>
      <c r="G214" s="83"/>
      <c r="H214" s="84"/>
      <c r="I214" s="84"/>
      <c r="J214" s="13" t="s">
        <v>411</v>
      </c>
    </row>
    <row r="215" spans="1:10" x14ac:dyDescent="0.15">
      <c r="A215" s="2"/>
      <c r="B215" s="85">
        <v>40440</v>
      </c>
      <c r="C215" s="82">
        <v>40440</v>
      </c>
      <c r="D215" s="17"/>
      <c r="E215" s="57"/>
      <c r="F215" s="2"/>
      <c r="G215" s="86"/>
      <c r="H215" s="87"/>
      <c r="I215" s="87"/>
      <c r="J215" s="13" t="s">
        <v>411</v>
      </c>
    </row>
    <row r="216" spans="1:10" x14ac:dyDescent="0.15">
      <c r="A216" s="4">
        <f>A209+1</f>
        <v>31</v>
      </c>
      <c r="B216" s="78">
        <v>40441</v>
      </c>
      <c r="C216" s="79">
        <v>40441</v>
      </c>
      <c r="D216" s="8"/>
      <c r="E216" s="52"/>
      <c r="F216" s="7"/>
      <c r="G216" s="80"/>
      <c r="H216" s="84"/>
      <c r="I216" s="84"/>
      <c r="J216" s="13" t="s">
        <v>411</v>
      </c>
    </row>
    <row r="217" spans="1:10" x14ac:dyDescent="0.15">
      <c r="A217" s="11" t="s">
        <v>11</v>
      </c>
      <c r="B217" s="78">
        <v>40442</v>
      </c>
      <c r="C217" s="82">
        <v>40442</v>
      </c>
      <c r="D217" s="13" t="s">
        <v>14</v>
      </c>
      <c r="E217" s="54">
        <v>4.6400462962962963E-2</v>
      </c>
      <c r="F217" s="2" t="s">
        <v>437</v>
      </c>
      <c r="G217" s="83">
        <v>12.65</v>
      </c>
      <c r="H217" s="84">
        <f>E217/G217</f>
        <v>3.6680207875860048E-3</v>
      </c>
      <c r="I217" s="84" t="s">
        <v>436</v>
      </c>
      <c r="J217" s="13" t="s">
        <v>411</v>
      </c>
    </row>
    <row r="218" spans="1:10" x14ac:dyDescent="0.15">
      <c r="A218" s="15">
        <f>SUM(G216:G222)</f>
        <v>27.1</v>
      </c>
      <c r="B218" s="78">
        <v>40443</v>
      </c>
      <c r="C218" s="82">
        <v>40443</v>
      </c>
      <c r="D218" s="13"/>
      <c r="E218" s="54"/>
      <c r="F218" s="12"/>
      <c r="G218" s="83"/>
      <c r="H218" s="84"/>
      <c r="I218" s="84"/>
      <c r="J218" s="13" t="s">
        <v>411</v>
      </c>
    </row>
    <row r="219" spans="1:10" x14ac:dyDescent="0.15">
      <c r="A219" s="2"/>
      <c r="B219" s="78">
        <v>40444</v>
      </c>
      <c r="C219" s="82">
        <v>40444</v>
      </c>
      <c r="D219" s="13"/>
      <c r="E219" s="54"/>
      <c r="F219" s="2"/>
      <c r="G219" s="83"/>
      <c r="H219" s="84"/>
      <c r="I219" s="84"/>
      <c r="J219" s="13" t="s">
        <v>411</v>
      </c>
    </row>
    <row r="220" spans="1:10" x14ac:dyDescent="0.15">
      <c r="A220" s="2"/>
      <c r="B220" s="78">
        <v>40445</v>
      </c>
      <c r="C220" s="82">
        <v>40445</v>
      </c>
      <c r="D220" s="13" t="s">
        <v>14</v>
      </c>
      <c r="E220" s="54">
        <v>5.6284722222222215E-2</v>
      </c>
      <c r="F220" s="12">
        <v>146</v>
      </c>
      <c r="G220" s="83">
        <v>14.45</v>
      </c>
      <c r="H220" s="84">
        <f>E220/G220</f>
        <v>3.8951364859669355E-3</v>
      </c>
      <c r="I220" s="84" t="s">
        <v>436</v>
      </c>
      <c r="J220" s="13" t="s">
        <v>411</v>
      </c>
    </row>
    <row r="221" spans="1:10" x14ac:dyDescent="0.15">
      <c r="A221" s="2"/>
      <c r="B221" s="78">
        <v>40446</v>
      </c>
      <c r="C221" s="82">
        <v>40446</v>
      </c>
      <c r="D221" s="13"/>
      <c r="E221" s="54"/>
      <c r="F221" s="12"/>
      <c r="G221" s="83"/>
      <c r="H221" s="84"/>
      <c r="I221" s="84"/>
      <c r="J221" s="13" t="s">
        <v>411</v>
      </c>
    </row>
    <row r="222" spans="1:10" x14ac:dyDescent="0.15">
      <c r="A222" s="2"/>
      <c r="B222" s="85">
        <v>40447</v>
      </c>
      <c r="C222" s="82">
        <v>40447</v>
      </c>
      <c r="D222" s="88"/>
      <c r="E222" s="57"/>
      <c r="F222" s="2"/>
      <c r="G222" s="86"/>
      <c r="H222" s="87"/>
      <c r="I222" s="87"/>
      <c r="J222" s="13" t="s">
        <v>411</v>
      </c>
    </row>
    <row r="223" spans="1:10" x14ac:dyDescent="0.15">
      <c r="A223" s="4">
        <f>A216+1</f>
        <v>32</v>
      </c>
      <c r="B223" s="78">
        <v>40448</v>
      </c>
      <c r="C223" s="79">
        <v>40448</v>
      </c>
      <c r="D223" s="8"/>
      <c r="E223" s="52"/>
      <c r="F223" s="7"/>
      <c r="G223" s="80"/>
      <c r="H223" s="84"/>
      <c r="I223" s="84"/>
      <c r="J223" s="13" t="s">
        <v>411</v>
      </c>
    </row>
    <row r="224" spans="1:10" x14ac:dyDescent="0.15">
      <c r="A224" s="11" t="s">
        <v>11</v>
      </c>
      <c r="B224" s="78">
        <v>40449</v>
      </c>
      <c r="C224" s="82">
        <v>40449</v>
      </c>
      <c r="D224" s="13"/>
      <c r="E224" s="54"/>
      <c r="F224" s="2"/>
      <c r="G224" s="83"/>
      <c r="H224" s="84"/>
      <c r="I224" s="84"/>
      <c r="J224" s="13" t="s">
        <v>411</v>
      </c>
    </row>
    <row r="225" spans="1:10" x14ac:dyDescent="0.15">
      <c r="A225" s="15">
        <f>SUM(G223:G229)</f>
        <v>9.58</v>
      </c>
      <c r="B225" s="78">
        <v>40450</v>
      </c>
      <c r="C225" s="82">
        <v>40450</v>
      </c>
      <c r="D225" s="13"/>
      <c r="E225" s="54"/>
      <c r="F225" s="12"/>
      <c r="G225" s="83"/>
      <c r="H225" s="84"/>
      <c r="I225" s="84"/>
      <c r="J225" s="13" t="s">
        <v>411</v>
      </c>
    </row>
    <row r="226" spans="1:10" x14ac:dyDescent="0.15">
      <c r="A226" s="2"/>
      <c r="B226" s="78">
        <v>40451</v>
      </c>
      <c r="C226" s="82">
        <v>40451</v>
      </c>
      <c r="D226" s="13"/>
      <c r="E226" s="54"/>
      <c r="F226" s="2"/>
      <c r="G226" s="83"/>
      <c r="H226" s="84"/>
      <c r="I226" s="84"/>
      <c r="J226" s="13" t="s">
        <v>411</v>
      </c>
    </row>
    <row r="227" spans="1:10" x14ac:dyDescent="0.15">
      <c r="A227" s="2"/>
      <c r="B227" s="78">
        <v>40452</v>
      </c>
      <c r="C227" s="82">
        <v>40452</v>
      </c>
      <c r="D227" s="13"/>
      <c r="E227" s="54"/>
      <c r="F227" s="12"/>
      <c r="G227" s="83"/>
      <c r="H227" s="84"/>
      <c r="I227" s="84"/>
      <c r="J227" s="13" t="s">
        <v>411</v>
      </c>
    </row>
    <row r="228" spans="1:10" x14ac:dyDescent="0.15">
      <c r="A228" s="2"/>
      <c r="B228" s="78">
        <v>40453</v>
      </c>
      <c r="C228" s="82">
        <v>40453</v>
      </c>
      <c r="D228" s="13"/>
      <c r="E228" s="54"/>
      <c r="F228" s="12"/>
      <c r="G228" s="83"/>
      <c r="H228" s="84"/>
      <c r="I228" s="84"/>
      <c r="J228" s="13" t="s">
        <v>411</v>
      </c>
    </row>
    <row r="229" spans="1:10" x14ac:dyDescent="0.15">
      <c r="A229" s="2"/>
      <c r="B229" s="85">
        <v>40454</v>
      </c>
      <c r="C229" s="82">
        <v>40454</v>
      </c>
      <c r="D229" s="88" t="s">
        <v>14</v>
      </c>
      <c r="E229" s="57">
        <v>3.5555555555555556E-2</v>
      </c>
      <c r="F229" s="2">
        <v>160</v>
      </c>
      <c r="G229" s="86">
        <v>9.58</v>
      </c>
      <c r="H229" s="87">
        <f>E229/G229</f>
        <v>3.7114358617490141E-3</v>
      </c>
      <c r="I229" s="87" t="s">
        <v>434</v>
      </c>
      <c r="J229" s="13" t="s">
        <v>411</v>
      </c>
    </row>
    <row r="230" spans="1:10" x14ac:dyDescent="0.15">
      <c r="A230" s="4">
        <f>A223+1</f>
        <v>33</v>
      </c>
      <c r="B230" s="78">
        <v>40455</v>
      </c>
      <c r="C230" s="79">
        <v>40455</v>
      </c>
      <c r="D230" s="8"/>
      <c r="E230" s="52"/>
      <c r="F230" s="7"/>
      <c r="G230" s="80"/>
      <c r="H230" s="84"/>
      <c r="I230" s="84"/>
      <c r="J230" s="13" t="s">
        <v>411</v>
      </c>
    </row>
    <row r="231" spans="1:10" x14ac:dyDescent="0.15">
      <c r="A231" s="11" t="s">
        <v>11</v>
      </c>
      <c r="B231" s="78">
        <v>40456</v>
      </c>
      <c r="C231" s="82">
        <v>40456</v>
      </c>
      <c r="D231" s="13"/>
      <c r="E231" s="54"/>
      <c r="F231" s="2"/>
      <c r="G231" s="83"/>
      <c r="H231" s="84"/>
      <c r="I231" s="84"/>
      <c r="J231" s="13" t="s">
        <v>411</v>
      </c>
    </row>
    <row r="232" spans="1:10" x14ac:dyDescent="0.15">
      <c r="A232" s="15">
        <f>SUM(G230:G236)</f>
        <v>32.01</v>
      </c>
      <c r="B232" s="78">
        <v>40457</v>
      </c>
      <c r="C232" s="82">
        <v>40457</v>
      </c>
      <c r="D232" s="13" t="s">
        <v>14</v>
      </c>
      <c r="E232" s="54">
        <v>4.3877314814814813E-2</v>
      </c>
      <c r="F232" s="12">
        <v>153</v>
      </c>
      <c r="G232" s="83">
        <v>12.19</v>
      </c>
      <c r="H232" s="84">
        <f>E232/G232</f>
        <v>3.5994515844802967E-3</v>
      </c>
      <c r="I232" s="84" t="s">
        <v>436</v>
      </c>
      <c r="J232" s="13" t="s">
        <v>411</v>
      </c>
    </row>
    <row r="233" spans="1:10" x14ac:dyDescent="0.15">
      <c r="A233" s="2"/>
      <c r="B233" s="78">
        <v>40458</v>
      </c>
      <c r="C233" s="82">
        <v>40458</v>
      </c>
      <c r="D233" s="13"/>
      <c r="E233" s="54"/>
      <c r="F233" s="2"/>
      <c r="G233" s="83"/>
      <c r="H233" s="84"/>
      <c r="I233" s="84"/>
      <c r="J233" s="13" t="s">
        <v>411</v>
      </c>
    </row>
    <row r="234" spans="1:10" x14ac:dyDescent="0.15">
      <c r="A234" s="2"/>
      <c r="B234" s="78">
        <v>40459</v>
      </c>
      <c r="C234" s="82">
        <v>40459</v>
      </c>
      <c r="D234" s="13" t="s">
        <v>14</v>
      </c>
      <c r="E234" s="54">
        <v>3.667824074074074E-2</v>
      </c>
      <c r="F234" s="12">
        <v>148</v>
      </c>
      <c r="G234" s="83">
        <v>9.6300000000000008</v>
      </c>
      <c r="H234" s="84">
        <f>E234/G234</f>
        <v>3.80874774047152E-3</v>
      </c>
      <c r="I234" s="84" t="s">
        <v>436</v>
      </c>
      <c r="J234" s="13" t="s">
        <v>411</v>
      </c>
    </row>
    <row r="235" spans="1:10" x14ac:dyDescent="0.15">
      <c r="A235" s="2"/>
      <c r="B235" s="78">
        <v>40460</v>
      </c>
      <c r="C235" s="82">
        <v>40460</v>
      </c>
      <c r="D235" s="13"/>
      <c r="E235" s="54"/>
      <c r="F235" s="12"/>
      <c r="G235" s="83"/>
      <c r="H235" s="84"/>
      <c r="I235" s="84"/>
      <c r="J235" s="13" t="s">
        <v>411</v>
      </c>
    </row>
    <row r="236" spans="1:10" x14ac:dyDescent="0.15">
      <c r="A236" s="2"/>
      <c r="B236" s="85">
        <v>40461</v>
      </c>
      <c r="C236" s="82">
        <v>40461</v>
      </c>
      <c r="D236" s="88" t="s">
        <v>14</v>
      </c>
      <c r="E236" s="57">
        <v>3.5416666666666666E-2</v>
      </c>
      <c r="F236" s="2">
        <v>163</v>
      </c>
      <c r="G236" s="86">
        <v>10.19</v>
      </c>
      <c r="H236" s="87">
        <f>E236/G236</f>
        <v>3.4756297023225387E-3</v>
      </c>
      <c r="I236" s="87" t="s">
        <v>436</v>
      </c>
      <c r="J236" s="13" t="s">
        <v>411</v>
      </c>
    </row>
    <row r="237" spans="1:10" x14ac:dyDescent="0.15">
      <c r="A237" s="4">
        <f>A230+1</f>
        <v>34</v>
      </c>
      <c r="B237" s="78">
        <v>40462</v>
      </c>
      <c r="C237" s="79">
        <v>40462</v>
      </c>
      <c r="D237" s="8"/>
      <c r="E237" s="52"/>
      <c r="F237" s="7"/>
      <c r="G237" s="80"/>
      <c r="H237" s="84"/>
      <c r="I237" s="84"/>
      <c r="J237" s="13" t="s">
        <v>411</v>
      </c>
    </row>
    <row r="238" spans="1:10" x14ac:dyDescent="0.15">
      <c r="A238" s="11" t="s">
        <v>11</v>
      </c>
      <c r="B238" s="78">
        <v>40463</v>
      </c>
      <c r="C238" s="82">
        <v>40463</v>
      </c>
      <c r="D238" s="13"/>
      <c r="E238" s="54"/>
      <c r="F238" s="2"/>
      <c r="G238" s="83"/>
      <c r="H238" s="84"/>
      <c r="I238" s="84"/>
      <c r="J238" s="13" t="s">
        <v>411</v>
      </c>
    </row>
    <row r="239" spans="1:10" x14ac:dyDescent="0.15">
      <c r="A239" s="15">
        <f>SUM(G237:G243)</f>
        <v>9.5399999999999991</v>
      </c>
      <c r="B239" s="78">
        <v>40464</v>
      </c>
      <c r="C239" s="82">
        <v>40464</v>
      </c>
      <c r="D239" s="13" t="s">
        <v>14</v>
      </c>
      <c r="E239" s="54">
        <v>3.3368055555555554E-2</v>
      </c>
      <c r="F239" s="12">
        <v>158</v>
      </c>
      <c r="G239" s="83">
        <v>9.5399999999999991</v>
      </c>
      <c r="H239" s="84">
        <f>E239/G239</f>
        <v>3.4976997437689262E-3</v>
      </c>
      <c r="I239" s="84" t="s">
        <v>434</v>
      </c>
      <c r="J239" s="13" t="s">
        <v>411</v>
      </c>
    </row>
    <row r="240" spans="1:10" x14ac:dyDescent="0.15">
      <c r="A240" s="2"/>
      <c r="B240" s="78">
        <v>40465</v>
      </c>
      <c r="C240" s="82">
        <v>40465</v>
      </c>
      <c r="D240" s="13"/>
      <c r="E240" s="54"/>
      <c r="F240" s="2"/>
      <c r="G240" s="83"/>
      <c r="H240" s="84"/>
      <c r="I240" s="84"/>
      <c r="J240" s="13" t="s">
        <v>411</v>
      </c>
    </row>
    <row r="241" spans="1:10" x14ac:dyDescent="0.15">
      <c r="A241" s="2"/>
      <c r="B241" s="78">
        <v>40466</v>
      </c>
      <c r="C241" s="82">
        <v>40466</v>
      </c>
      <c r="D241" s="13"/>
      <c r="E241" s="54"/>
      <c r="F241" s="12"/>
      <c r="G241" s="83"/>
      <c r="H241" s="84"/>
      <c r="I241" s="84"/>
      <c r="J241" s="13" t="s">
        <v>411</v>
      </c>
    </row>
    <row r="242" spans="1:10" x14ac:dyDescent="0.15">
      <c r="A242" s="2"/>
      <c r="B242" s="78">
        <v>40467</v>
      </c>
      <c r="C242" s="82">
        <v>40467</v>
      </c>
      <c r="D242" s="13"/>
      <c r="E242" s="54"/>
      <c r="F242" s="12"/>
      <c r="G242" s="83"/>
      <c r="H242" s="84"/>
      <c r="I242" s="84"/>
      <c r="J242" s="13" t="s">
        <v>411</v>
      </c>
    </row>
    <row r="243" spans="1:10" x14ac:dyDescent="0.15">
      <c r="A243" s="2"/>
      <c r="B243" s="85">
        <v>40468</v>
      </c>
      <c r="C243" s="82">
        <v>40468</v>
      </c>
      <c r="D243" s="88"/>
      <c r="E243" s="57"/>
      <c r="F243" s="2"/>
      <c r="G243" s="86"/>
      <c r="H243" s="87"/>
      <c r="I243" s="87"/>
      <c r="J243" s="13" t="s">
        <v>411</v>
      </c>
    </row>
    <row r="244" spans="1:10" x14ac:dyDescent="0.15">
      <c r="A244" s="4">
        <f>A237+1</f>
        <v>35</v>
      </c>
      <c r="B244" s="78">
        <v>40469</v>
      </c>
      <c r="C244" s="79">
        <v>40469</v>
      </c>
      <c r="D244" s="8"/>
      <c r="E244" s="52"/>
      <c r="F244" s="7"/>
      <c r="G244" s="80"/>
      <c r="H244" s="84"/>
      <c r="I244" s="84"/>
      <c r="J244" s="13" t="s">
        <v>411</v>
      </c>
    </row>
    <row r="245" spans="1:10" x14ac:dyDescent="0.15">
      <c r="A245" s="11" t="s">
        <v>11</v>
      </c>
      <c r="B245" s="78">
        <v>40470</v>
      </c>
      <c r="C245" s="82">
        <v>40470</v>
      </c>
      <c r="D245" s="13"/>
      <c r="E245" s="54"/>
      <c r="F245" s="2"/>
      <c r="G245" s="83"/>
      <c r="H245" s="84"/>
      <c r="I245" s="84"/>
      <c r="J245" s="13" t="s">
        <v>411</v>
      </c>
    </row>
    <row r="246" spans="1:10" x14ac:dyDescent="0.15">
      <c r="A246" s="15">
        <f>SUM(G244:G250)</f>
        <v>0</v>
      </c>
      <c r="B246" s="78">
        <v>40471</v>
      </c>
      <c r="C246" s="82">
        <v>40471</v>
      </c>
      <c r="D246" s="13"/>
      <c r="E246" s="54"/>
      <c r="F246" s="12"/>
      <c r="G246" s="83"/>
      <c r="H246" s="84"/>
      <c r="I246" s="84"/>
      <c r="J246" s="13" t="s">
        <v>411</v>
      </c>
    </row>
    <row r="247" spans="1:10" x14ac:dyDescent="0.15">
      <c r="A247" s="2"/>
      <c r="B247" s="78">
        <v>40472</v>
      </c>
      <c r="C247" s="82">
        <v>40472</v>
      </c>
      <c r="D247" s="13"/>
      <c r="E247" s="54"/>
      <c r="F247" s="2"/>
      <c r="G247" s="83"/>
      <c r="H247" s="84"/>
      <c r="I247" s="84"/>
      <c r="J247" s="13" t="s">
        <v>411</v>
      </c>
    </row>
    <row r="248" spans="1:10" x14ac:dyDescent="0.15">
      <c r="A248" s="2"/>
      <c r="B248" s="78">
        <v>40473</v>
      </c>
      <c r="C248" s="82">
        <v>40473</v>
      </c>
      <c r="D248" s="13"/>
      <c r="E248" s="54"/>
      <c r="F248" s="12"/>
      <c r="G248" s="83"/>
      <c r="H248" s="84"/>
      <c r="I248" s="84"/>
      <c r="J248" s="13" t="s">
        <v>411</v>
      </c>
    </row>
    <row r="249" spans="1:10" x14ac:dyDescent="0.15">
      <c r="A249" s="2"/>
      <c r="B249" s="78">
        <v>40474</v>
      </c>
      <c r="C249" s="82">
        <v>40474</v>
      </c>
      <c r="D249" s="13"/>
      <c r="E249" s="54"/>
      <c r="F249" s="12"/>
      <c r="G249" s="83"/>
      <c r="H249" s="84"/>
      <c r="I249" s="84"/>
      <c r="J249" s="13" t="s">
        <v>411</v>
      </c>
    </row>
    <row r="250" spans="1:10" x14ac:dyDescent="0.15">
      <c r="A250" s="2"/>
      <c r="B250" s="85">
        <v>40475</v>
      </c>
      <c r="C250" s="82">
        <v>40475</v>
      </c>
      <c r="D250" s="88"/>
      <c r="E250" s="57"/>
      <c r="F250" s="2"/>
      <c r="G250" s="86"/>
      <c r="H250" s="87"/>
      <c r="I250" s="87"/>
      <c r="J250" s="13" t="s">
        <v>411</v>
      </c>
    </row>
    <row r="251" spans="1:10" x14ac:dyDescent="0.15">
      <c r="A251" s="4">
        <f>A244+1</f>
        <v>36</v>
      </c>
      <c r="B251" s="78">
        <v>40476</v>
      </c>
      <c r="C251" s="79">
        <v>40476</v>
      </c>
      <c r="D251" s="8"/>
      <c r="E251" s="52"/>
      <c r="F251" s="7"/>
      <c r="G251" s="80"/>
      <c r="H251" s="84"/>
      <c r="I251" s="84"/>
      <c r="J251" s="13" t="s">
        <v>411</v>
      </c>
    </row>
    <row r="252" spans="1:10" x14ac:dyDescent="0.15">
      <c r="A252" s="11" t="s">
        <v>11</v>
      </c>
      <c r="B252" s="78">
        <v>40477</v>
      </c>
      <c r="C252" s="82">
        <v>40477</v>
      </c>
      <c r="D252" s="13"/>
      <c r="E252" s="54"/>
      <c r="F252" s="2"/>
      <c r="G252" s="83"/>
      <c r="H252" s="84"/>
      <c r="I252" s="84"/>
      <c r="J252" s="13" t="s">
        <v>411</v>
      </c>
    </row>
    <row r="253" spans="1:10" x14ac:dyDescent="0.15">
      <c r="A253" s="15">
        <f>SUM(G251:G257)</f>
        <v>9.6199999999999992</v>
      </c>
      <c r="B253" s="78">
        <v>40478</v>
      </c>
      <c r="C253" s="82">
        <v>40478</v>
      </c>
      <c r="D253" s="13"/>
      <c r="E253" s="54"/>
      <c r="F253" s="12"/>
      <c r="G253" s="83"/>
      <c r="H253" s="84"/>
      <c r="I253" s="84"/>
      <c r="J253" s="13" t="s">
        <v>411</v>
      </c>
    </row>
    <row r="254" spans="1:10" x14ac:dyDescent="0.15">
      <c r="A254" s="2"/>
      <c r="B254" s="78">
        <v>40479</v>
      </c>
      <c r="C254" s="82">
        <v>40479</v>
      </c>
      <c r="D254" s="13"/>
      <c r="E254" s="54"/>
      <c r="F254" s="2"/>
      <c r="G254" s="83"/>
      <c r="H254" s="84"/>
      <c r="I254" s="84"/>
      <c r="J254" s="13" t="s">
        <v>411</v>
      </c>
    </row>
    <row r="255" spans="1:10" x14ac:dyDescent="0.15">
      <c r="A255" s="2"/>
      <c r="B255" s="78">
        <v>40480</v>
      </c>
      <c r="C255" s="82">
        <v>40480</v>
      </c>
      <c r="D255" s="13"/>
      <c r="E255" s="54"/>
      <c r="F255" s="12"/>
      <c r="G255" s="83"/>
      <c r="H255" s="84"/>
      <c r="I255" s="84"/>
      <c r="J255" s="13" t="s">
        <v>411</v>
      </c>
    </row>
    <row r="256" spans="1:10" x14ac:dyDescent="0.15">
      <c r="A256" s="2"/>
      <c r="B256" s="78">
        <v>40481</v>
      </c>
      <c r="C256" s="82">
        <v>40481</v>
      </c>
      <c r="D256" s="13"/>
      <c r="E256" s="54"/>
      <c r="F256" s="12"/>
      <c r="G256" s="83"/>
      <c r="H256" s="84"/>
      <c r="I256" s="84"/>
      <c r="J256" s="13" t="s">
        <v>411</v>
      </c>
    </row>
    <row r="257" spans="1:10" x14ac:dyDescent="0.15">
      <c r="A257" s="2"/>
      <c r="B257" s="85">
        <v>40482</v>
      </c>
      <c r="C257" s="82">
        <v>40482</v>
      </c>
      <c r="D257" s="88" t="s">
        <v>14</v>
      </c>
      <c r="E257" s="57">
        <v>3.4131944444444444E-2</v>
      </c>
      <c r="F257" s="2">
        <v>157</v>
      </c>
      <c r="G257" s="86">
        <v>9.6199999999999992</v>
      </c>
      <c r="H257" s="87">
        <f>E257/G257</f>
        <v>3.5480191730191731E-3</v>
      </c>
      <c r="I257" s="87" t="s">
        <v>434</v>
      </c>
      <c r="J257" s="13" t="s">
        <v>411</v>
      </c>
    </row>
    <row r="258" spans="1:10" x14ac:dyDescent="0.15">
      <c r="A258" s="4">
        <f>A251+1</f>
        <v>37</v>
      </c>
      <c r="B258" s="78">
        <v>40483</v>
      </c>
      <c r="C258" s="79">
        <v>40483</v>
      </c>
      <c r="D258" s="8"/>
      <c r="E258" s="52"/>
      <c r="F258" s="7"/>
      <c r="G258" s="80"/>
      <c r="H258" s="84"/>
      <c r="I258" s="84"/>
      <c r="J258" s="13" t="s">
        <v>411</v>
      </c>
    </row>
    <row r="259" spans="1:10" x14ac:dyDescent="0.15">
      <c r="A259" s="11" t="s">
        <v>11</v>
      </c>
      <c r="B259" s="78">
        <v>40484</v>
      </c>
      <c r="C259" s="82">
        <v>40484</v>
      </c>
      <c r="D259" s="13"/>
      <c r="E259" s="54"/>
      <c r="F259" s="2"/>
      <c r="G259" s="83"/>
      <c r="H259" s="84"/>
      <c r="I259" s="84"/>
      <c r="J259" s="13" t="s">
        <v>411</v>
      </c>
    </row>
    <row r="260" spans="1:10" x14ac:dyDescent="0.15">
      <c r="A260" s="15">
        <f>SUM(G258:G264)</f>
        <v>0</v>
      </c>
      <c r="B260" s="78">
        <v>40485</v>
      </c>
      <c r="C260" s="82">
        <v>40485</v>
      </c>
      <c r="D260" s="13"/>
      <c r="E260" s="54"/>
      <c r="F260" s="12"/>
      <c r="G260" s="83"/>
      <c r="H260" s="84"/>
      <c r="I260" s="84"/>
      <c r="J260" s="13" t="s">
        <v>411</v>
      </c>
    </row>
    <row r="261" spans="1:10" x14ac:dyDescent="0.15">
      <c r="A261" s="2"/>
      <c r="B261" s="78">
        <v>40486</v>
      </c>
      <c r="C261" s="82">
        <v>40486</v>
      </c>
      <c r="D261" s="13"/>
      <c r="E261" s="54"/>
      <c r="F261" s="2"/>
      <c r="G261" s="83"/>
      <c r="H261" s="84"/>
      <c r="I261" s="84"/>
      <c r="J261" s="13" t="s">
        <v>411</v>
      </c>
    </row>
    <row r="262" spans="1:10" x14ac:dyDescent="0.15">
      <c r="A262" s="2"/>
      <c r="B262" s="78">
        <v>40487</v>
      </c>
      <c r="C262" s="82">
        <v>40487</v>
      </c>
      <c r="D262" s="13"/>
      <c r="E262" s="54"/>
      <c r="F262" s="12"/>
      <c r="G262" s="83"/>
      <c r="H262" s="84"/>
      <c r="I262" s="84"/>
      <c r="J262" s="13" t="s">
        <v>411</v>
      </c>
    </row>
    <row r="263" spans="1:10" x14ac:dyDescent="0.15">
      <c r="A263" s="2"/>
      <c r="B263" s="78">
        <v>40488</v>
      </c>
      <c r="C263" s="82">
        <v>40488</v>
      </c>
      <c r="D263" s="13"/>
      <c r="E263" s="54"/>
      <c r="F263" s="12"/>
      <c r="G263" s="83"/>
      <c r="H263" s="84"/>
      <c r="I263" s="84"/>
      <c r="J263" s="13" t="s">
        <v>411</v>
      </c>
    </row>
    <row r="264" spans="1:10" x14ac:dyDescent="0.15">
      <c r="A264" s="2"/>
      <c r="B264" s="85">
        <v>40489</v>
      </c>
      <c r="C264" s="82">
        <v>40489</v>
      </c>
      <c r="D264" s="88"/>
      <c r="E264" s="57"/>
      <c r="F264" s="2"/>
      <c r="G264" s="86"/>
      <c r="H264" s="87"/>
      <c r="I264" s="87"/>
      <c r="J264" s="13" t="s">
        <v>411</v>
      </c>
    </row>
    <row r="265" spans="1:10" x14ac:dyDescent="0.15">
      <c r="A265" s="4">
        <f>A258+1</f>
        <v>38</v>
      </c>
      <c r="B265" s="78">
        <v>40490</v>
      </c>
      <c r="C265" s="79">
        <v>40490</v>
      </c>
      <c r="D265" s="8"/>
      <c r="E265" s="52"/>
      <c r="F265" s="7"/>
      <c r="G265" s="80"/>
      <c r="H265" s="84"/>
      <c r="I265" s="84"/>
      <c r="J265" s="13" t="s">
        <v>411</v>
      </c>
    </row>
    <row r="266" spans="1:10" x14ac:dyDescent="0.15">
      <c r="A266" s="11" t="s">
        <v>11</v>
      </c>
      <c r="B266" s="78">
        <v>40491</v>
      </c>
      <c r="C266" s="82">
        <v>40491</v>
      </c>
      <c r="D266" s="13"/>
      <c r="E266" s="54"/>
      <c r="F266" s="2"/>
      <c r="G266" s="83"/>
      <c r="H266" s="84"/>
      <c r="I266" s="84"/>
      <c r="J266" s="13" t="s">
        <v>411</v>
      </c>
    </row>
    <row r="267" spans="1:10" x14ac:dyDescent="0.15">
      <c r="A267" s="15">
        <f>SUM(G265:G271)</f>
        <v>0</v>
      </c>
      <c r="B267" s="78">
        <v>40492</v>
      </c>
      <c r="C267" s="82">
        <v>40492</v>
      </c>
      <c r="D267" s="13"/>
      <c r="E267" s="54"/>
      <c r="F267" s="12"/>
      <c r="G267" s="83"/>
      <c r="H267" s="84"/>
      <c r="I267" s="84"/>
      <c r="J267" s="13" t="s">
        <v>411</v>
      </c>
    </row>
    <row r="268" spans="1:10" x14ac:dyDescent="0.15">
      <c r="A268" s="2"/>
      <c r="B268" s="78">
        <v>40493</v>
      </c>
      <c r="C268" s="82">
        <v>40493</v>
      </c>
      <c r="D268" s="13"/>
      <c r="E268" s="54"/>
      <c r="F268" s="2"/>
      <c r="G268" s="83"/>
      <c r="H268" s="84"/>
      <c r="I268" s="84"/>
      <c r="J268" s="13" t="s">
        <v>411</v>
      </c>
    </row>
    <row r="269" spans="1:10" x14ac:dyDescent="0.15">
      <c r="A269" s="2"/>
      <c r="B269" s="78">
        <v>40494</v>
      </c>
      <c r="C269" s="82">
        <v>40494</v>
      </c>
      <c r="D269" s="13"/>
      <c r="E269" s="54"/>
      <c r="F269" s="12"/>
      <c r="G269" s="83"/>
      <c r="H269" s="84"/>
      <c r="I269" s="84"/>
      <c r="J269" s="13" t="s">
        <v>411</v>
      </c>
    </row>
    <row r="270" spans="1:10" x14ac:dyDescent="0.15">
      <c r="A270" s="2"/>
      <c r="B270" s="78">
        <v>40495</v>
      </c>
      <c r="C270" s="82">
        <v>40495</v>
      </c>
      <c r="D270" s="13"/>
      <c r="E270" s="54"/>
      <c r="F270" s="12"/>
      <c r="G270" s="83"/>
      <c r="H270" s="84"/>
      <c r="I270" s="84"/>
      <c r="J270" s="13" t="s">
        <v>411</v>
      </c>
    </row>
    <row r="271" spans="1:10" x14ac:dyDescent="0.15">
      <c r="A271" s="2"/>
      <c r="B271" s="85">
        <v>40496</v>
      </c>
      <c r="C271" s="82">
        <v>40496</v>
      </c>
      <c r="D271" s="88"/>
      <c r="E271" s="57"/>
      <c r="F271" s="2"/>
      <c r="G271" s="86"/>
      <c r="H271" s="87"/>
      <c r="I271" s="87"/>
      <c r="J271" s="13" t="s">
        <v>411</v>
      </c>
    </row>
    <row r="272" spans="1:10" x14ac:dyDescent="0.15">
      <c r="A272" s="4">
        <f>A265+1</f>
        <v>39</v>
      </c>
      <c r="B272" s="78">
        <v>40497</v>
      </c>
      <c r="C272" s="79">
        <v>40497</v>
      </c>
      <c r="D272" s="8"/>
      <c r="E272" s="52"/>
      <c r="F272" s="7"/>
      <c r="G272" s="80"/>
      <c r="H272" s="84"/>
      <c r="I272" s="84"/>
      <c r="J272" s="13" t="s">
        <v>411</v>
      </c>
    </row>
    <row r="273" spans="1:10" x14ac:dyDescent="0.15">
      <c r="A273" s="11" t="s">
        <v>11</v>
      </c>
      <c r="B273" s="78">
        <v>40498</v>
      </c>
      <c r="C273" s="82">
        <v>40498</v>
      </c>
      <c r="D273" s="13"/>
      <c r="E273" s="54"/>
      <c r="F273" s="2"/>
      <c r="G273" s="83"/>
      <c r="H273" s="84"/>
      <c r="I273" s="84"/>
      <c r="J273" s="13" t="s">
        <v>411</v>
      </c>
    </row>
    <row r="274" spans="1:10" x14ac:dyDescent="0.15">
      <c r="A274" s="15">
        <f>SUM(G272:G278)</f>
        <v>0</v>
      </c>
      <c r="B274" s="78">
        <v>40499</v>
      </c>
      <c r="C274" s="82">
        <v>40499</v>
      </c>
      <c r="D274" s="13"/>
      <c r="E274" s="54"/>
      <c r="F274" s="12"/>
      <c r="G274" s="83"/>
      <c r="H274" s="84"/>
      <c r="I274" s="84"/>
      <c r="J274" s="13" t="s">
        <v>411</v>
      </c>
    </row>
    <row r="275" spans="1:10" x14ac:dyDescent="0.15">
      <c r="A275" s="2"/>
      <c r="B275" s="78">
        <v>40500</v>
      </c>
      <c r="C275" s="82">
        <v>40500</v>
      </c>
      <c r="D275" s="13"/>
      <c r="E275" s="54"/>
      <c r="F275" s="2"/>
      <c r="G275" s="83"/>
      <c r="H275" s="84"/>
      <c r="I275" s="84"/>
      <c r="J275" s="13" t="s">
        <v>411</v>
      </c>
    </row>
    <row r="276" spans="1:10" x14ac:dyDescent="0.15">
      <c r="A276" s="2"/>
      <c r="B276" s="78">
        <v>40501</v>
      </c>
      <c r="C276" s="82">
        <v>40501</v>
      </c>
      <c r="D276" s="13"/>
      <c r="E276" s="54"/>
      <c r="F276" s="12"/>
      <c r="G276" s="83"/>
      <c r="H276" s="84"/>
      <c r="I276" s="84"/>
      <c r="J276" s="13" t="s">
        <v>411</v>
      </c>
    </row>
    <row r="277" spans="1:10" x14ac:dyDescent="0.15">
      <c r="A277" s="2"/>
      <c r="B277" s="78">
        <v>40502</v>
      </c>
      <c r="C277" s="82">
        <v>40502</v>
      </c>
      <c r="D277" s="13"/>
      <c r="E277" s="54"/>
      <c r="F277" s="12"/>
      <c r="G277" s="83"/>
      <c r="H277" s="84"/>
      <c r="I277" s="84"/>
      <c r="J277" s="13" t="s">
        <v>411</v>
      </c>
    </row>
    <row r="278" spans="1:10" x14ac:dyDescent="0.15">
      <c r="A278" s="2"/>
      <c r="B278" s="85">
        <v>40503</v>
      </c>
      <c r="C278" s="82">
        <v>40503</v>
      </c>
      <c r="D278" s="88"/>
      <c r="E278" s="57"/>
      <c r="F278" s="2"/>
      <c r="G278" s="86"/>
      <c r="H278" s="87"/>
      <c r="I278" s="87"/>
      <c r="J278" s="13" t="s">
        <v>411</v>
      </c>
    </row>
    <row r="279" spans="1:10" x14ac:dyDescent="0.15">
      <c r="A279" s="4">
        <f>A272+1</f>
        <v>40</v>
      </c>
      <c r="B279" s="78">
        <v>40504</v>
      </c>
      <c r="C279" s="79">
        <v>40504</v>
      </c>
      <c r="D279" s="8"/>
      <c r="E279" s="52"/>
      <c r="F279" s="7"/>
      <c r="G279" s="80"/>
      <c r="H279" s="84"/>
      <c r="I279" s="84"/>
      <c r="J279" s="13" t="s">
        <v>411</v>
      </c>
    </row>
    <row r="280" spans="1:10" x14ac:dyDescent="0.15">
      <c r="A280" s="11" t="s">
        <v>11</v>
      </c>
      <c r="B280" s="78">
        <v>40505</v>
      </c>
      <c r="C280" s="82">
        <v>40505</v>
      </c>
      <c r="D280" s="13"/>
      <c r="E280" s="54"/>
      <c r="F280" s="2"/>
      <c r="G280" s="83"/>
      <c r="H280" s="84"/>
      <c r="I280" s="84"/>
      <c r="J280" s="13" t="s">
        <v>411</v>
      </c>
    </row>
    <row r="281" spans="1:10" x14ac:dyDescent="0.15">
      <c r="A281" s="15">
        <f>SUM(G279:G285)</f>
        <v>10.28</v>
      </c>
      <c r="B281" s="78">
        <v>40506</v>
      </c>
      <c r="C281" s="82">
        <v>40506</v>
      </c>
      <c r="D281" s="13"/>
      <c r="E281" s="54"/>
      <c r="F281" s="12"/>
      <c r="G281" s="83"/>
      <c r="H281" s="84"/>
      <c r="I281" s="84"/>
      <c r="J281" s="13" t="s">
        <v>411</v>
      </c>
    </row>
    <row r="282" spans="1:10" x14ac:dyDescent="0.15">
      <c r="A282" s="2"/>
      <c r="B282" s="78">
        <v>40507</v>
      </c>
      <c r="C282" s="82">
        <v>40507</v>
      </c>
      <c r="D282" s="13"/>
      <c r="E282" s="54"/>
      <c r="F282" s="2"/>
      <c r="G282" s="83"/>
      <c r="H282" s="84"/>
      <c r="I282" s="84"/>
      <c r="J282" s="13" t="s">
        <v>411</v>
      </c>
    </row>
    <row r="283" spans="1:10" x14ac:dyDescent="0.15">
      <c r="A283" s="2"/>
      <c r="B283" s="78">
        <v>40508</v>
      </c>
      <c r="C283" s="82">
        <v>40508</v>
      </c>
      <c r="D283" s="13"/>
      <c r="E283" s="54"/>
      <c r="F283" s="12"/>
      <c r="G283" s="83"/>
      <c r="H283" s="84"/>
      <c r="I283" s="84"/>
      <c r="J283" s="13" t="s">
        <v>411</v>
      </c>
    </row>
    <row r="284" spans="1:10" x14ac:dyDescent="0.15">
      <c r="A284" s="2"/>
      <c r="B284" s="78">
        <v>40509</v>
      </c>
      <c r="C284" s="82">
        <v>40509</v>
      </c>
      <c r="D284" s="13" t="s">
        <v>14</v>
      </c>
      <c r="E284" s="54">
        <v>3.8831018518518522E-2</v>
      </c>
      <c r="F284" s="12">
        <v>157</v>
      </c>
      <c r="G284" s="83">
        <v>10.28</v>
      </c>
      <c r="H284" s="84">
        <f>E284/G284</f>
        <v>3.7773364317625025E-3</v>
      </c>
      <c r="I284" s="84" t="s">
        <v>434</v>
      </c>
      <c r="J284" s="13" t="s">
        <v>411</v>
      </c>
    </row>
    <row r="285" spans="1:10" x14ac:dyDescent="0.15">
      <c r="A285" s="2"/>
      <c r="B285" s="85">
        <v>40510</v>
      </c>
      <c r="C285" s="82">
        <v>40510</v>
      </c>
      <c r="D285" s="88"/>
      <c r="E285" s="57"/>
      <c r="F285" s="2"/>
      <c r="G285" s="86"/>
      <c r="H285" s="87"/>
      <c r="I285" s="87"/>
      <c r="J285" s="13" t="s">
        <v>411</v>
      </c>
    </row>
    <row r="286" spans="1:10" x14ac:dyDescent="0.15">
      <c r="A286" s="4">
        <f>A279+1</f>
        <v>41</v>
      </c>
      <c r="B286" s="78">
        <v>40511</v>
      </c>
      <c r="C286" s="79">
        <v>40511</v>
      </c>
      <c r="D286" s="8"/>
      <c r="E286" s="52"/>
      <c r="F286" s="7"/>
      <c r="G286" s="80"/>
      <c r="H286" s="84"/>
      <c r="I286" s="84"/>
      <c r="J286" s="13" t="s">
        <v>411</v>
      </c>
    </row>
    <row r="287" spans="1:10" x14ac:dyDescent="0.15">
      <c r="A287" s="11" t="s">
        <v>11</v>
      </c>
      <c r="B287" s="78">
        <v>40512</v>
      </c>
      <c r="C287" s="82">
        <v>40512</v>
      </c>
      <c r="D287" s="13"/>
      <c r="E287" s="54"/>
      <c r="F287" s="2"/>
      <c r="G287" s="83"/>
      <c r="H287" s="84"/>
      <c r="I287" s="84"/>
      <c r="J287" s="13" t="s">
        <v>411</v>
      </c>
    </row>
    <row r="288" spans="1:10" x14ac:dyDescent="0.15">
      <c r="A288" s="15">
        <f>SUM(G286:G292)</f>
        <v>5.16</v>
      </c>
      <c r="B288" s="78">
        <v>40513</v>
      </c>
      <c r="C288" s="82">
        <v>40513</v>
      </c>
      <c r="D288" s="13"/>
      <c r="E288" s="54"/>
      <c r="F288" s="12"/>
      <c r="G288" s="83"/>
      <c r="H288" s="84"/>
      <c r="I288" s="84"/>
      <c r="J288" s="13" t="s">
        <v>411</v>
      </c>
    </row>
    <row r="289" spans="1:10" x14ac:dyDescent="0.15">
      <c r="A289" s="2"/>
      <c r="B289" s="78">
        <v>40514</v>
      </c>
      <c r="C289" s="82">
        <v>40514</v>
      </c>
      <c r="D289" s="13"/>
      <c r="E289" s="54"/>
      <c r="F289" s="2"/>
      <c r="G289" s="83"/>
      <c r="H289" s="84"/>
      <c r="I289" s="84"/>
      <c r="J289" s="13" t="s">
        <v>411</v>
      </c>
    </row>
    <row r="290" spans="1:10" x14ac:dyDescent="0.15">
      <c r="A290" s="2"/>
      <c r="B290" s="78">
        <v>40515</v>
      </c>
      <c r="C290" s="82">
        <v>40515</v>
      </c>
      <c r="D290" s="13"/>
      <c r="E290" s="54"/>
      <c r="F290" s="12"/>
      <c r="G290" s="83"/>
      <c r="H290" s="84"/>
      <c r="I290" s="84"/>
      <c r="J290" s="13" t="s">
        <v>411</v>
      </c>
    </row>
    <row r="291" spans="1:10" x14ac:dyDescent="0.15">
      <c r="A291" s="2"/>
      <c r="B291" s="78">
        <v>40516</v>
      </c>
      <c r="C291" s="82">
        <v>40516</v>
      </c>
      <c r="D291" s="13"/>
      <c r="E291" s="54"/>
      <c r="F291" s="12"/>
      <c r="G291" s="83"/>
      <c r="H291" s="84"/>
      <c r="I291" s="84"/>
      <c r="J291" s="13" t="s">
        <v>411</v>
      </c>
    </row>
    <row r="292" spans="1:10" x14ac:dyDescent="0.15">
      <c r="A292" s="2"/>
      <c r="B292" s="85">
        <v>40517</v>
      </c>
      <c r="C292" s="82">
        <v>40517</v>
      </c>
      <c r="D292" s="88" t="s">
        <v>14</v>
      </c>
      <c r="E292" s="57">
        <v>2.4953703703703704E-2</v>
      </c>
      <c r="F292" s="2">
        <v>135</v>
      </c>
      <c r="G292" s="86">
        <v>5.16</v>
      </c>
      <c r="H292" s="87">
        <f>E292/G292</f>
        <v>4.8359890898650587E-3</v>
      </c>
      <c r="I292" s="87" t="s">
        <v>434</v>
      </c>
      <c r="J292" s="13" t="s">
        <v>411</v>
      </c>
    </row>
    <row r="293" spans="1:10" x14ac:dyDescent="0.15">
      <c r="A293" s="4">
        <f>A286+1</f>
        <v>42</v>
      </c>
      <c r="B293" s="78">
        <v>40518</v>
      </c>
      <c r="C293" s="79">
        <v>40518</v>
      </c>
      <c r="D293" s="8"/>
      <c r="E293" s="52"/>
      <c r="F293" s="7"/>
      <c r="G293" s="80"/>
      <c r="H293" s="84"/>
      <c r="I293" s="84"/>
      <c r="J293" s="13" t="s">
        <v>411</v>
      </c>
    </row>
    <row r="294" spans="1:10" x14ac:dyDescent="0.15">
      <c r="A294" s="11" t="s">
        <v>11</v>
      </c>
      <c r="B294" s="78">
        <v>40519</v>
      </c>
      <c r="C294" s="82">
        <v>40519</v>
      </c>
      <c r="D294" s="13"/>
      <c r="E294" s="54"/>
      <c r="F294" s="2"/>
      <c r="G294" s="83"/>
      <c r="H294" s="84"/>
      <c r="I294" s="84"/>
      <c r="J294" s="13" t="s">
        <v>411</v>
      </c>
    </row>
    <row r="295" spans="1:10" x14ac:dyDescent="0.15">
      <c r="A295" s="15">
        <f>SUM(G293:G299)</f>
        <v>0</v>
      </c>
      <c r="B295" s="78">
        <v>40520</v>
      </c>
      <c r="C295" s="82">
        <v>40520</v>
      </c>
      <c r="D295" s="13"/>
      <c r="E295" s="54"/>
      <c r="F295" s="12"/>
      <c r="G295" s="83"/>
      <c r="H295" s="84"/>
      <c r="I295" s="84"/>
      <c r="J295" s="13" t="s">
        <v>411</v>
      </c>
    </row>
    <row r="296" spans="1:10" x14ac:dyDescent="0.15">
      <c r="A296" s="2"/>
      <c r="B296" s="78">
        <v>40521</v>
      </c>
      <c r="C296" s="82">
        <v>40521</v>
      </c>
      <c r="D296" s="13"/>
      <c r="E296" s="54"/>
      <c r="F296" s="2"/>
      <c r="G296" s="83"/>
      <c r="H296" s="84"/>
      <c r="I296" s="84"/>
      <c r="J296" s="13" t="s">
        <v>411</v>
      </c>
    </row>
    <row r="297" spans="1:10" x14ac:dyDescent="0.15">
      <c r="A297" s="2"/>
      <c r="B297" s="78">
        <v>40522</v>
      </c>
      <c r="C297" s="82">
        <v>40522</v>
      </c>
      <c r="D297" s="13"/>
      <c r="E297" s="54"/>
      <c r="F297" s="12"/>
      <c r="G297" s="83"/>
      <c r="H297" s="84"/>
      <c r="I297" s="84"/>
      <c r="J297" s="13" t="s">
        <v>411</v>
      </c>
    </row>
    <row r="298" spans="1:10" x14ac:dyDescent="0.15">
      <c r="A298" s="2"/>
      <c r="B298" s="78">
        <v>40523</v>
      </c>
      <c r="C298" s="82">
        <v>40523</v>
      </c>
      <c r="D298" s="13"/>
      <c r="E298" s="54"/>
      <c r="F298" s="12"/>
      <c r="G298" s="83"/>
      <c r="H298" s="84"/>
      <c r="I298" s="84"/>
      <c r="J298" s="13" t="s">
        <v>411</v>
      </c>
    </row>
    <row r="299" spans="1:10" x14ac:dyDescent="0.15">
      <c r="A299" s="2"/>
      <c r="B299" s="85">
        <v>40524</v>
      </c>
      <c r="C299" s="82">
        <v>40524</v>
      </c>
      <c r="D299" s="88"/>
      <c r="E299" s="57"/>
      <c r="F299" s="2"/>
      <c r="G299" s="86"/>
      <c r="H299" s="87"/>
      <c r="I299" s="87"/>
      <c r="J299" s="13" t="s">
        <v>411</v>
      </c>
    </row>
    <row r="300" spans="1:10" x14ac:dyDescent="0.15">
      <c r="A300" s="4">
        <f>A293+1</f>
        <v>43</v>
      </c>
      <c r="B300" s="78">
        <v>40525</v>
      </c>
      <c r="C300" s="79">
        <v>40525</v>
      </c>
      <c r="D300" s="8"/>
      <c r="E300" s="52"/>
      <c r="F300" s="7"/>
      <c r="G300" s="80"/>
      <c r="H300" s="84"/>
      <c r="I300" s="84"/>
      <c r="J300" s="13" t="s">
        <v>411</v>
      </c>
    </row>
    <row r="301" spans="1:10" x14ac:dyDescent="0.15">
      <c r="A301" s="11" t="s">
        <v>11</v>
      </c>
      <c r="B301" s="78">
        <v>40526</v>
      </c>
      <c r="C301" s="82">
        <v>40526</v>
      </c>
      <c r="D301" s="13"/>
      <c r="E301" s="54"/>
      <c r="F301" s="2"/>
      <c r="G301" s="83"/>
      <c r="H301" s="84"/>
      <c r="I301" s="84"/>
      <c r="J301" s="13" t="s">
        <v>411</v>
      </c>
    </row>
    <row r="302" spans="1:10" x14ac:dyDescent="0.15">
      <c r="A302" s="15">
        <f>SUM(G300:G306)</f>
        <v>0</v>
      </c>
      <c r="B302" s="78">
        <v>40527</v>
      </c>
      <c r="C302" s="82">
        <v>40527</v>
      </c>
      <c r="D302" s="13"/>
      <c r="E302" s="54"/>
      <c r="F302" s="12"/>
      <c r="G302" s="83"/>
      <c r="H302" s="84"/>
      <c r="I302" s="84"/>
      <c r="J302" s="13" t="s">
        <v>411</v>
      </c>
    </row>
    <row r="303" spans="1:10" x14ac:dyDescent="0.15">
      <c r="A303" s="2"/>
      <c r="B303" s="78">
        <v>40528</v>
      </c>
      <c r="C303" s="82">
        <v>40528</v>
      </c>
      <c r="D303" s="13"/>
      <c r="E303" s="54"/>
      <c r="F303" s="2"/>
      <c r="G303" s="83"/>
      <c r="H303" s="84"/>
      <c r="I303" s="84"/>
      <c r="J303" s="13" t="s">
        <v>411</v>
      </c>
    </row>
    <row r="304" spans="1:10" x14ac:dyDescent="0.15">
      <c r="A304" s="2"/>
      <c r="B304" s="78">
        <v>40529</v>
      </c>
      <c r="C304" s="82">
        <v>40529</v>
      </c>
      <c r="D304" s="13"/>
      <c r="E304" s="54"/>
      <c r="F304" s="12"/>
      <c r="G304" s="83"/>
      <c r="H304" s="84"/>
      <c r="I304" s="84"/>
      <c r="J304" s="13" t="s">
        <v>411</v>
      </c>
    </row>
    <row r="305" spans="1:10" x14ac:dyDescent="0.15">
      <c r="A305" s="2"/>
      <c r="B305" s="78">
        <v>40530</v>
      </c>
      <c r="C305" s="82">
        <v>40530</v>
      </c>
      <c r="D305" s="13"/>
      <c r="E305" s="54"/>
      <c r="F305" s="12"/>
      <c r="G305" s="83"/>
      <c r="H305" s="84"/>
      <c r="I305" s="84"/>
      <c r="J305" s="13" t="s">
        <v>411</v>
      </c>
    </row>
    <row r="306" spans="1:10" x14ac:dyDescent="0.15">
      <c r="A306" s="2"/>
      <c r="B306" s="85">
        <v>40531</v>
      </c>
      <c r="C306" s="82">
        <v>40531</v>
      </c>
      <c r="D306" s="88"/>
      <c r="E306" s="57"/>
      <c r="F306" s="2"/>
      <c r="G306" s="86"/>
      <c r="H306" s="87"/>
      <c r="I306" s="87"/>
      <c r="J306" s="13" t="s">
        <v>411</v>
      </c>
    </row>
    <row r="307" spans="1:10" x14ac:dyDescent="0.15">
      <c r="A307" s="4">
        <f>A300+1</f>
        <v>44</v>
      </c>
      <c r="B307" s="78">
        <v>40539</v>
      </c>
      <c r="C307" s="79">
        <v>40532</v>
      </c>
      <c r="D307" s="8"/>
      <c r="E307" s="52"/>
      <c r="F307" s="7"/>
      <c r="G307" s="80"/>
      <c r="H307" s="84"/>
      <c r="I307" s="84"/>
      <c r="J307" s="13" t="s">
        <v>411</v>
      </c>
    </row>
    <row r="308" spans="1:10" x14ac:dyDescent="0.15">
      <c r="A308" s="11" t="s">
        <v>11</v>
      </c>
      <c r="B308" s="78">
        <v>40540</v>
      </c>
      <c r="C308" s="82">
        <v>40533</v>
      </c>
      <c r="D308" s="13"/>
      <c r="E308" s="54"/>
      <c r="F308" s="2"/>
      <c r="G308" s="83"/>
      <c r="H308" s="84"/>
      <c r="I308" s="84"/>
      <c r="J308" s="13" t="s">
        <v>411</v>
      </c>
    </row>
    <row r="309" spans="1:10" x14ac:dyDescent="0.15">
      <c r="A309" s="15">
        <f>SUM(G307:G313)</f>
        <v>9.41</v>
      </c>
      <c r="B309" s="78">
        <v>40541</v>
      </c>
      <c r="C309" s="82">
        <v>40534</v>
      </c>
      <c r="D309" s="13"/>
      <c r="E309" s="54"/>
      <c r="F309" s="12"/>
      <c r="G309" s="83"/>
      <c r="H309" s="84"/>
      <c r="I309" s="84"/>
      <c r="J309" s="13" t="s">
        <v>411</v>
      </c>
    </row>
    <row r="310" spans="1:10" x14ac:dyDescent="0.15">
      <c r="A310" s="2"/>
      <c r="B310" s="78">
        <v>40542</v>
      </c>
      <c r="C310" s="82">
        <v>40535</v>
      </c>
      <c r="D310" s="13"/>
      <c r="E310" s="54"/>
      <c r="F310" s="2"/>
      <c r="G310" s="83"/>
      <c r="H310" s="84"/>
      <c r="I310" s="84"/>
      <c r="J310" s="13" t="s">
        <v>411</v>
      </c>
    </row>
    <row r="311" spans="1:10" x14ac:dyDescent="0.15">
      <c r="A311" s="2"/>
      <c r="B311" s="78">
        <v>40543</v>
      </c>
      <c r="C311" s="82">
        <v>40536</v>
      </c>
      <c r="D311" s="13"/>
      <c r="E311" s="54"/>
      <c r="F311" s="12"/>
      <c r="G311" s="83"/>
      <c r="H311" s="84"/>
      <c r="I311" s="84"/>
      <c r="J311" s="13" t="s">
        <v>411</v>
      </c>
    </row>
    <row r="312" spans="1:10" x14ac:dyDescent="0.15">
      <c r="A312" s="4" t="s">
        <v>438</v>
      </c>
      <c r="B312" s="78">
        <v>40544</v>
      </c>
      <c r="C312" s="82">
        <v>40537</v>
      </c>
      <c r="D312" s="13"/>
      <c r="E312" s="54"/>
      <c r="F312" s="12"/>
      <c r="G312" s="83"/>
      <c r="H312" s="84"/>
      <c r="I312" s="84"/>
      <c r="J312" s="13" t="s">
        <v>411</v>
      </c>
    </row>
    <row r="313" spans="1:10" x14ac:dyDescent="0.15">
      <c r="A313" s="89">
        <f>A8+A15+A22+A29+A36+A43+A50+A57+A64+A71+A78+A85+A92+A99+A106+A113+A120+A127+A134+A141+A148+A155+A162+A169+A176+A183+A190+A197+A204+A211+A218+A225+A232+A239+A246+A253+A260+A267+A274+A281+A288+A295+A302+A309</f>
        <v>674.15000000000009</v>
      </c>
      <c r="B313" s="85">
        <v>40545</v>
      </c>
      <c r="C313" s="90">
        <v>40538</v>
      </c>
      <c r="D313" s="88" t="s">
        <v>14</v>
      </c>
      <c r="E313" s="57">
        <v>4.0925925925925928E-2</v>
      </c>
      <c r="F313" s="91">
        <v>149</v>
      </c>
      <c r="G313" s="86">
        <v>9.41</v>
      </c>
      <c r="H313" s="87">
        <f>E313/G313</f>
        <v>4.3491951037115759E-3</v>
      </c>
      <c r="I313" s="87" t="s">
        <v>434</v>
      </c>
      <c r="J313" s="92" t="s">
        <v>411</v>
      </c>
    </row>
    <row r="314" spans="1:10" x14ac:dyDescent="0.15">
      <c r="A314" s="2">
        <f>A313/52</f>
        <v>12.964423076923079</v>
      </c>
      <c r="B314"/>
      <c r="C314" s="2"/>
      <c r="E314"/>
      <c r="G314"/>
      <c r="H314"/>
      <c r="I314"/>
    </row>
    <row r="315" spans="1:10" x14ac:dyDescent="0.15">
      <c r="B315"/>
      <c r="C315"/>
      <c r="E315"/>
      <c r="G315"/>
      <c r="H315"/>
      <c r="I315"/>
    </row>
    <row r="316" spans="1:10" x14ac:dyDescent="0.15">
      <c r="B316"/>
      <c r="C316"/>
      <c r="E316"/>
      <c r="G316"/>
      <c r="H316"/>
      <c r="I316"/>
    </row>
    <row r="317" spans="1:10" x14ac:dyDescent="0.15">
      <c r="B317"/>
      <c r="C317"/>
      <c r="E317"/>
      <c r="G317"/>
      <c r="H317"/>
      <c r="I317"/>
    </row>
    <row r="318" spans="1:10" x14ac:dyDescent="0.15">
      <c r="B318"/>
      <c r="C318"/>
      <c r="E318"/>
      <c r="G318"/>
      <c r="H318"/>
      <c r="I318"/>
    </row>
    <row r="319" spans="1:10" x14ac:dyDescent="0.15">
      <c r="B319"/>
      <c r="C319"/>
      <c r="E319"/>
      <c r="G319"/>
      <c r="H319"/>
      <c r="I319"/>
    </row>
    <row r="320" spans="1:10" x14ac:dyDescent="0.15">
      <c r="B320"/>
      <c r="C320"/>
      <c r="E320"/>
      <c r="G320"/>
      <c r="H320"/>
      <c r="I320"/>
    </row>
    <row r="321" spans="2:9" x14ac:dyDescent="0.15">
      <c r="B321"/>
      <c r="C321"/>
      <c r="E321"/>
      <c r="G321"/>
      <c r="H321"/>
      <c r="I321"/>
    </row>
    <row r="322" spans="2:9" x14ac:dyDescent="0.15">
      <c r="B322"/>
      <c r="C322" s="2"/>
      <c r="E322"/>
      <c r="G322"/>
      <c r="H322"/>
      <c r="I322"/>
    </row>
    <row r="323" spans="2:9" x14ac:dyDescent="0.15">
      <c r="B323"/>
      <c r="C323" s="2"/>
      <c r="E323"/>
      <c r="G323"/>
      <c r="H323"/>
      <c r="I323"/>
    </row>
    <row r="324" spans="2:9" x14ac:dyDescent="0.15">
      <c r="B324"/>
      <c r="C324" s="2"/>
      <c r="E324"/>
      <c r="G324"/>
      <c r="H324"/>
      <c r="I324"/>
    </row>
    <row r="325" spans="2:9" x14ac:dyDescent="0.15">
      <c r="B325"/>
      <c r="C325" s="2"/>
      <c r="E325"/>
      <c r="G325"/>
      <c r="H325"/>
      <c r="I325"/>
    </row>
    <row r="326" spans="2:9" x14ac:dyDescent="0.15">
      <c r="B326"/>
      <c r="C326" s="2"/>
      <c r="E326"/>
      <c r="G326"/>
      <c r="H326"/>
      <c r="I326"/>
    </row>
    <row r="327" spans="2:9" x14ac:dyDescent="0.15">
      <c r="B327"/>
      <c r="C327" s="2"/>
      <c r="E327"/>
      <c r="G327"/>
      <c r="H327"/>
      <c r="I327"/>
    </row>
  </sheetData>
  <sheetProtection selectLockedCells="1" selectUnlockedCells="1"/>
  <mergeCells count="1">
    <mergeCell ref="A1:J1"/>
  </mergeCells>
  <dataValidations count="1">
    <dataValidation type="list" operator="equal" allowBlank="1" sqref="I1:I313 I328:I32676" xr:uid="{00000000-0002-0000-0300-000000000000}">
      <formula1>"ASICS GEL 11-50,ASICS GT 21-40"</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autoPageBreaks="0"/>
  </sheetPr>
  <dimension ref="A1:T409"/>
  <sheetViews>
    <sheetView zoomScale="85" zoomScaleNormal="85" zoomScalePageLayoutView="85" workbookViewId="0">
      <pane ySplit="3" topLeftCell="A360" activePane="bottomLeft" state="frozen"/>
      <selection pane="bottomLeft" activeCell="O49" sqref="O49"/>
    </sheetView>
  </sheetViews>
  <sheetFormatPr baseColWidth="10" defaultColWidth="11.5" defaultRowHeight="13" x14ac:dyDescent="0.15"/>
  <cols>
    <col min="1" max="1" width="10.5" customWidth="1"/>
    <col min="2" max="2" width="0" style="61" hidden="1" customWidth="1"/>
    <col min="3" max="3" width="10.1640625" style="46" customWidth="1"/>
    <col min="4" max="4" width="6.5" customWidth="1"/>
    <col min="5" max="5" width="8.5" style="47" customWidth="1"/>
    <col min="6" max="6" width="5.83203125" customWidth="1"/>
    <col min="7" max="7" width="6" style="62" customWidth="1"/>
    <col min="8" max="8" width="10.1640625" style="63" customWidth="1"/>
    <col min="9" max="9" width="17" style="63" customWidth="1"/>
    <col min="10" max="10" width="6.5" customWidth="1"/>
    <col min="13" max="13" width="5.1640625" customWidth="1"/>
    <col min="14" max="14" width="2.1640625" customWidth="1"/>
    <col min="15" max="15" width="5.1640625" customWidth="1"/>
    <col min="16" max="16" width="4.5" customWidth="1"/>
    <col min="17" max="17" width="2.1640625" customWidth="1"/>
    <col min="18" max="18" width="4.5" customWidth="1"/>
    <col min="19" max="19" width="13" customWidth="1"/>
  </cols>
  <sheetData>
    <row r="1" spans="1:20" ht="19" x14ac:dyDescent="0.15">
      <c r="A1" s="3419" t="s">
        <v>439</v>
      </c>
      <c r="B1" s="3419"/>
      <c r="C1" s="3419"/>
      <c r="D1" s="3419"/>
      <c r="E1" s="3419"/>
      <c r="F1" s="3419"/>
      <c r="G1" s="3419"/>
      <c r="H1" s="3419"/>
      <c r="I1" s="3419"/>
      <c r="J1" s="3419"/>
    </row>
    <row r="2" spans="1:20" x14ac:dyDescent="0.15">
      <c r="A2" s="2"/>
      <c r="B2" s="64"/>
      <c r="D2" s="2"/>
      <c r="E2" s="43"/>
      <c r="F2" s="2"/>
      <c r="G2" s="65"/>
      <c r="H2" s="45"/>
      <c r="I2" s="45"/>
      <c r="J2" s="2"/>
    </row>
    <row r="3" spans="1:20" x14ac:dyDescent="0.15">
      <c r="A3" s="3" t="s">
        <v>1</v>
      </c>
      <c r="B3" s="66" t="s">
        <v>2</v>
      </c>
      <c r="C3" s="67" t="s">
        <v>3</v>
      </c>
      <c r="D3" s="4" t="s">
        <v>4</v>
      </c>
      <c r="E3" s="50" t="s">
        <v>5</v>
      </c>
      <c r="F3" s="3" t="s">
        <v>440</v>
      </c>
      <c r="G3" s="68" t="s">
        <v>429</v>
      </c>
      <c r="H3" s="69" t="s">
        <v>430</v>
      </c>
      <c r="I3" s="69" t="s">
        <v>431</v>
      </c>
      <c r="J3" s="4" t="s">
        <v>432</v>
      </c>
    </row>
    <row r="4" spans="1:20" x14ac:dyDescent="0.15">
      <c r="A4" s="4">
        <v>1</v>
      </c>
      <c r="B4" s="78">
        <v>40231</v>
      </c>
      <c r="C4" s="79">
        <v>40539</v>
      </c>
      <c r="D4" s="8"/>
      <c r="E4" s="52"/>
      <c r="F4" s="7"/>
      <c r="G4" s="80"/>
      <c r="H4" s="81"/>
      <c r="I4" s="81"/>
      <c r="J4" s="10" t="s">
        <v>411</v>
      </c>
    </row>
    <row r="5" spans="1:20" x14ac:dyDescent="0.15">
      <c r="A5" s="11" t="s">
        <v>11</v>
      </c>
      <c r="B5" s="78">
        <v>40232</v>
      </c>
      <c r="C5" s="82">
        <v>40540</v>
      </c>
      <c r="D5" s="13"/>
      <c r="E5" s="54"/>
      <c r="F5" s="2"/>
      <c r="G5" s="83"/>
      <c r="H5" s="84"/>
      <c r="I5" s="84"/>
      <c r="J5" s="10" t="s">
        <v>411</v>
      </c>
      <c r="M5" s="35"/>
      <c r="N5" s="35"/>
    </row>
    <row r="6" spans="1:20" x14ac:dyDescent="0.15">
      <c r="A6" s="15">
        <f>SUM(G4:G10)</f>
        <v>9.9700000000000006</v>
      </c>
      <c r="B6" s="78">
        <v>40233</v>
      </c>
      <c r="C6" s="82">
        <v>40541</v>
      </c>
      <c r="D6" s="13"/>
      <c r="E6" s="54"/>
      <c r="F6" s="12"/>
      <c r="G6" s="83"/>
      <c r="H6" s="84"/>
      <c r="I6" s="84"/>
      <c r="J6" s="10" t="s">
        <v>411</v>
      </c>
      <c r="M6" s="2"/>
      <c r="N6" s="2"/>
    </row>
    <row r="7" spans="1:20" x14ac:dyDescent="0.15">
      <c r="A7" s="2"/>
      <c r="B7" s="78">
        <v>40234</v>
      </c>
      <c r="C7" s="82">
        <v>40542</v>
      </c>
      <c r="D7" s="13"/>
      <c r="E7" s="54"/>
      <c r="F7" s="2"/>
      <c r="G7" s="83"/>
      <c r="H7" s="84"/>
      <c r="I7" s="84"/>
      <c r="J7" s="10" t="s">
        <v>411</v>
      </c>
      <c r="L7" s="93"/>
      <c r="M7" s="3421" t="s">
        <v>441</v>
      </c>
      <c r="N7" s="3421"/>
      <c r="O7" s="3421"/>
      <c r="P7" s="3422" t="s">
        <v>442</v>
      </c>
      <c r="Q7" s="3422"/>
      <c r="R7" s="3422"/>
      <c r="S7" s="4" t="s">
        <v>443</v>
      </c>
    </row>
    <row r="8" spans="1:20" x14ac:dyDescent="0.15">
      <c r="A8" s="2"/>
      <c r="B8" s="78">
        <v>40235</v>
      </c>
      <c r="C8" s="82">
        <v>40543</v>
      </c>
      <c r="D8" s="13" t="s">
        <v>14</v>
      </c>
      <c r="E8" s="54">
        <v>4.0740740740740744E-2</v>
      </c>
      <c r="F8" s="12">
        <v>152</v>
      </c>
      <c r="G8" s="83">
        <v>9.9700000000000006</v>
      </c>
      <c r="H8" s="84">
        <f>E8/G8</f>
        <v>4.0863330732939561E-3</v>
      </c>
      <c r="I8" s="84" t="s">
        <v>434</v>
      </c>
      <c r="J8" s="10" t="s">
        <v>411</v>
      </c>
      <c r="L8" s="94" t="s">
        <v>444</v>
      </c>
      <c r="M8" s="95">
        <v>0.65</v>
      </c>
      <c r="N8" s="96" t="s">
        <v>437</v>
      </c>
      <c r="O8" s="97">
        <v>0.7</v>
      </c>
      <c r="P8" s="98">
        <f>M8*$P$13</f>
        <v>126.75</v>
      </c>
      <c r="Q8" s="99" t="s">
        <v>437</v>
      </c>
      <c r="R8" s="100">
        <f>O8*$P$13</f>
        <v>136.5</v>
      </c>
      <c r="S8" s="101">
        <v>4.31712962962963E-3</v>
      </c>
    </row>
    <row r="9" spans="1:20" x14ac:dyDescent="0.15">
      <c r="A9" s="2"/>
      <c r="B9" s="78">
        <v>40236</v>
      </c>
      <c r="C9" s="82">
        <v>40544</v>
      </c>
      <c r="D9" s="13"/>
      <c r="E9" s="54"/>
      <c r="F9" s="12"/>
      <c r="G9" s="83"/>
      <c r="H9" s="84"/>
      <c r="I9" s="84"/>
      <c r="J9" s="10" t="s">
        <v>411</v>
      </c>
      <c r="L9" s="94" t="s">
        <v>445</v>
      </c>
      <c r="M9" s="95">
        <v>0.75</v>
      </c>
      <c r="N9" s="96" t="s">
        <v>437</v>
      </c>
      <c r="O9" s="97">
        <v>0.8</v>
      </c>
      <c r="P9" s="98">
        <f>M9*$P$13</f>
        <v>146.25</v>
      </c>
      <c r="Q9" s="99" t="s">
        <v>437</v>
      </c>
      <c r="R9" s="100">
        <f>O9*$P$13</f>
        <v>156</v>
      </c>
      <c r="S9" s="101">
        <v>3.7268518518518519E-3</v>
      </c>
    </row>
    <row r="10" spans="1:20" x14ac:dyDescent="0.15">
      <c r="A10" s="2"/>
      <c r="B10" s="85">
        <v>40237</v>
      </c>
      <c r="C10" s="82">
        <v>40545</v>
      </c>
      <c r="D10" s="13"/>
      <c r="E10" s="54"/>
      <c r="F10" s="12"/>
      <c r="G10" s="83"/>
      <c r="H10" s="84"/>
      <c r="I10" s="84"/>
      <c r="J10" s="10" t="s">
        <v>411</v>
      </c>
      <c r="L10" s="94" t="s">
        <v>446</v>
      </c>
      <c r="M10" s="95">
        <v>0.9</v>
      </c>
      <c r="N10" s="96" t="s">
        <v>437</v>
      </c>
      <c r="O10" s="97">
        <v>0.95</v>
      </c>
      <c r="P10" s="98">
        <f>M10*$P$13</f>
        <v>175.5</v>
      </c>
      <c r="Q10" s="99" t="s">
        <v>437</v>
      </c>
      <c r="R10" s="100">
        <f>O10*$P$13</f>
        <v>185.25</v>
      </c>
      <c r="S10" s="101">
        <v>3.2870370370370371E-3</v>
      </c>
    </row>
    <row r="11" spans="1:20" x14ac:dyDescent="0.15">
      <c r="A11" s="4">
        <f>A4+1</f>
        <v>2</v>
      </c>
      <c r="B11" s="78">
        <v>40238</v>
      </c>
      <c r="C11" s="79">
        <v>40546</v>
      </c>
      <c r="D11" s="8"/>
      <c r="E11" s="52"/>
      <c r="F11" s="7"/>
      <c r="G11" s="80"/>
      <c r="H11" s="81"/>
      <c r="I11" s="81"/>
      <c r="J11" s="10" t="s">
        <v>411</v>
      </c>
      <c r="L11" s="94" t="s">
        <v>447</v>
      </c>
      <c r="M11" s="95">
        <v>0.8</v>
      </c>
      <c r="N11" s="96" t="s">
        <v>437</v>
      </c>
      <c r="O11" s="97">
        <v>0.85</v>
      </c>
      <c r="P11" s="98">
        <f>M11*$P$13</f>
        <v>156</v>
      </c>
      <c r="Q11" s="99" t="s">
        <v>437</v>
      </c>
      <c r="R11" s="100">
        <f>O11*$P$13</f>
        <v>165.75</v>
      </c>
      <c r="S11" s="101">
        <f>T11/42.195</f>
        <v>3.4559013925645047E-3</v>
      </c>
      <c r="T11" s="43">
        <v>0.14582175925925928</v>
      </c>
    </row>
    <row r="12" spans="1:20" x14ac:dyDescent="0.15">
      <c r="A12" s="11" t="s">
        <v>11</v>
      </c>
      <c r="B12" s="78">
        <v>40239</v>
      </c>
      <c r="C12" s="82">
        <v>40547</v>
      </c>
      <c r="D12" s="13"/>
      <c r="E12" s="54"/>
      <c r="F12" s="2"/>
      <c r="G12" s="83"/>
      <c r="H12" s="84"/>
      <c r="I12" s="84"/>
      <c r="J12" s="10" t="s">
        <v>411</v>
      </c>
      <c r="L12" s="102" t="s">
        <v>448</v>
      </c>
      <c r="M12" s="103">
        <v>0.85</v>
      </c>
      <c r="N12" s="104" t="s">
        <v>437</v>
      </c>
      <c r="O12" s="105">
        <v>0.9</v>
      </c>
      <c r="P12" s="106">
        <f>M12*$P$13</f>
        <v>165.75</v>
      </c>
      <c r="Q12" s="107" t="s">
        <v>437</v>
      </c>
      <c r="R12" s="108">
        <f>O12*$P$13</f>
        <v>175.5</v>
      </c>
      <c r="S12" s="109">
        <f>T12/(42.195/2)</f>
        <v>2.9618877083031603E-3</v>
      </c>
      <c r="T12" s="43">
        <v>6.2488425925925926E-2</v>
      </c>
    </row>
    <row r="13" spans="1:20" x14ac:dyDescent="0.15">
      <c r="A13" s="15">
        <f>SUM(G11:G17)</f>
        <v>0</v>
      </c>
      <c r="B13" s="78">
        <v>40240</v>
      </c>
      <c r="C13" s="82">
        <v>40548</v>
      </c>
      <c r="D13" s="13"/>
      <c r="E13" s="54"/>
      <c r="F13" s="12"/>
      <c r="G13" s="83"/>
      <c r="H13" s="84"/>
      <c r="I13" s="84"/>
      <c r="J13" s="10" t="s">
        <v>411</v>
      </c>
      <c r="L13" s="102" t="s">
        <v>449</v>
      </c>
      <c r="M13" s="3423">
        <v>1</v>
      </c>
      <c r="N13" s="3423"/>
      <c r="O13" s="3423"/>
      <c r="P13" s="3424">
        <f>220-25</f>
        <v>195</v>
      </c>
      <c r="Q13" s="3424"/>
      <c r="R13" s="3424"/>
      <c r="S13" s="2"/>
    </row>
    <row r="14" spans="1:20" x14ac:dyDescent="0.15">
      <c r="A14" s="2"/>
      <c r="B14" s="78">
        <v>40241</v>
      </c>
      <c r="C14" s="82">
        <v>40549</v>
      </c>
      <c r="D14" s="13"/>
      <c r="E14" s="54"/>
      <c r="F14" s="2"/>
      <c r="G14" s="83"/>
      <c r="H14" s="84"/>
      <c r="I14" s="84"/>
      <c r="J14" s="10" t="s">
        <v>411</v>
      </c>
      <c r="O14" s="35"/>
    </row>
    <row r="15" spans="1:20" x14ac:dyDescent="0.15">
      <c r="A15" s="2"/>
      <c r="B15" s="78">
        <v>40242</v>
      </c>
      <c r="C15" s="82">
        <v>40550</v>
      </c>
      <c r="D15" s="13"/>
      <c r="E15" s="54"/>
      <c r="F15" s="12"/>
      <c r="G15" s="83"/>
      <c r="H15" s="84"/>
      <c r="I15" s="84"/>
      <c r="J15" s="10" t="s">
        <v>411</v>
      </c>
      <c r="O15" s="2"/>
    </row>
    <row r="16" spans="1:20" x14ac:dyDescent="0.15">
      <c r="A16" s="2"/>
      <c r="B16" s="78">
        <v>40243</v>
      </c>
      <c r="C16" s="82">
        <v>40551</v>
      </c>
      <c r="D16" s="13"/>
      <c r="E16" s="54"/>
      <c r="F16" s="12"/>
      <c r="G16" s="83"/>
      <c r="H16" s="84"/>
      <c r="I16" s="84"/>
      <c r="J16" s="10" t="s">
        <v>411</v>
      </c>
      <c r="O16" s="2"/>
    </row>
    <row r="17" spans="1:15" x14ac:dyDescent="0.15">
      <c r="A17" s="2"/>
      <c r="B17" s="85">
        <v>40244</v>
      </c>
      <c r="C17" s="82">
        <v>40552</v>
      </c>
      <c r="D17" s="13"/>
      <c r="E17" s="54"/>
      <c r="F17" s="12"/>
      <c r="G17" s="83"/>
      <c r="H17" s="84"/>
      <c r="I17" s="84"/>
      <c r="J17" s="10" t="s">
        <v>411</v>
      </c>
      <c r="O17" s="2"/>
    </row>
    <row r="18" spans="1:15" x14ac:dyDescent="0.15">
      <c r="A18" s="4">
        <f>A11+1</f>
        <v>3</v>
      </c>
      <c r="B18" s="78">
        <v>40245</v>
      </c>
      <c r="C18" s="79">
        <v>40553</v>
      </c>
      <c r="D18" s="8"/>
      <c r="E18" s="52"/>
      <c r="F18" s="7"/>
      <c r="G18" s="80"/>
      <c r="H18" s="81"/>
      <c r="I18" s="81"/>
      <c r="J18" s="10" t="s">
        <v>411</v>
      </c>
    </row>
    <row r="19" spans="1:15" x14ac:dyDescent="0.15">
      <c r="A19" s="11" t="s">
        <v>11</v>
      </c>
      <c r="B19" s="78">
        <v>40246</v>
      </c>
      <c r="C19" s="82">
        <v>40554</v>
      </c>
      <c r="D19" s="13"/>
      <c r="E19" s="54"/>
      <c r="F19" s="2"/>
      <c r="G19" s="83"/>
      <c r="H19" s="84"/>
      <c r="I19" s="84"/>
      <c r="J19" s="10" t="s">
        <v>411</v>
      </c>
    </row>
    <row r="20" spans="1:15" x14ac:dyDescent="0.15">
      <c r="A20" s="15">
        <f>SUM(G18:G24)</f>
        <v>9.4499999999999993</v>
      </c>
      <c r="B20" s="78">
        <v>40247</v>
      </c>
      <c r="C20" s="82">
        <v>40555</v>
      </c>
      <c r="D20" s="13"/>
      <c r="E20" s="54"/>
      <c r="F20" s="12"/>
      <c r="G20" s="83"/>
      <c r="H20" s="84"/>
      <c r="I20" s="84"/>
      <c r="J20" s="10" t="s">
        <v>411</v>
      </c>
    </row>
    <row r="21" spans="1:15" x14ac:dyDescent="0.15">
      <c r="A21" s="2"/>
      <c r="B21" s="78">
        <v>40248</v>
      </c>
      <c r="C21" s="82">
        <v>40556</v>
      </c>
      <c r="D21" s="13"/>
      <c r="E21" s="54"/>
      <c r="F21" s="2"/>
      <c r="G21" s="83"/>
      <c r="H21" s="84"/>
      <c r="I21" s="84"/>
      <c r="J21" s="10" t="s">
        <v>411</v>
      </c>
    </row>
    <row r="22" spans="1:15" x14ac:dyDescent="0.15">
      <c r="A22" s="2"/>
      <c r="B22" s="78">
        <v>40249</v>
      </c>
      <c r="C22" s="82">
        <v>40557</v>
      </c>
      <c r="D22" s="13"/>
      <c r="E22" s="54"/>
      <c r="F22" s="12"/>
      <c r="G22" s="83"/>
      <c r="H22" s="84"/>
      <c r="I22" s="84"/>
      <c r="J22" s="10" t="s">
        <v>411</v>
      </c>
    </row>
    <row r="23" spans="1:15" x14ac:dyDescent="0.15">
      <c r="A23" s="2"/>
      <c r="B23" s="78">
        <v>40250</v>
      </c>
      <c r="C23" s="82">
        <v>40558</v>
      </c>
      <c r="D23" s="13"/>
      <c r="E23" s="54"/>
      <c r="F23" s="12"/>
      <c r="G23" s="83"/>
      <c r="H23" s="84"/>
      <c r="I23" s="84"/>
      <c r="J23" s="10" t="s">
        <v>411</v>
      </c>
    </row>
    <row r="24" spans="1:15" x14ac:dyDescent="0.15">
      <c r="A24" s="2"/>
      <c r="B24" s="85">
        <v>40251</v>
      </c>
      <c r="C24" s="82">
        <v>40559</v>
      </c>
      <c r="D24" s="17" t="s">
        <v>450</v>
      </c>
      <c r="E24" s="54">
        <v>3.8078703703703705E-2</v>
      </c>
      <c r="F24" s="2">
        <v>152</v>
      </c>
      <c r="G24" s="86">
        <v>9.4499999999999993</v>
      </c>
      <c r="H24" s="87">
        <f>E24/G24</f>
        <v>4.0294924554183818E-3</v>
      </c>
      <c r="I24" s="87" t="s">
        <v>434</v>
      </c>
      <c r="J24" s="10" t="s">
        <v>411</v>
      </c>
    </row>
    <row r="25" spans="1:15" x14ac:dyDescent="0.15">
      <c r="A25" s="4">
        <f>A18+1</f>
        <v>4</v>
      </c>
      <c r="B25" s="78">
        <v>40252</v>
      </c>
      <c r="C25" s="79">
        <v>40560</v>
      </c>
      <c r="D25" s="8"/>
      <c r="E25" s="52"/>
      <c r="F25" s="7"/>
      <c r="G25" s="80"/>
      <c r="H25" s="81"/>
      <c r="I25" s="81"/>
      <c r="J25" s="10" t="s">
        <v>411</v>
      </c>
    </row>
    <row r="26" spans="1:15" x14ac:dyDescent="0.15">
      <c r="A26" s="11" t="s">
        <v>11</v>
      </c>
      <c r="B26" s="78">
        <v>40253</v>
      </c>
      <c r="C26" s="82">
        <v>40561</v>
      </c>
      <c r="D26" s="13"/>
      <c r="E26" s="54"/>
      <c r="F26" s="2"/>
      <c r="G26" s="83"/>
      <c r="H26" s="84"/>
      <c r="I26" s="84"/>
      <c r="J26" s="10" t="s">
        <v>411</v>
      </c>
    </row>
    <row r="27" spans="1:15" x14ac:dyDescent="0.15">
      <c r="A27" s="15">
        <f>SUM(G25:G31)</f>
        <v>0</v>
      </c>
      <c r="B27" s="78">
        <v>40254</v>
      </c>
      <c r="C27" s="82">
        <v>40562</v>
      </c>
      <c r="D27" s="13"/>
      <c r="E27" s="54"/>
      <c r="F27" s="12"/>
      <c r="G27" s="83"/>
      <c r="H27" s="84"/>
      <c r="I27" s="84"/>
      <c r="J27" s="10" t="s">
        <v>411</v>
      </c>
    </row>
    <row r="28" spans="1:15" x14ac:dyDescent="0.15">
      <c r="A28" s="2"/>
      <c r="B28" s="78">
        <v>40255</v>
      </c>
      <c r="C28" s="82">
        <v>40563</v>
      </c>
      <c r="D28" s="13"/>
      <c r="E28" s="54"/>
      <c r="F28" s="2"/>
      <c r="G28" s="83"/>
      <c r="H28" s="84"/>
      <c r="I28" s="84"/>
      <c r="J28" s="10" t="s">
        <v>411</v>
      </c>
    </row>
    <row r="29" spans="1:15" x14ac:dyDescent="0.15">
      <c r="A29" s="2"/>
      <c r="B29" s="78">
        <v>40256</v>
      </c>
      <c r="C29" s="82">
        <v>40564</v>
      </c>
      <c r="D29" s="13"/>
      <c r="E29" s="54"/>
      <c r="F29" s="12"/>
      <c r="G29" s="83"/>
      <c r="H29" s="84"/>
      <c r="I29" s="84"/>
      <c r="J29" s="10" t="s">
        <v>411</v>
      </c>
    </row>
    <row r="30" spans="1:15" x14ac:dyDescent="0.15">
      <c r="A30" s="2"/>
      <c r="B30" s="78">
        <v>40257</v>
      </c>
      <c r="C30" s="82">
        <v>40565</v>
      </c>
      <c r="D30" s="13"/>
      <c r="E30" s="54"/>
      <c r="F30" s="12"/>
      <c r="G30" s="83"/>
      <c r="H30" s="84"/>
      <c r="I30" s="84"/>
      <c r="J30" s="10" t="s">
        <v>411</v>
      </c>
    </row>
    <row r="31" spans="1:15" x14ac:dyDescent="0.15">
      <c r="A31" s="2"/>
      <c r="B31" s="85">
        <v>40258</v>
      </c>
      <c r="C31" s="82">
        <v>40566</v>
      </c>
      <c r="D31" s="17"/>
      <c r="E31" s="54"/>
      <c r="F31" s="2"/>
      <c r="G31" s="86"/>
      <c r="H31" s="84"/>
      <c r="I31" s="84"/>
      <c r="J31" s="10" t="s">
        <v>411</v>
      </c>
    </row>
    <row r="32" spans="1:15" x14ac:dyDescent="0.15">
      <c r="A32" s="4">
        <f>A25+1</f>
        <v>5</v>
      </c>
      <c r="B32" s="78">
        <v>40259</v>
      </c>
      <c r="C32" s="79">
        <v>40567</v>
      </c>
      <c r="D32" s="8"/>
      <c r="E32" s="52"/>
      <c r="F32" s="7"/>
      <c r="G32" s="80"/>
      <c r="H32" s="81"/>
      <c r="I32" s="81"/>
      <c r="J32" s="10" t="s">
        <v>411</v>
      </c>
    </row>
    <row r="33" spans="1:10" x14ac:dyDescent="0.15">
      <c r="A33" s="11" t="s">
        <v>11</v>
      </c>
      <c r="B33" s="78">
        <v>40260</v>
      </c>
      <c r="C33" s="82">
        <v>40568</v>
      </c>
      <c r="D33" s="13"/>
      <c r="E33" s="54"/>
      <c r="F33" s="2"/>
      <c r="G33" s="83"/>
      <c r="H33" s="84"/>
      <c r="I33" s="84"/>
      <c r="J33" s="10" t="s">
        <v>411</v>
      </c>
    </row>
    <row r="34" spans="1:10" x14ac:dyDescent="0.15">
      <c r="A34" s="15">
        <f>SUM(G32:G38)</f>
        <v>8.15</v>
      </c>
      <c r="B34" s="78">
        <v>40261</v>
      </c>
      <c r="C34" s="82">
        <v>40569</v>
      </c>
      <c r="D34" s="13"/>
      <c r="E34" s="54"/>
      <c r="F34" s="12"/>
      <c r="G34" s="83"/>
      <c r="H34" s="84"/>
      <c r="I34" s="84"/>
      <c r="J34" s="10" t="s">
        <v>411</v>
      </c>
    </row>
    <row r="35" spans="1:10" x14ac:dyDescent="0.15">
      <c r="A35" s="2"/>
      <c r="B35" s="78">
        <v>40262</v>
      </c>
      <c r="C35" s="82">
        <v>40570</v>
      </c>
      <c r="D35" s="13"/>
      <c r="E35" s="54"/>
      <c r="F35" s="2"/>
      <c r="G35" s="83"/>
      <c r="H35" s="84"/>
      <c r="I35" s="84"/>
      <c r="J35" s="10" t="s">
        <v>411</v>
      </c>
    </row>
    <row r="36" spans="1:10" x14ac:dyDescent="0.15">
      <c r="A36" s="2"/>
      <c r="B36" s="78">
        <v>40263</v>
      </c>
      <c r="C36" s="82">
        <v>40571</v>
      </c>
      <c r="D36" s="13"/>
      <c r="E36" s="54"/>
      <c r="F36" s="12"/>
      <c r="G36" s="83"/>
      <c r="H36" s="84"/>
      <c r="I36" s="84"/>
      <c r="J36" s="10" t="s">
        <v>411</v>
      </c>
    </row>
    <row r="37" spans="1:10" x14ac:dyDescent="0.15">
      <c r="A37" s="2"/>
      <c r="B37" s="78">
        <v>40264</v>
      </c>
      <c r="C37" s="82">
        <v>40572</v>
      </c>
      <c r="D37" s="13" t="s">
        <v>450</v>
      </c>
      <c r="E37" s="54">
        <v>3.4456018518518518E-2</v>
      </c>
      <c r="F37" s="12">
        <v>152</v>
      </c>
      <c r="G37" s="83">
        <v>8.15</v>
      </c>
      <c r="H37" s="84">
        <f>E37/G37</f>
        <v>4.2277323335605538E-3</v>
      </c>
      <c r="I37" s="84" t="s">
        <v>434</v>
      </c>
      <c r="J37" s="10" t="s">
        <v>411</v>
      </c>
    </row>
    <row r="38" spans="1:10" x14ac:dyDescent="0.15">
      <c r="A38" s="2"/>
      <c r="B38" s="85">
        <v>40265</v>
      </c>
      <c r="C38" s="82">
        <v>40573</v>
      </c>
      <c r="D38" s="17"/>
      <c r="E38" s="54"/>
      <c r="F38" s="2"/>
      <c r="G38" s="86"/>
      <c r="H38" s="87"/>
      <c r="I38" s="87"/>
      <c r="J38" s="10" t="s">
        <v>411</v>
      </c>
    </row>
    <row r="39" spans="1:10" x14ac:dyDescent="0.15">
      <c r="A39" s="4">
        <f>A32+1</f>
        <v>6</v>
      </c>
      <c r="B39" s="78">
        <v>40266</v>
      </c>
      <c r="C39" s="79">
        <v>40574</v>
      </c>
      <c r="D39" s="8"/>
      <c r="E39" s="52"/>
      <c r="F39" s="7"/>
      <c r="G39" s="80"/>
      <c r="H39" s="81"/>
      <c r="I39" s="81"/>
      <c r="J39" s="10" t="s">
        <v>411</v>
      </c>
    </row>
    <row r="40" spans="1:10" x14ac:dyDescent="0.15">
      <c r="A40" s="11" t="s">
        <v>11</v>
      </c>
      <c r="B40" s="78">
        <v>40267</v>
      </c>
      <c r="C40" s="82">
        <v>40575</v>
      </c>
      <c r="D40" s="13"/>
      <c r="E40" s="54"/>
      <c r="F40" s="2"/>
      <c r="G40" s="83"/>
      <c r="H40" s="84"/>
      <c r="I40" s="84"/>
      <c r="J40" s="10" t="s">
        <v>411</v>
      </c>
    </row>
    <row r="41" spans="1:10" x14ac:dyDescent="0.15">
      <c r="A41" s="15">
        <f>SUM(G39:G45)</f>
        <v>0</v>
      </c>
      <c r="B41" s="78">
        <v>40268</v>
      </c>
      <c r="C41" s="82">
        <v>40576</v>
      </c>
      <c r="D41" s="13"/>
      <c r="E41" s="54"/>
      <c r="F41" s="12"/>
      <c r="G41" s="83"/>
      <c r="H41" s="84"/>
      <c r="I41" s="84"/>
      <c r="J41" s="10" t="s">
        <v>411</v>
      </c>
    </row>
    <row r="42" spans="1:10" x14ac:dyDescent="0.15">
      <c r="A42" s="2"/>
      <c r="B42" s="78">
        <v>40269</v>
      </c>
      <c r="C42" s="82">
        <v>40577</v>
      </c>
      <c r="D42" s="13"/>
      <c r="E42" s="54"/>
      <c r="F42" s="2"/>
      <c r="G42" s="83"/>
      <c r="H42" s="84"/>
      <c r="I42" s="84"/>
      <c r="J42" s="10" t="s">
        <v>411</v>
      </c>
    </row>
    <row r="43" spans="1:10" x14ac:dyDescent="0.15">
      <c r="A43" s="2"/>
      <c r="B43" s="78">
        <v>40270</v>
      </c>
      <c r="C43" s="82">
        <v>40578</v>
      </c>
      <c r="D43" s="13"/>
      <c r="E43" s="54"/>
      <c r="F43" s="12"/>
      <c r="G43" s="83"/>
      <c r="H43" s="84"/>
      <c r="I43" s="84"/>
      <c r="J43" s="10" t="s">
        <v>411</v>
      </c>
    </row>
    <row r="44" spans="1:10" x14ac:dyDescent="0.15">
      <c r="A44" s="2"/>
      <c r="B44" s="78">
        <v>40271</v>
      </c>
      <c r="C44" s="82">
        <v>40579</v>
      </c>
      <c r="D44" s="13"/>
      <c r="E44" s="54"/>
      <c r="F44" s="12"/>
      <c r="G44" s="83"/>
      <c r="H44" s="84"/>
      <c r="I44" s="84"/>
      <c r="J44" s="10" t="s">
        <v>411</v>
      </c>
    </row>
    <row r="45" spans="1:10" x14ac:dyDescent="0.15">
      <c r="A45" s="2"/>
      <c r="B45" s="85">
        <v>40272</v>
      </c>
      <c r="C45" s="82">
        <v>40580</v>
      </c>
      <c r="D45" s="17"/>
      <c r="E45" s="54"/>
      <c r="F45" s="2"/>
      <c r="G45" s="86"/>
      <c r="H45" s="87"/>
      <c r="I45" s="87"/>
      <c r="J45" s="10" t="s">
        <v>411</v>
      </c>
    </row>
    <row r="46" spans="1:10" x14ac:dyDescent="0.15">
      <c r="A46" s="4">
        <f>A39+1</f>
        <v>7</v>
      </c>
      <c r="B46" s="78">
        <v>40273</v>
      </c>
      <c r="C46" s="79">
        <v>40581</v>
      </c>
      <c r="D46" s="8"/>
      <c r="E46" s="52"/>
      <c r="F46" s="7"/>
      <c r="G46" s="80"/>
      <c r="H46" s="81"/>
      <c r="I46" s="81"/>
      <c r="J46" s="10" t="s">
        <v>411</v>
      </c>
    </row>
    <row r="47" spans="1:10" x14ac:dyDescent="0.15">
      <c r="A47" s="11" t="s">
        <v>11</v>
      </c>
      <c r="B47" s="78">
        <v>40274</v>
      </c>
      <c r="C47" s="82">
        <v>40582</v>
      </c>
      <c r="D47" s="13"/>
      <c r="E47" s="54"/>
      <c r="F47" s="2"/>
      <c r="G47" s="83"/>
      <c r="H47" s="84"/>
      <c r="I47" s="84"/>
      <c r="J47" s="10" t="s">
        <v>411</v>
      </c>
    </row>
    <row r="48" spans="1:10" x14ac:dyDescent="0.15">
      <c r="A48" s="15">
        <f>SUM(G46:G52)</f>
        <v>0</v>
      </c>
      <c r="B48" s="78">
        <v>40275</v>
      </c>
      <c r="C48" s="82">
        <v>40583</v>
      </c>
      <c r="D48" s="13"/>
      <c r="E48" s="54"/>
      <c r="F48" s="12"/>
      <c r="G48" s="83"/>
      <c r="H48" s="84"/>
      <c r="I48" s="84"/>
      <c r="J48" s="10" t="s">
        <v>411</v>
      </c>
    </row>
    <row r="49" spans="1:10" x14ac:dyDescent="0.15">
      <c r="A49" s="2"/>
      <c r="B49" s="78">
        <v>40276</v>
      </c>
      <c r="C49" s="82">
        <v>40584</v>
      </c>
      <c r="D49" s="13"/>
      <c r="E49" s="54"/>
      <c r="F49" s="2"/>
      <c r="G49" s="83"/>
      <c r="H49" s="84"/>
      <c r="I49" s="84"/>
      <c r="J49" s="10" t="s">
        <v>411</v>
      </c>
    </row>
    <row r="50" spans="1:10" x14ac:dyDescent="0.15">
      <c r="A50" s="2"/>
      <c r="B50" s="78">
        <v>40277</v>
      </c>
      <c r="C50" s="82">
        <v>40585</v>
      </c>
      <c r="D50" s="13"/>
      <c r="E50" s="54"/>
      <c r="F50" s="12"/>
      <c r="G50" s="83"/>
      <c r="H50" s="84"/>
      <c r="I50" s="84"/>
      <c r="J50" s="10" t="s">
        <v>411</v>
      </c>
    </row>
    <row r="51" spans="1:10" x14ac:dyDescent="0.15">
      <c r="A51" s="2"/>
      <c r="B51" s="78">
        <v>40278</v>
      </c>
      <c r="C51" s="82">
        <v>40586</v>
      </c>
      <c r="D51" s="13"/>
      <c r="E51" s="54"/>
      <c r="F51" s="12"/>
      <c r="G51" s="83"/>
      <c r="H51" s="84"/>
      <c r="I51" s="84"/>
      <c r="J51" s="10" t="s">
        <v>411</v>
      </c>
    </row>
    <row r="52" spans="1:10" x14ac:dyDescent="0.15">
      <c r="A52" s="2"/>
      <c r="B52" s="85">
        <v>40279</v>
      </c>
      <c r="C52" s="82">
        <v>40587</v>
      </c>
      <c r="D52" s="17"/>
      <c r="E52" s="54"/>
      <c r="F52" s="2"/>
      <c r="G52" s="86"/>
      <c r="H52" s="87"/>
      <c r="I52" s="87"/>
      <c r="J52" s="10" t="s">
        <v>411</v>
      </c>
    </row>
    <row r="53" spans="1:10" x14ac:dyDescent="0.15">
      <c r="A53" s="4">
        <f>A46+1</f>
        <v>8</v>
      </c>
      <c r="B53" s="78">
        <v>40280</v>
      </c>
      <c r="C53" s="79">
        <v>40588</v>
      </c>
      <c r="D53" s="8"/>
      <c r="E53" s="52"/>
      <c r="F53" s="7"/>
      <c r="G53" s="80"/>
      <c r="H53" s="81"/>
      <c r="I53" s="81"/>
      <c r="J53" s="10" t="s">
        <v>411</v>
      </c>
    </row>
    <row r="54" spans="1:10" x14ac:dyDescent="0.15">
      <c r="A54" s="11" t="s">
        <v>11</v>
      </c>
      <c r="B54" s="78">
        <v>40281</v>
      </c>
      <c r="C54" s="82">
        <v>40589</v>
      </c>
      <c r="D54" s="13"/>
      <c r="E54" s="54"/>
      <c r="F54" s="2"/>
      <c r="G54" s="83"/>
      <c r="H54" s="84"/>
      <c r="I54" s="84"/>
      <c r="J54" s="10" t="s">
        <v>411</v>
      </c>
    </row>
    <row r="55" spans="1:10" x14ac:dyDescent="0.15">
      <c r="A55" s="15">
        <f>SUM(G53:G59)</f>
        <v>9.6</v>
      </c>
      <c r="B55" s="78">
        <v>40282</v>
      </c>
      <c r="C55" s="82">
        <v>40590</v>
      </c>
      <c r="D55" s="13"/>
      <c r="E55" s="54"/>
      <c r="F55" s="12"/>
      <c r="G55" s="83"/>
      <c r="H55" s="84"/>
      <c r="I55" s="84"/>
      <c r="J55" s="10" t="s">
        <v>411</v>
      </c>
    </row>
    <row r="56" spans="1:10" x14ac:dyDescent="0.15">
      <c r="A56" s="2"/>
      <c r="B56" s="78">
        <v>40283</v>
      </c>
      <c r="C56" s="82">
        <v>40591</v>
      </c>
      <c r="D56" s="13"/>
      <c r="E56" s="54"/>
      <c r="F56" s="2"/>
      <c r="G56" s="83"/>
      <c r="H56" s="84"/>
      <c r="I56" s="84"/>
      <c r="J56" s="10" t="s">
        <v>411</v>
      </c>
    </row>
    <row r="57" spans="1:10" x14ac:dyDescent="0.15">
      <c r="A57" s="2"/>
      <c r="B57" s="78">
        <v>40284</v>
      </c>
      <c r="C57" s="82">
        <v>40592</v>
      </c>
      <c r="D57" s="13"/>
      <c r="E57" s="54"/>
      <c r="F57" s="12"/>
      <c r="G57" s="83"/>
      <c r="H57" s="84"/>
      <c r="I57" s="84"/>
      <c r="J57" s="10" t="s">
        <v>411</v>
      </c>
    </row>
    <row r="58" spans="1:10" x14ac:dyDescent="0.15">
      <c r="A58" s="2"/>
      <c r="B58" s="78">
        <v>40285</v>
      </c>
      <c r="C58" s="82">
        <v>40593</v>
      </c>
      <c r="D58" s="13" t="s">
        <v>450</v>
      </c>
      <c r="E58" s="54">
        <v>3.5046296296296298E-2</v>
      </c>
      <c r="F58" s="12">
        <v>167</v>
      </c>
      <c r="G58" s="83">
        <v>9.6</v>
      </c>
      <c r="H58" s="84">
        <f>E58/G58</f>
        <v>3.6506558641975313E-3</v>
      </c>
      <c r="I58" s="84" t="s">
        <v>434</v>
      </c>
      <c r="J58" s="10" t="s">
        <v>411</v>
      </c>
    </row>
    <row r="59" spans="1:10" x14ac:dyDescent="0.15">
      <c r="A59" s="2"/>
      <c r="B59" s="85">
        <v>40286</v>
      </c>
      <c r="C59" s="82">
        <v>40594</v>
      </c>
      <c r="D59" s="17"/>
      <c r="E59" s="54"/>
      <c r="F59" s="2"/>
      <c r="G59" s="86"/>
      <c r="H59" s="87"/>
      <c r="I59" s="87"/>
      <c r="J59" s="10" t="s">
        <v>411</v>
      </c>
    </row>
    <row r="60" spans="1:10" x14ac:dyDescent="0.15">
      <c r="A60" s="4">
        <f>A53+1</f>
        <v>9</v>
      </c>
      <c r="B60" s="78">
        <v>40287</v>
      </c>
      <c r="C60" s="79">
        <v>40595</v>
      </c>
      <c r="D60" s="8"/>
      <c r="E60" s="52"/>
      <c r="F60" s="7"/>
      <c r="G60" s="80"/>
      <c r="H60" s="81"/>
      <c r="I60" s="81"/>
      <c r="J60" s="10" t="s">
        <v>411</v>
      </c>
    </row>
    <row r="61" spans="1:10" x14ac:dyDescent="0.15">
      <c r="A61" s="11" t="s">
        <v>11</v>
      </c>
      <c r="B61" s="78">
        <v>40288</v>
      </c>
      <c r="C61" s="82">
        <v>40596</v>
      </c>
      <c r="D61" s="13"/>
      <c r="E61" s="54"/>
      <c r="F61" s="2"/>
      <c r="G61" s="83"/>
      <c r="H61" s="84"/>
      <c r="I61" s="84"/>
      <c r="J61" s="10" t="s">
        <v>411</v>
      </c>
    </row>
    <row r="62" spans="1:10" x14ac:dyDescent="0.15">
      <c r="A62" s="15">
        <f>SUM(G60:G66)</f>
        <v>12.68</v>
      </c>
      <c r="B62" s="78">
        <v>40289</v>
      </c>
      <c r="C62" s="82">
        <v>40597</v>
      </c>
      <c r="D62" s="13"/>
      <c r="E62" s="54"/>
      <c r="F62" s="12"/>
      <c r="G62" s="83"/>
      <c r="H62" s="84"/>
      <c r="I62" s="84"/>
      <c r="J62" s="10" t="s">
        <v>411</v>
      </c>
    </row>
    <row r="63" spans="1:10" x14ac:dyDescent="0.15">
      <c r="A63" s="2"/>
      <c r="B63" s="78">
        <v>40290</v>
      </c>
      <c r="C63" s="82">
        <v>40598</v>
      </c>
      <c r="D63" s="13"/>
      <c r="E63" s="54"/>
      <c r="F63" s="2"/>
      <c r="G63" s="83"/>
      <c r="H63" s="84"/>
      <c r="I63" s="84"/>
      <c r="J63" s="10" t="s">
        <v>411</v>
      </c>
    </row>
    <row r="64" spans="1:10" x14ac:dyDescent="0.15">
      <c r="A64" s="2"/>
      <c r="B64" s="78">
        <v>40291</v>
      </c>
      <c r="C64" s="82">
        <v>40599</v>
      </c>
      <c r="D64" s="13"/>
      <c r="E64" s="54"/>
      <c r="F64" s="12"/>
      <c r="G64" s="83"/>
      <c r="H64" s="84"/>
      <c r="I64" s="84"/>
      <c r="J64" s="10" t="s">
        <v>411</v>
      </c>
    </row>
    <row r="65" spans="1:10" x14ac:dyDescent="0.15">
      <c r="A65" s="2"/>
      <c r="B65" s="78">
        <v>40292</v>
      </c>
      <c r="C65" s="82">
        <v>40600</v>
      </c>
      <c r="D65" s="13" t="s">
        <v>450</v>
      </c>
      <c r="E65" s="54">
        <v>4.7395833333333331E-2</v>
      </c>
      <c r="F65" s="12">
        <v>164</v>
      </c>
      <c r="G65" s="83">
        <v>12.68</v>
      </c>
      <c r="H65" s="84">
        <f>E65/G65</f>
        <v>3.7378417455310197E-3</v>
      </c>
      <c r="I65" s="84" t="s">
        <v>436</v>
      </c>
      <c r="J65" s="10" t="s">
        <v>411</v>
      </c>
    </row>
    <row r="66" spans="1:10" x14ac:dyDescent="0.15">
      <c r="A66" s="2"/>
      <c r="B66" s="85">
        <v>40293</v>
      </c>
      <c r="C66" s="82">
        <v>40601</v>
      </c>
      <c r="D66" s="17"/>
      <c r="E66" s="54"/>
      <c r="F66" s="2"/>
      <c r="G66" s="86"/>
      <c r="H66" s="87"/>
      <c r="I66" s="87"/>
      <c r="J66" s="10" t="s">
        <v>411</v>
      </c>
    </row>
    <row r="67" spans="1:10" x14ac:dyDescent="0.15">
      <c r="A67" s="4">
        <f>A60+1</f>
        <v>10</v>
      </c>
      <c r="B67" s="78">
        <v>40294</v>
      </c>
      <c r="C67" s="79">
        <v>40602</v>
      </c>
      <c r="D67" s="8"/>
      <c r="E67" s="52"/>
      <c r="F67" s="7"/>
      <c r="G67" s="80"/>
      <c r="H67" s="81"/>
      <c r="I67" s="81"/>
      <c r="J67" s="10" t="s">
        <v>411</v>
      </c>
    </row>
    <row r="68" spans="1:10" x14ac:dyDescent="0.15">
      <c r="A68" s="11" t="s">
        <v>11</v>
      </c>
      <c r="B68" s="78">
        <v>40295</v>
      </c>
      <c r="C68" s="82">
        <v>40603</v>
      </c>
      <c r="D68" s="13"/>
      <c r="E68" s="54"/>
      <c r="F68" s="2"/>
      <c r="G68" s="83"/>
      <c r="H68" s="84"/>
      <c r="I68" s="84"/>
      <c r="J68" s="10" t="s">
        <v>411</v>
      </c>
    </row>
    <row r="69" spans="1:10" x14ac:dyDescent="0.15">
      <c r="A69" s="15">
        <f>SUM(G67:G73)</f>
        <v>19.59</v>
      </c>
      <c r="B69" s="78">
        <v>40296</v>
      </c>
      <c r="C69" s="82">
        <v>40604</v>
      </c>
      <c r="D69" s="13" t="s">
        <v>446</v>
      </c>
      <c r="E69" s="54">
        <v>3.4756944444444444E-2</v>
      </c>
      <c r="F69" s="12">
        <v>168</v>
      </c>
      <c r="G69" s="83">
        <v>10</v>
      </c>
      <c r="H69" s="84">
        <f>E69/G69</f>
        <v>3.4756944444444444E-3</v>
      </c>
      <c r="I69" s="84" t="s">
        <v>436</v>
      </c>
      <c r="J69" s="10" t="s">
        <v>411</v>
      </c>
    </row>
    <row r="70" spans="1:10" x14ac:dyDescent="0.15">
      <c r="A70" s="2"/>
      <c r="B70" s="78">
        <v>40297</v>
      </c>
      <c r="C70" s="82">
        <v>40605</v>
      </c>
      <c r="D70" s="13"/>
      <c r="E70" s="54"/>
      <c r="F70" s="2"/>
      <c r="G70" s="83"/>
      <c r="H70" s="84"/>
      <c r="I70" s="84"/>
      <c r="J70" s="10" t="s">
        <v>411</v>
      </c>
    </row>
    <row r="71" spans="1:10" x14ac:dyDescent="0.15">
      <c r="A71" s="2"/>
      <c r="B71" s="78">
        <v>40298</v>
      </c>
      <c r="C71" s="82">
        <v>40606</v>
      </c>
      <c r="D71" s="13"/>
      <c r="E71" s="54"/>
      <c r="F71" s="12"/>
      <c r="G71" s="83"/>
      <c r="H71" s="84"/>
      <c r="I71" s="84"/>
      <c r="J71" s="10" t="s">
        <v>411</v>
      </c>
    </row>
    <row r="72" spans="1:10" x14ac:dyDescent="0.15">
      <c r="A72" s="2"/>
      <c r="B72" s="78">
        <v>40299</v>
      </c>
      <c r="C72" s="82">
        <v>40607</v>
      </c>
      <c r="D72" s="13" t="s">
        <v>450</v>
      </c>
      <c r="E72" s="54">
        <v>3.5868055555555556E-2</v>
      </c>
      <c r="F72" s="12">
        <v>166</v>
      </c>
      <c r="G72" s="83">
        <v>9.59</v>
      </c>
      <c r="H72" s="84">
        <f>E72/G72</f>
        <v>3.7401517784729464E-3</v>
      </c>
      <c r="I72" s="84" t="s">
        <v>434</v>
      </c>
      <c r="J72" s="10" t="s">
        <v>411</v>
      </c>
    </row>
    <row r="73" spans="1:10" x14ac:dyDescent="0.15">
      <c r="A73" s="2"/>
      <c r="B73" s="85">
        <v>40300</v>
      </c>
      <c r="C73" s="82">
        <v>40608</v>
      </c>
      <c r="D73" s="17"/>
      <c r="E73" s="57"/>
      <c r="F73" s="2"/>
      <c r="G73" s="86"/>
      <c r="H73" s="87"/>
      <c r="I73" s="87"/>
      <c r="J73" s="10" t="s">
        <v>411</v>
      </c>
    </row>
    <row r="74" spans="1:10" x14ac:dyDescent="0.15">
      <c r="A74" s="4">
        <f>A67+1</f>
        <v>11</v>
      </c>
      <c r="B74" s="78">
        <v>40301</v>
      </c>
      <c r="C74" s="79">
        <v>40609</v>
      </c>
      <c r="D74" s="8"/>
      <c r="E74" s="52"/>
      <c r="F74" s="7"/>
      <c r="G74" s="80"/>
      <c r="H74" s="84"/>
      <c r="I74" s="81"/>
      <c r="J74" s="10" t="s">
        <v>411</v>
      </c>
    </row>
    <row r="75" spans="1:10" x14ac:dyDescent="0.15">
      <c r="A75" s="11" t="s">
        <v>11</v>
      </c>
      <c r="B75" s="78">
        <v>40302</v>
      </c>
      <c r="C75" s="82">
        <v>40610</v>
      </c>
      <c r="D75" s="13"/>
      <c r="E75" s="54"/>
      <c r="F75" s="2"/>
      <c r="G75" s="83"/>
      <c r="H75" s="84"/>
      <c r="I75" s="84"/>
      <c r="J75" s="10" t="s">
        <v>411</v>
      </c>
    </row>
    <row r="76" spans="1:10" x14ac:dyDescent="0.15">
      <c r="A76" s="15">
        <f>SUM(G74:G80)</f>
        <v>20.58</v>
      </c>
      <c r="B76" s="78">
        <v>40303</v>
      </c>
      <c r="C76" s="82">
        <v>40611</v>
      </c>
      <c r="D76" s="13" t="s">
        <v>446</v>
      </c>
      <c r="E76" s="54">
        <v>3.8680555555555558E-2</v>
      </c>
      <c r="F76" s="12">
        <v>164</v>
      </c>
      <c r="G76" s="83">
        <v>10.58</v>
      </c>
      <c r="H76" s="84">
        <f>E76/G76</f>
        <v>3.6560071413568578E-3</v>
      </c>
      <c r="I76" s="84" t="s">
        <v>436</v>
      </c>
      <c r="J76" s="10" t="s">
        <v>411</v>
      </c>
    </row>
    <row r="77" spans="1:10" x14ac:dyDescent="0.15">
      <c r="A77" s="2"/>
      <c r="B77" s="78">
        <v>40304</v>
      </c>
      <c r="C77" s="82">
        <v>40612</v>
      </c>
      <c r="D77" s="13"/>
      <c r="E77" s="54"/>
      <c r="F77" s="2"/>
      <c r="G77" s="83"/>
      <c r="H77" s="84"/>
      <c r="I77" s="84"/>
      <c r="J77" s="10" t="s">
        <v>411</v>
      </c>
    </row>
    <row r="78" spans="1:10" x14ac:dyDescent="0.15">
      <c r="A78" s="2"/>
      <c r="B78" s="78">
        <v>40305</v>
      </c>
      <c r="C78" s="82">
        <v>40613</v>
      </c>
      <c r="D78" s="13"/>
      <c r="E78" s="54"/>
      <c r="F78" s="12"/>
      <c r="G78" s="83"/>
      <c r="H78" s="84"/>
      <c r="I78" s="84"/>
      <c r="J78" s="10" t="s">
        <v>411</v>
      </c>
    </row>
    <row r="79" spans="1:10" x14ac:dyDescent="0.15">
      <c r="A79" s="2"/>
      <c r="B79" s="78">
        <v>40306</v>
      </c>
      <c r="C79" s="82">
        <v>40614</v>
      </c>
      <c r="D79" s="13" t="s">
        <v>158</v>
      </c>
      <c r="E79" s="54">
        <v>3.3379629629629627E-2</v>
      </c>
      <c r="F79" s="12">
        <v>168</v>
      </c>
      <c r="G79" s="83">
        <v>10</v>
      </c>
      <c r="H79" s="84">
        <f>E79/G79</f>
        <v>3.3379629629629627E-3</v>
      </c>
      <c r="I79" s="84" t="s">
        <v>436</v>
      </c>
      <c r="J79" s="10" t="s">
        <v>411</v>
      </c>
    </row>
    <row r="80" spans="1:10" x14ac:dyDescent="0.15">
      <c r="A80" s="2"/>
      <c r="B80" s="85">
        <v>40307</v>
      </c>
      <c r="C80" s="82">
        <v>40615</v>
      </c>
      <c r="D80" s="17"/>
      <c r="E80" s="54"/>
      <c r="F80" s="2"/>
      <c r="G80" s="86"/>
      <c r="H80" s="87"/>
      <c r="I80" s="87"/>
      <c r="J80" s="10" t="s">
        <v>411</v>
      </c>
    </row>
    <row r="81" spans="1:10" x14ac:dyDescent="0.15">
      <c r="A81" s="4">
        <f>A74+1</f>
        <v>12</v>
      </c>
      <c r="B81" s="78">
        <v>40308</v>
      </c>
      <c r="C81" s="79">
        <v>40616</v>
      </c>
      <c r="D81" s="8"/>
      <c r="E81" s="52"/>
      <c r="F81" s="7"/>
      <c r="G81" s="80"/>
      <c r="H81" s="84"/>
      <c r="I81" s="84"/>
      <c r="J81" s="10" t="s">
        <v>411</v>
      </c>
    </row>
    <row r="82" spans="1:10" x14ac:dyDescent="0.15">
      <c r="A82" s="11" t="s">
        <v>11</v>
      </c>
      <c r="B82" s="78">
        <v>40309</v>
      </c>
      <c r="C82" s="82">
        <v>40617</v>
      </c>
      <c r="D82" s="110"/>
      <c r="E82" s="111"/>
      <c r="F82" s="112"/>
      <c r="G82" s="113"/>
      <c r="H82" s="114"/>
      <c r="I82" s="114"/>
      <c r="J82" s="10" t="s">
        <v>411</v>
      </c>
    </row>
    <row r="83" spans="1:10" x14ac:dyDescent="0.15">
      <c r="A83" s="15">
        <f>SUM(G81:G87)</f>
        <v>0</v>
      </c>
      <c r="B83" s="78">
        <v>40310</v>
      </c>
      <c r="C83" s="82">
        <v>40618</v>
      </c>
      <c r="D83" s="110"/>
      <c r="E83" s="111"/>
      <c r="F83" s="115"/>
      <c r="G83" s="113"/>
      <c r="H83" s="114"/>
      <c r="I83" s="114"/>
      <c r="J83" s="10" t="s">
        <v>411</v>
      </c>
    </row>
    <row r="84" spans="1:10" x14ac:dyDescent="0.15">
      <c r="A84" s="2"/>
      <c r="B84" s="78">
        <v>40311</v>
      </c>
      <c r="C84" s="82">
        <v>40619</v>
      </c>
      <c r="D84" s="110"/>
      <c r="E84" s="111"/>
      <c r="F84" s="112"/>
      <c r="G84" s="113"/>
      <c r="H84" s="114"/>
      <c r="I84" s="114"/>
      <c r="J84" s="10" t="s">
        <v>411</v>
      </c>
    </row>
    <row r="85" spans="1:10" x14ac:dyDescent="0.15">
      <c r="A85" s="2"/>
      <c r="B85" s="78">
        <v>40312</v>
      </c>
      <c r="C85" s="82">
        <v>40620</v>
      </c>
      <c r="D85" s="110"/>
      <c r="E85" s="3420" t="s">
        <v>451</v>
      </c>
      <c r="F85" s="3420"/>
      <c r="G85" s="3420"/>
      <c r="H85" s="3420"/>
      <c r="I85" s="114"/>
      <c r="J85" s="10" t="s">
        <v>411</v>
      </c>
    </row>
    <row r="86" spans="1:10" x14ac:dyDescent="0.15">
      <c r="A86" s="2"/>
      <c r="B86" s="78">
        <v>40313</v>
      </c>
      <c r="C86" s="82">
        <v>40621</v>
      </c>
      <c r="D86" s="110"/>
      <c r="E86" s="111"/>
      <c r="F86" s="115"/>
      <c r="G86" s="113"/>
      <c r="H86" s="114"/>
      <c r="I86" s="114"/>
      <c r="J86" s="10" t="s">
        <v>411</v>
      </c>
    </row>
    <row r="87" spans="1:10" x14ac:dyDescent="0.15">
      <c r="A87" s="2"/>
      <c r="B87" s="85">
        <v>40314</v>
      </c>
      <c r="C87" s="82">
        <v>40622</v>
      </c>
      <c r="D87" s="116"/>
      <c r="E87" s="111"/>
      <c r="F87" s="112"/>
      <c r="G87" s="117"/>
      <c r="H87" s="118"/>
      <c r="I87" s="118"/>
      <c r="J87" s="10" t="s">
        <v>411</v>
      </c>
    </row>
    <row r="88" spans="1:10" x14ac:dyDescent="0.15">
      <c r="A88" s="4">
        <f>A81+1</f>
        <v>13</v>
      </c>
      <c r="B88" s="78">
        <v>40315</v>
      </c>
      <c r="C88" s="79">
        <v>40623</v>
      </c>
      <c r="D88" s="119"/>
      <c r="E88" s="120"/>
      <c r="F88" s="121"/>
      <c r="G88" s="122"/>
      <c r="H88" s="123"/>
      <c r="I88" s="123"/>
      <c r="J88" s="10" t="s">
        <v>411</v>
      </c>
    </row>
    <row r="89" spans="1:10" x14ac:dyDescent="0.15">
      <c r="A89" s="11" t="s">
        <v>11</v>
      </c>
      <c r="B89" s="78">
        <v>40316</v>
      </c>
      <c r="C89" s="82">
        <v>40624</v>
      </c>
      <c r="D89" s="110"/>
      <c r="E89" s="111"/>
      <c r="F89" s="112"/>
      <c r="G89" s="113"/>
      <c r="H89" s="114"/>
      <c r="I89" s="114"/>
      <c r="J89" s="10" t="s">
        <v>411</v>
      </c>
    </row>
    <row r="90" spans="1:10" x14ac:dyDescent="0.15">
      <c r="A90" s="15">
        <f>SUM(G88:G94)</f>
        <v>10.16</v>
      </c>
      <c r="B90" s="78">
        <v>40317</v>
      </c>
      <c r="C90" s="82">
        <v>40625</v>
      </c>
      <c r="D90" s="110"/>
      <c r="E90" s="111"/>
      <c r="F90" s="115"/>
      <c r="G90" s="113"/>
      <c r="H90" s="114"/>
      <c r="I90" s="114"/>
      <c r="J90" s="10" t="s">
        <v>411</v>
      </c>
    </row>
    <row r="91" spans="1:10" x14ac:dyDescent="0.15">
      <c r="A91" s="2"/>
      <c r="B91" s="78">
        <v>40318</v>
      </c>
      <c r="C91" s="82">
        <v>40626</v>
      </c>
      <c r="D91" s="13"/>
      <c r="E91" s="54"/>
      <c r="F91" s="2"/>
      <c r="G91" s="83"/>
      <c r="H91" s="84"/>
      <c r="I91" s="84"/>
      <c r="J91" s="10" t="s">
        <v>411</v>
      </c>
    </row>
    <row r="92" spans="1:10" x14ac:dyDescent="0.15">
      <c r="A92" s="2"/>
      <c r="B92" s="78">
        <v>40319</v>
      </c>
      <c r="C92" s="82">
        <v>40627</v>
      </c>
      <c r="D92" s="13" t="s">
        <v>452</v>
      </c>
      <c r="E92" s="54">
        <v>4.1250000000000002E-2</v>
      </c>
      <c r="F92" s="12">
        <v>151</v>
      </c>
      <c r="G92" s="83">
        <v>10.16</v>
      </c>
      <c r="H92" s="84">
        <f>E92/G92</f>
        <v>4.0600393700787399E-3</v>
      </c>
      <c r="I92" s="84" t="s">
        <v>436</v>
      </c>
      <c r="J92" s="10" t="s">
        <v>411</v>
      </c>
    </row>
    <row r="93" spans="1:10" x14ac:dyDescent="0.15">
      <c r="A93" s="2"/>
      <c r="B93" s="78">
        <v>40320</v>
      </c>
      <c r="C93" s="82">
        <v>40628</v>
      </c>
      <c r="D93" s="13"/>
      <c r="E93" s="54"/>
      <c r="F93" s="12"/>
      <c r="G93" s="83"/>
      <c r="H93" s="84"/>
      <c r="I93" s="84"/>
      <c r="J93" s="10" t="s">
        <v>411</v>
      </c>
    </row>
    <row r="94" spans="1:10" x14ac:dyDescent="0.15">
      <c r="A94" s="2"/>
      <c r="B94" s="85">
        <v>40321</v>
      </c>
      <c r="C94" s="82">
        <v>40629</v>
      </c>
      <c r="D94" s="17"/>
      <c r="E94" s="54"/>
      <c r="F94" s="2"/>
      <c r="G94" s="86"/>
      <c r="H94" s="87"/>
      <c r="I94" s="87"/>
      <c r="J94" s="10" t="s">
        <v>411</v>
      </c>
    </row>
    <row r="95" spans="1:10" x14ac:dyDescent="0.15">
      <c r="A95" s="4">
        <f>A88+1</f>
        <v>14</v>
      </c>
      <c r="B95" s="78">
        <v>40322</v>
      </c>
      <c r="C95" s="79">
        <v>40630</v>
      </c>
      <c r="D95" s="8"/>
      <c r="E95" s="52"/>
      <c r="F95" s="7"/>
      <c r="G95" s="80"/>
      <c r="H95" s="81"/>
      <c r="I95" s="81"/>
      <c r="J95" s="10" t="s">
        <v>411</v>
      </c>
    </row>
    <row r="96" spans="1:10" x14ac:dyDescent="0.15">
      <c r="A96" s="11" t="s">
        <v>11</v>
      </c>
      <c r="B96" s="78">
        <v>40323</v>
      </c>
      <c r="C96" s="82">
        <v>40631</v>
      </c>
      <c r="D96" s="13" t="s">
        <v>450</v>
      </c>
      <c r="E96" s="54">
        <v>3.7581018518518521E-2</v>
      </c>
      <c r="F96" s="2">
        <v>159</v>
      </c>
      <c r="G96" s="83">
        <v>9.81</v>
      </c>
      <c r="H96" s="84">
        <f>E96/G96</f>
        <v>3.8308887378714087E-3</v>
      </c>
      <c r="I96" s="84" t="s">
        <v>436</v>
      </c>
      <c r="J96" s="10" t="s">
        <v>411</v>
      </c>
    </row>
    <row r="97" spans="1:10" x14ac:dyDescent="0.15">
      <c r="A97" s="15">
        <f>SUM(G95:G101)</f>
        <v>33.549999999999997</v>
      </c>
      <c r="B97" s="78">
        <v>40324</v>
      </c>
      <c r="C97" s="82">
        <v>40632</v>
      </c>
      <c r="D97" s="13"/>
      <c r="E97" s="54"/>
      <c r="F97" s="12"/>
      <c r="G97" s="83"/>
      <c r="H97" s="84"/>
      <c r="I97" s="84"/>
      <c r="J97" s="10" t="s">
        <v>411</v>
      </c>
    </row>
    <row r="98" spans="1:10" x14ac:dyDescent="0.15">
      <c r="A98" s="2"/>
      <c r="B98" s="78">
        <v>40325</v>
      </c>
      <c r="C98" s="82">
        <v>40633</v>
      </c>
      <c r="D98" s="13" t="s">
        <v>446</v>
      </c>
      <c r="E98" s="54">
        <v>4.1539351851851855E-2</v>
      </c>
      <c r="F98" s="2">
        <v>166</v>
      </c>
      <c r="G98" s="83">
        <v>11.62</v>
      </c>
      <c r="H98" s="84">
        <f>E98/G98</f>
        <v>3.5748151335500736E-3</v>
      </c>
      <c r="I98" s="84" t="s">
        <v>436</v>
      </c>
      <c r="J98" s="10" t="s">
        <v>411</v>
      </c>
    </row>
    <row r="99" spans="1:10" x14ac:dyDescent="0.15">
      <c r="A99" s="2"/>
      <c r="B99" s="78">
        <v>40326</v>
      </c>
      <c r="C99" s="82">
        <v>40634</v>
      </c>
      <c r="D99" s="13"/>
      <c r="E99" s="54"/>
      <c r="F99" s="12"/>
      <c r="G99" s="83"/>
      <c r="H99" s="84"/>
      <c r="I99" s="84"/>
      <c r="J99" s="10" t="s">
        <v>411</v>
      </c>
    </row>
    <row r="100" spans="1:10" x14ac:dyDescent="0.15">
      <c r="A100" s="2"/>
      <c r="B100" s="78">
        <v>40327</v>
      </c>
      <c r="C100" s="82">
        <v>40635</v>
      </c>
      <c r="D100" s="13" t="s">
        <v>452</v>
      </c>
      <c r="E100" s="54">
        <v>4.6886574074074074E-2</v>
      </c>
      <c r="F100" s="12">
        <v>159</v>
      </c>
      <c r="G100" s="83">
        <v>12.12</v>
      </c>
      <c r="H100" s="84">
        <f>E100/G100</f>
        <v>3.8685292140325147E-3</v>
      </c>
      <c r="I100" s="84" t="s">
        <v>453</v>
      </c>
      <c r="J100" s="10" t="s">
        <v>411</v>
      </c>
    </row>
    <row r="101" spans="1:10" x14ac:dyDescent="0.15">
      <c r="A101" s="2"/>
      <c r="B101" s="85">
        <v>40328</v>
      </c>
      <c r="C101" s="82">
        <v>40636</v>
      </c>
      <c r="D101" s="17"/>
      <c r="E101" s="54"/>
      <c r="F101" s="2"/>
      <c r="G101" s="86"/>
      <c r="H101" s="87"/>
      <c r="I101" s="87"/>
      <c r="J101" s="10" t="s">
        <v>411</v>
      </c>
    </row>
    <row r="102" spans="1:10" x14ac:dyDescent="0.15">
      <c r="A102" s="4">
        <f>A95+1</f>
        <v>15</v>
      </c>
      <c r="B102" s="78">
        <v>40329</v>
      </c>
      <c r="C102" s="79">
        <v>40637</v>
      </c>
      <c r="D102" s="8"/>
      <c r="E102" s="52"/>
      <c r="F102" s="7"/>
      <c r="G102" s="80"/>
      <c r="H102" s="81"/>
      <c r="I102" s="81"/>
      <c r="J102" s="10" t="s">
        <v>411</v>
      </c>
    </row>
    <row r="103" spans="1:10" x14ac:dyDescent="0.15">
      <c r="A103" s="11" t="s">
        <v>11</v>
      </c>
      <c r="B103" s="78">
        <v>40330</v>
      </c>
      <c r="C103" s="82">
        <v>40638</v>
      </c>
      <c r="D103" s="13" t="s">
        <v>452</v>
      </c>
      <c r="E103" s="54">
        <v>4.8055555555555553E-2</v>
      </c>
      <c r="F103" s="2">
        <v>164</v>
      </c>
      <c r="G103" s="83">
        <v>12.7</v>
      </c>
      <c r="H103" s="84">
        <f>E103/G103</f>
        <v>3.7839020122484687E-3</v>
      </c>
      <c r="I103" s="84" t="s">
        <v>453</v>
      </c>
      <c r="J103" s="10" t="s">
        <v>411</v>
      </c>
    </row>
    <row r="104" spans="1:10" x14ac:dyDescent="0.15">
      <c r="A104" s="15">
        <f>SUM(G102:G108)</f>
        <v>36.909999999999997</v>
      </c>
      <c r="B104" s="78">
        <v>40331</v>
      </c>
      <c r="C104" s="82">
        <v>40639</v>
      </c>
      <c r="D104" s="13"/>
      <c r="E104" s="54"/>
      <c r="F104" s="12"/>
      <c r="G104" s="83"/>
      <c r="H104" s="84"/>
      <c r="I104" s="84"/>
      <c r="J104" s="10" t="s">
        <v>411</v>
      </c>
    </row>
    <row r="105" spans="1:10" x14ac:dyDescent="0.15">
      <c r="A105" s="2"/>
      <c r="B105" s="78">
        <v>40332</v>
      </c>
      <c r="C105" s="82">
        <v>40640</v>
      </c>
      <c r="D105" s="13" t="s">
        <v>450</v>
      </c>
      <c r="E105" s="54">
        <v>5.7118055555555554E-2</v>
      </c>
      <c r="F105" s="2">
        <v>160</v>
      </c>
      <c r="G105" s="83">
        <v>14.28</v>
      </c>
      <c r="H105" s="84">
        <f>E105/G105</f>
        <v>3.9998638344226579E-3</v>
      </c>
      <c r="I105" s="84" t="s">
        <v>453</v>
      </c>
      <c r="J105" s="10" t="s">
        <v>411</v>
      </c>
    </row>
    <row r="106" spans="1:10" x14ac:dyDescent="0.15">
      <c r="A106" s="2"/>
      <c r="B106" s="78">
        <v>40333</v>
      </c>
      <c r="C106" s="82">
        <v>40641</v>
      </c>
      <c r="D106" s="13"/>
      <c r="E106" s="54"/>
      <c r="F106" s="12"/>
      <c r="G106" s="83"/>
      <c r="H106" s="84"/>
      <c r="I106" s="84"/>
      <c r="J106" s="10" t="s">
        <v>411</v>
      </c>
    </row>
    <row r="107" spans="1:10" x14ac:dyDescent="0.15">
      <c r="A107" s="2"/>
      <c r="B107" s="78">
        <v>40334</v>
      </c>
      <c r="C107" s="82">
        <v>40642</v>
      </c>
      <c r="D107" s="13"/>
      <c r="E107" s="54"/>
      <c r="F107" s="12"/>
      <c r="G107" s="83"/>
      <c r="H107" s="84"/>
      <c r="I107" s="84"/>
      <c r="J107" s="10" t="s">
        <v>411</v>
      </c>
    </row>
    <row r="108" spans="1:10" x14ac:dyDescent="0.15">
      <c r="A108" s="2"/>
      <c r="B108" s="85">
        <v>40335</v>
      </c>
      <c r="C108" s="82">
        <v>40643</v>
      </c>
      <c r="D108" s="17" t="s">
        <v>446</v>
      </c>
      <c r="E108" s="54">
        <v>3.4606481481481481E-2</v>
      </c>
      <c r="F108" s="2">
        <v>165</v>
      </c>
      <c r="G108" s="86">
        <v>9.93</v>
      </c>
      <c r="H108" s="84">
        <f>E108/G108</f>
        <v>3.4850434523143485E-3</v>
      </c>
      <c r="I108" s="87" t="s">
        <v>436</v>
      </c>
      <c r="J108" s="10" t="s">
        <v>411</v>
      </c>
    </row>
    <row r="109" spans="1:10" x14ac:dyDescent="0.15">
      <c r="A109" s="4">
        <f>A102+1</f>
        <v>16</v>
      </c>
      <c r="B109" s="78">
        <v>40336</v>
      </c>
      <c r="C109" s="79">
        <v>40644</v>
      </c>
      <c r="D109" s="8"/>
      <c r="E109" s="52"/>
      <c r="F109" s="7"/>
      <c r="G109" s="80"/>
      <c r="H109" s="81"/>
      <c r="I109" s="81"/>
      <c r="J109" s="10" t="s">
        <v>411</v>
      </c>
    </row>
    <row r="110" spans="1:10" x14ac:dyDescent="0.15">
      <c r="A110" s="11" t="s">
        <v>11</v>
      </c>
      <c r="B110" s="78">
        <v>40337</v>
      </c>
      <c r="C110" s="82">
        <v>40645</v>
      </c>
      <c r="D110" s="13" t="s">
        <v>452</v>
      </c>
      <c r="E110" s="54">
        <v>5.0694444444444445E-2</v>
      </c>
      <c r="F110" s="2">
        <v>149</v>
      </c>
      <c r="G110" s="83">
        <v>12.43</v>
      </c>
      <c r="H110" s="84">
        <f>E110/G110</f>
        <v>4.0783945651202292E-3</v>
      </c>
      <c r="I110" s="84" t="s">
        <v>436</v>
      </c>
      <c r="J110" s="10" t="s">
        <v>411</v>
      </c>
    </row>
    <row r="111" spans="1:10" x14ac:dyDescent="0.15">
      <c r="A111" s="15">
        <f>SUM(G109:G115)</f>
        <v>62.06</v>
      </c>
      <c r="B111" s="78">
        <v>40338</v>
      </c>
      <c r="C111" s="82">
        <v>40646</v>
      </c>
      <c r="D111" s="13"/>
      <c r="E111" s="54"/>
      <c r="F111" s="12"/>
      <c r="G111" s="83"/>
      <c r="H111" s="84"/>
      <c r="I111" s="84"/>
      <c r="J111" s="10" t="s">
        <v>411</v>
      </c>
    </row>
    <row r="112" spans="1:10" x14ac:dyDescent="0.15">
      <c r="A112" s="2"/>
      <c r="B112" s="78">
        <v>40339</v>
      </c>
      <c r="C112" s="82">
        <v>40647</v>
      </c>
      <c r="D112" s="13" t="s">
        <v>450</v>
      </c>
      <c r="E112" s="54">
        <v>3.6238425925925924E-2</v>
      </c>
      <c r="F112" s="2">
        <v>152</v>
      </c>
      <c r="G112" s="83">
        <v>10.02</v>
      </c>
      <c r="H112" s="84">
        <f>E112/G112</f>
        <v>3.6166093738449027E-3</v>
      </c>
      <c r="I112" s="84" t="s">
        <v>434</v>
      </c>
      <c r="J112" s="10" t="s">
        <v>411</v>
      </c>
    </row>
    <row r="113" spans="1:10" x14ac:dyDescent="0.15">
      <c r="A113" s="2"/>
      <c r="B113" s="78">
        <v>40340</v>
      </c>
      <c r="C113" s="82">
        <v>40648</v>
      </c>
      <c r="D113" s="13" t="s">
        <v>446</v>
      </c>
      <c r="E113" s="54">
        <v>3.9155092592592596E-2</v>
      </c>
      <c r="F113" s="12">
        <v>165</v>
      </c>
      <c r="G113" s="83">
        <v>11.58</v>
      </c>
      <c r="H113" s="84">
        <f>E113/G113</f>
        <v>3.381268790379326E-3</v>
      </c>
      <c r="I113" s="84" t="s">
        <v>436</v>
      </c>
      <c r="J113" s="10" t="s">
        <v>411</v>
      </c>
    </row>
    <row r="114" spans="1:10" x14ac:dyDescent="0.15">
      <c r="A114" s="2"/>
      <c r="B114" s="78">
        <v>40341</v>
      </c>
      <c r="C114" s="82">
        <v>40649</v>
      </c>
      <c r="D114" s="13" t="s">
        <v>450</v>
      </c>
      <c r="E114" s="54">
        <v>3.6354166666666667E-2</v>
      </c>
      <c r="F114" s="12">
        <v>156</v>
      </c>
      <c r="G114" s="83">
        <v>9.61</v>
      </c>
      <c r="H114" s="84">
        <f>E114/G114</f>
        <v>3.7829517863336806E-3</v>
      </c>
      <c r="I114" s="84" t="s">
        <v>436</v>
      </c>
      <c r="J114" s="10" t="s">
        <v>411</v>
      </c>
    </row>
    <row r="115" spans="1:10" x14ac:dyDescent="0.15">
      <c r="A115" s="2"/>
      <c r="B115" s="85">
        <v>40342</v>
      </c>
      <c r="C115" s="82">
        <v>40650</v>
      </c>
      <c r="D115" s="17" t="s">
        <v>452</v>
      </c>
      <c r="E115" s="54">
        <v>7.4108796296296284E-2</v>
      </c>
      <c r="F115" s="2">
        <v>143</v>
      </c>
      <c r="G115" s="86">
        <v>18.420000000000002</v>
      </c>
      <c r="H115" s="84">
        <f>E115/G115</f>
        <v>4.0232788434471376E-3</v>
      </c>
      <c r="I115" s="87" t="s">
        <v>434</v>
      </c>
      <c r="J115" s="10" t="s">
        <v>411</v>
      </c>
    </row>
    <row r="116" spans="1:10" x14ac:dyDescent="0.15">
      <c r="A116" s="4">
        <f>A109+1</f>
        <v>17</v>
      </c>
      <c r="B116" s="78">
        <v>40343</v>
      </c>
      <c r="C116" s="79">
        <v>40651</v>
      </c>
      <c r="D116" s="8"/>
      <c r="E116" s="52"/>
      <c r="F116" s="7"/>
      <c r="G116" s="80"/>
      <c r="H116" s="81"/>
      <c r="I116" s="81"/>
      <c r="J116" s="10" t="s">
        <v>411</v>
      </c>
    </row>
    <row r="117" spans="1:10" x14ac:dyDescent="0.15">
      <c r="A117" s="11" t="s">
        <v>11</v>
      </c>
      <c r="B117" s="78">
        <v>40344</v>
      </c>
      <c r="C117" s="82">
        <v>40652</v>
      </c>
      <c r="D117" s="13" t="s">
        <v>446</v>
      </c>
      <c r="E117" s="54">
        <v>4.1099537037037039E-2</v>
      </c>
      <c r="F117" s="2">
        <v>159</v>
      </c>
      <c r="G117" s="83">
        <v>12.19</v>
      </c>
      <c r="H117" s="84">
        <f>E117/G117</f>
        <v>3.3715780998389696E-3</v>
      </c>
      <c r="I117" s="84" t="s">
        <v>453</v>
      </c>
      <c r="J117" s="10" t="s">
        <v>411</v>
      </c>
    </row>
    <row r="118" spans="1:10" x14ac:dyDescent="0.15">
      <c r="A118" s="15">
        <f>SUM(G116:G122)</f>
        <v>22.439999999999998</v>
      </c>
      <c r="B118" s="78">
        <v>40345</v>
      </c>
      <c r="C118" s="82">
        <v>40653</v>
      </c>
      <c r="D118" s="13"/>
      <c r="E118" s="54"/>
      <c r="F118" s="12"/>
      <c r="G118" s="83"/>
      <c r="H118" s="84"/>
      <c r="I118" s="84"/>
      <c r="J118" s="10" t="s">
        <v>411</v>
      </c>
    </row>
    <row r="119" spans="1:10" x14ac:dyDescent="0.15">
      <c r="A119" s="2"/>
      <c r="B119" s="78">
        <v>40346</v>
      </c>
      <c r="C119" s="82">
        <v>40654</v>
      </c>
      <c r="D119" s="13"/>
      <c r="E119" s="54"/>
      <c r="F119" s="2"/>
      <c r="G119" s="83"/>
      <c r="H119" s="84"/>
      <c r="I119" s="84"/>
      <c r="J119" s="10" t="s">
        <v>411</v>
      </c>
    </row>
    <row r="120" spans="1:10" x14ac:dyDescent="0.15">
      <c r="A120" s="2"/>
      <c r="B120" s="78">
        <v>40347</v>
      </c>
      <c r="C120" s="82">
        <v>40655</v>
      </c>
      <c r="D120" s="13" t="s">
        <v>450</v>
      </c>
      <c r="E120" s="54">
        <v>3.7361111111111109E-2</v>
      </c>
      <c r="F120" s="12">
        <v>155</v>
      </c>
      <c r="G120" s="83">
        <v>10.25</v>
      </c>
      <c r="H120" s="84">
        <f>E120/G120</f>
        <v>3.6449864498644983E-3</v>
      </c>
      <c r="I120" s="84" t="s">
        <v>436</v>
      </c>
      <c r="J120" s="10" t="s">
        <v>411</v>
      </c>
    </row>
    <row r="121" spans="1:10" x14ac:dyDescent="0.15">
      <c r="A121" s="2"/>
      <c r="B121" s="78">
        <v>40348</v>
      </c>
      <c r="C121" s="82">
        <v>40656</v>
      </c>
      <c r="D121" s="13"/>
      <c r="E121" s="54"/>
      <c r="F121" s="12"/>
      <c r="G121" s="83"/>
      <c r="H121" s="84"/>
      <c r="I121" s="84"/>
      <c r="J121" s="10" t="s">
        <v>411</v>
      </c>
    </row>
    <row r="122" spans="1:10" x14ac:dyDescent="0.15">
      <c r="A122" s="2"/>
      <c r="B122" s="85">
        <v>40349</v>
      </c>
      <c r="C122" s="82">
        <v>40657</v>
      </c>
      <c r="D122" s="17"/>
      <c r="E122" s="54"/>
      <c r="F122" s="2"/>
      <c r="G122" s="86"/>
      <c r="H122" s="87"/>
      <c r="I122" s="87"/>
      <c r="J122" s="10" t="s">
        <v>411</v>
      </c>
    </row>
    <row r="123" spans="1:10" x14ac:dyDescent="0.15">
      <c r="A123" s="4">
        <f>A116+1</f>
        <v>18</v>
      </c>
      <c r="B123" s="78">
        <v>40350</v>
      </c>
      <c r="C123" s="79">
        <v>40658</v>
      </c>
      <c r="D123" s="8"/>
      <c r="E123" s="52"/>
      <c r="F123" s="7"/>
      <c r="G123" s="80"/>
      <c r="H123" s="81"/>
      <c r="I123" s="81"/>
      <c r="J123" s="10" t="s">
        <v>411</v>
      </c>
    </row>
    <row r="124" spans="1:10" x14ac:dyDescent="0.15">
      <c r="A124" s="11" t="s">
        <v>11</v>
      </c>
      <c r="B124" s="78">
        <v>40351</v>
      </c>
      <c r="C124" s="82">
        <v>40659</v>
      </c>
      <c r="D124" s="13" t="s">
        <v>452</v>
      </c>
      <c r="E124" s="54">
        <v>5.6087962962962958E-2</v>
      </c>
      <c r="F124" s="2">
        <v>152</v>
      </c>
      <c r="G124" s="83">
        <v>14.52</v>
      </c>
      <c r="H124" s="84">
        <f>E124/G124</f>
        <v>3.8628073665952453E-3</v>
      </c>
      <c r="I124" s="84" t="s">
        <v>453</v>
      </c>
      <c r="J124" s="10" t="s">
        <v>411</v>
      </c>
    </row>
    <row r="125" spans="1:10" x14ac:dyDescent="0.15">
      <c r="A125" s="15">
        <f>SUM(G123:G129)</f>
        <v>41.849999999999994</v>
      </c>
      <c r="B125" s="78">
        <v>40352</v>
      </c>
      <c r="C125" s="82">
        <v>40660</v>
      </c>
      <c r="D125" s="13"/>
      <c r="E125" s="54"/>
      <c r="F125" s="12"/>
      <c r="G125" s="83"/>
      <c r="H125" s="84"/>
      <c r="I125" s="84"/>
      <c r="J125" s="10" t="s">
        <v>411</v>
      </c>
    </row>
    <row r="126" spans="1:10" x14ac:dyDescent="0.15">
      <c r="A126" s="2"/>
      <c r="B126" s="78">
        <v>40353</v>
      </c>
      <c r="C126" s="82">
        <v>40661</v>
      </c>
      <c r="D126" s="13"/>
      <c r="E126" s="54"/>
      <c r="F126" s="2"/>
      <c r="G126" s="83"/>
      <c r="H126" s="84"/>
      <c r="I126" s="84"/>
      <c r="J126" s="10" t="s">
        <v>411</v>
      </c>
    </row>
    <row r="127" spans="1:10" x14ac:dyDescent="0.15">
      <c r="A127" s="2"/>
      <c r="B127" s="78">
        <v>40354</v>
      </c>
      <c r="C127" s="82">
        <v>40662</v>
      </c>
      <c r="D127" s="13" t="s">
        <v>448</v>
      </c>
      <c r="E127" s="54">
        <v>1.8032407407407407E-2</v>
      </c>
      <c r="F127" s="12">
        <v>162</v>
      </c>
      <c r="G127" s="83">
        <v>6</v>
      </c>
      <c r="H127" s="84">
        <f>E127/G127</f>
        <v>3.0054012345679011E-3</v>
      </c>
      <c r="I127" s="84" t="s">
        <v>436</v>
      </c>
      <c r="J127" s="10" t="s">
        <v>411</v>
      </c>
    </row>
    <row r="128" spans="1:10" x14ac:dyDescent="0.15">
      <c r="A128" s="2"/>
      <c r="B128" s="78">
        <v>40355</v>
      </c>
      <c r="C128" s="82">
        <v>40663</v>
      </c>
      <c r="D128" s="13"/>
      <c r="E128" s="54"/>
      <c r="F128" s="12"/>
      <c r="G128" s="83"/>
      <c r="H128" s="84"/>
      <c r="I128" s="84"/>
      <c r="J128" s="10" t="s">
        <v>411</v>
      </c>
    </row>
    <row r="129" spans="1:10" x14ac:dyDescent="0.15">
      <c r="A129" s="2"/>
      <c r="B129" s="85">
        <v>40356</v>
      </c>
      <c r="C129" s="82">
        <v>40664</v>
      </c>
      <c r="D129" s="17" t="s">
        <v>452</v>
      </c>
      <c r="E129" s="54">
        <v>8.4675925925925918E-2</v>
      </c>
      <c r="F129" s="2">
        <v>146</v>
      </c>
      <c r="G129" s="86">
        <v>21.33</v>
      </c>
      <c r="H129" s="84">
        <f>E129/G129</f>
        <v>3.9698043097011687E-3</v>
      </c>
      <c r="I129" s="87" t="s">
        <v>453</v>
      </c>
      <c r="J129" s="10" t="s">
        <v>411</v>
      </c>
    </row>
    <row r="130" spans="1:10" x14ac:dyDescent="0.15">
      <c r="A130" s="4">
        <f>A123+1</f>
        <v>19</v>
      </c>
      <c r="B130" s="78">
        <v>40357</v>
      </c>
      <c r="C130" s="79">
        <v>40665</v>
      </c>
      <c r="D130" s="8"/>
      <c r="E130" s="52"/>
      <c r="F130" s="7"/>
      <c r="G130" s="80"/>
      <c r="H130" s="81"/>
      <c r="I130" s="81"/>
      <c r="J130" s="10" t="s">
        <v>411</v>
      </c>
    </row>
    <row r="131" spans="1:10" x14ac:dyDescent="0.15">
      <c r="A131" s="11" t="s">
        <v>11</v>
      </c>
      <c r="B131" s="78">
        <v>40358</v>
      </c>
      <c r="C131" s="82">
        <v>40666</v>
      </c>
      <c r="D131" s="13" t="s">
        <v>450</v>
      </c>
      <c r="E131" s="54">
        <v>4.5057870370370366E-2</v>
      </c>
      <c r="F131" s="2">
        <v>156</v>
      </c>
      <c r="G131" s="83">
        <v>12.01</v>
      </c>
      <c r="H131" s="84">
        <f>E131/G131</f>
        <v>3.7516961174330031E-3</v>
      </c>
      <c r="I131" s="84" t="s">
        <v>436</v>
      </c>
      <c r="J131" s="10" t="s">
        <v>411</v>
      </c>
    </row>
    <row r="132" spans="1:10" x14ac:dyDescent="0.15">
      <c r="A132" s="15">
        <f>SUM(G130:G136)</f>
        <v>43.36</v>
      </c>
      <c r="B132" s="78">
        <v>40359</v>
      </c>
      <c r="C132" s="82">
        <v>40667</v>
      </c>
      <c r="D132" s="13"/>
      <c r="E132" s="54"/>
      <c r="F132" s="12"/>
      <c r="G132" s="83"/>
      <c r="H132" s="84"/>
      <c r="I132" s="84"/>
      <c r="J132" s="10" t="s">
        <v>411</v>
      </c>
    </row>
    <row r="133" spans="1:10" x14ac:dyDescent="0.15">
      <c r="A133" s="2"/>
      <c r="B133" s="78">
        <v>40360</v>
      </c>
      <c r="C133" s="82">
        <v>40668</v>
      </c>
      <c r="D133" s="13" t="s">
        <v>446</v>
      </c>
      <c r="E133" s="54">
        <v>4.0879629629629634E-2</v>
      </c>
      <c r="F133" s="2">
        <v>162</v>
      </c>
      <c r="G133" s="83">
        <v>12.01</v>
      </c>
      <c r="H133" s="84">
        <f>E133/G133</f>
        <v>3.4037993030499279E-3</v>
      </c>
      <c r="I133" s="84" t="s">
        <v>436</v>
      </c>
      <c r="J133" s="10" t="s">
        <v>411</v>
      </c>
    </row>
    <row r="134" spans="1:10" x14ac:dyDescent="0.15">
      <c r="A134" s="2"/>
      <c r="B134" s="78">
        <v>40361</v>
      </c>
      <c r="C134" s="82">
        <v>40669</v>
      </c>
      <c r="D134" s="13"/>
      <c r="E134" s="54"/>
      <c r="F134" s="12"/>
      <c r="G134" s="83"/>
      <c r="H134" s="84"/>
      <c r="I134" s="84"/>
      <c r="J134" s="10" t="s">
        <v>411</v>
      </c>
    </row>
    <row r="135" spans="1:10" x14ac:dyDescent="0.15">
      <c r="A135" s="2"/>
      <c r="B135" s="78">
        <v>40362</v>
      </c>
      <c r="C135" s="82">
        <v>40670</v>
      </c>
      <c r="D135" s="22"/>
      <c r="E135" s="54"/>
      <c r="F135" s="12"/>
      <c r="G135" s="83"/>
      <c r="H135" s="84"/>
      <c r="I135" s="84"/>
      <c r="J135" s="10" t="s">
        <v>411</v>
      </c>
    </row>
    <row r="136" spans="1:10" x14ac:dyDescent="0.15">
      <c r="A136" s="2"/>
      <c r="B136" s="85">
        <v>40363</v>
      </c>
      <c r="C136" s="82">
        <v>40671</v>
      </c>
      <c r="D136" s="17" t="s">
        <v>452</v>
      </c>
      <c r="E136" s="54">
        <v>7.1608796296296295E-2</v>
      </c>
      <c r="F136" s="2">
        <v>155</v>
      </c>
      <c r="G136" s="86">
        <v>19.34</v>
      </c>
      <c r="H136" s="84">
        <f>E136/G136</f>
        <v>3.7026264889501704E-3</v>
      </c>
      <c r="I136" s="87" t="s">
        <v>434</v>
      </c>
      <c r="J136" s="10" t="s">
        <v>411</v>
      </c>
    </row>
    <row r="137" spans="1:10" x14ac:dyDescent="0.15">
      <c r="A137" s="4">
        <f>A130+1</f>
        <v>20</v>
      </c>
      <c r="B137" s="78">
        <v>40364</v>
      </c>
      <c r="C137" s="79">
        <v>40672</v>
      </c>
      <c r="D137" s="8"/>
      <c r="E137" s="52"/>
      <c r="F137" s="7"/>
      <c r="G137" s="80"/>
      <c r="H137" s="81"/>
      <c r="I137" s="81"/>
      <c r="J137" s="10" t="s">
        <v>411</v>
      </c>
    </row>
    <row r="138" spans="1:10" x14ac:dyDescent="0.15">
      <c r="A138" s="11" t="s">
        <v>11</v>
      </c>
      <c r="B138" s="78">
        <v>40365</v>
      </c>
      <c r="C138" s="82">
        <v>40673</v>
      </c>
      <c r="D138" s="13" t="s">
        <v>450</v>
      </c>
      <c r="E138" s="54">
        <v>3.8356481481481484E-2</v>
      </c>
      <c r="F138" s="2" t="s">
        <v>437</v>
      </c>
      <c r="G138" s="83">
        <v>6.66</v>
      </c>
      <c r="H138" s="84">
        <f>E138/G138</f>
        <v>5.7592314536758981E-3</v>
      </c>
      <c r="I138" s="84" t="s">
        <v>453</v>
      </c>
      <c r="J138" s="10" t="s">
        <v>411</v>
      </c>
    </row>
    <row r="139" spans="1:10" x14ac:dyDescent="0.15">
      <c r="A139" s="15">
        <f>SUM(G137:G143)</f>
        <v>46.769999999999996</v>
      </c>
      <c r="B139" s="78">
        <v>40366</v>
      </c>
      <c r="C139" s="82">
        <v>40674</v>
      </c>
      <c r="D139" s="13" t="s">
        <v>448</v>
      </c>
      <c r="E139" s="54">
        <v>2.1990740740740741E-2</v>
      </c>
      <c r="F139" s="12">
        <v>154</v>
      </c>
      <c r="G139" s="83">
        <v>6.46</v>
      </c>
      <c r="H139" s="84">
        <f>E139/G139</f>
        <v>3.4041394335511985E-3</v>
      </c>
      <c r="I139" s="84" t="s">
        <v>436</v>
      </c>
      <c r="J139" s="10" t="s">
        <v>411</v>
      </c>
    </row>
    <row r="140" spans="1:10" x14ac:dyDescent="0.15">
      <c r="A140" s="2"/>
      <c r="B140" s="78">
        <v>40367</v>
      </c>
      <c r="C140" s="82">
        <v>40675</v>
      </c>
      <c r="D140" s="13"/>
      <c r="E140" s="54"/>
      <c r="F140" s="2"/>
      <c r="G140" s="83"/>
      <c r="H140" s="84"/>
      <c r="I140" s="84"/>
      <c r="J140" s="10" t="s">
        <v>411</v>
      </c>
    </row>
    <row r="141" spans="1:10" x14ac:dyDescent="0.15">
      <c r="A141" s="2"/>
      <c r="B141" s="78">
        <v>40368</v>
      </c>
      <c r="C141" s="82">
        <v>40676</v>
      </c>
      <c r="D141" s="13" t="s">
        <v>446</v>
      </c>
      <c r="E141" s="54">
        <v>4.0138888888888884E-2</v>
      </c>
      <c r="F141" s="12">
        <v>161</v>
      </c>
      <c r="G141" s="83">
        <v>12</v>
      </c>
      <c r="H141" s="84">
        <f>E141/G141</f>
        <v>3.3449074074074071E-3</v>
      </c>
      <c r="I141" s="84" t="s">
        <v>436</v>
      </c>
      <c r="J141" s="10" t="s">
        <v>411</v>
      </c>
    </row>
    <row r="142" spans="1:10" x14ac:dyDescent="0.15">
      <c r="A142" s="2"/>
      <c r="B142" s="78">
        <v>40369</v>
      </c>
      <c r="C142" s="82">
        <v>40677</v>
      </c>
      <c r="D142" s="22"/>
      <c r="E142" s="54"/>
      <c r="F142" s="12"/>
      <c r="G142" s="83"/>
      <c r="H142" s="84"/>
      <c r="I142" s="84"/>
      <c r="J142" s="10" t="s">
        <v>411</v>
      </c>
    </row>
    <row r="143" spans="1:10" x14ac:dyDescent="0.15">
      <c r="A143" s="2"/>
      <c r="B143" s="85">
        <v>40370</v>
      </c>
      <c r="C143" s="82">
        <v>40678</v>
      </c>
      <c r="D143" s="17" t="s">
        <v>452</v>
      </c>
      <c r="E143" s="54">
        <v>8.7094907407407399E-2</v>
      </c>
      <c r="F143" s="2">
        <v>149</v>
      </c>
      <c r="G143" s="86">
        <v>21.65</v>
      </c>
      <c r="H143" s="87">
        <f>E143/G143</f>
        <v>4.0228594645453763E-3</v>
      </c>
      <c r="I143" s="87" t="s">
        <v>453</v>
      </c>
      <c r="J143" s="10" t="s">
        <v>411</v>
      </c>
    </row>
    <row r="144" spans="1:10" x14ac:dyDescent="0.15">
      <c r="A144" s="4">
        <f>A137+1</f>
        <v>21</v>
      </c>
      <c r="B144" s="78">
        <v>40371</v>
      </c>
      <c r="C144" s="79">
        <v>40679</v>
      </c>
      <c r="D144" s="8"/>
      <c r="E144" s="52"/>
      <c r="F144" s="7"/>
      <c r="G144" s="80"/>
      <c r="H144" s="81"/>
      <c r="I144" s="81"/>
      <c r="J144" s="10" t="s">
        <v>411</v>
      </c>
    </row>
    <row r="145" spans="1:10" x14ac:dyDescent="0.15">
      <c r="A145" s="11" t="s">
        <v>11</v>
      </c>
      <c r="B145" s="78">
        <v>40372</v>
      </c>
      <c r="C145" s="82">
        <v>40680</v>
      </c>
      <c r="D145" s="13"/>
      <c r="E145" s="54"/>
      <c r="F145" s="2"/>
      <c r="G145" s="83"/>
      <c r="H145" s="84"/>
      <c r="I145" s="84"/>
      <c r="J145" s="10" t="s">
        <v>411</v>
      </c>
    </row>
    <row r="146" spans="1:10" x14ac:dyDescent="0.15">
      <c r="A146" s="15">
        <f>SUM(G144:G150)</f>
        <v>21.97</v>
      </c>
      <c r="B146" s="78">
        <v>40373</v>
      </c>
      <c r="C146" s="82">
        <v>40681</v>
      </c>
      <c r="D146" s="13" t="s">
        <v>450</v>
      </c>
      <c r="E146" s="54">
        <v>3.3078703703703707E-2</v>
      </c>
      <c r="F146" s="12">
        <v>161</v>
      </c>
      <c r="G146" s="83">
        <v>9.9</v>
      </c>
      <c r="H146" s="84">
        <f>E146/G146</f>
        <v>3.3412832023943136E-3</v>
      </c>
      <c r="I146" s="84" t="s">
        <v>436</v>
      </c>
      <c r="J146" s="10" t="s">
        <v>411</v>
      </c>
    </row>
    <row r="147" spans="1:10" x14ac:dyDescent="0.15">
      <c r="A147" s="2"/>
      <c r="B147" s="78">
        <v>40374</v>
      </c>
      <c r="C147" s="82">
        <v>40682</v>
      </c>
      <c r="D147" s="13"/>
      <c r="E147" s="54"/>
      <c r="F147" s="2"/>
      <c r="G147" s="83"/>
      <c r="H147" s="84"/>
      <c r="I147" s="84"/>
      <c r="J147" s="10" t="s">
        <v>411</v>
      </c>
    </row>
    <row r="148" spans="1:10" x14ac:dyDescent="0.15">
      <c r="A148" s="2"/>
      <c r="B148" s="78">
        <v>40375</v>
      </c>
      <c r="C148" s="82">
        <v>40683</v>
      </c>
      <c r="D148" s="13" t="s">
        <v>452</v>
      </c>
      <c r="E148" s="54">
        <v>5.1736111111111108E-2</v>
      </c>
      <c r="F148" s="12">
        <v>139</v>
      </c>
      <c r="G148" s="83">
        <v>12.07</v>
      </c>
      <c r="H148" s="84">
        <f>E148/G148</f>
        <v>4.2863389487250297E-3</v>
      </c>
      <c r="I148" s="84" t="s">
        <v>434</v>
      </c>
      <c r="J148" s="10" t="s">
        <v>411</v>
      </c>
    </row>
    <row r="149" spans="1:10" x14ac:dyDescent="0.15">
      <c r="A149" s="2"/>
      <c r="B149" s="78">
        <v>40376</v>
      </c>
      <c r="C149" s="82">
        <v>40684</v>
      </c>
      <c r="D149" s="22"/>
      <c r="E149" s="54"/>
      <c r="F149" s="12"/>
      <c r="G149" s="83"/>
      <c r="H149" s="84"/>
      <c r="I149" s="84"/>
      <c r="J149" s="10" t="s">
        <v>411</v>
      </c>
    </row>
    <row r="150" spans="1:10" x14ac:dyDescent="0.15">
      <c r="A150" s="2"/>
      <c r="B150" s="85">
        <v>40377</v>
      </c>
      <c r="C150" s="82">
        <v>40685</v>
      </c>
      <c r="D150" s="17"/>
      <c r="E150" s="54"/>
      <c r="F150" s="2"/>
      <c r="G150" s="86"/>
      <c r="H150" s="87"/>
      <c r="I150" s="87"/>
      <c r="J150" s="10" t="s">
        <v>411</v>
      </c>
    </row>
    <row r="151" spans="1:10" x14ac:dyDescent="0.15">
      <c r="A151" s="4">
        <f>A144+1</f>
        <v>22</v>
      </c>
      <c r="B151" s="78">
        <v>40378</v>
      </c>
      <c r="C151" s="79">
        <v>40686</v>
      </c>
      <c r="D151" s="8" t="s">
        <v>158</v>
      </c>
      <c r="E151" s="52">
        <v>2.6990740740740742E-2</v>
      </c>
      <c r="F151" s="7">
        <v>162</v>
      </c>
      <c r="G151" s="80">
        <v>8.0299999999999994</v>
      </c>
      <c r="H151" s="81">
        <f>E151/G151</f>
        <v>3.3612379502790464E-3</v>
      </c>
      <c r="I151" s="81" t="s">
        <v>436</v>
      </c>
      <c r="J151" s="10" t="s">
        <v>411</v>
      </c>
    </row>
    <row r="152" spans="1:10" x14ac:dyDescent="0.15">
      <c r="A152" s="11" t="s">
        <v>11</v>
      </c>
      <c r="B152" s="78">
        <v>40379</v>
      </c>
      <c r="C152" s="82">
        <v>40687</v>
      </c>
      <c r="D152" s="13"/>
      <c r="E152" s="54"/>
      <c r="F152" s="2"/>
      <c r="G152" s="83"/>
      <c r="H152" s="84"/>
      <c r="I152" s="84"/>
      <c r="J152" s="10" t="s">
        <v>411</v>
      </c>
    </row>
    <row r="153" spans="1:10" x14ac:dyDescent="0.15">
      <c r="A153" s="15">
        <f>SUM(G151:G157)</f>
        <v>41.93</v>
      </c>
      <c r="B153" s="78">
        <v>40380</v>
      </c>
      <c r="C153" s="82">
        <v>40688</v>
      </c>
      <c r="D153" s="13" t="s">
        <v>452</v>
      </c>
      <c r="E153" s="54">
        <v>6.1273148148148146E-2</v>
      </c>
      <c r="F153" s="12">
        <v>143</v>
      </c>
      <c r="G153" s="83">
        <v>15.61</v>
      </c>
      <c r="H153" s="84">
        <f>E153/G153</f>
        <v>3.9252497212138469E-3</v>
      </c>
      <c r="I153" s="84" t="s">
        <v>453</v>
      </c>
      <c r="J153" s="10" t="s">
        <v>411</v>
      </c>
    </row>
    <row r="154" spans="1:10" x14ac:dyDescent="0.15">
      <c r="A154" s="2"/>
      <c r="B154" s="78">
        <v>40381</v>
      </c>
      <c r="C154" s="82">
        <v>40689</v>
      </c>
      <c r="D154" s="13"/>
      <c r="E154" s="54"/>
      <c r="F154" s="2"/>
      <c r="G154" s="83"/>
      <c r="H154" s="84"/>
      <c r="I154" s="84"/>
      <c r="J154" s="10" t="s">
        <v>411</v>
      </c>
    </row>
    <row r="155" spans="1:10" x14ac:dyDescent="0.15">
      <c r="A155" s="2"/>
      <c r="B155" s="78">
        <v>40382</v>
      </c>
      <c r="C155" s="82">
        <v>40690</v>
      </c>
      <c r="D155" s="13"/>
      <c r="E155" s="54"/>
      <c r="F155" s="12"/>
      <c r="G155" s="83"/>
      <c r="H155" s="84"/>
      <c r="I155" s="84"/>
      <c r="J155" s="10" t="s">
        <v>411</v>
      </c>
    </row>
    <row r="156" spans="1:10" x14ac:dyDescent="0.15">
      <c r="A156" s="2"/>
      <c r="B156" s="78">
        <v>40383</v>
      </c>
      <c r="C156" s="82">
        <v>40691</v>
      </c>
      <c r="D156" s="22" t="s">
        <v>448</v>
      </c>
      <c r="E156" s="54">
        <v>1.9895833333333335E-2</v>
      </c>
      <c r="F156" s="12">
        <v>159</v>
      </c>
      <c r="G156" s="83">
        <v>6.21</v>
      </c>
      <c r="H156" s="84">
        <f>E156/G156</f>
        <v>3.2038378958668817E-3</v>
      </c>
      <c r="I156" s="84" t="s">
        <v>436</v>
      </c>
      <c r="J156" s="10" t="s">
        <v>411</v>
      </c>
    </row>
    <row r="157" spans="1:10" x14ac:dyDescent="0.15">
      <c r="A157" s="2"/>
      <c r="B157" s="85">
        <v>40384</v>
      </c>
      <c r="C157" s="82">
        <v>40692</v>
      </c>
      <c r="D157" s="17" t="s">
        <v>446</v>
      </c>
      <c r="E157" s="54">
        <v>3.8981481481481485E-2</v>
      </c>
      <c r="F157" s="2">
        <v>155</v>
      </c>
      <c r="G157" s="86">
        <v>12.08</v>
      </c>
      <c r="H157" s="84">
        <f>E157/G157</f>
        <v>3.2269438312484671E-3</v>
      </c>
      <c r="I157" s="87" t="s">
        <v>436</v>
      </c>
      <c r="J157" s="10" t="s">
        <v>411</v>
      </c>
    </row>
    <row r="158" spans="1:10" x14ac:dyDescent="0.15">
      <c r="A158" s="4">
        <f>A151+1</f>
        <v>23</v>
      </c>
      <c r="B158" s="78">
        <v>40385</v>
      </c>
      <c r="C158" s="79">
        <v>40693</v>
      </c>
      <c r="D158" s="8"/>
      <c r="E158" s="52"/>
      <c r="F158" s="7"/>
      <c r="G158" s="80"/>
      <c r="H158" s="81"/>
      <c r="I158" s="81"/>
      <c r="J158" s="10" t="s">
        <v>411</v>
      </c>
    </row>
    <row r="159" spans="1:10" x14ac:dyDescent="0.15">
      <c r="A159" s="11" t="s">
        <v>11</v>
      </c>
      <c r="B159" s="78">
        <v>40386</v>
      </c>
      <c r="C159" s="82">
        <v>40694</v>
      </c>
      <c r="D159" s="13"/>
      <c r="E159" s="54"/>
      <c r="F159" s="2"/>
      <c r="G159" s="83"/>
      <c r="H159" s="84"/>
      <c r="I159" s="84"/>
      <c r="J159" s="10" t="s">
        <v>411</v>
      </c>
    </row>
    <row r="160" spans="1:10" x14ac:dyDescent="0.15">
      <c r="A160" s="15">
        <f>SUM(G158:G164)</f>
        <v>27.83</v>
      </c>
      <c r="B160" s="78">
        <v>40387</v>
      </c>
      <c r="C160" s="82">
        <v>40695</v>
      </c>
      <c r="D160" s="13"/>
      <c r="E160" s="54"/>
      <c r="F160" s="12"/>
      <c r="G160" s="83"/>
      <c r="H160" s="84"/>
      <c r="I160" s="84"/>
      <c r="J160" s="10" t="s">
        <v>411</v>
      </c>
    </row>
    <row r="161" spans="1:10" x14ac:dyDescent="0.15">
      <c r="A161" s="2"/>
      <c r="B161" s="78">
        <v>40388</v>
      </c>
      <c r="C161" s="82">
        <v>40696</v>
      </c>
      <c r="D161" s="13" t="s">
        <v>450</v>
      </c>
      <c r="E161" s="54">
        <v>2.7673611111111111E-2</v>
      </c>
      <c r="F161" s="2">
        <v>137</v>
      </c>
      <c r="G161" s="83">
        <v>6.63</v>
      </c>
      <c r="H161" s="84">
        <f>E161/G161</f>
        <v>4.1739986592927766E-3</v>
      </c>
      <c r="I161" s="84" t="s">
        <v>434</v>
      </c>
      <c r="J161" s="10" t="s">
        <v>411</v>
      </c>
    </row>
    <row r="162" spans="1:10" x14ac:dyDescent="0.15">
      <c r="A162" s="2"/>
      <c r="B162" s="78">
        <v>40389</v>
      </c>
      <c r="C162" s="82">
        <v>40697</v>
      </c>
      <c r="D162" s="13"/>
      <c r="E162" s="54"/>
      <c r="F162" s="12"/>
      <c r="G162" s="83"/>
      <c r="H162" s="84"/>
      <c r="I162" s="84"/>
      <c r="J162" s="10" t="s">
        <v>411</v>
      </c>
    </row>
    <row r="163" spans="1:10" x14ac:dyDescent="0.15">
      <c r="A163" s="2"/>
      <c r="B163" s="78">
        <v>40390</v>
      </c>
      <c r="C163" s="82">
        <v>40698</v>
      </c>
      <c r="D163" s="13"/>
      <c r="E163" s="54"/>
      <c r="F163" s="12"/>
      <c r="G163" s="83"/>
      <c r="H163" s="84"/>
      <c r="I163" s="84"/>
      <c r="J163" s="10" t="s">
        <v>411</v>
      </c>
    </row>
    <row r="164" spans="1:10" x14ac:dyDescent="0.15">
      <c r="A164" s="2"/>
      <c r="B164" s="85">
        <v>40391</v>
      </c>
      <c r="C164" s="82">
        <v>40699</v>
      </c>
      <c r="D164" s="124" t="s">
        <v>158</v>
      </c>
      <c r="E164" s="125">
        <v>6.9444444444444448E-2</v>
      </c>
      <c r="F164" s="126">
        <v>170</v>
      </c>
      <c r="G164" s="127">
        <v>21.2</v>
      </c>
      <c r="H164" s="128">
        <f>E164/G164</f>
        <v>3.2756813417190779E-3</v>
      </c>
      <c r="I164" s="129" t="s">
        <v>436</v>
      </c>
      <c r="J164" s="10" t="s">
        <v>411</v>
      </c>
    </row>
    <row r="165" spans="1:10" x14ac:dyDescent="0.15">
      <c r="A165" s="4">
        <f>A158+1</f>
        <v>24</v>
      </c>
      <c r="B165" s="78">
        <v>40392</v>
      </c>
      <c r="C165" s="79">
        <v>40700</v>
      </c>
      <c r="D165" s="8"/>
      <c r="E165" s="52"/>
      <c r="F165" s="7"/>
      <c r="G165" s="80"/>
      <c r="H165" s="81"/>
      <c r="I165" s="81"/>
      <c r="J165" s="10" t="s">
        <v>411</v>
      </c>
    </row>
    <row r="166" spans="1:10" x14ac:dyDescent="0.15">
      <c r="A166" s="11" t="s">
        <v>11</v>
      </c>
      <c r="B166" s="78">
        <v>40393</v>
      </c>
      <c r="C166" s="82">
        <v>40701</v>
      </c>
      <c r="D166" s="13" t="s">
        <v>450</v>
      </c>
      <c r="E166" s="54">
        <v>5.0231481481481474E-2</v>
      </c>
      <c r="F166" s="2" t="s">
        <v>437</v>
      </c>
      <c r="G166" s="83">
        <v>10.199999999999999</v>
      </c>
      <c r="H166" s="84">
        <f>E166/G166</f>
        <v>4.9246550472040662E-3</v>
      </c>
      <c r="I166" s="84" t="s">
        <v>453</v>
      </c>
      <c r="J166" s="10" t="s">
        <v>411</v>
      </c>
    </row>
    <row r="167" spans="1:10" x14ac:dyDescent="0.15">
      <c r="A167" s="15">
        <f>SUM(G165:G171)</f>
        <v>42.81</v>
      </c>
      <c r="B167" s="78">
        <v>40394</v>
      </c>
      <c r="C167" s="82">
        <v>40702</v>
      </c>
      <c r="D167" s="13"/>
      <c r="E167" s="54"/>
      <c r="F167" s="12"/>
      <c r="G167" s="83"/>
      <c r="H167" s="84"/>
      <c r="I167" s="84"/>
      <c r="J167" s="10" t="s">
        <v>411</v>
      </c>
    </row>
    <row r="168" spans="1:10" x14ac:dyDescent="0.15">
      <c r="A168" s="2"/>
      <c r="B168" s="78">
        <v>40395</v>
      </c>
      <c r="C168" s="82">
        <v>40703</v>
      </c>
      <c r="D168" s="13"/>
      <c r="E168" s="54"/>
      <c r="F168" s="2"/>
      <c r="G168" s="83"/>
      <c r="H168" s="84"/>
      <c r="I168" s="84"/>
      <c r="J168" s="10" t="s">
        <v>411</v>
      </c>
    </row>
    <row r="169" spans="1:10" x14ac:dyDescent="0.15">
      <c r="A169" s="2"/>
      <c r="B169" s="78">
        <v>40396</v>
      </c>
      <c r="C169" s="82">
        <v>40704</v>
      </c>
      <c r="D169" s="13" t="s">
        <v>450</v>
      </c>
      <c r="E169" s="54">
        <v>3.7719907407407403E-2</v>
      </c>
      <c r="F169" s="12">
        <v>147</v>
      </c>
      <c r="G169" s="83">
        <v>10.27</v>
      </c>
      <c r="H169" s="84">
        <f>E169/G169</f>
        <v>3.6728244797865047E-3</v>
      </c>
      <c r="I169" s="84" t="s">
        <v>453</v>
      </c>
      <c r="J169" s="10" t="s">
        <v>411</v>
      </c>
    </row>
    <row r="170" spans="1:10" x14ac:dyDescent="0.15">
      <c r="A170" s="2"/>
      <c r="B170" s="78">
        <v>40397</v>
      </c>
      <c r="C170" s="82">
        <v>40705</v>
      </c>
      <c r="D170" s="13" t="s">
        <v>450</v>
      </c>
      <c r="E170" s="54">
        <v>4.4305555555555549E-2</v>
      </c>
      <c r="F170" s="12" t="s">
        <v>437</v>
      </c>
      <c r="G170" s="83">
        <v>8.31</v>
      </c>
      <c r="H170" s="84">
        <f>E170/G170</f>
        <v>5.3315951330391749E-3</v>
      </c>
      <c r="I170" s="84" t="s">
        <v>453</v>
      </c>
      <c r="J170" s="10" t="s">
        <v>411</v>
      </c>
    </row>
    <row r="171" spans="1:10" x14ac:dyDescent="0.15">
      <c r="A171" s="2"/>
      <c r="B171" s="85">
        <v>40398</v>
      </c>
      <c r="C171" s="82">
        <v>40706</v>
      </c>
      <c r="D171" s="17" t="s">
        <v>450</v>
      </c>
      <c r="E171" s="54">
        <v>5.5717592592592589E-2</v>
      </c>
      <c r="F171" s="2">
        <v>146</v>
      </c>
      <c r="G171" s="86">
        <v>14.03</v>
      </c>
      <c r="H171" s="84">
        <f>E171/G171</f>
        <v>3.9713180750244187E-3</v>
      </c>
      <c r="I171" s="87" t="s">
        <v>434</v>
      </c>
      <c r="J171" s="10" t="s">
        <v>411</v>
      </c>
    </row>
    <row r="172" spans="1:10" x14ac:dyDescent="0.15">
      <c r="A172" s="4">
        <f>A165+1</f>
        <v>25</v>
      </c>
      <c r="B172" s="78">
        <v>40399</v>
      </c>
      <c r="C172" s="79">
        <v>40707</v>
      </c>
      <c r="D172" s="8"/>
      <c r="E172" s="52"/>
      <c r="F172" s="7"/>
      <c r="G172" s="80"/>
      <c r="H172" s="81"/>
      <c r="I172" s="81"/>
      <c r="J172" s="10" t="s">
        <v>411</v>
      </c>
    </row>
    <row r="173" spans="1:10" x14ac:dyDescent="0.15">
      <c r="A173" s="34" t="s">
        <v>11</v>
      </c>
      <c r="B173" s="78">
        <v>40400</v>
      </c>
      <c r="C173" s="82">
        <v>40708</v>
      </c>
      <c r="D173" s="13" t="s">
        <v>450</v>
      </c>
      <c r="E173" s="54">
        <v>3.4537037037037033E-2</v>
      </c>
      <c r="F173" s="2">
        <v>149</v>
      </c>
      <c r="G173" s="83">
        <v>10</v>
      </c>
      <c r="H173" s="84">
        <f>E173/G173</f>
        <v>3.4537037037037032E-3</v>
      </c>
      <c r="I173" s="84" t="s">
        <v>436</v>
      </c>
      <c r="J173" s="10" t="s">
        <v>411</v>
      </c>
    </row>
    <row r="174" spans="1:10" x14ac:dyDescent="0.15">
      <c r="A174" s="15">
        <f>SUM(G172:G178)</f>
        <v>19.649999999999999</v>
      </c>
      <c r="B174" s="78">
        <v>40401</v>
      </c>
      <c r="C174" s="82">
        <v>40709</v>
      </c>
      <c r="D174" s="13"/>
      <c r="E174" s="54"/>
      <c r="F174" s="12"/>
      <c r="G174" s="83"/>
      <c r="H174" s="84"/>
      <c r="I174" s="84"/>
      <c r="J174" s="10" t="s">
        <v>411</v>
      </c>
    </row>
    <row r="175" spans="1:10" x14ac:dyDescent="0.15">
      <c r="A175" s="2"/>
      <c r="B175" s="78">
        <v>40402</v>
      </c>
      <c r="C175" s="82">
        <v>40710</v>
      </c>
      <c r="D175" s="13"/>
      <c r="E175" s="54"/>
      <c r="F175" s="2"/>
      <c r="G175" s="83"/>
      <c r="H175" s="84"/>
      <c r="I175" s="84"/>
      <c r="J175" s="10" t="s">
        <v>411</v>
      </c>
    </row>
    <row r="176" spans="1:10" x14ac:dyDescent="0.15">
      <c r="A176" s="2"/>
      <c r="B176" s="78">
        <v>40403</v>
      </c>
      <c r="C176" s="82">
        <v>40711</v>
      </c>
      <c r="D176" s="13" t="s">
        <v>450</v>
      </c>
      <c r="E176" s="54">
        <v>3.5891203703703703E-2</v>
      </c>
      <c r="F176" s="12">
        <v>140</v>
      </c>
      <c r="G176" s="83">
        <v>9.65</v>
      </c>
      <c r="H176" s="84">
        <f>E176/G176</f>
        <v>3.7192957205910574E-3</v>
      </c>
      <c r="I176" s="84" t="s">
        <v>434</v>
      </c>
      <c r="J176" s="10" t="s">
        <v>411</v>
      </c>
    </row>
    <row r="177" spans="1:10" x14ac:dyDescent="0.15">
      <c r="A177" s="2"/>
      <c r="B177" s="78">
        <v>40404</v>
      </c>
      <c r="C177" s="82">
        <v>40712</v>
      </c>
      <c r="D177" s="13"/>
      <c r="E177" s="54"/>
      <c r="F177" s="12"/>
      <c r="G177" s="83"/>
      <c r="H177" s="84"/>
      <c r="I177" s="84"/>
      <c r="J177" s="10" t="s">
        <v>411</v>
      </c>
    </row>
    <row r="178" spans="1:10" x14ac:dyDescent="0.15">
      <c r="A178" s="35"/>
      <c r="B178" s="85">
        <v>40405</v>
      </c>
      <c r="C178" s="82">
        <v>40713</v>
      </c>
      <c r="D178" s="17"/>
      <c r="E178" s="54"/>
      <c r="F178" s="2"/>
      <c r="G178" s="86"/>
      <c r="H178" s="87"/>
      <c r="I178" s="87"/>
      <c r="J178" s="10" t="s">
        <v>411</v>
      </c>
    </row>
    <row r="179" spans="1:10" x14ac:dyDescent="0.15">
      <c r="A179" s="4">
        <f>A172+1</f>
        <v>26</v>
      </c>
      <c r="B179" s="78">
        <v>40406</v>
      </c>
      <c r="C179" s="79">
        <v>40714</v>
      </c>
      <c r="D179" s="8"/>
      <c r="E179" s="52"/>
      <c r="F179" s="7"/>
      <c r="G179" s="80"/>
      <c r="H179" s="81"/>
      <c r="I179" s="81"/>
      <c r="J179" s="10" t="s">
        <v>411</v>
      </c>
    </row>
    <row r="180" spans="1:10" x14ac:dyDescent="0.15">
      <c r="A180" s="11" t="s">
        <v>11</v>
      </c>
      <c r="B180" s="78">
        <v>40407</v>
      </c>
      <c r="C180" s="82">
        <v>40715</v>
      </c>
      <c r="D180" s="13" t="s">
        <v>450</v>
      </c>
      <c r="E180" s="54">
        <v>4.3784722222222218E-2</v>
      </c>
      <c r="F180" s="2">
        <v>140</v>
      </c>
      <c r="G180" s="83">
        <v>11.59</v>
      </c>
      <c r="H180" s="84">
        <f>E180/G180</f>
        <v>3.7778017447991558E-3</v>
      </c>
      <c r="I180" s="84" t="s">
        <v>436</v>
      </c>
      <c r="J180" s="10" t="s">
        <v>411</v>
      </c>
    </row>
    <row r="181" spans="1:10" x14ac:dyDescent="0.15">
      <c r="A181" s="15">
        <f>SUM(G179:G185)</f>
        <v>35.51</v>
      </c>
      <c r="B181" s="78">
        <v>40408</v>
      </c>
      <c r="C181" s="82">
        <v>40716</v>
      </c>
      <c r="D181" s="13"/>
      <c r="E181" s="54"/>
      <c r="F181" s="12"/>
      <c r="G181" s="83"/>
      <c r="H181" s="84"/>
      <c r="I181" s="84"/>
      <c r="J181" s="10" t="s">
        <v>411</v>
      </c>
    </row>
    <row r="182" spans="1:10" x14ac:dyDescent="0.15">
      <c r="A182" s="2"/>
      <c r="B182" s="78">
        <v>40409</v>
      </c>
      <c r="C182" s="82">
        <v>40717</v>
      </c>
      <c r="D182" s="13" t="s">
        <v>446</v>
      </c>
      <c r="E182" s="54">
        <v>4.5312499999999999E-2</v>
      </c>
      <c r="F182" s="2">
        <v>134</v>
      </c>
      <c r="G182" s="83">
        <v>11.63</v>
      </c>
      <c r="H182" s="84">
        <f>E182/G182</f>
        <v>3.8961736887360271E-3</v>
      </c>
      <c r="I182" s="84" t="s">
        <v>436</v>
      </c>
      <c r="J182" s="10" t="s">
        <v>411</v>
      </c>
    </row>
    <row r="183" spans="1:10" x14ac:dyDescent="0.15">
      <c r="A183" s="2"/>
      <c r="B183" s="78">
        <v>40410</v>
      </c>
      <c r="C183" s="82">
        <v>40718</v>
      </c>
      <c r="D183" s="13"/>
      <c r="E183" s="54"/>
      <c r="F183" s="12"/>
      <c r="G183" s="83"/>
      <c r="H183" s="84"/>
      <c r="I183" s="84"/>
      <c r="J183" s="10" t="s">
        <v>411</v>
      </c>
    </row>
    <row r="184" spans="1:10" x14ac:dyDescent="0.15">
      <c r="A184" s="2"/>
      <c r="B184" s="78">
        <v>40411</v>
      </c>
      <c r="C184" s="82">
        <v>40719</v>
      </c>
      <c r="D184" s="13"/>
      <c r="E184" s="54"/>
      <c r="F184" s="12"/>
      <c r="G184" s="83"/>
      <c r="H184" s="84"/>
      <c r="I184" s="84"/>
      <c r="J184" s="10" t="s">
        <v>411</v>
      </c>
    </row>
    <row r="185" spans="1:10" x14ac:dyDescent="0.15">
      <c r="A185" s="2"/>
      <c r="B185" s="85">
        <v>40412</v>
      </c>
      <c r="C185" s="82">
        <v>40720</v>
      </c>
      <c r="D185" s="17" t="s">
        <v>450</v>
      </c>
      <c r="E185" s="54">
        <v>4.310185185185185E-2</v>
      </c>
      <c r="F185" s="2">
        <v>148</v>
      </c>
      <c r="G185" s="86">
        <v>12.29</v>
      </c>
      <c r="H185" s="84">
        <f>E185/G185</f>
        <v>3.5070668715908751E-3</v>
      </c>
      <c r="I185" s="87" t="s">
        <v>453</v>
      </c>
      <c r="J185" s="10" t="s">
        <v>411</v>
      </c>
    </row>
    <row r="186" spans="1:10" x14ac:dyDescent="0.15">
      <c r="A186" s="4">
        <f>A179+1</f>
        <v>27</v>
      </c>
      <c r="B186" s="78">
        <v>40413</v>
      </c>
      <c r="C186" s="79">
        <v>40721</v>
      </c>
      <c r="D186" s="8"/>
      <c r="E186" s="52"/>
      <c r="F186" s="7"/>
      <c r="G186" s="80"/>
      <c r="H186" s="81"/>
      <c r="I186" s="81"/>
      <c r="J186" s="10" t="s">
        <v>411</v>
      </c>
    </row>
    <row r="187" spans="1:10" x14ac:dyDescent="0.15">
      <c r="A187" s="11" t="s">
        <v>11</v>
      </c>
      <c r="B187" s="78">
        <v>40414</v>
      </c>
      <c r="C187" s="82">
        <v>40722</v>
      </c>
      <c r="D187" s="13"/>
      <c r="E187" s="54"/>
      <c r="F187" s="2"/>
      <c r="G187" s="83"/>
      <c r="H187" s="84"/>
      <c r="I187" s="84"/>
      <c r="J187" s="10" t="s">
        <v>411</v>
      </c>
    </row>
    <row r="188" spans="1:10" x14ac:dyDescent="0.15">
      <c r="A188" s="15">
        <f>SUM(G186:G192)</f>
        <v>14.03</v>
      </c>
      <c r="B188" s="78">
        <v>40415</v>
      </c>
      <c r="C188" s="82">
        <v>40723</v>
      </c>
      <c r="D188" s="13"/>
      <c r="E188" s="54"/>
      <c r="F188" s="12"/>
      <c r="G188" s="83"/>
      <c r="H188" s="84"/>
      <c r="I188" s="84"/>
      <c r="J188" s="10" t="s">
        <v>411</v>
      </c>
    </row>
    <row r="189" spans="1:10" x14ac:dyDescent="0.15">
      <c r="A189" s="2"/>
      <c r="B189" s="78">
        <v>40416</v>
      </c>
      <c r="C189" s="82">
        <v>40724</v>
      </c>
      <c r="D189" s="13"/>
      <c r="E189" s="54"/>
      <c r="F189" s="2"/>
      <c r="G189" s="83"/>
      <c r="H189" s="84"/>
      <c r="I189" s="84"/>
      <c r="J189" s="10" t="s">
        <v>411</v>
      </c>
    </row>
    <row r="190" spans="1:10" x14ac:dyDescent="0.15">
      <c r="A190" s="2"/>
      <c r="B190" s="78">
        <v>40417</v>
      </c>
      <c r="C190" s="82">
        <v>40725</v>
      </c>
      <c r="D190" s="13"/>
      <c r="E190" s="54"/>
      <c r="F190" s="12"/>
      <c r="G190" s="83"/>
      <c r="H190" s="84"/>
      <c r="I190" s="84"/>
      <c r="J190" s="10" t="s">
        <v>411</v>
      </c>
    </row>
    <row r="191" spans="1:10" x14ac:dyDescent="0.15">
      <c r="A191" s="2"/>
      <c r="B191" s="78">
        <v>40418</v>
      </c>
      <c r="C191" s="82">
        <v>40726</v>
      </c>
      <c r="D191" s="13"/>
      <c r="E191" s="54"/>
      <c r="F191" s="12"/>
      <c r="G191" s="83"/>
      <c r="H191" s="84"/>
      <c r="I191" s="84"/>
      <c r="J191" s="10" t="s">
        <v>411</v>
      </c>
    </row>
    <row r="192" spans="1:10" x14ac:dyDescent="0.15">
      <c r="A192" s="2"/>
      <c r="B192" s="85">
        <v>40419</v>
      </c>
      <c r="C192" s="82">
        <v>40727</v>
      </c>
      <c r="D192" s="17" t="s">
        <v>450</v>
      </c>
      <c r="E192" s="54">
        <v>5.0960648148148151E-2</v>
      </c>
      <c r="F192" s="2" t="s">
        <v>437</v>
      </c>
      <c r="G192" s="86">
        <v>14.03</v>
      </c>
      <c r="H192" s="84">
        <f>E192/G192</f>
        <v>3.632262875848051E-3</v>
      </c>
      <c r="I192" s="87" t="s">
        <v>434</v>
      </c>
      <c r="J192" s="10" t="s">
        <v>411</v>
      </c>
    </row>
    <row r="193" spans="1:10" x14ac:dyDescent="0.15">
      <c r="A193" s="4">
        <f>A186+1</f>
        <v>28</v>
      </c>
      <c r="B193" s="78">
        <v>40420</v>
      </c>
      <c r="C193" s="79">
        <v>40728</v>
      </c>
      <c r="D193" s="8"/>
      <c r="E193" s="52"/>
      <c r="F193" s="7"/>
      <c r="G193" s="80"/>
      <c r="H193" s="81"/>
      <c r="I193" s="81"/>
      <c r="J193" s="10" t="s">
        <v>411</v>
      </c>
    </row>
    <row r="194" spans="1:10" x14ac:dyDescent="0.15">
      <c r="A194" s="11" t="s">
        <v>11</v>
      </c>
      <c r="B194" s="78">
        <v>40421</v>
      </c>
      <c r="C194" s="82">
        <v>40729</v>
      </c>
      <c r="D194" s="13" t="s">
        <v>450</v>
      </c>
      <c r="E194" s="54">
        <v>3.4525462962962959E-2</v>
      </c>
      <c r="F194" s="2">
        <v>154</v>
      </c>
      <c r="G194" s="83">
        <v>10.07</v>
      </c>
      <c r="H194" s="84">
        <f>E194/G194</f>
        <v>3.4285464709993005E-3</v>
      </c>
      <c r="I194" s="84" t="s">
        <v>436</v>
      </c>
      <c r="J194" s="10" t="s">
        <v>411</v>
      </c>
    </row>
    <row r="195" spans="1:10" x14ac:dyDescent="0.15">
      <c r="A195" s="15">
        <f>SUM(G193:G199)</f>
        <v>37.35</v>
      </c>
      <c r="B195" s="78">
        <v>40422</v>
      </c>
      <c r="C195" s="82">
        <v>40730</v>
      </c>
      <c r="D195" s="13"/>
      <c r="E195" s="54"/>
      <c r="F195" s="12"/>
      <c r="G195" s="83"/>
      <c r="H195" s="84"/>
      <c r="I195" s="84"/>
      <c r="J195" s="10" t="s">
        <v>411</v>
      </c>
    </row>
    <row r="196" spans="1:10" x14ac:dyDescent="0.15">
      <c r="A196" s="2"/>
      <c r="B196" s="78">
        <v>40423</v>
      </c>
      <c r="C196" s="82">
        <v>40731</v>
      </c>
      <c r="D196" s="13"/>
      <c r="E196" s="54"/>
      <c r="F196" s="2"/>
      <c r="G196" s="83"/>
      <c r="H196" s="84"/>
      <c r="I196" s="84"/>
      <c r="J196" s="10" t="s">
        <v>411</v>
      </c>
    </row>
    <row r="197" spans="1:10" x14ac:dyDescent="0.15">
      <c r="A197" s="2"/>
      <c r="B197" s="78">
        <v>40424</v>
      </c>
      <c r="C197" s="82">
        <v>40732</v>
      </c>
      <c r="D197" s="13" t="s">
        <v>446</v>
      </c>
      <c r="E197" s="54">
        <v>4.447916666666666E-2</v>
      </c>
      <c r="F197" s="12">
        <v>150</v>
      </c>
      <c r="G197" s="83">
        <v>12</v>
      </c>
      <c r="H197" s="84">
        <f>E197/G197</f>
        <v>3.7065972222222218E-3</v>
      </c>
      <c r="I197" s="84" t="s">
        <v>453</v>
      </c>
      <c r="J197" s="10" t="s">
        <v>411</v>
      </c>
    </row>
    <row r="198" spans="1:10" x14ac:dyDescent="0.15">
      <c r="A198" s="2"/>
      <c r="B198" s="78">
        <v>40425</v>
      </c>
      <c r="C198" s="82">
        <v>40733</v>
      </c>
      <c r="D198" s="13"/>
      <c r="E198" s="54"/>
      <c r="F198" s="12"/>
      <c r="G198" s="83"/>
      <c r="H198" s="84"/>
      <c r="I198" s="84"/>
      <c r="J198" s="10" t="s">
        <v>411</v>
      </c>
    </row>
    <row r="199" spans="1:10" x14ac:dyDescent="0.15">
      <c r="A199" s="2"/>
      <c r="B199" s="85">
        <v>40426</v>
      </c>
      <c r="C199" s="82">
        <v>40734</v>
      </c>
      <c r="D199" s="17" t="s">
        <v>450</v>
      </c>
      <c r="E199" s="54">
        <v>5.8344907407407408E-2</v>
      </c>
      <c r="F199" s="2">
        <v>150</v>
      </c>
      <c r="G199" s="86">
        <v>15.28</v>
      </c>
      <c r="H199" s="84">
        <f>E199/G199</f>
        <v>3.8183839926313749E-3</v>
      </c>
      <c r="I199" s="87" t="s">
        <v>453</v>
      </c>
      <c r="J199" s="10" t="s">
        <v>411</v>
      </c>
    </row>
    <row r="200" spans="1:10" x14ac:dyDescent="0.15">
      <c r="A200" s="4">
        <f>A193+1</f>
        <v>29</v>
      </c>
      <c r="B200" s="78">
        <v>40427</v>
      </c>
      <c r="C200" s="79">
        <v>40735</v>
      </c>
      <c r="D200" s="8"/>
      <c r="E200" s="52"/>
      <c r="F200" s="7"/>
      <c r="G200" s="80"/>
      <c r="H200" s="81"/>
      <c r="I200" s="84"/>
      <c r="J200" s="10" t="s">
        <v>411</v>
      </c>
    </row>
    <row r="201" spans="1:10" x14ac:dyDescent="0.15">
      <c r="A201" s="11" t="s">
        <v>11</v>
      </c>
      <c r="B201" s="78">
        <v>40428</v>
      </c>
      <c r="C201" s="82">
        <v>40736</v>
      </c>
      <c r="D201" s="13" t="s">
        <v>446</v>
      </c>
      <c r="E201" s="54">
        <v>3.4965277777777783E-2</v>
      </c>
      <c r="F201" s="2">
        <v>152</v>
      </c>
      <c r="G201" s="83">
        <v>10.06</v>
      </c>
      <c r="H201" s="84">
        <f>E201/G201</f>
        <v>3.4756737353655847E-3</v>
      </c>
      <c r="I201" s="84" t="s">
        <v>436</v>
      </c>
      <c r="J201" s="10" t="s">
        <v>411</v>
      </c>
    </row>
    <row r="202" spans="1:10" x14ac:dyDescent="0.15">
      <c r="A202" s="15">
        <f>SUM(G200:G206)</f>
        <v>33.820000000000007</v>
      </c>
      <c r="B202" s="78">
        <v>40429</v>
      </c>
      <c r="C202" s="82">
        <v>40737</v>
      </c>
      <c r="D202" s="13"/>
      <c r="E202" s="54"/>
      <c r="F202" s="12"/>
      <c r="G202" s="83"/>
      <c r="H202" s="84"/>
      <c r="I202" s="84"/>
      <c r="J202" s="10" t="s">
        <v>411</v>
      </c>
    </row>
    <row r="203" spans="1:10" x14ac:dyDescent="0.15">
      <c r="A203" s="2"/>
      <c r="B203" s="78">
        <v>40430</v>
      </c>
      <c r="C203" s="82">
        <v>40738</v>
      </c>
      <c r="D203" s="13" t="s">
        <v>446</v>
      </c>
      <c r="E203" s="54">
        <v>4.6805555555555559E-2</v>
      </c>
      <c r="F203" s="2">
        <v>150</v>
      </c>
      <c r="G203" s="83">
        <v>12.96</v>
      </c>
      <c r="H203" s="84">
        <f>E203/G203</f>
        <v>3.6115397805212622E-3</v>
      </c>
      <c r="I203" s="84" t="s">
        <v>436</v>
      </c>
      <c r="J203" s="10" t="s">
        <v>411</v>
      </c>
    </row>
    <row r="204" spans="1:10" x14ac:dyDescent="0.15">
      <c r="A204" s="2"/>
      <c r="B204" s="78">
        <v>40431</v>
      </c>
      <c r="C204" s="82">
        <v>40739</v>
      </c>
      <c r="D204" s="13"/>
      <c r="E204" s="54"/>
      <c r="F204" s="12"/>
      <c r="G204" s="83"/>
      <c r="H204" s="84"/>
      <c r="I204" s="84"/>
      <c r="J204" s="10" t="s">
        <v>411</v>
      </c>
    </row>
    <row r="205" spans="1:10" x14ac:dyDescent="0.15">
      <c r="A205" s="2"/>
      <c r="B205" s="78">
        <v>40432</v>
      </c>
      <c r="C205" s="82">
        <v>40740</v>
      </c>
      <c r="D205" s="13" t="s">
        <v>452</v>
      </c>
      <c r="E205" s="54">
        <v>4.175925925925926E-2</v>
      </c>
      <c r="F205" s="12" t="s">
        <v>437</v>
      </c>
      <c r="G205" s="83">
        <v>10.8</v>
      </c>
      <c r="H205" s="84">
        <f>E205/G205</f>
        <v>3.8665980795610424E-3</v>
      </c>
      <c r="I205" s="84" t="s">
        <v>453</v>
      </c>
      <c r="J205" s="10" t="s">
        <v>411</v>
      </c>
    </row>
    <row r="206" spans="1:10" x14ac:dyDescent="0.15">
      <c r="A206" s="2"/>
      <c r="B206" s="85">
        <v>40433</v>
      </c>
      <c r="C206" s="82">
        <v>40741</v>
      </c>
      <c r="D206" s="17"/>
      <c r="E206" s="57"/>
      <c r="F206" s="2"/>
      <c r="G206" s="86"/>
      <c r="H206" s="87"/>
      <c r="I206" s="87"/>
      <c r="J206" s="10" t="s">
        <v>411</v>
      </c>
    </row>
    <row r="207" spans="1:10" x14ac:dyDescent="0.15">
      <c r="A207" s="4">
        <f>A200+1</f>
        <v>30</v>
      </c>
      <c r="B207" s="78">
        <v>40434</v>
      </c>
      <c r="C207" s="79">
        <v>40742</v>
      </c>
      <c r="D207" s="8"/>
      <c r="E207" s="52"/>
      <c r="F207" s="7"/>
      <c r="G207" s="80"/>
      <c r="H207" s="84"/>
      <c r="I207" s="84"/>
      <c r="J207" s="10" t="s">
        <v>411</v>
      </c>
    </row>
    <row r="208" spans="1:10" x14ac:dyDescent="0.15">
      <c r="A208" s="11" t="s">
        <v>11</v>
      </c>
      <c r="B208" s="78">
        <v>40435</v>
      </c>
      <c r="C208" s="82">
        <v>40743</v>
      </c>
      <c r="D208" s="13" t="s">
        <v>452</v>
      </c>
      <c r="E208" s="54">
        <v>5.049768518518518E-2</v>
      </c>
      <c r="F208" s="2">
        <v>142</v>
      </c>
      <c r="G208" s="83">
        <v>13.17</v>
      </c>
      <c r="H208" s="84">
        <f>E208/G208</f>
        <v>3.8342965212745011E-3</v>
      </c>
      <c r="I208" s="84" t="s">
        <v>436</v>
      </c>
      <c r="J208" s="10" t="s">
        <v>411</v>
      </c>
    </row>
    <row r="209" spans="1:10" x14ac:dyDescent="0.15">
      <c r="A209" s="15">
        <f>SUM(G207:G213)</f>
        <v>56.8</v>
      </c>
      <c r="B209" s="78">
        <v>40436</v>
      </c>
      <c r="C209" s="82">
        <v>40744</v>
      </c>
      <c r="D209" s="13" t="s">
        <v>450</v>
      </c>
      <c r="E209" s="54">
        <v>3.5486111111111107E-2</v>
      </c>
      <c r="F209" s="12">
        <v>152</v>
      </c>
      <c r="G209" s="83">
        <v>10.55</v>
      </c>
      <c r="H209" s="84">
        <f>E209/G209</f>
        <v>3.3636124275934695E-3</v>
      </c>
      <c r="I209" s="84" t="s">
        <v>436</v>
      </c>
      <c r="J209" s="10" t="s">
        <v>411</v>
      </c>
    </row>
    <row r="210" spans="1:10" x14ac:dyDescent="0.15">
      <c r="A210" s="2"/>
      <c r="B210" s="78">
        <v>40437</v>
      </c>
      <c r="C210" s="82">
        <v>40745</v>
      </c>
      <c r="D210" s="13" t="s">
        <v>452</v>
      </c>
      <c r="E210" s="54">
        <v>5.004629629629629E-2</v>
      </c>
      <c r="F210" s="2">
        <v>139</v>
      </c>
      <c r="G210" s="83">
        <v>13.1</v>
      </c>
      <c r="H210" s="84">
        <f>E210/G210</f>
        <v>3.820327961549335E-3</v>
      </c>
      <c r="I210" s="84" t="s">
        <v>453</v>
      </c>
      <c r="J210" s="10" t="s">
        <v>411</v>
      </c>
    </row>
    <row r="211" spans="1:10" x14ac:dyDescent="0.15">
      <c r="A211" s="2"/>
      <c r="B211" s="78">
        <v>40438</v>
      </c>
      <c r="C211" s="82">
        <v>40746</v>
      </c>
      <c r="D211" s="13"/>
      <c r="E211" s="54"/>
      <c r="F211" s="12"/>
      <c r="G211" s="83"/>
      <c r="H211" s="84"/>
      <c r="I211" s="84"/>
      <c r="J211" s="10" t="s">
        <v>411</v>
      </c>
    </row>
    <row r="212" spans="1:10" x14ac:dyDescent="0.15">
      <c r="A212" s="2"/>
      <c r="B212" s="78">
        <v>40439</v>
      </c>
      <c r="C212" s="82">
        <v>40747</v>
      </c>
      <c r="D212" s="13" t="s">
        <v>158</v>
      </c>
      <c r="E212" s="54">
        <v>2.990740740740741E-2</v>
      </c>
      <c r="F212" s="12">
        <v>169</v>
      </c>
      <c r="G212" s="83">
        <v>10.01</v>
      </c>
      <c r="H212" s="84">
        <f>E212/G212</f>
        <v>2.9877529877529881E-3</v>
      </c>
      <c r="I212" s="84" t="s">
        <v>436</v>
      </c>
      <c r="J212" s="10" t="s">
        <v>411</v>
      </c>
    </row>
    <row r="213" spans="1:10" x14ac:dyDescent="0.15">
      <c r="A213" s="2"/>
      <c r="B213" s="85">
        <v>40440</v>
      </c>
      <c r="C213" s="82">
        <v>40748</v>
      </c>
      <c r="D213" s="17" t="s">
        <v>452</v>
      </c>
      <c r="E213" s="57">
        <v>3.9317129629629632E-2</v>
      </c>
      <c r="F213" s="2">
        <v>138</v>
      </c>
      <c r="G213" s="86">
        <v>9.9700000000000006</v>
      </c>
      <c r="H213" s="87">
        <f>E213/G213</f>
        <v>3.9435435937441952E-3</v>
      </c>
      <c r="I213" s="87" t="s">
        <v>434</v>
      </c>
      <c r="J213" s="10" t="s">
        <v>411</v>
      </c>
    </row>
    <row r="214" spans="1:10" x14ac:dyDescent="0.15">
      <c r="A214" s="4">
        <f>A207+1</f>
        <v>31</v>
      </c>
      <c r="B214" s="78">
        <v>40441</v>
      </c>
      <c r="C214" s="79">
        <v>40749</v>
      </c>
      <c r="D214" s="8"/>
      <c r="E214" s="52"/>
      <c r="F214" s="7"/>
      <c r="G214" s="80"/>
      <c r="H214" s="84"/>
      <c r="I214" s="84"/>
      <c r="J214" s="10" t="s">
        <v>411</v>
      </c>
    </row>
    <row r="215" spans="1:10" x14ac:dyDescent="0.15">
      <c r="A215" s="11" t="s">
        <v>11</v>
      </c>
      <c r="B215" s="78">
        <v>40442</v>
      </c>
      <c r="C215" s="82">
        <v>40750</v>
      </c>
      <c r="D215" s="13" t="s">
        <v>452</v>
      </c>
      <c r="E215" s="54">
        <v>4.8900462962962958E-2</v>
      </c>
      <c r="F215" s="2">
        <v>147</v>
      </c>
      <c r="G215" s="83">
        <v>13.1</v>
      </c>
      <c r="H215" s="84">
        <f>E215/G215</f>
        <v>3.7328597681651112E-3</v>
      </c>
      <c r="I215" s="84" t="s">
        <v>453</v>
      </c>
      <c r="J215" s="10" t="s">
        <v>411</v>
      </c>
    </row>
    <row r="216" spans="1:10" x14ac:dyDescent="0.15">
      <c r="A216" s="15">
        <f>SUM(G214:G220)</f>
        <v>51.730000000000004</v>
      </c>
      <c r="B216" s="78">
        <v>40443</v>
      </c>
      <c r="C216" s="82">
        <v>40751</v>
      </c>
      <c r="D216" s="13"/>
      <c r="E216" s="54"/>
      <c r="F216" s="12"/>
      <c r="G216" s="83"/>
      <c r="H216" s="84"/>
      <c r="I216" s="84"/>
      <c r="J216" s="10" t="s">
        <v>411</v>
      </c>
    </row>
    <row r="217" spans="1:10" x14ac:dyDescent="0.15">
      <c r="A217" s="2"/>
      <c r="B217" s="78">
        <v>40444</v>
      </c>
      <c r="C217" s="82">
        <v>40752</v>
      </c>
      <c r="D217" s="13"/>
      <c r="E217" s="54"/>
      <c r="F217" s="2"/>
      <c r="G217" s="83"/>
      <c r="H217" s="84"/>
      <c r="I217" s="84"/>
      <c r="J217" s="10" t="s">
        <v>411</v>
      </c>
    </row>
    <row r="218" spans="1:10" x14ac:dyDescent="0.15">
      <c r="A218" s="2"/>
      <c r="B218" s="78">
        <v>40445</v>
      </c>
      <c r="C218" s="82">
        <v>40753</v>
      </c>
      <c r="D218" s="13" t="s">
        <v>450</v>
      </c>
      <c r="E218" s="54">
        <v>4.520833333333333E-2</v>
      </c>
      <c r="F218" s="12">
        <v>147</v>
      </c>
      <c r="G218" s="83">
        <v>13.17</v>
      </c>
      <c r="H218" s="84">
        <f>E218/G218</f>
        <v>3.4326752720830168E-3</v>
      </c>
      <c r="I218" s="84" t="s">
        <v>453</v>
      </c>
      <c r="J218" s="10" t="s">
        <v>411</v>
      </c>
    </row>
    <row r="219" spans="1:10" x14ac:dyDescent="0.15">
      <c r="A219" s="2"/>
      <c r="B219" s="78">
        <v>40446</v>
      </c>
      <c r="C219" s="82">
        <v>40754</v>
      </c>
      <c r="D219" s="13"/>
      <c r="E219" s="54"/>
      <c r="F219" s="12"/>
      <c r="G219" s="83"/>
      <c r="H219" s="84"/>
      <c r="I219" s="84"/>
      <c r="J219" s="10" t="s">
        <v>411</v>
      </c>
    </row>
    <row r="220" spans="1:10" x14ac:dyDescent="0.15">
      <c r="A220" s="2"/>
      <c r="B220" s="85">
        <v>40447</v>
      </c>
      <c r="C220" s="82">
        <v>40755</v>
      </c>
      <c r="D220" s="88" t="s">
        <v>452</v>
      </c>
      <c r="E220" s="57">
        <v>9.8622685185185188E-2</v>
      </c>
      <c r="F220" s="2">
        <v>138</v>
      </c>
      <c r="G220" s="86">
        <v>25.46</v>
      </c>
      <c r="H220" s="87">
        <f>E220/G220</f>
        <v>3.8736325681533851E-3</v>
      </c>
      <c r="I220" s="87" t="s">
        <v>453</v>
      </c>
      <c r="J220" s="10" t="s">
        <v>411</v>
      </c>
    </row>
    <row r="221" spans="1:10" x14ac:dyDescent="0.15">
      <c r="A221" s="4">
        <f>A214+1</f>
        <v>32</v>
      </c>
      <c r="B221" s="78">
        <v>40448</v>
      </c>
      <c r="C221" s="79">
        <v>40756</v>
      </c>
      <c r="D221" s="8"/>
      <c r="E221" s="52"/>
      <c r="F221" s="7"/>
      <c r="G221" s="80"/>
      <c r="H221" s="84"/>
      <c r="I221" s="84"/>
      <c r="J221" s="10" t="s">
        <v>411</v>
      </c>
    </row>
    <row r="222" spans="1:10" x14ac:dyDescent="0.15">
      <c r="A222" s="11" t="s">
        <v>11</v>
      </c>
      <c r="B222" s="78">
        <v>40449</v>
      </c>
      <c r="C222" s="82">
        <v>40757</v>
      </c>
      <c r="D222" s="13" t="s">
        <v>446</v>
      </c>
      <c r="E222" s="54">
        <v>3.1504629629629632E-2</v>
      </c>
      <c r="F222" s="2">
        <v>160</v>
      </c>
      <c r="G222" s="83">
        <v>9.94</v>
      </c>
      <c r="H222" s="84">
        <f>E222/G222</f>
        <v>3.1694798420150538E-3</v>
      </c>
      <c r="I222" s="84" t="s">
        <v>436</v>
      </c>
      <c r="J222" s="10" t="s">
        <v>411</v>
      </c>
    </row>
    <row r="223" spans="1:10" x14ac:dyDescent="0.15">
      <c r="A223" s="15">
        <f>SUM(G221:G227)</f>
        <v>42.899999999999991</v>
      </c>
      <c r="B223" s="78">
        <v>40450</v>
      </c>
      <c r="C223" s="82">
        <v>40758</v>
      </c>
      <c r="D223" s="13"/>
      <c r="E223" s="54"/>
      <c r="F223" s="12"/>
      <c r="G223" s="83"/>
      <c r="H223" s="84"/>
      <c r="I223" s="84"/>
      <c r="J223" s="10" t="s">
        <v>411</v>
      </c>
    </row>
    <row r="224" spans="1:10" x14ac:dyDescent="0.15">
      <c r="A224" s="2"/>
      <c r="B224" s="78">
        <v>40451</v>
      </c>
      <c r="C224" s="82">
        <v>40759</v>
      </c>
      <c r="D224" s="13" t="s">
        <v>447</v>
      </c>
      <c r="E224" s="54">
        <v>4.5173611111111109E-2</v>
      </c>
      <c r="F224" s="2">
        <v>151</v>
      </c>
      <c r="G224" s="83">
        <v>13.14</v>
      </c>
      <c r="H224" s="84">
        <f>E224/G224</f>
        <v>3.4378699475731437E-3</v>
      </c>
      <c r="I224" s="84" t="s">
        <v>453</v>
      </c>
      <c r="J224" s="10" t="s">
        <v>411</v>
      </c>
    </row>
    <row r="225" spans="1:10" x14ac:dyDescent="0.15">
      <c r="A225" s="2"/>
      <c r="B225" s="78">
        <v>40452</v>
      </c>
      <c r="C225" s="82">
        <v>40760</v>
      </c>
      <c r="D225" s="13"/>
      <c r="E225" s="54"/>
      <c r="F225" s="12"/>
      <c r="G225" s="83"/>
      <c r="H225" s="84"/>
      <c r="I225" s="84"/>
      <c r="J225" s="10" t="s">
        <v>411</v>
      </c>
    </row>
    <row r="226" spans="1:10" x14ac:dyDescent="0.15">
      <c r="A226" s="2"/>
      <c r="B226" s="78">
        <v>40453</v>
      </c>
      <c r="C226" s="82">
        <v>40761</v>
      </c>
      <c r="D226" s="13" t="s">
        <v>158</v>
      </c>
      <c r="E226" s="54">
        <v>3.2256944444444442E-2</v>
      </c>
      <c r="F226" s="12">
        <v>161</v>
      </c>
      <c r="G226" s="83">
        <v>9.6199999999999992</v>
      </c>
      <c r="H226" s="84">
        <f>E226/G226</f>
        <v>3.3531127281127282E-3</v>
      </c>
      <c r="I226" s="84" t="s">
        <v>434</v>
      </c>
      <c r="J226" s="10" t="s">
        <v>411</v>
      </c>
    </row>
    <row r="227" spans="1:10" x14ac:dyDescent="0.15">
      <c r="A227" s="2"/>
      <c r="B227" s="85">
        <v>40454</v>
      </c>
      <c r="C227" s="82">
        <v>40762</v>
      </c>
      <c r="D227" s="88" t="s">
        <v>452</v>
      </c>
      <c r="E227" s="57">
        <v>4.1574074074074076E-2</v>
      </c>
      <c r="F227" s="2">
        <v>128</v>
      </c>
      <c r="G227" s="86">
        <v>10.199999999999999</v>
      </c>
      <c r="H227" s="87">
        <f>E227/G227</f>
        <v>4.0758896151053018E-3</v>
      </c>
      <c r="I227" s="87" t="s">
        <v>436</v>
      </c>
      <c r="J227" s="10" t="s">
        <v>411</v>
      </c>
    </row>
    <row r="228" spans="1:10" x14ac:dyDescent="0.15">
      <c r="A228" s="4">
        <f>A221+1</f>
        <v>33</v>
      </c>
      <c r="B228" s="78">
        <v>40455</v>
      </c>
      <c r="C228" s="79">
        <v>40763</v>
      </c>
      <c r="D228" s="8"/>
      <c r="E228" s="52"/>
      <c r="F228" s="7"/>
      <c r="G228" s="80"/>
      <c r="H228" s="84"/>
      <c r="I228" s="84"/>
      <c r="J228" s="10" t="s">
        <v>411</v>
      </c>
    </row>
    <row r="229" spans="1:10" x14ac:dyDescent="0.15">
      <c r="A229" s="11" t="s">
        <v>11</v>
      </c>
      <c r="B229" s="78">
        <v>40456</v>
      </c>
      <c r="C229" s="82">
        <v>40764</v>
      </c>
      <c r="D229" s="13" t="s">
        <v>450</v>
      </c>
      <c r="E229" s="54">
        <v>3.5590277777777776E-2</v>
      </c>
      <c r="F229" s="2">
        <v>151</v>
      </c>
      <c r="G229" s="83">
        <v>10</v>
      </c>
      <c r="H229" s="84">
        <f>E229/G229</f>
        <v>3.5590277777777777E-3</v>
      </c>
      <c r="I229" s="84" t="s">
        <v>453</v>
      </c>
      <c r="J229" s="10" t="s">
        <v>411</v>
      </c>
    </row>
    <row r="230" spans="1:10" x14ac:dyDescent="0.15">
      <c r="A230" s="15">
        <f>SUM(G228:G234)</f>
        <v>55.06</v>
      </c>
      <c r="B230" s="78">
        <v>40457</v>
      </c>
      <c r="C230" s="82">
        <v>40765</v>
      </c>
      <c r="D230" s="13"/>
      <c r="E230" s="54"/>
      <c r="F230" s="12"/>
      <c r="G230" s="83"/>
      <c r="H230" s="84"/>
      <c r="I230" s="84"/>
      <c r="J230" s="10" t="s">
        <v>411</v>
      </c>
    </row>
    <row r="231" spans="1:10" x14ac:dyDescent="0.15">
      <c r="A231" s="2"/>
      <c r="B231" s="78">
        <v>40458</v>
      </c>
      <c r="C231" s="82">
        <v>40766</v>
      </c>
      <c r="D231" s="13"/>
      <c r="E231" s="54"/>
      <c r="F231" s="2"/>
      <c r="G231" s="83"/>
      <c r="H231" s="84"/>
      <c r="I231" s="84"/>
      <c r="J231" s="10" t="s">
        <v>411</v>
      </c>
    </row>
    <row r="232" spans="1:10" x14ac:dyDescent="0.15">
      <c r="A232" s="2"/>
      <c r="B232" s="78">
        <v>40459</v>
      </c>
      <c r="C232" s="82">
        <v>40767</v>
      </c>
      <c r="D232" s="13" t="s">
        <v>447</v>
      </c>
      <c r="E232" s="54">
        <v>4.5127314814814808E-2</v>
      </c>
      <c r="F232" s="12">
        <v>151</v>
      </c>
      <c r="G232" s="83">
        <v>13.12</v>
      </c>
      <c r="H232" s="84">
        <f>E232/G232</f>
        <v>3.4395819218608851E-3</v>
      </c>
      <c r="I232" s="84" t="s">
        <v>453</v>
      </c>
      <c r="J232" s="10" t="s">
        <v>411</v>
      </c>
    </row>
    <row r="233" spans="1:10" x14ac:dyDescent="0.15">
      <c r="A233" s="2"/>
      <c r="B233" s="78">
        <v>40460</v>
      </c>
      <c r="C233" s="82">
        <v>40768</v>
      </c>
      <c r="D233" s="13"/>
      <c r="E233" s="54"/>
      <c r="F233" s="12"/>
      <c r="G233" s="83"/>
      <c r="H233" s="84"/>
      <c r="I233" s="84"/>
      <c r="J233" s="10" t="s">
        <v>411</v>
      </c>
    </row>
    <row r="234" spans="1:10" x14ac:dyDescent="0.15">
      <c r="A234" s="2"/>
      <c r="B234" s="85">
        <v>40461</v>
      </c>
      <c r="C234" s="82">
        <v>40769</v>
      </c>
      <c r="D234" s="88" t="s">
        <v>452</v>
      </c>
      <c r="E234" s="57">
        <v>0.12653935185185183</v>
      </c>
      <c r="F234" s="2">
        <v>151</v>
      </c>
      <c r="G234" s="86">
        <v>31.94</v>
      </c>
      <c r="H234" s="87">
        <f>E234/G234</f>
        <v>3.9617830886616101E-3</v>
      </c>
      <c r="I234" s="87" t="s">
        <v>453</v>
      </c>
      <c r="J234" s="10" t="s">
        <v>411</v>
      </c>
    </row>
    <row r="235" spans="1:10" x14ac:dyDescent="0.15">
      <c r="A235" s="4">
        <f>A228+1</f>
        <v>34</v>
      </c>
      <c r="B235" s="78">
        <v>40462</v>
      </c>
      <c r="C235" s="79">
        <v>40770</v>
      </c>
      <c r="D235" s="8"/>
      <c r="E235" s="52"/>
      <c r="F235" s="7"/>
      <c r="G235" s="80"/>
      <c r="H235" s="84"/>
      <c r="I235" s="84"/>
      <c r="J235" s="10" t="s">
        <v>411</v>
      </c>
    </row>
    <row r="236" spans="1:10" x14ac:dyDescent="0.15">
      <c r="A236" s="11" t="s">
        <v>11</v>
      </c>
      <c r="B236" s="78">
        <v>40463</v>
      </c>
      <c r="C236" s="82">
        <v>40771</v>
      </c>
      <c r="D236" s="13" t="s">
        <v>450</v>
      </c>
      <c r="E236" s="54">
        <v>4.0219907407407406E-2</v>
      </c>
      <c r="F236" s="2">
        <v>135</v>
      </c>
      <c r="G236" s="83">
        <v>9.9700000000000006</v>
      </c>
      <c r="H236" s="84">
        <f>E236/G236</f>
        <v>4.0340930198001406E-3</v>
      </c>
      <c r="I236" s="84" t="s">
        <v>436</v>
      </c>
      <c r="J236" s="10" t="s">
        <v>411</v>
      </c>
    </row>
    <row r="237" spans="1:10" x14ac:dyDescent="0.15">
      <c r="A237" s="15">
        <f>SUM(G235:G241)</f>
        <v>34.33</v>
      </c>
      <c r="B237" s="78">
        <v>40464</v>
      </c>
      <c r="C237" s="82">
        <v>40772</v>
      </c>
      <c r="D237" s="13"/>
      <c r="E237" s="54"/>
      <c r="F237" s="12"/>
      <c r="G237" s="83"/>
      <c r="H237" s="84"/>
      <c r="I237" s="84"/>
      <c r="J237" s="10" t="s">
        <v>411</v>
      </c>
    </row>
    <row r="238" spans="1:10" x14ac:dyDescent="0.15">
      <c r="A238" s="2"/>
      <c r="B238" s="78">
        <v>40465</v>
      </c>
      <c r="C238" s="82">
        <v>40773</v>
      </c>
      <c r="D238" s="13" t="s">
        <v>447</v>
      </c>
      <c r="E238" s="54">
        <v>4.520833333333333E-2</v>
      </c>
      <c r="F238" s="2">
        <v>151</v>
      </c>
      <c r="G238" s="83">
        <v>13.09</v>
      </c>
      <c r="H238" s="84">
        <f>E238/G238</f>
        <v>3.4536541889483062E-3</v>
      </c>
      <c r="I238" s="84" t="s">
        <v>436</v>
      </c>
      <c r="J238" s="10" t="s">
        <v>411</v>
      </c>
    </row>
    <row r="239" spans="1:10" x14ac:dyDescent="0.15">
      <c r="A239" s="2"/>
      <c r="B239" s="78">
        <v>40466</v>
      </c>
      <c r="C239" s="82">
        <v>40774</v>
      </c>
      <c r="D239" s="13"/>
      <c r="E239" s="54"/>
      <c r="F239" s="12"/>
      <c r="G239" s="83"/>
      <c r="H239" s="84"/>
      <c r="I239" s="84"/>
      <c r="J239" s="10" t="s">
        <v>411</v>
      </c>
    </row>
    <row r="240" spans="1:10" x14ac:dyDescent="0.15">
      <c r="A240" s="2"/>
      <c r="B240" s="78">
        <v>40467</v>
      </c>
      <c r="C240" s="82">
        <v>40775</v>
      </c>
      <c r="D240" s="13"/>
      <c r="E240" s="54"/>
      <c r="F240" s="12"/>
      <c r="G240" s="83"/>
      <c r="H240" s="84"/>
      <c r="I240" s="84"/>
      <c r="J240" s="10" t="s">
        <v>411</v>
      </c>
    </row>
    <row r="241" spans="1:11" x14ac:dyDescent="0.15">
      <c r="A241" s="2"/>
      <c r="B241" s="85">
        <v>40468</v>
      </c>
      <c r="C241" s="82">
        <v>40776</v>
      </c>
      <c r="D241" s="88" t="s">
        <v>448</v>
      </c>
      <c r="E241" s="57">
        <v>4.2430555555555548E-2</v>
      </c>
      <c r="F241" s="2">
        <v>151</v>
      </c>
      <c r="G241" s="86">
        <v>11.27</v>
      </c>
      <c r="H241" s="87">
        <f>E241/G241</f>
        <v>3.7649117618061712E-3</v>
      </c>
      <c r="I241" s="87" t="s">
        <v>453</v>
      </c>
      <c r="J241" s="10" t="s">
        <v>411</v>
      </c>
    </row>
    <row r="242" spans="1:11" x14ac:dyDescent="0.15">
      <c r="A242" s="4">
        <f>A235+1</f>
        <v>35</v>
      </c>
      <c r="B242" s="78">
        <v>40469</v>
      </c>
      <c r="C242" s="79">
        <v>40777</v>
      </c>
      <c r="D242" s="8"/>
      <c r="E242" s="52"/>
      <c r="F242" s="7"/>
      <c r="G242" s="80"/>
      <c r="H242" s="84"/>
      <c r="I242" s="84"/>
      <c r="J242" s="10" t="s">
        <v>411</v>
      </c>
    </row>
    <row r="243" spans="1:11" x14ac:dyDescent="0.15">
      <c r="A243" s="11" t="s">
        <v>11</v>
      </c>
      <c r="B243" s="78">
        <v>40470</v>
      </c>
      <c r="C243" s="82">
        <v>40778</v>
      </c>
      <c r="D243" s="13"/>
      <c r="E243" s="54"/>
      <c r="F243" s="2"/>
      <c r="G243" s="83"/>
      <c r="H243" s="84"/>
      <c r="I243" s="84"/>
      <c r="J243" s="10" t="s">
        <v>411</v>
      </c>
    </row>
    <row r="244" spans="1:11" x14ac:dyDescent="0.15">
      <c r="A244" s="15">
        <f>SUM(G242:G248)</f>
        <v>60.07</v>
      </c>
      <c r="B244" s="78">
        <v>40471</v>
      </c>
      <c r="C244" s="82">
        <v>40779</v>
      </c>
      <c r="D244" s="13" t="s">
        <v>446</v>
      </c>
      <c r="E244" s="54">
        <v>4.0381944444444449E-2</v>
      </c>
      <c r="F244" s="12">
        <v>151</v>
      </c>
      <c r="G244" s="83">
        <v>12</v>
      </c>
      <c r="H244" s="84">
        <f>E244/G244</f>
        <v>3.3651620370370376E-3</v>
      </c>
      <c r="I244" s="84" t="s">
        <v>436</v>
      </c>
      <c r="J244" s="10" t="s">
        <v>411</v>
      </c>
    </row>
    <row r="245" spans="1:11" x14ac:dyDescent="0.15">
      <c r="A245" s="2"/>
      <c r="B245" s="78">
        <v>40472</v>
      </c>
      <c r="C245" s="82">
        <v>40780</v>
      </c>
      <c r="D245" s="13"/>
      <c r="E245" s="54"/>
      <c r="F245" s="2"/>
      <c r="G245" s="83"/>
      <c r="H245" s="84"/>
      <c r="I245" s="84"/>
      <c r="J245" s="10" t="s">
        <v>411</v>
      </c>
    </row>
    <row r="246" spans="1:11" x14ac:dyDescent="0.15">
      <c r="A246" s="2"/>
      <c r="B246" s="78">
        <v>40473</v>
      </c>
      <c r="C246" s="82">
        <v>40781</v>
      </c>
      <c r="D246" s="13" t="s">
        <v>447</v>
      </c>
      <c r="E246" s="54">
        <v>4.5023148148148145E-2</v>
      </c>
      <c r="F246" s="12">
        <v>151</v>
      </c>
      <c r="G246" s="83">
        <v>13.11</v>
      </c>
      <c r="H246" s="84">
        <f>E246/G246</f>
        <v>3.4342599655338021E-3</v>
      </c>
      <c r="I246" s="84" t="s">
        <v>436</v>
      </c>
      <c r="J246" s="10" t="s">
        <v>411</v>
      </c>
    </row>
    <row r="247" spans="1:11" x14ac:dyDescent="0.15">
      <c r="A247" s="2"/>
      <c r="B247" s="78">
        <v>40474</v>
      </c>
      <c r="C247" s="82">
        <v>40782</v>
      </c>
      <c r="D247" s="13"/>
      <c r="E247" s="54"/>
      <c r="F247" s="12"/>
      <c r="G247" s="83"/>
      <c r="H247" s="84"/>
      <c r="I247" s="84"/>
      <c r="J247" s="10" t="s">
        <v>411</v>
      </c>
    </row>
    <row r="248" spans="1:11" x14ac:dyDescent="0.15">
      <c r="A248" s="2"/>
      <c r="B248" s="85">
        <v>40475</v>
      </c>
      <c r="C248" s="82">
        <v>40783</v>
      </c>
      <c r="D248" s="88" t="s">
        <v>452</v>
      </c>
      <c r="E248" s="57">
        <v>0.13997685185185185</v>
      </c>
      <c r="F248" s="2" t="s">
        <v>437</v>
      </c>
      <c r="G248" s="86">
        <v>34.96</v>
      </c>
      <c r="H248" s="87">
        <f>E248/G248</f>
        <v>4.0039145266548013E-3</v>
      </c>
      <c r="I248" s="87" t="s">
        <v>453</v>
      </c>
      <c r="J248" s="10" t="s">
        <v>411</v>
      </c>
    </row>
    <row r="249" spans="1:11" x14ac:dyDescent="0.15">
      <c r="A249" s="4">
        <f>A242+1</f>
        <v>36</v>
      </c>
      <c r="B249" s="78">
        <v>40476</v>
      </c>
      <c r="C249" s="79">
        <v>40784</v>
      </c>
      <c r="D249" s="8"/>
      <c r="E249" s="52"/>
      <c r="F249" s="7"/>
      <c r="G249" s="80"/>
      <c r="H249" s="84"/>
      <c r="I249" s="84"/>
      <c r="J249" s="10" t="s">
        <v>411</v>
      </c>
    </row>
    <row r="250" spans="1:11" x14ac:dyDescent="0.15">
      <c r="A250" s="11" t="s">
        <v>11</v>
      </c>
      <c r="B250" s="78">
        <v>40477</v>
      </c>
      <c r="C250" s="82">
        <v>40785</v>
      </c>
      <c r="D250" s="13" t="s">
        <v>450</v>
      </c>
      <c r="E250" s="54" t="s">
        <v>437</v>
      </c>
      <c r="F250" s="2" t="s">
        <v>437</v>
      </c>
      <c r="G250" s="83">
        <v>10</v>
      </c>
      <c r="H250" s="84" t="s">
        <v>437</v>
      </c>
      <c r="I250" s="84" t="s">
        <v>436</v>
      </c>
      <c r="J250" s="10" t="s">
        <v>411</v>
      </c>
    </row>
    <row r="251" spans="1:11" x14ac:dyDescent="0.15">
      <c r="A251" s="15">
        <f>SUM(G249:G255)</f>
        <v>33.22</v>
      </c>
      <c r="B251" s="78">
        <v>40478</v>
      </c>
      <c r="C251" s="82">
        <v>40786</v>
      </c>
      <c r="D251" s="13"/>
      <c r="E251" s="54"/>
      <c r="F251" s="12"/>
      <c r="G251" s="83"/>
      <c r="H251" s="84"/>
      <c r="I251" s="84"/>
      <c r="J251" s="10" t="s">
        <v>411</v>
      </c>
      <c r="K251" s="130" t="s">
        <v>454</v>
      </c>
    </row>
    <row r="252" spans="1:11" x14ac:dyDescent="0.15">
      <c r="A252" s="2"/>
      <c r="B252" s="78">
        <v>40479</v>
      </c>
      <c r="C252" s="82">
        <v>40787</v>
      </c>
      <c r="D252" s="13"/>
      <c r="E252" s="54"/>
      <c r="F252" s="2"/>
      <c r="G252" s="83"/>
      <c r="H252" s="84"/>
      <c r="I252" s="84"/>
      <c r="J252" s="10" t="s">
        <v>411</v>
      </c>
      <c r="K252" s="130"/>
    </row>
    <row r="253" spans="1:11" x14ac:dyDescent="0.15">
      <c r="A253" s="2"/>
      <c r="B253" s="78">
        <v>40480</v>
      </c>
      <c r="C253" s="82">
        <v>40788</v>
      </c>
      <c r="D253" s="13"/>
      <c r="E253" s="54"/>
      <c r="F253" s="12"/>
      <c r="G253" s="83"/>
      <c r="H253" s="84"/>
      <c r="I253" s="84"/>
      <c r="J253" s="10" t="s">
        <v>411</v>
      </c>
      <c r="K253" s="131"/>
    </row>
    <row r="254" spans="1:11" x14ac:dyDescent="0.15">
      <c r="A254" s="2"/>
      <c r="B254" s="78">
        <v>40481</v>
      </c>
      <c r="C254" s="82">
        <v>40789</v>
      </c>
      <c r="D254" s="13" t="s">
        <v>452</v>
      </c>
      <c r="E254" s="54">
        <v>9.9224537037037028E-2</v>
      </c>
      <c r="F254" s="12">
        <v>139</v>
      </c>
      <c r="G254" s="83">
        <v>23.22</v>
      </c>
      <c r="H254" s="84">
        <f>E254/G254</f>
        <v>4.2732358758413884E-3</v>
      </c>
      <c r="I254" s="84" t="s">
        <v>453</v>
      </c>
      <c r="J254" s="10" t="s">
        <v>411</v>
      </c>
      <c r="K254" s="131"/>
    </row>
    <row r="255" spans="1:11" x14ac:dyDescent="0.15">
      <c r="A255" s="2"/>
      <c r="B255" s="85">
        <v>40482</v>
      </c>
      <c r="C255" s="82">
        <v>40790</v>
      </c>
      <c r="D255" s="88"/>
      <c r="E255" s="57"/>
      <c r="F255" s="2"/>
      <c r="G255" s="86"/>
      <c r="H255" s="87"/>
      <c r="I255" s="87"/>
      <c r="J255" s="10" t="s">
        <v>411</v>
      </c>
      <c r="K255" s="131"/>
    </row>
    <row r="256" spans="1:11" x14ac:dyDescent="0.15">
      <c r="A256" s="4">
        <f>A249+1</f>
        <v>37</v>
      </c>
      <c r="B256" s="78">
        <v>40483</v>
      </c>
      <c r="C256" s="79">
        <v>40791</v>
      </c>
      <c r="D256" s="8"/>
      <c r="E256" s="52"/>
      <c r="F256" s="7"/>
      <c r="G256" s="80"/>
      <c r="H256" s="84"/>
      <c r="I256" s="84"/>
      <c r="J256" s="10" t="s">
        <v>411</v>
      </c>
    </row>
    <row r="257" spans="1:10" x14ac:dyDescent="0.15">
      <c r="A257" s="11" t="s">
        <v>11</v>
      </c>
      <c r="B257" s="78">
        <v>40484</v>
      </c>
      <c r="C257" s="82">
        <v>40792</v>
      </c>
      <c r="D257" s="13" t="s">
        <v>452</v>
      </c>
      <c r="E257" s="54">
        <v>4.89699074074074E-2</v>
      </c>
      <c r="F257" s="2">
        <v>138</v>
      </c>
      <c r="G257" s="83">
        <v>13.05</v>
      </c>
      <c r="H257" s="84">
        <f>E257/G257</f>
        <v>3.7524833262381147E-3</v>
      </c>
      <c r="I257" s="84" t="s">
        <v>436</v>
      </c>
      <c r="J257" s="10" t="s">
        <v>411</v>
      </c>
    </row>
    <row r="258" spans="1:10" x14ac:dyDescent="0.15">
      <c r="A258" s="15">
        <f>SUM(G256:G262)</f>
        <v>22.71</v>
      </c>
      <c r="B258" s="78">
        <v>40485</v>
      </c>
      <c r="C258" s="82">
        <v>40793</v>
      </c>
      <c r="D258" s="13"/>
      <c r="E258" s="54"/>
      <c r="F258" s="12"/>
      <c r="G258" s="83"/>
      <c r="H258" s="84"/>
      <c r="I258" s="84"/>
      <c r="J258" s="10" t="s">
        <v>411</v>
      </c>
    </row>
    <row r="259" spans="1:10" x14ac:dyDescent="0.15">
      <c r="A259" s="2"/>
      <c r="B259" s="78">
        <v>40486</v>
      </c>
      <c r="C259" s="82">
        <v>40794</v>
      </c>
      <c r="D259" s="13"/>
      <c r="E259" s="54"/>
      <c r="F259" s="2"/>
      <c r="G259" s="83"/>
      <c r="H259" s="84"/>
      <c r="I259" s="84"/>
      <c r="J259" s="10" t="s">
        <v>411</v>
      </c>
    </row>
    <row r="260" spans="1:10" x14ac:dyDescent="0.15">
      <c r="A260" s="2"/>
      <c r="B260" s="78">
        <v>40487</v>
      </c>
      <c r="C260" s="82">
        <v>40795</v>
      </c>
      <c r="D260" s="13"/>
      <c r="E260" s="54"/>
      <c r="F260" s="12"/>
      <c r="G260" s="83"/>
      <c r="H260" s="84"/>
      <c r="I260" s="84"/>
      <c r="J260" s="10" t="s">
        <v>411</v>
      </c>
    </row>
    <row r="261" spans="1:10" x14ac:dyDescent="0.15">
      <c r="A261" s="2"/>
      <c r="B261" s="78">
        <v>40488</v>
      </c>
      <c r="C261" s="82">
        <v>40796</v>
      </c>
      <c r="D261" s="13" t="s">
        <v>158</v>
      </c>
      <c r="E261" s="54">
        <v>3.1932870370370368E-2</v>
      </c>
      <c r="F261" s="12">
        <v>156</v>
      </c>
      <c r="G261" s="83">
        <v>9.66</v>
      </c>
      <c r="H261" s="84">
        <f>E261/G261</f>
        <v>3.3056801625642204E-3</v>
      </c>
      <c r="I261" s="84"/>
      <c r="J261" s="10" t="s">
        <v>411</v>
      </c>
    </row>
    <row r="262" spans="1:10" x14ac:dyDescent="0.15">
      <c r="A262" s="2"/>
      <c r="B262" s="85">
        <v>40489</v>
      </c>
      <c r="C262" s="82">
        <v>40797</v>
      </c>
      <c r="D262" s="88"/>
      <c r="E262" s="57"/>
      <c r="F262" s="2"/>
      <c r="G262" s="86"/>
      <c r="H262" s="87"/>
      <c r="I262" s="87"/>
      <c r="J262" s="10" t="s">
        <v>411</v>
      </c>
    </row>
    <row r="263" spans="1:10" x14ac:dyDescent="0.15">
      <c r="A263" s="4">
        <f>A256+1</f>
        <v>38</v>
      </c>
      <c r="B263" s="78">
        <v>40490</v>
      </c>
      <c r="C263" s="79">
        <v>40798</v>
      </c>
      <c r="D263" s="8"/>
      <c r="E263" s="52"/>
      <c r="F263" s="7"/>
      <c r="G263" s="80"/>
      <c r="H263" s="84"/>
      <c r="I263" s="84"/>
      <c r="J263" s="10" t="s">
        <v>411</v>
      </c>
    </row>
    <row r="264" spans="1:10" x14ac:dyDescent="0.15">
      <c r="A264" s="11" t="s">
        <v>11</v>
      </c>
      <c r="B264" s="78">
        <v>40491</v>
      </c>
      <c r="C264" s="82">
        <v>40799</v>
      </c>
      <c r="D264" s="13" t="s">
        <v>447</v>
      </c>
      <c r="E264" s="54">
        <v>4.7025462962962963E-2</v>
      </c>
      <c r="F264" s="2">
        <v>136</v>
      </c>
      <c r="G264" s="83">
        <v>10.81</v>
      </c>
      <c r="H264" s="84">
        <f>E264/G264</f>
        <v>4.3501815876931509E-3</v>
      </c>
      <c r="I264" s="84" t="s">
        <v>436</v>
      </c>
      <c r="J264" s="10" t="s">
        <v>411</v>
      </c>
    </row>
    <row r="265" spans="1:10" x14ac:dyDescent="0.15">
      <c r="A265" s="15">
        <f>SUM(G263:G269)</f>
        <v>49.24</v>
      </c>
      <c r="B265" s="78">
        <v>40492</v>
      </c>
      <c r="C265" s="82">
        <v>40800</v>
      </c>
      <c r="D265" s="13"/>
      <c r="E265" s="54"/>
      <c r="F265" s="12"/>
      <c r="G265" s="83"/>
      <c r="H265" s="84"/>
      <c r="I265" s="84"/>
      <c r="J265" s="10" t="s">
        <v>411</v>
      </c>
    </row>
    <row r="266" spans="1:10" x14ac:dyDescent="0.15">
      <c r="A266" s="2"/>
      <c r="B266" s="78">
        <v>40493</v>
      </c>
      <c r="C266" s="82">
        <v>40801</v>
      </c>
      <c r="D266" s="13" t="s">
        <v>452</v>
      </c>
      <c r="E266" s="54">
        <v>0.12399305555555556</v>
      </c>
      <c r="F266" s="2">
        <v>136</v>
      </c>
      <c r="G266" s="83">
        <v>30.12</v>
      </c>
      <c r="H266" s="84">
        <f>E266/G266</f>
        <v>4.1166353106094145E-3</v>
      </c>
      <c r="I266" s="84" t="s">
        <v>453</v>
      </c>
      <c r="J266" s="10" t="s">
        <v>411</v>
      </c>
    </row>
    <row r="267" spans="1:10" x14ac:dyDescent="0.15">
      <c r="A267" s="2"/>
      <c r="B267" s="78">
        <v>40494</v>
      </c>
      <c r="C267" s="82">
        <v>40802</v>
      </c>
      <c r="D267" s="13"/>
      <c r="E267" s="54"/>
      <c r="F267" s="12"/>
      <c r="G267" s="83"/>
      <c r="H267" s="84"/>
      <c r="I267" s="84"/>
      <c r="J267" s="10" t="s">
        <v>411</v>
      </c>
    </row>
    <row r="268" spans="1:10" x14ac:dyDescent="0.15">
      <c r="A268" s="2"/>
      <c r="B268" s="78">
        <v>40495</v>
      </c>
      <c r="C268" s="82">
        <v>40803</v>
      </c>
      <c r="D268" s="13" t="s">
        <v>158</v>
      </c>
      <c r="E268" s="54">
        <v>2.6921296296296297E-2</v>
      </c>
      <c r="F268" s="12">
        <v>166</v>
      </c>
      <c r="G268" s="83">
        <v>8.31</v>
      </c>
      <c r="H268" s="84">
        <f>E268/G268</f>
        <v>3.2396265097829479E-3</v>
      </c>
      <c r="I268" s="84" t="s">
        <v>436</v>
      </c>
      <c r="J268" s="10" t="s">
        <v>411</v>
      </c>
    </row>
    <row r="269" spans="1:10" x14ac:dyDescent="0.15">
      <c r="A269" s="2"/>
      <c r="B269" s="85">
        <v>40496</v>
      </c>
      <c r="C269" s="82">
        <v>40804</v>
      </c>
      <c r="D269" s="88"/>
      <c r="E269" s="57"/>
      <c r="F269" s="2"/>
      <c r="G269" s="86"/>
      <c r="H269" s="87"/>
      <c r="I269" s="87"/>
      <c r="J269" s="10" t="s">
        <v>411</v>
      </c>
    </row>
    <row r="270" spans="1:10" x14ac:dyDescent="0.15">
      <c r="A270" s="4">
        <f>A263+1</f>
        <v>39</v>
      </c>
      <c r="B270" s="78">
        <v>40497</v>
      </c>
      <c r="C270" s="79">
        <v>40805</v>
      </c>
      <c r="D270" s="8"/>
      <c r="E270" s="52"/>
      <c r="F270" s="7"/>
      <c r="G270" s="80"/>
      <c r="H270" s="84"/>
      <c r="I270" s="84"/>
      <c r="J270" s="10" t="s">
        <v>411</v>
      </c>
    </row>
    <row r="271" spans="1:10" x14ac:dyDescent="0.15">
      <c r="A271" s="11" t="s">
        <v>11</v>
      </c>
      <c r="B271" s="78">
        <v>40498</v>
      </c>
      <c r="C271" s="82">
        <v>40806</v>
      </c>
      <c r="D271" s="13" t="s">
        <v>447</v>
      </c>
      <c r="E271" s="54">
        <v>2.7384259259259261E-2</v>
      </c>
      <c r="F271" s="2">
        <v>148</v>
      </c>
      <c r="G271" s="83">
        <v>8.02</v>
      </c>
      <c r="H271" s="84">
        <f>E271/G271</f>
        <v>3.4144961669899331E-3</v>
      </c>
      <c r="I271" s="84" t="s">
        <v>453</v>
      </c>
      <c r="J271" s="10" t="s">
        <v>411</v>
      </c>
    </row>
    <row r="272" spans="1:10" x14ac:dyDescent="0.15">
      <c r="A272" s="15">
        <f>SUM(G270:G276)</f>
        <v>55.660000000000004</v>
      </c>
      <c r="B272" s="78">
        <v>40499</v>
      </c>
      <c r="C272" s="82">
        <v>40807</v>
      </c>
      <c r="D272" s="13"/>
      <c r="E272" s="54"/>
      <c r="F272" s="12"/>
      <c r="G272" s="83"/>
      <c r="H272" s="84"/>
      <c r="I272" s="84"/>
      <c r="J272" s="10" t="s">
        <v>411</v>
      </c>
    </row>
    <row r="273" spans="1:10" x14ac:dyDescent="0.15">
      <c r="A273" s="2"/>
      <c r="B273" s="78">
        <v>40500</v>
      </c>
      <c r="C273" s="82">
        <v>40808</v>
      </c>
      <c r="D273" s="13"/>
      <c r="E273" s="54"/>
      <c r="F273" s="2"/>
      <c r="G273" s="83"/>
      <c r="H273" s="84"/>
      <c r="I273" s="84"/>
      <c r="J273" s="10" t="s">
        <v>411</v>
      </c>
    </row>
    <row r="274" spans="1:10" x14ac:dyDescent="0.15">
      <c r="A274" s="2"/>
      <c r="B274" s="78">
        <v>40501</v>
      </c>
      <c r="C274" s="82">
        <v>40809</v>
      </c>
      <c r="D274" s="13"/>
      <c r="E274" s="54"/>
      <c r="F274" s="12"/>
      <c r="G274" s="83"/>
      <c r="H274" s="84"/>
      <c r="I274" s="84"/>
      <c r="J274" s="10" t="s">
        <v>411</v>
      </c>
    </row>
    <row r="275" spans="1:10" x14ac:dyDescent="0.15">
      <c r="A275" s="2"/>
      <c r="B275" s="78">
        <v>40502</v>
      </c>
      <c r="C275" s="82">
        <v>40810</v>
      </c>
      <c r="D275" s="13" t="s">
        <v>450</v>
      </c>
      <c r="E275" s="54">
        <v>2.8182870370370369E-2</v>
      </c>
      <c r="F275" s="12" t="s">
        <v>437</v>
      </c>
      <c r="G275" s="83">
        <v>5.44</v>
      </c>
      <c r="H275" s="84">
        <f>E275/G275</f>
        <v>5.1806747004357291E-3</v>
      </c>
      <c r="I275" s="84" t="s">
        <v>453</v>
      </c>
      <c r="J275" s="10" t="s">
        <v>411</v>
      </c>
    </row>
    <row r="276" spans="1:10" x14ac:dyDescent="0.15">
      <c r="A276" s="2"/>
      <c r="B276" s="85">
        <v>40503</v>
      </c>
      <c r="C276" s="82">
        <v>40811</v>
      </c>
      <c r="D276" s="132" t="s">
        <v>158</v>
      </c>
      <c r="E276" s="133">
        <v>0.15234953703703705</v>
      </c>
      <c r="F276" s="134">
        <v>157</v>
      </c>
      <c r="G276" s="135">
        <v>42.2</v>
      </c>
      <c r="H276" s="136">
        <f>E276/G276</f>
        <v>3.6101786027733897E-3</v>
      </c>
      <c r="I276" s="136" t="s">
        <v>453</v>
      </c>
      <c r="J276" s="10" t="s">
        <v>411</v>
      </c>
    </row>
    <row r="277" spans="1:10" x14ac:dyDescent="0.15">
      <c r="A277" s="4">
        <f>A270+1</f>
        <v>40</v>
      </c>
      <c r="B277" s="78">
        <v>40504</v>
      </c>
      <c r="C277" s="79">
        <v>40812</v>
      </c>
      <c r="D277" s="8"/>
      <c r="E277" s="52"/>
      <c r="F277" s="7"/>
      <c r="G277" s="80"/>
      <c r="H277" s="81"/>
      <c r="I277" s="81"/>
      <c r="J277" s="10" t="s">
        <v>411</v>
      </c>
    </row>
    <row r="278" spans="1:10" x14ac:dyDescent="0.15">
      <c r="A278" s="11" t="s">
        <v>11</v>
      </c>
      <c r="B278" s="78">
        <v>40505</v>
      </c>
      <c r="C278" s="82">
        <v>40813</v>
      </c>
      <c r="D278" s="13"/>
      <c r="E278" s="54"/>
      <c r="F278" s="2"/>
      <c r="G278" s="83"/>
      <c r="H278" s="84"/>
      <c r="I278" s="84"/>
      <c r="J278" s="10" t="s">
        <v>411</v>
      </c>
    </row>
    <row r="279" spans="1:10" x14ac:dyDescent="0.15">
      <c r="A279" s="15">
        <f>SUM(G277:G283)</f>
        <v>9.6</v>
      </c>
      <c r="B279" s="78">
        <v>40506</v>
      </c>
      <c r="C279" s="82">
        <v>40814</v>
      </c>
      <c r="D279" s="13"/>
      <c r="E279" s="54"/>
      <c r="F279" s="12"/>
      <c r="G279" s="83"/>
      <c r="H279" s="84"/>
      <c r="I279" s="84"/>
      <c r="J279" s="10" t="s">
        <v>411</v>
      </c>
    </row>
    <row r="280" spans="1:10" x14ac:dyDescent="0.15">
      <c r="A280" s="2"/>
      <c r="B280" s="78">
        <v>40507</v>
      </c>
      <c r="C280" s="82">
        <v>40815</v>
      </c>
      <c r="D280" s="13"/>
      <c r="E280" s="54"/>
      <c r="F280" s="2"/>
      <c r="G280" s="83"/>
      <c r="H280" s="84"/>
      <c r="I280" s="84"/>
      <c r="J280" s="10" t="s">
        <v>411</v>
      </c>
    </row>
    <row r="281" spans="1:10" x14ac:dyDescent="0.15">
      <c r="A281" s="2"/>
      <c r="B281" s="78">
        <v>40508</v>
      </c>
      <c r="C281" s="82">
        <v>40816</v>
      </c>
      <c r="D281" s="13"/>
      <c r="E281" s="54"/>
      <c r="F281" s="12"/>
      <c r="G281" s="83"/>
      <c r="H281" s="84"/>
      <c r="I281" s="84"/>
      <c r="J281" s="10" t="s">
        <v>411</v>
      </c>
    </row>
    <row r="282" spans="1:10" x14ac:dyDescent="0.15">
      <c r="A282" s="2"/>
      <c r="B282" s="78">
        <v>40509</v>
      </c>
      <c r="C282" s="82">
        <v>40817</v>
      </c>
      <c r="D282" s="13"/>
      <c r="E282" s="54"/>
      <c r="F282" s="12"/>
      <c r="G282" s="83"/>
      <c r="H282" s="84"/>
      <c r="I282" s="84"/>
      <c r="J282" s="10" t="s">
        <v>411</v>
      </c>
    </row>
    <row r="283" spans="1:10" x14ac:dyDescent="0.15">
      <c r="A283" s="2"/>
      <c r="B283" s="85">
        <v>40510</v>
      </c>
      <c r="C283" s="82">
        <v>40818</v>
      </c>
      <c r="D283" s="17" t="s">
        <v>14</v>
      </c>
      <c r="E283" s="54">
        <v>3.3194444444444443E-2</v>
      </c>
      <c r="F283" s="2">
        <v>153</v>
      </c>
      <c r="G283" s="86">
        <v>9.6</v>
      </c>
      <c r="H283" s="87">
        <f>E283/G283</f>
        <v>3.4577546296296296E-3</v>
      </c>
      <c r="I283" s="87" t="s">
        <v>455</v>
      </c>
      <c r="J283" s="10" t="s">
        <v>411</v>
      </c>
    </row>
    <row r="284" spans="1:10" x14ac:dyDescent="0.15">
      <c r="A284" s="4">
        <f>A277+1</f>
        <v>41</v>
      </c>
      <c r="B284" s="78">
        <v>40511</v>
      </c>
      <c r="C284" s="79">
        <v>40819</v>
      </c>
      <c r="D284" s="8"/>
      <c r="E284" s="52"/>
      <c r="F284" s="7"/>
      <c r="G284" s="80"/>
      <c r="H284" s="81"/>
      <c r="I284" s="81"/>
      <c r="J284" s="10" t="s">
        <v>411</v>
      </c>
    </row>
    <row r="285" spans="1:10" x14ac:dyDescent="0.15">
      <c r="A285" s="11" t="s">
        <v>11</v>
      </c>
      <c r="B285" s="78">
        <v>40512</v>
      </c>
      <c r="C285" s="82">
        <v>40820</v>
      </c>
      <c r="D285" s="13"/>
      <c r="E285" s="54"/>
      <c r="F285" s="2"/>
      <c r="G285" s="83"/>
      <c r="H285" s="84"/>
      <c r="I285" s="84"/>
      <c r="J285" s="10" t="s">
        <v>411</v>
      </c>
    </row>
    <row r="286" spans="1:10" x14ac:dyDescent="0.15">
      <c r="A286" s="15">
        <f>SUM(G284:G290)</f>
        <v>19.619999999999997</v>
      </c>
      <c r="B286" s="78">
        <v>40513</v>
      </c>
      <c r="C286" s="82">
        <v>40821</v>
      </c>
      <c r="D286" s="13" t="s">
        <v>14</v>
      </c>
      <c r="E286" s="54">
        <v>3.6863425925925924E-2</v>
      </c>
      <c r="F286" s="12">
        <v>145</v>
      </c>
      <c r="G286" s="83">
        <v>10.01</v>
      </c>
      <c r="H286" s="84">
        <f>E286/G286</f>
        <v>3.6826599326599328E-3</v>
      </c>
      <c r="I286" s="84" t="s">
        <v>436</v>
      </c>
      <c r="J286" s="10" t="s">
        <v>411</v>
      </c>
    </row>
    <row r="287" spans="1:10" x14ac:dyDescent="0.15">
      <c r="A287" s="2"/>
      <c r="B287" s="78">
        <v>40514</v>
      </c>
      <c r="C287" s="82">
        <v>40822</v>
      </c>
      <c r="D287" s="13"/>
      <c r="E287" s="54"/>
      <c r="F287" s="2"/>
      <c r="G287" s="83"/>
      <c r="H287" s="84"/>
      <c r="I287" s="84"/>
      <c r="J287" s="10" t="s">
        <v>411</v>
      </c>
    </row>
    <row r="288" spans="1:10" x14ac:dyDescent="0.15">
      <c r="A288" s="2"/>
      <c r="B288" s="78">
        <v>40515</v>
      </c>
      <c r="C288" s="82">
        <v>40823</v>
      </c>
      <c r="D288" s="13"/>
      <c r="E288" s="54"/>
      <c r="F288" s="12"/>
      <c r="G288" s="83"/>
      <c r="H288" s="84"/>
      <c r="I288" s="84"/>
      <c r="J288" s="10" t="s">
        <v>411</v>
      </c>
    </row>
    <row r="289" spans="1:10" x14ac:dyDescent="0.15">
      <c r="A289" s="2"/>
      <c r="B289" s="78">
        <v>40516</v>
      </c>
      <c r="C289" s="82">
        <v>40824</v>
      </c>
      <c r="D289" s="13"/>
      <c r="E289" s="54"/>
      <c r="F289" s="12"/>
      <c r="G289" s="83"/>
      <c r="H289" s="84"/>
      <c r="I289" s="84"/>
      <c r="J289" s="10" t="s">
        <v>411</v>
      </c>
    </row>
    <row r="290" spans="1:10" x14ac:dyDescent="0.15">
      <c r="A290" s="2"/>
      <c r="B290" s="85">
        <v>40517</v>
      </c>
      <c r="C290" s="82">
        <v>40825</v>
      </c>
      <c r="D290" s="17" t="s">
        <v>14</v>
      </c>
      <c r="E290" s="54">
        <v>3.5648148148148144E-2</v>
      </c>
      <c r="F290" s="2">
        <v>148</v>
      </c>
      <c r="G290" s="86">
        <v>9.61</v>
      </c>
      <c r="H290" s="87">
        <f>E290/G290</f>
        <v>3.7094847188499634E-3</v>
      </c>
      <c r="I290" s="87" t="s">
        <v>455</v>
      </c>
      <c r="J290" s="10" t="s">
        <v>411</v>
      </c>
    </row>
    <row r="291" spans="1:10" x14ac:dyDescent="0.15">
      <c r="A291" s="4">
        <f>A284+1</f>
        <v>42</v>
      </c>
      <c r="B291" s="78">
        <v>40518</v>
      </c>
      <c r="C291" s="79">
        <v>40826</v>
      </c>
      <c r="D291" s="8"/>
      <c r="E291" s="52"/>
      <c r="F291" s="7"/>
      <c r="G291" s="80"/>
      <c r="H291" s="81"/>
      <c r="I291" s="81"/>
      <c r="J291" s="10" t="s">
        <v>411</v>
      </c>
    </row>
    <row r="292" spans="1:10" x14ac:dyDescent="0.15">
      <c r="A292" s="11" t="s">
        <v>11</v>
      </c>
      <c r="B292" s="78">
        <v>40519</v>
      </c>
      <c r="C292" s="82">
        <v>40827</v>
      </c>
      <c r="D292" s="13"/>
      <c r="E292" s="54"/>
      <c r="F292" s="2"/>
      <c r="G292" s="83"/>
      <c r="H292" s="84"/>
      <c r="I292" s="84"/>
      <c r="J292" s="10" t="s">
        <v>411</v>
      </c>
    </row>
    <row r="293" spans="1:10" x14ac:dyDescent="0.15">
      <c r="A293" s="15">
        <f>SUM(G291:G297)</f>
        <v>0</v>
      </c>
      <c r="B293" s="78">
        <v>40520</v>
      </c>
      <c r="C293" s="82">
        <v>40828</v>
      </c>
      <c r="D293" s="13"/>
      <c r="E293" s="54"/>
      <c r="F293" s="12"/>
      <c r="G293" s="83"/>
      <c r="H293" s="84"/>
      <c r="I293" s="84"/>
      <c r="J293" s="10" t="s">
        <v>411</v>
      </c>
    </row>
    <row r="294" spans="1:10" x14ac:dyDescent="0.15">
      <c r="A294" s="2"/>
      <c r="B294" s="78">
        <v>40521</v>
      </c>
      <c r="C294" s="82">
        <v>40829</v>
      </c>
      <c r="D294" s="13"/>
      <c r="E294" s="54"/>
      <c r="F294" s="2"/>
      <c r="G294" s="83"/>
      <c r="H294" s="84"/>
      <c r="I294" s="84"/>
      <c r="J294" s="10" t="s">
        <v>411</v>
      </c>
    </row>
    <row r="295" spans="1:10" x14ac:dyDescent="0.15">
      <c r="A295" s="2"/>
      <c r="B295" s="78">
        <v>40522</v>
      </c>
      <c r="C295" s="82">
        <v>40830</v>
      </c>
      <c r="D295" s="13"/>
      <c r="E295" s="54"/>
      <c r="F295" s="12"/>
      <c r="G295" s="83"/>
      <c r="H295" s="84"/>
      <c r="I295" s="84"/>
      <c r="J295" s="10" t="s">
        <v>411</v>
      </c>
    </row>
    <row r="296" spans="1:10" x14ac:dyDescent="0.15">
      <c r="A296" s="2"/>
      <c r="B296" s="78">
        <v>40523</v>
      </c>
      <c r="C296" s="82">
        <v>40831</v>
      </c>
      <c r="D296" s="13"/>
      <c r="E296" s="54"/>
      <c r="F296" s="12"/>
      <c r="G296" s="83"/>
      <c r="H296" s="84"/>
      <c r="I296" s="84"/>
      <c r="J296" s="10" t="s">
        <v>411</v>
      </c>
    </row>
    <row r="297" spans="1:10" x14ac:dyDescent="0.15">
      <c r="A297" s="2"/>
      <c r="B297" s="85">
        <v>40524</v>
      </c>
      <c r="C297" s="82">
        <v>40832</v>
      </c>
      <c r="D297" s="17"/>
      <c r="E297" s="54"/>
      <c r="F297" s="2"/>
      <c r="G297" s="86"/>
      <c r="H297" s="87"/>
      <c r="I297" s="87"/>
      <c r="J297" s="10" t="s">
        <v>411</v>
      </c>
    </row>
    <row r="298" spans="1:10" x14ac:dyDescent="0.15">
      <c r="A298" s="4">
        <f>A291+1</f>
        <v>43</v>
      </c>
      <c r="B298" s="78">
        <v>40525</v>
      </c>
      <c r="C298" s="79">
        <v>40833</v>
      </c>
      <c r="D298" s="8"/>
      <c r="E298" s="52"/>
      <c r="F298" s="7"/>
      <c r="G298" s="80"/>
      <c r="H298" s="81"/>
      <c r="I298" s="81"/>
      <c r="J298" s="10" t="s">
        <v>411</v>
      </c>
    </row>
    <row r="299" spans="1:10" x14ac:dyDescent="0.15">
      <c r="A299" s="11" t="s">
        <v>11</v>
      </c>
      <c r="B299" s="78">
        <v>40526</v>
      </c>
      <c r="C299" s="82">
        <v>40834</v>
      </c>
      <c r="D299" s="13"/>
      <c r="E299" s="54"/>
      <c r="F299" s="2"/>
      <c r="G299" s="83"/>
      <c r="H299" s="84"/>
      <c r="I299" s="84"/>
      <c r="J299" s="10" t="s">
        <v>411</v>
      </c>
    </row>
    <row r="300" spans="1:10" x14ac:dyDescent="0.15">
      <c r="A300" s="15">
        <f>SUM(G298:G304)</f>
        <v>21.08</v>
      </c>
      <c r="B300" s="78">
        <v>40527</v>
      </c>
      <c r="C300" s="82">
        <v>40835</v>
      </c>
      <c r="D300" s="13"/>
      <c r="E300" s="54"/>
      <c r="F300" s="12"/>
      <c r="G300" s="83"/>
      <c r="H300" s="84"/>
      <c r="I300" s="84"/>
      <c r="J300" s="10" t="s">
        <v>411</v>
      </c>
    </row>
    <row r="301" spans="1:10" x14ac:dyDescent="0.15">
      <c r="A301" s="2"/>
      <c r="B301" s="78">
        <v>40528</v>
      </c>
      <c r="C301" s="82">
        <v>40836</v>
      </c>
      <c r="D301" s="13" t="s">
        <v>14</v>
      </c>
      <c r="E301" s="54">
        <v>4.0960648148148149E-2</v>
      </c>
      <c r="F301" s="2">
        <v>147</v>
      </c>
      <c r="G301" s="83">
        <v>10.02</v>
      </c>
      <c r="H301" s="84">
        <f>E301/G301</f>
        <v>4.0878890367413321E-3</v>
      </c>
      <c r="I301" s="84" t="s">
        <v>455</v>
      </c>
      <c r="J301" s="10" t="s">
        <v>411</v>
      </c>
    </row>
    <row r="302" spans="1:10" x14ac:dyDescent="0.15">
      <c r="A302" s="2"/>
      <c r="B302" s="78">
        <v>40529</v>
      </c>
      <c r="C302" s="82">
        <v>40837</v>
      </c>
      <c r="D302" s="13"/>
      <c r="E302" s="54"/>
      <c r="F302" s="12"/>
      <c r="G302" s="83"/>
      <c r="H302" s="84"/>
      <c r="I302" s="84"/>
      <c r="J302" s="10" t="s">
        <v>411</v>
      </c>
    </row>
    <row r="303" spans="1:10" x14ac:dyDescent="0.15">
      <c r="A303" s="2"/>
      <c r="B303" s="78">
        <v>40530</v>
      </c>
      <c r="C303" s="82">
        <v>40838</v>
      </c>
      <c r="D303" s="13" t="s">
        <v>14</v>
      </c>
      <c r="E303" s="54">
        <v>4.0370370370370376E-2</v>
      </c>
      <c r="F303" s="12">
        <v>153</v>
      </c>
      <c r="G303" s="83">
        <v>11.06</v>
      </c>
      <c r="H303" s="84">
        <f>E303/G303</f>
        <v>3.6501239032884604E-3</v>
      </c>
      <c r="I303" s="84" t="s">
        <v>455</v>
      </c>
      <c r="J303" s="10" t="s">
        <v>411</v>
      </c>
    </row>
    <row r="304" spans="1:10" x14ac:dyDescent="0.15">
      <c r="A304" s="2"/>
      <c r="B304" s="85">
        <v>40531</v>
      </c>
      <c r="C304" s="82">
        <v>40839</v>
      </c>
      <c r="D304" s="17"/>
      <c r="E304" s="54"/>
      <c r="F304" s="2"/>
      <c r="G304" s="86"/>
      <c r="H304" s="87"/>
      <c r="I304" s="87"/>
      <c r="J304" s="10" t="s">
        <v>411</v>
      </c>
    </row>
    <row r="305" spans="1:10" x14ac:dyDescent="0.15">
      <c r="A305" s="4">
        <f>A298+1</f>
        <v>44</v>
      </c>
      <c r="B305" s="78">
        <v>40532</v>
      </c>
      <c r="C305" s="79">
        <v>40840</v>
      </c>
      <c r="D305" s="8"/>
      <c r="E305" s="52"/>
      <c r="F305" s="7"/>
      <c r="G305" s="80"/>
      <c r="H305" s="81"/>
      <c r="I305" s="81"/>
      <c r="J305" s="10" t="s">
        <v>411</v>
      </c>
    </row>
    <row r="306" spans="1:10" x14ac:dyDescent="0.15">
      <c r="A306" s="11" t="s">
        <v>11</v>
      </c>
      <c r="B306" s="78">
        <v>40533</v>
      </c>
      <c r="C306" s="82">
        <v>40841</v>
      </c>
      <c r="D306" s="13" t="s">
        <v>14</v>
      </c>
      <c r="E306" s="54" t="s">
        <v>437</v>
      </c>
      <c r="F306" s="2" t="s">
        <v>437</v>
      </c>
      <c r="G306" s="83">
        <v>10.02</v>
      </c>
      <c r="H306" s="84" t="s">
        <v>437</v>
      </c>
      <c r="I306" s="84" t="s">
        <v>436</v>
      </c>
      <c r="J306" s="10" t="s">
        <v>411</v>
      </c>
    </row>
    <row r="307" spans="1:10" x14ac:dyDescent="0.15">
      <c r="A307" s="15">
        <f>SUM(G305:G311)</f>
        <v>20.259999999999998</v>
      </c>
      <c r="B307" s="78">
        <v>40534</v>
      </c>
      <c r="C307" s="82">
        <v>40842</v>
      </c>
      <c r="D307" s="13"/>
      <c r="E307" s="54"/>
      <c r="F307" s="12"/>
      <c r="G307" s="83"/>
      <c r="H307" s="84"/>
      <c r="I307" s="84"/>
      <c r="J307" s="10" t="s">
        <v>411</v>
      </c>
    </row>
    <row r="308" spans="1:10" x14ac:dyDescent="0.15">
      <c r="A308" s="2"/>
      <c r="B308" s="78">
        <v>40535</v>
      </c>
      <c r="C308" s="82">
        <v>40843</v>
      </c>
      <c r="D308" s="13"/>
      <c r="E308" s="54"/>
      <c r="F308" s="2"/>
      <c r="G308" s="83"/>
      <c r="H308" s="84"/>
      <c r="I308" s="84"/>
      <c r="J308" s="10" t="s">
        <v>411</v>
      </c>
    </row>
    <row r="309" spans="1:10" x14ac:dyDescent="0.15">
      <c r="A309" s="2"/>
      <c r="B309" s="78">
        <v>40536</v>
      </c>
      <c r="C309" s="82">
        <v>40844</v>
      </c>
      <c r="D309" s="13"/>
      <c r="E309" s="54"/>
      <c r="F309" s="12"/>
      <c r="G309" s="83"/>
      <c r="H309" s="84"/>
      <c r="I309" s="84"/>
      <c r="J309" s="10" t="s">
        <v>411</v>
      </c>
    </row>
    <row r="310" spans="1:10" x14ac:dyDescent="0.15">
      <c r="A310" s="2"/>
      <c r="B310" s="78">
        <v>40537</v>
      </c>
      <c r="C310" s="82">
        <v>40845</v>
      </c>
      <c r="D310" s="13" t="s">
        <v>14</v>
      </c>
      <c r="E310" s="54">
        <v>3.8321759259259264E-2</v>
      </c>
      <c r="F310" s="12" t="s">
        <v>437</v>
      </c>
      <c r="G310" s="83">
        <v>10.24</v>
      </c>
      <c r="H310" s="84">
        <f>E310/G310</f>
        <v>3.7423593026620376E-3</v>
      </c>
      <c r="I310" s="84" t="s">
        <v>436</v>
      </c>
      <c r="J310" s="10" t="s">
        <v>411</v>
      </c>
    </row>
    <row r="311" spans="1:10" x14ac:dyDescent="0.15">
      <c r="A311" s="2"/>
      <c r="B311" s="85">
        <v>40538</v>
      </c>
      <c r="C311" s="82">
        <v>40846</v>
      </c>
      <c r="D311" s="17"/>
      <c r="E311" s="54"/>
      <c r="F311" s="2"/>
      <c r="G311" s="86"/>
      <c r="H311" s="87"/>
      <c r="I311" s="87"/>
      <c r="J311" s="10" t="s">
        <v>411</v>
      </c>
    </row>
    <row r="312" spans="1:10" x14ac:dyDescent="0.15">
      <c r="A312" s="4">
        <f>A305+1</f>
        <v>45</v>
      </c>
      <c r="B312" s="78">
        <v>40539</v>
      </c>
      <c r="C312" s="79">
        <v>40847</v>
      </c>
      <c r="D312" s="8"/>
      <c r="E312" s="52"/>
      <c r="F312" s="7"/>
      <c r="G312" s="80"/>
      <c r="H312" s="81"/>
      <c r="I312" s="81"/>
      <c r="J312" s="10" t="s">
        <v>411</v>
      </c>
    </row>
    <row r="313" spans="1:10" x14ac:dyDescent="0.15">
      <c r="A313" s="11" t="s">
        <v>11</v>
      </c>
      <c r="B313" s="78">
        <v>40540</v>
      </c>
      <c r="C313" s="82">
        <v>40848</v>
      </c>
      <c r="D313" s="13" t="s">
        <v>14</v>
      </c>
      <c r="E313" s="54">
        <v>3.8194444444444448E-2</v>
      </c>
      <c r="F313" s="2" t="s">
        <v>437</v>
      </c>
      <c r="G313" s="83">
        <v>6.9</v>
      </c>
      <c r="H313" s="84" t="s">
        <v>437</v>
      </c>
      <c r="I313" s="84" t="s">
        <v>455</v>
      </c>
      <c r="J313" s="10" t="s">
        <v>411</v>
      </c>
    </row>
    <row r="314" spans="1:10" x14ac:dyDescent="0.15">
      <c r="A314" s="15">
        <f>SUM(G312:G318)</f>
        <v>16.920000000000002</v>
      </c>
      <c r="B314" s="78">
        <v>40541</v>
      </c>
      <c r="C314" s="82">
        <v>40849</v>
      </c>
      <c r="D314" s="13"/>
      <c r="E314" s="54"/>
      <c r="F314" s="12"/>
      <c r="G314" s="83"/>
      <c r="H314" s="84"/>
      <c r="I314" s="84"/>
      <c r="J314" s="10" t="s">
        <v>411</v>
      </c>
    </row>
    <row r="315" spans="1:10" x14ac:dyDescent="0.15">
      <c r="A315" s="2"/>
      <c r="B315" s="78">
        <v>40542</v>
      </c>
      <c r="C315" s="82">
        <v>40850</v>
      </c>
      <c r="D315" s="13"/>
      <c r="E315" s="54"/>
      <c r="F315" s="2"/>
      <c r="G315" s="83"/>
      <c r="H315" s="84"/>
      <c r="I315" s="84"/>
      <c r="J315" s="10" t="s">
        <v>411</v>
      </c>
    </row>
    <row r="316" spans="1:10" x14ac:dyDescent="0.15">
      <c r="A316" s="2"/>
      <c r="B316" s="78">
        <v>40543</v>
      </c>
      <c r="C316" s="82">
        <v>40851</v>
      </c>
      <c r="D316" s="13"/>
      <c r="E316" s="54"/>
      <c r="F316" s="12"/>
      <c r="G316" s="83"/>
      <c r="H316" s="84"/>
      <c r="I316" s="84"/>
      <c r="J316" s="10" t="s">
        <v>411</v>
      </c>
    </row>
    <row r="317" spans="1:10" x14ac:dyDescent="0.15">
      <c r="B317" s="78">
        <v>40544</v>
      </c>
      <c r="C317" s="82">
        <v>40852</v>
      </c>
      <c r="D317" s="13"/>
      <c r="E317" s="54"/>
      <c r="F317" s="12"/>
      <c r="G317" s="83"/>
      <c r="H317" s="84"/>
      <c r="I317" s="84"/>
      <c r="J317" s="10" t="s">
        <v>411</v>
      </c>
    </row>
    <row r="318" spans="1:10" x14ac:dyDescent="0.15">
      <c r="B318" s="85">
        <v>40545</v>
      </c>
      <c r="C318" s="82">
        <v>40853</v>
      </c>
      <c r="D318" s="17" t="s">
        <v>14</v>
      </c>
      <c r="E318" s="54">
        <v>3.5798611111111107E-2</v>
      </c>
      <c r="F318" s="2">
        <v>150</v>
      </c>
      <c r="G318" s="86">
        <v>10.02</v>
      </c>
      <c r="H318" s="87">
        <f>E318/G318</f>
        <v>3.5727156797516076E-3</v>
      </c>
      <c r="I318" s="87" t="s">
        <v>455</v>
      </c>
      <c r="J318" s="10" t="s">
        <v>411</v>
      </c>
    </row>
    <row r="319" spans="1:10" x14ac:dyDescent="0.15">
      <c r="A319" s="4">
        <f>A312+1</f>
        <v>46</v>
      </c>
      <c r="B319" s="78"/>
      <c r="C319" s="79">
        <v>40854</v>
      </c>
      <c r="D319" s="8"/>
      <c r="E319" s="52"/>
      <c r="F319" s="7"/>
      <c r="G319" s="80"/>
      <c r="H319" s="81"/>
      <c r="I319" s="81"/>
      <c r="J319" s="10" t="s">
        <v>411</v>
      </c>
    </row>
    <row r="320" spans="1:10" x14ac:dyDescent="0.15">
      <c r="A320" s="11" t="s">
        <v>11</v>
      </c>
      <c r="B320" s="78"/>
      <c r="C320" s="82">
        <v>40855</v>
      </c>
      <c r="D320" s="13"/>
      <c r="E320" s="54"/>
      <c r="F320" s="2"/>
      <c r="G320" s="83"/>
      <c r="H320" s="84"/>
      <c r="I320" s="84"/>
      <c r="J320" s="10" t="s">
        <v>411</v>
      </c>
    </row>
    <row r="321" spans="1:10" x14ac:dyDescent="0.15">
      <c r="A321" s="15">
        <f>SUM(G319:G325)</f>
        <v>10.02</v>
      </c>
      <c r="B321" s="78"/>
      <c r="C321" s="82">
        <v>40856</v>
      </c>
      <c r="D321" s="13"/>
      <c r="E321" s="54"/>
      <c r="F321" s="12"/>
      <c r="G321" s="83"/>
      <c r="H321" s="84"/>
      <c r="I321" s="84"/>
      <c r="J321" s="10" t="s">
        <v>411</v>
      </c>
    </row>
    <row r="322" spans="1:10" x14ac:dyDescent="0.15">
      <c r="A322" s="2"/>
      <c r="B322" s="78"/>
      <c r="C322" s="82">
        <v>40857</v>
      </c>
      <c r="D322" s="13"/>
      <c r="E322" s="54"/>
      <c r="F322" s="2"/>
      <c r="G322" s="83"/>
      <c r="H322" s="84"/>
      <c r="I322" s="84"/>
      <c r="J322" s="10" t="s">
        <v>411</v>
      </c>
    </row>
    <row r="323" spans="1:10" x14ac:dyDescent="0.15">
      <c r="A323" s="2"/>
      <c r="B323" s="78"/>
      <c r="C323" s="82">
        <v>40858</v>
      </c>
      <c r="D323" s="13"/>
      <c r="E323" s="54"/>
      <c r="F323" s="12"/>
      <c r="G323" s="83"/>
      <c r="H323" s="84"/>
      <c r="I323" s="84"/>
      <c r="J323" s="10" t="s">
        <v>411</v>
      </c>
    </row>
    <row r="324" spans="1:10" x14ac:dyDescent="0.15">
      <c r="B324" s="78"/>
      <c r="C324" s="82">
        <v>40859</v>
      </c>
      <c r="D324" s="13"/>
      <c r="E324" s="54"/>
      <c r="F324" s="12"/>
      <c r="G324" s="83"/>
      <c r="H324" s="84"/>
      <c r="I324" s="84"/>
      <c r="J324" s="10" t="s">
        <v>411</v>
      </c>
    </row>
    <row r="325" spans="1:10" x14ac:dyDescent="0.15">
      <c r="B325" s="85"/>
      <c r="C325" s="82">
        <v>40860</v>
      </c>
      <c r="D325" s="17" t="s">
        <v>14</v>
      </c>
      <c r="E325" s="54">
        <v>3.5138888888888893E-2</v>
      </c>
      <c r="F325" s="2">
        <v>156</v>
      </c>
      <c r="G325" s="86">
        <v>10.02</v>
      </c>
      <c r="H325" s="87">
        <f>E325/G325</f>
        <v>3.506875138611666E-3</v>
      </c>
      <c r="I325" s="87" t="s">
        <v>436</v>
      </c>
      <c r="J325" s="10" t="s">
        <v>411</v>
      </c>
    </row>
    <row r="326" spans="1:10" x14ac:dyDescent="0.15">
      <c r="A326" s="4">
        <f>A319+1</f>
        <v>47</v>
      </c>
      <c r="B326" s="78"/>
      <c r="C326" s="79">
        <v>40861</v>
      </c>
      <c r="D326" s="8"/>
      <c r="E326" s="52"/>
      <c r="F326" s="7"/>
      <c r="G326" s="80"/>
      <c r="H326" s="81"/>
      <c r="I326" s="81"/>
      <c r="J326" s="10" t="s">
        <v>411</v>
      </c>
    </row>
    <row r="327" spans="1:10" x14ac:dyDescent="0.15">
      <c r="A327" s="11" t="s">
        <v>11</v>
      </c>
      <c r="B327" s="78"/>
      <c r="C327" s="82">
        <v>40862</v>
      </c>
      <c r="D327" s="13"/>
      <c r="E327" s="54"/>
      <c r="F327" s="2"/>
      <c r="G327" s="83"/>
      <c r="H327" s="84"/>
      <c r="I327" s="84"/>
      <c r="J327" s="10" t="s">
        <v>411</v>
      </c>
    </row>
    <row r="328" spans="1:10" x14ac:dyDescent="0.15">
      <c r="A328" s="15">
        <f>SUM(G326:G332)</f>
        <v>0</v>
      </c>
      <c r="B328" s="78"/>
      <c r="C328" s="82">
        <v>40863</v>
      </c>
      <c r="D328" s="13"/>
      <c r="E328" s="54"/>
      <c r="F328" s="12"/>
      <c r="G328" s="83"/>
      <c r="H328" s="84"/>
      <c r="I328" s="84"/>
      <c r="J328" s="10" t="s">
        <v>411</v>
      </c>
    </row>
    <row r="329" spans="1:10" x14ac:dyDescent="0.15">
      <c r="A329" s="2"/>
      <c r="B329" s="78"/>
      <c r="C329" s="82">
        <v>40864</v>
      </c>
      <c r="D329" s="13"/>
      <c r="E329" s="54"/>
      <c r="F329" s="2"/>
      <c r="G329" s="83"/>
      <c r="H329" s="84"/>
      <c r="I329" s="84"/>
      <c r="J329" s="10" t="s">
        <v>411</v>
      </c>
    </row>
    <row r="330" spans="1:10" x14ac:dyDescent="0.15">
      <c r="A330" s="2"/>
      <c r="B330" s="78"/>
      <c r="C330" s="82">
        <v>40865</v>
      </c>
      <c r="D330" s="13"/>
      <c r="E330" s="54"/>
      <c r="F330" s="12"/>
      <c r="G330" s="83"/>
      <c r="H330" s="84"/>
      <c r="I330" s="84"/>
      <c r="J330" s="10" t="s">
        <v>411</v>
      </c>
    </row>
    <row r="331" spans="1:10" x14ac:dyDescent="0.15">
      <c r="B331" s="78"/>
      <c r="C331" s="82">
        <v>40866</v>
      </c>
      <c r="D331" s="13"/>
      <c r="E331" s="54"/>
      <c r="F331" s="12"/>
      <c r="G331" s="83"/>
      <c r="H331" s="84"/>
      <c r="I331" s="84"/>
      <c r="J331" s="10" t="s">
        <v>411</v>
      </c>
    </row>
    <row r="332" spans="1:10" x14ac:dyDescent="0.15">
      <c r="B332" s="85"/>
      <c r="C332" s="82">
        <v>40867</v>
      </c>
      <c r="D332" s="17"/>
      <c r="E332" s="54"/>
      <c r="F332" s="2"/>
      <c r="G332" s="86"/>
      <c r="H332" s="87"/>
      <c r="I332" s="87"/>
      <c r="J332" s="10" t="s">
        <v>411</v>
      </c>
    </row>
    <row r="333" spans="1:10" x14ac:dyDescent="0.15">
      <c r="A333" s="4">
        <f>A326+1</f>
        <v>48</v>
      </c>
      <c r="B333" s="78"/>
      <c r="C333" s="79">
        <v>40868</v>
      </c>
      <c r="D333" s="8"/>
      <c r="E333" s="52"/>
      <c r="F333" s="7"/>
      <c r="G333" s="80"/>
      <c r="H333" s="81"/>
      <c r="I333" s="81"/>
      <c r="J333" s="10" t="s">
        <v>411</v>
      </c>
    </row>
    <row r="334" spans="1:10" x14ac:dyDescent="0.15">
      <c r="A334" s="11" t="s">
        <v>11</v>
      </c>
      <c r="B334" s="78"/>
      <c r="C334" s="82">
        <v>40869</v>
      </c>
      <c r="D334" s="13"/>
      <c r="E334" s="54"/>
      <c r="F334" s="2"/>
      <c r="G334" s="83"/>
      <c r="H334" s="84"/>
      <c r="I334" s="84"/>
      <c r="J334" s="10" t="s">
        <v>411</v>
      </c>
    </row>
    <row r="335" spans="1:10" x14ac:dyDescent="0.15">
      <c r="A335" s="15">
        <f>SUM(G333:G339)</f>
        <v>10.48</v>
      </c>
      <c r="B335" s="78"/>
      <c r="C335" s="82">
        <v>40870</v>
      </c>
      <c r="D335" s="13"/>
      <c r="E335" s="54"/>
      <c r="F335" s="12"/>
      <c r="G335" s="83"/>
      <c r="H335" s="84"/>
      <c r="I335" s="84"/>
      <c r="J335" s="10" t="s">
        <v>411</v>
      </c>
    </row>
    <row r="336" spans="1:10" x14ac:dyDescent="0.15">
      <c r="A336" s="2"/>
      <c r="B336" s="78"/>
      <c r="C336" s="82">
        <v>40871</v>
      </c>
      <c r="D336" s="13"/>
      <c r="E336" s="54"/>
      <c r="F336" s="2"/>
      <c r="G336" s="83"/>
      <c r="H336" s="84"/>
      <c r="I336" s="84"/>
      <c r="J336" s="10" t="s">
        <v>411</v>
      </c>
    </row>
    <row r="337" spans="1:10" x14ac:dyDescent="0.15">
      <c r="A337" s="2"/>
      <c r="B337" s="78"/>
      <c r="C337" s="82">
        <v>40872</v>
      </c>
      <c r="D337" s="13"/>
      <c r="E337" s="54"/>
      <c r="F337" s="12"/>
      <c r="G337" s="83"/>
      <c r="H337" s="84"/>
      <c r="I337" s="84"/>
      <c r="J337" s="10" t="s">
        <v>411</v>
      </c>
    </row>
    <row r="338" spans="1:10" x14ac:dyDescent="0.15">
      <c r="B338" s="78"/>
      <c r="C338" s="82">
        <v>40873</v>
      </c>
      <c r="D338" s="13"/>
      <c r="E338" s="54"/>
      <c r="F338" s="12"/>
      <c r="G338" s="83"/>
      <c r="H338" s="84"/>
      <c r="I338" s="84"/>
      <c r="J338" s="10" t="s">
        <v>411</v>
      </c>
    </row>
    <row r="339" spans="1:10" x14ac:dyDescent="0.15">
      <c r="B339" s="85"/>
      <c r="C339" s="82">
        <v>40874</v>
      </c>
      <c r="D339" s="17" t="s">
        <v>14</v>
      </c>
      <c r="E339" s="54">
        <v>3.9120370370370368E-2</v>
      </c>
      <c r="F339" s="2">
        <v>145</v>
      </c>
      <c r="G339" s="86">
        <v>10.48</v>
      </c>
      <c r="H339" s="87">
        <f>E339/G339</f>
        <v>3.7328597681651112E-3</v>
      </c>
      <c r="I339" s="87" t="s">
        <v>434</v>
      </c>
      <c r="J339" s="10" t="s">
        <v>411</v>
      </c>
    </row>
    <row r="340" spans="1:10" x14ac:dyDescent="0.15">
      <c r="A340" s="4">
        <f>A333+1</f>
        <v>49</v>
      </c>
      <c r="B340" s="78"/>
      <c r="C340" s="79">
        <v>40875</v>
      </c>
      <c r="D340" s="8"/>
      <c r="E340" s="52"/>
      <c r="F340" s="7"/>
      <c r="G340" s="80"/>
      <c r="H340" s="81"/>
      <c r="I340" s="81"/>
      <c r="J340" s="10" t="s">
        <v>411</v>
      </c>
    </row>
    <row r="341" spans="1:10" x14ac:dyDescent="0.15">
      <c r="A341" s="11" t="s">
        <v>11</v>
      </c>
      <c r="B341" s="78"/>
      <c r="C341" s="82">
        <v>40876</v>
      </c>
      <c r="D341" s="13"/>
      <c r="E341" s="54"/>
      <c r="F341" s="2"/>
      <c r="G341" s="83"/>
      <c r="H341" s="84"/>
      <c r="I341" s="84"/>
      <c r="J341" s="10" t="s">
        <v>411</v>
      </c>
    </row>
    <row r="342" spans="1:10" x14ac:dyDescent="0.15">
      <c r="A342" s="15">
        <f>SUM(G340:G346)</f>
        <v>18.600000000000001</v>
      </c>
      <c r="B342" s="78"/>
      <c r="C342" s="82">
        <v>40877</v>
      </c>
      <c r="D342" s="13"/>
      <c r="E342" s="54"/>
      <c r="F342" s="12"/>
      <c r="G342" s="83"/>
      <c r="H342" s="84"/>
      <c r="I342" s="84"/>
      <c r="J342" s="10" t="s">
        <v>411</v>
      </c>
    </row>
    <row r="343" spans="1:10" x14ac:dyDescent="0.15">
      <c r="A343" s="2"/>
      <c r="B343" s="78"/>
      <c r="C343" s="82">
        <v>40878</v>
      </c>
      <c r="D343" s="13"/>
      <c r="E343" s="54"/>
      <c r="F343" s="2"/>
      <c r="G343" s="83"/>
      <c r="H343" s="84"/>
      <c r="I343" s="84"/>
      <c r="J343" s="10" t="s">
        <v>411</v>
      </c>
    </row>
    <row r="344" spans="1:10" x14ac:dyDescent="0.15">
      <c r="A344" s="2"/>
      <c r="B344" s="78"/>
      <c r="C344" s="82">
        <v>40879</v>
      </c>
      <c r="D344" s="13"/>
      <c r="E344" s="54"/>
      <c r="F344" s="12"/>
      <c r="G344" s="83"/>
      <c r="H344" s="84"/>
      <c r="I344" s="84"/>
      <c r="J344" s="10" t="s">
        <v>411</v>
      </c>
    </row>
    <row r="345" spans="1:10" x14ac:dyDescent="0.15">
      <c r="B345" s="78"/>
      <c r="C345" s="82">
        <v>40880</v>
      </c>
      <c r="D345" s="13" t="s">
        <v>14</v>
      </c>
      <c r="E345" s="54">
        <v>3.6805555555555557E-2</v>
      </c>
      <c r="F345" s="12">
        <v>157</v>
      </c>
      <c r="G345" s="83">
        <v>9.99</v>
      </c>
      <c r="H345" s="84">
        <f>E345/G345</f>
        <v>3.6842397953509064E-3</v>
      </c>
      <c r="I345" s="84" t="s">
        <v>455</v>
      </c>
      <c r="J345" s="10" t="s">
        <v>411</v>
      </c>
    </row>
    <row r="346" spans="1:10" x14ac:dyDescent="0.15">
      <c r="B346" s="85"/>
      <c r="C346" s="82">
        <v>40881</v>
      </c>
      <c r="D346" s="17" t="s">
        <v>14</v>
      </c>
      <c r="E346" s="54">
        <v>3.3750000000000002E-2</v>
      </c>
      <c r="F346" s="2">
        <v>145</v>
      </c>
      <c r="G346" s="86">
        <v>8.61</v>
      </c>
      <c r="H346" s="87">
        <f>E346/G346</f>
        <v>3.9198606271777011E-3</v>
      </c>
      <c r="I346" s="87" t="s">
        <v>455</v>
      </c>
      <c r="J346" s="10" t="s">
        <v>411</v>
      </c>
    </row>
    <row r="347" spans="1:10" x14ac:dyDescent="0.15">
      <c r="A347" s="4">
        <f>A340+1</f>
        <v>50</v>
      </c>
      <c r="B347" s="78"/>
      <c r="C347" s="79">
        <v>40882</v>
      </c>
      <c r="D347" s="8"/>
      <c r="E347" s="52"/>
      <c r="F347" s="7"/>
      <c r="G347" s="80"/>
      <c r="H347" s="81"/>
      <c r="I347" s="81"/>
      <c r="J347" s="10" t="s">
        <v>411</v>
      </c>
    </row>
    <row r="348" spans="1:10" x14ac:dyDescent="0.15">
      <c r="A348" s="11" t="s">
        <v>11</v>
      </c>
      <c r="B348" s="78"/>
      <c r="C348" s="82">
        <v>40883</v>
      </c>
      <c r="D348" s="13"/>
      <c r="E348" s="54"/>
      <c r="F348" s="2"/>
      <c r="G348" s="83"/>
      <c r="H348" s="84"/>
      <c r="I348" s="84"/>
      <c r="J348" s="10" t="s">
        <v>411</v>
      </c>
    </row>
    <row r="349" spans="1:10" x14ac:dyDescent="0.15">
      <c r="A349" s="15">
        <f>SUM(G347:G353)</f>
        <v>21.75</v>
      </c>
      <c r="B349" s="78"/>
      <c r="C349" s="82">
        <v>40884</v>
      </c>
      <c r="D349" s="13"/>
      <c r="E349" s="54"/>
      <c r="F349" s="12"/>
      <c r="G349" s="83"/>
      <c r="H349" s="84"/>
      <c r="I349" s="84"/>
      <c r="J349" s="10" t="s">
        <v>411</v>
      </c>
    </row>
    <row r="350" spans="1:10" x14ac:dyDescent="0.15">
      <c r="A350" s="2"/>
      <c r="B350" s="78"/>
      <c r="C350" s="82">
        <v>40885</v>
      </c>
      <c r="D350" s="13"/>
      <c r="E350" s="54"/>
      <c r="F350" s="2"/>
      <c r="G350" s="83"/>
      <c r="H350" s="84"/>
      <c r="I350" s="84"/>
      <c r="J350" s="10" t="s">
        <v>411</v>
      </c>
    </row>
    <row r="351" spans="1:10" x14ac:dyDescent="0.15">
      <c r="A351" s="2"/>
      <c r="B351" s="78"/>
      <c r="C351" s="82">
        <v>40886</v>
      </c>
      <c r="D351" s="13"/>
      <c r="E351" s="54"/>
      <c r="F351" s="12"/>
      <c r="G351" s="83"/>
      <c r="H351" s="84"/>
      <c r="I351" s="84"/>
      <c r="J351" s="10" t="s">
        <v>411</v>
      </c>
    </row>
    <row r="352" spans="1:10" x14ac:dyDescent="0.15">
      <c r="B352" s="78"/>
      <c r="C352" s="82">
        <v>40887</v>
      </c>
      <c r="D352" s="13" t="s">
        <v>14</v>
      </c>
      <c r="E352" s="54">
        <v>4.0960648148148149E-2</v>
      </c>
      <c r="F352" s="12">
        <v>148</v>
      </c>
      <c r="G352" s="83">
        <v>10.25</v>
      </c>
      <c r="H352" s="84">
        <f>E352/G352</f>
        <v>3.9961607949412824E-3</v>
      </c>
      <c r="I352" s="84" t="s">
        <v>455</v>
      </c>
      <c r="J352" s="10" t="s">
        <v>411</v>
      </c>
    </row>
    <row r="353" spans="1:10" x14ac:dyDescent="0.15">
      <c r="B353" s="85"/>
      <c r="C353" s="82">
        <v>40888</v>
      </c>
      <c r="D353" s="17" t="s">
        <v>456</v>
      </c>
      <c r="E353" s="54">
        <v>4.1666666666666664E-2</v>
      </c>
      <c r="F353" s="2">
        <v>151</v>
      </c>
      <c r="G353" s="86">
        <v>11.5</v>
      </c>
      <c r="H353" s="87">
        <f>E353/G353</f>
        <v>3.6231884057971011E-3</v>
      </c>
      <c r="I353" s="87" t="s">
        <v>436</v>
      </c>
      <c r="J353" s="10" t="s">
        <v>411</v>
      </c>
    </row>
    <row r="354" spans="1:10" x14ac:dyDescent="0.15">
      <c r="A354" s="4">
        <f>A347+1</f>
        <v>51</v>
      </c>
      <c r="B354" s="78"/>
      <c r="C354" s="79">
        <v>40889</v>
      </c>
      <c r="D354" s="8"/>
      <c r="E354" s="52"/>
      <c r="F354" s="7"/>
      <c r="G354" s="80"/>
      <c r="H354" s="81"/>
      <c r="I354" s="81"/>
      <c r="J354" s="10" t="s">
        <v>411</v>
      </c>
    </row>
    <row r="355" spans="1:10" x14ac:dyDescent="0.15">
      <c r="A355" s="11" t="s">
        <v>11</v>
      </c>
      <c r="B355" s="78"/>
      <c r="C355" s="82">
        <v>40890</v>
      </c>
      <c r="D355" s="13"/>
      <c r="E355" s="54"/>
      <c r="F355" s="2"/>
      <c r="G355" s="83"/>
      <c r="H355" s="84"/>
      <c r="I355" s="84"/>
      <c r="J355" s="10" t="s">
        <v>411</v>
      </c>
    </row>
    <row r="356" spans="1:10" x14ac:dyDescent="0.15">
      <c r="A356" s="15">
        <f>SUM(G354:G360)</f>
        <v>10.5</v>
      </c>
      <c r="B356" s="78"/>
      <c r="C356" s="82">
        <v>40891</v>
      </c>
      <c r="D356" s="13"/>
      <c r="E356" s="54"/>
      <c r="F356" s="12"/>
      <c r="G356" s="83"/>
      <c r="H356" s="84"/>
      <c r="I356" s="84"/>
      <c r="J356" s="10" t="s">
        <v>411</v>
      </c>
    </row>
    <row r="357" spans="1:10" x14ac:dyDescent="0.15">
      <c r="A357" s="2"/>
      <c r="B357" s="78"/>
      <c r="C357" s="82">
        <v>40892</v>
      </c>
      <c r="D357" s="13"/>
      <c r="E357" s="54"/>
      <c r="F357" s="2"/>
      <c r="G357" s="83"/>
      <c r="H357" s="84"/>
      <c r="I357" s="84"/>
      <c r="J357" s="10" t="s">
        <v>411</v>
      </c>
    </row>
    <row r="358" spans="1:10" x14ac:dyDescent="0.15">
      <c r="A358" s="2"/>
      <c r="B358" s="78"/>
      <c r="C358" s="82">
        <v>40893</v>
      </c>
      <c r="D358" s="13"/>
      <c r="E358" s="54"/>
      <c r="F358" s="12"/>
      <c r="G358" s="83"/>
      <c r="H358" s="84"/>
      <c r="I358" s="84"/>
      <c r="J358" s="10" t="s">
        <v>411</v>
      </c>
    </row>
    <row r="359" spans="1:10" x14ac:dyDescent="0.15">
      <c r="B359" s="78"/>
      <c r="C359" s="82">
        <v>40894</v>
      </c>
      <c r="D359" s="13"/>
      <c r="E359" s="54"/>
      <c r="F359" s="12"/>
      <c r="G359" s="83"/>
      <c r="H359" s="84"/>
      <c r="I359" s="84"/>
      <c r="J359" s="10" t="s">
        <v>411</v>
      </c>
    </row>
    <row r="360" spans="1:10" x14ac:dyDescent="0.15">
      <c r="B360" s="85"/>
      <c r="C360" s="82">
        <v>40895</v>
      </c>
      <c r="D360" s="17" t="s">
        <v>14</v>
      </c>
      <c r="E360" s="54">
        <v>3.8298611111111117E-2</v>
      </c>
      <c r="F360" s="2">
        <v>154</v>
      </c>
      <c r="G360" s="86">
        <v>10.5</v>
      </c>
      <c r="H360" s="87">
        <f>E360/G360</f>
        <v>3.647486772486773E-3</v>
      </c>
      <c r="I360" s="87" t="s">
        <v>436</v>
      </c>
      <c r="J360" s="10" t="s">
        <v>411</v>
      </c>
    </row>
    <row r="361" spans="1:10" x14ac:dyDescent="0.15">
      <c r="A361" s="4">
        <f>A354+1</f>
        <v>52</v>
      </c>
      <c r="B361" s="78"/>
      <c r="C361" s="79">
        <v>40896</v>
      </c>
      <c r="D361" s="8"/>
      <c r="E361" s="52"/>
      <c r="F361" s="7"/>
      <c r="G361" s="80"/>
      <c r="H361" s="81"/>
      <c r="I361" s="81"/>
      <c r="J361" s="10" t="s">
        <v>411</v>
      </c>
    </row>
    <row r="362" spans="1:10" x14ac:dyDescent="0.15">
      <c r="A362" s="11" t="s">
        <v>11</v>
      </c>
      <c r="B362" s="78"/>
      <c r="C362" s="82">
        <v>40897</v>
      </c>
      <c r="D362" s="13"/>
      <c r="E362" s="54"/>
      <c r="F362" s="2"/>
      <c r="G362" s="83"/>
      <c r="H362" s="84"/>
      <c r="I362" s="84"/>
      <c r="J362" s="10" t="s">
        <v>411</v>
      </c>
    </row>
    <row r="363" spans="1:10" x14ac:dyDescent="0.15">
      <c r="A363" s="15">
        <f>SUM(G361:G367)</f>
        <v>0</v>
      </c>
      <c r="B363" s="78"/>
      <c r="C363" s="82">
        <v>40898</v>
      </c>
      <c r="D363" s="13"/>
      <c r="E363" s="54"/>
      <c r="F363" s="12"/>
      <c r="G363" s="83"/>
      <c r="H363" s="84"/>
      <c r="I363" s="84"/>
      <c r="J363" s="10" t="s">
        <v>411</v>
      </c>
    </row>
    <row r="364" spans="1:10" x14ac:dyDescent="0.15">
      <c r="A364" s="2"/>
      <c r="B364" s="78"/>
      <c r="C364" s="82">
        <v>40899</v>
      </c>
      <c r="D364" s="13"/>
      <c r="E364" s="54"/>
      <c r="F364" s="2"/>
      <c r="G364" s="83"/>
      <c r="H364" s="84"/>
      <c r="I364" s="84"/>
      <c r="J364" s="10" t="s">
        <v>411</v>
      </c>
    </row>
    <row r="365" spans="1:10" x14ac:dyDescent="0.15">
      <c r="A365" s="2"/>
      <c r="B365" s="78"/>
      <c r="C365" s="82">
        <v>40900</v>
      </c>
      <c r="D365" s="13"/>
      <c r="E365" s="54"/>
      <c r="F365" s="12"/>
      <c r="G365" s="83"/>
      <c r="H365" s="84"/>
      <c r="I365" s="84"/>
      <c r="J365" s="10" t="s">
        <v>411</v>
      </c>
    </row>
    <row r="366" spans="1:10" x14ac:dyDescent="0.15">
      <c r="B366" s="78"/>
      <c r="C366" s="82">
        <v>40901</v>
      </c>
      <c r="D366" s="13"/>
      <c r="E366" s="54"/>
      <c r="F366" s="12"/>
      <c r="G366" s="83"/>
      <c r="H366" s="84"/>
      <c r="I366" s="84"/>
      <c r="J366" s="10" t="s">
        <v>411</v>
      </c>
    </row>
    <row r="367" spans="1:10" x14ac:dyDescent="0.15">
      <c r="B367" s="85"/>
      <c r="C367" s="82">
        <v>40902</v>
      </c>
      <c r="D367" s="17"/>
      <c r="E367" s="54"/>
      <c r="F367" s="2"/>
      <c r="G367" s="86"/>
      <c r="H367" s="87"/>
      <c r="I367" s="87"/>
      <c r="J367" s="10" t="s">
        <v>411</v>
      </c>
    </row>
    <row r="368" spans="1:10" x14ac:dyDescent="0.15">
      <c r="A368" s="4">
        <f>A361+1</f>
        <v>53</v>
      </c>
      <c r="B368" s="78"/>
      <c r="C368" s="79">
        <v>40903</v>
      </c>
      <c r="D368" s="8"/>
      <c r="E368" s="52"/>
      <c r="F368" s="7"/>
      <c r="G368" s="80"/>
      <c r="H368" s="81"/>
      <c r="I368" s="81"/>
      <c r="J368" s="10" t="s">
        <v>411</v>
      </c>
    </row>
    <row r="369" spans="1:10" x14ac:dyDescent="0.15">
      <c r="A369" s="11" t="s">
        <v>11</v>
      </c>
      <c r="B369" s="78"/>
      <c r="C369" s="82">
        <v>40904</v>
      </c>
      <c r="D369" s="13" t="s">
        <v>14</v>
      </c>
      <c r="E369" s="54">
        <v>3.8206018518518521E-2</v>
      </c>
      <c r="F369" s="2">
        <v>151</v>
      </c>
      <c r="G369" s="83">
        <v>10.47</v>
      </c>
      <c r="H369" s="84">
        <f>E369/G369</f>
        <v>3.6490944143761717E-3</v>
      </c>
      <c r="I369" s="84" t="s">
        <v>455</v>
      </c>
      <c r="J369" s="10" t="s">
        <v>411</v>
      </c>
    </row>
    <row r="370" spans="1:10" x14ac:dyDescent="0.15">
      <c r="A370" s="15">
        <f>SUM(G368:G374)</f>
        <v>21.259999999999998</v>
      </c>
      <c r="B370" s="78"/>
      <c r="C370" s="82">
        <v>40905</v>
      </c>
      <c r="D370" s="13"/>
      <c r="E370" s="54"/>
      <c r="F370" s="12"/>
      <c r="G370" s="83"/>
      <c r="H370" s="84"/>
      <c r="I370" s="84"/>
      <c r="J370" s="10" t="s">
        <v>411</v>
      </c>
    </row>
    <row r="371" spans="1:10" x14ac:dyDescent="0.15">
      <c r="A371" s="2"/>
      <c r="B371" s="78"/>
      <c r="C371" s="82">
        <v>40906</v>
      </c>
      <c r="D371" s="13"/>
      <c r="E371" s="54"/>
      <c r="F371" s="2"/>
      <c r="G371" s="83"/>
      <c r="H371" s="84"/>
      <c r="I371" s="84"/>
      <c r="J371" s="10" t="s">
        <v>411</v>
      </c>
    </row>
    <row r="372" spans="1:10" x14ac:dyDescent="0.15">
      <c r="B372" s="78"/>
      <c r="C372" s="82">
        <v>40907</v>
      </c>
      <c r="D372" s="13"/>
      <c r="E372" s="54"/>
      <c r="F372" s="12"/>
      <c r="G372" s="83"/>
      <c r="H372" s="84"/>
      <c r="I372" s="84"/>
      <c r="J372" s="10" t="s">
        <v>411</v>
      </c>
    </row>
    <row r="373" spans="1:10" x14ac:dyDescent="0.15">
      <c r="A373" s="4" t="s">
        <v>438</v>
      </c>
      <c r="B373" s="78"/>
      <c r="C373" s="82">
        <v>40908</v>
      </c>
      <c r="D373" s="13" t="s">
        <v>14</v>
      </c>
      <c r="E373" s="54">
        <v>3.875E-2</v>
      </c>
      <c r="F373" s="12">
        <v>160</v>
      </c>
      <c r="G373" s="83">
        <v>10.79</v>
      </c>
      <c r="H373" s="84">
        <f>E373/G373</f>
        <v>3.5912882298424469E-3</v>
      </c>
      <c r="I373" s="84" t="s">
        <v>455</v>
      </c>
      <c r="J373" s="10" t="s">
        <v>411</v>
      </c>
    </row>
    <row r="374" spans="1:10" x14ac:dyDescent="0.15">
      <c r="A374" s="89">
        <f>A370+A363+A356+A349+A342+A335+A328+A321+A314+A307+A300+A293+A286+A279+A272+A265+A258+A251+A244+A237+A230+A223+A216+A209+A202+A195+A188+A181+A174+A167+A160+A153+A146+A139+A132+A125+A118+A111+A104+A97+A90+A83+A76+A69+A62+A55+A48+A41+A34+A27+A20+A13+A6</f>
        <v>1303.8300000000002</v>
      </c>
      <c r="B374" s="85"/>
      <c r="C374" s="90">
        <v>40909</v>
      </c>
      <c r="D374" s="17"/>
      <c r="E374" s="57"/>
      <c r="F374" s="91"/>
      <c r="G374" s="86"/>
      <c r="H374" s="87"/>
      <c r="I374" s="87"/>
      <c r="J374" s="26" t="s">
        <v>411</v>
      </c>
    </row>
    <row r="375" spans="1:10" x14ac:dyDescent="0.15">
      <c r="A375" s="2">
        <f>A374/52</f>
        <v>25.073653846153849</v>
      </c>
      <c r="C375"/>
    </row>
    <row r="376" spans="1:10" x14ac:dyDescent="0.15">
      <c r="C376"/>
    </row>
    <row r="377" spans="1:10" x14ac:dyDescent="0.15">
      <c r="C377"/>
    </row>
    <row r="378" spans="1:10" x14ac:dyDescent="0.15">
      <c r="C378"/>
    </row>
    <row r="379" spans="1:10" x14ac:dyDescent="0.15">
      <c r="C379"/>
    </row>
    <row r="380" spans="1:10" x14ac:dyDescent="0.15">
      <c r="C380"/>
    </row>
    <row r="381" spans="1:10" x14ac:dyDescent="0.15">
      <c r="C381"/>
    </row>
    <row r="382" spans="1:10" x14ac:dyDescent="0.15">
      <c r="C382"/>
    </row>
    <row r="383" spans="1:10" x14ac:dyDescent="0.15">
      <c r="C383"/>
    </row>
    <row r="384" spans="1:10" x14ac:dyDescent="0.15">
      <c r="C384"/>
    </row>
    <row r="385" spans="3:3" x14ac:dyDescent="0.15">
      <c r="C385"/>
    </row>
    <row r="386" spans="3:3" x14ac:dyDescent="0.15">
      <c r="C386"/>
    </row>
    <row r="387" spans="3:3" x14ac:dyDescent="0.15">
      <c r="C387"/>
    </row>
    <row r="388" spans="3:3" x14ac:dyDescent="0.15">
      <c r="C388"/>
    </row>
    <row r="389" spans="3:3" x14ac:dyDescent="0.15">
      <c r="C389"/>
    </row>
    <row r="390" spans="3:3" x14ac:dyDescent="0.15">
      <c r="C390"/>
    </row>
    <row r="391" spans="3:3" x14ac:dyDescent="0.15">
      <c r="C391"/>
    </row>
    <row r="392" spans="3:3" x14ac:dyDescent="0.15">
      <c r="C392"/>
    </row>
    <row r="393" spans="3:3" x14ac:dyDescent="0.15">
      <c r="C393"/>
    </row>
    <row r="394" spans="3:3" x14ac:dyDescent="0.15">
      <c r="C394"/>
    </row>
    <row r="395" spans="3:3" x14ac:dyDescent="0.15">
      <c r="C395"/>
    </row>
    <row r="396" spans="3:3" x14ac:dyDescent="0.15">
      <c r="C396"/>
    </row>
    <row r="397" spans="3:3" x14ac:dyDescent="0.15">
      <c r="C397"/>
    </row>
    <row r="398" spans="3:3" x14ac:dyDescent="0.15">
      <c r="C398"/>
    </row>
    <row r="399" spans="3:3" x14ac:dyDescent="0.15">
      <c r="C399"/>
    </row>
    <row r="400" spans="3:3" x14ac:dyDescent="0.15">
      <c r="C400"/>
    </row>
    <row r="401" spans="3:3" x14ac:dyDescent="0.15">
      <c r="C401"/>
    </row>
    <row r="402" spans="3:3" x14ac:dyDescent="0.15">
      <c r="C402"/>
    </row>
    <row r="403" spans="3:3" x14ac:dyDescent="0.15">
      <c r="C403"/>
    </row>
    <row r="404" spans="3:3" x14ac:dyDescent="0.15">
      <c r="C404"/>
    </row>
    <row r="405" spans="3:3" x14ac:dyDescent="0.15">
      <c r="C405"/>
    </row>
    <row r="406" spans="3:3" x14ac:dyDescent="0.15">
      <c r="C406"/>
    </row>
    <row r="407" spans="3:3" x14ac:dyDescent="0.15">
      <c r="C407"/>
    </row>
    <row r="408" spans="3:3" x14ac:dyDescent="0.15">
      <c r="C408"/>
    </row>
    <row r="409" spans="3:3" x14ac:dyDescent="0.15">
      <c r="C409"/>
    </row>
  </sheetData>
  <sheetProtection selectLockedCells="1" selectUnlockedCells="1"/>
  <mergeCells count="6">
    <mergeCell ref="E85:H85"/>
    <mergeCell ref="A1:J1"/>
    <mergeCell ref="M7:O7"/>
    <mergeCell ref="P7:R7"/>
    <mergeCell ref="M13:O13"/>
    <mergeCell ref="P13:R13"/>
  </mergeCells>
  <phoneticPr fontId="26" type="noConversion"/>
  <dataValidations count="2">
    <dataValidation type="list" operator="equal" allowBlank="1" sqref="I1:I32676" xr:uid="{00000000-0002-0000-0400-000000000000}">
      <formula1>"ASICS GEL 11-50,ASICS GT 21-40,ASICS GT 21-60,NIKE Run Free 2.0"</formula1>
      <formula2>0</formula2>
    </dataValidation>
    <dataValidation type="list" operator="equal" allowBlank="1" sqref="A3:H375 J3:S375 T11:T12" xr:uid="{00000000-0002-0000-0400-000001000000}">
      <formula1>"ASICS GEL 11-50,ASICS GT 21-40,ASICS GT 21-60"</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sheetPr>
  <dimension ref="A1:T409"/>
  <sheetViews>
    <sheetView zoomScale="85" zoomScaleNormal="85" zoomScalePageLayoutView="85" workbookViewId="0">
      <pane ySplit="3" topLeftCell="A321" activePane="bottomLeft" state="frozen"/>
      <selection pane="bottomLeft" activeCell="G45" sqref="G45"/>
    </sheetView>
  </sheetViews>
  <sheetFormatPr baseColWidth="10" defaultColWidth="11.5" defaultRowHeight="13" x14ac:dyDescent="0.15"/>
  <cols>
    <col min="1" max="1" width="10.5" customWidth="1"/>
    <col min="2" max="2" width="0" style="61" hidden="1" customWidth="1"/>
    <col min="3" max="3" width="10.1640625" style="46" customWidth="1"/>
    <col min="4" max="4" width="6.5" customWidth="1"/>
    <col min="5" max="5" width="8.5" style="47" customWidth="1"/>
    <col min="6" max="6" width="5.83203125" customWidth="1"/>
    <col min="7" max="7" width="6" style="62" customWidth="1"/>
    <col min="8" max="8" width="10.1640625" style="63" customWidth="1"/>
    <col min="9" max="9" width="17" style="63" customWidth="1"/>
    <col min="10" max="10" width="6.5" customWidth="1"/>
    <col min="11" max="11" width="14.6640625" customWidth="1"/>
    <col min="12" max="12" width="12.83203125" customWidth="1"/>
    <col min="13" max="13" width="5.1640625" customWidth="1"/>
    <col min="14" max="14" width="2.1640625" customWidth="1"/>
    <col min="15" max="15" width="5.1640625" customWidth="1"/>
    <col min="16" max="16" width="4.5" customWidth="1"/>
    <col min="17" max="17" width="2.1640625" customWidth="1"/>
    <col min="18" max="18" width="4.5" customWidth="1"/>
    <col min="19" max="19" width="13" customWidth="1"/>
    <col min="20" max="20" width="19.33203125" customWidth="1"/>
  </cols>
  <sheetData>
    <row r="1" spans="1:20" ht="19" x14ac:dyDescent="0.15">
      <c r="A1" s="3419" t="s">
        <v>457</v>
      </c>
      <c r="B1" s="3419"/>
      <c r="C1" s="3419"/>
      <c r="D1" s="3419"/>
      <c r="E1" s="3419"/>
      <c r="F1" s="3419"/>
      <c r="G1" s="3419"/>
      <c r="H1" s="3419"/>
      <c r="I1" s="3419"/>
      <c r="J1" s="3419"/>
    </row>
    <row r="2" spans="1:20" x14ac:dyDescent="0.15">
      <c r="A2" s="2"/>
      <c r="B2" s="64"/>
      <c r="D2" s="2"/>
      <c r="E2" s="43"/>
      <c r="F2" s="2"/>
      <c r="G2" s="65"/>
      <c r="H2" s="45"/>
      <c r="I2" s="45"/>
      <c r="J2" s="2"/>
    </row>
    <row r="3" spans="1:20" x14ac:dyDescent="0.15">
      <c r="A3" s="3" t="s">
        <v>1</v>
      </c>
      <c r="B3" s="66" t="s">
        <v>2</v>
      </c>
      <c r="C3" s="67" t="s">
        <v>3</v>
      </c>
      <c r="D3" s="4" t="s">
        <v>4</v>
      </c>
      <c r="E3" s="50" t="s">
        <v>5</v>
      </c>
      <c r="F3" s="3" t="s">
        <v>440</v>
      </c>
      <c r="G3" s="68" t="s">
        <v>429</v>
      </c>
      <c r="H3" s="69" t="s">
        <v>430</v>
      </c>
      <c r="I3" s="69" t="s">
        <v>431</v>
      </c>
      <c r="J3" s="4" t="s">
        <v>432</v>
      </c>
    </row>
    <row r="4" spans="1:20" x14ac:dyDescent="0.15">
      <c r="A4" s="4">
        <v>1</v>
      </c>
      <c r="B4" s="78">
        <v>40231</v>
      </c>
      <c r="C4" s="137">
        <v>40910</v>
      </c>
      <c r="D4" s="8"/>
      <c r="E4" s="52"/>
      <c r="F4" s="7"/>
      <c r="G4" s="80"/>
      <c r="H4" s="81"/>
      <c r="I4" s="81"/>
      <c r="J4" s="10" t="s">
        <v>411</v>
      </c>
    </row>
    <row r="5" spans="1:20" x14ac:dyDescent="0.15">
      <c r="A5" s="11" t="s">
        <v>11</v>
      </c>
      <c r="B5" s="78">
        <v>40232</v>
      </c>
      <c r="C5" s="138">
        <v>40911</v>
      </c>
      <c r="D5" s="13" t="s">
        <v>14</v>
      </c>
      <c r="E5" s="54">
        <v>3.3460648148148149E-2</v>
      </c>
      <c r="F5" s="2">
        <v>143</v>
      </c>
      <c r="G5" s="83">
        <v>8.36</v>
      </c>
      <c r="H5" s="84">
        <f>E5/G5</f>
        <v>4.0024698741804006E-3</v>
      </c>
      <c r="I5" s="84" t="s">
        <v>455</v>
      </c>
      <c r="J5" s="10" t="s">
        <v>411</v>
      </c>
      <c r="M5" s="35"/>
      <c r="N5" s="35"/>
    </row>
    <row r="6" spans="1:20" x14ac:dyDescent="0.15">
      <c r="A6" s="15">
        <f>SUM(G4:G10)</f>
        <v>8.36</v>
      </c>
      <c r="B6" s="78">
        <v>40233</v>
      </c>
      <c r="C6" s="138">
        <v>40912</v>
      </c>
      <c r="D6" s="13"/>
      <c r="E6" s="54"/>
      <c r="F6" s="12"/>
      <c r="G6" s="83"/>
      <c r="H6" s="84"/>
      <c r="I6" s="84"/>
      <c r="J6" s="10" t="s">
        <v>411</v>
      </c>
      <c r="M6" s="2"/>
      <c r="N6" s="2"/>
    </row>
    <row r="7" spans="1:20" x14ac:dyDescent="0.15">
      <c r="A7" s="2"/>
      <c r="B7" s="78">
        <v>40234</v>
      </c>
      <c r="C7" s="138">
        <v>40913</v>
      </c>
      <c r="D7" s="13"/>
      <c r="E7" s="54"/>
      <c r="F7" s="2"/>
      <c r="G7" s="83"/>
      <c r="H7" s="84"/>
      <c r="I7" s="84"/>
      <c r="J7" s="10" t="s">
        <v>411</v>
      </c>
      <c r="L7" s="93"/>
      <c r="M7" s="3421" t="s">
        <v>441</v>
      </c>
      <c r="N7" s="3421"/>
      <c r="O7" s="3421"/>
      <c r="P7" s="3422" t="s">
        <v>442</v>
      </c>
      <c r="Q7" s="3422"/>
      <c r="R7" s="3422"/>
      <c r="S7" s="4" t="s">
        <v>443</v>
      </c>
    </row>
    <row r="8" spans="1:20" x14ac:dyDescent="0.15">
      <c r="A8" s="2"/>
      <c r="B8" s="78">
        <v>40235</v>
      </c>
      <c r="C8" s="138">
        <v>40914</v>
      </c>
      <c r="D8" s="13"/>
      <c r="E8" s="54"/>
      <c r="F8" s="12"/>
      <c r="G8" s="83"/>
      <c r="H8" s="84"/>
      <c r="I8" s="84"/>
      <c r="J8" s="10" t="s">
        <v>411</v>
      </c>
      <c r="L8" s="94" t="s">
        <v>444</v>
      </c>
      <c r="M8" s="95">
        <v>0.65</v>
      </c>
      <c r="N8" s="96" t="s">
        <v>437</v>
      </c>
      <c r="O8" s="97">
        <v>0.7</v>
      </c>
      <c r="P8" s="98">
        <f>M8*$P$13</f>
        <v>120.9</v>
      </c>
      <c r="Q8" s="99" t="s">
        <v>437</v>
      </c>
      <c r="R8" s="100">
        <f>O8*$P$13</f>
        <v>130.19999999999999</v>
      </c>
      <c r="S8" s="101">
        <v>4.31712962962963E-3</v>
      </c>
    </row>
    <row r="9" spans="1:20" x14ac:dyDescent="0.15">
      <c r="A9" s="2"/>
      <c r="B9" s="78">
        <v>40236</v>
      </c>
      <c r="C9" s="138">
        <v>40915</v>
      </c>
      <c r="D9" s="13"/>
      <c r="E9" s="54"/>
      <c r="F9" s="12"/>
      <c r="G9" s="83"/>
      <c r="H9" s="84"/>
      <c r="I9" s="84"/>
      <c r="J9" s="10" t="s">
        <v>411</v>
      </c>
      <c r="L9" s="94" t="s">
        <v>445</v>
      </c>
      <c r="M9" s="95">
        <v>0.75</v>
      </c>
      <c r="N9" s="96" t="s">
        <v>437</v>
      </c>
      <c r="O9" s="97">
        <v>0.8</v>
      </c>
      <c r="P9" s="98">
        <f>M9*$P$13</f>
        <v>139.5</v>
      </c>
      <c r="Q9" s="99" t="s">
        <v>437</v>
      </c>
      <c r="R9" s="100">
        <f>O9*$P$13</f>
        <v>148.80000000000001</v>
      </c>
      <c r="S9" s="101">
        <v>3.7268518518518519E-3</v>
      </c>
    </row>
    <row r="10" spans="1:20" x14ac:dyDescent="0.15">
      <c r="A10" s="2"/>
      <c r="B10" s="85">
        <v>40237</v>
      </c>
      <c r="C10" s="90">
        <v>40916</v>
      </c>
      <c r="D10" s="13"/>
      <c r="E10" s="54"/>
      <c r="F10" s="12"/>
      <c r="G10" s="83"/>
      <c r="H10" s="84"/>
      <c r="I10" s="84"/>
      <c r="J10" s="10" t="s">
        <v>411</v>
      </c>
      <c r="L10" s="94" t="s">
        <v>446</v>
      </c>
      <c r="M10" s="95">
        <v>0.9</v>
      </c>
      <c r="N10" s="96" t="s">
        <v>437</v>
      </c>
      <c r="O10" s="97">
        <v>0.95</v>
      </c>
      <c r="P10" s="98">
        <f>M10*$P$13</f>
        <v>167.4</v>
      </c>
      <c r="Q10" s="99" t="s">
        <v>437</v>
      </c>
      <c r="R10" s="100">
        <f>O10*$P$13</f>
        <v>176.7</v>
      </c>
      <c r="S10" s="101">
        <v>3.2870370370370371E-3</v>
      </c>
    </row>
    <row r="11" spans="1:20" x14ac:dyDescent="0.15">
      <c r="A11" s="4">
        <f>A4+1</f>
        <v>2</v>
      </c>
      <c r="B11" s="78">
        <v>40238</v>
      </c>
      <c r="C11" s="137">
        <v>40917</v>
      </c>
      <c r="D11" s="8"/>
      <c r="E11" s="52"/>
      <c r="F11" s="7"/>
      <c r="G11" s="80"/>
      <c r="H11" s="81"/>
      <c r="I11" s="81"/>
      <c r="J11" s="10" t="s">
        <v>411</v>
      </c>
      <c r="L11" s="94" t="s">
        <v>447</v>
      </c>
      <c r="M11" s="95">
        <v>0.8</v>
      </c>
      <c r="N11" s="96" t="s">
        <v>437</v>
      </c>
      <c r="O11" s="97">
        <v>0.85</v>
      </c>
      <c r="P11" s="98">
        <f>M11*$P$13</f>
        <v>148.80000000000001</v>
      </c>
      <c r="Q11" s="99" t="s">
        <v>437</v>
      </c>
      <c r="R11" s="100">
        <f>O11*$P$13</f>
        <v>158.1</v>
      </c>
      <c r="S11" s="101">
        <f>T11/42.195</f>
        <v>3.4559013925645047E-3</v>
      </c>
      <c r="T11" s="43">
        <v>0.14582175925925928</v>
      </c>
    </row>
    <row r="12" spans="1:20" x14ac:dyDescent="0.15">
      <c r="A12" s="11" t="s">
        <v>11</v>
      </c>
      <c r="B12" s="78">
        <v>40239</v>
      </c>
      <c r="C12" s="138">
        <v>40918</v>
      </c>
      <c r="D12" s="13"/>
      <c r="E12" s="54"/>
      <c r="F12" s="2"/>
      <c r="G12" s="83"/>
      <c r="H12" s="84"/>
      <c r="I12" s="84"/>
      <c r="J12" s="10" t="s">
        <v>411</v>
      </c>
      <c r="L12" s="102" t="s">
        <v>448</v>
      </c>
      <c r="M12" s="103">
        <v>0.85</v>
      </c>
      <c r="N12" s="104" t="s">
        <v>437</v>
      </c>
      <c r="O12" s="105">
        <v>0.9</v>
      </c>
      <c r="P12" s="106">
        <f>M12*$P$13</f>
        <v>158.1</v>
      </c>
      <c r="Q12" s="107" t="s">
        <v>437</v>
      </c>
      <c r="R12" s="108">
        <f>O12*$P$13</f>
        <v>167.4</v>
      </c>
      <c r="S12" s="109">
        <f>T12/(42.195/2)</f>
        <v>2.9624363076193863E-3</v>
      </c>
      <c r="T12" s="43">
        <v>6.25E-2</v>
      </c>
    </row>
    <row r="13" spans="1:20" x14ac:dyDescent="0.15">
      <c r="A13" s="15">
        <f>SUM(G11:G17)</f>
        <v>10.73</v>
      </c>
      <c r="B13" s="78">
        <v>40240</v>
      </c>
      <c r="C13" s="138">
        <v>40919</v>
      </c>
      <c r="D13" s="13"/>
      <c r="E13" s="54"/>
      <c r="F13" s="12"/>
      <c r="G13" s="83"/>
      <c r="H13" s="84"/>
      <c r="I13" s="84"/>
      <c r="J13" s="10" t="s">
        <v>411</v>
      </c>
      <c r="L13" s="102" t="s">
        <v>449</v>
      </c>
      <c r="M13" s="3423">
        <v>1</v>
      </c>
      <c r="N13" s="3423"/>
      <c r="O13" s="3423"/>
      <c r="P13" s="3424">
        <v>186</v>
      </c>
      <c r="Q13" s="3424"/>
      <c r="R13" s="3424"/>
      <c r="S13" s="2"/>
    </row>
    <row r="14" spans="1:20" x14ac:dyDescent="0.15">
      <c r="A14" s="2"/>
      <c r="B14" s="78">
        <v>40241</v>
      </c>
      <c r="C14" s="138">
        <v>40920</v>
      </c>
      <c r="D14" s="13"/>
      <c r="E14" s="54"/>
      <c r="F14" s="2"/>
      <c r="G14" s="83"/>
      <c r="H14" s="84"/>
      <c r="I14" s="84"/>
      <c r="J14" s="10" t="s">
        <v>411</v>
      </c>
      <c r="O14" s="35"/>
    </row>
    <row r="15" spans="1:20" x14ac:dyDescent="0.15">
      <c r="A15" s="2"/>
      <c r="B15" s="78">
        <v>40242</v>
      </c>
      <c r="C15" s="138">
        <v>40921</v>
      </c>
      <c r="D15" s="13"/>
      <c r="E15" s="54"/>
      <c r="F15" s="12"/>
      <c r="G15" s="83"/>
      <c r="H15" s="84"/>
      <c r="I15" s="84"/>
      <c r="J15" s="10" t="s">
        <v>411</v>
      </c>
      <c r="O15" s="2"/>
    </row>
    <row r="16" spans="1:20" x14ac:dyDescent="0.15">
      <c r="A16" s="2"/>
      <c r="B16" s="78">
        <v>40243</v>
      </c>
      <c r="C16" s="138">
        <v>40922</v>
      </c>
      <c r="D16" s="13"/>
      <c r="E16" s="54"/>
      <c r="F16" s="12"/>
      <c r="G16" s="83"/>
      <c r="H16" s="84"/>
      <c r="I16" s="84"/>
      <c r="J16" s="10" t="s">
        <v>411</v>
      </c>
      <c r="O16" s="2"/>
    </row>
    <row r="17" spans="1:20" x14ac:dyDescent="0.15">
      <c r="A17" s="2"/>
      <c r="B17" s="85">
        <v>40244</v>
      </c>
      <c r="C17" s="90">
        <v>40923</v>
      </c>
      <c r="D17" s="13" t="s">
        <v>14</v>
      </c>
      <c r="E17" s="54">
        <v>4.2465277777777775E-2</v>
      </c>
      <c r="F17" s="12">
        <v>143</v>
      </c>
      <c r="G17" s="83">
        <v>10.73</v>
      </c>
      <c r="H17" s="84">
        <f>E17/G17</f>
        <v>3.9576214145179657E-3</v>
      </c>
      <c r="I17" s="84" t="s">
        <v>453</v>
      </c>
      <c r="J17" s="10" t="s">
        <v>411</v>
      </c>
      <c r="L17" s="139" t="s">
        <v>458</v>
      </c>
      <c r="O17" s="2"/>
    </row>
    <row r="18" spans="1:20" x14ac:dyDescent="0.15">
      <c r="A18" s="4">
        <f>A11+1</f>
        <v>3</v>
      </c>
      <c r="B18" s="78">
        <v>40245</v>
      </c>
      <c r="C18" s="137">
        <v>40924</v>
      </c>
      <c r="D18" s="8"/>
      <c r="E18" s="52"/>
      <c r="F18" s="7"/>
      <c r="G18" s="80"/>
      <c r="H18" s="81"/>
      <c r="I18" s="81"/>
      <c r="J18" s="10" t="s">
        <v>411</v>
      </c>
      <c r="L18" s="140" t="s">
        <v>14</v>
      </c>
      <c r="M18" s="3425" t="s">
        <v>459</v>
      </c>
      <c r="N18" s="3425"/>
      <c r="O18" s="3425"/>
      <c r="P18" s="3425"/>
      <c r="Q18" s="3425"/>
      <c r="R18" s="3425"/>
      <c r="S18" s="3425"/>
      <c r="T18" s="3425"/>
    </row>
    <row r="19" spans="1:20" x14ac:dyDescent="0.15">
      <c r="A19" s="11" t="s">
        <v>11</v>
      </c>
      <c r="B19" s="78">
        <v>40246</v>
      </c>
      <c r="C19" s="138">
        <v>40925</v>
      </c>
      <c r="D19" s="13"/>
      <c r="E19" s="54"/>
      <c r="F19" s="2"/>
      <c r="G19" s="83"/>
      <c r="H19" s="84"/>
      <c r="I19" s="84"/>
      <c r="J19" s="10" t="s">
        <v>411</v>
      </c>
      <c r="L19" s="140" t="s">
        <v>460</v>
      </c>
      <c r="M19" s="3425" t="s">
        <v>461</v>
      </c>
      <c r="N19" s="3425"/>
      <c r="O19" s="3425"/>
      <c r="P19" s="3425"/>
      <c r="Q19" s="3425"/>
      <c r="R19" s="3425"/>
      <c r="S19" s="3425"/>
      <c r="T19" s="3425"/>
    </row>
    <row r="20" spans="1:20" x14ac:dyDescent="0.15">
      <c r="A20" s="15">
        <f>SUM(G18:G24)</f>
        <v>9</v>
      </c>
      <c r="B20" s="78">
        <v>40247</v>
      </c>
      <c r="C20" s="138">
        <v>40926</v>
      </c>
      <c r="D20" s="13"/>
      <c r="E20" s="54"/>
      <c r="F20" s="12"/>
      <c r="G20" s="83"/>
      <c r="H20" s="84"/>
      <c r="I20" s="84"/>
      <c r="J20" s="10" t="s">
        <v>411</v>
      </c>
      <c r="L20" s="140" t="s">
        <v>462</v>
      </c>
      <c r="M20" s="3425" t="s">
        <v>463</v>
      </c>
      <c r="N20" s="3425"/>
      <c r="O20" s="3425"/>
      <c r="P20" s="3425"/>
      <c r="Q20" s="3425"/>
      <c r="R20" s="3425"/>
      <c r="S20" s="3425"/>
      <c r="T20" s="3425"/>
    </row>
    <row r="21" spans="1:20" x14ac:dyDescent="0.15">
      <c r="A21" s="2"/>
      <c r="B21" s="78">
        <v>40248</v>
      </c>
      <c r="C21" s="138">
        <v>40927</v>
      </c>
      <c r="D21" s="13"/>
      <c r="E21" s="54"/>
      <c r="F21" s="2"/>
      <c r="G21" s="83"/>
      <c r="H21" s="84"/>
      <c r="I21" s="84"/>
      <c r="J21" s="10" t="s">
        <v>411</v>
      </c>
    </row>
    <row r="22" spans="1:20" x14ac:dyDescent="0.15">
      <c r="A22" s="2"/>
      <c r="B22" s="78">
        <v>40249</v>
      </c>
      <c r="C22" s="138">
        <v>40928</v>
      </c>
      <c r="D22" s="13"/>
      <c r="E22" s="54"/>
      <c r="F22" s="12"/>
      <c r="G22" s="83"/>
      <c r="H22" s="84"/>
      <c r="I22" s="84"/>
      <c r="J22" s="10" t="s">
        <v>411</v>
      </c>
    </row>
    <row r="23" spans="1:20" x14ac:dyDescent="0.15">
      <c r="A23" s="2"/>
      <c r="B23" s="78">
        <v>40250</v>
      </c>
      <c r="C23" s="138">
        <v>40929</v>
      </c>
      <c r="D23" s="13"/>
      <c r="E23" s="54"/>
      <c r="F23" s="12"/>
      <c r="G23" s="83"/>
      <c r="H23" s="84"/>
      <c r="I23" s="84"/>
      <c r="J23" s="10" t="s">
        <v>411</v>
      </c>
    </row>
    <row r="24" spans="1:20" x14ac:dyDescent="0.15">
      <c r="A24" s="2"/>
      <c r="B24" s="85">
        <v>40251</v>
      </c>
      <c r="C24" s="90">
        <v>40930</v>
      </c>
      <c r="D24" s="13" t="s">
        <v>14</v>
      </c>
      <c r="E24" s="54">
        <v>3.622685185185185E-2</v>
      </c>
      <c r="F24" s="12">
        <v>143</v>
      </c>
      <c r="G24" s="83">
        <v>9</v>
      </c>
      <c r="H24" s="84">
        <f>E24/G24</f>
        <v>4.025205761316872E-3</v>
      </c>
      <c r="I24" s="84" t="s">
        <v>436</v>
      </c>
      <c r="J24" s="10" t="s">
        <v>411</v>
      </c>
    </row>
    <row r="25" spans="1:20" x14ac:dyDescent="0.15">
      <c r="A25" s="4">
        <f>A18+1</f>
        <v>4</v>
      </c>
      <c r="B25" s="78">
        <v>40252</v>
      </c>
      <c r="C25" s="137">
        <v>40931</v>
      </c>
      <c r="D25" s="8"/>
      <c r="E25" s="52"/>
      <c r="F25" s="7"/>
      <c r="G25" s="80"/>
      <c r="H25" s="81"/>
      <c r="I25" s="81"/>
      <c r="J25" s="10" t="s">
        <v>411</v>
      </c>
    </row>
    <row r="26" spans="1:20" x14ac:dyDescent="0.15">
      <c r="A26" s="11" t="s">
        <v>11</v>
      </c>
      <c r="B26" s="78">
        <v>40253</v>
      </c>
      <c r="C26" s="138">
        <v>40932</v>
      </c>
      <c r="D26" s="13"/>
      <c r="E26" s="54"/>
      <c r="F26" s="2"/>
      <c r="G26" s="83"/>
      <c r="H26" s="84"/>
      <c r="I26" s="84"/>
      <c r="J26" s="10" t="s">
        <v>411</v>
      </c>
    </row>
    <row r="27" spans="1:20" x14ac:dyDescent="0.15">
      <c r="A27" s="15">
        <f>SUM(G25:G31)</f>
        <v>0</v>
      </c>
      <c r="B27" s="78">
        <v>40254</v>
      </c>
      <c r="C27" s="138">
        <v>40933</v>
      </c>
      <c r="D27" s="13"/>
      <c r="E27" s="54"/>
      <c r="F27" s="12"/>
      <c r="G27" s="83"/>
      <c r="H27" s="84"/>
      <c r="I27" s="84"/>
      <c r="J27" s="10" t="s">
        <v>411</v>
      </c>
    </row>
    <row r="28" spans="1:20" x14ac:dyDescent="0.15">
      <c r="A28" s="2"/>
      <c r="B28" s="78">
        <v>40255</v>
      </c>
      <c r="C28" s="138">
        <v>40934</v>
      </c>
      <c r="D28" s="13"/>
      <c r="E28" s="54"/>
      <c r="F28" s="2"/>
      <c r="G28" s="83"/>
      <c r="H28" s="84"/>
      <c r="I28" s="84"/>
      <c r="J28" s="10" t="s">
        <v>411</v>
      </c>
    </row>
    <row r="29" spans="1:20" x14ac:dyDescent="0.15">
      <c r="A29" s="2"/>
      <c r="B29" s="78">
        <v>40256</v>
      </c>
      <c r="C29" s="138">
        <v>40935</v>
      </c>
      <c r="D29" s="13"/>
      <c r="E29" s="54"/>
      <c r="F29" s="12"/>
      <c r="G29" s="83"/>
      <c r="H29" s="84"/>
      <c r="I29" s="84"/>
      <c r="J29" s="10" t="s">
        <v>411</v>
      </c>
    </row>
    <row r="30" spans="1:20" x14ac:dyDescent="0.15">
      <c r="A30" s="2"/>
      <c r="B30" s="78">
        <v>40257</v>
      </c>
      <c r="C30" s="138">
        <v>40936</v>
      </c>
      <c r="D30" s="13"/>
      <c r="E30" s="54"/>
      <c r="F30" s="12"/>
      <c r="G30" s="83"/>
      <c r="H30" s="84"/>
      <c r="I30" s="84"/>
      <c r="J30" s="10" t="s">
        <v>411</v>
      </c>
    </row>
    <row r="31" spans="1:20" x14ac:dyDescent="0.15">
      <c r="A31" s="2"/>
      <c r="B31" s="85">
        <v>40258</v>
      </c>
      <c r="C31" s="90">
        <v>40937</v>
      </c>
      <c r="D31" s="13"/>
      <c r="E31" s="54"/>
      <c r="F31" s="12"/>
      <c r="G31" s="83"/>
      <c r="H31" s="84"/>
      <c r="I31" s="84"/>
      <c r="J31" s="10" t="s">
        <v>411</v>
      </c>
    </row>
    <row r="32" spans="1:20" x14ac:dyDescent="0.15">
      <c r="A32" s="4">
        <f>A25+1</f>
        <v>5</v>
      </c>
      <c r="B32" s="78">
        <v>40259</v>
      </c>
      <c r="C32" s="137">
        <v>40938</v>
      </c>
      <c r="D32" s="8"/>
      <c r="E32" s="52"/>
      <c r="F32" s="7"/>
      <c r="G32" s="80"/>
      <c r="H32" s="81"/>
      <c r="I32" s="81"/>
      <c r="J32" s="10" t="s">
        <v>411</v>
      </c>
    </row>
    <row r="33" spans="1:10" x14ac:dyDescent="0.15">
      <c r="A33" s="11" t="s">
        <v>11</v>
      </c>
      <c r="B33" s="78">
        <v>40260</v>
      </c>
      <c r="C33" s="138">
        <v>40939</v>
      </c>
      <c r="D33" s="13"/>
      <c r="E33" s="54"/>
      <c r="F33" s="2"/>
      <c r="G33" s="83"/>
      <c r="H33" s="84"/>
      <c r="I33" s="84"/>
      <c r="J33" s="10" t="s">
        <v>411</v>
      </c>
    </row>
    <row r="34" spans="1:10" x14ac:dyDescent="0.15">
      <c r="A34" s="15">
        <f>SUM(G32:G38)</f>
        <v>0</v>
      </c>
      <c r="B34" s="78">
        <v>40261</v>
      </c>
      <c r="C34" s="138">
        <v>40940</v>
      </c>
      <c r="D34" s="13"/>
      <c r="E34" s="54"/>
      <c r="F34" s="12"/>
      <c r="G34" s="83"/>
      <c r="H34" s="84"/>
      <c r="I34" s="84"/>
      <c r="J34" s="10" t="s">
        <v>411</v>
      </c>
    </row>
    <row r="35" spans="1:10" x14ac:dyDescent="0.15">
      <c r="A35" s="2"/>
      <c r="B35" s="78">
        <v>40262</v>
      </c>
      <c r="C35" s="138">
        <v>40941</v>
      </c>
      <c r="D35" s="13"/>
      <c r="E35" s="54"/>
      <c r="F35" s="2"/>
      <c r="G35" s="83"/>
      <c r="H35" s="84"/>
      <c r="I35" s="84"/>
      <c r="J35" s="10" t="s">
        <v>411</v>
      </c>
    </row>
    <row r="36" spans="1:10" x14ac:dyDescent="0.15">
      <c r="A36" s="2"/>
      <c r="B36" s="78">
        <v>40263</v>
      </c>
      <c r="C36" s="138">
        <v>40942</v>
      </c>
      <c r="D36" s="13"/>
      <c r="E36" s="54"/>
      <c r="F36" s="12"/>
      <c r="G36" s="83"/>
      <c r="H36" s="84"/>
      <c r="I36" s="84"/>
      <c r="J36" s="10" t="s">
        <v>411</v>
      </c>
    </row>
    <row r="37" spans="1:10" x14ac:dyDescent="0.15">
      <c r="A37" s="2"/>
      <c r="B37" s="78">
        <v>40264</v>
      </c>
      <c r="C37" s="138">
        <v>40943</v>
      </c>
      <c r="D37" s="13"/>
      <c r="E37" s="54"/>
      <c r="F37" s="12"/>
      <c r="G37" s="83"/>
      <c r="H37" s="84"/>
      <c r="I37" s="84"/>
      <c r="J37" s="10" t="s">
        <v>411</v>
      </c>
    </row>
    <row r="38" spans="1:10" x14ac:dyDescent="0.15">
      <c r="A38" s="2"/>
      <c r="B38" s="85">
        <v>40265</v>
      </c>
      <c r="C38" s="90">
        <v>40944</v>
      </c>
      <c r="D38" s="13"/>
      <c r="E38" s="54"/>
      <c r="F38" s="12"/>
      <c r="G38" s="83"/>
      <c r="H38" s="84"/>
      <c r="I38" s="84"/>
      <c r="J38" s="10" t="s">
        <v>411</v>
      </c>
    </row>
    <row r="39" spans="1:10" x14ac:dyDescent="0.15">
      <c r="A39" s="4">
        <f>A32+1</f>
        <v>6</v>
      </c>
      <c r="B39" s="78">
        <v>40266</v>
      </c>
      <c r="C39" s="137">
        <v>40945</v>
      </c>
      <c r="D39" s="8"/>
      <c r="E39" s="52"/>
      <c r="F39" s="7"/>
      <c r="G39" s="80"/>
      <c r="H39" s="81"/>
      <c r="I39" s="81"/>
      <c r="J39" s="10" t="s">
        <v>411</v>
      </c>
    </row>
    <row r="40" spans="1:10" x14ac:dyDescent="0.15">
      <c r="A40" s="11" t="s">
        <v>11</v>
      </c>
      <c r="B40" s="78">
        <v>40267</v>
      </c>
      <c r="C40" s="138">
        <v>40946</v>
      </c>
      <c r="D40" s="13"/>
      <c r="E40" s="54"/>
      <c r="F40" s="2"/>
      <c r="G40" s="83"/>
      <c r="H40" s="84"/>
      <c r="I40" s="84"/>
      <c r="J40" s="10" t="s">
        <v>411</v>
      </c>
    </row>
    <row r="41" spans="1:10" x14ac:dyDescent="0.15">
      <c r="A41" s="15">
        <f>SUM(G39:G45)</f>
        <v>20.96</v>
      </c>
      <c r="B41" s="78">
        <v>40268</v>
      </c>
      <c r="C41" s="138">
        <v>40947</v>
      </c>
      <c r="D41" s="13"/>
      <c r="E41" s="54"/>
      <c r="F41" s="12"/>
      <c r="G41" s="83"/>
      <c r="H41" s="84"/>
      <c r="I41" s="84"/>
      <c r="J41" s="10" t="s">
        <v>411</v>
      </c>
    </row>
    <row r="42" spans="1:10" x14ac:dyDescent="0.15">
      <c r="A42" s="2"/>
      <c r="B42" s="78">
        <v>40269</v>
      </c>
      <c r="C42" s="138">
        <v>40948</v>
      </c>
      <c r="D42" s="13"/>
      <c r="E42" s="54"/>
      <c r="F42" s="2"/>
      <c r="G42" s="83"/>
      <c r="H42" s="84"/>
      <c r="I42" s="84"/>
      <c r="J42" s="10" t="s">
        <v>411</v>
      </c>
    </row>
    <row r="43" spans="1:10" x14ac:dyDescent="0.15">
      <c r="A43" s="2"/>
      <c r="B43" s="78">
        <v>40270</v>
      </c>
      <c r="C43" s="138">
        <v>40949</v>
      </c>
      <c r="D43" s="13" t="s">
        <v>14</v>
      </c>
      <c r="E43" s="54">
        <v>4.0914351851851855E-2</v>
      </c>
      <c r="F43" s="12">
        <v>146</v>
      </c>
      <c r="G43" s="83">
        <v>10.53</v>
      </c>
      <c r="H43" s="84">
        <f>E43/G43</f>
        <v>3.8855034997010312E-3</v>
      </c>
      <c r="I43" s="84" t="s">
        <v>453</v>
      </c>
      <c r="J43" s="10" t="s">
        <v>411</v>
      </c>
    </row>
    <row r="44" spans="1:10" x14ac:dyDescent="0.15">
      <c r="A44" s="2"/>
      <c r="B44" s="78">
        <v>40271</v>
      </c>
      <c r="C44" s="138">
        <v>40950</v>
      </c>
      <c r="D44" s="13"/>
      <c r="E44" s="54"/>
      <c r="F44" s="12"/>
      <c r="G44" s="83"/>
      <c r="H44" s="84"/>
      <c r="I44" s="84"/>
      <c r="J44" s="10" t="s">
        <v>411</v>
      </c>
    </row>
    <row r="45" spans="1:10" x14ac:dyDescent="0.15">
      <c r="A45" s="2"/>
      <c r="B45" s="85">
        <v>40272</v>
      </c>
      <c r="C45" s="90">
        <v>40951</v>
      </c>
      <c r="D45" s="13" t="s">
        <v>14</v>
      </c>
      <c r="E45" s="54">
        <v>4.0023148148148148E-2</v>
      </c>
      <c r="F45" s="12">
        <v>150</v>
      </c>
      <c r="G45" s="83">
        <v>10.43</v>
      </c>
      <c r="H45" s="84">
        <f>E45/G45</f>
        <v>3.8373104648272436E-3</v>
      </c>
      <c r="I45" s="84" t="s">
        <v>455</v>
      </c>
      <c r="J45" s="10" t="s">
        <v>411</v>
      </c>
    </row>
    <row r="46" spans="1:10" x14ac:dyDescent="0.15">
      <c r="A46" s="4">
        <f>A39+1</f>
        <v>7</v>
      </c>
      <c r="B46" s="78">
        <v>40273</v>
      </c>
      <c r="C46" s="137">
        <v>40952</v>
      </c>
      <c r="D46" s="8"/>
      <c r="E46" s="52"/>
      <c r="F46" s="7"/>
      <c r="G46" s="80"/>
      <c r="H46" s="81"/>
      <c r="I46" s="81"/>
      <c r="J46" s="10" t="s">
        <v>411</v>
      </c>
    </row>
    <row r="47" spans="1:10" x14ac:dyDescent="0.15">
      <c r="A47" s="11" t="s">
        <v>11</v>
      </c>
      <c r="B47" s="78">
        <v>40274</v>
      </c>
      <c r="C47" s="138">
        <v>40953</v>
      </c>
      <c r="D47" s="13"/>
      <c r="E47" s="54"/>
      <c r="F47" s="2"/>
      <c r="G47" s="83"/>
      <c r="H47" s="84"/>
      <c r="I47" s="84"/>
      <c r="J47" s="10" t="s">
        <v>411</v>
      </c>
    </row>
    <row r="48" spans="1:10" x14ac:dyDescent="0.15">
      <c r="A48" s="15">
        <f>SUM(G46:G52)</f>
        <v>9.8699999999999992</v>
      </c>
      <c r="B48" s="78">
        <v>40275</v>
      </c>
      <c r="C48" s="138">
        <v>40954</v>
      </c>
      <c r="D48" s="13"/>
      <c r="E48" s="54"/>
      <c r="F48" s="12"/>
      <c r="G48" s="83"/>
      <c r="H48" s="84"/>
      <c r="I48" s="84"/>
      <c r="J48" s="10" t="s">
        <v>411</v>
      </c>
    </row>
    <row r="49" spans="1:10" x14ac:dyDescent="0.15">
      <c r="A49" s="2"/>
      <c r="B49" s="78">
        <v>40276</v>
      </c>
      <c r="C49" s="138">
        <v>40955</v>
      </c>
      <c r="D49" s="13"/>
      <c r="E49" s="54"/>
      <c r="F49" s="2"/>
      <c r="G49" s="83"/>
      <c r="H49" s="84"/>
      <c r="I49" s="84"/>
      <c r="J49" s="10" t="s">
        <v>411</v>
      </c>
    </row>
    <row r="50" spans="1:10" x14ac:dyDescent="0.15">
      <c r="A50" s="2"/>
      <c r="B50" s="78">
        <v>40277</v>
      </c>
      <c r="C50" s="138">
        <v>40956</v>
      </c>
      <c r="D50" s="13"/>
      <c r="E50" s="54"/>
      <c r="F50" s="12"/>
      <c r="G50" s="83"/>
      <c r="H50" s="84"/>
      <c r="I50" s="84"/>
      <c r="J50" s="10" t="s">
        <v>411</v>
      </c>
    </row>
    <row r="51" spans="1:10" x14ac:dyDescent="0.15">
      <c r="A51" s="2"/>
      <c r="B51" s="78">
        <v>40278</v>
      </c>
      <c r="C51" s="138">
        <v>40957</v>
      </c>
      <c r="D51" s="13" t="s">
        <v>14</v>
      </c>
      <c r="E51" s="54">
        <v>3.484953703703704E-2</v>
      </c>
      <c r="F51" s="12">
        <v>166</v>
      </c>
      <c r="G51" s="83">
        <v>9.8699999999999992</v>
      </c>
      <c r="H51" s="84">
        <f>E51/G51</f>
        <v>3.5308548163158096E-3</v>
      </c>
      <c r="I51" s="84" t="s">
        <v>455</v>
      </c>
      <c r="J51" s="10" t="s">
        <v>411</v>
      </c>
    </row>
    <row r="52" spans="1:10" x14ac:dyDescent="0.15">
      <c r="A52" s="2"/>
      <c r="B52" s="85">
        <v>40279</v>
      </c>
      <c r="C52" s="90">
        <v>40958</v>
      </c>
      <c r="D52" s="13"/>
      <c r="E52" s="54"/>
      <c r="F52" s="12"/>
      <c r="G52" s="83"/>
      <c r="H52" s="84"/>
      <c r="I52" s="84"/>
      <c r="J52" s="10" t="s">
        <v>411</v>
      </c>
    </row>
    <row r="53" spans="1:10" x14ac:dyDescent="0.15">
      <c r="A53" s="4">
        <f>A46+1</f>
        <v>8</v>
      </c>
      <c r="B53" s="78">
        <v>40280</v>
      </c>
      <c r="C53" s="137">
        <v>40959</v>
      </c>
      <c r="D53" s="8"/>
      <c r="E53" s="52"/>
      <c r="F53" s="7"/>
      <c r="G53" s="80"/>
      <c r="H53" s="81"/>
      <c r="I53" s="81"/>
      <c r="J53" s="10" t="s">
        <v>411</v>
      </c>
    </row>
    <row r="54" spans="1:10" x14ac:dyDescent="0.15">
      <c r="A54" s="11" t="s">
        <v>11</v>
      </c>
      <c r="B54" s="78">
        <v>40281</v>
      </c>
      <c r="C54" s="138">
        <v>40960</v>
      </c>
      <c r="D54" s="13"/>
      <c r="E54" s="54"/>
      <c r="F54" s="2"/>
      <c r="G54" s="83"/>
      <c r="H54" s="84"/>
      <c r="I54" s="84"/>
      <c r="J54" s="10" t="s">
        <v>411</v>
      </c>
    </row>
    <row r="55" spans="1:10" x14ac:dyDescent="0.15">
      <c r="A55" s="15">
        <f>SUM(G53:G59)</f>
        <v>20.59</v>
      </c>
      <c r="B55" s="78">
        <v>40282</v>
      </c>
      <c r="C55" s="138">
        <v>40961</v>
      </c>
      <c r="D55" s="13"/>
      <c r="E55" s="54"/>
      <c r="F55" s="12"/>
      <c r="G55" s="83"/>
      <c r="H55" s="84"/>
      <c r="I55" s="84"/>
      <c r="J55" s="10" t="s">
        <v>411</v>
      </c>
    </row>
    <row r="56" spans="1:10" x14ac:dyDescent="0.15">
      <c r="A56" s="2"/>
      <c r="B56" s="78">
        <v>40283</v>
      </c>
      <c r="C56" s="138">
        <v>40962</v>
      </c>
      <c r="D56" s="13"/>
      <c r="E56" s="54"/>
      <c r="F56" s="2"/>
      <c r="G56" s="83"/>
      <c r="H56" s="84"/>
      <c r="I56" s="84"/>
      <c r="J56" s="10" t="s">
        <v>411</v>
      </c>
    </row>
    <row r="57" spans="1:10" x14ac:dyDescent="0.15">
      <c r="A57" s="2"/>
      <c r="B57" s="78">
        <v>40284</v>
      </c>
      <c r="C57" s="138">
        <v>40963</v>
      </c>
      <c r="D57" s="13" t="s">
        <v>464</v>
      </c>
      <c r="E57" s="54">
        <v>3.7442129629629631E-2</v>
      </c>
      <c r="F57" s="12">
        <v>156</v>
      </c>
      <c r="G57" s="83">
        <v>10.18</v>
      </c>
      <c r="H57" s="84">
        <f>E57/G57</f>
        <v>3.678008804482282E-3</v>
      </c>
      <c r="I57" s="84" t="s">
        <v>436</v>
      </c>
      <c r="J57" s="10" t="s">
        <v>411</v>
      </c>
    </row>
    <row r="58" spans="1:10" x14ac:dyDescent="0.15">
      <c r="A58" s="2"/>
      <c r="B58" s="78">
        <v>40285</v>
      </c>
      <c r="C58" s="138">
        <v>40964</v>
      </c>
      <c r="D58" s="13"/>
      <c r="E58" s="54"/>
      <c r="F58" s="12"/>
      <c r="G58" s="83"/>
      <c r="H58" s="84"/>
      <c r="I58" s="84"/>
      <c r="J58" s="10" t="s">
        <v>411</v>
      </c>
    </row>
    <row r="59" spans="1:10" x14ac:dyDescent="0.15">
      <c r="A59" s="2"/>
      <c r="B59" s="85">
        <v>40286</v>
      </c>
      <c r="C59" s="90">
        <v>40965</v>
      </c>
      <c r="D59" s="13" t="s">
        <v>14</v>
      </c>
      <c r="E59" s="54">
        <v>3.9097222222222221E-2</v>
      </c>
      <c r="F59" s="12">
        <v>159</v>
      </c>
      <c r="G59" s="83">
        <v>10.41</v>
      </c>
      <c r="H59" s="84">
        <f>E59/G59</f>
        <v>3.7557370050165439E-3</v>
      </c>
      <c r="I59" s="84" t="s">
        <v>453</v>
      </c>
      <c r="J59" s="10" t="s">
        <v>411</v>
      </c>
    </row>
    <row r="60" spans="1:10" x14ac:dyDescent="0.15">
      <c r="A60" s="4">
        <f>A53+1</f>
        <v>9</v>
      </c>
      <c r="B60" s="78">
        <v>40287</v>
      </c>
      <c r="C60" s="137">
        <v>40966</v>
      </c>
      <c r="D60" s="8"/>
      <c r="E60" s="52"/>
      <c r="F60" s="7"/>
      <c r="G60" s="80"/>
      <c r="H60" s="81"/>
      <c r="I60" s="81"/>
      <c r="J60" s="10" t="s">
        <v>411</v>
      </c>
    </row>
    <row r="61" spans="1:10" x14ac:dyDescent="0.15">
      <c r="A61" s="11" t="s">
        <v>11</v>
      </c>
      <c r="B61" s="78">
        <v>40288</v>
      </c>
      <c r="C61" s="138">
        <v>40967</v>
      </c>
      <c r="D61" s="13"/>
      <c r="E61" s="54"/>
      <c r="F61" s="2"/>
      <c r="G61" s="83"/>
      <c r="H61" s="84"/>
      <c r="I61" s="84"/>
      <c r="J61" s="10" t="s">
        <v>411</v>
      </c>
    </row>
    <row r="62" spans="1:10" x14ac:dyDescent="0.15">
      <c r="A62" s="15">
        <f>SUM(G60:G66)</f>
        <v>24.58</v>
      </c>
      <c r="B62" s="78">
        <v>40289</v>
      </c>
      <c r="C62" s="138">
        <v>40968</v>
      </c>
      <c r="D62" s="13"/>
      <c r="E62" s="54"/>
      <c r="F62" s="12"/>
      <c r="G62" s="83"/>
      <c r="H62" s="84"/>
      <c r="I62" s="84"/>
      <c r="J62" s="10" t="s">
        <v>411</v>
      </c>
    </row>
    <row r="63" spans="1:10" x14ac:dyDescent="0.15">
      <c r="A63" s="2"/>
      <c r="B63" s="78">
        <v>40290</v>
      </c>
      <c r="C63" s="138">
        <v>40969</v>
      </c>
      <c r="D63" s="13" t="s">
        <v>464</v>
      </c>
      <c r="E63" s="54">
        <v>3.7314814814814815E-2</v>
      </c>
      <c r="F63" s="2">
        <v>159</v>
      </c>
      <c r="G63" s="83">
        <v>10.35</v>
      </c>
      <c r="H63" s="84">
        <f>E63/G63</f>
        <v>3.6052961173734122E-3</v>
      </c>
      <c r="I63" s="84" t="s">
        <v>436</v>
      </c>
      <c r="J63" s="10" t="s">
        <v>411</v>
      </c>
    </row>
    <row r="64" spans="1:10" x14ac:dyDescent="0.15">
      <c r="A64" s="2"/>
      <c r="B64" s="78">
        <v>40291</v>
      </c>
      <c r="C64" s="138">
        <v>40970</v>
      </c>
      <c r="D64" s="13"/>
      <c r="E64" s="54"/>
      <c r="F64" s="12"/>
      <c r="G64" s="83"/>
      <c r="H64" s="84"/>
      <c r="I64" s="84"/>
      <c r="J64" s="10" t="s">
        <v>411</v>
      </c>
    </row>
    <row r="65" spans="1:10" x14ac:dyDescent="0.15">
      <c r="A65" s="2"/>
      <c r="B65" s="78">
        <v>40292</v>
      </c>
      <c r="C65" s="138">
        <v>40971</v>
      </c>
      <c r="D65" s="13" t="s">
        <v>14</v>
      </c>
      <c r="E65" s="54">
        <v>5.3414351851851852E-2</v>
      </c>
      <c r="F65" s="12" t="s">
        <v>437</v>
      </c>
      <c r="G65" s="83">
        <v>14.23</v>
      </c>
      <c r="H65" s="84">
        <f>E65/G65</f>
        <v>3.7536438406080008E-3</v>
      </c>
      <c r="I65" s="84" t="s">
        <v>455</v>
      </c>
      <c r="J65" s="10" t="s">
        <v>411</v>
      </c>
    </row>
    <row r="66" spans="1:10" x14ac:dyDescent="0.15">
      <c r="A66" s="2"/>
      <c r="B66" s="85">
        <v>40293</v>
      </c>
      <c r="C66" s="90">
        <v>40972</v>
      </c>
      <c r="D66" s="13"/>
      <c r="E66" s="54"/>
      <c r="F66" s="12"/>
      <c r="G66" s="83"/>
      <c r="H66" s="84"/>
      <c r="I66" s="84"/>
      <c r="J66" s="10" t="s">
        <v>411</v>
      </c>
    </row>
    <row r="67" spans="1:10" x14ac:dyDescent="0.15">
      <c r="A67" s="4">
        <f>A60+1</f>
        <v>10</v>
      </c>
      <c r="B67" s="78">
        <v>40294</v>
      </c>
      <c r="C67" s="137">
        <v>40973</v>
      </c>
      <c r="D67" s="8"/>
      <c r="E67" s="52"/>
      <c r="F67" s="7"/>
      <c r="G67" s="80"/>
      <c r="H67" s="81"/>
      <c r="I67" s="81"/>
      <c r="J67" s="10" t="s">
        <v>411</v>
      </c>
    </row>
    <row r="68" spans="1:10" x14ac:dyDescent="0.15">
      <c r="A68" s="11" t="s">
        <v>11</v>
      </c>
      <c r="B68" s="78">
        <v>40295</v>
      </c>
      <c r="C68" s="138">
        <v>40974</v>
      </c>
      <c r="D68" s="13" t="s">
        <v>464</v>
      </c>
      <c r="E68" s="54">
        <v>4.144675925925926E-2</v>
      </c>
      <c r="F68" s="2">
        <v>154</v>
      </c>
      <c r="G68" s="83">
        <v>11.3</v>
      </c>
      <c r="H68" s="84">
        <f>E68/G68</f>
        <v>3.6678548017043591E-3</v>
      </c>
      <c r="I68" s="84" t="s">
        <v>436</v>
      </c>
      <c r="J68" s="10" t="s">
        <v>411</v>
      </c>
    </row>
    <row r="69" spans="1:10" x14ac:dyDescent="0.15">
      <c r="A69" s="15">
        <f>SUM(G67:G73)</f>
        <v>40.54</v>
      </c>
      <c r="B69" s="78">
        <v>40296</v>
      </c>
      <c r="C69" s="138">
        <v>40975</v>
      </c>
      <c r="D69" s="13"/>
      <c r="E69" s="54"/>
      <c r="F69" s="12"/>
      <c r="G69" s="83"/>
      <c r="H69" s="84"/>
      <c r="I69" s="84"/>
      <c r="J69" s="10" t="s">
        <v>411</v>
      </c>
    </row>
    <row r="70" spans="1:10" x14ac:dyDescent="0.15">
      <c r="A70" s="2"/>
      <c r="B70" s="78">
        <v>40297</v>
      </c>
      <c r="C70" s="138">
        <v>40976</v>
      </c>
      <c r="D70" s="13"/>
      <c r="E70" s="54"/>
      <c r="F70" s="2"/>
      <c r="G70" s="83"/>
      <c r="H70" s="84"/>
      <c r="I70" s="84"/>
      <c r="J70" s="10" t="s">
        <v>411</v>
      </c>
    </row>
    <row r="71" spans="1:10" x14ac:dyDescent="0.15">
      <c r="A71" s="2"/>
      <c r="B71" s="78">
        <v>40298</v>
      </c>
      <c r="C71" s="138">
        <v>40977</v>
      </c>
      <c r="D71" s="13" t="s">
        <v>446</v>
      </c>
      <c r="E71" s="54">
        <v>3.502314814814815E-2</v>
      </c>
      <c r="F71" s="12">
        <v>163</v>
      </c>
      <c r="G71" s="83">
        <v>10.49</v>
      </c>
      <c r="H71" s="84">
        <f>E71/G71</f>
        <v>3.3387176499664584E-3</v>
      </c>
      <c r="I71" s="84" t="s">
        <v>436</v>
      </c>
      <c r="J71" s="10" t="s">
        <v>411</v>
      </c>
    </row>
    <row r="72" spans="1:10" x14ac:dyDescent="0.15">
      <c r="A72" s="2"/>
      <c r="B72" s="78">
        <v>40299</v>
      </c>
      <c r="C72" s="138">
        <v>40978</v>
      </c>
      <c r="D72" s="13"/>
      <c r="E72" s="54"/>
      <c r="F72" s="12"/>
      <c r="G72" s="83"/>
      <c r="H72" s="84"/>
      <c r="I72" s="84"/>
      <c r="J72" s="10" t="s">
        <v>411</v>
      </c>
    </row>
    <row r="73" spans="1:10" x14ac:dyDescent="0.15">
      <c r="A73" s="2"/>
      <c r="B73" s="85">
        <v>40300</v>
      </c>
      <c r="C73" s="90">
        <v>40979</v>
      </c>
      <c r="D73" s="13" t="s">
        <v>14</v>
      </c>
      <c r="E73" s="54">
        <v>7.0393518518518522E-2</v>
      </c>
      <c r="F73" s="12">
        <v>150</v>
      </c>
      <c r="G73" s="83">
        <v>18.75</v>
      </c>
      <c r="H73" s="84">
        <f>E73/G73</f>
        <v>3.754320987654321E-3</v>
      </c>
      <c r="I73" s="84" t="s">
        <v>453</v>
      </c>
      <c r="J73" s="10" t="s">
        <v>411</v>
      </c>
    </row>
    <row r="74" spans="1:10" x14ac:dyDescent="0.15">
      <c r="A74" s="4">
        <f>A67+1</f>
        <v>11</v>
      </c>
      <c r="B74" s="78">
        <v>40301</v>
      </c>
      <c r="C74" s="137">
        <v>40980</v>
      </c>
      <c r="D74" s="8"/>
      <c r="E74" s="52"/>
      <c r="F74" s="7"/>
      <c r="G74" s="80"/>
      <c r="H74" s="81"/>
      <c r="I74" s="81"/>
      <c r="J74" s="10" t="s">
        <v>411</v>
      </c>
    </row>
    <row r="75" spans="1:10" x14ac:dyDescent="0.15">
      <c r="A75" s="11" t="s">
        <v>11</v>
      </c>
      <c r="B75" s="78">
        <v>40302</v>
      </c>
      <c r="C75" s="138">
        <v>40981</v>
      </c>
      <c r="D75" s="13"/>
      <c r="E75" s="54"/>
      <c r="F75" s="2"/>
      <c r="G75" s="83"/>
      <c r="H75" s="84"/>
      <c r="I75" s="84"/>
      <c r="J75" s="10" t="s">
        <v>411</v>
      </c>
    </row>
    <row r="76" spans="1:10" x14ac:dyDescent="0.15">
      <c r="A76" s="15">
        <f>SUM(G74:G80)</f>
        <v>34.520000000000003</v>
      </c>
      <c r="B76" s="78">
        <v>40303</v>
      </c>
      <c r="C76" s="138">
        <v>40982</v>
      </c>
      <c r="D76" s="13" t="s">
        <v>14</v>
      </c>
      <c r="E76" s="54">
        <v>3.8414351851851852E-2</v>
      </c>
      <c r="F76" s="12">
        <v>146</v>
      </c>
      <c r="G76" s="83">
        <v>10.39</v>
      </c>
      <c r="H76" s="84">
        <f>E76/G76</f>
        <v>3.6972427191387727E-3</v>
      </c>
      <c r="I76" s="84" t="s">
        <v>436</v>
      </c>
      <c r="J76" s="10" t="s">
        <v>411</v>
      </c>
    </row>
    <row r="77" spans="1:10" x14ac:dyDescent="0.15">
      <c r="A77" s="2"/>
      <c r="B77" s="78">
        <v>40304</v>
      </c>
      <c r="C77" s="138">
        <v>40983</v>
      </c>
      <c r="D77" s="13"/>
      <c r="E77" s="54"/>
      <c r="F77" s="2"/>
      <c r="G77" s="83"/>
      <c r="H77" s="84"/>
      <c r="I77" s="84"/>
      <c r="J77" s="10" t="s">
        <v>411</v>
      </c>
    </row>
    <row r="78" spans="1:10" x14ac:dyDescent="0.15">
      <c r="A78" s="2"/>
      <c r="B78" s="78">
        <v>40305</v>
      </c>
      <c r="C78" s="138">
        <v>40984</v>
      </c>
      <c r="D78" s="13" t="s">
        <v>464</v>
      </c>
      <c r="E78" s="54">
        <v>3.7361111111111109E-2</v>
      </c>
      <c r="F78" s="12">
        <v>151</v>
      </c>
      <c r="G78" s="83">
        <v>10.16</v>
      </c>
      <c r="H78" s="84">
        <f>E78/G78</f>
        <v>3.677274715660542E-3</v>
      </c>
      <c r="I78" s="84" t="s">
        <v>436</v>
      </c>
      <c r="J78" s="10" t="s">
        <v>411</v>
      </c>
    </row>
    <row r="79" spans="1:10" x14ac:dyDescent="0.15">
      <c r="A79" s="2"/>
      <c r="B79" s="78">
        <v>40306</v>
      </c>
      <c r="C79" s="138">
        <v>40985</v>
      </c>
      <c r="D79" s="13"/>
      <c r="E79" s="54"/>
      <c r="F79" s="12"/>
      <c r="G79" s="83"/>
      <c r="H79" s="84"/>
      <c r="I79" s="84"/>
      <c r="J79" s="10" t="s">
        <v>411</v>
      </c>
    </row>
    <row r="80" spans="1:10" x14ac:dyDescent="0.15">
      <c r="A80" s="2"/>
      <c r="B80" s="85">
        <v>40307</v>
      </c>
      <c r="C80" s="90">
        <v>40986</v>
      </c>
      <c r="D80" s="13" t="s">
        <v>14</v>
      </c>
      <c r="E80" s="54">
        <v>5.136574074074074E-2</v>
      </c>
      <c r="F80" s="12">
        <v>149</v>
      </c>
      <c r="G80" s="83">
        <v>13.97</v>
      </c>
      <c r="H80" s="84">
        <f>E80/G80</f>
        <v>3.6768604681990508E-3</v>
      </c>
      <c r="I80" s="84" t="s">
        <v>455</v>
      </c>
      <c r="J80" s="10" t="s">
        <v>411</v>
      </c>
    </row>
    <row r="81" spans="1:10" x14ac:dyDescent="0.15">
      <c r="A81" s="4">
        <f>A74+1</f>
        <v>12</v>
      </c>
      <c r="B81" s="78">
        <v>40308</v>
      </c>
      <c r="C81" s="137">
        <v>40987</v>
      </c>
      <c r="D81" s="8"/>
      <c r="E81" s="52"/>
      <c r="F81" s="7"/>
      <c r="G81" s="80"/>
      <c r="H81" s="81"/>
      <c r="I81" s="81"/>
      <c r="J81" s="10" t="s">
        <v>411</v>
      </c>
    </row>
    <row r="82" spans="1:10" x14ac:dyDescent="0.15">
      <c r="A82" s="11" t="s">
        <v>11</v>
      </c>
      <c r="B82" s="78">
        <v>40309</v>
      </c>
      <c r="C82" s="138">
        <v>40988</v>
      </c>
      <c r="D82" s="13"/>
      <c r="E82" s="54"/>
      <c r="F82" s="2"/>
      <c r="G82" s="83"/>
      <c r="H82" s="84"/>
      <c r="I82" s="84"/>
      <c r="J82" s="10" t="s">
        <v>411</v>
      </c>
    </row>
    <row r="83" spans="1:10" x14ac:dyDescent="0.15">
      <c r="A83" s="15">
        <f>SUM(G81:G87)</f>
        <v>22.83</v>
      </c>
      <c r="B83" s="78">
        <v>40310</v>
      </c>
      <c r="C83" s="138">
        <v>40989</v>
      </c>
      <c r="D83" s="13" t="s">
        <v>464</v>
      </c>
      <c r="E83" s="54">
        <v>4.4120370370370365E-2</v>
      </c>
      <c r="F83" s="12">
        <v>143</v>
      </c>
      <c r="G83" s="83">
        <v>12.24</v>
      </c>
      <c r="H83" s="84">
        <f>E83/G83</f>
        <v>3.6046054224158795E-3</v>
      </c>
      <c r="I83" s="84" t="s">
        <v>455</v>
      </c>
      <c r="J83" s="10" t="s">
        <v>411</v>
      </c>
    </row>
    <row r="84" spans="1:10" x14ac:dyDescent="0.15">
      <c r="A84" s="2"/>
      <c r="B84" s="78">
        <v>40311</v>
      </c>
      <c r="C84" s="138">
        <v>40990</v>
      </c>
      <c r="D84" s="13"/>
      <c r="E84" s="54"/>
      <c r="F84" s="2"/>
      <c r="G84" s="83"/>
      <c r="H84" s="84"/>
      <c r="I84" s="84"/>
      <c r="J84" s="10" t="s">
        <v>411</v>
      </c>
    </row>
    <row r="85" spans="1:10" x14ac:dyDescent="0.15">
      <c r="A85" s="2"/>
      <c r="B85" s="78">
        <v>40312</v>
      </c>
      <c r="C85" s="138">
        <v>40991</v>
      </c>
      <c r="D85" s="13"/>
      <c r="E85" s="54"/>
      <c r="F85" s="12"/>
      <c r="G85" s="83"/>
      <c r="H85" s="84"/>
      <c r="I85" s="84"/>
      <c r="J85" s="10" t="s">
        <v>411</v>
      </c>
    </row>
    <row r="86" spans="1:10" x14ac:dyDescent="0.15">
      <c r="A86" s="2"/>
      <c r="B86" s="78">
        <v>40313</v>
      </c>
      <c r="C86" s="138">
        <v>40992</v>
      </c>
      <c r="D86" s="13" t="s">
        <v>446</v>
      </c>
      <c r="E86" s="54">
        <v>3.7766203703703705E-2</v>
      </c>
      <c r="F86" s="12">
        <v>155</v>
      </c>
      <c r="G86" s="83">
        <v>10.59</v>
      </c>
      <c r="H86" s="84">
        <f>E86/G86</f>
        <v>3.566213758612248E-3</v>
      </c>
      <c r="I86" s="84" t="s">
        <v>455</v>
      </c>
      <c r="J86" s="10" t="s">
        <v>411</v>
      </c>
    </row>
    <row r="87" spans="1:10" x14ac:dyDescent="0.15">
      <c r="A87" s="2"/>
      <c r="B87" s="85">
        <v>40314</v>
      </c>
      <c r="C87" s="90">
        <v>40993</v>
      </c>
      <c r="D87" s="13"/>
      <c r="E87" s="54"/>
      <c r="F87" s="12"/>
      <c r="G87" s="83"/>
      <c r="H87" s="84"/>
      <c r="I87" s="84"/>
      <c r="J87" s="10" t="s">
        <v>411</v>
      </c>
    </row>
    <row r="88" spans="1:10" x14ac:dyDescent="0.15">
      <c r="A88" s="4">
        <f>A81+1</f>
        <v>13</v>
      </c>
      <c r="B88" s="78">
        <v>40315</v>
      </c>
      <c r="C88" s="137">
        <v>40994</v>
      </c>
      <c r="D88" s="8"/>
      <c r="E88" s="52"/>
      <c r="F88" s="7"/>
      <c r="G88" s="80"/>
      <c r="H88" s="81"/>
      <c r="I88" s="81"/>
      <c r="J88" s="10" t="s">
        <v>411</v>
      </c>
    </row>
    <row r="89" spans="1:10" x14ac:dyDescent="0.15">
      <c r="A89" s="11" t="s">
        <v>11</v>
      </c>
      <c r="B89" s="78">
        <v>40316</v>
      </c>
      <c r="C89" s="138">
        <v>40995</v>
      </c>
      <c r="D89" s="13" t="s">
        <v>464</v>
      </c>
      <c r="E89" s="54">
        <v>4.5798611111111109E-2</v>
      </c>
      <c r="F89" s="2">
        <v>150</v>
      </c>
      <c r="G89" s="83">
        <v>12.29</v>
      </c>
      <c r="H89" s="84">
        <f>E89/G89</f>
        <v>3.7264939878853629E-3</v>
      </c>
      <c r="I89" s="84" t="s">
        <v>455</v>
      </c>
      <c r="J89" s="10" t="s">
        <v>411</v>
      </c>
    </row>
    <row r="90" spans="1:10" x14ac:dyDescent="0.15">
      <c r="A90" s="15">
        <f>SUM(G88:G94)</f>
        <v>42.289999999999992</v>
      </c>
      <c r="B90" s="78">
        <v>40317</v>
      </c>
      <c r="C90" s="138">
        <v>40996</v>
      </c>
      <c r="D90" s="13"/>
      <c r="E90" s="54"/>
      <c r="F90" s="12"/>
      <c r="G90" s="83"/>
      <c r="H90" s="84"/>
      <c r="I90" s="84"/>
      <c r="J90" s="10" t="s">
        <v>411</v>
      </c>
    </row>
    <row r="91" spans="1:10" x14ac:dyDescent="0.15">
      <c r="A91" s="2"/>
      <c r="B91" s="78">
        <v>40318</v>
      </c>
      <c r="C91" s="138">
        <v>40997</v>
      </c>
      <c r="D91" s="13"/>
      <c r="E91" s="54"/>
      <c r="F91" s="2"/>
      <c r="G91" s="83"/>
      <c r="H91" s="84"/>
      <c r="I91" s="84"/>
      <c r="J91" s="10" t="s">
        <v>411</v>
      </c>
    </row>
    <row r="92" spans="1:10" x14ac:dyDescent="0.15">
      <c r="A92" s="2"/>
      <c r="B92" s="78">
        <v>40319</v>
      </c>
      <c r="C92" s="138">
        <v>40998</v>
      </c>
      <c r="D92" s="13" t="s">
        <v>446</v>
      </c>
      <c r="E92" s="54">
        <v>4.5960648148148146E-2</v>
      </c>
      <c r="F92" s="12">
        <v>150</v>
      </c>
      <c r="G92" s="83">
        <v>13.19</v>
      </c>
      <c r="H92" s="84">
        <f>E92/G92</f>
        <v>3.484507062027911E-3</v>
      </c>
      <c r="I92" s="84" t="s">
        <v>436</v>
      </c>
      <c r="J92" s="10" t="s">
        <v>411</v>
      </c>
    </row>
    <row r="93" spans="1:10" x14ac:dyDescent="0.15">
      <c r="A93" s="2"/>
      <c r="B93" s="78">
        <v>40320</v>
      </c>
      <c r="C93" s="138">
        <v>40999</v>
      </c>
      <c r="D93" s="13"/>
      <c r="E93" s="54"/>
      <c r="F93" s="12"/>
      <c r="G93" s="83"/>
      <c r="H93" s="84"/>
      <c r="I93" s="84"/>
      <c r="J93" s="10" t="s">
        <v>411</v>
      </c>
    </row>
    <row r="94" spans="1:10" x14ac:dyDescent="0.15">
      <c r="A94" s="2"/>
      <c r="B94" s="85">
        <v>40321</v>
      </c>
      <c r="C94" s="90">
        <v>41000</v>
      </c>
      <c r="D94" s="13" t="s">
        <v>14</v>
      </c>
      <c r="E94" s="54">
        <v>6.3078703703703706E-2</v>
      </c>
      <c r="F94" s="12">
        <v>147</v>
      </c>
      <c r="G94" s="83">
        <v>16.809999999999999</v>
      </c>
      <c r="H94" s="84">
        <f>E94/G94</f>
        <v>3.7524511423976032E-3</v>
      </c>
      <c r="I94" s="84" t="s">
        <v>453</v>
      </c>
      <c r="J94" s="10" t="s">
        <v>411</v>
      </c>
    </row>
    <row r="95" spans="1:10" x14ac:dyDescent="0.15">
      <c r="A95" s="4">
        <f>A88+1</f>
        <v>14</v>
      </c>
      <c r="B95" s="78">
        <v>40322</v>
      </c>
      <c r="C95" s="137">
        <v>41001</v>
      </c>
      <c r="D95" s="8"/>
      <c r="E95" s="52"/>
      <c r="F95" s="7"/>
      <c r="G95" s="80"/>
      <c r="H95" s="81"/>
      <c r="I95" s="81"/>
      <c r="J95" s="10" t="s">
        <v>411</v>
      </c>
    </row>
    <row r="96" spans="1:10" x14ac:dyDescent="0.15">
      <c r="A96" s="11" t="s">
        <v>11</v>
      </c>
      <c r="B96" s="78">
        <v>40323</v>
      </c>
      <c r="C96" s="138">
        <v>41002</v>
      </c>
      <c r="D96" s="13"/>
      <c r="E96" s="54"/>
      <c r="F96" s="2"/>
      <c r="G96" s="83"/>
      <c r="H96" s="84"/>
      <c r="I96" s="84"/>
      <c r="J96" s="10" t="s">
        <v>411</v>
      </c>
    </row>
    <row r="97" spans="1:10" x14ac:dyDescent="0.15">
      <c r="A97" s="15">
        <f>SUM(G95:G101)</f>
        <v>21</v>
      </c>
      <c r="B97" s="78">
        <v>40324</v>
      </c>
      <c r="C97" s="138">
        <v>41003</v>
      </c>
      <c r="D97" s="13" t="s">
        <v>14</v>
      </c>
      <c r="E97" s="54">
        <v>6.1018518518518514E-2</v>
      </c>
      <c r="F97" s="12">
        <v>127</v>
      </c>
      <c r="G97" s="83">
        <v>14.97</v>
      </c>
      <c r="H97" s="84">
        <f>E97/G97</f>
        <v>4.0760533412504017E-3</v>
      </c>
      <c r="I97" s="84" t="s">
        <v>436</v>
      </c>
      <c r="J97" s="10" t="s">
        <v>411</v>
      </c>
    </row>
    <row r="98" spans="1:10" x14ac:dyDescent="0.15">
      <c r="A98" s="2"/>
      <c r="B98" s="78">
        <v>40325</v>
      </c>
      <c r="C98" s="138">
        <v>41004</v>
      </c>
      <c r="D98" s="13"/>
      <c r="E98" s="54"/>
      <c r="F98" s="2"/>
      <c r="G98" s="83"/>
      <c r="H98" s="84"/>
      <c r="I98" s="84"/>
      <c r="J98" s="10" t="s">
        <v>411</v>
      </c>
    </row>
    <row r="99" spans="1:10" x14ac:dyDescent="0.15">
      <c r="A99" s="2"/>
      <c r="B99" s="78">
        <v>40326</v>
      </c>
      <c r="C99" s="138">
        <v>41005</v>
      </c>
      <c r="D99" s="13" t="s">
        <v>465</v>
      </c>
      <c r="E99" s="54">
        <v>1.8391203703703701E-2</v>
      </c>
      <c r="F99" s="12">
        <v>161</v>
      </c>
      <c r="G99" s="83">
        <v>6.03</v>
      </c>
      <c r="H99" s="84">
        <f>E99/G99</f>
        <v>3.0499508629691047E-3</v>
      </c>
      <c r="I99" s="84" t="s">
        <v>455</v>
      </c>
      <c r="J99" s="10" t="s">
        <v>411</v>
      </c>
    </row>
    <row r="100" spans="1:10" x14ac:dyDescent="0.15">
      <c r="A100" s="2"/>
      <c r="B100" s="78">
        <v>40327</v>
      </c>
      <c r="C100" s="138">
        <v>41006</v>
      </c>
      <c r="D100" s="13"/>
      <c r="E100" s="54"/>
      <c r="F100" s="12"/>
      <c r="G100" s="83"/>
      <c r="H100" s="84"/>
      <c r="I100" s="84"/>
      <c r="J100" s="10" t="s">
        <v>411</v>
      </c>
    </row>
    <row r="101" spans="1:10" x14ac:dyDescent="0.15">
      <c r="A101" s="2"/>
      <c r="B101" s="85">
        <v>40328</v>
      </c>
      <c r="C101" s="90">
        <v>41007</v>
      </c>
      <c r="D101" s="13"/>
      <c r="E101" s="54"/>
      <c r="F101" s="12"/>
      <c r="G101" s="83"/>
      <c r="H101" s="84"/>
      <c r="I101" s="84"/>
      <c r="J101" s="10" t="s">
        <v>411</v>
      </c>
    </row>
    <row r="102" spans="1:10" x14ac:dyDescent="0.15">
      <c r="A102" s="4">
        <f>A95+1</f>
        <v>15</v>
      </c>
      <c r="B102" s="78">
        <v>40329</v>
      </c>
      <c r="C102" s="137">
        <v>41008</v>
      </c>
      <c r="D102" s="8"/>
      <c r="E102" s="52"/>
      <c r="F102" s="7"/>
      <c r="G102" s="80"/>
      <c r="H102" s="81"/>
      <c r="I102" s="81"/>
      <c r="J102" s="10" t="s">
        <v>411</v>
      </c>
    </row>
    <row r="103" spans="1:10" x14ac:dyDescent="0.15">
      <c r="A103" s="11" t="s">
        <v>11</v>
      </c>
      <c r="B103" s="78">
        <v>40330</v>
      </c>
      <c r="C103" s="138">
        <v>41009</v>
      </c>
      <c r="D103" s="13"/>
      <c r="E103" s="54"/>
      <c r="F103" s="2"/>
      <c r="G103" s="83"/>
      <c r="H103" s="84"/>
      <c r="I103" s="84"/>
      <c r="J103" s="10" t="s">
        <v>411</v>
      </c>
    </row>
    <row r="104" spans="1:10" x14ac:dyDescent="0.15">
      <c r="A104" s="15">
        <f>SUM(G102:G108)</f>
        <v>29.310000000000002</v>
      </c>
      <c r="B104" s="78">
        <v>40331</v>
      </c>
      <c r="C104" s="138">
        <v>41010</v>
      </c>
      <c r="D104" s="13"/>
      <c r="E104" s="54"/>
      <c r="F104" s="12"/>
      <c r="G104" s="83"/>
      <c r="H104" s="84"/>
      <c r="I104" s="84"/>
      <c r="J104" s="10" t="s">
        <v>411</v>
      </c>
    </row>
    <row r="105" spans="1:10" x14ac:dyDescent="0.15">
      <c r="A105" s="2"/>
      <c r="B105" s="78">
        <v>40332</v>
      </c>
      <c r="C105" s="138">
        <v>41011</v>
      </c>
      <c r="D105" s="13" t="s">
        <v>14</v>
      </c>
      <c r="E105" s="54">
        <v>2.9849537037037039E-2</v>
      </c>
      <c r="F105" s="2">
        <v>145</v>
      </c>
      <c r="G105" s="83">
        <v>8.2100000000000009</v>
      </c>
      <c r="H105" s="84">
        <f>E105/G105</f>
        <v>3.6357535976902599E-3</v>
      </c>
      <c r="I105" s="84" t="s">
        <v>455</v>
      </c>
      <c r="J105" s="10" t="s">
        <v>411</v>
      </c>
    </row>
    <row r="106" spans="1:10" x14ac:dyDescent="0.15">
      <c r="A106" s="2"/>
      <c r="B106" s="78">
        <v>40333</v>
      </c>
      <c r="C106" s="138">
        <v>41012</v>
      </c>
      <c r="D106" s="13"/>
      <c r="E106" s="54"/>
      <c r="F106" s="12"/>
      <c r="G106" s="83"/>
      <c r="H106" s="84"/>
      <c r="I106" s="84"/>
      <c r="J106" s="10" t="s">
        <v>411</v>
      </c>
    </row>
    <row r="107" spans="1:10" x14ac:dyDescent="0.15">
      <c r="A107" s="2"/>
      <c r="B107" s="78">
        <v>40334</v>
      </c>
      <c r="C107" s="138">
        <v>41013</v>
      </c>
      <c r="D107" s="13"/>
      <c r="E107" s="54"/>
      <c r="F107" s="12"/>
      <c r="G107" s="83"/>
      <c r="H107" s="84"/>
      <c r="I107" s="84"/>
      <c r="J107" s="10" t="s">
        <v>411</v>
      </c>
    </row>
    <row r="108" spans="1:10" x14ac:dyDescent="0.15">
      <c r="A108" s="2"/>
      <c r="B108" s="85">
        <v>40335</v>
      </c>
      <c r="C108" s="90">
        <v>41014</v>
      </c>
      <c r="D108" s="141" t="s">
        <v>158</v>
      </c>
      <c r="E108" s="142">
        <v>6.4803240740740731E-2</v>
      </c>
      <c r="F108" s="143">
        <v>167</v>
      </c>
      <c r="G108" s="144">
        <v>21.1</v>
      </c>
      <c r="H108" s="145">
        <f>E108/G108</f>
        <v>3.0712436370019303E-3</v>
      </c>
      <c r="I108" s="145" t="s">
        <v>436</v>
      </c>
      <c r="J108" s="10" t="s">
        <v>411</v>
      </c>
    </row>
    <row r="109" spans="1:10" x14ac:dyDescent="0.15">
      <c r="A109" s="4">
        <f>A102+1</f>
        <v>16</v>
      </c>
      <c r="B109" s="78">
        <v>40336</v>
      </c>
      <c r="C109" s="137">
        <v>41015</v>
      </c>
      <c r="D109" s="8"/>
      <c r="E109" s="52"/>
      <c r="F109" s="7"/>
      <c r="G109" s="80"/>
      <c r="H109" s="81"/>
      <c r="I109" s="81"/>
      <c r="J109" s="10" t="s">
        <v>411</v>
      </c>
    </row>
    <row r="110" spans="1:10" x14ac:dyDescent="0.15">
      <c r="A110" s="11" t="s">
        <v>11</v>
      </c>
      <c r="B110" s="78">
        <v>40337</v>
      </c>
      <c r="C110" s="138">
        <v>41016</v>
      </c>
      <c r="D110" s="13" t="s">
        <v>14</v>
      </c>
      <c r="E110" s="54">
        <v>3.802083333333333E-2</v>
      </c>
      <c r="F110" s="2" t="s">
        <v>437</v>
      </c>
      <c r="G110" s="83">
        <v>9.9600000000000009</v>
      </c>
      <c r="H110" s="84">
        <f>E110/G110</f>
        <v>3.817352744310575E-3</v>
      </c>
      <c r="I110" s="84" t="s">
        <v>455</v>
      </c>
      <c r="J110" s="10" t="s">
        <v>411</v>
      </c>
    </row>
    <row r="111" spans="1:10" x14ac:dyDescent="0.15">
      <c r="A111" s="15">
        <f>SUM(G109:G115)</f>
        <v>19.57</v>
      </c>
      <c r="B111" s="78">
        <v>40338</v>
      </c>
      <c r="C111" s="138">
        <v>41017</v>
      </c>
      <c r="D111" s="13"/>
      <c r="E111" s="54"/>
      <c r="F111" s="12"/>
      <c r="G111" s="83"/>
      <c r="H111" s="84"/>
      <c r="I111" s="84"/>
      <c r="J111" s="10" t="s">
        <v>411</v>
      </c>
    </row>
    <row r="112" spans="1:10" x14ac:dyDescent="0.15">
      <c r="A112" s="2"/>
      <c r="B112" s="78">
        <v>40339</v>
      </c>
      <c r="C112" s="138">
        <v>41018</v>
      </c>
      <c r="D112" s="13"/>
      <c r="E112" s="54"/>
      <c r="F112" s="2"/>
      <c r="G112" s="83"/>
      <c r="H112" s="84"/>
      <c r="I112" s="84"/>
      <c r="J112" s="10" t="s">
        <v>411</v>
      </c>
    </row>
    <row r="113" spans="1:10" x14ac:dyDescent="0.15">
      <c r="A113" s="2"/>
      <c r="B113" s="78">
        <v>40340</v>
      </c>
      <c r="C113" s="138">
        <v>41019</v>
      </c>
      <c r="D113" s="13" t="s">
        <v>14</v>
      </c>
      <c r="E113" s="54">
        <v>3.6145833333333328E-2</v>
      </c>
      <c r="F113" s="12">
        <v>142</v>
      </c>
      <c r="G113" s="83">
        <v>9.61</v>
      </c>
      <c r="H113" s="84">
        <f>E113/G113</f>
        <v>3.761272979535206E-3</v>
      </c>
      <c r="I113" s="84" t="s">
        <v>455</v>
      </c>
      <c r="J113" s="10" t="s">
        <v>411</v>
      </c>
    </row>
    <row r="114" spans="1:10" x14ac:dyDescent="0.15">
      <c r="A114" s="2"/>
      <c r="B114" s="78">
        <v>40341</v>
      </c>
      <c r="C114" s="138">
        <v>41020</v>
      </c>
      <c r="D114" s="13"/>
      <c r="E114" s="54"/>
      <c r="F114" s="12"/>
      <c r="G114" s="83"/>
      <c r="H114" s="84"/>
      <c r="I114" s="84"/>
      <c r="J114" s="10" t="s">
        <v>411</v>
      </c>
    </row>
    <row r="115" spans="1:10" x14ac:dyDescent="0.15">
      <c r="A115" s="2"/>
      <c r="B115" s="85">
        <v>40342</v>
      </c>
      <c r="C115" s="90">
        <v>41021</v>
      </c>
      <c r="D115" s="13"/>
      <c r="E115" s="54"/>
      <c r="F115" s="12"/>
      <c r="G115" s="83"/>
      <c r="H115" s="84"/>
      <c r="I115" s="84"/>
      <c r="J115" s="10" t="s">
        <v>411</v>
      </c>
    </row>
    <row r="116" spans="1:10" x14ac:dyDescent="0.15">
      <c r="A116" s="4">
        <f>A109+1</f>
        <v>17</v>
      </c>
      <c r="B116" s="78">
        <v>40343</v>
      </c>
      <c r="C116" s="137">
        <v>41022</v>
      </c>
      <c r="D116" s="8" t="s">
        <v>14</v>
      </c>
      <c r="E116" s="52">
        <v>3.7199074074074072E-2</v>
      </c>
      <c r="F116" s="7">
        <v>140</v>
      </c>
      <c r="G116" s="80">
        <v>10.119999999999999</v>
      </c>
      <c r="H116" s="81">
        <f>E116/G116</f>
        <v>3.6757978334065293E-3</v>
      </c>
      <c r="I116" s="81" t="s">
        <v>436</v>
      </c>
      <c r="J116" s="10" t="s">
        <v>411</v>
      </c>
    </row>
    <row r="117" spans="1:10" x14ac:dyDescent="0.15">
      <c r="A117" s="11" t="s">
        <v>11</v>
      </c>
      <c r="B117" s="78">
        <v>40344</v>
      </c>
      <c r="C117" s="138">
        <v>41023</v>
      </c>
      <c r="D117" s="13"/>
      <c r="E117" s="54"/>
      <c r="F117" s="2"/>
      <c r="G117" s="83"/>
      <c r="H117" s="84"/>
      <c r="I117" s="84"/>
      <c r="J117" s="10" t="s">
        <v>411</v>
      </c>
    </row>
    <row r="118" spans="1:10" x14ac:dyDescent="0.15">
      <c r="A118" s="15">
        <f>SUM(G116:G122)</f>
        <v>35.4</v>
      </c>
      <c r="B118" s="78">
        <v>40345</v>
      </c>
      <c r="C118" s="138">
        <v>41024</v>
      </c>
      <c r="D118" s="13" t="s">
        <v>14</v>
      </c>
      <c r="E118" s="54">
        <v>3.9733796296296295E-2</v>
      </c>
      <c r="F118" s="12">
        <v>146</v>
      </c>
      <c r="G118" s="83">
        <v>10.67</v>
      </c>
      <c r="H118" s="84">
        <f>E118/G118</f>
        <v>3.7238796903745356E-3</v>
      </c>
      <c r="I118" s="84" t="s">
        <v>453</v>
      </c>
      <c r="J118" s="10" t="s">
        <v>411</v>
      </c>
    </row>
    <row r="119" spans="1:10" x14ac:dyDescent="0.15">
      <c r="A119" s="2"/>
      <c r="B119" s="78">
        <v>40346</v>
      </c>
      <c r="C119" s="138">
        <v>41025</v>
      </c>
      <c r="D119" s="13"/>
      <c r="E119" s="54"/>
      <c r="F119" s="2"/>
      <c r="G119" s="83"/>
      <c r="H119" s="84"/>
      <c r="I119" s="84"/>
      <c r="J119" s="10" t="s">
        <v>411</v>
      </c>
    </row>
    <row r="120" spans="1:10" x14ac:dyDescent="0.15">
      <c r="A120" s="2"/>
      <c r="B120" s="78">
        <v>40347</v>
      </c>
      <c r="C120" s="138">
        <v>41026</v>
      </c>
      <c r="D120" s="13"/>
      <c r="E120" s="54"/>
      <c r="F120" s="12"/>
      <c r="G120" s="83"/>
      <c r="H120" s="84"/>
      <c r="I120" s="84"/>
      <c r="J120" s="10" t="s">
        <v>411</v>
      </c>
    </row>
    <row r="121" spans="1:10" x14ac:dyDescent="0.15">
      <c r="A121" s="2"/>
      <c r="B121" s="78">
        <v>40348</v>
      </c>
      <c r="C121" s="138">
        <v>41027</v>
      </c>
      <c r="D121" s="13" t="s">
        <v>14</v>
      </c>
      <c r="E121" s="54">
        <v>5.4571759259259264E-2</v>
      </c>
      <c r="F121" s="12">
        <v>153</v>
      </c>
      <c r="G121" s="83">
        <v>14.61</v>
      </c>
      <c r="H121" s="84">
        <f>E121/G121</f>
        <v>3.7352333510786628E-3</v>
      </c>
      <c r="I121" s="84" t="s">
        <v>453</v>
      </c>
      <c r="J121" s="10" t="s">
        <v>411</v>
      </c>
    </row>
    <row r="122" spans="1:10" x14ac:dyDescent="0.15">
      <c r="A122" s="2"/>
      <c r="B122" s="85">
        <v>40349</v>
      </c>
      <c r="C122" s="90">
        <v>41028</v>
      </c>
      <c r="D122" s="22"/>
      <c r="E122" s="54"/>
      <c r="F122" s="12"/>
      <c r="G122" s="83"/>
      <c r="H122" s="84"/>
      <c r="I122" s="84"/>
      <c r="J122" s="10" t="s">
        <v>411</v>
      </c>
    </row>
    <row r="123" spans="1:10" x14ac:dyDescent="0.15">
      <c r="A123" s="4">
        <f>A116+1</f>
        <v>18</v>
      </c>
      <c r="B123" s="78">
        <v>40350</v>
      </c>
      <c r="C123" s="137">
        <v>41029</v>
      </c>
      <c r="D123" s="8" t="s">
        <v>14</v>
      </c>
      <c r="E123" s="52">
        <v>4.6678240740740742E-2</v>
      </c>
      <c r="F123" s="7">
        <v>144</v>
      </c>
      <c r="G123" s="80">
        <v>12.21</v>
      </c>
      <c r="H123" s="81">
        <f>E123/G123</f>
        <v>3.8229517396184062E-3</v>
      </c>
      <c r="I123" s="81" t="s">
        <v>455</v>
      </c>
      <c r="J123" s="10" t="s">
        <v>411</v>
      </c>
    </row>
    <row r="124" spans="1:10" x14ac:dyDescent="0.15">
      <c r="A124" s="11" t="s">
        <v>11</v>
      </c>
      <c r="B124" s="78">
        <v>40351</v>
      </c>
      <c r="C124" s="138">
        <v>41030</v>
      </c>
      <c r="D124" s="13"/>
      <c r="E124" s="54"/>
      <c r="F124" s="2"/>
      <c r="G124" s="83"/>
      <c r="H124" s="84"/>
      <c r="I124" s="84"/>
      <c r="J124" s="10" t="s">
        <v>411</v>
      </c>
    </row>
    <row r="125" spans="1:10" x14ac:dyDescent="0.15">
      <c r="A125" s="15">
        <f>SUM(G123:G129)</f>
        <v>32.83</v>
      </c>
      <c r="B125" s="78">
        <v>40352</v>
      </c>
      <c r="C125" s="138">
        <v>41031</v>
      </c>
      <c r="D125" s="13" t="s">
        <v>14</v>
      </c>
      <c r="E125" s="54">
        <v>3.7673611111111109E-2</v>
      </c>
      <c r="F125" s="12">
        <v>137</v>
      </c>
      <c r="G125" s="83">
        <v>10.119999999999999</v>
      </c>
      <c r="H125" s="84">
        <f>E125/G125</f>
        <v>3.722688844971454E-3</v>
      </c>
      <c r="I125" s="84" t="s">
        <v>455</v>
      </c>
      <c r="J125" s="10" t="s">
        <v>411</v>
      </c>
    </row>
    <row r="126" spans="1:10" x14ac:dyDescent="0.15">
      <c r="A126" s="2"/>
      <c r="B126" s="78">
        <v>40353</v>
      </c>
      <c r="C126" s="138">
        <v>41032</v>
      </c>
      <c r="D126" s="13"/>
      <c r="E126" s="54"/>
      <c r="F126" s="2"/>
      <c r="G126" s="83"/>
      <c r="H126" s="84"/>
      <c r="I126" s="84"/>
      <c r="J126" s="10" t="s">
        <v>411</v>
      </c>
    </row>
    <row r="127" spans="1:10" x14ac:dyDescent="0.15">
      <c r="A127" s="2"/>
      <c r="B127" s="78">
        <v>40354</v>
      </c>
      <c r="C127" s="138">
        <v>41033</v>
      </c>
      <c r="D127" s="13" t="s">
        <v>14</v>
      </c>
      <c r="E127" s="54">
        <v>3.7199074074074072E-2</v>
      </c>
      <c r="F127" s="12">
        <v>145</v>
      </c>
      <c r="G127" s="83">
        <v>10.5</v>
      </c>
      <c r="H127" s="84">
        <f>E127/G127</f>
        <v>3.542768959435626E-3</v>
      </c>
      <c r="I127" s="84" t="s">
        <v>455</v>
      </c>
      <c r="J127" s="10" t="s">
        <v>411</v>
      </c>
    </row>
    <row r="128" spans="1:10" x14ac:dyDescent="0.15">
      <c r="A128" s="2"/>
      <c r="B128" s="78">
        <v>40355</v>
      </c>
      <c r="C128" s="138">
        <v>41034</v>
      </c>
      <c r="D128" s="13"/>
      <c r="E128" s="54"/>
      <c r="F128" s="12"/>
      <c r="G128" s="83"/>
      <c r="H128" s="84"/>
      <c r="I128" s="84"/>
      <c r="J128" s="10" t="s">
        <v>411</v>
      </c>
    </row>
    <row r="129" spans="1:10" x14ac:dyDescent="0.15">
      <c r="A129" s="2"/>
      <c r="B129" s="85">
        <v>40356</v>
      </c>
      <c r="C129" s="90">
        <v>41035</v>
      </c>
      <c r="D129" s="22"/>
      <c r="E129" s="54"/>
      <c r="F129" s="12"/>
      <c r="G129" s="83"/>
      <c r="H129" s="84"/>
      <c r="I129" s="84"/>
      <c r="J129" s="10" t="s">
        <v>411</v>
      </c>
    </row>
    <row r="130" spans="1:10" x14ac:dyDescent="0.15">
      <c r="A130" s="4">
        <f>A123+1</f>
        <v>19</v>
      </c>
      <c r="B130" s="78">
        <v>40357</v>
      </c>
      <c r="C130" s="137">
        <v>41036</v>
      </c>
      <c r="D130" s="8"/>
      <c r="E130" s="52"/>
      <c r="F130" s="7"/>
      <c r="G130" s="80"/>
      <c r="H130" s="81"/>
      <c r="I130" s="81"/>
      <c r="J130" s="10" t="s">
        <v>411</v>
      </c>
    </row>
    <row r="131" spans="1:10" x14ac:dyDescent="0.15">
      <c r="A131" s="11" t="s">
        <v>11</v>
      </c>
      <c r="B131" s="78">
        <v>40358</v>
      </c>
      <c r="C131" s="138">
        <v>41037</v>
      </c>
      <c r="D131" s="13"/>
      <c r="E131" s="54"/>
      <c r="F131" s="2"/>
      <c r="G131" s="83"/>
      <c r="H131" s="84"/>
      <c r="I131" s="84"/>
      <c r="J131" s="10" t="s">
        <v>411</v>
      </c>
    </row>
    <row r="132" spans="1:10" x14ac:dyDescent="0.15">
      <c r="A132" s="15">
        <f>SUM(G130:G136)</f>
        <v>42.03</v>
      </c>
      <c r="B132" s="78">
        <v>40359</v>
      </c>
      <c r="C132" s="138">
        <v>41038</v>
      </c>
      <c r="D132" s="13" t="s">
        <v>14</v>
      </c>
      <c r="E132" s="54">
        <v>5.4988425925925927E-2</v>
      </c>
      <c r="F132" s="12">
        <v>140</v>
      </c>
      <c r="G132" s="83">
        <v>14.85</v>
      </c>
      <c r="H132" s="84">
        <f>E132/G132</f>
        <v>3.7029243047761568E-3</v>
      </c>
      <c r="I132" s="84" t="s">
        <v>436</v>
      </c>
      <c r="J132" s="10" t="s">
        <v>411</v>
      </c>
    </row>
    <row r="133" spans="1:10" x14ac:dyDescent="0.15">
      <c r="A133" s="2"/>
      <c r="B133" s="78">
        <v>40360</v>
      </c>
      <c r="C133" s="138">
        <v>41039</v>
      </c>
      <c r="D133" s="13" t="s">
        <v>446</v>
      </c>
      <c r="E133" s="54">
        <v>4.6365740740740735E-2</v>
      </c>
      <c r="F133" s="2">
        <v>145</v>
      </c>
      <c r="G133" s="83">
        <v>13.17</v>
      </c>
      <c r="H133" s="84">
        <f>E133/G133</f>
        <v>3.5205573835034726E-3</v>
      </c>
      <c r="I133" s="84" t="s">
        <v>436</v>
      </c>
      <c r="J133" s="10" t="s">
        <v>411</v>
      </c>
    </row>
    <row r="134" spans="1:10" x14ac:dyDescent="0.15">
      <c r="A134" s="2"/>
      <c r="B134" s="78">
        <v>40361</v>
      </c>
      <c r="C134" s="138">
        <v>41040</v>
      </c>
      <c r="D134" s="13"/>
      <c r="E134" s="54"/>
      <c r="F134" s="12"/>
      <c r="G134" s="83"/>
      <c r="H134" s="84"/>
      <c r="I134" s="84"/>
      <c r="J134" s="10" t="s">
        <v>411</v>
      </c>
    </row>
    <row r="135" spans="1:10" x14ac:dyDescent="0.15">
      <c r="A135" s="2"/>
      <c r="B135" s="78">
        <v>40362</v>
      </c>
      <c r="C135" s="138">
        <v>41041</v>
      </c>
      <c r="D135" s="13"/>
      <c r="E135" s="54"/>
      <c r="F135" s="12"/>
      <c r="G135" s="83"/>
      <c r="H135" s="84"/>
      <c r="I135" s="84"/>
      <c r="J135" s="10" t="s">
        <v>411</v>
      </c>
    </row>
    <row r="136" spans="1:10" x14ac:dyDescent="0.15">
      <c r="A136" s="2"/>
      <c r="B136" s="85">
        <v>40363</v>
      </c>
      <c r="C136" s="90">
        <v>41042</v>
      </c>
      <c r="D136" s="22" t="s">
        <v>14</v>
      </c>
      <c r="E136" s="54">
        <v>5.1446759259259255E-2</v>
      </c>
      <c r="F136" s="12" t="s">
        <v>437</v>
      </c>
      <c r="G136" s="83">
        <v>14.01</v>
      </c>
      <c r="H136" s="146">
        <f>E136/G136</f>
        <v>3.6721455574060852E-3</v>
      </c>
      <c r="I136" s="146" t="s">
        <v>434</v>
      </c>
      <c r="J136" s="10" t="s">
        <v>411</v>
      </c>
    </row>
    <row r="137" spans="1:10" x14ac:dyDescent="0.15">
      <c r="A137" s="4">
        <f>A130+1</f>
        <v>20</v>
      </c>
      <c r="B137" s="78">
        <v>40364</v>
      </c>
      <c r="C137" s="137">
        <v>41043</v>
      </c>
      <c r="D137" s="8"/>
      <c r="E137" s="52"/>
      <c r="F137" s="7"/>
      <c r="G137" s="80"/>
      <c r="H137" s="81"/>
      <c r="I137" s="81"/>
      <c r="J137" s="10" t="s">
        <v>411</v>
      </c>
    </row>
    <row r="138" spans="1:10" x14ac:dyDescent="0.15">
      <c r="A138" s="11" t="s">
        <v>11</v>
      </c>
      <c r="B138" s="78">
        <v>40365</v>
      </c>
      <c r="C138" s="138">
        <v>41044</v>
      </c>
      <c r="D138" s="13"/>
      <c r="E138" s="54"/>
      <c r="F138" s="2"/>
      <c r="G138" s="83"/>
      <c r="H138" s="84"/>
      <c r="I138" s="84"/>
      <c r="J138" s="10" t="s">
        <v>411</v>
      </c>
    </row>
    <row r="139" spans="1:10" x14ac:dyDescent="0.15">
      <c r="A139" s="15">
        <f>SUM(G137:G143)</f>
        <v>24.6</v>
      </c>
      <c r="B139" s="78">
        <v>40366</v>
      </c>
      <c r="C139" s="138">
        <v>41045</v>
      </c>
      <c r="D139" s="13"/>
      <c r="E139" s="54"/>
      <c r="F139" s="12"/>
      <c r="G139" s="83"/>
      <c r="H139" s="84"/>
      <c r="I139" s="84"/>
      <c r="J139" s="10" t="s">
        <v>411</v>
      </c>
    </row>
    <row r="140" spans="1:10" x14ac:dyDescent="0.15">
      <c r="A140" s="2"/>
      <c r="B140" s="78">
        <v>40367</v>
      </c>
      <c r="C140" s="138">
        <v>41046</v>
      </c>
      <c r="D140" s="13"/>
      <c r="E140" s="54"/>
      <c r="F140" s="2"/>
      <c r="G140" s="83"/>
      <c r="H140" s="84"/>
      <c r="I140" s="84"/>
      <c r="J140" s="10" t="s">
        <v>411</v>
      </c>
    </row>
    <row r="141" spans="1:10" x14ac:dyDescent="0.15">
      <c r="A141" s="2"/>
      <c r="B141" s="78">
        <v>40368</v>
      </c>
      <c r="C141" s="138">
        <v>41047</v>
      </c>
      <c r="D141" s="13" t="s">
        <v>14</v>
      </c>
      <c r="E141" s="54">
        <v>3.4629629629629628E-2</v>
      </c>
      <c r="F141" s="12">
        <v>148</v>
      </c>
      <c r="G141" s="83">
        <v>10.42</v>
      </c>
      <c r="H141" s="84">
        <f>E141/G141</f>
        <v>3.3233809625364328E-3</v>
      </c>
      <c r="I141" s="84" t="s">
        <v>436</v>
      </c>
      <c r="J141" s="10" t="s">
        <v>411</v>
      </c>
    </row>
    <row r="142" spans="1:10" x14ac:dyDescent="0.15">
      <c r="A142" s="2"/>
      <c r="B142" s="78">
        <v>40369</v>
      </c>
      <c r="C142" s="138">
        <v>41048</v>
      </c>
      <c r="D142" s="13"/>
      <c r="E142" s="54"/>
      <c r="F142" s="12"/>
      <c r="G142" s="83"/>
      <c r="H142" s="84"/>
      <c r="I142" s="84"/>
      <c r="J142" s="10" t="s">
        <v>411</v>
      </c>
    </row>
    <row r="143" spans="1:10" x14ac:dyDescent="0.15">
      <c r="A143" s="2"/>
      <c r="B143" s="85">
        <v>40370</v>
      </c>
      <c r="C143" s="90">
        <v>41049</v>
      </c>
      <c r="D143" s="22" t="s">
        <v>446</v>
      </c>
      <c r="E143" s="54">
        <v>5.4583333333333338E-2</v>
      </c>
      <c r="F143" s="12" t="s">
        <v>437</v>
      </c>
      <c r="G143" s="83">
        <v>14.18</v>
      </c>
      <c r="H143" s="146">
        <f>E143/G143</f>
        <v>3.8493182886694881E-3</v>
      </c>
      <c r="I143" s="84" t="s">
        <v>434</v>
      </c>
      <c r="J143" s="10" t="s">
        <v>411</v>
      </c>
    </row>
    <row r="144" spans="1:10" x14ac:dyDescent="0.15">
      <c r="A144" s="4">
        <f>A137+1</f>
        <v>21</v>
      </c>
      <c r="B144" s="78">
        <v>40371</v>
      </c>
      <c r="C144" s="137">
        <v>41050</v>
      </c>
      <c r="D144" s="8"/>
      <c r="E144" s="52"/>
      <c r="F144" s="7"/>
      <c r="G144" s="80"/>
      <c r="H144" s="81"/>
      <c r="I144" s="81"/>
      <c r="J144" s="10" t="s">
        <v>411</v>
      </c>
    </row>
    <row r="145" spans="1:10" x14ac:dyDescent="0.15">
      <c r="A145" s="11" t="s">
        <v>11</v>
      </c>
      <c r="B145" s="78">
        <v>40372</v>
      </c>
      <c r="C145" s="138">
        <v>41051</v>
      </c>
      <c r="D145" s="13" t="s">
        <v>446</v>
      </c>
      <c r="E145" s="54">
        <v>4.1585648148148149E-2</v>
      </c>
      <c r="F145" s="2">
        <v>154</v>
      </c>
      <c r="G145" s="83">
        <v>12.51</v>
      </c>
      <c r="H145" s="84">
        <f>E145/G145</f>
        <v>3.3241924978535693E-3</v>
      </c>
      <c r="I145" s="84" t="s">
        <v>455</v>
      </c>
      <c r="J145" s="10" t="s">
        <v>411</v>
      </c>
    </row>
    <row r="146" spans="1:10" x14ac:dyDescent="0.15">
      <c r="A146" s="15">
        <f>SUM(G144:G150)</f>
        <v>39.43</v>
      </c>
      <c r="B146" s="78">
        <v>40373</v>
      </c>
      <c r="C146" s="138">
        <v>41052</v>
      </c>
      <c r="D146" s="13"/>
      <c r="E146" s="54"/>
      <c r="F146" s="12"/>
      <c r="G146" s="83"/>
      <c r="H146" s="84"/>
      <c r="I146" s="84"/>
      <c r="J146" s="10" t="s">
        <v>411</v>
      </c>
    </row>
    <row r="147" spans="1:10" x14ac:dyDescent="0.15">
      <c r="A147" s="2"/>
      <c r="B147" s="78">
        <v>40374</v>
      </c>
      <c r="C147" s="138">
        <v>41053</v>
      </c>
      <c r="D147" s="13" t="s">
        <v>14</v>
      </c>
      <c r="E147" s="54">
        <v>5.4930555555555552E-2</v>
      </c>
      <c r="F147" s="2">
        <v>141</v>
      </c>
      <c r="G147" s="83">
        <v>14.52</v>
      </c>
      <c r="H147" s="84">
        <f>E147/G147</f>
        <v>3.7830961126415672E-3</v>
      </c>
      <c r="I147" s="84" t="s">
        <v>436</v>
      </c>
      <c r="J147" s="10" t="s">
        <v>411</v>
      </c>
    </row>
    <row r="148" spans="1:10" x14ac:dyDescent="0.15">
      <c r="A148" s="2"/>
      <c r="B148" s="78">
        <v>40375</v>
      </c>
      <c r="C148" s="138">
        <v>41054</v>
      </c>
      <c r="D148" s="13"/>
      <c r="E148" s="54"/>
      <c r="F148" s="12"/>
      <c r="G148" s="83"/>
      <c r="H148" s="84"/>
      <c r="I148" s="84"/>
      <c r="J148" s="10" t="s">
        <v>411</v>
      </c>
    </row>
    <row r="149" spans="1:10" x14ac:dyDescent="0.15">
      <c r="A149" s="2"/>
      <c r="B149" s="78">
        <v>40376</v>
      </c>
      <c r="C149" s="138">
        <v>41055</v>
      </c>
      <c r="D149" s="13" t="s">
        <v>464</v>
      </c>
      <c r="E149" s="54">
        <v>4.4942129629629624E-2</v>
      </c>
      <c r="F149" s="12">
        <v>150</v>
      </c>
      <c r="G149" s="83">
        <v>12.4</v>
      </c>
      <c r="H149" s="84">
        <f>E149/G149</f>
        <v>3.6243652927120664E-3</v>
      </c>
      <c r="I149" s="84" t="s">
        <v>434</v>
      </c>
      <c r="J149" s="10" t="s">
        <v>411</v>
      </c>
    </row>
    <row r="150" spans="1:10" x14ac:dyDescent="0.15">
      <c r="A150" s="2"/>
      <c r="B150" s="85">
        <v>40377</v>
      </c>
      <c r="C150" s="90">
        <v>41056</v>
      </c>
      <c r="D150" s="22"/>
      <c r="E150" s="54"/>
      <c r="F150" s="12"/>
      <c r="G150" s="83"/>
      <c r="H150" s="146"/>
      <c r="I150" s="84"/>
      <c r="J150" s="10" t="s">
        <v>411</v>
      </c>
    </row>
    <row r="151" spans="1:10" x14ac:dyDescent="0.15">
      <c r="A151" s="4">
        <f>A144+1</f>
        <v>22</v>
      </c>
      <c r="B151" s="78">
        <v>40378</v>
      </c>
      <c r="C151" s="137">
        <v>41057</v>
      </c>
      <c r="D151" s="8" t="s">
        <v>14</v>
      </c>
      <c r="E151" s="52">
        <v>5.3530092592592587E-2</v>
      </c>
      <c r="F151" s="7">
        <v>140</v>
      </c>
      <c r="G151" s="80">
        <v>14.82</v>
      </c>
      <c r="H151" s="81">
        <f>E151/G151</f>
        <v>3.6120170440345875E-3</v>
      </c>
      <c r="I151" s="81" t="s">
        <v>453</v>
      </c>
      <c r="J151" s="10" t="s">
        <v>411</v>
      </c>
    </row>
    <row r="152" spans="1:10" x14ac:dyDescent="0.15">
      <c r="A152" s="11" t="s">
        <v>11</v>
      </c>
      <c r="B152" s="78">
        <v>40379</v>
      </c>
      <c r="C152" s="138">
        <v>41058</v>
      </c>
      <c r="D152" s="13"/>
      <c r="E152" s="54"/>
      <c r="F152" s="2"/>
      <c r="G152" s="83"/>
      <c r="H152" s="84"/>
      <c r="I152" s="84"/>
      <c r="J152" s="10" t="s">
        <v>411</v>
      </c>
    </row>
    <row r="153" spans="1:10" x14ac:dyDescent="0.15">
      <c r="A153" s="15">
        <f>SUM(G151:G157)</f>
        <v>57</v>
      </c>
      <c r="B153" s="78">
        <v>40380</v>
      </c>
      <c r="C153" s="138">
        <v>41059</v>
      </c>
      <c r="D153" s="13" t="s">
        <v>14</v>
      </c>
      <c r="E153" s="54">
        <v>4.9826388888888885E-2</v>
      </c>
      <c r="F153" s="12">
        <v>131</v>
      </c>
      <c r="G153" s="83">
        <v>13.2</v>
      </c>
      <c r="H153" s="84">
        <f>E153/G153</f>
        <v>3.7747264309764307E-3</v>
      </c>
      <c r="I153" s="84" t="s">
        <v>453</v>
      </c>
      <c r="J153" s="10" t="s">
        <v>411</v>
      </c>
    </row>
    <row r="154" spans="1:10" x14ac:dyDescent="0.15">
      <c r="A154" s="2"/>
      <c r="B154" s="78">
        <v>40381</v>
      </c>
      <c r="C154" s="138">
        <v>41060</v>
      </c>
      <c r="D154" s="13"/>
      <c r="E154" s="54"/>
      <c r="F154" s="2"/>
      <c r="G154" s="83"/>
      <c r="H154" s="84"/>
      <c r="I154" s="84"/>
      <c r="J154" s="10" t="s">
        <v>411</v>
      </c>
    </row>
    <row r="155" spans="1:10" x14ac:dyDescent="0.15">
      <c r="A155" s="2"/>
      <c r="B155" s="78">
        <v>40382</v>
      </c>
      <c r="C155" s="138">
        <v>41061</v>
      </c>
      <c r="D155" s="13"/>
      <c r="E155" s="54"/>
      <c r="F155" s="12"/>
      <c r="G155" s="83"/>
      <c r="H155" s="84"/>
      <c r="I155" s="84"/>
      <c r="J155" s="10" t="s">
        <v>411</v>
      </c>
    </row>
    <row r="156" spans="1:10" x14ac:dyDescent="0.15">
      <c r="A156" s="2"/>
      <c r="B156" s="78">
        <v>40383</v>
      </c>
      <c r="C156" s="138">
        <v>41062</v>
      </c>
      <c r="D156" s="13" t="s">
        <v>464</v>
      </c>
      <c r="E156" s="54">
        <v>4.4282407407407402E-2</v>
      </c>
      <c r="F156" s="12">
        <v>145</v>
      </c>
      <c r="G156" s="83">
        <v>12.66</v>
      </c>
      <c r="H156" s="84">
        <f>E156/G156</f>
        <v>3.4978204903165404E-3</v>
      </c>
      <c r="I156" s="84" t="s">
        <v>455</v>
      </c>
      <c r="J156" s="10" t="s">
        <v>411</v>
      </c>
    </row>
    <row r="157" spans="1:10" x14ac:dyDescent="0.15">
      <c r="A157" s="2"/>
      <c r="B157" s="85">
        <v>40384</v>
      </c>
      <c r="C157" s="90">
        <v>41063</v>
      </c>
      <c r="D157" s="22" t="s">
        <v>14</v>
      </c>
      <c r="E157" s="54">
        <v>5.9652777777777777E-2</v>
      </c>
      <c r="F157" s="12">
        <v>148</v>
      </c>
      <c r="G157" s="83">
        <v>16.32</v>
      </c>
      <c r="H157" s="146">
        <f>E157/G157</f>
        <v>3.655194716775599E-3</v>
      </c>
      <c r="I157" s="84" t="s">
        <v>453</v>
      </c>
      <c r="J157" s="10" t="s">
        <v>411</v>
      </c>
    </row>
    <row r="158" spans="1:10" x14ac:dyDescent="0.15">
      <c r="A158" s="4">
        <f>A151+1</f>
        <v>23</v>
      </c>
      <c r="B158" s="78">
        <v>40385</v>
      </c>
      <c r="C158" s="137">
        <v>41064</v>
      </c>
      <c r="D158" s="8"/>
      <c r="E158" s="52"/>
      <c r="F158" s="7"/>
      <c r="G158" s="80"/>
      <c r="H158" s="81"/>
      <c r="I158" s="81"/>
      <c r="J158" s="10" t="s">
        <v>411</v>
      </c>
    </row>
    <row r="159" spans="1:10" x14ac:dyDescent="0.15">
      <c r="A159" s="11" t="s">
        <v>11</v>
      </c>
      <c r="B159" s="78">
        <v>40386</v>
      </c>
      <c r="C159" s="138">
        <v>41065</v>
      </c>
      <c r="D159" s="13"/>
      <c r="E159" s="54"/>
      <c r="F159" s="2"/>
      <c r="G159" s="83"/>
      <c r="H159" s="84"/>
      <c r="I159" s="84"/>
      <c r="J159" s="10" t="s">
        <v>411</v>
      </c>
    </row>
    <row r="160" spans="1:10" x14ac:dyDescent="0.15">
      <c r="A160" s="15">
        <f>SUM(G158:G164)</f>
        <v>40.770000000000003</v>
      </c>
      <c r="B160" s="78">
        <v>40387</v>
      </c>
      <c r="C160" s="138">
        <v>41066</v>
      </c>
      <c r="D160" s="13"/>
      <c r="E160" s="54"/>
      <c r="F160" s="12"/>
      <c r="G160" s="83"/>
      <c r="H160" s="84"/>
      <c r="I160" s="84"/>
      <c r="J160" s="10" t="s">
        <v>411</v>
      </c>
    </row>
    <row r="161" spans="1:10" x14ac:dyDescent="0.15">
      <c r="A161" s="2"/>
      <c r="B161" s="78">
        <v>40388</v>
      </c>
      <c r="C161" s="138">
        <v>41067</v>
      </c>
      <c r="D161" s="13" t="s">
        <v>14</v>
      </c>
      <c r="E161" s="54">
        <v>5.28587962962963E-2</v>
      </c>
      <c r="F161" s="2">
        <v>136</v>
      </c>
      <c r="G161" s="83">
        <v>14.06</v>
      </c>
      <c r="H161" s="84">
        <f>E161/G161</f>
        <v>3.7595160950424111E-3</v>
      </c>
      <c r="I161" s="84" t="s">
        <v>434</v>
      </c>
      <c r="J161" s="10" t="s">
        <v>411</v>
      </c>
    </row>
    <row r="162" spans="1:10" x14ac:dyDescent="0.15">
      <c r="A162" s="2"/>
      <c r="B162" s="78">
        <v>40389</v>
      </c>
      <c r="C162" s="138">
        <v>41068</v>
      </c>
      <c r="D162" s="13"/>
      <c r="E162" s="54"/>
      <c r="F162" s="12"/>
      <c r="G162" s="83"/>
      <c r="H162" s="84"/>
      <c r="I162" s="84"/>
      <c r="J162" s="10" t="s">
        <v>411</v>
      </c>
    </row>
    <row r="163" spans="1:10" x14ac:dyDescent="0.15">
      <c r="A163" s="2"/>
      <c r="B163" s="78">
        <v>40390</v>
      </c>
      <c r="C163" s="138">
        <v>41069</v>
      </c>
      <c r="D163" s="13" t="s">
        <v>14</v>
      </c>
      <c r="E163" s="54">
        <f>H163*G163</f>
        <v>4.3773148148148151E-2</v>
      </c>
      <c r="F163" s="12">
        <v>143</v>
      </c>
      <c r="G163" s="83">
        <v>12.4</v>
      </c>
      <c r="H163" s="84">
        <v>3.5300925925925925E-3</v>
      </c>
      <c r="I163" s="84" t="s">
        <v>466</v>
      </c>
      <c r="J163" s="10" t="s">
        <v>411</v>
      </c>
    </row>
    <row r="164" spans="1:10" x14ac:dyDescent="0.15">
      <c r="A164" s="2"/>
      <c r="B164" s="85">
        <v>40391</v>
      </c>
      <c r="C164" s="90">
        <v>41070</v>
      </c>
      <c r="D164" s="22" t="s">
        <v>14</v>
      </c>
      <c r="E164" s="54">
        <v>5.1574074074074071E-2</v>
      </c>
      <c r="F164" s="12">
        <v>136</v>
      </c>
      <c r="G164" s="83">
        <v>14.31</v>
      </c>
      <c r="H164" s="146">
        <f>E164/G164</f>
        <v>3.6040582860988168E-3</v>
      </c>
      <c r="I164" s="84" t="s">
        <v>466</v>
      </c>
      <c r="J164" s="10" t="s">
        <v>411</v>
      </c>
    </row>
    <row r="165" spans="1:10" x14ac:dyDescent="0.15">
      <c r="A165" s="4">
        <f>A158+1</f>
        <v>24</v>
      </c>
      <c r="B165" s="78">
        <v>40392</v>
      </c>
      <c r="C165" s="137">
        <v>41071</v>
      </c>
      <c r="D165" s="8"/>
      <c r="E165" s="52"/>
      <c r="F165" s="7"/>
      <c r="G165" s="80"/>
      <c r="H165" s="81"/>
      <c r="I165" s="81"/>
      <c r="J165" s="10" t="s">
        <v>411</v>
      </c>
    </row>
    <row r="166" spans="1:10" x14ac:dyDescent="0.15">
      <c r="A166" s="11" t="s">
        <v>11</v>
      </c>
      <c r="B166" s="78">
        <v>40393</v>
      </c>
      <c r="C166" s="138">
        <v>41072</v>
      </c>
      <c r="D166" s="13"/>
      <c r="E166" s="54"/>
      <c r="F166" s="2"/>
      <c r="G166" s="83"/>
      <c r="H166" s="84"/>
      <c r="I166" s="84"/>
      <c r="J166" s="10" t="s">
        <v>411</v>
      </c>
    </row>
    <row r="167" spans="1:10" x14ac:dyDescent="0.15">
      <c r="A167" s="15">
        <f>SUM(G165:G171)</f>
        <v>39.93</v>
      </c>
      <c r="B167" s="78">
        <v>40394</v>
      </c>
      <c r="C167" s="138">
        <v>41073</v>
      </c>
      <c r="D167" s="13" t="s">
        <v>14</v>
      </c>
      <c r="E167" s="54">
        <v>4.6412037037037036E-2</v>
      </c>
      <c r="F167" s="12">
        <v>144</v>
      </c>
      <c r="G167" s="83">
        <v>12.7</v>
      </c>
      <c r="H167" s="84">
        <f>E167/G167</f>
        <v>3.654491105278507E-3</v>
      </c>
      <c r="I167" s="84" t="s">
        <v>455</v>
      </c>
      <c r="J167" s="10" t="s">
        <v>411</v>
      </c>
    </row>
    <row r="168" spans="1:10" x14ac:dyDescent="0.15">
      <c r="A168" s="2"/>
      <c r="B168" s="78">
        <v>40395</v>
      </c>
      <c r="C168" s="138">
        <v>41074</v>
      </c>
      <c r="D168" s="13" t="s">
        <v>14</v>
      </c>
      <c r="E168" s="54">
        <v>5.2928240740740741E-2</v>
      </c>
      <c r="F168" s="2">
        <v>148</v>
      </c>
      <c r="G168" s="83">
        <v>14.73</v>
      </c>
      <c r="H168" s="84">
        <f>E168/G168</f>
        <v>3.5932274773075859E-3</v>
      </c>
      <c r="I168" s="84" t="s">
        <v>455</v>
      </c>
      <c r="J168" s="10" t="s">
        <v>411</v>
      </c>
    </row>
    <row r="169" spans="1:10" x14ac:dyDescent="0.15">
      <c r="A169" s="2"/>
      <c r="B169" s="78">
        <v>40396</v>
      </c>
      <c r="C169" s="138">
        <v>41075</v>
      </c>
      <c r="D169" s="13"/>
      <c r="E169" s="54"/>
      <c r="F169" s="12"/>
      <c r="G169" s="83"/>
      <c r="H169" s="84"/>
      <c r="I169" s="84"/>
      <c r="J169" s="10" t="s">
        <v>411</v>
      </c>
    </row>
    <row r="170" spans="1:10" x14ac:dyDescent="0.15">
      <c r="A170" s="2"/>
      <c r="B170" s="78">
        <v>40397</v>
      </c>
      <c r="C170" s="138">
        <v>41076</v>
      </c>
      <c r="D170" s="13" t="s">
        <v>446</v>
      </c>
      <c r="E170" s="54">
        <v>4.4085648148148145E-2</v>
      </c>
      <c r="F170" s="12">
        <v>151</v>
      </c>
      <c r="G170" s="83">
        <v>12.5</v>
      </c>
      <c r="H170" s="84">
        <f>E170/G170</f>
        <v>3.5268518518518518E-3</v>
      </c>
      <c r="I170" s="84" t="s">
        <v>466</v>
      </c>
      <c r="J170" s="10" t="s">
        <v>411</v>
      </c>
    </row>
    <row r="171" spans="1:10" x14ac:dyDescent="0.15">
      <c r="A171" s="2"/>
      <c r="B171" s="85">
        <v>40398</v>
      </c>
      <c r="C171" s="90">
        <v>41077</v>
      </c>
      <c r="D171" s="13"/>
      <c r="E171" s="54"/>
      <c r="F171" s="12"/>
      <c r="G171" s="83"/>
      <c r="H171" s="84"/>
      <c r="I171" s="84"/>
      <c r="J171" s="10" t="s">
        <v>411</v>
      </c>
    </row>
    <row r="172" spans="1:10" x14ac:dyDescent="0.15">
      <c r="A172" s="4">
        <f>A165+1</f>
        <v>25</v>
      </c>
      <c r="B172" s="78">
        <v>40399</v>
      </c>
      <c r="C172" s="137">
        <v>41078</v>
      </c>
      <c r="D172" s="8" t="s">
        <v>14</v>
      </c>
      <c r="E172" s="52">
        <v>6.0740740740740734E-2</v>
      </c>
      <c r="F172" s="7">
        <v>142</v>
      </c>
      <c r="G172" s="80">
        <v>16.3</v>
      </c>
      <c r="H172" s="81">
        <f>E172/G172</f>
        <v>3.7264258123153823E-3</v>
      </c>
      <c r="I172" s="81" t="s">
        <v>453</v>
      </c>
      <c r="J172" s="10" t="s">
        <v>411</v>
      </c>
    </row>
    <row r="173" spans="1:10" x14ac:dyDescent="0.15">
      <c r="A173" s="34" t="s">
        <v>11</v>
      </c>
      <c r="B173" s="78">
        <v>40400</v>
      </c>
      <c r="C173" s="138">
        <v>41079</v>
      </c>
      <c r="D173" s="13" t="s">
        <v>446</v>
      </c>
      <c r="E173" s="54">
        <v>4.1921296296296297E-2</v>
      </c>
      <c r="F173" s="2">
        <v>152</v>
      </c>
      <c r="G173" s="83">
        <v>12.55</v>
      </c>
      <c r="H173" s="84">
        <f>E173/G173</f>
        <v>3.3403423343662387E-3</v>
      </c>
      <c r="I173" s="84" t="s">
        <v>455</v>
      </c>
      <c r="J173" s="10" t="s">
        <v>411</v>
      </c>
    </row>
    <row r="174" spans="1:10" x14ac:dyDescent="0.15">
      <c r="A174" s="15">
        <f>SUM(G172:G178)</f>
        <v>71.989999999999995</v>
      </c>
      <c r="B174" s="78">
        <v>40401</v>
      </c>
      <c r="C174" s="138">
        <v>41080</v>
      </c>
      <c r="D174" s="13"/>
      <c r="E174" s="54"/>
      <c r="F174" s="12"/>
      <c r="G174" s="83"/>
      <c r="H174" s="84"/>
      <c r="I174" s="84"/>
      <c r="J174" s="10" t="s">
        <v>411</v>
      </c>
    </row>
    <row r="175" spans="1:10" x14ac:dyDescent="0.15">
      <c r="A175" s="2"/>
      <c r="B175" s="78">
        <v>40402</v>
      </c>
      <c r="C175" s="138">
        <v>41081</v>
      </c>
      <c r="D175" s="13" t="s">
        <v>14</v>
      </c>
      <c r="E175" s="54">
        <v>3.8437500000000006E-2</v>
      </c>
      <c r="F175" s="2">
        <v>140</v>
      </c>
      <c r="G175" s="83">
        <v>10.59</v>
      </c>
      <c r="H175" s="84">
        <f>E175/G175</f>
        <v>3.6296033994334285E-3</v>
      </c>
      <c r="I175" s="84" t="s">
        <v>466</v>
      </c>
      <c r="J175" s="10" t="s">
        <v>411</v>
      </c>
    </row>
    <row r="176" spans="1:10" x14ac:dyDescent="0.15">
      <c r="A176" s="2"/>
      <c r="B176" s="78">
        <v>40403</v>
      </c>
      <c r="C176" s="138">
        <v>41082</v>
      </c>
      <c r="D176" s="13" t="s">
        <v>14</v>
      </c>
      <c r="E176" s="54">
        <v>7.6435185185185189E-2</v>
      </c>
      <c r="F176" s="12">
        <v>133</v>
      </c>
      <c r="G176" s="83">
        <v>20.329999999999998</v>
      </c>
      <c r="H176" s="84">
        <f>E176/G176</f>
        <v>3.759723816290467E-3</v>
      </c>
      <c r="I176" s="84" t="s">
        <v>436</v>
      </c>
      <c r="J176" s="10" t="s">
        <v>411</v>
      </c>
    </row>
    <row r="177" spans="1:10" x14ac:dyDescent="0.15">
      <c r="A177" s="2"/>
      <c r="B177" s="78">
        <v>40404</v>
      </c>
      <c r="C177" s="138">
        <v>41083</v>
      </c>
      <c r="D177" s="13" t="s">
        <v>464</v>
      </c>
      <c r="E177" s="54">
        <v>4.2233796296296297E-2</v>
      </c>
      <c r="F177" s="12">
        <v>141</v>
      </c>
      <c r="G177" s="83">
        <v>12.22</v>
      </c>
      <c r="H177" s="84">
        <f>E177/G177</f>
        <v>3.4561208098442139E-3</v>
      </c>
      <c r="I177" s="84" t="s">
        <v>436</v>
      </c>
      <c r="J177" s="10" t="s">
        <v>411</v>
      </c>
    </row>
    <row r="178" spans="1:10" x14ac:dyDescent="0.15">
      <c r="A178" s="35"/>
      <c r="B178" s="85">
        <v>40405</v>
      </c>
      <c r="C178" s="90">
        <v>41084</v>
      </c>
      <c r="D178" s="13"/>
      <c r="E178" s="54"/>
      <c r="F178" s="12"/>
      <c r="G178" s="83"/>
      <c r="H178" s="84"/>
      <c r="I178" s="84"/>
      <c r="J178" s="10" t="s">
        <v>411</v>
      </c>
    </row>
    <row r="179" spans="1:10" x14ac:dyDescent="0.15">
      <c r="A179" s="4">
        <f>A172+1</f>
        <v>26</v>
      </c>
      <c r="B179" s="78">
        <v>40406</v>
      </c>
      <c r="C179" s="137">
        <v>41085</v>
      </c>
      <c r="D179" s="8"/>
      <c r="E179" s="52"/>
      <c r="F179" s="7"/>
      <c r="G179" s="80"/>
      <c r="H179" s="81"/>
      <c r="I179" s="81"/>
      <c r="J179" s="10" t="s">
        <v>411</v>
      </c>
    </row>
    <row r="180" spans="1:10" x14ac:dyDescent="0.15">
      <c r="A180" s="11" t="s">
        <v>11</v>
      </c>
      <c r="B180" s="78">
        <v>40407</v>
      </c>
      <c r="C180" s="138">
        <v>41086</v>
      </c>
      <c r="D180" s="13" t="s">
        <v>464</v>
      </c>
      <c r="E180" s="54">
        <v>4.400462962962963E-2</v>
      </c>
      <c r="F180" s="2">
        <v>141</v>
      </c>
      <c r="G180" s="83">
        <v>12.74</v>
      </c>
      <c r="H180" s="84">
        <f>E180/G180</f>
        <v>3.4540525611954183E-3</v>
      </c>
      <c r="I180" s="84" t="s">
        <v>455</v>
      </c>
      <c r="J180" s="10" t="s">
        <v>411</v>
      </c>
    </row>
    <row r="181" spans="1:10" x14ac:dyDescent="0.15">
      <c r="A181" s="15">
        <f>SUM(G179:G185)</f>
        <v>39.730000000000004</v>
      </c>
      <c r="B181" s="78">
        <v>40408</v>
      </c>
      <c r="C181" s="138">
        <v>41087</v>
      </c>
      <c r="D181" s="13"/>
      <c r="E181" s="54"/>
      <c r="F181" s="12"/>
      <c r="G181" s="83"/>
      <c r="H181" s="84"/>
      <c r="I181" s="84"/>
      <c r="J181" s="10" t="s">
        <v>411</v>
      </c>
    </row>
    <row r="182" spans="1:10" x14ac:dyDescent="0.15">
      <c r="A182" s="2"/>
      <c r="B182" s="78">
        <v>40409</v>
      </c>
      <c r="C182" s="138">
        <v>41088</v>
      </c>
      <c r="D182" s="13" t="s">
        <v>14</v>
      </c>
      <c r="E182" s="54">
        <v>4.7673611111111111E-2</v>
      </c>
      <c r="F182" s="2">
        <v>131</v>
      </c>
      <c r="G182" s="83">
        <v>12.99</v>
      </c>
      <c r="H182" s="84">
        <f>E182/G182</f>
        <v>3.6700239500470446E-3</v>
      </c>
      <c r="I182" s="84" t="s">
        <v>466</v>
      </c>
      <c r="J182" s="10" t="s">
        <v>411</v>
      </c>
    </row>
    <row r="183" spans="1:10" x14ac:dyDescent="0.15">
      <c r="A183" s="2"/>
      <c r="B183" s="78">
        <v>40410</v>
      </c>
      <c r="C183" s="138">
        <v>41089</v>
      </c>
      <c r="D183" s="13"/>
      <c r="E183" s="54"/>
      <c r="F183" s="12"/>
      <c r="G183" s="83"/>
      <c r="H183" s="84"/>
      <c r="I183" s="84"/>
      <c r="J183" s="10" t="s">
        <v>411</v>
      </c>
    </row>
    <row r="184" spans="1:10" x14ac:dyDescent="0.15">
      <c r="A184" s="2"/>
      <c r="B184" s="78">
        <v>40411</v>
      </c>
      <c r="C184" s="138">
        <v>41090</v>
      </c>
      <c r="D184" s="13" t="s">
        <v>14</v>
      </c>
      <c r="E184" s="54">
        <v>5.167824074074074E-2</v>
      </c>
      <c r="F184" s="12" t="s">
        <v>437</v>
      </c>
      <c r="G184" s="83">
        <v>14</v>
      </c>
      <c r="H184" s="84">
        <f>E184/G184</f>
        <v>3.6913029100529098E-3</v>
      </c>
      <c r="I184" s="84" t="s">
        <v>453</v>
      </c>
      <c r="J184" s="10" t="s">
        <v>411</v>
      </c>
    </row>
    <row r="185" spans="1:10" x14ac:dyDescent="0.15">
      <c r="A185" s="2"/>
      <c r="B185" s="85">
        <v>40412</v>
      </c>
      <c r="C185" s="90">
        <v>41091</v>
      </c>
      <c r="D185" s="13"/>
      <c r="E185" s="54"/>
      <c r="F185" s="12"/>
      <c r="G185" s="83"/>
      <c r="H185" s="84"/>
      <c r="I185" s="84"/>
      <c r="J185" s="10" t="s">
        <v>411</v>
      </c>
    </row>
    <row r="186" spans="1:10" x14ac:dyDescent="0.15">
      <c r="A186" s="4">
        <f>A179+1</f>
        <v>27</v>
      </c>
      <c r="B186" s="78">
        <v>40413</v>
      </c>
      <c r="C186" s="137">
        <v>41092</v>
      </c>
      <c r="D186" s="8" t="s">
        <v>14</v>
      </c>
      <c r="E186" s="52">
        <v>4.6655092592592595E-2</v>
      </c>
      <c r="F186" s="7">
        <v>139</v>
      </c>
      <c r="G186" s="80">
        <v>12.74</v>
      </c>
      <c r="H186" s="81">
        <f>E186/G186</f>
        <v>3.6620951799523228E-3</v>
      </c>
      <c r="I186" s="81" t="s">
        <v>453</v>
      </c>
      <c r="J186" s="10" t="s">
        <v>411</v>
      </c>
    </row>
    <row r="187" spans="1:10" x14ac:dyDescent="0.15">
      <c r="A187" s="11" t="s">
        <v>11</v>
      </c>
      <c r="B187" s="78">
        <v>40414</v>
      </c>
      <c r="C187" s="138">
        <v>41093</v>
      </c>
      <c r="D187" s="13"/>
      <c r="E187" s="54"/>
      <c r="F187" s="2"/>
      <c r="G187" s="83"/>
      <c r="H187" s="84"/>
      <c r="I187" s="84"/>
      <c r="J187" s="10" t="s">
        <v>411</v>
      </c>
    </row>
    <row r="188" spans="1:10" x14ac:dyDescent="0.15">
      <c r="A188" s="15">
        <f>SUM(G186:G192)</f>
        <v>41.61</v>
      </c>
      <c r="B188" s="78">
        <v>40415</v>
      </c>
      <c r="C188" s="138">
        <v>41094</v>
      </c>
      <c r="D188" s="13" t="s">
        <v>14</v>
      </c>
      <c r="E188" s="54">
        <v>5.4166666666666669E-2</v>
      </c>
      <c r="F188" s="12">
        <v>140</v>
      </c>
      <c r="G188" s="83">
        <v>14.85</v>
      </c>
      <c r="H188" s="84">
        <f>E188/G188</f>
        <v>3.6475869809203146E-3</v>
      </c>
      <c r="I188" s="84" t="s">
        <v>436</v>
      </c>
      <c r="J188" s="10" t="s">
        <v>411</v>
      </c>
    </row>
    <row r="189" spans="1:10" x14ac:dyDescent="0.15">
      <c r="A189" s="2"/>
      <c r="B189" s="78">
        <v>40416</v>
      </c>
      <c r="C189" s="138">
        <v>41095</v>
      </c>
      <c r="D189" s="13"/>
      <c r="E189" s="54"/>
      <c r="F189" s="2"/>
      <c r="G189" s="83"/>
      <c r="H189" s="84"/>
      <c r="I189" s="84"/>
      <c r="J189" s="10" t="s">
        <v>411</v>
      </c>
    </row>
    <row r="190" spans="1:10" x14ac:dyDescent="0.15">
      <c r="A190" s="2"/>
      <c r="B190" s="78">
        <v>40417</v>
      </c>
      <c r="C190" s="138">
        <v>41096</v>
      </c>
      <c r="D190" s="13"/>
      <c r="E190" s="54"/>
      <c r="F190" s="12"/>
      <c r="G190" s="83"/>
      <c r="H190" s="84"/>
      <c r="I190" s="84"/>
      <c r="J190" s="10" t="s">
        <v>411</v>
      </c>
    </row>
    <row r="191" spans="1:10" x14ac:dyDescent="0.15">
      <c r="A191" s="2"/>
      <c r="B191" s="78">
        <v>40418</v>
      </c>
      <c r="C191" s="138">
        <v>41097</v>
      </c>
      <c r="D191" s="13" t="s">
        <v>14</v>
      </c>
      <c r="E191" s="54">
        <v>5.3043981481481484E-2</v>
      </c>
      <c r="F191" s="12" t="s">
        <v>191</v>
      </c>
      <c r="G191" s="83">
        <v>14.02</v>
      </c>
      <c r="H191" s="84">
        <f>E191/G191</f>
        <v>3.7834508902625883E-3</v>
      </c>
      <c r="I191" s="84" t="s">
        <v>436</v>
      </c>
      <c r="J191" s="10" t="s">
        <v>411</v>
      </c>
    </row>
    <row r="192" spans="1:10" x14ac:dyDescent="0.15">
      <c r="A192" s="2"/>
      <c r="B192" s="85">
        <v>40419</v>
      </c>
      <c r="C192" s="90">
        <v>41098</v>
      </c>
      <c r="D192" s="13"/>
      <c r="E192" s="54"/>
      <c r="F192" s="12"/>
      <c r="G192" s="83"/>
      <c r="H192" s="84"/>
      <c r="I192" s="84"/>
      <c r="J192" s="10" t="s">
        <v>411</v>
      </c>
    </row>
    <row r="193" spans="1:10" x14ac:dyDescent="0.15">
      <c r="A193" s="4">
        <f>A186+1</f>
        <v>28</v>
      </c>
      <c r="B193" s="78">
        <v>40420</v>
      </c>
      <c r="C193" s="137">
        <v>41099</v>
      </c>
      <c r="D193" s="8" t="s">
        <v>14</v>
      </c>
      <c r="E193" s="52">
        <v>5.3993055555555551E-2</v>
      </c>
      <c r="F193" s="7" t="s">
        <v>437</v>
      </c>
      <c r="G193" s="80">
        <v>14.58</v>
      </c>
      <c r="H193" s="81">
        <f>E193/G193</f>
        <v>3.7032274043590913E-3</v>
      </c>
      <c r="I193" s="81" t="s">
        <v>466</v>
      </c>
      <c r="J193" s="10" t="s">
        <v>411</v>
      </c>
    </row>
    <row r="194" spans="1:10" x14ac:dyDescent="0.15">
      <c r="A194" s="11" t="s">
        <v>11</v>
      </c>
      <c r="B194" s="78">
        <v>40421</v>
      </c>
      <c r="C194" s="138">
        <v>41100</v>
      </c>
      <c r="D194" s="13"/>
      <c r="E194" s="54"/>
      <c r="F194" s="2"/>
      <c r="G194" s="83"/>
      <c r="H194" s="84"/>
      <c r="I194" s="84"/>
      <c r="J194" s="10" t="s">
        <v>411</v>
      </c>
    </row>
    <row r="195" spans="1:10" x14ac:dyDescent="0.15">
      <c r="A195" s="15">
        <f>SUM(G193:G199)</f>
        <v>55.45</v>
      </c>
      <c r="B195" s="78">
        <v>40422</v>
      </c>
      <c r="C195" s="138">
        <v>41101</v>
      </c>
      <c r="D195" s="13" t="s">
        <v>14</v>
      </c>
      <c r="E195" s="54">
        <v>4.8414351851851847E-2</v>
      </c>
      <c r="F195" s="12" t="s">
        <v>437</v>
      </c>
      <c r="G195" s="83">
        <v>12.76</v>
      </c>
      <c r="H195" s="84">
        <f>E195/G195</f>
        <v>3.7942282015557874E-3</v>
      </c>
      <c r="I195" s="84" t="s">
        <v>466</v>
      </c>
      <c r="J195" s="10" t="s">
        <v>411</v>
      </c>
    </row>
    <row r="196" spans="1:10" x14ac:dyDescent="0.15">
      <c r="A196" s="2"/>
      <c r="B196" s="78">
        <v>40423</v>
      </c>
      <c r="C196" s="138">
        <v>41102</v>
      </c>
      <c r="D196" s="13"/>
      <c r="E196" s="54"/>
      <c r="F196" s="2"/>
      <c r="G196" s="83"/>
      <c r="H196" s="84"/>
      <c r="I196" s="84"/>
      <c r="J196" s="10" t="s">
        <v>411</v>
      </c>
    </row>
    <row r="197" spans="1:10" x14ac:dyDescent="0.15">
      <c r="A197" s="2"/>
      <c r="B197" s="78">
        <v>40424</v>
      </c>
      <c r="C197" s="138">
        <v>41103</v>
      </c>
      <c r="D197" s="13" t="s">
        <v>14</v>
      </c>
      <c r="E197" s="54">
        <v>5.5740740740740737E-2</v>
      </c>
      <c r="F197" s="12">
        <v>134</v>
      </c>
      <c r="G197" s="83">
        <v>14.83</v>
      </c>
      <c r="H197" s="84">
        <f>E197/G197</f>
        <v>3.7586473864289101E-3</v>
      </c>
      <c r="I197" s="84" t="s">
        <v>466</v>
      </c>
      <c r="J197" s="10" t="s">
        <v>411</v>
      </c>
    </row>
    <row r="198" spans="1:10" x14ac:dyDescent="0.15">
      <c r="A198" s="2"/>
      <c r="B198" s="78">
        <v>40425</v>
      </c>
      <c r="C198" s="138">
        <v>41104</v>
      </c>
      <c r="D198" s="13" t="s">
        <v>446</v>
      </c>
      <c r="E198" s="54">
        <v>4.447916666666666E-2</v>
      </c>
      <c r="F198" s="12">
        <v>150</v>
      </c>
      <c r="G198" s="83">
        <v>13.28</v>
      </c>
      <c r="H198" s="84">
        <f>E198/G198</f>
        <v>3.3493348393574293E-3</v>
      </c>
      <c r="I198" s="84" t="s">
        <v>455</v>
      </c>
      <c r="J198" s="10" t="s">
        <v>411</v>
      </c>
    </row>
    <row r="199" spans="1:10" x14ac:dyDescent="0.15">
      <c r="A199" s="2"/>
      <c r="B199" s="85">
        <v>40426</v>
      </c>
      <c r="C199" s="90">
        <v>41105</v>
      </c>
      <c r="D199" s="13"/>
      <c r="E199" s="54"/>
      <c r="F199" s="12"/>
      <c r="G199" s="83"/>
      <c r="H199" s="84"/>
      <c r="I199" s="84"/>
      <c r="J199" s="10" t="s">
        <v>411</v>
      </c>
    </row>
    <row r="200" spans="1:10" x14ac:dyDescent="0.15">
      <c r="A200" s="4">
        <f>A193+1</f>
        <v>29</v>
      </c>
      <c r="B200" s="78">
        <v>40427</v>
      </c>
      <c r="C200" s="137">
        <v>41106</v>
      </c>
      <c r="D200" s="8"/>
      <c r="E200" s="52"/>
      <c r="F200" s="7"/>
      <c r="G200" s="80"/>
      <c r="H200" s="81"/>
      <c r="I200" s="81"/>
      <c r="J200" s="10" t="s">
        <v>411</v>
      </c>
    </row>
    <row r="201" spans="1:10" x14ac:dyDescent="0.15">
      <c r="A201" s="11" t="s">
        <v>11</v>
      </c>
      <c r="B201" s="78">
        <v>40428</v>
      </c>
      <c r="C201" s="138">
        <v>41107</v>
      </c>
      <c r="D201" s="13" t="s">
        <v>14</v>
      </c>
      <c r="E201" s="54">
        <v>5.3993055555555551E-2</v>
      </c>
      <c r="F201" s="2">
        <v>136</v>
      </c>
      <c r="G201" s="83">
        <v>14.83</v>
      </c>
      <c r="H201" s="84">
        <f>E201/G201</f>
        <v>3.6407994305836513E-3</v>
      </c>
      <c r="I201" s="84" t="s">
        <v>466</v>
      </c>
      <c r="J201" s="10" t="s">
        <v>411</v>
      </c>
    </row>
    <row r="202" spans="1:10" x14ac:dyDescent="0.15">
      <c r="A202" s="15">
        <f>SUM(G200:G206)</f>
        <v>40.589999999999996</v>
      </c>
      <c r="B202" s="78">
        <v>40429</v>
      </c>
      <c r="C202" s="138">
        <v>41108</v>
      </c>
      <c r="D202" s="13" t="s">
        <v>464</v>
      </c>
      <c r="E202" s="54">
        <v>4.3067129629629629E-2</v>
      </c>
      <c r="F202" s="12" t="s">
        <v>437</v>
      </c>
      <c r="G202" s="83">
        <v>12</v>
      </c>
      <c r="H202" s="84">
        <f>E202/G202</f>
        <v>3.5889274691358023E-3</v>
      </c>
      <c r="I202" s="84" t="s">
        <v>466</v>
      </c>
      <c r="J202" s="10" t="s">
        <v>411</v>
      </c>
    </row>
    <row r="203" spans="1:10" x14ac:dyDescent="0.15">
      <c r="A203" s="2"/>
      <c r="B203" s="78">
        <v>40430</v>
      </c>
      <c r="C203" s="138">
        <v>41109</v>
      </c>
      <c r="D203" s="13"/>
      <c r="E203" s="54"/>
      <c r="F203" s="2"/>
      <c r="G203" s="83"/>
      <c r="H203" s="84"/>
      <c r="I203" s="84"/>
      <c r="J203" s="10" t="s">
        <v>411</v>
      </c>
    </row>
    <row r="204" spans="1:10" x14ac:dyDescent="0.15">
      <c r="A204" s="2"/>
      <c r="B204" s="78">
        <v>40431</v>
      </c>
      <c r="C204" s="138">
        <v>41110</v>
      </c>
      <c r="D204" s="13" t="s">
        <v>14</v>
      </c>
      <c r="E204" s="54">
        <v>5.0347222222222217E-2</v>
      </c>
      <c r="F204" s="12" t="s">
        <v>437</v>
      </c>
      <c r="G204" s="83">
        <v>13.76</v>
      </c>
      <c r="H204" s="84">
        <f>E204/G204</f>
        <v>3.658955103359173E-3</v>
      </c>
      <c r="I204" s="84" t="s">
        <v>453</v>
      </c>
      <c r="J204" s="10" t="s">
        <v>411</v>
      </c>
    </row>
    <row r="205" spans="1:10" x14ac:dyDescent="0.15">
      <c r="A205" s="2"/>
      <c r="B205" s="78">
        <v>40432</v>
      </c>
      <c r="C205" s="138">
        <v>41111</v>
      </c>
      <c r="D205" s="13"/>
      <c r="E205" s="54"/>
      <c r="F205" s="12"/>
      <c r="G205" s="83"/>
      <c r="H205" s="84"/>
      <c r="I205" s="84"/>
      <c r="J205" s="10" t="s">
        <v>411</v>
      </c>
    </row>
    <row r="206" spans="1:10" x14ac:dyDescent="0.15">
      <c r="A206" s="2"/>
      <c r="B206" s="85">
        <v>40433</v>
      </c>
      <c r="C206" s="90">
        <v>41112</v>
      </c>
      <c r="D206" s="13"/>
      <c r="E206" s="54"/>
      <c r="F206" s="12"/>
      <c r="G206" s="83"/>
      <c r="H206" s="84"/>
      <c r="I206" s="84"/>
      <c r="J206" s="10" t="s">
        <v>411</v>
      </c>
    </row>
    <row r="207" spans="1:10" x14ac:dyDescent="0.15">
      <c r="A207" s="4">
        <f>A200+1</f>
        <v>30</v>
      </c>
      <c r="B207" s="78">
        <v>40434</v>
      </c>
      <c r="C207" s="137">
        <v>41113</v>
      </c>
      <c r="D207" s="8" t="s">
        <v>14</v>
      </c>
      <c r="E207" s="52">
        <v>6.5624999999999989E-2</v>
      </c>
      <c r="F207" s="7" t="s">
        <v>437</v>
      </c>
      <c r="G207" s="80">
        <v>17.98</v>
      </c>
      <c r="H207" s="81">
        <f>E207/G207</f>
        <v>3.6498887652947711E-3</v>
      </c>
      <c r="I207" s="81" t="s">
        <v>453</v>
      </c>
      <c r="J207" s="10" t="s">
        <v>411</v>
      </c>
    </row>
    <row r="208" spans="1:10" x14ac:dyDescent="0.15">
      <c r="A208" s="11" t="s">
        <v>11</v>
      </c>
      <c r="B208" s="78">
        <v>40435</v>
      </c>
      <c r="C208" s="138">
        <v>41114</v>
      </c>
      <c r="D208" s="13"/>
      <c r="E208" s="54"/>
      <c r="F208" s="2"/>
      <c r="G208" s="83"/>
      <c r="H208" s="84"/>
      <c r="I208" s="84"/>
      <c r="J208" s="10" t="s">
        <v>411</v>
      </c>
    </row>
    <row r="209" spans="1:10" x14ac:dyDescent="0.15">
      <c r="A209" s="15">
        <f>SUM(G207:G213)</f>
        <v>70.960000000000008</v>
      </c>
      <c r="B209" s="78">
        <v>40436</v>
      </c>
      <c r="C209" s="138">
        <v>41115</v>
      </c>
      <c r="D209" s="13" t="s">
        <v>464</v>
      </c>
      <c r="E209" s="54">
        <v>4.715277777777778E-2</v>
      </c>
      <c r="F209" s="12" t="s">
        <v>437</v>
      </c>
      <c r="G209" s="83">
        <v>13.14</v>
      </c>
      <c r="H209" s="84">
        <f>E209/G209</f>
        <v>3.5884914594960255E-3</v>
      </c>
      <c r="I209" s="84" t="s">
        <v>455</v>
      </c>
      <c r="J209" s="10" t="s">
        <v>411</v>
      </c>
    </row>
    <row r="210" spans="1:10" x14ac:dyDescent="0.15">
      <c r="A210" s="2"/>
      <c r="B210" s="78">
        <v>40437</v>
      </c>
      <c r="C210" s="138">
        <v>41116</v>
      </c>
      <c r="D210" s="13"/>
      <c r="E210" s="54"/>
      <c r="F210" s="2"/>
      <c r="G210" s="83"/>
      <c r="H210" s="84"/>
      <c r="I210" s="84"/>
      <c r="J210" s="10" t="s">
        <v>411</v>
      </c>
    </row>
    <row r="211" spans="1:10" x14ac:dyDescent="0.15">
      <c r="A211" s="2"/>
      <c r="B211" s="78">
        <v>40438</v>
      </c>
      <c r="C211" s="138">
        <v>41117</v>
      </c>
      <c r="D211" s="13"/>
      <c r="E211" s="54"/>
      <c r="F211" s="12"/>
      <c r="G211" s="83"/>
      <c r="H211" s="84"/>
      <c r="I211" s="84"/>
      <c r="J211" s="10" t="s">
        <v>411</v>
      </c>
    </row>
    <row r="212" spans="1:10" x14ac:dyDescent="0.15">
      <c r="A212" s="2"/>
      <c r="B212" s="78">
        <v>40439</v>
      </c>
      <c r="C212" s="138">
        <v>41118</v>
      </c>
      <c r="D212" s="13" t="s">
        <v>14</v>
      </c>
      <c r="E212" s="54">
        <v>5.5335648148148148E-2</v>
      </c>
      <c r="F212" s="12" t="s">
        <v>437</v>
      </c>
      <c r="G212" s="83">
        <v>14.76</v>
      </c>
      <c r="H212" s="84">
        <f>E212/G212</f>
        <v>3.7490276523135602E-3</v>
      </c>
      <c r="I212" s="84" t="s">
        <v>466</v>
      </c>
      <c r="J212" s="10" t="s">
        <v>411</v>
      </c>
    </row>
    <row r="213" spans="1:10" x14ac:dyDescent="0.15">
      <c r="A213" s="2"/>
      <c r="B213" s="85">
        <v>40440</v>
      </c>
      <c r="C213" s="90">
        <v>41119</v>
      </c>
      <c r="D213" s="13" t="s">
        <v>14</v>
      </c>
      <c r="E213" s="54">
        <v>9.4664351851851847E-2</v>
      </c>
      <c r="F213" s="12"/>
      <c r="G213" s="83">
        <v>25.08</v>
      </c>
      <c r="H213" s="146">
        <f>E213/G213</f>
        <v>3.7744956878728807E-3</v>
      </c>
      <c r="I213" s="84" t="s">
        <v>453</v>
      </c>
      <c r="J213" s="10" t="s">
        <v>411</v>
      </c>
    </row>
    <row r="214" spans="1:10" x14ac:dyDescent="0.15">
      <c r="A214" s="4">
        <f>A207+1</f>
        <v>31</v>
      </c>
      <c r="B214" s="78">
        <v>40441</v>
      </c>
      <c r="C214" s="137">
        <v>41120</v>
      </c>
      <c r="D214" s="8"/>
      <c r="E214" s="52"/>
      <c r="F214" s="7"/>
      <c r="G214" s="80"/>
      <c r="H214" s="81"/>
      <c r="I214" s="81"/>
      <c r="J214" s="10" t="s">
        <v>411</v>
      </c>
    </row>
    <row r="215" spans="1:10" x14ac:dyDescent="0.15">
      <c r="A215" s="11" t="s">
        <v>11</v>
      </c>
      <c r="B215" s="78">
        <v>40442</v>
      </c>
      <c r="C215" s="138">
        <v>41121</v>
      </c>
      <c r="D215" s="13" t="s">
        <v>14</v>
      </c>
      <c r="E215" s="54">
        <v>4.7789351851851854E-2</v>
      </c>
      <c r="F215" s="2" t="s">
        <v>437</v>
      </c>
      <c r="G215" s="83">
        <v>12.68</v>
      </c>
      <c r="H215" s="84">
        <f>E215/G215</f>
        <v>3.7688763290103988E-3</v>
      </c>
      <c r="I215" s="84" t="s">
        <v>455</v>
      </c>
      <c r="J215" s="10" t="s">
        <v>411</v>
      </c>
    </row>
    <row r="216" spans="1:10" x14ac:dyDescent="0.15">
      <c r="A216" s="15">
        <f>SUM(G214:G220)</f>
        <v>65.47</v>
      </c>
      <c r="B216" s="78">
        <v>40443</v>
      </c>
      <c r="C216" s="138">
        <v>41122</v>
      </c>
      <c r="D216" s="13" t="s">
        <v>14</v>
      </c>
      <c r="E216" s="54">
        <v>5.4398148148148147E-2</v>
      </c>
      <c r="F216" s="12" t="s">
        <v>437</v>
      </c>
      <c r="G216" s="83">
        <v>14.76</v>
      </c>
      <c r="H216" s="84">
        <f>E216/G216</f>
        <v>3.6855113921509587E-3</v>
      </c>
      <c r="I216" s="84" t="s">
        <v>466</v>
      </c>
      <c r="J216" s="10" t="s">
        <v>411</v>
      </c>
    </row>
    <row r="217" spans="1:10" x14ac:dyDescent="0.15">
      <c r="A217" s="2"/>
      <c r="B217" s="78">
        <v>40444</v>
      </c>
      <c r="C217" s="138">
        <v>41123</v>
      </c>
      <c r="D217" s="13"/>
      <c r="E217" s="54"/>
      <c r="F217" s="2"/>
      <c r="G217" s="83"/>
      <c r="H217" s="84"/>
      <c r="I217" s="84"/>
      <c r="J217" s="10" t="s">
        <v>411</v>
      </c>
    </row>
    <row r="218" spans="1:10" x14ac:dyDescent="0.15">
      <c r="A218" s="2"/>
      <c r="B218" s="78">
        <v>40445</v>
      </c>
      <c r="C218" s="138">
        <v>41124</v>
      </c>
      <c r="D218" s="13" t="s">
        <v>14</v>
      </c>
      <c r="E218" s="54">
        <v>4.9351851851851848E-2</v>
      </c>
      <c r="F218" s="12" t="s">
        <v>437</v>
      </c>
      <c r="G218" s="83">
        <v>13.24</v>
      </c>
      <c r="H218" s="84">
        <f>E218/G218</f>
        <v>3.7274812576927377E-3</v>
      </c>
      <c r="I218" s="84" t="s">
        <v>466</v>
      </c>
      <c r="J218" s="10" t="s">
        <v>411</v>
      </c>
    </row>
    <row r="219" spans="1:10" x14ac:dyDescent="0.15">
      <c r="A219" s="2"/>
      <c r="B219" s="78">
        <v>40446</v>
      </c>
      <c r="C219" s="138">
        <v>41125</v>
      </c>
      <c r="D219" s="13"/>
      <c r="E219" s="54"/>
      <c r="F219" s="12"/>
      <c r="G219" s="83"/>
      <c r="H219" s="84"/>
      <c r="I219" s="84"/>
      <c r="J219" s="10" t="s">
        <v>411</v>
      </c>
    </row>
    <row r="220" spans="1:10" x14ac:dyDescent="0.15">
      <c r="A220" s="2"/>
      <c r="B220" s="85">
        <v>40447</v>
      </c>
      <c r="C220" s="90">
        <v>41126</v>
      </c>
      <c r="D220" s="13" t="s">
        <v>14</v>
      </c>
      <c r="E220" s="54">
        <v>9.706018518518518E-2</v>
      </c>
      <c r="F220" s="12" t="s">
        <v>437</v>
      </c>
      <c r="G220" s="83">
        <v>24.79</v>
      </c>
      <c r="H220" s="146">
        <f>E220/G220</f>
        <v>3.9152958929078328E-3</v>
      </c>
      <c r="I220" s="84" t="s">
        <v>453</v>
      </c>
      <c r="J220" s="10" t="s">
        <v>411</v>
      </c>
    </row>
    <row r="221" spans="1:10" x14ac:dyDescent="0.15">
      <c r="A221" s="4">
        <f>A214+1</f>
        <v>32</v>
      </c>
      <c r="B221" s="78">
        <v>40448</v>
      </c>
      <c r="C221" s="137">
        <v>41127</v>
      </c>
      <c r="D221" s="8"/>
      <c r="E221" s="52"/>
      <c r="F221" s="7"/>
      <c r="G221" s="80"/>
      <c r="H221" s="81"/>
      <c r="I221" s="81"/>
      <c r="J221" s="10" t="s">
        <v>411</v>
      </c>
    </row>
    <row r="222" spans="1:10" x14ac:dyDescent="0.15">
      <c r="A222" s="11" t="s">
        <v>11</v>
      </c>
      <c r="B222" s="78">
        <v>40449</v>
      </c>
      <c r="C222" s="138">
        <v>41128</v>
      </c>
      <c r="D222" s="13" t="s">
        <v>14</v>
      </c>
      <c r="E222" s="54">
        <v>4.4918981481481476E-2</v>
      </c>
      <c r="F222" s="2" t="s">
        <v>437</v>
      </c>
      <c r="G222" s="83">
        <v>12.25</v>
      </c>
      <c r="H222" s="84">
        <f>E222/G222</f>
        <v>3.666855631141345E-3</v>
      </c>
      <c r="I222" s="84" t="s">
        <v>436</v>
      </c>
      <c r="J222" s="10" t="s">
        <v>411</v>
      </c>
    </row>
    <row r="223" spans="1:10" x14ac:dyDescent="0.15">
      <c r="A223" s="15">
        <f>SUM(G221:G227)</f>
        <v>65.349999999999994</v>
      </c>
      <c r="B223" s="78">
        <v>40450</v>
      </c>
      <c r="C223" s="138">
        <v>41129</v>
      </c>
      <c r="D223" s="13"/>
      <c r="E223" s="54"/>
      <c r="F223" s="12"/>
      <c r="G223" s="83"/>
      <c r="H223" s="84"/>
      <c r="I223" s="84"/>
      <c r="J223" s="10" t="s">
        <v>411</v>
      </c>
    </row>
    <row r="224" spans="1:10" x14ac:dyDescent="0.15">
      <c r="A224" s="2"/>
      <c r="B224" s="78">
        <v>40451</v>
      </c>
      <c r="C224" s="138">
        <v>41130</v>
      </c>
      <c r="D224" s="13"/>
      <c r="E224" s="54"/>
      <c r="F224" s="2"/>
      <c r="G224" s="83"/>
      <c r="H224" s="84"/>
      <c r="I224" s="84"/>
      <c r="J224" s="10" t="s">
        <v>411</v>
      </c>
    </row>
    <row r="225" spans="1:10" x14ac:dyDescent="0.15">
      <c r="A225" s="2"/>
      <c r="B225" s="78">
        <v>40452</v>
      </c>
      <c r="C225" s="138">
        <v>41131</v>
      </c>
      <c r="D225" s="13" t="s">
        <v>465</v>
      </c>
      <c r="E225" s="54">
        <v>3.2222222222222222E-2</v>
      </c>
      <c r="F225" s="12" t="s">
        <v>437</v>
      </c>
      <c r="G225" s="83">
        <v>9.61</v>
      </c>
      <c r="H225" s="84">
        <f>E225/G225</f>
        <v>3.3529887848306162E-3</v>
      </c>
      <c r="I225" s="84" t="s">
        <v>436</v>
      </c>
      <c r="J225" s="10" t="s">
        <v>411</v>
      </c>
    </row>
    <row r="226" spans="1:10" x14ac:dyDescent="0.15">
      <c r="A226" s="2"/>
      <c r="B226" s="78">
        <v>40453</v>
      </c>
      <c r="C226" s="138">
        <v>41132</v>
      </c>
      <c r="D226" s="13" t="s">
        <v>464</v>
      </c>
      <c r="E226" s="54">
        <v>4.3935185185185181E-2</v>
      </c>
      <c r="F226" s="12" t="s">
        <v>437</v>
      </c>
      <c r="G226" s="83">
        <v>12.22</v>
      </c>
      <c r="H226" s="84">
        <f>E226/G226</f>
        <v>3.5953506698187545E-3</v>
      </c>
      <c r="I226" s="84" t="s">
        <v>434</v>
      </c>
      <c r="J226" s="10" t="s">
        <v>411</v>
      </c>
    </row>
    <row r="227" spans="1:10" x14ac:dyDescent="0.15">
      <c r="A227" s="2"/>
      <c r="B227" s="85">
        <v>40454</v>
      </c>
      <c r="C227" s="90">
        <v>41133</v>
      </c>
      <c r="D227" s="13" t="s">
        <v>14</v>
      </c>
      <c r="E227" s="54">
        <v>0.11543981481481481</v>
      </c>
      <c r="F227" s="12" t="s">
        <v>437</v>
      </c>
      <c r="G227" s="83">
        <v>31.27</v>
      </c>
      <c r="H227" s="146">
        <f>E227/G227</f>
        <v>3.6917113787916477E-3</v>
      </c>
      <c r="I227" s="84" t="s">
        <v>436</v>
      </c>
      <c r="J227" s="10" t="s">
        <v>411</v>
      </c>
    </row>
    <row r="228" spans="1:10" x14ac:dyDescent="0.15">
      <c r="A228" s="4">
        <f>A221+1</f>
        <v>33</v>
      </c>
      <c r="B228" s="78">
        <v>40455</v>
      </c>
      <c r="C228" s="137">
        <v>41134</v>
      </c>
      <c r="D228" s="8"/>
      <c r="E228" s="52"/>
      <c r="F228" s="7"/>
      <c r="G228" s="80"/>
      <c r="H228" s="81"/>
      <c r="I228" s="81"/>
      <c r="J228" s="10" t="s">
        <v>411</v>
      </c>
    </row>
    <row r="229" spans="1:10" x14ac:dyDescent="0.15">
      <c r="A229" s="11" t="s">
        <v>11</v>
      </c>
      <c r="B229" s="78">
        <v>40456</v>
      </c>
      <c r="C229" s="138">
        <v>41135</v>
      </c>
      <c r="D229" s="13"/>
      <c r="E229" s="54"/>
      <c r="F229" s="2"/>
      <c r="G229" s="83"/>
      <c r="H229" s="84"/>
      <c r="I229" s="84"/>
      <c r="J229" s="10" t="s">
        <v>411</v>
      </c>
    </row>
    <row r="230" spans="1:10" x14ac:dyDescent="0.15">
      <c r="A230" s="15">
        <f>SUM(G228:G234)</f>
        <v>43.03</v>
      </c>
      <c r="B230" s="78">
        <v>40457</v>
      </c>
      <c r="C230" s="138">
        <v>41136</v>
      </c>
      <c r="D230" s="13"/>
      <c r="E230" s="54"/>
      <c r="F230" s="12"/>
      <c r="G230" s="83"/>
      <c r="H230" s="84"/>
      <c r="I230" s="84"/>
      <c r="J230" s="10" t="s">
        <v>411</v>
      </c>
    </row>
    <row r="231" spans="1:10" x14ac:dyDescent="0.15">
      <c r="A231" s="2"/>
      <c r="B231" s="78">
        <v>40458</v>
      </c>
      <c r="C231" s="138">
        <v>41137</v>
      </c>
      <c r="D231" s="13" t="s">
        <v>14</v>
      </c>
      <c r="E231" s="54">
        <v>3.8587962962962963E-2</v>
      </c>
      <c r="F231" s="2" t="s">
        <v>437</v>
      </c>
      <c r="G231" s="83">
        <v>10.4</v>
      </c>
      <c r="H231" s="84">
        <f>E231/G231</f>
        <v>3.7103810541310538E-3</v>
      </c>
      <c r="I231" s="84" t="s">
        <v>466</v>
      </c>
      <c r="J231" s="10" t="s">
        <v>411</v>
      </c>
    </row>
    <row r="232" spans="1:10" x14ac:dyDescent="0.15">
      <c r="A232" s="2"/>
      <c r="B232" s="78">
        <v>40459</v>
      </c>
      <c r="C232" s="138">
        <v>41138</v>
      </c>
      <c r="D232" s="13"/>
      <c r="E232" s="54"/>
      <c r="F232" s="12"/>
      <c r="G232" s="83"/>
      <c r="H232" s="84"/>
      <c r="I232" s="84"/>
      <c r="J232" s="10" t="s">
        <v>411</v>
      </c>
    </row>
    <row r="233" spans="1:10" x14ac:dyDescent="0.15">
      <c r="A233" s="2"/>
      <c r="B233" s="78">
        <v>40460</v>
      </c>
      <c r="C233" s="138">
        <v>41139</v>
      </c>
      <c r="D233" s="13" t="s">
        <v>14</v>
      </c>
      <c r="E233" s="54">
        <v>4.5682870370370367E-2</v>
      </c>
      <c r="F233" s="12" t="s">
        <v>437</v>
      </c>
      <c r="G233" s="83">
        <v>12.28</v>
      </c>
      <c r="H233" s="84">
        <f>E233/G233</f>
        <v>3.7201034503558934E-3</v>
      </c>
      <c r="I233" s="84" t="s">
        <v>466</v>
      </c>
      <c r="J233" s="10" t="s">
        <v>411</v>
      </c>
    </row>
    <row r="234" spans="1:10" x14ac:dyDescent="0.15">
      <c r="A234" s="2"/>
      <c r="B234" s="85">
        <v>40461</v>
      </c>
      <c r="C234" s="90">
        <v>41140</v>
      </c>
      <c r="D234" s="13" t="s">
        <v>14</v>
      </c>
      <c r="E234" s="54">
        <v>7.8449074074074074E-2</v>
      </c>
      <c r="F234" s="12" t="s">
        <v>437</v>
      </c>
      <c r="G234" s="83">
        <v>20.350000000000001</v>
      </c>
      <c r="H234" s="146">
        <f>E234/G234</f>
        <v>3.8549913549913548E-3</v>
      </c>
      <c r="I234" s="84" t="s">
        <v>466</v>
      </c>
      <c r="J234" s="10" t="s">
        <v>411</v>
      </c>
    </row>
    <row r="235" spans="1:10" x14ac:dyDescent="0.15">
      <c r="A235" s="4">
        <f>A228+1</f>
        <v>34</v>
      </c>
      <c r="B235" s="78">
        <v>40462</v>
      </c>
      <c r="C235" s="137">
        <v>41141</v>
      </c>
      <c r="D235" s="8"/>
      <c r="E235" s="52"/>
      <c r="F235" s="7"/>
      <c r="G235" s="80"/>
      <c r="H235" s="81"/>
      <c r="I235" s="81"/>
      <c r="J235" s="10" t="s">
        <v>411</v>
      </c>
    </row>
    <row r="236" spans="1:10" x14ac:dyDescent="0.15">
      <c r="A236" s="11" t="s">
        <v>11</v>
      </c>
      <c r="B236" s="78">
        <v>40463</v>
      </c>
      <c r="C236" s="138">
        <v>41142</v>
      </c>
      <c r="D236" s="13" t="s">
        <v>14</v>
      </c>
      <c r="E236" s="54">
        <v>4.7268518518518515E-2</v>
      </c>
      <c r="F236" s="2" t="s">
        <v>437</v>
      </c>
      <c r="G236" s="83">
        <v>12.64</v>
      </c>
      <c r="H236" s="84">
        <f>E236/G236</f>
        <v>3.7395979840600091E-3</v>
      </c>
      <c r="I236" s="84" t="s">
        <v>455</v>
      </c>
      <c r="J236" s="10" t="s">
        <v>411</v>
      </c>
    </row>
    <row r="237" spans="1:10" x14ac:dyDescent="0.15">
      <c r="A237" s="15">
        <f>SUM(G235:G241)</f>
        <v>43.56</v>
      </c>
      <c r="B237" s="78">
        <v>40464</v>
      </c>
      <c r="C237" s="138">
        <v>41143</v>
      </c>
      <c r="D237" s="13"/>
      <c r="E237" s="54"/>
      <c r="F237" s="12"/>
      <c r="G237" s="83"/>
      <c r="H237" s="84"/>
      <c r="I237" s="84"/>
      <c r="J237" s="10" t="s">
        <v>411</v>
      </c>
    </row>
    <row r="238" spans="1:10" x14ac:dyDescent="0.15">
      <c r="A238" s="2"/>
      <c r="B238" s="78">
        <v>40465</v>
      </c>
      <c r="C238" s="138">
        <v>41144</v>
      </c>
      <c r="D238" s="13"/>
      <c r="E238" s="54"/>
      <c r="F238" s="2"/>
      <c r="G238" s="83"/>
      <c r="H238" s="84"/>
      <c r="I238" s="84"/>
      <c r="J238" s="10" t="s">
        <v>411</v>
      </c>
    </row>
    <row r="239" spans="1:10" x14ac:dyDescent="0.15">
      <c r="A239" s="2"/>
      <c r="B239" s="78">
        <v>40466</v>
      </c>
      <c r="C239" s="138">
        <v>41145</v>
      </c>
      <c r="D239" s="13"/>
      <c r="E239" s="54"/>
      <c r="F239" s="12"/>
      <c r="G239" s="83"/>
      <c r="H239" s="84"/>
      <c r="I239" s="84"/>
      <c r="J239" s="10" t="s">
        <v>411</v>
      </c>
    </row>
    <row r="240" spans="1:10" x14ac:dyDescent="0.15">
      <c r="A240" s="2"/>
      <c r="B240" s="78">
        <v>40467</v>
      </c>
      <c r="C240" s="138">
        <v>41146</v>
      </c>
      <c r="D240" s="13" t="s">
        <v>14</v>
      </c>
      <c r="E240" s="54">
        <v>5.2349537037037035E-2</v>
      </c>
      <c r="F240" s="12" t="s">
        <v>437</v>
      </c>
      <c r="G240" s="83">
        <v>14.09</v>
      </c>
      <c r="H240" s="84">
        <f>E240/G240</f>
        <v>3.7153681360565676E-3</v>
      </c>
      <c r="I240" s="84" t="s">
        <v>466</v>
      </c>
      <c r="J240" s="10" t="s">
        <v>411</v>
      </c>
    </row>
    <row r="241" spans="1:11" x14ac:dyDescent="0.15">
      <c r="A241" s="2"/>
      <c r="B241" s="85">
        <v>40468</v>
      </c>
      <c r="C241" s="90">
        <v>41147</v>
      </c>
      <c r="D241" s="13" t="s">
        <v>14</v>
      </c>
      <c r="E241" s="54">
        <v>6.173611111111111E-2</v>
      </c>
      <c r="F241" s="12" t="s">
        <v>437</v>
      </c>
      <c r="G241" s="83">
        <v>16.829999999999998</v>
      </c>
      <c r="H241" s="146">
        <f>E241/G241</f>
        <v>3.6682181290024428E-3</v>
      </c>
      <c r="I241" s="84" t="s">
        <v>453</v>
      </c>
      <c r="J241" s="10" t="s">
        <v>411</v>
      </c>
    </row>
    <row r="242" spans="1:11" x14ac:dyDescent="0.15">
      <c r="A242" s="4">
        <f>A235+1</f>
        <v>35</v>
      </c>
      <c r="B242" s="78">
        <v>40469</v>
      </c>
      <c r="C242" s="137">
        <v>41148</v>
      </c>
      <c r="D242" s="8"/>
      <c r="E242" s="52"/>
      <c r="F242" s="7"/>
      <c r="G242" s="80"/>
      <c r="H242" s="81"/>
      <c r="I242" s="81"/>
      <c r="J242" s="10" t="s">
        <v>411</v>
      </c>
    </row>
    <row r="243" spans="1:11" x14ac:dyDescent="0.15">
      <c r="A243" s="11" t="s">
        <v>11</v>
      </c>
      <c r="B243" s="78">
        <v>40470</v>
      </c>
      <c r="C243" s="138">
        <v>41149</v>
      </c>
      <c r="D243" s="13" t="s">
        <v>14</v>
      </c>
      <c r="E243" s="54">
        <v>4.7719907407407405E-2</v>
      </c>
      <c r="F243" s="2" t="s">
        <v>437</v>
      </c>
      <c r="G243" s="83">
        <v>13.2</v>
      </c>
      <c r="H243" s="84">
        <f>E243/G243</f>
        <v>3.6151445005611674E-3</v>
      </c>
      <c r="I243" s="84" t="s">
        <v>455</v>
      </c>
      <c r="J243" s="10" t="s">
        <v>411</v>
      </c>
    </row>
    <row r="244" spans="1:11" x14ac:dyDescent="0.15">
      <c r="A244" s="15">
        <f>SUM(G242:G248)</f>
        <v>62.519999999999996</v>
      </c>
      <c r="B244" s="78">
        <v>40471</v>
      </c>
      <c r="C244" s="138">
        <v>41150</v>
      </c>
      <c r="D244" s="13" t="s">
        <v>14</v>
      </c>
      <c r="E244" s="54">
        <v>5.350694444444444E-2</v>
      </c>
      <c r="F244" s="12" t="s">
        <v>437</v>
      </c>
      <c r="G244" s="83">
        <v>14.77</v>
      </c>
      <c r="H244" s="84">
        <f>E244/G244</f>
        <v>3.6226773489806663E-3</v>
      </c>
      <c r="I244" s="84" t="s">
        <v>466</v>
      </c>
      <c r="J244" s="10" t="s">
        <v>411</v>
      </c>
    </row>
    <row r="245" spans="1:11" x14ac:dyDescent="0.15">
      <c r="A245" s="2"/>
      <c r="B245" s="78">
        <v>40472</v>
      </c>
      <c r="C245" s="138">
        <v>41151</v>
      </c>
      <c r="D245" s="13"/>
      <c r="E245" s="54"/>
      <c r="F245" s="2"/>
      <c r="G245" s="83"/>
      <c r="H245" s="84"/>
      <c r="I245" s="84"/>
      <c r="J245" s="10" t="s">
        <v>411</v>
      </c>
    </row>
    <row r="246" spans="1:11" x14ac:dyDescent="0.15">
      <c r="A246" s="2"/>
      <c r="B246" s="78">
        <v>40473</v>
      </c>
      <c r="C246" s="138">
        <v>41152</v>
      </c>
      <c r="D246" s="13"/>
      <c r="E246" s="54"/>
      <c r="F246" s="12"/>
      <c r="G246" s="83"/>
      <c r="H246" s="84"/>
      <c r="I246" s="84"/>
      <c r="J246" s="10" t="s">
        <v>411</v>
      </c>
    </row>
    <row r="247" spans="1:11" x14ac:dyDescent="0.15">
      <c r="A247" s="2"/>
      <c r="B247" s="78">
        <v>40474</v>
      </c>
      <c r="C247" s="138">
        <v>41153</v>
      </c>
      <c r="D247" s="13" t="s">
        <v>464</v>
      </c>
      <c r="E247" s="54">
        <v>4.3703703703703703E-2</v>
      </c>
      <c r="F247" s="12" t="s">
        <v>437</v>
      </c>
      <c r="G247" s="83">
        <v>12.07</v>
      </c>
      <c r="H247" s="84">
        <f>E247/G247</f>
        <v>3.6208536622786827E-3</v>
      </c>
      <c r="I247" s="84" t="s">
        <v>466</v>
      </c>
      <c r="J247" s="10" t="s">
        <v>411</v>
      </c>
    </row>
    <row r="248" spans="1:11" x14ac:dyDescent="0.15">
      <c r="A248" s="2"/>
      <c r="B248" s="85">
        <v>40475</v>
      </c>
      <c r="C248" s="90">
        <v>41154</v>
      </c>
      <c r="D248" s="13" t="s">
        <v>14</v>
      </c>
      <c r="E248" s="54">
        <v>8.233796296296296E-2</v>
      </c>
      <c r="F248" s="12" t="s">
        <v>437</v>
      </c>
      <c r="G248" s="83">
        <v>22.48</v>
      </c>
      <c r="H248" s="146">
        <f>E248/G248</f>
        <v>3.6627207723737972E-3</v>
      </c>
      <c r="I248" s="84" t="s">
        <v>453</v>
      </c>
      <c r="J248" s="10" t="s">
        <v>411</v>
      </c>
    </row>
    <row r="249" spans="1:11" x14ac:dyDescent="0.15">
      <c r="A249" s="4">
        <f>A242+1</f>
        <v>36</v>
      </c>
      <c r="B249" s="78">
        <v>40476</v>
      </c>
      <c r="C249" s="137">
        <v>41155</v>
      </c>
      <c r="D249" s="8"/>
      <c r="E249" s="52"/>
      <c r="F249" s="7"/>
      <c r="G249" s="80"/>
      <c r="H249" s="81"/>
      <c r="I249" s="81"/>
      <c r="J249" s="10" t="s">
        <v>411</v>
      </c>
    </row>
    <row r="250" spans="1:11" x14ac:dyDescent="0.15">
      <c r="A250" s="11" t="s">
        <v>11</v>
      </c>
      <c r="B250" s="78">
        <v>40477</v>
      </c>
      <c r="C250" s="138">
        <v>41156</v>
      </c>
      <c r="D250" s="13" t="s">
        <v>14</v>
      </c>
      <c r="E250" s="54">
        <v>4.8414351851851847E-2</v>
      </c>
      <c r="F250" s="2" t="s">
        <v>437</v>
      </c>
      <c r="G250" s="83">
        <v>13.73</v>
      </c>
      <c r="H250" s="84">
        <f>E250/G250</f>
        <v>3.5261727495886266E-3</v>
      </c>
      <c r="I250" s="84" t="s">
        <v>466</v>
      </c>
      <c r="J250" s="10" t="s">
        <v>411</v>
      </c>
    </row>
    <row r="251" spans="1:11" x14ac:dyDescent="0.15">
      <c r="A251" s="15">
        <f>SUM(G249:G255)</f>
        <v>40.870000000000005</v>
      </c>
      <c r="B251" s="78">
        <v>40478</v>
      </c>
      <c r="C251" s="138">
        <v>41157</v>
      </c>
      <c r="D251" s="13"/>
      <c r="E251" s="54"/>
      <c r="F251" s="12"/>
      <c r="G251" s="83"/>
      <c r="H251" s="84"/>
      <c r="I251" s="84"/>
      <c r="J251" s="10" t="s">
        <v>411</v>
      </c>
      <c r="K251" s="147"/>
    </row>
    <row r="252" spans="1:11" x14ac:dyDescent="0.15">
      <c r="A252" s="2"/>
      <c r="B252" s="78">
        <v>40479</v>
      </c>
      <c r="C252" s="138">
        <v>41158</v>
      </c>
      <c r="D252" s="13"/>
      <c r="E252" s="54"/>
      <c r="F252" s="2"/>
      <c r="G252" s="83"/>
      <c r="H252" s="84"/>
      <c r="I252" s="84"/>
      <c r="J252" s="10" t="s">
        <v>411</v>
      </c>
    </row>
    <row r="253" spans="1:11" x14ac:dyDescent="0.15">
      <c r="A253" s="2"/>
      <c r="B253" s="78">
        <v>40480</v>
      </c>
      <c r="C253" s="138">
        <v>41159</v>
      </c>
      <c r="D253" s="13"/>
      <c r="E253" s="54"/>
      <c r="F253" s="12"/>
      <c r="G253" s="83"/>
      <c r="H253" s="84"/>
      <c r="I253" s="84"/>
      <c r="J253" s="10" t="s">
        <v>411</v>
      </c>
    </row>
    <row r="254" spans="1:11" x14ac:dyDescent="0.15">
      <c r="A254" s="2"/>
      <c r="B254" s="78">
        <v>40481</v>
      </c>
      <c r="C254" s="138">
        <v>41160</v>
      </c>
      <c r="D254" s="13" t="s">
        <v>14</v>
      </c>
      <c r="E254" s="54">
        <v>3.8530092592592595E-2</v>
      </c>
      <c r="F254" s="12" t="s">
        <v>437</v>
      </c>
      <c r="G254" s="83">
        <v>10.32</v>
      </c>
      <c r="H254" s="84">
        <f>E254/G254</f>
        <v>3.7335361039333909E-3</v>
      </c>
      <c r="I254" s="84" t="s">
        <v>466</v>
      </c>
      <c r="J254" s="10" t="s">
        <v>411</v>
      </c>
    </row>
    <row r="255" spans="1:11" x14ac:dyDescent="0.15">
      <c r="A255" s="2"/>
      <c r="B255" s="85">
        <v>40482</v>
      </c>
      <c r="C255" s="90">
        <v>41161</v>
      </c>
      <c r="D255" s="13" t="s">
        <v>464</v>
      </c>
      <c r="E255" s="54">
        <v>5.9826388888888887E-2</v>
      </c>
      <c r="F255" s="12" t="s">
        <v>437</v>
      </c>
      <c r="G255" s="83">
        <v>16.82</v>
      </c>
      <c r="H255" s="146">
        <f>E255/G255</f>
        <v>3.5568602193156293E-3</v>
      </c>
      <c r="I255" s="84" t="s">
        <v>466</v>
      </c>
      <c r="J255" s="10" t="s">
        <v>411</v>
      </c>
    </row>
    <row r="256" spans="1:11" x14ac:dyDescent="0.15">
      <c r="A256" s="4">
        <f>A249+1</f>
        <v>37</v>
      </c>
      <c r="B256" s="78">
        <v>40483</v>
      </c>
      <c r="C256" s="137">
        <v>41162</v>
      </c>
      <c r="D256" s="8"/>
      <c r="E256" s="52"/>
      <c r="F256" s="7"/>
      <c r="G256" s="80"/>
      <c r="H256" s="81"/>
      <c r="I256" s="81"/>
      <c r="J256" s="10" t="s">
        <v>411</v>
      </c>
    </row>
    <row r="257" spans="1:10" x14ac:dyDescent="0.15">
      <c r="A257" s="11" t="s">
        <v>11</v>
      </c>
      <c r="B257" s="78">
        <v>40484</v>
      </c>
      <c r="C257" s="138">
        <v>41163</v>
      </c>
      <c r="D257" s="13"/>
      <c r="E257" s="54"/>
      <c r="F257" s="2"/>
      <c r="G257" s="83"/>
      <c r="H257" s="84"/>
      <c r="I257" s="84"/>
      <c r="J257" s="10" t="s">
        <v>411</v>
      </c>
    </row>
    <row r="258" spans="1:10" x14ac:dyDescent="0.15">
      <c r="A258" s="15">
        <f>SUM(G256:G262)</f>
        <v>47.15</v>
      </c>
      <c r="B258" s="78">
        <v>40485</v>
      </c>
      <c r="C258" s="138">
        <v>41164</v>
      </c>
      <c r="D258" s="13" t="s">
        <v>14</v>
      </c>
      <c r="E258" s="54">
        <v>5.3391203703703705E-2</v>
      </c>
      <c r="F258" s="12" t="s">
        <v>437</v>
      </c>
      <c r="G258" s="83">
        <v>14.79</v>
      </c>
      <c r="H258" s="84">
        <f>E258/G258</f>
        <v>3.6099529211429146E-3</v>
      </c>
      <c r="I258" s="84" t="s">
        <v>466</v>
      </c>
      <c r="J258" s="10" t="s">
        <v>411</v>
      </c>
    </row>
    <row r="259" spans="1:10" x14ac:dyDescent="0.15">
      <c r="A259" s="2"/>
      <c r="B259" s="78">
        <v>40486</v>
      </c>
      <c r="C259" s="138">
        <v>41165</v>
      </c>
      <c r="D259" s="13"/>
      <c r="E259" s="54"/>
      <c r="F259" s="2"/>
      <c r="G259" s="83"/>
      <c r="H259" s="84"/>
      <c r="I259" s="84"/>
      <c r="J259" s="10" t="s">
        <v>411</v>
      </c>
    </row>
    <row r="260" spans="1:10" x14ac:dyDescent="0.15">
      <c r="A260" s="2"/>
      <c r="B260" s="78">
        <v>40487</v>
      </c>
      <c r="C260" s="138">
        <v>41166</v>
      </c>
      <c r="D260" s="13"/>
      <c r="E260" s="54"/>
      <c r="F260" s="12"/>
      <c r="G260" s="83"/>
      <c r="H260" s="84"/>
      <c r="I260" s="84"/>
      <c r="J260" s="10" t="s">
        <v>411</v>
      </c>
    </row>
    <row r="261" spans="1:10" x14ac:dyDescent="0.15">
      <c r="A261" s="2"/>
      <c r="B261" s="78">
        <v>40488</v>
      </c>
      <c r="C261" s="138">
        <v>41167</v>
      </c>
      <c r="D261" s="148" t="s">
        <v>158</v>
      </c>
      <c r="E261" s="149">
        <v>3.4965277777777783E-2</v>
      </c>
      <c r="F261" s="28" t="s">
        <v>437</v>
      </c>
      <c r="G261" s="150">
        <v>12.08</v>
      </c>
      <c r="H261" s="151">
        <f>E261/G261</f>
        <v>2.8944766372332601E-3</v>
      </c>
      <c r="I261" s="151" t="s">
        <v>466</v>
      </c>
      <c r="J261" s="10" t="s">
        <v>411</v>
      </c>
    </row>
    <row r="262" spans="1:10" x14ac:dyDescent="0.15">
      <c r="A262" s="2"/>
      <c r="B262" s="85">
        <v>40489</v>
      </c>
      <c r="C262" s="90">
        <v>41168</v>
      </c>
      <c r="D262" s="13" t="s">
        <v>14</v>
      </c>
      <c r="E262" s="54">
        <v>7.6631944444444447E-2</v>
      </c>
      <c r="F262" s="12" t="s">
        <v>437</v>
      </c>
      <c r="G262" s="83">
        <v>20.28</v>
      </c>
      <c r="H262" s="146">
        <f>E262/G262</f>
        <v>3.7786954854262546E-3</v>
      </c>
      <c r="I262" s="84" t="s">
        <v>453</v>
      </c>
      <c r="J262" s="10" t="s">
        <v>411</v>
      </c>
    </row>
    <row r="263" spans="1:10" x14ac:dyDescent="0.15">
      <c r="A263" s="4">
        <f>A256+1</f>
        <v>38</v>
      </c>
      <c r="B263" s="78">
        <v>40490</v>
      </c>
      <c r="C263" s="137">
        <v>41169</v>
      </c>
      <c r="D263" s="8"/>
      <c r="E263" s="52"/>
      <c r="F263" s="7"/>
      <c r="G263" s="80"/>
      <c r="H263" s="81"/>
      <c r="I263" s="81"/>
      <c r="J263" s="10" t="s">
        <v>411</v>
      </c>
    </row>
    <row r="264" spans="1:10" x14ac:dyDescent="0.15">
      <c r="A264" s="11" t="s">
        <v>11</v>
      </c>
      <c r="B264" s="78">
        <v>40491</v>
      </c>
      <c r="C264" s="138">
        <v>41170</v>
      </c>
      <c r="D264" s="13" t="s">
        <v>14</v>
      </c>
      <c r="E264" s="54">
        <v>5.3043981481481484E-2</v>
      </c>
      <c r="F264" s="2" t="s">
        <v>437</v>
      </c>
      <c r="G264" s="83">
        <v>14.76</v>
      </c>
      <c r="H264" s="84">
        <f>E264/G264</f>
        <v>3.5937656830272008E-3</v>
      </c>
      <c r="I264" s="84" t="s">
        <v>455</v>
      </c>
      <c r="J264" s="10" t="s">
        <v>411</v>
      </c>
    </row>
    <row r="265" spans="1:10" x14ac:dyDescent="0.15">
      <c r="A265" s="15">
        <f>SUM(G263:G269)</f>
        <v>75.31</v>
      </c>
      <c r="B265" s="78">
        <v>40492</v>
      </c>
      <c r="C265" s="138">
        <v>41171</v>
      </c>
      <c r="D265" s="13" t="s">
        <v>464</v>
      </c>
      <c r="E265" s="54">
        <v>4.4988425925925918E-2</v>
      </c>
      <c r="F265" s="12" t="s">
        <v>437</v>
      </c>
      <c r="G265" s="83">
        <v>12.62</v>
      </c>
      <c r="H265" s="84">
        <f>E265/G265</f>
        <v>3.5648514996771729E-3</v>
      </c>
      <c r="I265" s="84" t="s">
        <v>466</v>
      </c>
      <c r="J265" s="10" t="s">
        <v>411</v>
      </c>
    </row>
    <row r="266" spans="1:10" x14ac:dyDescent="0.15">
      <c r="A266" s="2"/>
      <c r="B266" s="78">
        <v>40493</v>
      </c>
      <c r="C266" s="138">
        <v>41172</v>
      </c>
      <c r="D266" s="13"/>
      <c r="E266" s="54"/>
      <c r="F266" s="2"/>
      <c r="G266" s="83"/>
      <c r="H266" s="84"/>
      <c r="I266" s="84"/>
      <c r="J266" s="10" t="s">
        <v>411</v>
      </c>
    </row>
    <row r="267" spans="1:10" x14ac:dyDescent="0.15">
      <c r="A267" s="2"/>
      <c r="B267" s="78">
        <v>40494</v>
      </c>
      <c r="C267" s="138">
        <v>41173</v>
      </c>
      <c r="D267" s="13" t="s">
        <v>14</v>
      </c>
      <c r="E267" s="54">
        <v>4.7928240740740737E-2</v>
      </c>
      <c r="F267" s="12" t="s">
        <v>437</v>
      </c>
      <c r="G267" s="83">
        <v>13.05</v>
      </c>
      <c r="H267" s="84">
        <f>E267/G267</f>
        <v>3.6726621257272595E-3</v>
      </c>
      <c r="I267" s="84" t="s">
        <v>466</v>
      </c>
      <c r="J267" s="10" t="s">
        <v>411</v>
      </c>
    </row>
    <row r="268" spans="1:10" x14ac:dyDescent="0.15">
      <c r="A268" s="2"/>
      <c r="B268" s="78">
        <v>40495</v>
      </c>
      <c r="C268" s="138">
        <v>41174</v>
      </c>
      <c r="D268" s="13"/>
      <c r="E268" s="54"/>
      <c r="F268" s="12"/>
      <c r="G268" s="83"/>
      <c r="H268" s="84"/>
      <c r="I268" s="84"/>
      <c r="J268" s="10" t="s">
        <v>411</v>
      </c>
    </row>
    <row r="269" spans="1:10" x14ac:dyDescent="0.15">
      <c r="A269" s="2"/>
      <c r="B269" s="85">
        <v>40496</v>
      </c>
      <c r="C269" s="90">
        <v>41175</v>
      </c>
      <c r="D269" s="13" t="s">
        <v>14</v>
      </c>
      <c r="E269" s="54">
        <v>0.1315625</v>
      </c>
      <c r="F269" s="12" t="s">
        <v>437</v>
      </c>
      <c r="G269" s="83">
        <v>34.880000000000003</v>
      </c>
      <c r="H269" s="146">
        <f>E269/G269</f>
        <v>3.7718606651376144E-3</v>
      </c>
      <c r="I269" s="84" t="s">
        <v>453</v>
      </c>
      <c r="J269" s="10" t="s">
        <v>411</v>
      </c>
    </row>
    <row r="270" spans="1:10" x14ac:dyDescent="0.15">
      <c r="A270" s="4">
        <f>A263+1</f>
        <v>39</v>
      </c>
      <c r="B270" s="78">
        <v>40497</v>
      </c>
      <c r="C270" s="137">
        <v>41176</v>
      </c>
      <c r="D270" s="8" t="s">
        <v>14</v>
      </c>
      <c r="E270" s="52">
        <v>3.8287037037037043E-2</v>
      </c>
      <c r="F270" s="7" t="s">
        <v>437</v>
      </c>
      <c r="G270" s="80">
        <v>7.72</v>
      </c>
      <c r="H270" s="81">
        <f>E270/G270</f>
        <v>4.9594607560928816E-3</v>
      </c>
      <c r="I270" s="81" t="s">
        <v>455</v>
      </c>
      <c r="J270" s="10" t="s">
        <v>411</v>
      </c>
    </row>
    <row r="271" spans="1:10" x14ac:dyDescent="0.15">
      <c r="A271" s="11" t="s">
        <v>11</v>
      </c>
      <c r="B271" s="78">
        <v>40498</v>
      </c>
      <c r="C271" s="138">
        <v>41177</v>
      </c>
      <c r="D271" s="13"/>
      <c r="E271" s="54"/>
      <c r="F271" s="2"/>
      <c r="G271" s="83"/>
      <c r="H271" s="84"/>
      <c r="I271" s="84"/>
      <c r="J271" s="10" t="s">
        <v>411</v>
      </c>
    </row>
    <row r="272" spans="1:10" x14ac:dyDescent="0.15">
      <c r="A272" s="15">
        <f>SUM(G270:G276)</f>
        <v>49.480000000000004</v>
      </c>
      <c r="B272" s="78">
        <v>40499</v>
      </c>
      <c r="C272" s="138">
        <v>41178</v>
      </c>
      <c r="D272" s="13" t="s">
        <v>14</v>
      </c>
      <c r="E272" s="54">
        <v>4.7129629629629632E-2</v>
      </c>
      <c r="F272" s="12" t="s">
        <v>437</v>
      </c>
      <c r="G272" s="83">
        <v>12.55</v>
      </c>
      <c r="H272" s="84">
        <f>E272/G272</f>
        <v>3.7553489744724805E-3</v>
      </c>
      <c r="I272" s="84" t="s">
        <v>455</v>
      </c>
      <c r="J272" s="10" t="s">
        <v>411</v>
      </c>
    </row>
    <row r="273" spans="1:10" x14ac:dyDescent="0.15">
      <c r="A273" s="2"/>
      <c r="B273" s="78">
        <v>40500</v>
      </c>
      <c r="C273" s="138">
        <v>41179</v>
      </c>
      <c r="D273" s="13"/>
      <c r="E273" s="54"/>
      <c r="F273" s="2"/>
      <c r="G273" s="83"/>
      <c r="H273" s="84"/>
      <c r="I273" s="84"/>
      <c r="J273" s="10" t="s">
        <v>411</v>
      </c>
    </row>
    <row r="274" spans="1:10" x14ac:dyDescent="0.15">
      <c r="A274" s="2"/>
      <c r="B274" s="78">
        <v>40501</v>
      </c>
      <c r="C274" s="138">
        <v>41180</v>
      </c>
      <c r="D274" s="13" t="s">
        <v>465</v>
      </c>
      <c r="E274" s="54">
        <v>4.296296296296296E-2</v>
      </c>
      <c r="F274" s="12"/>
      <c r="G274" s="83">
        <v>12.27</v>
      </c>
      <c r="H274" s="84">
        <f>E274/G274</f>
        <v>3.5014639741616106E-3</v>
      </c>
      <c r="I274" s="84" t="s">
        <v>466</v>
      </c>
      <c r="J274" s="10" t="s">
        <v>411</v>
      </c>
    </row>
    <row r="275" spans="1:10" x14ac:dyDescent="0.15">
      <c r="A275" s="2"/>
      <c r="B275" s="78">
        <v>40502</v>
      </c>
      <c r="C275" s="138">
        <v>41181</v>
      </c>
      <c r="D275" s="13"/>
      <c r="E275" s="54"/>
      <c r="F275" s="12"/>
      <c r="G275" s="83"/>
      <c r="H275" s="84"/>
      <c r="I275" s="84"/>
      <c r="J275" s="10" t="s">
        <v>411</v>
      </c>
    </row>
    <row r="276" spans="1:10" x14ac:dyDescent="0.15">
      <c r="A276" s="2"/>
      <c r="B276" s="85">
        <v>40503</v>
      </c>
      <c r="C276" s="90">
        <v>41182</v>
      </c>
      <c r="D276" s="13" t="s">
        <v>14</v>
      </c>
      <c r="E276" s="54">
        <v>6.9062499999999999E-2</v>
      </c>
      <c r="F276" s="12" t="s">
        <v>437</v>
      </c>
      <c r="G276" s="83">
        <v>16.940000000000001</v>
      </c>
      <c r="H276" s="146">
        <f>E276/G276</f>
        <v>4.0768890200708376E-3</v>
      </c>
      <c r="I276" s="84" t="s">
        <v>466</v>
      </c>
      <c r="J276" s="10" t="s">
        <v>411</v>
      </c>
    </row>
    <row r="277" spans="1:10" x14ac:dyDescent="0.15">
      <c r="A277" s="4">
        <f>A270+1</f>
        <v>40</v>
      </c>
      <c r="B277" s="78">
        <v>40504</v>
      </c>
      <c r="C277" s="137">
        <v>41183</v>
      </c>
      <c r="D277" s="8"/>
      <c r="E277" s="52"/>
      <c r="F277" s="7"/>
      <c r="G277" s="80"/>
      <c r="H277" s="81"/>
      <c r="I277" s="81"/>
      <c r="J277" s="10" t="s">
        <v>411</v>
      </c>
    </row>
    <row r="278" spans="1:10" x14ac:dyDescent="0.15">
      <c r="A278" s="11" t="s">
        <v>11</v>
      </c>
      <c r="B278" s="78">
        <v>40505</v>
      </c>
      <c r="C278" s="138">
        <v>41184</v>
      </c>
      <c r="D278" s="13"/>
      <c r="E278" s="54"/>
      <c r="F278" s="2"/>
      <c r="G278" s="83"/>
      <c r="H278" s="84"/>
      <c r="I278" s="84"/>
      <c r="J278" s="10" t="s">
        <v>411</v>
      </c>
    </row>
    <row r="279" spans="1:10" x14ac:dyDescent="0.15">
      <c r="A279" s="15">
        <f>SUM(G277:G283)</f>
        <v>50.64</v>
      </c>
      <c r="B279" s="78">
        <v>40506</v>
      </c>
      <c r="C279" s="138">
        <v>41185</v>
      </c>
      <c r="D279" s="13" t="s">
        <v>14</v>
      </c>
      <c r="E279" s="54">
        <v>4.0787037037037038E-2</v>
      </c>
      <c r="F279" s="12" t="s">
        <v>437</v>
      </c>
      <c r="G279" s="83">
        <v>11.56</v>
      </c>
      <c r="H279" s="84">
        <f>E279/G279</f>
        <v>3.5282904011277715E-3</v>
      </c>
      <c r="I279" s="84" t="s">
        <v>466</v>
      </c>
      <c r="J279" s="10" t="s">
        <v>411</v>
      </c>
    </row>
    <row r="280" spans="1:10" x14ac:dyDescent="0.15">
      <c r="A280" s="2"/>
      <c r="B280" s="78">
        <v>40507</v>
      </c>
      <c r="C280" s="138">
        <v>41186</v>
      </c>
      <c r="D280" s="13"/>
      <c r="E280" s="54"/>
      <c r="F280" s="2"/>
      <c r="G280" s="83"/>
      <c r="H280" s="84"/>
      <c r="I280" s="84"/>
      <c r="J280" s="10" t="s">
        <v>411</v>
      </c>
    </row>
    <row r="281" spans="1:10" x14ac:dyDescent="0.15">
      <c r="A281" s="2"/>
      <c r="B281" s="78">
        <v>40508</v>
      </c>
      <c r="C281" s="138">
        <v>41187</v>
      </c>
      <c r="D281" s="13"/>
      <c r="E281" s="54"/>
      <c r="F281" s="12"/>
      <c r="G281" s="83"/>
      <c r="H281" s="84"/>
      <c r="I281" s="84"/>
      <c r="J281" s="10" t="s">
        <v>411</v>
      </c>
    </row>
    <row r="282" spans="1:10" x14ac:dyDescent="0.15">
      <c r="A282" s="2"/>
      <c r="B282" s="78">
        <v>40509</v>
      </c>
      <c r="C282" s="138">
        <v>41188</v>
      </c>
      <c r="D282" s="13" t="s">
        <v>14</v>
      </c>
      <c r="E282" s="54">
        <v>4.5266203703703704E-2</v>
      </c>
      <c r="F282" s="12" t="s">
        <v>437</v>
      </c>
      <c r="G282" s="83">
        <v>12.35</v>
      </c>
      <c r="H282" s="84">
        <f>E282/G282</f>
        <v>3.6652796521217577E-3</v>
      </c>
      <c r="I282" s="84" t="s">
        <v>466</v>
      </c>
      <c r="J282" s="10" t="s">
        <v>411</v>
      </c>
    </row>
    <row r="283" spans="1:10" x14ac:dyDescent="0.15">
      <c r="A283" s="2"/>
      <c r="B283" s="85">
        <v>40510</v>
      </c>
      <c r="C283" s="90">
        <v>41189</v>
      </c>
      <c r="D283" s="13" t="s">
        <v>14</v>
      </c>
      <c r="E283" s="54">
        <v>9.6967592592592577E-2</v>
      </c>
      <c r="F283" s="12" t="s">
        <v>437</v>
      </c>
      <c r="G283" s="83">
        <v>26.73</v>
      </c>
      <c r="H283" s="146">
        <f>E283/G283</f>
        <v>3.6276690083274438E-3</v>
      </c>
      <c r="I283" s="84" t="s">
        <v>466</v>
      </c>
      <c r="J283" s="10" t="s">
        <v>411</v>
      </c>
    </row>
    <row r="284" spans="1:10" x14ac:dyDescent="0.15">
      <c r="A284" s="4">
        <f>A277+1</f>
        <v>41</v>
      </c>
      <c r="B284" s="78">
        <v>40511</v>
      </c>
      <c r="C284" s="137">
        <v>41190</v>
      </c>
      <c r="D284" s="8"/>
      <c r="E284" s="52"/>
      <c r="F284" s="7"/>
      <c r="G284" s="80"/>
      <c r="H284" s="81"/>
      <c r="I284" s="81"/>
      <c r="J284" s="10" t="s">
        <v>411</v>
      </c>
    </row>
    <row r="285" spans="1:10" x14ac:dyDescent="0.15">
      <c r="A285" s="11" t="s">
        <v>11</v>
      </c>
      <c r="B285" s="78">
        <v>40512</v>
      </c>
      <c r="C285" s="138">
        <v>41191</v>
      </c>
      <c r="D285" s="13" t="s">
        <v>464</v>
      </c>
      <c r="E285" s="54">
        <v>4.701388888888889E-2</v>
      </c>
      <c r="F285" s="2">
        <v>148</v>
      </c>
      <c r="G285" s="83">
        <v>13.07</v>
      </c>
      <c r="H285" s="84">
        <f>E285/G285</f>
        <v>3.5970840771911926E-3</v>
      </c>
      <c r="I285" s="84" t="s">
        <v>455</v>
      </c>
      <c r="J285" s="10" t="s">
        <v>411</v>
      </c>
    </row>
    <row r="286" spans="1:10" x14ac:dyDescent="0.15">
      <c r="A286" s="15">
        <f>SUM(G284:G290)</f>
        <v>72.239999999999995</v>
      </c>
      <c r="B286" s="78">
        <v>40513</v>
      </c>
      <c r="C286" s="138">
        <v>41192</v>
      </c>
      <c r="D286" s="13" t="s">
        <v>14</v>
      </c>
      <c r="E286" s="54">
        <v>4.8738425925925921E-2</v>
      </c>
      <c r="F286" s="12">
        <v>135</v>
      </c>
      <c r="G286" s="83">
        <v>12.65</v>
      </c>
      <c r="H286" s="84">
        <f>E286/G286</f>
        <v>3.8528399941443413E-3</v>
      </c>
      <c r="I286" s="84" t="s">
        <v>455</v>
      </c>
      <c r="J286" s="10" t="s">
        <v>411</v>
      </c>
    </row>
    <row r="287" spans="1:10" x14ac:dyDescent="0.15">
      <c r="A287" s="2"/>
      <c r="B287" s="78">
        <v>40514</v>
      </c>
      <c r="C287" s="138">
        <v>41193</v>
      </c>
      <c r="D287" s="13"/>
      <c r="E287" s="54"/>
      <c r="F287" s="2"/>
      <c r="G287" s="83"/>
      <c r="H287" s="84"/>
      <c r="I287" s="84"/>
      <c r="J287" s="10" t="s">
        <v>411</v>
      </c>
    </row>
    <row r="288" spans="1:10" x14ac:dyDescent="0.15">
      <c r="A288" s="2"/>
      <c r="B288" s="78">
        <v>40515</v>
      </c>
      <c r="C288" s="138">
        <v>41194</v>
      </c>
      <c r="D288" s="13"/>
      <c r="E288" s="54"/>
      <c r="F288" s="12"/>
      <c r="G288" s="83"/>
      <c r="H288" s="84"/>
      <c r="I288" s="84"/>
      <c r="J288" s="10" t="s">
        <v>411</v>
      </c>
    </row>
    <row r="289" spans="1:10" x14ac:dyDescent="0.15">
      <c r="A289" s="2"/>
      <c r="B289" s="78">
        <v>40516</v>
      </c>
      <c r="C289" s="138">
        <v>41195</v>
      </c>
      <c r="D289" s="13" t="s">
        <v>465</v>
      </c>
      <c r="E289" s="54">
        <v>4.8518518518518516E-2</v>
      </c>
      <c r="F289" s="12">
        <v>156</v>
      </c>
      <c r="G289" s="83">
        <v>14.05</v>
      </c>
      <c r="H289" s="84">
        <f>E289/G289</f>
        <v>3.4532753393963357E-3</v>
      </c>
      <c r="I289" s="84" t="s">
        <v>466</v>
      </c>
      <c r="J289" s="10" t="s">
        <v>411</v>
      </c>
    </row>
    <row r="290" spans="1:10" x14ac:dyDescent="0.15">
      <c r="A290" s="2"/>
      <c r="B290" s="85">
        <v>40517</v>
      </c>
      <c r="C290" s="90">
        <v>41196</v>
      </c>
      <c r="D290" s="13" t="s">
        <v>14</v>
      </c>
      <c r="E290" s="54">
        <v>0.12677083333333333</v>
      </c>
      <c r="F290" s="12">
        <v>143</v>
      </c>
      <c r="G290" s="83">
        <v>32.47</v>
      </c>
      <c r="H290" s="146">
        <f>E290/G290</f>
        <v>3.9042449440509189E-3</v>
      </c>
      <c r="I290" s="84" t="s">
        <v>453</v>
      </c>
      <c r="J290" s="10" t="s">
        <v>411</v>
      </c>
    </row>
    <row r="291" spans="1:10" x14ac:dyDescent="0.15">
      <c r="A291" s="4">
        <f>A284+1</f>
        <v>42</v>
      </c>
      <c r="B291" s="78">
        <v>40518</v>
      </c>
      <c r="C291" s="137">
        <v>41197</v>
      </c>
      <c r="D291" s="8"/>
      <c r="E291" s="52"/>
      <c r="F291" s="7"/>
      <c r="G291" s="80"/>
      <c r="H291" s="81"/>
      <c r="I291" s="81"/>
      <c r="J291" s="10" t="s">
        <v>411</v>
      </c>
    </row>
    <row r="292" spans="1:10" x14ac:dyDescent="0.15">
      <c r="A292" s="11" t="s">
        <v>11</v>
      </c>
      <c r="B292" s="78">
        <v>40519</v>
      </c>
      <c r="C292" s="138">
        <v>41198</v>
      </c>
      <c r="D292" s="13" t="s">
        <v>14</v>
      </c>
      <c r="E292" s="54">
        <v>4.9062499999999995E-2</v>
      </c>
      <c r="F292" s="2">
        <v>137</v>
      </c>
      <c r="G292" s="83">
        <v>13.17</v>
      </c>
      <c r="H292" s="84">
        <f>E292/G292</f>
        <v>3.7253227031131355E-3</v>
      </c>
      <c r="I292" s="84" t="s">
        <v>466</v>
      </c>
      <c r="J292" s="10" t="s">
        <v>411</v>
      </c>
    </row>
    <row r="293" spans="1:10" x14ac:dyDescent="0.15">
      <c r="A293" s="15">
        <f>SUM(G291:G297)</f>
        <v>52.150000000000006</v>
      </c>
      <c r="B293" s="78">
        <v>40520</v>
      </c>
      <c r="C293" s="138">
        <v>41199</v>
      </c>
      <c r="D293" s="13" t="s">
        <v>14</v>
      </c>
      <c r="E293" s="54">
        <v>3.8680555555555558E-2</v>
      </c>
      <c r="F293" s="12">
        <v>138</v>
      </c>
      <c r="G293" s="83">
        <v>10.28</v>
      </c>
      <c r="H293" s="84">
        <f>E293/G293</f>
        <v>3.7626999567661051E-3</v>
      </c>
      <c r="I293" s="84" t="s">
        <v>455</v>
      </c>
      <c r="J293" s="10" t="s">
        <v>411</v>
      </c>
    </row>
    <row r="294" spans="1:10" x14ac:dyDescent="0.15">
      <c r="A294" s="2"/>
      <c r="B294" s="78">
        <v>40521</v>
      </c>
      <c r="C294" s="138">
        <v>41200</v>
      </c>
      <c r="D294" s="13"/>
      <c r="E294" s="54"/>
      <c r="F294" s="2"/>
      <c r="G294" s="83"/>
      <c r="H294" s="84"/>
      <c r="I294" s="84"/>
      <c r="J294" s="10" t="s">
        <v>411</v>
      </c>
    </row>
    <row r="295" spans="1:10" x14ac:dyDescent="0.15">
      <c r="A295" s="2"/>
      <c r="B295" s="78">
        <v>40522</v>
      </c>
      <c r="C295" s="138">
        <v>41201</v>
      </c>
      <c r="D295" s="13" t="s">
        <v>465</v>
      </c>
      <c r="E295" s="54">
        <v>4.8159722222222222E-2</v>
      </c>
      <c r="F295" s="12">
        <v>153</v>
      </c>
      <c r="G295" s="83">
        <v>13.89</v>
      </c>
      <c r="H295" s="84">
        <f>E295/G295</f>
        <v>3.4672226221902245E-3</v>
      </c>
      <c r="I295" s="84" t="s">
        <v>466</v>
      </c>
      <c r="J295" s="10" t="s">
        <v>411</v>
      </c>
    </row>
    <row r="296" spans="1:10" x14ac:dyDescent="0.15">
      <c r="A296" s="2"/>
      <c r="B296" s="78">
        <v>40523</v>
      </c>
      <c r="C296" s="138">
        <v>41202</v>
      </c>
      <c r="D296" s="13"/>
      <c r="E296" s="54"/>
      <c r="F296" s="12"/>
      <c r="G296" s="83"/>
      <c r="H296" s="84"/>
      <c r="I296" s="84"/>
      <c r="J296" s="10" t="s">
        <v>411</v>
      </c>
    </row>
    <row r="297" spans="1:10" x14ac:dyDescent="0.15">
      <c r="A297" s="2"/>
      <c r="B297" s="85">
        <v>40524</v>
      </c>
      <c r="C297" s="90">
        <v>41203</v>
      </c>
      <c r="D297" s="13" t="s">
        <v>14</v>
      </c>
      <c r="E297" s="54">
        <v>5.7916666666666665E-2</v>
      </c>
      <c r="F297" s="12">
        <v>138</v>
      </c>
      <c r="G297" s="83">
        <v>14.81</v>
      </c>
      <c r="H297" s="146">
        <f>E297/G297</f>
        <v>3.9106459599369797E-3</v>
      </c>
      <c r="I297" s="84" t="s">
        <v>466</v>
      </c>
      <c r="J297" s="10" t="s">
        <v>411</v>
      </c>
    </row>
    <row r="298" spans="1:10" x14ac:dyDescent="0.15">
      <c r="A298" s="4">
        <f>A291+1</f>
        <v>43</v>
      </c>
      <c r="B298" s="78">
        <v>40525</v>
      </c>
      <c r="C298" s="137">
        <v>41204</v>
      </c>
      <c r="D298" s="8"/>
      <c r="E298" s="52"/>
      <c r="F298" s="7"/>
      <c r="G298" s="80"/>
      <c r="H298" s="81"/>
      <c r="I298" s="81"/>
      <c r="J298" s="10" t="s">
        <v>411</v>
      </c>
    </row>
    <row r="299" spans="1:10" x14ac:dyDescent="0.15">
      <c r="A299" s="11" t="s">
        <v>11</v>
      </c>
      <c r="B299" s="78">
        <v>40526</v>
      </c>
      <c r="C299" s="138">
        <v>41205</v>
      </c>
      <c r="D299" s="13" t="s">
        <v>465</v>
      </c>
      <c r="E299" s="54">
        <v>4.611111111111111E-2</v>
      </c>
      <c r="F299" s="2" t="s">
        <v>437</v>
      </c>
      <c r="G299" s="83">
        <v>13.1</v>
      </c>
      <c r="H299" s="84">
        <f>E299/G299</f>
        <v>3.5199321458863442E-3</v>
      </c>
      <c r="I299" s="84" t="s">
        <v>436</v>
      </c>
      <c r="J299" s="10" t="s">
        <v>411</v>
      </c>
    </row>
    <row r="300" spans="1:10" x14ac:dyDescent="0.15">
      <c r="A300" s="15">
        <f>SUM(G298:G304)</f>
        <v>53.910000000000004</v>
      </c>
      <c r="B300" s="78">
        <v>40527</v>
      </c>
      <c r="C300" s="138">
        <v>41206</v>
      </c>
      <c r="D300" s="13" t="s">
        <v>14</v>
      </c>
      <c r="E300" s="54">
        <v>6.6585648148148144E-2</v>
      </c>
      <c r="F300" s="12">
        <v>145</v>
      </c>
      <c r="G300" s="83">
        <v>17.600000000000001</v>
      </c>
      <c r="H300" s="84">
        <f>E300/G300</f>
        <v>3.7832754629629622E-3</v>
      </c>
      <c r="I300" s="84" t="s">
        <v>466</v>
      </c>
      <c r="J300" s="10" t="s">
        <v>411</v>
      </c>
    </row>
    <row r="301" spans="1:10" x14ac:dyDescent="0.15">
      <c r="A301" s="2"/>
      <c r="B301" s="78">
        <v>40528</v>
      </c>
      <c r="C301" s="138">
        <v>41207</v>
      </c>
      <c r="D301" s="13"/>
      <c r="E301" s="54"/>
      <c r="F301" s="2"/>
      <c r="G301" s="83"/>
      <c r="H301" s="84"/>
      <c r="I301" s="84"/>
      <c r="J301" s="10" t="s">
        <v>411</v>
      </c>
    </row>
    <row r="302" spans="1:10" x14ac:dyDescent="0.15">
      <c r="A302" s="2"/>
      <c r="B302" s="78">
        <v>40529</v>
      </c>
      <c r="C302" s="138">
        <v>41208</v>
      </c>
      <c r="D302" s="13" t="s">
        <v>14</v>
      </c>
      <c r="E302" s="54">
        <v>3.9618055555555552E-2</v>
      </c>
      <c r="F302" s="12">
        <v>143</v>
      </c>
      <c r="G302" s="83">
        <v>10.97</v>
      </c>
      <c r="H302" s="84">
        <f>E302/G302</f>
        <v>3.611490934872885E-3</v>
      </c>
      <c r="I302" s="84" t="s">
        <v>466</v>
      </c>
      <c r="J302" s="10" t="s">
        <v>411</v>
      </c>
    </row>
    <row r="303" spans="1:10" x14ac:dyDescent="0.15">
      <c r="A303" s="2"/>
      <c r="B303" s="78">
        <v>40530</v>
      </c>
      <c r="C303" s="138">
        <v>41209</v>
      </c>
      <c r="D303" s="13"/>
      <c r="E303" s="54"/>
      <c r="F303" s="12"/>
      <c r="G303" s="83"/>
      <c r="H303" s="84"/>
      <c r="I303" s="84"/>
      <c r="J303" s="10" t="s">
        <v>411</v>
      </c>
    </row>
    <row r="304" spans="1:10" x14ac:dyDescent="0.15">
      <c r="A304" s="2"/>
      <c r="B304" s="85">
        <v>40531</v>
      </c>
      <c r="C304" s="90">
        <v>41210</v>
      </c>
      <c r="D304" s="13" t="s">
        <v>14</v>
      </c>
      <c r="E304" s="54">
        <v>4.5474537037037036E-2</v>
      </c>
      <c r="F304" s="12" t="s">
        <v>437</v>
      </c>
      <c r="G304" s="83">
        <v>12.24</v>
      </c>
      <c r="H304" s="146">
        <f>E304/G304</f>
        <v>3.7152399540062936E-3</v>
      </c>
      <c r="I304" s="84" t="s">
        <v>453</v>
      </c>
      <c r="J304" s="10" t="s">
        <v>411</v>
      </c>
    </row>
    <row r="305" spans="1:10" x14ac:dyDescent="0.15">
      <c r="A305" s="4">
        <f>A298+1</f>
        <v>44</v>
      </c>
      <c r="B305" s="78">
        <v>40532</v>
      </c>
      <c r="C305" s="137">
        <v>41211</v>
      </c>
      <c r="D305" s="8"/>
      <c r="E305" s="52"/>
      <c r="F305" s="7"/>
      <c r="G305" s="80"/>
      <c r="H305" s="81"/>
      <c r="I305" s="81"/>
      <c r="J305" s="10" t="s">
        <v>411</v>
      </c>
    </row>
    <row r="306" spans="1:10" x14ac:dyDescent="0.15">
      <c r="A306" s="11" t="s">
        <v>11</v>
      </c>
      <c r="B306" s="78">
        <v>40533</v>
      </c>
      <c r="C306" s="138">
        <v>41212</v>
      </c>
      <c r="D306" s="13"/>
      <c r="E306" s="54"/>
      <c r="F306" s="2"/>
      <c r="G306" s="83"/>
      <c r="H306" s="84"/>
      <c r="I306" s="84"/>
      <c r="J306" s="10" t="s">
        <v>411</v>
      </c>
    </row>
    <row r="307" spans="1:10" x14ac:dyDescent="0.15">
      <c r="A307" s="15">
        <f>SUM(G305:G311)</f>
        <v>10.67</v>
      </c>
      <c r="B307" s="78">
        <v>40534</v>
      </c>
      <c r="C307" s="138">
        <v>41213</v>
      </c>
      <c r="D307" s="13"/>
      <c r="E307" s="54"/>
      <c r="F307" s="12"/>
      <c r="G307" s="83"/>
      <c r="H307" s="84"/>
      <c r="I307" s="84"/>
      <c r="J307" s="10" t="s">
        <v>411</v>
      </c>
    </row>
    <row r="308" spans="1:10" x14ac:dyDescent="0.15">
      <c r="A308" s="2"/>
      <c r="B308" s="78">
        <v>40535</v>
      </c>
      <c r="C308" s="138">
        <v>41214</v>
      </c>
      <c r="D308" s="13"/>
      <c r="E308" s="54"/>
      <c r="F308" s="2"/>
      <c r="G308" s="83"/>
      <c r="H308" s="84"/>
      <c r="I308" s="84"/>
      <c r="J308" s="10" t="s">
        <v>411</v>
      </c>
    </row>
    <row r="309" spans="1:10" x14ac:dyDescent="0.15">
      <c r="A309" s="2"/>
      <c r="B309" s="78">
        <v>40536</v>
      </c>
      <c r="C309" s="138">
        <v>41215</v>
      </c>
      <c r="D309" s="13"/>
      <c r="E309" s="54"/>
      <c r="F309" s="12"/>
      <c r="G309" s="83"/>
      <c r="H309" s="84"/>
      <c r="I309" s="84"/>
      <c r="J309" s="10" t="s">
        <v>411</v>
      </c>
    </row>
    <row r="310" spans="1:10" x14ac:dyDescent="0.15">
      <c r="A310" s="2"/>
      <c r="B310" s="78">
        <v>40537</v>
      </c>
      <c r="C310" s="138">
        <v>41216</v>
      </c>
      <c r="D310" s="13"/>
      <c r="E310" s="54"/>
      <c r="F310" s="12"/>
      <c r="G310" s="83"/>
      <c r="H310" s="84"/>
      <c r="I310" s="84"/>
      <c r="J310" s="10" t="s">
        <v>411</v>
      </c>
    </row>
    <row r="311" spans="1:10" x14ac:dyDescent="0.15">
      <c r="A311" s="2"/>
      <c r="B311" s="85">
        <v>40538</v>
      </c>
      <c r="C311" s="90">
        <v>41217</v>
      </c>
      <c r="D311" s="13" t="s">
        <v>14</v>
      </c>
      <c r="E311" s="54">
        <v>4.1782407407407407E-2</v>
      </c>
      <c r="F311" s="12">
        <v>136</v>
      </c>
      <c r="G311" s="83">
        <v>10.67</v>
      </c>
      <c r="H311" s="146">
        <f>E311/G311</f>
        <v>3.9158769828872919E-3</v>
      </c>
      <c r="I311" s="84" t="s">
        <v>453</v>
      </c>
      <c r="J311" s="10" t="s">
        <v>411</v>
      </c>
    </row>
    <row r="312" spans="1:10" x14ac:dyDescent="0.15">
      <c r="A312" s="4">
        <f>A305+1</f>
        <v>45</v>
      </c>
      <c r="B312" s="78">
        <v>40539</v>
      </c>
      <c r="C312" s="137">
        <v>41218</v>
      </c>
      <c r="D312" s="8"/>
      <c r="E312" s="52"/>
      <c r="F312" s="7"/>
      <c r="G312" s="80"/>
      <c r="H312" s="81"/>
      <c r="I312" s="81"/>
      <c r="J312" s="10" t="s">
        <v>411</v>
      </c>
    </row>
    <row r="313" spans="1:10" x14ac:dyDescent="0.15">
      <c r="A313" s="11" t="s">
        <v>11</v>
      </c>
      <c r="B313" s="78">
        <v>40540</v>
      </c>
      <c r="C313" s="138">
        <v>41219</v>
      </c>
      <c r="D313" s="13"/>
      <c r="E313" s="54"/>
      <c r="F313" s="2"/>
      <c r="G313" s="83"/>
      <c r="H313" s="84"/>
      <c r="I313" s="84"/>
      <c r="J313" s="10" t="s">
        <v>411</v>
      </c>
    </row>
    <row r="314" spans="1:10" x14ac:dyDescent="0.15">
      <c r="A314" s="15">
        <f>SUM(G312:G318)</f>
        <v>0</v>
      </c>
      <c r="B314" s="78">
        <v>40541</v>
      </c>
      <c r="C314" s="138">
        <v>41220</v>
      </c>
      <c r="D314" s="13"/>
      <c r="E314" s="54"/>
      <c r="F314" s="12"/>
      <c r="G314" s="83"/>
      <c r="H314" s="84"/>
      <c r="I314" s="84"/>
      <c r="J314" s="10" t="s">
        <v>411</v>
      </c>
    </row>
    <row r="315" spans="1:10" x14ac:dyDescent="0.15">
      <c r="A315" s="2"/>
      <c r="B315" s="78">
        <v>40542</v>
      </c>
      <c r="C315" s="138">
        <v>41221</v>
      </c>
      <c r="D315" s="13"/>
      <c r="E315" s="54"/>
      <c r="F315" s="2"/>
      <c r="G315" s="83"/>
      <c r="H315" s="84"/>
      <c r="I315" s="84"/>
      <c r="J315" s="10" t="s">
        <v>411</v>
      </c>
    </row>
    <row r="316" spans="1:10" x14ac:dyDescent="0.15">
      <c r="A316" s="2"/>
      <c r="B316" s="78">
        <v>40543</v>
      </c>
      <c r="C316" s="138">
        <v>41222</v>
      </c>
      <c r="D316" s="13"/>
      <c r="E316" s="54"/>
      <c r="F316" s="12"/>
      <c r="G316" s="83"/>
      <c r="H316" s="84"/>
      <c r="I316" s="84"/>
      <c r="J316" s="10" t="s">
        <v>411</v>
      </c>
    </row>
    <row r="317" spans="1:10" x14ac:dyDescent="0.15">
      <c r="B317" s="78">
        <v>40544</v>
      </c>
      <c r="C317" s="138">
        <v>41223</v>
      </c>
      <c r="D317" s="13"/>
      <c r="E317" s="54"/>
      <c r="F317" s="12"/>
      <c r="G317" s="83"/>
      <c r="H317" s="84"/>
      <c r="I317" s="84"/>
      <c r="J317" s="10" t="s">
        <v>411</v>
      </c>
    </row>
    <row r="318" spans="1:10" x14ac:dyDescent="0.15">
      <c r="B318" s="85">
        <v>40545</v>
      </c>
      <c r="C318" s="90">
        <v>41224</v>
      </c>
      <c r="D318" s="13"/>
      <c r="E318" s="54"/>
      <c r="F318" s="12"/>
      <c r="G318" s="83"/>
      <c r="H318" s="84"/>
      <c r="I318" s="84"/>
      <c r="J318" s="10" t="s">
        <v>411</v>
      </c>
    </row>
    <row r="319" spans="1:10" x14ac:dyDescent="0.15">
      <c r="A319" s="4">
        <f>A312+1</f>
        <v>46</v>
      </c>
      <c r="B319" s="78"/>
      <c r="C319" s="137">
        <v>41225</v>
      </c>
      <c r="D319" s="8"/>
      <c r="E319" s="52"/>
      <c r="F319" s="7"/>
      <c r="G319" s="80"/>
      <c r="H319" s="81"/>
      <c r="I319" s="81"/>
      <c r="J319" s="10" t="s">
        <v>411</v>
      </c>
    </row>
    <row r="320" spans="1:10" x14ac:dyDescent="0.15">
      <c r="A320" s="11" t="s">
        <v>11</v>
      </c>
      <c r="B320" s="78"/>
      <c r="C320" s="138">
        <v>41226</v>
      </c>
      <c r="D320" s="13"/>
      <c r="E320" s="54"/>
      <c r="F320" s="2"/>
      <c r="G320" s="83"/>
      <c r="H320" s="84"/>
      <c r="I320" s="84"/>
      <c r="J320" s="10" t="s">
        <v>411</v>
      </c>
    </row>
    <row r="321" spans="1:10" x14ac:dyDescent="0.15">
      <c r="A321" s="15">
        <f>SUM(G319:G325)</f>
        <v>0</v>
      </c>
      <c r="B321" s="78"/>
      <c r="C321" s="138">
        <v>41227</v>
      </c>
      <c r="D321" s="13"/>
      <c r="E321" s="54"/>
      <c r="F321" s="12"/>
      <c r="G321" s="83"/>
      <c r="H321" s="84"/>
      <c r="I321" s="84"/>
      <c r="J321" s="10" t="s">
        <v>411</v>
      </c>
    </row>
    <row r="322" spans="1:10" x14ac:dyDescent="0.15">
      <c r="A322" s="2"/>
      <c r="B322" s="78"/>
      <c r="C322" s="138">
        <v>41228</v>
      </c>
      <c r="D322" s="13"/>
      <c r="E322" s="54"/>
      <c r="F322" s="2"/>
      <c r="G322" s="83"/>
      <c r="H322" s="84"/>
      <c r="I322" s="84"/>
      <c r="J322" s="10" t="s">
        <v>411</v>
      </c>
    </row>
    <row r="323" spans="1:10" x14ac:dyDescent="0.15">
      <c r="A323" s="2"/>
      <c r="B323" s="78"/>
      <c r="C323" s="138">
        <v>41229</v>
      </c>
      <c r="D323" s="13"/>
      <c r="E323" s="54"/>
      <c r="F323" s="12"/>
      <c r="G323" s="83"/>
      <c r="H323" s="84"/>
      <c r="I323" s="84"/>
      <c r="J323" s="10" t="s">
        <v>411</v>
      </c>
    </row>
    <row r="324" spans="1:10" x14ac:dyDescent="0.15">
      <c r="B324" s="78"/>
      <c r="C324" s="138">
        <v>41230</v>
      </c>
      <c r="D324" s="13"/>
      <c r="E324" s="54"/>
      <c r="F324" s="12"/>
      <c r="G324" s="83"/>
      <c r="H324" s="84"/>
      <c r="I324" s="84"/>
      <c r="J324" s="10" t="s">
        <v>411</v>
      </c>
    </row>
    <row r="325" spans="1:10" x14ac:dyDescent="0.15">
      <c r="B325" s="85"/>
      <c r="C325" s="90">
        <v>41231</v>
      </c>
      <c r="D325" s="13"/>
      <c r="E325" s="54"/>
      <c r="F325" s="12"/>
      <c r="G325" s="83"/>
      <c r="H325" s="84"/>
      <c r="I325" s="84"/>
      <c r="J325" s="10" t="s">
        <v>411</v>
      </c>
    </row>
    <row r="326" spans="1:10" x14ac:dyDescent="0.15">
      <c r="A326" s="4">
        <f>A319+1</f>
        <v>47</v>
      </c>
      <c r="B326" s="78"/>
      <c r="C326" s="137">
        <v>41232</v>
      </c>
      <c r="D326" s="8"/>
      <c r="E326" s="52"/>
      <c r="F326" s="7"/>
      <c r="G326" s="80"/>
      <c r="H326" s="81"/>
      <c r="I326" s="81"/>
      <c r="J326" s="10" t="s">
        <v>411</v>
      </c>
    </row>
    <row r="327" spans="1:10" x14ac:dyDescent="0.15">
      <c r="A327" s="11" t="s">
        <v>11</v>
      </c>
      <c r="B327" s="78"/>
      <c r="C327" s="138">
        <v>41233</v>
      </c>
      <c r="D327" s="13"/>
      <c r="E327" s="54"/>
      <c r="F327" s="2"/>
      <c r="G327" s="83"/>
      <c r="H327" s="84"/>
      <c r="I327" s="84"/>
      <c r="J327" s="10" t="s">
        <v>411</v>
      </c>
    </row>
    <row r="328" spans="1:10" x14ac:dyDescent="0.15">
      <c r="A328" s="15">
        <f>SUM(G326:G332)</f>
        <v>0</v>
      </c>
      <c r="B328" s="78"/>
      <c r="C328" s="138">
        <v>41234</v>
      </c>
      <c r="D328" s="13"/>
      <c r="E328" s="54"/>
      <c r="F328" s="12"/>
      <c r="G328" s="83"/>
      <c r="H328" s="84"/>
      <c r="I328" s="84"/>
      <c r="J328" s="10" t="s">
        <v>411</v>
      </c>
    </row>
    <row r="329" spans="1:10" x14ac:dyDescent="0.15">
      <c r="A329" s="2"/>
      <c r="B329" s="78"/>
      <c r="C329" s="138">
        <v>41235</v>
      </c>
      <c r="D329" s="13"/>
      <c r="E329" s="54"/>
      <c r="F329" s="2"/>
      <c r="G329" s="83"/>
      <c r="H329" s="84"/>
      <c r="I329" s="84"/>
      <c r="J329" s="10" t="s">
        <v>411</v>
      </c>
    </row>
    <row r="330" spans="1:10" x14ac:dyDescent="0.15">
      <c r="A330" s="2"/>
      <c r="B330" s="78"/>
      <c r="C330" s="138">
        <v>41236</v>
      </c>
      <c r="D330" s="13"/>
      <c r="E330" s="54"/>
      <c r="F330" s="12"/>
      <c r="G330" s="83"/>
      <c r="H330" s="84"/>
      <c r="I330" s="84"/>
      <c r="J330" s="10" t="s">
        <v>411</v>
      </c>
    </row>
    <row r="331" spans="1:10" x14ac:dyDescent="0.15">
      <c r="B331" s="78"/>
      <c r="C331" s="138">
        <v>41237</v>
      </c>
      <c r="D331" s="13"/>
      <c r="E331" s="54"/>
      <c r="F331" s="12"/>
      <c r="G331" s="83"/>
      <c r="H331" s="84"/>
      <c r="I331" s="84"/>
      <c r="J331" s="10" t="s">
        <v>411</v>
      </c>
    </row>
    <row r="332" spans="1:10" x14ac:dyDescent="0.15">
      <c r="B332" s="85"/>
      <c r="C332" s="90">
        <v>41238</v>
      </c>
      <c r="D332" s="13"/>
      <c r="E332" s="54"/>
      <c r="F332" s="12"/>
      <c r="G332" s="83"/>
      <c r="H332" s="84"/>
      <c r="I332" s="84"/>
      <c r="J332" s="10" t="s">
        <v>411</v>
      </c>
    </row>
    <row r="333" spans="1:10" x14ac:dyDescent="0.15">
      <c r="A333" s="4">
        <f>A326+1</f>
        <v>48</v>
      </c>
      <c r="B333" s="78"/>
      <c r="C333" s="137">
        <v>41239</v>
      </c>
      <c r="D333" s="8"/>
      <c r="E333" s="52"/>
      <c r="F333" s="7"/>
      <c r="G333" s="80"/>
      <c r="H333" s="81"/>
      <c r="I333" s="81"/>
      <c r="J333" s="10" t="s">
        <v>411</v>
      </c>
    </row>
    <row r="334" spans="1:10" x14ac:dyDescent="0.15">
      <c r="A334" s="11" t="s">
        <v>11</v>
      </c>
      <c r="B334" s="78"/>
      <c r="C334" s="138">
        <v>41240</v>
      </c>
      <c r="D334" s="13"/>
      <c r="E334" s="54"/>
      <c r="F334" s="2"/>
      <c r="G334" s="83"/>
      <c r="H334" s="84"/>
      <c r="I334" s="84"/>
      <c r="J334" s="10" t="s">
        <v>411</v>
      </c>
    </row>
    <row r="335" spans="1:10" x14ac:dyDescent="0.15">
      <c r="A335" s="15">
        <f>SUM(G333:G339)</f>
        <v>0</v>
      </c>
      <c r="B335" s="78"/>
      <c r="C335" s="138">
        <v>41241</v>
      </c>
      <c r="D335" s="13"/>
      <c r="E335" s="54"/>
      <c r="F335" s="12"/>
      <c r="G335" s="83"/>
      <c r="H335" s="84"/>
      <c r="I335" s="84"/>
      <c r="J335" s="10" t="s">
        <v>411</v>
      </c>
    </row>
    <row r="336" spans="1:10" x14ac:dyDescent="0.15">
      <c r="A336" s="2"/>
      <c r="B336" s="78"/>
      <c r="C336" s="138">
        <v>41242</v>
      </c>
      <c r="D336" s="13"/>
      <c r="E336" s="54"/>
      <c r="F336" s="2"/>
      <c r="G336" s="83"/>
      <c r="H336" s="84"/>
      <c r="I336" s="84"/>
      <c r="J336" s="10" t="s">
        <v>411</v>
      </c>
    </row>
    <row r="337" spans="1:10" x14ac:dyDescent="0.15">
      <c r="A337" s="2"/>
      <c r="B337" s="78"/>
      <c r="C337" s="138">
        <v>41243</v>
      </c>
      <c r="D337" s="13"/>
      <c r="E337" s="54"/>
      <c r="F337" s="12"/>
      <c r="G337" s="83"/>
      <c r="H337" s="84"/>
      <c r="I337" s="84"/>
      <c r="J337" s="10" t="s">
        <v>411</v>
      </c>
    </row>
    <row r="338" spans="1:10" x14ac:dyDescent="0.15">
      <c r="B338" s="78"/>
      <c r="C338" s="138">
        <v>41244</v>
      </c>
      <c r="D338" s="13"/>
      <c r="E338" s="54"/>
      <c r="F338" s="12"/>
      <c r="G338" s="83"/>
      <c r="H338" s="84"/>
      <c r="I338" s="84"/>
      <c r="J338" s="10" t="s">
        <v>411</v>
      </c>
    </row>
    <row r="339" spans="1:10" x14ac:dyDescent="0.15">
      <c r="B339" s="85"/>
      <c r="C339" s="90">
        <v>41245</v>
      </c>
      <c r="D339" s="13"/>
      <c r="E339" s="54"/>
      <c r="F339" s="12"/>
      <c r="G339" s="83"/>
      <c r="H339" s="84"/>
      <c r="I339" s="84"/>
      <c r="J339" s="10" t="s">
        <v>411</v>
      </c>
    </row>
    <row r="340" spans="1:10" x14ac:dyDescent="0.15">
      <c r="A340" s="4">
        <f>A333+1</f>
        <v>49</v>
      </c>
      <c r="B340" s="78"/>
      <c r="C340" s="137">
        <v>41246</v>
      </c>
      <c r="D340" s="8"/>
      <c r="E340" s="52"/>
      <c r="F340" s="7"/>
      <c r="G340" s="80"/>
      <c r="H340" s="81"/>
      <c r="I340" s="81"/>
      <c r="J340" s="10" t="s">
        <v>411</v>
      </c>
    </row>
    <row r="341" spans="1:10" x14ac:dyDescent="0.15">
      <c r="A341" s="11" t="s">
        <v>11</v>
      </c>
      <c r="B341" s="78"/>
      <c r="C341" s="138">
        <v>41247</v>
      </c>
      <c r="D341" s="13"/>
      <c r="E341" s="54"/>
      <c r="F341" s="2"/>
      <c r="G341" s="83"/>
      <c r="H341" s="84"/>
      <c r="I341" s="84"/>
      <c r="J341" s="10" t="s">
        <v>411</v>
      </c>
    </row>
    <row r="342" spans="1:10" x14ac:dyDescent="0.15">
      <c r="A342" s="15">
        <f>SUM(G340:G346)</f>
        <v>10.11</v>
      </c>
      <c r="B342" s="78"/>
      <c r="C342" s="138">
        <v>41248</v>
      </c>
      <c r="D342" s="13"/>
      <c r="E342" s="54"/>
      <c r="F342" s="12"/>
      <c r="G342" s="83"/>
      <c r="H342" s="84"/>
      <c r="I342" s="84"/>
      <c r="J342" s="10" t="s">
        <v>411</v>
      </c>
    </row>
    <row r="343" spans="1:10" x14ac:dyDescent="0.15">
      <c r="A343" s="2"/>
      <c r="B343" s="78"/>
      <c r="C343" s="138">
        <v>41249</v>
      </c>
      <c r="D343" s="13"/>
      <c r="E343" s="54"/>
      <c r="F343" s="2"/>
      <c r="G343" s="83"/>
      <c r="H343" s="84"/>
      <c r="I343" s="84"/>
      <c r="J343" s="10" t="s">
        <v>411</v>
      </c>
    </row>
    <row r="344" spans="1:10" x14ac:dyDescent="0.15">
      <c r="A344" s="2"/>
      <c r="B344" s="78"/>
      <c r="C344" s="138">
        <v>41250</v>
      </c>
      <c r="D344" s="13"/>
      <c r="E344" s="54"/>
      <c r="F344" s="12"/>
      <c r="G344" s="83"/>
      <c r="H344" s="84"/>
      <c r="I344" s="84"/>
      <c r="J344" s="10" t="s">
        <v>411</v>
      </c>
    </row>
    <row r="345" spans="1:10" x14ac:dyDescent="0.15">
      <c r="B345" s="78"/>
      <c r="C345" s="138">
        <v>41251</v>
      </c>
      <c r="D345" s="13"/>
      <c r="E345" s="54"/>
      <c r="F345" s="12"/>
      <c r="G345" s="83"/>
      <c r="H345" s="84"/>
      <c r="I345" s="84"/>
      <c r="J345" s="10" t="s">
        <v>411</v>
      </c>
    </row>
    <row r="346" spans="1:10" x14ac:dyDescent="0.15">
      <c r="B346" s="85"/>
      <c r="C346" s="90">
        <v>41252</v>
      </c>
      <c r="D346" s="13" t="s">
        <v>14</v>
      </c>
      <c r="E346" s="54">
        <v>3.7754629629629631E-2</v>
      </c>
      <c r="F346" s="12">
        <v>147</v>
      </c>
      <c r="G346" s="83">
        <v>10.11</v>
      </c>
      <c r="H346" s="146">
        <f>E346/G346</f>
        <v>3.7343847309228122E-3</v>
      </c>
      <c r="I346" s="84" t="s">
        <v>466</v>
      </c>
      <c r="J346" s="10" t="s">
        <v>411</v>
      </c>
    </row>
    <row r="347" spans="1:10" x14ac:dyDescent="0.15">
      <c r="A347" s="4">
        <f>A340+1</f>
        <v>50</v>
      </c>
      <c r="B347" s="78"/>
      <c r="C347" s="137">
        <v>41253</v>
      </c>
      <c r="D347" s="8"/>
      <c r="E347" s="52"/>
      <c r="F347" s="7"/>
      <c r="G347" s="80"/>
      <c r="H347" s="81"/>
      <c r="I347" s="81"/>
      <c r="J347" s="10" t="s">
        <v>411</v>
      </c>
    </row>
    <row r="348" spans="1:10" x14ac:dyDescent="0.15">
      <c r="A348" s="11" t="s">
        <v>11</v>
      </c>
      <c r="B348" s="78"/>
      <c r="C348" s="138">
        <v>41254</v>
      </c>
      <c r="D348" s="13"/>
      <c r="E348" s="54"/>
      <c r="F348" s="2"/>
      <c r="G348" s="83"/>
      <c r="H348" s="84"/>
      <c r="I348" s="84"/>
      <c r="J348" s="10" t="s">
        <v>411</v>
      </c>
    </row>
    <row r="349" spans="1:10" x14ac:dyDescent="0.15">
      <c r="A349" s="15">
        <f>SUM(G347:G353)</f>
        <v>0</v>
      </c>
      <c r="B349" s="78"/>
      <c r="C349" s="138">
        <v>41255</v>
      </c>
      <c r="D349" s="13"/>
      <c r="E349" s="54"/>
      <c r="F349" s="12"/>
      <c r="G349" s="83"/>
      <c r="H349" s="84"/>
      <c r="I349" s="84"/>
      <c r="J349" s="10" t="s">
        <v>411</v>
      </c>
    </row>
    <row r="350" spans="1:10" x14ac:dyDescent="0.15">
      <c r="A350" s="2"/>
      <c r="B350" s="78"/>
      <c r="C350" s="138">
        <v>41256</v>
      </c>
      <c r="D350" s="13"/>
      <c r="E350" s="54"/>
      <c r="F350" s="2"/>
      <c r="G350" s="83"/>
      <c r="H350" s="84"/>
      <c r="I350" s="84"/>
      <c r="J350" s="10" t="s">
        <v>411</v>
      </c>
    </row>
    <row r="351" spans="1:10" x14ac:dyDescent="0.15">
      <c r="A351" s="2"/>
      <c r="B351" s="78"/>
      <c r="C351" s="138">
        <v>41257</v>
      </c>
      <c r="D351" s="13"/>
      <c r="E351" s="54"/>
      <c r="F351" s="12"/>
      <c r="G351" s="83"/>
      <c r="H351" s="84"/>
      <c r="I351" s="84"/>
      <c r="J351" s="10" t="s">
        <v>411</v>
      </c>
    </row>
    <row r="352" spans="1:10" x14ac:dyDescent="0.15">
      <c r="B352" s="78"/>
      <c r="C352" s="138">
        <v>41258</v>
      </c>
      <c r="D352" s="13"/>
      <c r="E352" s="54"/>
      <c r="F352" s="12"/>
      <c r="G352" s="83"/>
      <c r="H352" s="84"/>
      <c r="I352" s="84"/>
      <c r="J352" s="10" t="s">
        <v>411</v>
      </c>
    </row>
    <row r="353" spans="1:10" x14ac:dyDescent="0.15">
      <c r="B353" s="85"/>
      <c r="C353" s="90">
        <v>41259</v>
      </c>
      <c r="D353" s="13"/>
      <c r="E353" s="54"/>
      <c r="F353" s="12"/>
      <c r="G353" s="83"/>
      <c r="H353" s="84"/>
      <c r="I353" s="84"/>
      <c r="J353" s="10" t="s">
        <v>411</v>
      </c>
    </row>
    <row r="354" spans="1:10" x14ac:dyDescent="0.15">
      <c r="A354" s="4">
        <f>A347+1</f>
        <v>51</v>
      </c>
      <c r="B354" s="78"/>
      <c r="C354" s="137">
        <v>41260</v>
      </c>
      <c r="D354" s="8"/>
      <c r="E354" s="52"/>
      <c r="F354" s="7"/>
      <c r="G354" s="80"/>
      <c r="H354" s="81"/>
      <c r="I354" s="81"/>
      <c r="J354" s="10" t="s">
        <v>411</v>
      </c>
    </row>
    <row r="355" spans="1:10" x14ac:dyDescent="0.15">
      <c r="A355" s="11" t="s">
        <v>11</v>
      </c>
      <c r="B355" s="78"/>
      <c r="C355" s="138">
        <v>41261</v>
      </c>
      <c r="D355" s="13"/>
      <c r="E355" s="54"/>
      <c r="F355" s="2"/>
      <c r="G355" s="83"/>
      <c r="H355" s="84"/>
      <c r="I355" s="84"/>
      <c r="J355" s="10" t="s">
        <v>411</v>
      </c>
    </row>
    <row r="356" spans="1:10" x14ac:dyDescent="0.15">
      <c r="A356" s="15">
        <f>SUM(G354:G360)</f>
        <v>0</v>
      </c>
      <c r="B356" s="78"/>
      <c r="C356" s="138">
        <v>41262</v>
      </c>
      <c r="D356" s="13"/>
      <c r="E356" s="54"/>
      <c r="F356" s="12"/>
      <c r="G356" s="83"/>
      <c r="H356" s="84"/>
      <c r="I356" s="84"/>
      <c r="J356" s="10" t="s">
        <v>411</v>
      </c>
    </row>
    <row r="357" spans="1:10" x14ac:dyDescent="0.15">
      <c r="A357" s="2"/>
      <c r="B357" s="78"/>
      <c r="C357" s="138">
        <v>41263</v>
      </c>
      <c r="D357" s="13"/>
      <c r="E357" s="54"/>
      <c r="F357" s="2"/>
      <c r="G357" s="83"/>
      <c r="H357" s="84"/>
      <c r="I357" s="84"/>
      <c r="J357" s="10" t="s">
        <v>411</v>
      </c>
    </row>
    <row r="358" spans="1:10" x14ac:dyDescent="0.15">
      <c r="A358" s="2"/>
      <c r="B358" s="78"/>
      <c r="C358" s="138">
        <v>41264</v>
      </c>
      <c r="D358" s="13"/>
      <c r="E358" s="54"/>
      <c r="F358" s="12"/>
      <c r="G358" s="83"/>
      <c r="H358" s="84"/>
      <c r="I358" s="84"/>
      <c r="J358" s="10" t="s">
        <v>411</v>
      </c>
    </row>
    <row r="359" spans="1:10" x14ac:dyDescent="0.15">
      <c r="B359" s="78"/>
      <c r="C359" s="138">
        <v>41265</v>
      </c>
      <c r="D359" s="13"/>
      <c r="E359" s="54"/>
      <c r="F359" s="12"/>
      <c r="G359" s="83"/>
      <c r="H359" s="84"/>
      <c r="I359" s="84"/>
      <c r="J359" s="10" t="s">
        <v>411</v>
      </c>
    </row>
    <row r="360" spans="1:10" x14ac:dyDescent="0.15">
      <c r="B360" s="85"/>
      <c r="C360" s="90">
        <v>41266</v>
      </c>
      <c r="D360" s="13"/>
      <c r="E360" s="54"/>
      <c r="F360" s="12"/>
      <c r="G360" s="83"/>
      <c r="H360" s="84"/>
      <c r="I360" s="84"/>
      <c r="J360" s="10" t="s">
        <v>411</v>
      </c>
    </row>
    <row r="361" spans="1:10" x14ac:dyDescent="0.15">
      <c r="A361" s="4">
        <f>A354+1</f>
        <v>52</v>
      </c>
      <c r="B361" s="78"/>
      <c r="C361" s="137">
        <v>41267</v>
      </c>
      <c r="D361" s="8"/>
      <c r="E361" s="52"/>
      <c r="F361" s="7"/>
      <c r="G361" s="80"/>
      <c r="H361" s="81"/>
      <c r="I361" s="81"/>
      <c r="J361" s="10" t="s">
        <v>411</v>
      </c>
    </row>
    <row r="362" spans="1:10" x14ac:dyDescent="0.15">
      <c r="A362" s="11" t="s">
        <v>11</v>
      </c>
      <c r="B362" s="78"/>
      <c r="C362" s="138">
        <v>41268</v>
      </c>
      <c r="D362" s="13"/>
      <c r="E362" s="54"/>
      <c r="F362" s="2"/>
      <c r="G362" s="83"/>
      <c r="H362" s="84"/>
      <c r="I362" s="84"/>
      <c r="J362" s="10" t="s">
        <v>411</v>
      </c>
    </row>
    <row r="363" spans="1:10" x14ac:dyDescent="0.15">
      <c r="A363" s="15">
        <f>SUM(G361:G367)</f>
        <v>0</v>
      </c>
      <c r="B363" s="78"/>
      <c r="C363" s="138">
        <v>41269</v>
      </c>
      <c r="D363" s="13"/>
      <c r="E363" s="54"/>
      <c r="F363" s="12"/>
      <c r="G363" s="83"/>
      <c r="H363" s="84"/>
      <c r="I363" s="84"/>
      <c r="J363" s="10" t="s">
        <v>411</v>
      </c>
    </row>
    <row r="364" spans="1:10" x14ac:dyDescent="0.15">
      <c r="A364" s="2"/>
      <c r="B364" s="78"/>
      <c r="C364" s="138">
        <v>41270</v>
      </c>
      <c r="D364" s="13"/>
      <c r="E364" s="54"/>
      <c r="F364" s="2"/>
      <c r="G364" s="83"/>
      <c r="H364" s="84"/>
      <c r="I364" s="84"/>
      <c r="J364" s="10" t="s">
        <v>411</v>
      </c>
    </row>
    <row r="365" spans="1:10" x14ac:dyDescent="0.15">
      <c r="A365" s="2"/>
      <c r="B365" s="78"/>
      <c r="C365" s="138">
        <v>41271</v>
      </c>
      <c r="D365" s="13"/>
      <c r="E365" s="54"/>
      <c r="F365" s="12"/>
      <c r="G365" s="83"/>
      <c r="H365" s="84"/>
      <c r="I365" s="84"/>
      <c r="J365" s="10" t="s">
        <v>411</v>
      </c>
    </row>
    <row r="366" spans="1:10" x14ac:dyDescent="0.15">
      <c r="B366" s="78"/>
      <c r="C366" s="138">
        <v>41272</v>
      </c>
      <c r="D366" s="13"/>
      <c r="E366" s="54"/>
      <c r="F366" s="12"/>
      <c r="G366" s="83"/>
      <c r="H366" s="84"/>
      <c r="I366" s="84"/>
      <c r="J366" s="10" t="s">
        <v>411</v>
      </c>
    </row>
    <row r="367" spans="1:10" x14ac:dyDescent="0.15">
      <c r="B367" s="85"/>
      <c r="C367" s="90">
        <v>41273</v>
      </c>
      <c r="D367" s="13"/>
      <c r="E367" s="54"/>
      <c r="F367" s="12"/>
      <c r="G367" s="83"/>
      <c r="H367" s="84"/>
      <c r="I367" s="84"/>
      <c r="J367" s="10" t="s">
        <v>411</v>
      </c>
    </row>
    <row r="368" spans="1:10" x14ac:dyDescent="0.15">
      <c r="A368" s="4">
        <f>A361+1</f>
        <v>53</v>
      </c>
      <c r="B368" s="78"/>
      <c r="C368" s="137">
        <v>41274</v>
      </c>
      <c r="D368" s="8" t="s">
        <v>14</v>
      </c>
      <c r="E368" s="52">
        <v>4.447916666666666E-2</v>
      </c>
      <c r="F368" s="7">
        <v>155</v>
      </c>
      <c r="G368" s="80">
        <v>11.98</v>
      </c>
      <c r="H368" s="81">
        <f>E368/G368</f>
        <v>3.712785197551474E-3</v>
      </c>
      <c r="I368" s="81" t="s">
        <v>455</v>
      </c>
      <c r="J368" s="10" t="s">
        <v>411</v>
      </c>
    </row>
    <row r="369" spans="1:10" x14ac:dyDescent="0.15">
      <c r="A369" s="11" t="s">
        <v>11</v>
      </c>
      <c r="B369" s="78"/>
      <c r="C369" s="138">
        <v>41275</v>
      </c>
      <c r="D369" s="13"/>
      <c r="E369" s="54"/>
      <c r="F369" s="2"/>
      <c r="G369" s="83"/>
      <c r="H369" s="84"/>
      <c r="I369" s="84"/>
      <c r="J369" s="10" t="s">
        <v>411</v>
      </c>
    </row>
    <row r="370" spans="1:10" x14ac:dyDescent="0.15">
      <c r="A370" s="15">
        <f>SUM(G368:G374)</f>
        <v>11.98</v>
      </c>
      <c r="B370" s="78"/>
      <c r="C370" s="138">
        <v>41276</v>
      </c>
      <c r="D370" s="13"/>
      <c r="E370" s="54"/>
      <c r="F370" s="12"/>
      <c r="G370" s="83"/>
      <c r="H370" s="84"/>
      <c r="I370" s="84"/>
      <c r="J370" s="10" t="s">
        <v>411</v>
      </c>
    </row>
    <row r="371" spans="1:10" x14ac:dyDescent="0.15">
      <c r="A371" s="2"/>
      <c r="B371" s="78"/>
      <c r="C371" s="138">
        <v>41277</v>
      </c>
      <c r="D371" s="13"/>
      <c r="E371" s="54"/>
      <c r="F371" s="2"/>
      <c r="G371" s="83"/>
      <c r="H371" s="84"/>
      <c r="I371" s="84"/>
      <c r="J371" s="10" t="s">
        <v>411</v>
      </c>
    </row>
    <row r="372" spans="1:10" x14ac:dyDescent="0.15">
      <c r="B372" s="78"/>
      <c r="C372" s="138">
        <v>41278</v>
      </c>
      <c r="D372" s="13"/>
      <c r="E372" s="54"/>
      <c r="F372" s="12"/>
      <c r="G372" s="83"/>
      <c r="H372" s="84"/>
      <c r="I372" s="84"/>
      <c r="J372" s="10" t="s">
        <v>411</v>
      </c>
    </row>
    <row r="373" spans="1:10" x14ac:dyDescent="0.15">
      <c r="A373" s="4" t="s">
        <v>438</v>
      </c>
      <c r="B373" s="78"/>
      <c r="C373" s="138">
        <v>41279</v>
      </c>
      <c r="D373" s="13"/>
      <c r="E373" s="54"/>
      <c r="F373" s="12"/>
      <c r="G373" s="83"/>
      <c r="H373" s="84"/>
      <c r="I373" s="84"/>
      <c r="J373" s="10" t="s">
        <v>411</v>
      </c>
    </row>
    <row r="374" spans="1:10" x14ac:dyDescent="0.15">
      <c r="A374" s="89">
        <f>A370+A363+A356+A349+A342+A335+A328+A321+A314+A307+A300+A293+A286+A279+A272+A265+A258+A251+A244+A237+A230+A223+A216+A209+A202+A195+A188+A181+A174+A167+A160+A153+A146+A139+A132+A125+A118+A111+A104+A97+A90+A83+A76+A69+A62+A55+A48+A41+A34+A27+A20+A13+A6</f>
        <v>1700.9099999999994</v>
      </c>
      <c r="B374" s="85"/>
      <c r="C374" s="90">
        <v>41280</v>
      </c>
      <c r="D374" s="17"/>
      <c r="E374" s="57"/>
      <c r="F374" s="16"/>
      <c r="G374" s="86"/>
      <c r="H374" s="87"/>
      <c r="I374" s="87"/>
      <c r="J374" s="92" t="s">
        <v>411</v>
      </c>
    </row>
    <row r="375" spans="1:10" x14ac:dyDescent="0.15">
      <c r="A375" s="2">
        <f>A374/52</f>
        <v>32.709807692307677</v>
      </c>
      <c r="C375"/>
    </row>
    <row r="376" spans="1:10" x14ac:dyDescent="0.15">
      <c r="C376"/>
    </row>
    <row r="377" spans="1:10" x14ac:dyDescent="0.15">
      <c r="C377"/>
    </row>
    <row r="378" spans="1:10" x14ac:dyDescent="0.15">
      <c r="C378"/>
    </row>
    <row r="379" spans="1:10" x14ac:dyDescent="0.15">
      <c r="C379"/>
    </row>
    <row r="380" spans="1:10" x14ac:dyDescent="0.15">
      <c r="C380"/>
    </row>
    <row r="381" spans="1:10" x14ac:dyDescent="0.15">
      <c r="C381"/>
    </row>
    <row r="382" spans="1:10" x14ac:dyDescent="0.15">
      <c r="C382"/>
    </row>
    <row r="383" spans="1:10" x14ac:dyDescent="0.15">
      <c r="C383"/>
    </row>
    <row r="384" spans="1:10" x14ac:dyDescent="0.15">
      <c r="C384"/>
    </row>
    <row r="385" spans="3:3" x14ac:dyDescent="0.15">
      <c r="C385"/>
    </row>
    <row r="386" spans="3:3" x14ac:dyDescent="0.15">
      <c r="C386"/>
    </row>
    <row r="387" spans="3:3" x14ac:dyDescent="0.15">
      <c r="C387"/>
    </row>
    <row r="388" spans="3:3" x14ac:dyDescent="0.15">
      <c r="C388"/>
    </row>
    <row r="389" spans="3:3" x14ac:dyDescent="0.15">
      <c r="C389"/>
    </row>
    <row r="390" spans="3:3" x14ac:dyDescent="0.15">
      <c r="C390"/>
    </row>
    <row r="391" spans="3:3" x14ac:dyDescent="0.15">
      <c r="C391"/>
    </row>
    <row r="392" spans="3:3" x14ac:dyDescent="0.15">
      <c r="C392"/>
    </row>
    <row r="393" spans="3:3" x14ac:dyDescent="0.15">
      <c r="C393"/>
    </row>
    <row r="394" spans="3:3" x14ac:dyDescent="0.15">
      <c r="C394"/>
    </row>
    <row r="395" spans="3:3" x14ac:dyDescent="0.15">
      <c r="C395"/>
    </row>
    <row r="396" spans="3:3" x14ac:dyDescent="0.15">
      <c r="C396"/>
    </row>
    <row r="397" spans="3:3" x14ac:dyDescent="0.15">
      <c r="C397"/>
    </row>
    <row r="398" spans="3:3" x14ac:dyDescent="0.15">
      <c r="C398"/>
    </row>
    <row r="399" spans="3:3" x14ac:dyDescent="0.15">
      <c r="C399"/>
    </row>
    <row r="400" spans="3:3" x14ac:dyDescent="0.15">
      <c r="C400"/>
    </row>
    <row r="401" spans="3:3" x14ac:dyDescent="0.15">
      <c r="C401"/>
    </row>
    <row r="402" spans="3:3" x14ac:dyDescent="0.15">
      <c r="C402"/>
    </row>
    <row r="403" spans="3:3" x14ac:dyDescent="0.15">
      <c r="C403"/>
    </row>
    <row r="404" spans="3:3" x14ac:dyDescent="0.15">
      <c r="C404"/>
    </row>
    <row r="405" spans="3:3" x14ac:dyDescent="0.15">
      <c r="C405"/>
    </row>
    <row r="406" spans="3:3" x14ac:dyDescent="0.15">
      <c r="C406"/>
    </row>
    <row r="407" spans="3:3" x14ac:dyDescent="0.15">
      <c r="C407"/>
    </row>
    <row r="408" spans="3:3" x14ac:dyDescent="0.15">
      <c r="C408"/>
    </row>
    <row r="409" spans="3:3" x14ac:dyDescent="0.15">
      <c r="C409"/>
    </row>
  </sheetData>
  <sheetProtection selectLockedCells="1" selectUnlockedCells="1"/>
  <mergeCells count="8">
    <mergeCell ref="M19:T19"/>
    <mergeCell ref="M20:T20"/>
    <mergeCell ref="A1:J1"/>
    <mergeCell ref="M7:O7"/>
    <mergeCell ref="P7:R7"/>
    <mergeCell ref="M13:O13"/>
    <mergeCell ref="P13:R13"/>
    <mergeCell ref="M18:T18"/>
  </mergeCells>
  <dataValidations count="3">
    <dataValidation type="list" operator="equal" allowBlank="1" sqref="K3:S17 T11:T12 K18:N18 P18:S18 K19:S258 L259:S259 K260:S269 L270:S272 K271:S274 L275:S275 K276:S287 L288:S288 K289:S375" xr:uid="{00000000-0002-0000-0500-000000000000}">
      <formula1>"ASICS GEL 11-50,ASICS GT 21-40,ASICS GT 21-60"</formula1>
      <formula2>0</formula2>
    </dataValidation>
    <dataValidation type="list" operator="equal" allowBlank="1" showDropDown="1" sqref="A1:H32676 J1:J373 J375:J32676" xr:uid="{00000000-0002-0000-0500-000001000000}">
      <formula1>"ASICS GEL 11-50,ASICS GT 21-40,ASICS GT 21-60"</formula1>
      <formula2>0</formula2>
    </dataValidation>
    <dataValidation type="list" operator="equal" allowBlank="1" sqref="I1:I32676 J374" xr:uid="{00000000-0002-0000-0500-000002000000}">
      <formula1>"ASICS GEL 11-50,ASICS GEL 11-70,ASICS GT 21-40,ASICS GT 21-60,NIKE Run Free 2.0"</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autoPageBreaks="0"/>
  </sheetPr>
  <dimension ref="A1:T409"/>
  <sheetViews>
    <sheetView zoomScale="85" zoomScaleNormal="85" zoomScalePageLayoutView="85" workbookViewId="0">
      <pane ySplit="3" topLeftCell="A325" activePane="bottomLeft" state="frozen"/>
      <selection pane="bottomLeft" activeCell="H328" sqref="H328"/>
    </sheetView>
  </sheetViews>
  <sheetFormatPr baseColWidth="10" defaultColWidth="11.5" defaultRowHeight="13" x14ac:dyDescent="0.15"/>
  <cols>
    <col min="1" max="1" width="10.5" customWidth="1"/>
    <col min="2" max="2" width="0" style="61" hidden="1" customWidth="1"/>
    <col min="3" max="3" width="10.1640625" style="46" customWidth="1"/>
    <col min="4" max="4" width="6.5" customWidth="1"/>
    <col min="5" max="5" width="8.5" style="47" customWidth="1"/>
    <col min="6" max="6" width="5.83203125" customWidth="1"/>
    <col min="7" max="7" width="6" style="62" customWidth="1"/>
    <col min="8" max="8" width="10.1640625" style="63" customWidth="1"/>
    <col min="9" max="9" width="17" style="63" customWidth="1"/>
    <col min="10" max="10" width="6.5" customWidth="1"/>
    <col min="11" max="11" width="14.6640625" customWidth="1"/>
    <col min="12" max="12" width="12.83203125" customWidth="1"/>
    <col min="13" max="13" width="5.1640625" customWidth="1"/>
    <col min="14" max="14" width="2.1640625" customWidth="1"/>
    <col min="15" max="15" width="5.1640625" customWidth="1"/>
    <col min="16" max="16" width="4.5" customWidth="1"/>
    <col min="17" max="17" width="2.1640625" customWidth="1"/>
    <col min="18" max="18" width="4.5" customWidth="1"/>
    <col min="19" max="19" width="13" customWidth="1"/>
    <col min="20" max="20" width="19.33203125" customWidth="1"/>
  </cols>
  <sheetData>
    <row r="1" spans="1:20" ht="19" x14ac:dyDescent="0.15">
      <c r="A1" s="3419" t="s">
        <v>467</v>
      </c>
      <c r="B1" s="3419"/>
      <c r="C1" s="3419"/>
      <c r="D1" s="3419"/>
      <c r="E1" s="3419"/>
      <c r="F1" s="3419"/>
      <c r="G1" s="3419"/>
      <c r="H1" s="3419"/>
      <c r="I1" s="3419"/>
      <c r="J1" s="3419"/>
    </row>
    <row r="2" spans="1:20" x14ac:dyDescent="0.15">
      <c r="A2" s="2"/>
      <c r="B2" s="64"/>
      <c r="D2" s="2"/>
      <c r="E2" s="43"/>
      <c r="F2" s="2"/>
      <c r="G2" s="65"/>
      <c r="H2" s="45"/>
      <c r="I2" s="45"/>
      <c r="J2" s="2"/>
    </row>
    <row r="3" spans="1:20" x14ac:dyDescent="0.15">
      <c r="A3" s="3" t="s">
        <v>1</v>
      </c>
      <c r="B3" s="66" t="s">
        <v>2</v>
      </c>
      <c r="C3" s="67" t="s">
        <v>3</v>
      </c>
      <c r="D3" s="4" t="s">
        <v>4</v>
      </c>
      <c r="E3" s="50" t="s">
        <v>5</v>
      </c>
      <c r="F3" s="3" t="s">
        <v>440</v>
      </c>
      <c r="G3" s="68" t="s">
        <v>429</v>
      </c>
      <c r="H3" s="69" t="s">
        <v>430</v>
      </c>
      <c r="I3" s="69" t="s">
        <v>431</v>
      </c>
      <c r="J3" s="4" t="s">
        <v>432</v>
      </c>
    </row>
    <row r="4" spans="1:20" x14ac:dyDescent="0.15">
      <c r="A4" s="4">
        <v>1</v>
      </c>
      <c r="B4" s="78">
        <v>40231</v>
      </c>
      <c r="C4" s="137">
        <v>41274</v>
      </c>
      <c r="D4" s="8"/>
      <c r="E4" s="52"/>
      <c r="F4" s="7"/>
      <c r="G4" s="80"/>
      <c r="H4" s="81"/>
      <c r="I4" s="81"/>
      <c r="J4" s="10" t="s">
        <v>411</v>
      </c>
    </row>
    <row r="5" spans="1:20" x14ac:dyDescent="0.15">
      <c r="A5" s="11" t="s">
        <v>11</v>
      </c>
      <c r="B5" s="78">
        <v>40232</v>
      </c>
      <c r="C5" s="138">
        <v>41275</v>
      </c>
      <c r="D5" s="13"/>
      <c r="E5" s="54"/>
      <c r="F5" s="2"/>
      <c r="G5" s="83"/>
      <c r="H5" s="84"/>
      <c r="I5" s="84"/>
      <c r="J5" s="10" t="s">
        <v>411</v>
      </c>
      <c r="M5" s="35"/>
      <c r="N5" s="35"/>
    </row>
    <row r="6" spans="1:20" x14ac:dyDescent="0.15">
      <c r="A6" s="15">
        <f>SUM(G4:G10)</f>
        <v>11.6</v>
      </c>
      <c r="B6" s="78">
        <v>40233</v>
      </c>
      <c r="C6" s="138">
        <v>41276</v>
      </c>
      <c r="D6" s="13"/>
      <c r="E6" s="54"/>
      <c r="F6" s="12"/>
      <c r="G6" s="83"/>
      <c r="H6" s="84"/>
      <c r="I6" s="84"/>
      <c r="J6" s="10" t="s">
        <v>411</v>
      </c>
      <c r="M6" s="2"/>
      <c r="N6" s="2"/>
    </row>
    <row r="7" spans="1:20" x14ac:dyDescent="0.15">
      <c r="A7" s="2"/>
      <c r="B7" s="78">
        <v>40234</v>
      </c>
      <c r="C7" s="138">
        <v>41277</v>
      </c>
      <c r="D7" s="13"/>
      <c r="E7" s="54"/>
      <c r="F7" s="2"/>
      <c r="G7" s="83"/>
      <c r="H7" s="84"/>
      <c r="I7" s="84"/>
      <c r="J7" s="10" t="s">
        <v>411</v>
      </c>
      <c r="L7" s="93"/>
      <c r="M7" s="3421" t="s">
        <v>441</v>
      </c>
      <c r="N7" s="3421"/>
      <c r="O7" s="3421"/>
      <c r="P7" s="3422" t="s">
        <v>442</v>
      </c>
      <c r="Q7" s="3422"/>
      <c r="R7" s="3422"/>
      <c r="S7" s="4" t="s">
        <v>443</v>
      </c>
    </row>
    <row r="8" spans="1:20" x14ac:dyDescent="0.15">
      <c r="A8" s="2"/>
      <c r="B8" s="78">
        <v>40235</v>
      </c>
      <c r="C8" s="138">
        <v>41278</v>
      </c>
      <c r="D8" s="13"/>
      <c r="E8" s="54"/>
      <c r="F8" s="12"/>
      <c r="G8" s="83"/>
      <c r="H8" s="84"/>
      <c r="I8" s="84"/>
      <c r="J8" s="10" t="s">
        <v>411</v>
      </c>
      <c r="L8" s="94" t="s">
        <v>444</v>
      </c>
      <c r="M8" s="95">
        <v>0.65</v>
      </c>
      <c r="N8" s="96" t="s">
        <v>437</v>
      </c>
      <c r="O8" s="97">
        <v>0.7</v>
      </c>
      <c r="P8" s="98">
        <f>M8*$P$13</f>
        <v>120.9</v>
      </c>
      <c r="Q8" s="99" t="s">
        <v>437</v>
      </c>
      <c r="R8" s="100">
        <f>O8*$P$13</f>
        <v>130.19999999999999</v>
      </c>
      <c r="S8" s="101">
        <v>4.31712962962963E-3</v>
      </c>
    </row>
    <row r="9" spans="1:20" x14ac:dyDescent="0.15">
      <c r="A9" s="2"/>
      <c r="B9" s="78">
        <v>40236</v>
      </c>
      <c r="C9" s="138">
        <v>41279</v>
      </c>
      <c r="D9" s="13"/>
      <c r="E9" s="54"/>
      <c r="F9" s="12"/>
      <c r="G9" s="83"/>
      <c r="H9" s="84"/>
      <c r="I9" s="84"/>
      <c r="J9" s="10" t="s">
        <v>411</v>
      </c>
      <c r="L9" s="94" t="s">
        <v>445</v>
      </c>
      <c r="M9" s="95">
        <v>0.75</v>
      </c>
      <c r="N9" s="96" t="s">
        <v>437</v>
      </c>
      <c r="O9" s="97">
        <v>0.8</v>
      </c>
      <c r="P9" s="98">
        <f>M9*$P$13</f>
        <v>139.5</v>
      </c>
      <c r="Q9" s="99" t="s">
        <v>437</v>
      </c>
      <c r="R9" s="100">
        <f>O9*$P$13</f>
        <v>148.80000000000001</v>
      </c>
      <c r="S9" s="101">
        <v>3.7268518518518519E-3</v>
      </c>
    </row>
    <row r="10" spans="1:20" x14ac:dyDescent="0.15">
      <c r="A10" s="2"/>
      <c r="B10" s="85">
        <v>40237</v>
      </c>
      <c r="C10" s="138">
        <v>41280</v>
      </c>
      <c r="D10" s="13" t="s">
        <v>14</v>
      </c>
      <c r="E10" s="54">
        <v>4.5138888888888888E-2</v>
      </c>
      <c r="F10" s="12" t="s">
        <v>437</v>
      </c>
      <c r="G10" s="83">
        <v>11.6</v>
      </c>
      <c r="H10" s="84">
        <f>E10/G10</f>
        <v>3.8912835249042144E-3</v>
      </c>
      <c r="I10" s="84" t="s">
        <v>453</v>
      </c>
      <c r="J10" s="10" t="s">
        <v>411</v>
      </c>
      <c r="L10" s="94" t="s">
        <v>446</v>
      </c>
      <c r="M10" s="95">
        <v>0.9</v>
      </c>
      <c r="N10" s="96" t="s">
        <v>437</v>
      </c>
      <c r="O10" s="97">
        <v>0.95</v>
      </c>
      <c r="P10" s="98">
        <f>M10*$P$13</f>
        <v>167.4</v>
      </c>
      <c r="Q10" s="99" t="s">
        <v>437</v>
      </c>
      <c r="R10" s="100">
        <f>O10*$P$13</f>
        <v>176.7</v>
      </c>
      <c r="S10" s="101">
        <v>3.2870370370370371E-3</v>
      </c>
    </row>
    <row r="11" spans="1:20" x14ac:dyDescent="0.15">
      <c r="A11" s="4">
        <f>A4+1</f>
        <v>2</v>
      </c>
      <c r="B11" s="78">
        <v>40238</v>
      </c>
      <c r="C11" s="137">
        <v>41281</v>
      </c>
      <c r="D11" s="8"/>
      <c r="E11" s="52"/>
      <c r="F11" s="7"/>
      <c r="G11" s="80"/>
      <c r="H11" s="81"/>
      <c r="I11" s="81"/>
      <c r="J11" s="10" t="s">
        <v>411</v>
      </c>
      <c r="L11" s="94" t="s">
        <v>447</v>
      </c>
      <c r="M11" s="95">
        <v>0.8</v>
      </c>
      <c r="N11" s="96" t="s">
        <v>437</v>
      </c>
      <c r="O11" s="97">
        <v>0.85</v>
      </c>
      <c r="P11" s="98">
        <f>M11*$P$13</f>
        <v>148.80000000000001</v>
      </c>
      <c r="Q11" s="99" t="s">
        <v>437</v>
      </c>
      <c r="R11" s="100">
        <f>O11*$P$13</f>
        <v>158.1</v>
      </c>
      <c r="S11" s="101">
        <f>T11/42.195</f>
        <v>3.4559013925645047E-3</v>
      </c>
      <c r="T11" s="43">
        <v>0.14582175925925928</v>
      </c>
    </row>
    <row r="12" spans="1:20" x14ac:dyDescent="0.15">
      <c r="A12" s="11" t="s">
        <v>11</v>
      </c>
      <c r="B12" s="78">
        <v>40239</v>
      </c>
      <c r="C12" s="138">
        <v>41282</v>
      </c>
      <c r="D12" s="13"/>
      <c r="E12" s="54"/>
      <c r="F12" s="2"/>
      <c r="G12" s="83"/>
      <c r="H12" s="84"/>
      <c r="I12" s="84"/>
      <c r="J12" s="10" t="s">
        <v>411</v>
      </c>
      <c r="L12" s="102" t="s">
        <v>448</v>
      </c>
      <c r="M12" s="103">
        <v>0.85</v>
      </c>
      <c r="N12" s="104" t="s">
        <v>437</v>
      </c>
      <c r="O12" s="105">
        <v>0.9</v>
      </c>
      <c r="P12" s="106">
        <f>M12*$P$13</f>
        <v>158.1</v>
      </c>
      <c r="Q12" s="107" t="s">
        <v>437</v>
      </c>
      <c r="R12" s="108">
        <f>O12*$P$13</f>
        <v>167.4</v>
      </c>
      <c r="S12" s="109">
        <f>T12/(42.195/2)</f>
        <v>2.9624363076193863E-3</v>
      </c>
      <c r="T12" s="43">
        <v>6.25E-2</v>
      </c>
    </row>
    <row r="13" spans="1:20" x14ac:dyDescent="0.15">
      <c r="A13" s="15">
        <f>SUM(G11:G17)</f>
        <v>21</v>
      </c>
      <c r="B13" s="78">
        <v>40240</v>
      </c>
      <c r="C13" s="138">
        <v>41283</v>
      </c>
      <c r="D13" s="13"/>
      <c r="E13" s="54"/>
      <c r="F13" s="12"/>
      <c r="G13" s="83"/>
      <c r="H13" s="84"/>
      <c r="I13" s="84"/>
      <c r="J13" s="10" t="s">
        <v>411</v>
      </c>
      <c r="L13" s="102" t="s">
        <v>449</v>
      </c>
      <c r="M13" s="3423">
        <v>1</v>
      </c>
      <c r="N13" s="3423"/>
      <c r="O13" s="3423"/>
      <c r="P13" s="3424">
        <v>186</v>
      </c>
      <c r="Q13" s="3424"/>
      <c r="R13" s="3424"/>
      <c r="S13" s="2"/>
    </row>
    <row r="14" spans="1:20" x14ac:dyDescent="0.15">
      <c r="A14" s="2"/>
      <c r="B14" s="78">
        <v>40241</v>
      </c>
      <c r="C14" s="138">
        <v>41284</v>
      </c>
      <c r="D14" s="13"/>
      <c r="E14" s="54"/>
      <c r="F14" s="2"/>
      <c r="G14" s="83"/>
      <c r="H14" s="84"/>
      <c r="I14" s="84"/>
      <c r="J14" s="10" t="s">
        <v>411</v>
      </c>
      <c r="O14" s="35"/>
    </row>
    <row r="15" spans="1:20" x14ac:dyDescent="0.15">
      <c r="A15" s="2"/>
      <c r="B15" s="78">
        <v>40242</v>
      </c>
      <c r="C15" s="138">
        <v>41285</v>
      </c>
      <c r="D15" s="13"/>
      <c r="E15" s="54"/>
      <c r="F15" s="12"/>
      <c r="G15" s="83"/>
      <c r="H15" s="84"/>
      <c r="I15" s="84"/>
      <c r="J15" s="10" t="s">
        <v>411</v>
      </c>
      <c r="O15" s="2"/>
    </row>
    <row r="16" spans="1:20" x14ac:dyDescent="0.15">
      <c r="A16" s="2"/>
      <c r="B16" s="78">
        <v>40243</v>
      </c>
      <c r="C16" s="138">
        <v>41286</v>
      </c>
      <c r="D16" s="13" t="s">
        <v>158</v>
      </c>
      <c r="E16" s="54">
        <v>7.2326388888888885E-2</v>
      </c>
      <c r="F16" s="12" t="s">
        <v>437</v>
      </c>
      <c r="G16" s="83">
        <v>21</v>
      </c>
      <c r="H16" s="84">
        <f>E16/G16</f>
        <v>3.4441137566137564E-3</v>
      </c>
      <c r="I16" s="84" t="s">
        <v>453</v>
      </c>
      <c r="J16" s="10" t="s">
        <v>411</v>
      </c>
      <c r="O16" s="2"/>
    </row>
    <row r="17" spans="1:20" x14ac:dyDescent="0.15">
      <c r="A17" s="2"/>
      <c r="B17" s="85">
        <v>40244</v>
      </c>
      <c r="C17" s="138">
        <v>41287</v>
      </c>
      <c r="D17" s="13"/>
      <c r="E17" s="54"/>
      <c r="F17" s="12"/>
      <c r="G17" s="83"/>
      <c r="H17" s="84"/>
      <c r="I17" s="84"/>
      <c r="J17" s="10" t="s">
        <v>411</v>
      </c>
      <c r="L17" s="139" t="s">
        <v>458</v>
      </c>
      <c r="O17" s="2"/>
    </row>
    <row r="18" spans="1:20" x14ac:dyDescent="0.15">
      <c r="A18" s="4">
        <f>A11+1</f>
        <v>3</v>
      </c>
      <c r="B18" s="78">
        <v>40245</v>
      </c>
      <c r="C18" s="137">
        <v>41288</v>
      </c>
      <c r="D18" s="8"/>
      <c r="E18" s="52"/>
      <c r="F18" s="7"/>
      <c r="G18" s="80"/>
      <c r="H18" s="81"/>
      <c r="I18" s="81"/>
      <c r="J18" s="10" t="s">
        <v>411</v>
      </c>
      <c r="L18" s="140" t="s">
        <v>14</v>
      </c>
      <c r="M18" s="3425" t="s">
        <v>459</v>
      </c>
      <c r="N18" s="3425"/>
      <c r="O18" s="3425"/>
      <c r="P18" s="3425"/>
      <c r="Q18" s="3425"/>
      <c r="R18" s="3425"/>
      <c r="S18" s="3425"/>
      <c r="T18" s="3425"/>
    </row>
    <row r="19" spans="1:20" x14ac:dyDescent="0.15">
      <c r="A19" s="11" t="s">
        <v>11</v>
      </c>
      <c r="B19" s="78">
        <v>40246</v>
      </c>
      <c r="C19" s="138">
        <v>41289</v>
      </c>
      <c r="D19" s="13"/>
      <c r="E19" s="54"/>
      <c r="F19" s="2"/>
      <c r="G19" s="83"/>
      <c r="H19" s="84"/>
      <c r="I19" s="84"/>
      <c r="J19" s="10" t="s">
        <v>411</v>
      </c>
      <c r="L19" s="140" t="s">
        <v>460</v>
      </c>
      <c r="M19" s="3425" t="s">
        <v>461</v>
      </c>
      <c r="N19" s="3425"/>
      <c r="O19" s="3425"/>
      <c r="P19" s="3425"/>
      <c r="Q19" s="3425"/>
      <c r="R19" s="3425"/>
      <c r="S19" s="3425"/>
      <c r="T19" s="3425"/>
    </row>
    <row r="20" spans="1:20" x14ac:dyDescent="0.15">
      <c r="A20" s="15">
        <f>SUM(G18:G24)</f>
        <v>0</v>
      </c>
      <c r="B20" s="78">
        <v>40247</v>
      </c>
      <c r="C20" s="138">
        <v>41290</v>
      </c>
      <c r="D20" s="13"/>
      <c r="E20" s="54"/>
      <c r="F20" s="12"/>
      <c r="G20" s="83"/>
      <c r="H20" s="84"/>
      <c r="I20" s="84"/>
      <c r="J20" s="10" t="s">
        <v>411</v>
      </c>
      <c r="L20" s="140" t="s">
        <v>462</v>
      </c>
      <c r="M20" s="3425" t="s">
        <v>463</v>
      </c>
      <c r="N20" s="3425"/>
      <c r="O20" s="3425"/>
      <c r="P20" s="3425"/>
      <c r="Q20" s="3425"/>
      <c r="R20" s="3425"/>
      <c r="S20" s="3425"/>
      <c r="T20" s="3425"/>
    </row>
    <row r="21" spans="1:20" x14ac:dyDescent="0.15">
      <c r="A21" s="2"/>
      <c r="B21" s="78">
        <v>40248</v>
      </c>
      <c r="C21" s="138">
        <v>41291</v>
      </c>
      <c r="D21" s="13"/>
      <c r="E21" s="54"/>
      <c r="F21" s="2"/>
      <c r="G21" s="83"/>
      <c r="H21" s="84"/>
      <c r="I21" s="84"/>
      <c r="J21" s="10" t="s">
        <v>411</v>
      </c>
    </row>
    <row r="22" spans="1:20" x14ac:dyDescent="0.15">
      <c r="A22" s="2"/>
      <c r="B22" s="78">
        <v>40249</v>
      </c>
      <c r="C22" s="138">
        <v>41292</v>
      </c>
      <c r="D22" s="13"/>
      <c r="E22" s="54"/>
      <c r="F22" s="12"/>
      <c r="G22" s="83"/>
      <c r="H22" s="84"/>
      <c r="I22" s="84"/>
      <c r="J22" s="10" t="s">
        <v>411</v>
      </c>
    </row>
    <row r="23" spans="1:20" x14ac:dyDescent="0.15">
      <c r="A23" s="2"/>
      <c r="B23" s="78">
        <v>40250</v>
      </c>
      <c r="C23" s="138">
        <v>41293</v>
      </c>
      <c r="D23" s="13"/>
      <c r="E23" s="54"/>
      <c r="F23" s="12"/>
      <c r="G23" s="83"/>
      <c r="H23" s="84"/>
      <c r="I23" s="84"/>
      <c r="J23" s="10" t="s">
        <v>411</v>
      </c>
    </row>
    <row r="24" spans="1:20" x14ac:dyDescent="0.15">
      <c r="A24" s="2"/>
      <c r="B24" s="85">
        <v>40251</v>
      </c>
      <c r="C24" s="138">
        <v>41294</v>
      </c>
      <c r="D24" s="13"/>
      <c r="E24" s="54"/>
      <c r="F24" s="12"/>
      <c r="G24" s="83"/>
      <c r="H24" s="84"/>
      <c r="I24" s="84"/>
      <c r="J24" s="10" t="s">
        <v>411</v>
      </c>
    </row>
    <row r="25" spans="1:20" x14ac:dyDescent="0.15">
      <c r="A25" s="4">
        <f>A18+1</f>
        <v>4</v>
      </c>
      <c r="B25" s="78">
        <v>40252</v>
      </c>
      <c r="C25" s="137">
        <v>41295</v>
      </c>
      <c r="D25" s="8"/>
      <c r="E25" s="52"/>
      <c r="F25" s="7"/>
      <c r="G25" s="80"/>
      <c r="H25" s="81"/>
      <c r="I25" s="81"/>
      <c r="J25" s="10" t="s">
        <v>411</v>
      </c>
    </row>
    <row r="26" spans="1:20" x14ac:dyDescent="0.15">
      <c r="A26" s="11" t="s">
        <v>11</v>
      </c>
      <c r="B26" s="78">
        <v>40253</v>
      </c>
      <c r="C26" s="138">
        <v>41296</v>
      </c>
      <c r="D26" s="13"/>
      <c r="E26" s="54"/>
      <c r="F26" s="2"/>
      <c r="G26" s="83"/>
      <c r="H26" s="84"/>
      <c r="I26" s="84"/>
      <c r="J26" s="10" t="s">
        <v>411</v>
      </c>
    </row>
    <row r="27" spans="1:20" x14ac:dyDescent="0.15">
      <c r="A27" s="15">
        <f>SUM(G25:G31)</f>
        <v>0</v>
      </c>
      <c r="B27" s="78">
        <v>40254</v>
      </c>
      <c r="C27" s="138">
        <v>41297</v>
      </c>
      <c r="D27" s="13"/>
      <c r="E27" s="54"/>
      <c r="F27" s="12"/>
      <c r="G27" s="83"/>
      <c r="H27" s="84"/>
      <c r="I27" s="84"/>
      <c r="J27" s="10" t="s">
        <v>411</v>
      </c>
    </row>
    <row r="28" spans="1:20" x14ac:dyDescent="0.15">
      <c r="A28" s="2"/>
      <c r="B28" s="78">
        <v>40255</v>
      </c>
      <c r="C28" s="138">
        <v>41298</v>
      </c>
      <c r="D28" s="13"/>
      <c r="E28" s="54"/>
      <c r="F28" s="2"/>
      <c r="G28" s="83"/>
      <c r="H28" s="84"/>
      <c r="I28" s="84"/>
      <c r="J28" s="10" t="s">
        <v>411</v>
      </c>
    </row>
    <row r="29" spans="1:20" x14ac:dyDescent="0.15">
      <c r="A29" s="2"/>
      <c r="B29" s="78">
        <v>40256</v>
      </c>
      <c r="C29" s="138">
        <v>41299</v>
      </c>
      <c r="D29" s="13"/>
      <c r="E29" s="54"/>
      <c r="F29" s="12"/>
      <c r="G29" s="83"/>
      <c r="H29" s="84"/>
      <c r="I29" s="84"/>
      <c r="J29" s="10" t="s">
        <v>411</v>
      </c>
    </row>
    <row r="30" spans="1:20" x14ac:dyDescent="0.15">
      <c r="A30" s="2"/>
      <c r="B30" s="78">
        <v>40257</v>
      </c>
      <c r="C30" s="138">
        <v>41300</v>
      </c>
      <c r="D30" s="13"/>
      <c r="E30" s="54"/>
      <c r="F30" s="12"/>
      <c r="G30" s="83"/>
      <c r="H30" s="84"/>
      <c r="I30" s="84"/>
      <c r="J30" s="10" t="s">
        <v>411</v>
      </c>
    </row>
    <row r="31" spans="1:20" x14ac:dyDescent="0.15">
      <c r="A31" s="2"/>
      <c r="B31" s="85">
        <v>40258</v>
      </c>
      <c r="C31" s="138">
        <v>41301</v>
      </c>
      <c r="D31" s="13"/>
      <c r="E31" s="54"/>
      <c r="F31" s="12"/>
      <c r="G31" s="83"/>
      <c r="H31" s="84"/>
      <c r="I31" s="84"/>
      <c r="J31" s="10" t="s">
        <v>411</v>
      </c>
    </row>
    <row r="32" spans="1:20" x14ac:dyDescent="0.15">
      <c r="A32" s="4">
        <f>A25+1</f>
        <v>5</v>
      </c>
      <c r="B32" s="78">
        <v>40259</v>
      </c>
      <c r="C32" s="137">
        <v>41302</v>
      </c>
      <c r="D32" s="8"/>
      <c r="E32" s="52"/>
      <c r="F32" s="7"/>
      <c r="G32" s="80"/>
      <c r="H32" s="81"/>
      <c r="I32" s="81"/>
      <c r="J32" s="10" t="s">
        <v>411</v>
      </c>
    </row>
    <row r="33" spans="1:10" x14ac:dyDescent="0.15">
      <c r="A33" s="11" t="s">
        <v>11</v>
      </c>
      <c r="B33" s="78">
        <v>40260</v>
      </c>
      <c r="C33" s="138">
        <v>41303</v>
      </c>
      <c r="D33" s="13"/>
      <c r="E33" s="54"/>
      <c r="F33" s="2"/>
      <c r="G33" s="83"/>
      <c r="H33" s="84"/>
      <c r="I33" s="84"/>
      <c r="J33" s="10" t="s">
        <v>411</v>
      </c>
    </row>
    <row r="34" spans="1:10" x14ac:dyDescent="0.15">
      <c r="A34" s="15">
        <f>SUM(G32:G38)</f>
        <v>0</v>
      </c>
      <c r="B34" s="78">
        <v>40261</v>
      </c>
      <c r="C34" s="138">
        <v>41304</v>
      </c>
      <c r="D34" s="13"/>
      <c r="E34" s="54"/>
      <c r="F34" s="12"/>
      <c r="G34" s="83"/>
      <c r="H34" s="84"/>
      <c r="I34" s="84"/>
      <c r="J34" s="10" t="s">
        <v>411</v>
      </c>
    </row>
    <row r="35" spans="1:10" x14ac:dyDescent="0.15">
      <c r="A35" s="2"/>
      <c r="B35" s="78">
        <v>40262</v>
      </c>
      <c r="C35" s="138">
        <v>41305</v>
      </c>
      <c r="D35" s="13"/>
      <c r="E35" s="54"/>
      <c r="F35" s="2"/>
      <c r="G35" s="83"/>
      <c r="H35" s="84"/>
      <c r="I35" s="84"/>
      <c r="J35" s="10" t="s">
        <v>411</v>
      </c>
    </row>
    <row r="36" spans="1:10" x14ac:dyDescent="0.15">
      <c r="A36" s="2"/>
      <c r="B36" s="78">
        <v>40263</v>
      </c>
      <c r="C36" s="138">
        <v>41306</v>
      </c>
      <c r="D36" s="13"/>
      <c r="E36" s="54"/>
      <c r="F36" s="12"/>
      <c r="G36" s="83"/>
      <c r="H36" s="84"/>
      <c r="I36" s="84"/>
      <c r="J36" s="10" t="s">
        <v>411</v>
      </c>
    </row>
    <row r="37" spans="1:10" x14ac:dyDescent="0.15">
      <c r="A37" s="2"/>
      <c r="B37" s="78">
        <v>40264</v>
      </c>
      <c r="C37" s="138">
        <v>41307</v>
      </c>
      <c r="D37" s="13"/>
      <c r="E37" s="54"/>
      <c r="F37" s="12"/>
      <c r="G37" s="83"/>
      <c r="H37" s="84"/>
      <c r="I37" s="84"/>
      <c r="J37" s="10" t="s">
        <v>411</v>
      </c>
    </row>
    <row r="38" spans="1:10" x14ac:dyDescent="0.15">
      <c r="A38" s="2"/>
      <c r="B38" s="85">
        <v>40265</v>
      </c>
      <c r="C38" s="138">
        <v>41308</v>
      </c>
      <c r="D38" s="13"/>
      <c r="E38" s="54"/>
      <c r="F38" s="12"/>
      <c r="G38" s="83"/>
      <c r="H38" s="84"/>
      <c r="I38" s="84"/>
      <c r="J38" s="10" t="s">
        <v>411</v>
      </c>
    </row>
    <row r="39" spans="1:10" x14ac:dyDescent="0.15">
      <c r="A39" s="4">
        <f>A32+1</f>
        <v>6</v>
      </c>
      <c r="B39" s="78">
        <v>40266</v>
      </c>
      <c r="C39" s="137">
        <v>41309</v>
      </c>
      <c r="D39" s="8"/>
      <c r="E39" s="52"/>
      <c r="F39" s="7"/>
      <c r="G39" s="80"/>
      <c r="H39" s="81"/>
      <c r="I39" s="81"/>
      <c r="J39" s="10" t="s">
        <v>411</v>
      </c>
    </row>
    <row r="40" spans="1:10" x14ac:dyDescent="0.15">
      <c r="A40" s="11" t="s">
        <v>11</v>
      </c>
      <c r="B40" s="78">
        <v>40267</v>
      </c>
      <c r="C40" s="138">
        <v>41310</v>
      </c>
      <c r="D40" s="13"/>
      <c r="E40" s="54"/>
      <c r="F40" s="2"/>
      <c r="G40" s="83"/>
      <c r="H40" s="84"/>
      <c r="I40" s="84"/>
      <c r="J40" s="10" t="s">
        <v>411</v>
      </c>
    </row>
    <row r="41" spans="1:10" x14ac:dyDescent="0.15">
      <c r="A41" s="15">
        <f>SUM(G39:G45)</f>
        <v>10.48</v>
      </c>
      <c r="B41" s="78">
        <v>40268</v>
      </c>
      <c r="C41" s="138">
        <v>41311</v>
      </c>
      <c r="D41" s="13"/>
      <c r="E41" s="54"/>
      <c r="F41" s="12"/>
      <c r="G41" s="83"/>
      <c r="H41" s="84"/>
      <c r="I41" s="84"/>
      <c r="J41" s="10" t="s">
        <v>411</v>
      </c>
    </row>
    <row r="42" spans="1:10" x14ac:dyDescent="0.15">
      <c r="A42" s="2"/>
      <c r="B42" s="78">
        <v>40269</v>
      </c>
      <c r="C42" s="138">
        <v>41312</v>
      </c>
      <c r="D42" s="13"/>
      <c r="E42" s="54"/>
      <c r="F42" s="2"/>
      <c r="G42" s="83"/>
      <c r="H42" s="84"/>
      <c r="I42" s="84"/>
      <c r="J42" s="10" t="s">
        <v>411</v>
      </c>
    </row>
    <row r="43" spans="1:10" x14ac:dyDescent="0.15">
      <c r="A43" s="2"/>
      <c r="B43" s="78">
        <v>40270</v>
      </c>
      <c r="C43" s="138">
        <v>41313</v>
      </c>
      <c r="D43" s="13"/>
      <c r="E43" s="54"/>
      <c r="F43" s="12"/>
      <c r="G43" s="83"/>
      <c r="H43" s="84"/>
      <c r="I43" s="84"/>
      <c r="J43" s="10" t="s">
        <v>411</v>
      </c>
    </row>
    <row r="44" spans="1:10" x14ac:dyDescent="0.15">
      <c r="A44" s="2"/>
      <c r="B44" s="78">
        <v>40271</v>
      </c>
      <c r="C44" s="138">
        <v>41314</v>
      </c>
      <c r="D44" s="13"/>
      <c r="E44" s="54"/>
      <c r="F44" s="12"/>
      <c r="G44" s="83"/>
      <c r="H44" s="84"/>
      <c r="I44" s="84"/>
      <c r="J44" s="10" t="s">
        <v>411</v>
      </c>
    </row>
    <row r="45" spans="1:10" x14ac:dyDescent="0.15">
      <c r="A45" s="2"/>
      <c r="B45" s="85">
        <v>40272</v>
      </c>
      <c r="C45" s="138">
        <v>41315</v>
      </c>
      <c r="D45" s="13" t="s">
        <v>14</v>
      </c>
      <c r="E45" s="54">
        <v>3.9259259259259258E-2</v>
      </c>
      <c r="F45" s="12">
        <v>152</v>
      </c>
      <c r="G45" s="83">
        <v>10.48</v>
      </c>
      <c r="H45" s="84">
        <f>E45/G45</f>
        <v>3.7461125247384786E-3</v>
      </c>
      <c r="I45" s="84" t="s">
        <v>466</v>
      </c>
      <c r="J45" s="10" t="s">
        <v>411</v>
      </c>
    </row>
    <row r="46" spans="1:10" x14ac:dyDescent="0.15">
      <c r="A46" s="4">
        <f>A39+1</f>
        <v>7</v>
      </c>
      <c r="B46" s="78">
        <v>40273</v>
      </c>
      <c r="C46" s="137">
        <v>41316</v>
      </c>
      <c r="D46" s="8"/>
      <c r="E46" s="52"/>
      <c r="F46" s="7"/>
      <c r="G46" s="80"/>
      <c r="H46" s="81"/>
      <c r="I46" s="81"/>
      <c r="J46" s="10" t="s">
        <v>411</v>
      </c>
    </row>
    <row r="47" spans="1:10" x14ac:dyDescent="0.15">
      <c r="A47" s="11" t="s">
        <v>11</v>
      </c>
      <c r="B47" s="78">
        <v>40274</v>
      </c>
      <c r="C47" s="138">
        <v>41317</v>
      </c>
      <c r="D47" s="13"/>
      <c r="E47" s="54"/>
      <c r="F47" s="2"/>
      <c r="G47" s="83"/>
      <c r="H47" s="84"/>
      <c r="I47" s="84"/>
      <c r="J47" s="10" t="s">
        <v>411</v>
      </c>
    </row>
    <row r="48" spans="1:10" x14ac:dyDescent="0.15">
      <c r="A48" s="15">
        <f>SUM(G46:G52)</f>
        <v>0</v>
      </c>
      <c r="B48" s="78">
        <v>40275</v>
      </c>
      <c r="C48" s="138">
        <v>41318</v>
      </c>
      <c r="D48" s="13"/>
      <c r="E48" s="54"/>
      <c r="F48" s="12"/>
      <c r="G48" s="83"/>
      <c r="H48" s="84"/>
      <c r="I48" s="84"/>
      <c r="J48" s="10" t="s">
        <v>411</v>
      </c>
    </row>
    <row r="49" spans="1:10" x14ac:dyDescent="0.15">
      <c r="A49" s="2"/>
      <c r="B49" s="78">
        <v>40276</v>
      </c>
      <c r="C49" s="138">
        <v>41319</v>
      </c>
      <c r="D49" s="13"/>
      <c r="E49" s="54"/>
      <c r="F49" s="2"/>
      <c r="G49" s="83"/>
      <c r="H49" s="84"/>
      <c r="I49" s="84"/>
      <c r="J49" s="10" t="s">
        <v>411</v>
      </c>
    </row>
    <row r="50" spans="1:10" x14ac:dyDescent="0.15">
      <c r="A50" s="2"/>
      <c r="B50" s="78">
        <v>40277</v>
      </c>
      <c r="C50" s="138">
        <v>41320</v>
      </c>
      <c r="D50" s="13"/>
      <c r="E50" s="54"/>
      <c r="F50" s="12"/>
      <c r="G50" s="83"/>
      <c r="H50" s="84"/>
      <c r="I50" s="84"/>
      <c r="J50" s="10" t="s">
        <v>411</v>
      </c>
    </row>
    <row r="51" spans="1:10" x14ac:dyDescent="0.15">
      <c r="A51" s="2"/>
      <c r="B51" s="78">
        <v>40278</v>
      </c>
      <c r="C51" s="138">
        <v>41321</v>
      </c>
      <c r="D51" s="13"/>
      <c r="E51" s="54"/>
      <c r="F51" s="12"/>
      <c r="G51" s="83"/>
      <c r="H51" s="84"/>
      <c r="I51" s="84"/>
      <c r="J51" s="10" t="s">
        <v>411</v>
      </c>
    </row>
    <row r="52" spans="1:10" x14ac:dyDescent="0.15">
      <c r="A52" s="2"/>
      <c r="B52" s="85">
        <v>40279</v>
      </c>
      <c r="C52" s="138">
        <v>41322</v>
      </c>
      <c r="D52" s="13"/>
      <c r="E52" s="54"/>
      <c r="F52" s="12"/>
      <c r="G52" s="83"/>
      <c r="H52" s="84"/>
      <c r="I52" s="84"/>
      <c r="J52" s="10" t="s">
        <v>411</v>
      </c>
    </row>
    <row r="53" spans="1:10" x14ac:dyDescent="0.15">
      <c r="A53" s="4">
        <f>A46+1</f>
        <v>8</v>
      </c>
      <c r="B53" s="78">
        <v>40280</v>
      </c>
      <c r="C53" s="137">
        <v>41323</v>
      </c>
      <c r="D53" s="8"/>
      <c r="E53" s="52"/>
      <c r="F53" s="7"/>
      <c r="G53" s="80"/>
      <c r="H53" s="81"/>
      <c r="I53" s="81"/>
      <c r="J53" s="10" t="s">
        <v>411</v>
      </c>
    </row>
    <row r="54" spans="1:10" x14ac:dyDescent="0.15">
      <c r="A54" s="11" t="s">
        <v>11</v>
      </c>
      <c r="B54" s="78">
        <v>40281</v>
      </c>
      <c r="C54" s="138">
        <v>41324</v>
      </c>
      <c r="D54" s="13"/>
      <c r="E54" s="54"/>
      <c r="F54" s="2"/>
      <c r="G54" s="83"/>
      <c r="H54" s="84"/>
      <c r="I54" s="84"/>
      <c r="J54" s="10" t="s">
        <v>411</v>
      </c>
    </row>
    <row r="55" spans="1:10" x14ac:dyDescent="0.15">
      <c r="A55" s="15">
        <f>SUM(G53:G59)</f>
        <v>10.51</v>
      </c>
      <c r="B55" s="78">
        <v>40282</v>
      </c>
      <c r="C55" s="138">
        <v>41325</v>
      </c>
      <c r="D55" s="13"/>
      <c r="E55" s="54"/>
      <c r="F55" s="12"/>
      <c r="G55" s="83"/>
      <c r="H55" s="84"/>
      <c r="I55" s="84"/>
      <c r="J55" s="10" t="s">
        <v>411</v>
      </c>
    </row>
    <row r="56" spans="1:10" x14ac:dyDescent="0.15">
      <c r="A56" s="2"/>
      <c r="B56" s="78">
        <v>40283</v>
      </c>
      <c r="C56" s="138">
        <v>41326</v>
      </c>
      <c r="D56" s="13"/>
      <c r="E56" s="54"/>
      <c r="F56" s="2"/>
      <c r="G56" s="83"/>
      <c r="H56" s="84"/>
      <c r="I56" s="84"/>
      <c r="J56" s="10" t="s">
        <v>411</v>
      </c>
    </row>
    <row r="57" spans="1:10" x14ac:dyDescent="0.15">
      <c r="A57" s="2"/>
      <c r="B57" s="78">
        <v>40284</v>
      </c>
      <c r="C57" s="138">
        <v>41327</v>
      </c>
      <c r="D57" s="13"/>
      <c r="E57" s="54"/>
      <c r="F57" s="12"/>
      <c r="G57" s="83"/>
      <c r="H57" s="84"/>
      <c r="I57" s="84"/>
      <c r="J57" s="10" t="s">
        <v>411</v>
      </c>
    </row>
    <row r="58" spans="1:10" x14ac:dyDescent="0.15">
      <c r="A58" s="2"/>
      <c r="B58" s="78">
        <v>40285</v>
      </c>
      <c r="C58" s="138">
        <v>41328</v>
      </c>
      <c r="D58" s="13"/>
      <c r="E58" s="54"/>
      <c r="F58" s="12"/>
      <c r="G58" s="83"/>
      <c r="H58" s="84"/>
      <c r="I58" s="84"/>
      <c r="J58" s="10" t="s">
        <v>411</v>
      </c>
    </row>
    <row r="59" spans="1:10" x14ac:dyDescent="0.15">
      <c r="A59" s="2"/>
      <c r="B59" s="85">
        <v>40286</v>
      </c>
      <c r="C59" s="138">
        <v>41329</v>
      </c>
      <c r="D59" s="13" t="s">
        <v>14</v>
      </c>
      <c r="E59" s="54">
        <v>4.1400462962962965E-2</v>
      </c>
      <c r="F59" s="12">
        <v>150</v>
      </c>
      <c r="G59" s="83">
        <v>10.51</v>
      </c>
      <c r="H59" s="84">
        <f>E59/G59</f>
        <v>3.9391496634598447E-3</v>
      </c>
      <c r="I59" s="84" t="s">
        <v>466</v>
      </c>
      <c r="J59" s="10" t="s">
        <v>411</v>
      </c>
    </row>
    <row r="60" spans="1:10" x14ac:dyDescent="0.15">
      <c r="A60" s="4">
        <f>A53+1</f>
        <v>9</v>
      </c>
      <c r="B60" s="78">
        <v>40287</v>
      </c>
      <c r="C60" s="137">
        <v>41330</v>
      </c>
      <c r="D60" s="8"/>
      <c r="E60" s="52"/>
      <c r="F60" s="7"/>
      <c r="G60" s="80"/>
      <c r="H60" s="81"/>
      <c r="I60" s="81"/>
      <c r="J60" s="10" t="s">
        <v>411</v>
      </c>
    </row>
    <row r="61" spans="1:10" x14ac:dyDescent="0.15">
      <c r="A61" s="11" t="s">
        <v>11</v>
      </c>
      <c r="B61" s="78">
        <v>40288</v>
      </c>
      <c r="C61" s="138">
        <v>41331</v>
      </c>
      <c r="D61" s="13"/>
      <c r="E61" s="54"/>
      <c r="F61" s="2"/>
      <c r="G61" s="83"/>
      <c r="H61" s="84"/>
      <c r="I61" s="84"/>
      <c r="J61" s="10" t="s">
        <v>411</v>
      </c>
    </row>
    <row r="62" spans="1:10" x14ac:dyDescent="0.15">
      <c r="A62" s="15">
        <f>SUM(G60:G66)</f>
        <v>0</v>
      </c>
      <c r="B62" s="78">
        <v>40289</v>
      </c>
      <c r="C62" s="138">
        <v>41332</v>
      </c>
      <c r="D62" s="13"/>
      <c r="E62" s="54"/>
      <c r="F62" s="12"/>
      <c r="G62" s="83"/>
      <c r="H62" s="84"/>
      <c r="I62" s="84"/>
      <c r="J62" s="10" t="s">
        <v>411</v>
      </c>
    </row>
    <row r="63" spans="1:10" x14ac:dyDescent="0.15">
      <c r="A63" s="2"/>
      <c r="B63" s="78">
        <v>40290</v>
      </c>
      <c r="C63" s="138">
        <v>41333</v>
      </c>
      <c r="D63" s="13"/>
      <c r="E63" s="54"/>
      <c r="F63" s="2"/>
      <c r="G63" s="83"/>
      <c r="H63" s="84"/>
      <c r="I63" s="84"/>
      <c r="J63" s="10" t="s">
        <v>411</v>
      </c>
    </row>
    <row r="64" spans="1:10" x14ac:dyDescent="0.15">
      <c r="A64" s="2"/>
      <c r="B64" s="78">
        <v>40291</v>
      </c>
      <c r="C64" s="138">
        <v>41334</v>
      </c>
      <c r="D64" s="13"/>
      <c r="E64" s="54"/>
      <c r="F64" s="12"/>
      <c r="G64" s="83"/>
      <c r="H64" s="84"/>
      <c r="I64" s="84"/>
      <c r="J64" s="10" t="s">
        <v>411</v>
      </c>
    </row>
    <row r="65" spans="1:10" x14ac:dyDescent="0.15">
      <c r="A65" s="2"/>
      <c r="B65" s="78">
        <v>40292</v>
      </c>
      <c r="C65" s="138">
        <v>41335</v>
      </c>
      <c r="D65" s="13"/>
      <c r="E65" s="54"/>
      <c r="F65" s="12"/>
      <c r="G65" s="83"/>
      <c r="H65" s="84"/>
      <c r="I65" s="84"/>
      <c r="J65" s="10" t="s">
        <v>411</v>
      </c>
    </row>
    <row r="66" spans="1:10" x14ac:dyDescent="0.15">
      <c r="A66" s="2"/>
      <c r="B66" s="85">
        <v>40293</v>
      </c>
      <c r="C66" s="138">
        <v>41336</v>
      </c>
      <c r="D66" s="13"/>
      <c r="E66" s="54"/>
      <c r="F66" s="12"/>
      <c r="G66" s="83"/>
      <c r="H66" s="84"/>
      <c r="I66" s="84"/>
      <c r="J66" s="10" t="s">
        <v>411</v>
      </c>
    </row>
    <row r="67" spans="1:10" x14ac:dyDescent="0.15">
      <c r="A67" s="4">
        <f>A60+1</f>
        <v>10</v>
      </c>
      <c r="B67" s="78">
        <v>40294</v>
      </c>
      <c r="C67" s="137">
        <v>41337</v>
      </c>
      <c r="D67" s="8"/>
      <c r="E67" s="52"/>
      <c r="F67" s="7"/>
      <c r="G67" s="80"/>
      <c r="H67" s="81"/>
      <c r="I67" s="81"/>
      <c r="J67" s="10" t="s">
        <v>411</v>
      </c>
    </row>
    <row r="68" spans="1:10" x14ac:dyDescent="0.15">
      <c r="A68" s="11" t="s">
        <v>11</v>
      </c>
      <c r="B68" s="78">
        <v>40295</v>
      </c>
      <c r="C68" s="138">
        <v>41338</v>
      </c>
      <c r="D68" s="13"/>
      <c r="E68" s="54"/>
      <c r="F68" s="2"/>
      <c r="G68" s="83"/>
      <c r="H68" s="84"/>
      <c r="I68" s="84"/>
      <c r="J68" s="10" t="s">
        <v>411</v>
      </c>
    </row>
    <row r="69" spans="1:10" x14ac:dyDescent="0.15">
      <c r="A69" s="15">
        <f>SUM(G67:G73)</f>
        <v>9.6</v>
      </c>
      <c r="B69" s="78">
        <v>40296</v>
      </c>
      <c r="C69" s="138">
        <v>41339</v>
      </c>
      <c r="D69" s="13"/>
      <c r="E69" s="54"/>
      <c r="F69" s="12"/>
      <c r="G69" s="83"/>
      <c r="H69" s="84"/>
      <c r="I69" s="84"/>
      <c r="J69" s="10" t="s">
        <v>411</v>
      </c>
    </row>
    <row r="70" spans="1:10" x14ac:dyDescent="0.15">
      <c r="A70" s="2"/>
      <c r="B70" s="78">
        <v>40297</v>
      </c>
      <c r="C70" s="138">
        <v>41340</v>
      </c>
      <c r="D70" s="13"/>
      <c r="E70" s="54"/>
      <c r="F70" s="2"/>
      <c r="G70" s="83"/>
      <c r="H70" s="84"/>
      <c r="I70" s="84"/>
      <c r="J70" s="10" t="s">
        <v>411</v>
      </c>
    </row>
    <row r="71" spans="1:10" x14ac:dyDescent="0.15">
      <c r="A71" s="2"/>
      <c r="B71" s="78">
        <v>40298</v>
      </c>
      <c r="C71" s="138">
        <v>41341</v>
      </c>
      <c r="D71" s="13" t="s">
        <v>14</v>
      </c>
      <c r="E71" s="54">
        <v>3.4895833333333334E-2</v>
      </c>
      <c r="F71" s="12">
        <v>155</v>
      </c>
      <c r="G71" s="83">
        <v>9.6</v>
      </c>
      <c r="H71" s="84">
        <f>E71/G71</f>
        <v>3.634982638888889E-3</v>
      </c>
      <c r="I71" s="84" t="s">
        <v>455</v>
      </c>
      <c r="J71" s="10" t="s">
        <v>411</v>
      </c>
    </row>
    <row r="72" spans="1:10" x14ac:dyDescent="0.15">
      <c r="A72" s="2"/>
      <c r="B72" s="78">
        <v>40299</v>
      </c>
      <c r="C72" s="138">
        <v>41342</v>
      </c>
      <c r="D72" s="13"/>
      <c r="E72" s="54"/>
      <c r="F72" s="12"/>
      <c r="G72" s="83"/>
      <c r="H72" s="84"/>
      <c r="I72" s="84"/>
      <c r="J72" s="10" t="s">
        <v>411</v>
      </c>
    </row>
    <row r="73" spans="1:10" x14ac:dyDescent="0.15">
      <c r="A73" s="2"/>
      <c r="B73" s="85">
        <v>40300</v>
      </c>
      <c r="C73" s="138">
        <v>41343</v>
      </c>
      <c r="D73" s="13"/>
      <c r="E73" s="54"/>
      <c r="F73" s="12"/>
      <c r="G73" s="83"/>
      <c r="H73" s="84"/>
      <c r="I73" s="84"/>
      <c r="J73" s="10" t="s">
        <v>411</v>
      </c>
    </row>
    <row r="74" spans="1:10" x14ac:dyDescent="0.15">
      <c r="A74" s="4">
        <f>A67+1</f>
        <v>11</v>
      </c>
      <c r="B74" s="78">
        <v>40301</v>
      </c>
      <c r="C74" s="137">
        <v>41344</v>
      </c>
      <c r="D74" s="8" t="s">
        <v>14</v>
      </c>
      <c r="E74" s="52">
        <v>3.6388888888888887E-2</v>
      </c>
      <c r="F74" s="7">
        <v>162</v>
      </c>
      <c r="G74" s="80">
        <v>9.23</v>
      </c>
      <c r="H74" s="81">
        <f>E74/G74</f>
        <v>3.9424581678102798E-3</v>
      </c>
      <c r="I74" s="81" t="s">
        <v>466</v>
      </c>
      <c r="J74" s="10" t="s">
        <v>411</v>
      </c>
    </row>
    <row r="75" spans="1:10" x14ac:dyDescent="0.15">
      <c r="A75" s="11" t="s">
        <v>11</v>
      </c>
      <c r="B75" s="78">
        <v>40302</v>
      </c>
      <c r="C75" s="138">
        <v>41345</v>
      </c>
      <c r="D75" s="13"/>
      <c r="E75" s="54"/>
      <c r="F75" s="2"/>
      <c r="G75" s="83"/>
      <c r="H75" s="84"/>
      <c r="I75" s="84"/>
      <c r="J75" s="10" t="s">
        <v>411</v>
      </c>
    </row>
    <row r="76" spans="1:10" x14ac:dyDescent="0.15">
      <c r="A76" s="15">
        <f>SUM(G74:G80)</f>
        <v>9.23</v>
      </c>
      <c r="B76" s="78">
        <v>40303</v>
      </c>
      <c r="C76" s="138">
        <v>41346</v>
      </c>
      <c r="D76" s="13"/>
      <c r="E76" s="54"/>
      <c r="F76" s="12"/>
      <c r="G76" s="83"/>
      <c r="H76" s="84"/>
      <c r="I76" s="84"/>
      <c r="J76" s="10" t="s">
        <v>411</v>
      </c>
    </row>
    <row r="77" spans="1:10" x14ac:dyDescent="0.15">
      <c r="A77" s="2"/>
      <c r="B77" s="78">
        <v>40304</v>
      </c>
      <c r="C77" s="138">
        <v>41347</v>
      </c>
      <c r="D77" s="13"/>
      <c r="E77" s="54"/>
      <c r="F77" s="2"/>
      <c r="G77" s="83"/>
      <c r="H77" s="84"/>
      <c r="I77" s="84"/>
      <c r="J77" s="10" t="s">
        <v>411</v>
      </c>
    </row>
    <row r="78" spans="1:10" x14ac:dyDescent="0.15">
      <c r="A78" s="2"/>
      <c r="B78" s="78">
        <v>40305</v>
      </c>
      <c r="C78" s="138">
        <v>41348</v>
      </c>
      <c r="D78" s="13"/>
      <c r="E78" s="54"/>
      <c r="F78" s="12"/>
      <c r="G78" s="83"/>
      <c r="H78" s="84"/>
      <c r="I78" s="84"/>
      <c r="J78" s="10" t="s">
        <v>411</v>
      </c>
    </row>
    <row r="79" spans="1:10" x14ac:dyDescent="0.15">
      <c r="A79" s="2"/>
      <c r="B79" s="78">
        <v>40306</v>
      </c>
      <c r="C79" s="138">
        <v>41349</v>
      </c>
      <c r="D79" s="13"/>
      <c r="E79" s="54"/>
      <c r="F79" s="12"/>
      <c r="G79" s="83"/>
      <c r="H79" s="84"/>
      <c r="I79" s="84"/>
      <c r="J79" s="10" t="s">
        <v>411</v>
      </c>
    </row>
    <row r="80" spans="1:10" x14ac:dyDescent="0.15">
      <c r="A80" s="2"/>
      <c r="B80" s="85">
        <v>40307</v>
      </c>
      <c r="C80" s="138">
        <v>41350</v>
      </c>
      <c r="D80" s="13"/>
      <c r="E80" s="54"/>
      <c r="F80" s="12"/>
      <c r="G80" s="83"/>
      <c r="H80" s="84"/>
      <c r="I80" s="84"/>
      <c r="J80" s="10" t="s">
        <v>411</v>
      </c>
    </row>
    <row r="81" spans="1:10" x14ac:dyDescent="0.15">
      <c r="A81" s="4">
        <f>A74+1</f>
        <v>12</v>
      </c>
      <c r="B81" s="78">
        <v>40308</v>
      </c>
      <c r="C81" s="137">
        <v>41351</v>
      </c>
      <c r="D81" s="8"/>
      <c r="E81" s="52"/>
      <c r="F81" s="7"/>
      <c r="G81" s="80"/>
      <c r="H81" s="81"/>
      <c r="I81" s="81"/>
      <c r="J81" s="10" t="s">
        <v>411</v>
      </c>
    </row>
    <row r="82" spans="1:10" x14ac:dyDescent="0.15">
      <c r="A82" s="11" t="s">
        <v>11</v>
      </c>
      <c r="B82" s="78">
        <v>40309</v>
      </c>
      <c r="C82" s="138">
        <v>41352</v>
      </c>
      <c r="D82" s="13"/>
      <c r="E82" s="54"/>
      <c r="F82" s="2"/>
      <c r="G82" s="83"/>
      <c r="H82" s="84"/>
      <c r="I82" s="84"/>
      <c r="J82" s="10" t="s">
        <v>411</v>
      </c>
    </row>
    <row r="83" spans="1:10" x14ac:dyDescent="0.15">
      <c r="A83" s="15">
        <f>SUM(G81:G87)</f>
        <v>0</v>
      </c>
      <c r="B83" s="78">
        <v>40310</v>
      </c>
      <c r="C83" s="138">
        <v>41353</v>
      </c>
      <c r="D83" s="13"/>
      <c r="E83" s="54"/>
      <c r="F83" s="12"/>
      <c r="G83" s="83"/>
      <c r="H83" s="84"/>
      <c r="I83" s="84"/>
      <c r="J83" s="10" t="s">
        <v>411</v>
      </c>
    </row>
    <row r="84" spans="1:10" x14ac:dyDescent="0.15">
      <c r="A84" s="2"/>
      <c r="B84" s="78">
        <v>40311</v>
      </c>
      <c r="C84" s="138">
        <v>41354</v>
      </c>
      <c r="D84" s="13"/>
      <c r="E84" s="54"/>
      <c r="F84" s="2"/>
      <c r="G84" s="83"/>
      <c r="H84" s="84"/>
      <c r="I84" s="84"/>
      <c r="J84" s="10" t="s">
        <v>411</v>
      </c>
    </row>
    <row r="85" spans="1:10" x14ac:dyDescent="0.15">
      <c r="A85" s="2"/>
      <c r="B85" s="78">
        <v>40312</v>
      </c>
      <c r="C85" s="138">
        <v>41355</v>
      </c>
      <c r="D85" s="13"/>
      <c r="E85" s="54"/>
      <c r="F85" s="12"/>
      <c r="G85" s="83"/>
      <c r="H85" s="84"/>
      <c r="I85" s="84"/>
      <c r="J85" s="10" t="s">
        <v>411</v>
      </c>
    </row>
    <row r="86" spans="1:10" x14ac:dyDescent="0.15">
      <c r="A86" s="2"/>
      <c r="B86" s="78">
        <v>40313</v>
      </c>
      <c r="C86" s="138">
        <v>41356</v>
      </c>
      <c r="D86" s="13"/>
      <c r="E86" s="54"/>
      <c r="F86" s="12"/>
      <c r="G86" s="83"/>
      <c r="H86" s="84"/>
      <c r="I86" s="84"/>
      <c r="J86" s="10" t="s">
        <v>411</v>
      </c>
    </row>
    <row r="87" spans="1:10" x14ac:dyDescent="0.15">
      <c r="A87" s="2"/>
      <c r="B87" s="85">
        <v>40314</v>
      </c>
      <c r="C87" s="138">
        <v>41357</v>
      </c>
      <c r="D87" s="13"/>
      <c r="E87" s="54"/>
      <c r="F87" s="12"/>
      <c r="G87" s="83"/>
      <c r="H87" s="84"/>
      <c r="I87" s="84"/>
      <c r="J87" s="10" t="s">
        <v>411</v>
      </c>
    </row>
    <row r="88" spans="1:10" x14ac:dyDescent="0.15">
      <c r="A88" s="4">
        <f>A81+1</f>
        <v>13</v>
      </c>
      <c r="B88" s="78">
        <v>40315</v>
      </c>
      <c r="C88" s="137">
        <v>41358</v>
      </c>
      <c r="D88" s="8"/>
      <c r="E88" s="52"/>
      <c r="F88" s="7"/>
      <c r="G88" s="80"/>
      <c r="H88" s="81"/>
      <c r="I88" s="81"/>
      <c r="J88" s="10" t="s">
        <v>411</v>
      </c>
    </row>
    <row r="89" spans="1:10" x14ac:dyDescent="0.15">
      <c r="A89" s="11" t="s">
        <v>11</v>
      </c>
      <c r="B89" s="78">
        <v>40316</v>
      </c>
      <c r="C89" s="138">
        <v>41359</v>
      </c>
      <c r="D89" s="13"/>
      <c r="E89" s="54"/>
      <c r="F89" s="2"/>
      <c r="G89" s="83"/>
      <c r="H89" s="84"/>
      <c r="I89" s="84"/>
      <c r="J89" s="10" t="s">
        <v>411</v>
      </c>
    </row>
    <row r="90" spans="1:10" x14ac:dyDescent="0.15">
      <c r="A90" s="15">
        <f>SUM(G88:G94)</f>
        <v>0</v>
      </c>
      <c r="B90" s="78">
        <v>40317</v>
      </c>
      <c r="C90" s="138">
        <v>41360</v>
      </c>
      <c r="D90" s="13"/>
      <c r="E90" s="54"/>
      <c r="F90" s="12"/>
      <c r="G90" s="83"/>
      <c r="H90" s="84"/>
      <c r="I90" s="84"/>
      <c r="J90" s="10" t="s">
        <v>411</v>
      </c>
    </row>
    <row r="91" spans="1:10" x14ac:dyDescent="0.15">
      <c r="A91" s="2"/>
      <c r="B91" s="78">
        <v>40318</v>
      </c>
      <c r="C91" s="138">
        <v>41361</v>
      </c>
      <c r="D91" s="13"/>
      <c r="E91" s="54"/>
      <c r="F91" s="2"/>
      <c r="G91" s="83"/>
      <c r="H91" s="84"/>
      <c r="I91" s="84"/>
      <c r="J91" s="10" t="s">
        <v>411</v>
      </c>
    </row>
    <row r="92" spans="1:10" x14ac:dyDescent="0.15">
      <c r="A92" s="2"/>
      <c r="B92" s="78">
        <v>40319</v>
      </c>
      <c r="C92" s="138">
        <v>41362</v>
      </c>
      <c r="D92" s="13"/>
      <c r="E92" s="54"/>
      <c r="F92" s="12"/>
      <c r="G92" s="83"/>
      <c r="H92" s="84"/>
      <c r="I92" s="84"/>
      <c r="J92" s="10" t="s">
        <v>411</v>
      </c>
    </row>
    <row r="93" spans="1:10" x14ac:dyDescent="0.15">
      <c r="A93" s="2"/>
      <c r="B93" s="78">
        <v>40320</v>
      </c>
      <c r="C93" s="138">
        <v>41363</v>
      </c>
      <c r="D93" s="13"/>
      <c r="E93" s="54"/>
      <c r="F93" s="12"/>
      <c r="G93" s="83"/>
      <c r="H93" s="84"/>
      <c r="I93" s="84"/>
      <c r="J93" s="10" t="s">
        <v>411</v>
      </c>
    </row>
    <row r="94" spans="1:10" x14ac:dyDescent="0.15">
      <c r="A94" s="2"/>
      <c r="B94" s="85">
        <v>40321</v>
      </c>
      <c r="C94" s="138">
        <v>41364</v>
      </c>
      <c r="D94" s="13"/>
      <c r="E94" s="54"/>
      <c r="F94" s="12"/>
      <c r="G94" s="83"/>
      <c r="H94" s="84"/>
      <c r="I94" s="84"/>
      <c r="J94" s="10" t="s">
        <v>411</v>
      </c>
    </row>
    <row r="95" spans="1:10" x14ac:dyDescent="0.15">
      <c r="A95" s="4">
        <f>A88+1</f>
        <v>14</v>
      </c>
      <c r="B95" s="78">
        <v>40322</v>
      </c>
      <c r="C95" s="137">
        <v>41365</v>
      </c>
      <c r="D95" s="8"/>
      <c r="E95" s="52"/>
      <c r="F95" s="7"/>
      <c r="G95" s="80"/>
      <c r="H95" s="81"/>
      <c r="I95" s="81"/>
      <c r="J95" s="10" t="s">
        <v>411</v>
      </c>
    </row>
    <row r="96" spans="1:10" x14ac:dyDescent="0.15">
      <c r="A96" s="11" t="s">
        <v>11</v>
      </c>
      <c r="B96" s="78">
        <v>40323</v>
      </c>
      <c r="C96" s="138">
        <v>41366</v>
      </c>
      <c r="D96" s="13"/>
      <c r="E96" s="54"/>
      <c r="F96" s="2"/>
      <c r="G96" s="83"/>
      <c r="H96" s="84"/>
      <c r="I96" s="84"/>
      <c r="J96" s="10" t="s">
        <v>411</v>
      </c>
    </row>
    <row r="97" spans="1:10" x14ac:dyDescent="0.15">
      <c r="A97" s="15">
        <f>SUM(G95:G101)</f>
        <v>0</v>
      </c>
      <c r="B97" s="78">
        <v>40324</v>
      </c>
      <c r="C97" s="138">
        <v>41367</v>
      </c>
      <c r="D97" s="13"/>
      <c r="E97" s="54"/>
      <c r="F97" s="12"/>
      <c r="G97" s="83"/>
      <c r="H97" s="84"/>
      <c r="I97" s="84"/>
      <c r="J97" s="10" t="s">
        <v>411</v>
      </c>
    </row>
    <row r="98" spans="1:10" x14ac:dyDescent="0.15">
      <c r="A98" s="2"/>
      <c r="B98" s="78">
        <v>40325</v>
      </c>
      <c r="C98" s="138">
        <v>41368</v>
      </c>
      <c r="D98" s="13"/>
      <c r="E98" s="54"/>
      <c r="F98" s="2"/>
      <c r="G98" s="83"/>
      <c r="H98" s="84"/>
      <c r="I98" s="84"/>
      <c r="J98" s="10" t="s">
        <v>411</v>
      </c>
    </row>
    <row r="99" spans="1:10" x14ac:dyDescent="0.15">
      <c r="A99" s="2"/>
      <c r="B99" s="78">
        <v>40326</v>
      </c>
      <c r="C99" s="138">
        <v>41369</v>
      </c>
      <c r="D99" s="13"/>
      <c r="E99" s="54"/>
      <c r="F99" s="12"/>
      <c r="G99" s="83"/>
      <c r="H99" s="84"/>
      <c r="I99" s="84"/>
      <c r="J99" s="10" t="s">
        <v>411</v>
      </c>
    </row>
    <row r="100" spans="1:10" x14ac:dyDescent="0.15">
      <c r="A100" s="2"/>
      <c r="B100" s="78">
        <v>40327</v>
      </c>
      <c r="C100" s="138">
        <v>41370</v>
      </c>
      <c r="D100" s="13"/>
      <c r="E100" s="54"/>
      <c r="F100" s="12"/>
      <c r="G100" s="83"/>
      <c r="H100" s="84"/>
      <c r="I100" s="84"/>
      <c r="J100" s="10" t="s">
        <v>411</v>
      </c>
    </row>
    <row r="101" spans="1:10" x14ac:dyDescent="0.15">
      <c r="A101" s="2"/>
      <c r="B101" s="85">
        <v>40328</v>
      </c>
      <c r="C101" s="138">
        <v>41371</v>
      </c>
      <c r="D101" s="13"/>
      <c r="E101" s="54"/>
      <c r="F101" s="12"/>
      <c r="G101" s="83"/>
      <c r="H101" s="84"/>
      <c r="I101" s="84"/>
      <c r="J101" s="10" t="s">
        <v>411</v>
      </c>
    </row>
    <row r="102" spans="1:10" x14ac:dyDescent="0.15">
      <c r="A102" s="4">
        <f>A95+1</f>
        <v>15</v>
      </c>
      <c r="B102" s="78">
        <v>40329</v>
      </c>
      <c r="C102" s="137">
        <v>41372</v>
      </c>
      <c r="D102" s="8"/>
      <c r="E102" s="52"/>
      <c r="F102" s="7"/>
      <c r="G102" s="80"/>
      <c r="H102" s="81"/>
      <c r="I102" s="81"/>
      <c r="J102" s="10" t="s">
        <v>411</v>
      </c>
    </row>
    <row r="103" spans="1:10" x14ac:dyDescent="0.15">
      <c r="A103" s="11" t="s">
        <v>11</v>
      </c>
      <c r="B103" s="78">
        <v>40330</v>
      </c>
      <c r="C103" s="138">
        <v>41373</v>
      </c>
      <c r="D103" s="13"/>
      <c r="E103" s="54"/>
      <c r="F103" s="2"/>
      <c r="G103" s="83"/>
      <c r="H103" s="84"/>
      <c r="I103" s="84"/>
      <c r="J103" s="10" t="s">
        <v>411</v>
      </c>
    </row>
    <row r="104" spans="1:10" x14ac:dyDescent="0.15">
      <c r="A104" s="15">
        <f>SUM(G102:G108)</f>
        <v>10.41</v>
      </c>
      <c r="B104" s="78">
        <v>40331</v>
      </c>
      <c r="C104" s="138">
        <v>41374</v>
      </c>
      <c r="D104" s="13"/>
      <c r="E104" s="54"/>
      <c r="F104" s="12"/>
      <c r="G104" s="83"/>
      <c r="H104" s="84"/>
      <c r="I104" s="84"/>
      <c r="J104" s="10" t="s">
        <v>411</v>
      </c>
    </row>
    <row r="105" spans="1:10" x14ac:dyDescent="0.15">
      <c r="A105" s="2"/>
      <c r="B105" s="78">
        <v>40332</v>
      </c>
      <c r="C105" s="138">
        <v>41375</v>
      </c>
      <c r="D105" s="13"/>
      <c r="E105" s="54"/>
      <c r="F105" s="2"/>
      <c r="G105" s="83"/>
      <c r="H105" s="84"/>
      <c r="I105" s="84"/>
      <c r="J105" s="10" t="s">
        <v>411</v>
      </c>
    </row>
    <row r="106" spans="1:10" x14ac:dyDescent="0.15">
      <c r="A106" s="2"/>
      <c r="B106" s="78">
        <v>40333</v>
      </c>
      <c r="C106" s="138">
        <v>41376</v>
      </c>
      <c r="D106" s="13"/>
      <c r="E106" s="54"/>
      <c r="F106" s="12"/>
      <c r="G106" s="83"/>
      <c r="H106" s="84"/>
      <c r="I106" s="84"/>
      <c r="J106" s="10" t="s">
        <v>411</v>
      </c>
    </row>
    <row r="107" spans="1:10" x14ac:dyDescent="0.15">
      <c r="A107" s="2"/>
      <c r="B107" s="78">
        <v>40334</v>
      </c>
      <c r="C107" s="138">
        <v>41377</v>
      </c>
      <c r="D107" s="13"/>
      <c r="E107" s="54"/>
      <c r="F107" s="12"/>
      <c r="G107" s="83"/>
      <c r="H107" s="84"/>
      <c r="I107" s="84"/>
      <c r="J107" s="10" t="s">
        <v>411</v>
      </c>
    </row>
    <row r="108" spans="1:10" x14ac:dyDescent="0.15">
      <c r="A108" s="2"/>
      <c r="B108" s="85">
        <v>40335</v>
      </c>
      <c r="C108" s="138">
        <v>41378</v>
      </c>
      <c r="D108" s="152" t="s">
        <v>14</v>
      </c>
      <c r="E108" s="153">
        <v>4.0300925925925928E-2</v>
      </c>
      <c r="F108" s="154">
        <v>145</v>
      </c>
      <c r="G108" s="155">
        <v>10.41</v>
      </c>
      <c r="H108" s="84">
        <f>E108/G108</f>
        <v>3.8713665634895222E-3</v>
      </c>
      <c r="I108" s="146" t="s">
        <v>466</v>
      </c>
      <c r="J108" s="10" t="s">
        <v>411</v>
      </c>
    </row>
    <row r="109" spans="1:10" x14ac:dyDescent="0.15">
      <c r="A109" s="4">
        <f>A102+1</f>
        <v>16</v>
      </c>
      <c r="B109" s="78">
        <v>40336</v>
      </c>
      <c r="C109" s="137">
        <v>41379</v>
      </c>
      <c r="D109" s="8"/>
      <c r="E109" s="52"/>
      <c r="F109" s="7"/>
      <c r="G109" s="80"/>
      <c r="H109" s="81"/>
      <c r="I109" s="81"/>
      <c r="J109" s="10" t="s">
        <v>411</v>
      </c>
    </row>
    <row r="110" spans="1:10" x14ac:dyDescent="0.15">
      <c r="A110" s="11" t="s">
        <v>11</v>
      </c>
      <c r="B110" s="78">
        <v>40337</v>
      </c>
      <c r="C110" s="138">
        <v>41380</v>
      </c>
      <c r="D110" s="13"/>
      <c r="E110" s="54"/>
      <c r="F110" s="2"/>
      <c r="G110" s="83"/>
      <c r="H110" s="84"/>
      <c r="I110" s="84"/>
      <c r="J110" s="10" t="s">
        <v>411</v>
      </c>
    </row>
    <row r="111" spans="1:10" x14ac:dyDescent="0.15">
      <c r="A111" s="15">
        <f>SUM(G109:G115)</f>
        <v>10.41</v>
      </c>
      <c r="B111" s="78">
        <v>40338</v>
      </c>
      <c r="C111" s="138">
        <v>41381</v>
      </c>
      <c r="D111" s="13"/>
      <c r="E111" s="54"/>
      <c r="F111" s="12"/>
      <c r="G111" s="83"/>
      <c r="H111" s="84"/>
      <c r="I111" s="84"/>
      <c r="J111" s="10" t="s">
        <v>411</v>
      </c>
    </row>
    <row r="112" spans="1:10" x14ac:dyDescent="0.15">
      <c r="A112" s="2"/>
      <c r="B112" s="78">
        <v>40339</v>
      </c>
      <c r="C112" s="138">
        <v>41382</v>
      </c>
      <c r="D112" s="13"/>
      <c r="E112" s="54"/>
      <c r="F112" s="2"/>
      <c r="G112" s="83"/>
      <c r="H112" s="84"/>
      <c r="I112" s="84"/>
      <c r="J112" s="10" t="s">
        <v>411</v>
      </c>
    </row>
    <row r="113" spans="1:10" x14ac:dyDescent="0.15">
      <c r="A113" s="2"/>
      <c r="B113" s="78">
        <v>40340</v>
      </c>
      <c r="C113" s="138">
        <v>41383</v>
      </c>
      <c r="D113" s="13"/>
      <c r="E113" s="54"/>
      <c r="F113" s="12"/>
      <c r="G113" s="83"/>
      <c r="H113" s="84"/>
      <c r="I113" s="84"/>
      <c r="J113" s="10" t="s">
        <v>411</v>
      </c>
    </row>
    <row r="114" spans="1:10" x14ac:dyDescent="0.15">
      <c r="A114" s="2"/>
      <c r="B114" s="78">
        <v>40341</v>
      </c>
      <c r="C114" s="138">
        <v>41384</v>
      </c>
      <c r="D114" s="13"/>
      <c r="E114" s="54"/>
      <c r="F114" s="12"/>
      <c r="G114" s="83"/>
      <c r="H114" s="84"/>
      <c r="I114" s="84"/>
      <c r="J114" s="10" t="s">
        <v>411</v>
      </c>
    </row>
    <row r="115" spans="1:10" x14ac:dyDescent="0.15">
      <c r="A115" s="2"/>
      <c r="B115" s="85">
        <v>40342</v>
      </c>
      <c r="C115" s="138">
        <v>41385</v>
      </c>
      <c r="D115" s="13" t="s">
        <v>14</v>
      </c>
      <c r="E115" s="54">
        <v>3.8912037037037037E-2</v>
      </c>
      <c r="F115" s="12">
        <v>145</v>
      </c>
      <c r="G115" s="83">
        <v>10.41</v>
      </c>
      <c r="H115" s="84">
        <f>E115/G115</f>
        <v>3.7379478421745473E-3</v>
      </c>
      <c r="I115" s="84" t="s">
        <v>466</v>
      </c>
      <c r="J115" s="10" t="s">
        <v>411</v>
      </c>
    </row>
    <row r="116" spans="1:10" x14ac:dyDescent="0.15">
      <c r="A116" s="4">
        <f>A109+1</f>
        <v>17</v>
      </c>
      <c r="B116" s="78">
        <v>40343</v>
      </c>
      <c r="C116" s="137">
        <v>41386</v>
      </c>
      <c r="D116" s="8"/>
      <c r="E116" s="52"/>
      <c r="F116" s="7"/>
      <c r="G116" s="80"/>
      <c r="H116" s="81"/>
      <c r="I116" s="81"/>
      <c r="J116" s="10" t="s">
        <v>411</v>
      </c>
    </row>
    <row r="117" spans="1:10" x14ac:dyDescent="0.15">
      <c r="A117" s="11" t="s">
        <v>11</v>
      </c>
      <c r="B117" s="78">
        <v>40344</v>
      </c>
      <c r="C117" s="138">
        <v>41387</v>
      </c>
      <c r="D117" s="13"/>
      <c r="E117" s="54"/>
      <c r="F117" s="2"/>
      <c r="G117" s="83"/>
      <c r="H117" s="84"/>
      <c r="I117" s="84"/>
      <c r="J117" s="10" t="s">
        <v>411</v>
      </c>
    </row>
    <row r="118" spans="1:10" x14ac:dyDescent="0.15">
      <c r="A118" s="15">
        <f>SUM(G116:G122)</f>
        <v>0</v>
      </c>
      <c r="B118" s="78">
        <v>40345</v>
      </c>
      <c r="C118" s="138">
        <v>41388</v>
      </c>
      <c r="D118" s="13"/>
      <c r="E118" s="54"/>
      <c r="F118" s="12"/>
      <c r="G118" s="83"/>
      <c r="H118" s="84"/>
      <c r="I118" s="84"/>
      <c r="J118" s="10" t="s">
        <v>411</v>
      </c>
    </row>
    <row r="119" spans="1:10" x14ac:dyDescent="0.15">
      <c r="A119" s="2"/>
      <c r="B119" s="78">
        <v>40346</v>
      </c>
      <c r="C119" s="138">
        <v>41389</v>
      </c>
      <c r="D119" s="13"/>
      <c r="E119" s="54"/>
      <c r="F119" s="2"/>
      <c r="G119" s="83"/>
      <c r="H119" s="84"/>
      <c r="I119" s="84"/>
      <c r="J119" s="10" t="s">
        <v>411</v>
      </c>
    </row>
    <row r="120" spans="1:10" x14ac:dyDescent="0.15">
      <c r="A120" s="2"/>
      <c r="B120" s="78">
        <v>40347</v>
      </c>
      <c r="C120" s="138">
        <v>41390</v>
      </c>
      <c r="D120" s="13"/>
      <c r="E120" s="54"/>
      <c r="F120" s="12"/>
      <c r="G120" s="83"/>
      <c r="H120" s="84"/>
      <c r="I120" s="84"/>
      <c r="J120" s="10" t="s">
        <v>411</v>
      </c>
    </row>
    <row r="121" spans="1:10" x14ac:dyDescent="0.15">
      <c r="A121" s="2"/>
      <c r="B121" s="78">
        <v>40348</v>
      </c>
      <c r="C121" s="138">
        <v>41391</v>
      </c>
      <c r="D121" s="13"/>
      <c r="E121" s="54"/>
      <c r="F121" s="12"/>
      <c r="G121" s="83"/>
      <c r="H121" s="84"/>
      <c r="I121" s="84"/>
      <c r="J121" s="10" t="s">
        <v>411</v>
      </c>
    </row>
    <row r="122" spans="1:10" x14ac:dyDescent="0.15">
      <c r="A122" s="2"/>
      <c r="B122" s="85">
        <v>40349</v>
      </c>
      <c r="C122" s="138">
        <v>41392</v>
      </c>
      <c r="D122" s="22"/>
      <c r="E122" s="54"/>
      <c r="F122" s="12"/>
      <c r="G122" s="83"/>
      <c r="H122" s="84"/>
      <c r="I122" s="84"/>
      <c r="J122" s="10" t="s">
        <v>411</v>
      </c>
    </row>
    <row r="123" spans="1:10" x14ac:dyDescent="0.15">
      <c r="A123" s="4">
        <f>A116+1</f>
        <v>18</v>
      </c>
      <c r="B123" s="78">
        <v>40350</v>
      </c>
      <c r="C123" s="137">
        <v>41393</v>
      </c>
      <c r="D123" s="8"/>
      <c r="E123" s="52"/>
      <c r="F123" s="7"/>
      <c r="G123" s="80"/>
      <c r="H123" s="81"/>
      <c r="I123" s="81"/>
      <c r="J123" s="10" t="s">
        <v>411</v>
      </c>
    </row>
    <row r="124" spans="1:10" x14ac:dyDescent="0.15">
      <c r="A124" s="11" t="s">
        <v>11</v>
      </c>
      <c r="B124" s="78">
        <v>40351</v>
      </c>
      <c r="C124" s="138">
        <v>41394</v>
      </c>
      <c r="D124" s="13" t="s">
        <v>14</v>
      </c>
      <c r="E124" s="54">
        <v>4.099537037037037E-2</v>
      </c>
      <c r="F124" s="2" t="s">
        <v>437</v>
      </c>
      <c r="G124" s="83">
        <v>10.69</v>
      </c>
      <c r="H124" s="84">
        <f>E124/G124</f>
        <v>3.8349270692582199E-3</v>
      </c>
      <c r="I124" s="84" t="s">
        <v>455</v>
      </c>
      <c r="J124" s="10" t="s">
        <v>411</v>
      </c>
    </row>
    <row r="125" spans="1:10" x14ac:dyDescent="0.15">
      <c r="A125" s="15">
        <f>SUM(G123:G129)</f>
        <v>10.69</v>
      </c>
      <c r="B125" s="78">
        <v>40352</v>
      </c>
      <c r="C125" s="138">
        <v>41395</v>
      </c>
      <c r="D125" s="13"/>
      <c r="E125" s="54"/>
      <c r="F125" s="12"/>
      <c r="G125" s="83"/>
      <c r="H125" s="84"/>
      <c r="I125" s="84"/>
      <c r="J125" s="10" t="s">
        <v>411</v>
      </c>
    </row>
    <row r="126" spans="1:10" x14ac:dyDescent="0.15">
      <c r="A126" s="2"/>
      <c r="B126" s="78">
        <v>40353</v>
      </c>
      <c r="C126" s="138">
        <v>41396</v>
      </c>
      <c r="D126" s="13"/>
      <c r="E126" s="54"/>
      <c r="F126" s="2"/>
      <c r="G126" s="83"/>
      <c r="H126" s="84"/>
      <c r="I126" s="84"/>
      <c r="J126" s="10" t="s">
        <v>411</v>
      </c>
    </row>
    <row r="127" spans="1:10" x14ac:dyDescent="0.15">
      <c r="A127" s="2"/>
      <c r="B127" s="78">
        <v>40354</v>
      </c>
      <c r="C127" s="138">
        <v>41397</v>
      </c>
      <c r="D127" s="13"/>
      <c r="E127" s="54"/>
      <c r="F127" s="12"/>
      <c r="G127" s="83"/>
      <c r="H127" s="84"/>
      <c r="I127" s="84"/>
      <c r="J127" s="10" t="s">
        <v>411</v>
      </c>
    </row>
    <row r="128" spans="1:10" x14ac:dyDescent="0.15">
      <c r="A128" s="2"/>
      <c r="B128" s="78">
        <v>40355</v>
      </c>
      <c r="C128" s="138">
        <v>41398</v>
      </c>
      <c r="D128" s="13"/>
      <c r="E128" s="54"/>
      <c r="F128" s="12"/>
      <c r="G128" s="83"/>
      <c r="H128" s="84"/>
      <c r="I128" s="84"/>
      <c r="J128" s="10" t="s">
        <v>411</v>
      </c>
    </row>
    <row r="129" spans="1:10" x14ac:dyDescent="0.15">
      <c r="A129" s="2"/>
      <c r="B129" s="85">
        <v>40356</v>
      </c>
      <c r="C129" s="138">
        <v>41399</v>
      </c>
      <c r="D129" s="22"/>
      <c r="E129" s="54"/>
      <c r="F129" s="12"/>
      <c r="G129" s="83"/>
      <c r="H129" s="84"/>
      <c r="I129" s="84"/>
      <c r="J129" s="10" t="s">
        <v>411</v>
      </c>
    </row>
    <row r="130" spans="1:10" x14ac:dyDescent="0.15">
      <c r="A130" s="4">
        <f>A123+1</f>
        <v>19</v>
      </c>
      <c r="B130" s="78">
        <v>40357</v>
      </c>
      <c r="C130" s="137">
        <v>41400</v>
      </c>
      <c r="D130" s="8" t="s">
        <v>468</v>
      </c>
      <c r="E130" s="52">
        <v>3.8472222222222227E-2</v>
      </c>
      <c r="F130" s="7" t="s">
        <v>437</v>
      </c>
      <c r="G130" s="80">
        <v>10.48</v>
      </c>
      <c r="H130" s="81">
        <f>E130/G130</f>
        <v>3.6710135708227314E-3</v>
      </c>
      <c r="I130" s="81" t="s">
        <v>466</v>
      </c>
      <c r="J130" s="10" t="s">
        <v>411</v>
      </c>
    </row>
    <row r="131" spans="1:10" x14ac:dyDescent="0.15">
      <c r="A131" s="11" t="s">
        <v>11</v>
      </c>
      <c r="B131" s="78">
        <v>40358</v>
      </c>
      <c r="C131" s="138">
        <v>41401</v>
      </c>
      <c r="D131" s="13"/>
      <c r="E131" s="54"/>
      <c r="F131" s="2"/>
      <c r="G131" s="83"/>
      <c r="H131" s="84"/>
      <c r="I131" s="84"/>
      <c r="J131" s="10" t="s">
        <v>411</v>
      </c>
    </row>
    <row r="132" spans="1:10" x14ac:dyDescent="0.15">
      <c r="A132" s="15">
        <f>SUM(G130:G136)</f>
        <v>20.79</v>
      </c>
      <c r="B132" s="78">
        <v>40359</v>
      </c>
      <c r="C132" s="138">
        <v>41402</v>
      </c>
      <c r="D132" s="13" t="s">
        <v>468</v>
      </c>
      <c r="E132" s="54">
        <v>3.8460648148148154E-2</v>
      </c>
      <c r="F132" s="12">
        <v>153</v>
      </c>
      <c r="G132" s="83">
        <v>10.31</v>
      </c>
      <c r="H132" s="84">
        <f>E132/G132</f>
        <v>3.7304217408485113E-3</v>
      </c>
      <c r="I132" s="84" t="s">
        <v>453</v>
      </c>
      <c r="J132" s="10" t="s">
        <v>411</v>
      </c>
    </row>
    <row r="133" spans="1:10" x14ac:dyDescent="0.15">
      <c r="A133" s="2"/>
      <c r="B133" s="78">
        <v>40360</v>
      </c>
      <c r="C133" s="138">
        <v>41403</v>
      </c>
      <c r="D133" s="13"/>
      <c r="E133" s="54"/>
      <c r="F133" s="2"/>
      <c r="G133" s="83"/>
      <c r="H133" s="84"/>
      <c r="I133" s="84"/>
      <c r="J133" s="10" t="s">
        <v>411</v>
      </c>
    </row>
    <row r="134" spans="1:10" x14ac:dyDescent="0.15">
      <c r="A134" s="2"/>
      <c r="B134" s="78">
        <v>40361</v>
      </c>
      <c r="C134" s="138">
        <v>41404</v>
      </c>
      <c r="D134" s="13"/>
      <c r="E134" s="54"/>
      <c r="F134" s="12"/>
      <c r="G134" s="83"/>
      <c r="H134" s="84"/>
      <c r="I134" s="84"/>
      <c r="J134" s="10" t="s">
        <v>411</v>
      </c>
    </row>
    <row r="135" spans="1:10" x14ac:dyDescent="0.15">
      <c r="A135" s="2"/>
      <c r="B135" s="78">
        <v>40362</v>
      </c>
      <c r="C135" s="138">
        <v>41405</v>
      </c>
      <c r="D135" s="13"/>
      <c r="E135" s="54"/>
      <c r="F135" s="12"/>
      <c r="G135" s="83"/>
      <c r="H135" s="84"/>
      <c r="I135" s="84"/>
      <c r="J135" s="10" t="s">
        <v>411</v>
      </c>
    </row>
    <row r="136" spans="1:10" x14ac:dyDescent="0.15">
      <c r="A136" s="2"/>
      <c r="B136" s="85">
        <v>40363</v>
      </c>
      <c r="C136" s="138">
        <v>41406</v>
      </c>
      <c r="D136" s="22"/>
      <c r="E136" s="54"/>
      <c r="F136" s="12"/>
      <c r="G136" s="83"/>
      <c r="H136" s="146"/>
      <c r="I136" s="146"/>
      <c r="J136" s="10" t="s">
        <v>411</v>
      </c>
    </row>
    <row r="137" spans="1:10" x14ac:dyDescent="0.15">
      <c r="A137" s="4">
        <f>A130+1</f>
        <v>20</v>
      </c>
      <c r="B137" s="78">
        <v>40364</v>
      </c>
      <c r="C137" s="137">
        <v>41407</v>
      </c>
      <c r="D137" s="8" t="s">
        <v>469</v>
      </c>
      <c r="E137" s="52">
        <v>3.8807870370370375E-2</v>
      </c>
      <c r="F137" s="7">
        <v>140</v>
      </c>
      <c r="G137" s="80">
        <v>10.31</v>
      </c>
      <c r="H137" s="81">
        <f>E137/G137</f>
        <v>3.7640999389302009E-3</v>
      </c>
      <c r="I137" s="81" t="s">
        <v>466</v>
      </c>
      <c r="J137" s="10" t="s">
        <v>411</v>
      </c>
    </row>
    <row r="138" spans="1:10" x14ac:dyDescent="0.15">
      <c r="A138" s="11" t="s">
        <v>11</v>
      </c>
      <c r="B138" s="78">
        <v>40365</v>
      </c>
      <c r="C138" s="138">
        <v>41408</v>
      </c>
      <c r="D138" s="13"/>
      <c r="E138" s="54"/>
      <c r="F138" s="2"/>
      <c r="G138" s="83"/>
      <c r="H138" s="84"/>
      <c r="I138" s="84"/>
      <c r="J138" s="10" t="s">
        <v>411</v>
      </c>
    </row>
    <row r="139" spans="1:10" x14ac:dyDescent="0.15">
      <c r="A139" s="15">
        <f>SUM(G137:G143)</f>
        <v>31.37</v>
      </c>
      <c r="B139" s="78">
        <v>40366</v>
      </c>
      <c r="C139" s="138">
        <v>41409</v>
      </c>
      <c r="D139" s="13" t="s">
        <v>469</v>
      </c>
      <c r="E139" s="54">
        <v>3.8553240740740742E-2</v>
      </c>
      <c r="F139" s="12">
        <v>149</v>
      </c>
      <c r="G139" s="83">
        <v>10.36</v>
      </c>
      <c r="H139" s="84">
        <f>E139/G139</f>
        <v>3.7213552838552843E-3</v>
      </c>
      <c r="I139" s="84" t="s">
        <v>453</v>
      </c>
      <c r="J139" s="10" t="s">
        <v>411</v>
      </c>
    </row>
    <row r="140" spans="1:10" x14ac:dyDescent="0.15">
      <c r="A140" s="2"/>
      <c r="B140" s="78">
        <v>40367</v>
      </c>
      <c r="C140" s="138">
        <v>41410</v>
      </c>
      <c r="D140" s="13"/>
      <c r="E140" s="54"/>
      <c r="F140" s="2"/>
      <c r="G140" s="83"/>
      <c r="H140" s="84"/>
      <c r="I140" s="84"/>
      <c r="J140" s="10" t="s">
        <v>411</v>
      </c>
    </row>
    <row r="141" spans="1:10" x14ac:dyDescent="0.15">
      <c r="A141" s="2"/>
      <c r="B141" s="78">
        <v>40368</v>
      </c>
      <c r="C141" s="138">
        <v>41411</v>
      </c>
      <c r="D141" s="13"/>
      <c r="E141" s="54"/>
      <c r="F141" s="12"/>
      <c r="G141" s="83"/>
      <c r="H141" s="84"/>
      <c r="I141" s="84"/>
      <c r="J141" s="10" t="s">
        <v>411</v>
      </c>
    </row>
    <row r="142" spans="1:10" x14ac:dyDescent="0.15">
      <c r="A142" s="2"/>
      <c r="B142" s="78">
        <v>40369</v>
      </c>
      <c r="C142" s="138">
        <v>41412</v>
      </c>
      <c r="D142" s="13" t="s">
        <v>469</v>
      </c>
      <c r="E142" s="54">
        <v>3.9386574074074074E-2</v>
      </c>
      <c r="F142" s="12">
        <v>138</v>
      </c>
      <c r="G142" s="83">
        <v>10.7</v>
      </c>
      <c r="H142" s="84">
        <f>E142/G142</f>
        <v>3.6809882312218763E-3</v>
      </c>
      <c r="I142" s="84" t="s">
        <v>466</v>
      </c>
      <c r="J142" s="10" t="s">
        <v>411</v>
      </c>
    </row>
    <row r="143" spans="1:10" x14ac:dyDescent="0.15">
      <c r="A143" s="2"/>
      <c r="B143" s="85">
        <v>40370</v>
      </c>
      <c r="C143" s="138">
        <v>41413</v>
      </c>
      <c r="D143" s="22"/>
      <c r="E143" s="54"/>
      <c r="F143" s="12"/>
      <c r="G143" s="83"/>
      <c r="H143" s="146"/>
      <c r="I143" s="84"/>
      <c r="J143" s="10" t="s">
        <v>411</v>
      </c>
    </row>
    <row r="144" spans="1:10" x14ac:dyDescent="0.15">
      <c r="A144" s="4">
        <f>A137+1</f>
        <v>21</v>
      </c>
      <c r="B144" s="78">
        <v>40371</v>
      </c>
      <c r="C144" s="137">
        <v>41414</v>
      </c>
      <c r="D144" s="8" t="s">
        <v>14</v>
      </c>
      <c r="E144" s="52">
        <v>4.3541666666666666E-2</v>
      </c>
      <c r="F144" s="7">
        <v>147</v>
      </c>
      <c r="G144" s="80">
        <v>12.09</v>
      </c>
      <c r="H144" s="81">
        <f>E144/G144</f>
        <v>3.6014612627515855E-3</v>
      </c>
      <c r="I144" s="81" t="s">
        <v>466</v>
      </c>
      <c r="J144" s="10" t="s">
        <v>411</v>
      </c>
    </row>
    <row r="145" spans="1:10" x14ac:dyDescent="0.15">
      <c r="A145" s="11" t="s">
        <v>11</v>
      </c>
      <c r="B145" s="78">
        <v>40372</v>
      </c>
      <c r="C145" s="138">
        <v>41415</v>
      </c>
      <c r="D145" s="13"/>
      <c r="E145" s="54"/>
      <c r="F145" s="2"/>
      <c r="G145" s="83"/>
      <c r="H145" s="84"/>
      <c r="I145" s="84"/>
      <c r="J145" s="10" t="s">
        <v>411</v>
      </c>
    </row>
    <row r="146" spans="1:10" x14ac:dyDescent="0.15">
      <c r="A146" s="15">
        <f>SUM(G144:G150)</f>
        <v>21.65</v>
      </c>
      <c r="B146" s="78">
        <v>40373</v>
      </c>
      <c r="C146" s="138">
        <v>41416</v>
      </c>
      <c r="D146" s="13" t="s">
        <v>14</v>
      </c>
      <c r="E146" s="54">
        <v>3.8784722222222227E-2</v>
      </c>
      <c r="F146" s="12">
        <v>143</v>
      </c>
      <c r="G146" s="83">
        <v>9.56</v>
      </c>
      <c r="H146" s="84">
        <f>E146/G146</f>
        <v>4.0569793119479315E-3</v>
      </c>
      <c r="I146" s="84" t="s">
        <v>455</v>
      </c>
      <c r="J146" s="10" t="s">
        <v>411</v>
      </c>
    </row>
    <row r="147" spans="1:10" x14ac:dyDescent="0.15">
      <c r="A147" s="2"/>
      <c r="B147" s="78">
        <v>40374</v>
      </c>
      <c r="C147" s="138">
        <v>41417</v>
      </c>
      <c r="D147" s="13"/>
      <c r="E147" s="54"/>
      <c r="F147" s="2"/>
      <c r="G147" s="83"/>
      <c r="H147" s="84"/>
      <c r="I147" s="84"/>
      <c r="J147" s="10" t="s">
        <v>411</v>
      </c>
    </row>
    <row r="148" spans="1:10" x14ac:dyDescent="0.15">
      <c r="A148" s="2"/>
      <c r="B148" s="78">
        <v>40375</v>
      </c>
      <c r="C148" s="138">
        <v>41418</v>
      </c>
      <c r="D148" s="13"/>
      <c r="E148" s="54"/>
      <c r="F148" s="12"/>
      <c r="G148" s="83"/>
      <c r="H148" s="84"/>
      <c r="I148" s="84"/>
      <c r="J148" s="10" t="s">
        <v>411</v>
      </c>
    </row>
    <row r="149" spans="1:10" x14ac:dyDescent="0.15">
      <c r="A149" s="2"/>
      <c r="B149" s="78">
        <v>40376</v>
      </c>
      <c r="C149" s="138">
        <v>41419</v>
      </c>
      <c r="D149" s="13"/>
      <c r="E149" s="54"/>
      <c r="F149" s="12"/>
      <c r="G149" s="83"/>
      <c r="H149" s="84"/>
      <c r="I149" s="84"/>
      <c r="J149" s="10" t="s">
        <v>411</v>
      </c>
    </row>
    <row r="150" spans="1:10" x14ac:dyDescent="0.15">
      <c r="A150" s="2"/>
      <c r="B150" s="85">
        <v>40377</v>
      </c>
      <c r="C150" s="138">
        <v>41420</v>
      </c>
      <c r="D150" s="22"/>
      <c r="E150" s="54"/>
      <c r="F150" s="12"/>
      <c r="G150" s="83"/>
      <c r="H150" s="146"/>
      <c r="I150" s="84"/>
      <c r="J150" s="10" t="s">
        <v>411</v>
      </c>
    </row>
    <row r="151" spans="1:10" x14ac:dyDescent="0.15">
      <c r="A151" s="4">
        <f>A144+1</f>
        <v>22</v>
      </c>
      <c r="B151" s="78">
        <v>40378</v>
      </c>
      <c r="C151" s="137">
        <v>41421</v>
      </c>
      <c r="D151" s="8"/>
      <c r="E151" s="52"/>
      <c r="F151" s="7"/>
      <c r="G151" s="80"/>
      <c r="H151" s="81"/>
      <c r="I151" s="81"/>
      <c r="J151" s="10" t="s">
        <v>411</v>
      </c>
    </row>
    <row r="152" spans="1:10" x14ac:dyDescent="0.15">
      <c r="A152" s="11" t="s">
        <v>11</v>
      </c>
      <c r="B152" s="78">
        <v>40379</v>
      </c>
      <c r="C152" s="138">
        <v>41422</v>
      </c>
      <c r="D152" s="13"/>
      <c r="E152" s="54"/>
      <c r="F152" s="2"/>
      <c r="G152" s="83"/>
      <c r="H152" s="84"/>
      <c r="I152" s="84"/>
      <c r="J152" s="10" t="s">
        <v>411</v>
      </c>
    </row>
    <row r="153" spans="1:10" x14ac:dyDescent="0.15">
      <c r="A153" s="15">
        <f>SUM(G151:G157)</f>
        <v>0</v>
      </c>
      <c r="B153" s="78">
        <v>40380</v>
      </c>
      <c r="C153" s="138">
        <v>41423</v>
      </c>
      <c r="D153" s="13"/>
      <c r="E153" s="54"/>
      <c r="F153" s="12"/>
      <c r="G153" s="83"/>
      <c r="H153" s="84"/>
      <c r="I153" s="84"/>
      <c r="J153" s="10" t="s">
        <v>411</v>
      </c>
    </row>
    <row r="154" spans="1:10" x14ac:dyDescent="0.15">
      <c r="A154" s="2"/>
      <c r="B154" s="78">
        <v>40381</v>
      </c>
      <c r="C154" s="138">
        <v>41424</v>
      </c>
      <c r="D154" s="13"/>
      <c r="E154" s="54"/>
      <c r="F154" s="2"/>
      <c r="G154" s="83"/>
      <c r="H154" s="84"/>
      <c r="I154" s="84"/>
      <c r="J154" s="10" t="s">
        <v>411</v>
      </c>
    </row>
    <row r="155" spans="1:10" x14ac:dyDescent="0.15">
      <c r="A155" s="2"/>
      <c r="B155" s="78">
        <v>40382</v>
      </c>
      <c r="C155" s="138">
        <v>41425</v>
      </c>
      <c r="D155" s="13"/>
      <c r="E155" s="54"/>
      <c r="F155" s="12"/>
      <c r="G155" s="83"/>
      <c r="H155" s="84"/>
      <c r="I155" s="84"/>
      <c r="J155" s="10" t="s">
        <v>411</v>
      </c>
    </row>
    <row r="156" spans="1:10" x14ac:dyDescent="0.15">
      <c r="A156" s="2"/>
      <c r="B156" s="78">
        <v>40383</v>
      </c>
      <c r="C156" s="138">
        <v>41426</v>
      </c>
      <c r="D156" s="13"/>
      <c r="E156" s="54"/>
      <c r="F156" s="12"/>
      <c r="G156" s="83"/>
      <c r="H156" s="84"/>
      <c r="I156" s="84"/>
      <c r="J156" s="10" t="s">
        <v>411</v>
      </c>
    </row>
    <row r="157" spans="1:10" x14ac:dyDescent="0.15">
      <c r="A157" s="2"/>
      <c r="B157" s="85">
        <v>40384</v>
      </c>
      <c r="C157" s="138">
        <v>41427</v>
      </c>
      <c r="D157" s="22"/>
      <c r="E157" s="54"/>
      <c r="F157" s="12"/>
      <c r="G157" s="83"/>
      <c r="H157" s="146"/>
      <c r="I157" s="84"/>
      <c r="J157" s="10" t="s">
        <v>411</v>
      </c>
    </row>
    <row r="158" spans="1:10" x14ac:dyDescent="0.15">
      <c r="A158" s="4">
        <f>A151+1</f>
        <v>23</v>
      </c>
      <c r="B158" s="78">
        <v>40385</v>
      </c>
      <c r="C158" s="137">
        <v>41428</v>
      </c>
      <c r="D158" s="8"/>
      <c r="E158" s="52"/>
      <c r="F158" s="7"/>
      <c r="G158" s="80"/>
      <c r="H158" s="81"/>
      <c r="I158" s="81"/>
      <c r="J158" s="10" t="s">
        <v>411</v>
      </c>
    </row>
    <row r="159" spans="1:10" x14ac:dyDescent="0.15">
      <c r="A159" s="11" t="s">
        <v>11</v>
      </c>
      <c r="B159" s="78">
        <v>40386</v>
      </c>
      <c r="C159" s="138">
        <v>41429</v>
      </c>
      <c r="D159" s="13"/>
      <c r="E159" s="54"/>
      <c r="F159" s="2"/>
      <c r="G159" s="83"/>
      <c r="H159" s="84"/>
      <c r="I159" s="84"/>
      <c r="J159" s="10" t="s">
        <v>411</v>
      </c>
    </row>
    <row r="160" spans="1:10" x14ac:dyDescent="0.15">
      <c r="A160" s="15">
        <f>SUM(G158:G164)</f>
        <v>12.16</v>
      </c>
      <c r="B160" s="78">
        <v>40387</v>
      </c>
      <c r="C160" s="138">
        <v>41430</v>
      </c>
      <c r="D160" s="13"/>
      <c r="E160" s="54"/>
      <c r="F160" s="12"/>
      <c r="G160" s="83"/>
      <c r="H160" s="84"/>
      <c r="I160" s="84"/>
      <c r="J160" s="10" t="s">
        <v>411</v>
      </c>
    </row>
    <row r="161" spans="1:10" x14ac:dyDescent="0.15">
      <c r="A161" s="2"/>
      <c r="B161" s="78">
        <v>40388</v>
      </c>
      <c r="C161" s="138">
        <v>41431</v>
      </c>
      <c r="D161" s="13"/>
      <c r="E161" s="54"/>
      <c r="F161" s="2"/>
      <c r="G161" s="83"/>
      <c r="H161" s="84"/>
      <c r="I161" s="84"/>
      <c r="J161" s="10" t="s">
        <v>411</v>
      </c>
    </row>
    <row r="162" spans="1:10" x14ac:dyDescent="0.15">
      <c r="A162" s="2"/>
      <c r="B162" s="78">
        <v>40389</v>
      </c>
      <c r="C162" s="138">
        <v>41432</v>
      </c>
      <c r="D162" s="13"/>
      <c r="E162" s="54"/>
      <c r="F162" s="12"/>
      <c r="G162" s="83"/>
      <c r="H162" s="84"/>
      <c r="I162" s="84"/>
      <c r="J162" s="10" t="s">
        <v>411</v>
      </c>
    </row>
    <row r="163" spans="1:10" x14ac:dyDescent="0.15">
      <c r="A163" s="2"/>
      <c r="B163" s="78">
        <v>40390</v>
      </c>
      <c r="C163" s="138">
        <v>41433</v>
      </c>
      <c r="D163" s="13"/>
      <c r="E163" s="54"/>
      <c r="F163" s="12"/>
      <c r="G163" s="83"/>
      <c r="H163" s="84"/>
      <c r="I163" s="84"/>
      <c r="J163" s="10" t="s">
        <v>411</v>
      </c>
    </row>
    <row r="164" spans="1:10" x14ac:dyDescent="0.15">
      <c r="A164" s="2"/>
      <c r="B164" s="85">
        <v>40391</v>
      </c>
      <c r="C164" s="138">
        <v>41434</v>
      </c>
      <c r="D164" s="22" t="s">
        <v>14</v>
      </c>
      <c r="E164" s="54">
        <v>4.7719907407407405E-2</v>
      </c>
      <c r="F164" s="12">
        <v>146</v>
      </c>
      <c r="G164" s="83">
        <v>12.16</v>
      </c>
      <c r="H164" s="84">
        <f>E164/G164</f>
        <v>3.9243344907407404E-3</v>
      </c>
      <c r="I164" s="84" t="s">
        <v>466</v>
      </c>
      <c r="J164" s="10" t="s">
        <v>411</v>
      </c>
    </row>
    <row r="165" spans="1:10" x14ac:dyDescent="0.15">
      <c r="A165" s="4">
        <f>A158+1</f>
        <v>24</v>
      </c>
      <c r="B165" s="78">
        <v>40392</v>
      </c>
      <c r="C165" s="137">
        <v>41435</v>
      </c>
      <c r="D165" s="8"/>
      <c r="E165" s="52"/>
      <c r="F165" s="7"/>
      <c r="G165" s="80"/>
      <c r="H165" s="81"/>
      <c r="I165" s="81"/>
      <c r="J165" s="10" t="s">
        <v>411</v>
      </c>
    </row>
    <row r="166" spans="1:10" x14ac:dyDescent="0.15">
      <c r="A166" s="11" t="s">
        <v>11</v>
      </c>
      <c r="B166" s="78">
        <v>40393</v>
      </c>
      <c r="C166" s="138">
        <v>41436</v>
      </c>
      <c r="D166" s="13"/>
      <c r="E166" s="54"/>
      <c r="F166" s="2"/>
      <c r="G166" s="83"/>
      <c r="H166" s="84"/>
      <c r="I166" s="84"/>
      <c r="J166" s="10" t="s">
        <v>411</v>
      </c>
    </row>
    <row r="167" spans="1:10" x14ac:dyDescent="0.15">
      <c r="A167" s="15">
        <f>SUM(G165:G171)</f>
        <v>20.700000000000003</v>
      </c>
      <c r="B167" s="78">
        <v>40394</v>
      </c>
      <c r="C167" s="138">
        <v>41437</v>
      </c>
      <c r="D167" s="13"/>
      <c r="E167" s="54"/>
      <c r="F167" s="12"/>
      <c r="G167" s="83"/>
      <c r="H167" s="84"/>
      <c r="I167" s="84"/>
      <c r="J167" s="10" t="s">
        <v>411</v>
      </c>
    </row>
    <row r="168" spans="1:10" x14ac:dyDescent="0.15">
      <c r="A168" s="2"/>
      <c r="B168" s="78">
        <v>40395</v>
      </c>
      <c r="C168" s="138">
        <v>41438</v>
      </c>
      <c r="D168" s="13"/>
      <c r="E168" s="54"/>
      <c r="F168" s="2"/>
      <c r="G168" s="83"/>
      <c r="H168" s="84"/>
      <c r="I168" s="84"/>
      <c r="J168" s="10" t="s">
        <v>411</v>
      </c>
    </row>
    <row r="169" spans="1:10" x14ac:dyDescent="0.15">
      <c r="A169" s="2"/>
      <c r="B169" s="78">
        <v>40396</v>
      </c>
      <c r="C169" s="138">
        <v>41439</v>
      </c>
      <c r="D169" s="13" t="s">
        <v>14</v>
      </c>
      <c r="E169" s="54">
        <v>4.0243055555555553E-2</v>
      </c>
      <c r="F169" s="12">
        <v>142</v>
      </c>
      <c r="G169" s="83">
        <v>10.3</v>
      </c>
      <c r="H169" s="84">
        <f>E169/G169</f>
        <v>3.9070927723840344E-3</v>
      </c>
      <c r="I169" s="84" t="s">
        <v>466</v>
      </c>
      <c r="J169" s="10" t="s">
        <v>411</v>
      </c>
    </row>
    <row r="170" spans="1:10" x14ac:dyDescent="0.15">
      <c r="A170" s="2"/>
      <c r="B170" s="78">
        <v>40397</v>
      </c>
      <c r="C170" s="138">
        <v>41440</v>
      </c>
      <c r="D170" s="13"/>
      <c r="E170" s="54"/>
      <c r="F170" s="12"/>
      <c r="G170" s="83"/>
      <c r="H170" s="84"/>
      <c r="I170" s="84"/>
      <c r="J170" s="10" t="s">
        <v>411</v>
      </c>
    </row>
    <row r="171" spans="1:10" x14ac:dyDescent="0.15">
      <c r="A171" s="2"/>
      <c r="B171" s="85">
        <v>40398</v>
      </c>
      <c r="C171" s="138">
        <v>41441</v>
      </c>
      <c r="D171" s="13" t="s">
        <v>14</v>
      </c>
      <c r="E171" s="54">
        <v>3.9456018518518522E-2</v>
      </c>
      <c r="F171" s="12">
        <v>145</v>
      </c>
      <c r="G171" s="83">
        <v>10.4</v>
      </c>
      <c r="H171" s="84">
        <f>E171/G171</f>
        <v>3.7938479344729347E-3</v>
      </c>
      <c r="I171" s="84" t="s">
        <v>453</v>
      </c>
      <c r="J171" s="10" t="s">
        <v>411</v>
      </c>
    </row>
    <row r="172" spans="1:10" x14ac:dyDescent="0.15">
      <c r="A172" s="4">
        <f>A165+1</f>
        <v>25</v>
      </c>
      <c r="B172" s="78">
        <v>40399</v>
      </c>
      <c r="C172" s="137">
        <v>41442</v>
      </c>
      <c r="D172" s="8"/>
      <c r="E172" s="52"/>
      <c r="F172" s="7"/>
      <c r="G172" s="80"/>
      <c r="H172" s="81"/>
      <c r="I172" s="81"/>
      <c r="J172" s="10" t="s">
        <v>411</v>
      </c>
    </row>
    <row r="173" spans="1:10" x14ac:dyDescent="0.15">
      <c r="A173" s="34" t="s">
        <v>11</v>
      </c>
      <c r="B173" s="78">
        <v>40400</v>
      </c>
      <c r="C173" s="138">
        <v>41443</v>
      </c>
      <c r="D173" s="13"/>
      <c r="E173" s="54"/>
      <c r="F173" s="2"/>
      <c r="G173" s="83"/>
      <c r="H173" s="84"/>
      <c r="I173" s="84"/>
      <c r="J173" s="10" t="s">
        <v>411</v>
      </c>
    </row>
    <row r="174" spans="1:10" x14ac:dyDescent="0.15">
      <c r="A174" s="15">
        <f>SUM(G172:G178)</f>
        <v>0</v>
      </c>
      <c r="B174" s="78">
        <v>40401</v>
      </c>
      <c r="C174" s="138">
        <v>41444</v>
      </c>
      <c r="D174" s="13"/>
      <c r="E174" s="54"/>
      <c r="F174" s="12"/>
      <c r="G174" s="83"/>
      <c r="H174" s="84"/>
      <c r="I174" s="84"/>
      <c r="J174" s="10" t="s">
        <v>411</v>
      </c>
    </row>
    <row r="175" spans="1:10" x14ac:dyDescent="0.15">
      <c r="A175" s="2"/>
      <c r="B175" s="78">
        <v>40402</v>
      </c>
      <c r="C175" s="138">
        <v>41445</v>
      </c>
      <c r="D175" s="13"/>
      <c r="E175" s="54"/>
      <c r="F175" s="2"/>
      <c r="G175" s="83"/>
      <c r="H175" s="84"/>
      <c r="I175" s="84"/>
      <c r="J175" s="10" t="s">
        <v>411</v>
      </c>
    </row>
    <row r="176" spans="1:10" x14ac:dyDescent="0.15">
      <c r="A176" s="2"/>
      <c r="B176" s="78">
        <v>40403</v>
      </c>
      <c r="C176" s="138">
        <v>41446</v>
      </c>
      <c r="D176" s="13"/>
      <c r="E176" s="54"/>
      <c r="F176" s="12"/>
      <c r="G176" s="83"/>
      <c r="H176" s="84"/>
      <c r="I176" s="84"/>
      <c r="J176" s="10" t="s">
        <v>411</v>
      </c>
    </row>
    <row r="177" spans="1:10" x14ac:dyDescent="0.15">
      <c r="A177" s="2"/>
      <c r="B177" s="78">
        <v>40404</v>
      </c>
      <c r="C177" s="138">
        <v>41447</v>
      </c>
      <c r="D177" s="13"/>
      <c r="E177" s="54"/>
      <c r="F177" s="12"/>
      <c r="G177" s="83"/>
      <c r="H177" s="84"/>
      <c r="I177" s="84"/>
      <c r="J177" s="10" t="s">
        <v>411</v>
      </c>
    </row>
    <row r="178" spans="1:10" x14ac:dyDescent="0.15">
      <c r="A178" s="35"/>
      <c r="B178" s="85">
        <v>40405</v>
      </c>
      <c r="C178" s="138">
        <v>41448</v>
      </c>
      <c r="D178" s="13"/>
      <c r="E178" s="54"/>
      <c r="F178" s="12"/>
      <c r="G178" s="83"/>
      <c r="H178" s="84"/>
      <c r="I178" s="84"/>
      <c r="J178" s="10" t="s">
        <v>411</v>
      </c>
    </row>
    <row r="179" spans="1:10" x14ac:dyDescent="0.15">
      <c r="A179" s="4">
        <f>A172+1</f>
        <v>26</v>
      </c>
      <c r="B179" s="78">
        <v>40406</v>
      </c>
      <c r="C179" s="137">
        <v>41449</v>
      </c>
      <c r="D179" s="8"/>
      <c r="E179" s="52"/>
      <c r="F179" s="7"/>
      <c r="G179" s="80"/>
      <c r="H179" s="81"/>
      <c r="I179" s="81"/>
      <c r="J179" s="10" t="s">
        <v>411</v>
      </c>
    </row>
    <row r="180" spans="1:10" x14ac:dyDescent="0.15">
      <c r="A180" s="11" t="s">
        <v>11</v>
      </c>
      <c r="B180" s="78">
        <v>40407</v>
      </c>
      <c r="C180" s="138">
        <v>41450</v>
      </c>
      <c r="D180" s="13"/>
      <c r="E180" s="54"/>
      <c r="F180" s="2"/>
      <c r="G180" s="83"/>
      <c r="H180" s="84"/>
      <c r="I180" s="84"/>
      <c r="J180" s="10" t="s">
        <v>411</v>
      </c>
    </row>
    <row r="181" spans="1:10" x14ac:dyDescent="0.15">
      <c r="A181" s="15">
        <f>SUM(G179:G185)</f>
        <v>0</v>
      </c>
      <c r="B181" s="78">
        <v>40408</v>
      </c>
      <c r="C181" s="138">
        <v>41451</v>
      </c>
      <c r="D181" s="13"/>
      <c r="E181" s="54"/>
      <c r="F181" s="12"/>
      <c r="G181" s="83"/>
      <c r="H181" s="84"/>
      <c r="I181" s="84"/>
      <c r="J181" s="10" t="s">
        <v>411</v>
      </c>
    </row>
    <row r="182" spans="1:10" x14ac:dyDescent="0.15">
      <c r="A182" s="2"/>
      <c r="B182" s="78">
        <v>40409</v>
      </c>
      <c r="C182" s="138">
        <v>41452</v>
      </c>
      <c r="D182" s="13"/>
      <c r="E182" s="54"/>
      <c r="F182" s="2"/>
      <c r="G182" s="83"/>
      <c r="H182" s="84"/>
      <c r="I182" s="84"/>
      <c r="J182" s="10" t="s">
        <v>411</v>
      </c>
    </row>
    <row r="183" spans="1:10" x14ac:dyDescent="0.15">
      <c r="A183" s="2"/>
      <c r="B183" s="78">
        <v>40410</v>
      </c>
      <c r="C183" s="138">
        <v>41453</v>
      </c>
      <c r="D183" s="13"/>
      <c r="E183" s="54"/>
      <c r="F183" s="12"/>
      <c r="G183" s="83"/>
      <c r="H183" s="84"/>
      <c r="I183" s="84"/>
      <c r="J183" s="10" t="s">
        <v>411</v>
      </c>
    </row>
    <row r="184" spans="1:10" x14ac:dyDescent="0.15">
      <c r="A184" s="2"/>
      <c r="B184" s="78">
        <v>40411</v>
      </c>
      <c r="C184" s="138">
        <v>41454</v>
      </c>
      <c r="D184" s="13"/>
      <c r="E184" s="54"/>
      <c r="F184" s="12"/>
      <c r="G184" s="83"/>
      <c r="H184" s="84"/>
      <c r="I184" s="84"/>
      <c r="J184" s="10" t="s">
        <v>411</v>
      </c>
    </row>
    <row r="185" spans="1:10" x14ac:dyDescent="0.15">
      <c r="A185" s="2"/>
      <c r="B185" s="85">
        <v>40412</v>
      </c>
      <c r="C185" s="138">
        <v>41455</v>
      </c>
      <c r="D185" s="13"/>
      <c r="E185" s="54"/>
      <c r="F185" s="12"/>
      <c r="G185" s="83"/>
      <c r="H185" s="84"/>
      <c r="I185" s="84"/>
      <c r="J185" s="10" t="s">
        <v>411</v>
      </c>
    </row>
    <row r="186" spans="1:10" x14ac:dyDescent="0.15">
      <c r="A186" s="4">
        <f>A179+1</f>
        <v>27</v>
      </c>
      <c r="B186" s="78">
        <v>40413</v>
      </c>
      <c r="C186" s="137">
        <v>41456</v>
      </c>
      <c r="D186" s="8" t="s">
        <v>14</v>
      </c>
      <c r="E186" s="52" t="s">
        <v>437</v>
      </c>
      <c r="F186" s="7" t="s">
        <v>437</v>
      </c>
      <c r="G186" s="80">
        <v>11</v>
      </c>
      <c r="H186" s="81" t="s">
        <v>437</v>
      </c>
      <c r="I186" s="81" t="s">
        <v>455</v>
      </c>
      <c r="J186" s="10" t="s">
        <v>411</v>
      </c>
    </row>
    <row r="187" spans="1:10" x14ac:dyDescent="0.15">
      <c r="A187" s="11" t="s">
        <v>11</v>
      </c>
      <c r="B187" s="78">
        <v>40414</v>
      </c>
      <c r="C187" s="138">
        <v>41457</v>
      </c>
      <c r="D187" s="13"/>
      <c r="E187" s="54"/>
      <c r="F187" s="2"/>
      <c r="G187" s="83"/>
      <c r="H187" s="84"/>
      <c r="I187" s="84"/>
      <c r="J187" s="10" t="s">
        <v>411</v>
      </c>
    </row>
    <row r="188" spans="1:10" x14ac:dyDescent="0.15">
      <c r="A188" s="15">
        <f>SUM(G186:G192)</f>
        <v>11</v>
      </c>
      <c r="B188" s="78">
        <v>40415</v>
      </c>
      <c r="C188" s="138">
        <v>41458</v>
      </c>
      <c r="D188" s="13"/>
      <c r="E188" s="54"/>
      <c r="F188" s="12"/>
      <c r="G188" s="83"/>
      <c r="H188" s="84"/>
      <c r="I188" s="84"/>
      <c r="J188" s="10" t="s">
        <v>411</v>
      </c>
    </row>
    <row r="189" spans="1:10" x14ac:dyDescent="0.15">
      <c r="A189" s="2"/>
      <c r="B189" s="78">
        <v>40416</v>
      </c>
      <c r="C189" s="138">
        <v>41459</v>
      </c>
      <c r="D189" s="13"/>
      <c r="E189" s="54"/>
      <c r="F189" s="2"/>
      <c r="G189" s="83"/>
      <c r="H189" s="84"/>
      <c r="I189" s="84"/>
      <c r="J189" s="10" t="s">
        <v>411</v>
      </c>
    </row>
    <row r="190" spans="1:10" x14ac:dyDescent="0.15">
      <c r="A190" s="2"/>
      <c r="B190" s="78">
        <v>40417</v>
      </c>
      <c r="C190" s="138">
        <v>41460</v>
      </c>
      <c r="D190" s="13"/>
      <c r="E190" s="54"/>
      <c r="F190" s="12"/>
      <c r="G190" s="83"/>
      <c r="H190" s="84"/>
      <c r="I190" s="84"/>
      <c r="J190" s="10" t="s">
        <v>411</v>
      </c>
    </row>
    <row r="191" spans="1:10" x14ac:dyDescent="0.15">
      <c r="A191" s="2"/>
      <c r="B191" s="78">
        <v>40418</v>
      </c>
      <c r="C191" s="138">
        <v>41461</v>
      </c>
      <c r="D191" s="13"/>
      <c r="E191" s="54"/>
      <c r="F191" s="12"/>
      <c r="G191" s="83"/>
      <c r="H191" s="84"/>
      <c r="I191" s="84"/>
      <c r="J191" s="10" t="s">
        <v>411</v>
      </c>
    </row>
    <row r="192" spans="1:10" x14ac:dyDescent="0.15">
      <c r="A192" s="2"/>
      <c r="B192" s="85">
        <v>40419</v>
      </c>
      <c r="C192" s="138">
        <v>41462</v>
      </c>
      <c r="D192" s="13"/>
      <c r="E192" s="54"/>
      <c r="F192" s="12"/>
      <c r="G192" s="83"/>
      <c r="H192" s="84"/>
      <c r="I192" s="84"/>
      <c r="J192" s="10" t="s">
        <v>411</v>
      </c>
    </row>
    <row r="193" spans="1:10" x14ac:dyDescent="0.15">
      <c r="A193" s="4">
        <f>A186+1</f>
        <v>28</v>
      </c>
      <c r="B193" s="78">
        <v>40420</v>
      </c>
      <c r="C193" s="137">
        <v>41463</v>
      </c>
      <c r="D193" s="8"/>
      <c r="E193" s="52"/>
      <c r="F193" s="7"/>
      <c r="G193" s="80"/>
      <c r="H193" s="81"/>
      <c r="I193" s="81"/>
      <c r="J193" s="10" t="s">
        <v>411</v>
      </c>
    </row>
    <row r="194" spans="1:10" x14ac:dyDescent="0.15">
      <c r="A194" s="11" t="s">
        <v>11</v>
      </c>
      <c r="B194" s="78">
        <v>40421</v>
      </c>
      <c r="C194" s="138">
        <v>41464</v>
      </c>
      <c r="D194" s="13" t="s">
        <v>14</v>
      </c>
      <c r="E194" s="54">
        <v>3.9629629629629626E-2</v>
      </c>
      <c r="F194" s="2">
        <v>147</v>
      </c>
      <c r="G194" s="83">
        <v>10.42</v>
      </c>
      <c r="H194" s="84">
        <f>E194/G194</f>
        <v>3.8032274116727087E-3</v>
      </c>
      <c r="I194" s="84" t="s">
        <v>466</v>
      </c>
      <c r="J194" s="10" t="s">
        <v>411</v>
      </c>
    </row>
    <row r="195" spans="1:10" x14ac:dyDescent="0.15">
      <c r="A195" s="15">
        <f>SUM(G193:G199)</f>
        <v>20.84</v>
      </c>
      <c r="B195" s="78">
        <v>40422</v>
      </c>
      <c r="C195" s="138">
        <v>41465</v>
      </c>
      <c r="D195" s="13"/>
      <c r="E195" s="54"/>
      <c r="F195" s="12"/>
      <c r="G195" s="83"/>
      <c r="H195" s="84"/>
      <c r="I195" s="84"/>
      <c r="J195" s="10" t="s">
        <v>411</v>
      </c>
    </row>
    <row r="196" spans="1:10" x14ac:dyDescent="0.15">
      <c r="A196" s="2"/>
      <c r="B196" s="78">
        <v>40423</v>
      </c>
      <c r="C196" s="138">
        <v>41466</v>
      </c>
      <c r="D196" s="13"/>
      <c r="E196" s="54"/>
      <c r="F196" s="2"/>
      <c r="G196" s="83"/>
      <c r="H196" s="84"/>
      <c r="I196" s="84"/>
      <c r="J196" s="10" t="s">
        <v>411</v>
      </c>
    </row>
    <row r="197" spans="1:10" x14ac:dyDescent="0.15">
      <c r="A197" s="2"/>
      <c r="B197" s="78">
        <v>40424</v>
      </c>
      <c r="C197" s="138">
        <v>41467</v>
      </c>
      <c r="D197" s="13" t="s">
        <v>14</v>
      </c>
      <c r="E197" s="54">
        <v>4.0057870370370369E-2</v>
      </c>
      <c r="F197" s="12">
        <v>139</v>
      </c>
      <c r="G197" s="83">
        <v>10.42</v>
      </c>
      <c r="H197" s="84">
        <f>E197/G197</f>
        <v>3.8443253714366956E-3</v>
      </c>
      <c r="I197" s="84" t="s">
        <v>466</v>
      </c>
      <c r="J197" s="10" t="s">
        <v>411</v>
      </c>
    </row>
    <row r="198" spans="1:10" x14ac:dyDescent="0.15">
      <c r="A198" s="2"/>
      <c r="B198" s="78">
        <v>40425</v>
      </c>
      <c r="C198" s="138">
        <v>41468</v>
      </c>
      <c r="D198" s="13"/>
      <c r="E198" s="54"/>
      <c r="F198" s="12"/>
      <c r="G198" s="83"/>
      <c r="H198" s="84"/>
      <c r="I198" s="84"/>
      <c r="J198" s="10" t="s">
        <v>411</v>
      </c>
    </row>
    <row r="199" spans="1:10" x14ac:dyDescent="0.15">
      <c r="A199" s="2"/>
      <c r="B199" s="85">
        <v>40426</v>
      </c>
      <c r="C199" s="138">
        <v>41469</v>
      </c>
      <c r="D199" s="13"/>
      <c r="E199" s="54"/>
      <c r="F199" s="12"/>
      <c r="G199" s="83"/>
      <c r="H199" s="84"/>
      <c r="I199" s="84"/>
      <c r="J199" s="10" t="s">
        <v>411</v>
      </c>
    </row>
    <row r="200" spans="1:10" x14ac:dyDescent="0.15">
      <c r="A200" s="4">
        <f>A193+1</f>
        <v>29</v>
      </c>
      <c r="B200" s="78">
        <v>40427</v>
      </c>
      <c r="C200" s="137">
        <v>41470</v>
      </c>
      <c r="D200" s="8"/>
      <c r="E200" s="52"/>
      <c r="F200" s="7"/>
      <c r="G200" s="80"/>
      <c r="H200" s="81"/>
      <c r="I200" s="81"/>
      <c r="J200" s="10" t="s">
        <v>411</v>
      </c>
    </row>
    <row r="201" spans="1:10" x14ac:dyDescent="0.15">
      <c r="A201" s="11" t="s">
        <v>11</v>
      </c>
      <c r="B201" s="78">
        <v>40428</v>
      </c>
      <c r="C201" s="138">
        <v>41471</v>
      </c>
      <c r="D201" s="13" t="s">
        <v>14</v>
      </c>
      <c r="E201" s="54">
        <v>3.9050925925925926E-2</v>
      </c>
      <c r="F201" s="2">
        <v>147</v>
      </c>
      <c r="G201" s="83">
        <v>10.4</v>
      </c>
      <c r="H201" s="84">
        <f>E201/G201</f>
        <v>3.7548967236467235E-3</v>
      </c>
      <c r="I201" s="84" t="s">
        <v>466</v>
      </c>
      <c r="J201" s="10" t="s">
        <v>411</v>
      </c>
    </row>
    <row r="202" spans="1:10" x14ac:dyDescent="0.15">
      <c r="A202" s="15">
        <f>SUM(G200:G206)</f>
        <v>20.62</v>
      </c>
      <c r="B202" s="78">
        <v>40429</v>
      </c>
      <c r="C202" s="138">
        <v>41472</v>
      </c>
      <c r="D202" s="13"/>
      <c r="E202" s="54"/>
      <c r="F202" s="12"/>
      <c r="G202" s="83"/>
      <c r="H202" s="84"/>
      <c r="I202" s="84"/>
      <c r="J202" s="10" t="s">
        <v>411</v>
      </c>
    </row>
    <row r="203" spans="1:10" x14ac:dyDescent="0.15">
      <c r="A203" s="2"/>
      <c r="B203" s="78">
        <v>40430</v>
      </c>
      <c r="C203" s="138">
        <v>41473</v>
      </c>
      <c r="D203" s="13"/>
      <c r="E203" s="54"/>
      <c r="F203" s="2"/>
      <c r="G203" s="83"/>
      <c r="H203" s="84"/>
      <c r="I203" s="84"/>
      <c r="J203" s="10" t="s">
        <v>411</v>
      </c>
    </row>
    <row r="204" spans="1:10" x14ac:dyDescent="0.15">
      <c r="A204" s="2"/>
      <c r="B204" s="78">
        <v>40431</v>
      </c>
      <c r="C204" s="138">
        <v>41474</v>
      </c>
      <c r="D204" s="13" t="s">
        <v>14</v>
      </c>
      <c r="E204" s="54">
        <v>4.0601851851851854E-2</v>
      </c>
      <c r="F204" s="12">
        <v>144</v>
      </c>
      <c r="G204" s="83">
        <v>10.220000000000001</v>
      </c>
      <c r="H204" s="84">
        <f>E204/G204</f>
        <v>3.972783938537363E-3</v>
      </c>
      <c r="I204" s="84" t="s">
        <v>436</v>
      </c>
      <c r="J204" s="10" t="s">
        <v>411</v>
      </c>
    </row>
    <row r="205" spans="1:10" x14ac:dyDescent="0.15">
      <c r="A205" s="2"/>
      <c r="B205" s="78">
        <v>40432</v>
      </c>
      <c r="C205" s="138">
        <v>41475</v>
      </c>
      <c r="D205" s="13"/>
      <c r="E205" s="54"/>
      <c r="F205" s="12"/>
      <c r="G205" s="83"/>
      <c r="H205" s="84"/>
      <c r="I205" s="84"/>
      <c r="J205" s="10" t="s">
        <v>411</v>
      </c>
    </row>
    <row r="206" spans="1:10" x14ac:dyDescent="0.15">
      <c r="A206" s="2"/>
      <c r="B206" s="85">
        <v>40433</v>
      </c>
      <c r="C206" s="138">
        <v>41476</v>
      </c>
      <c r="D206" s="13"/>
      <c r="E206" s="54"/>
      <c r="F206" s="12"/>
      <c r="G206" s="83"/>
      <c r="H206" s="84"/>
      <c r="I206" s="84"/>
      <c r="J206" s="10" t="s">
        <v>411</v>
      </c>
    </row>
    <row r="207" spans="1:10" x14ac:dyDescent="0.15">
      <c r="A207" s="4">
        <f>A200+1</f>
        <v>30</v>
      </c>
      <c r="B207" s="78">
        <v>40434</v>
      </c>
      <c r="C207" s="137">
        <v>41477</v>
      </c>
      <c r="D207" s="8"/>
      <c r="E207" s="52"/>
      <c r="F207" s="7"/>
      <c r="G207" s="80"/>
      <c r="H207" s="81"/>
      <c r="I207" s="81"/>
      <c r="J207" s="10" t="s">
        <v>411</v>
      </c>
    </row>
    <row r="208" spans="1:10" x14ac:dyDescent="0.15">
      <c r="A208" s="11" t="s">
        <v>11</v>
      </c>
      <c r="B208" s="78">
        <v>40435</v>
      </c>
      <c r="C208" s="138">
        <v>41478</v>
      </c>
      <c r="D208" s="13" t="s">
        <v>14</v>
      </c>
      <c r="E208" s="54">
        <v>3.7557870370370366E-2</v>
      </c>
      <c r="F208" s="2">
        <v>144</v>
      </c>
      <c r="G208" s="83">
        <v>10.45</v>
      </c>
      <c r="H208" s="84">
        <f>E208/G208</f>
        <v>3.594054580896686E-3</v>
      </c>
      <c r="I208" s="84" t="s">
        <v>466</v>
      </c>
      <c r="J208" s="10" t="s">
        <v>411</v>
      </c>
    </row>
    <row r="209" spans="1:10" x14ac:dyDescent="0.15">
      <c r="A209" s="15">
        <f>SUM(G207:G213)</f>
        <v>10.45</v>
      </c>
      <c r="B209" s="78">
        <v>40436</v>
      </c>
      <c r="C209" s="138">
        <v>41479</v>
      </c>
      <c r="D209" s="13"/>
      <c r="E209" s="54"/>
      <c r="F209" s="12"/>
      <c r="G209" s="83"/>
      <c r="H209" s="84"/>
      <c r="I209" s="84"/>
      <c r="J209" s="10" t="s">
        <v>411</v>
      </c>
    </row>
    <row r="210" spans="1:10" x14ac:dyDescent="0.15">
      <c r="A210" s="2"/>
      <c r="B210" s="78">
        <v>40437</v>
      </c>
      <c r="C210" s="138">
        <v>41480</v>
      </c>
      <c r="D210" s="13"/>
      <c r="E210" s="54"/>
      <c r="F210" s="2"/>
      <c r="G210" s="83"/>
      <c r="H210" s="84"/>
      <c r="I210" s="84"/>
      <c r="J210" s="10" t="s">
        <v>411</v>
      </c>
    </row>
    <row r="211" spans="1:10" x14ac:dyDescent="0.15">
      <c r="A211" s="2"/>
      <c r="B211" s="78">
        <v>40438</v>
      </c>
      <c r="C211" s="138">
        <v>41481</v>
      </c>
      <c r="D211" s="13"/>
      <c r="E211" s="54"/>
      <c r="F211" s="12"/>
      <c r="G211" s="83"/>
      <c r="H211" s="84"/>
      <c r="I211" s="84"/>
      <c r="J211" s="10" t="s">
        <v>411</v>
      </c>
    </row>
    <row r="212" spans="1:10" x14ac:dyDescent="0.15">
      <c r="A212" s="2"/>
      <c r="B212" s="78">
        <v>40439</v>
      </c>
      <c r="C212" s="138">
        <v>41482</v>
      </c>
      <c r="D212" s="13"/>
      <c r="E212" s="54"/>
      <c r="F212" s="12"/>
      <c r="G212" s="83"/>
      <c r="H212" s="84"/>
      <c r="I212" s="84"/>
      <c r="J212" s="10" t="s">
        <v>411</v>
      </c>
    </row>
    <row r="213" spans="1:10" x14ac:dyDescent="0.15">
      <c r="A213" s="2"/>
      <c r="B213" s="85">
        <v>40440</v>
      </c>
      <c r="C213" s="138">
        <v>41483</v>
      </c>
      <c r="D213" s="13"/>
      <c r="E213" s="54"/>
      <c r="F213" s="12"/>
      <c r="G213" s="83"/>
      <c r="H213" s="146"/>
      <c r="I213" s="84"/>
      <c r="J213" s="10" t="s">
        <v>411</v>
      </c>
    </row>
    <row r="214" spans="1:10" x14ac:dyDescent="0.15">
      <c r="A214" s="4">
        <f>A207+1</f>
        <v>31</v>
      </c>
      <c r="B214" s="78">
        <v>40441</v>
      </c>
      <c r="C214" s="137">
        <v>41484</v>
      </c>
      <c r="D214" s="8"/>
      <c r="E214" s="52"/>
      <c r="F214" s="7"/>
      <c r="G214" s="80"/>
      <c r="H214" s="81"/>
      <c r="I214" s="81"/>
      <c r="J214" s="10" t="s">
        <v>411</v>
      </c>
    </row>
    <row r="215" spans="1:10" x14ac:dyDescent="0.15">
      <c r="A215" s="11" t="s">
        <v>11</v>
      </c>
      <c r="B215" s="78">
        <v>40442</v>
      </c>
      <c r="C215" s="138">
        <v>41485</v>
      </c>
      <c r="D215" s="13"/>
      <c r="E215" s="54"/>
      <c r="F215" s="2"/>
      <c r="G215" s="83"/>
      <c r="H215" s="84"/>
      <c r="I215" s="84"/>
      <c r="J215" s="10" t="s">
        <v>411</v>
      </c>
    </row>
    <row r="216" spans="1:10" x14ac:dyDescent="0.15">
      <c r="A216" s="15">
        <f>SUM(G214:G220)</f>
        <v>0</v>
      </c>
      <c r="B216" s="78">
        <v>40443</v>
      </c>
      <c r="C216" s="138">
        <v>41486</v>
      </c>
      <c r="D216" s="13"/>
      <c r="E216" s="54"/>
      <c r="F216" s="12"/>
      <c r="G216" s="83"/>
      <c r="H216" s="84"/>
      <c r="I216" s="84"/>
      <c r="J216" s="10" t="s">
        <v>411</v>
      </c>
    </row>
    <row r="217" spans="1:10" x14ac:dyDescent="0.15">
      <c r="A217" s="2"/>
      <c r="B217" s="78">
        <v>40444</v>
      </c>
      <c r="C217" s="138">
        <v>41487</v>
      </c>
      <c r="D217" s="13"/>
      <c r="E217" s="54"/>
      <c r="F217" s="2"/>
      <c r="G217" s="83"/>
      <c r="H217" s="84"/>
      <c r="I217" s="84"/>
      <c r="J217" s="10" t="s">
        <v>411</v>
      </c>
    </row>
    <row r="218" spans="1:10" x14ac:dyDescent="0.15">
      <c r="A218" s="2"/>
      <c r="B218" s="78">
        <v>40445</v>
      </c>
      <c r="C218" s="138">
        <v>41488</v>
      </c>
      <c r="D218" s="13"/>
      <c r="E218" s="54"/>
      <c r="F218" s="12"/>
      <c r="G218" s="83"/>
      <c r="H218" s="84"/>
      <c r="I218" s="84"/>
      <c r="J218" s="10" t="s">
        <v>411</v>
      </c>
    </row>
    <row r="219" spans="1:10" x14ac:dyDescent="0.15">
      <c r="A219" s="2"/>
      <c r="B219" s="78">
        <v>40446</v>
      </c>
      <c r="C219" s="138">
        <v>41489</v>
      </c>
      <c r="D219" s="13"/>
      <c r="E219" s="54"/>
      <c r="F219" s="12"/>
      <c r="G219" s="83"/>
      <c r="H219" s="84"/>
      <c r="I219" s="84"/>
      <c r="J219" s="10" t="s">
        <v>411</v>
      </c>
    </row>
    <row r="220" spans="1:10" x14ac:dyDescent="0.15">
      <c r="A220" s="2"/>
      <c r="B220" s="85">
        <v>40447</v>
      </c>
      <c r="C220" s="138">
        <v>41490</v>
      </c>
      <c r="D220" s="13"/>
      <c r="E220" s="54"/>
      <c r="F220" s="12"/>
      <c r="G220" s="83"/>
      <c r="H220" s="146"/>
      <c r="I220" s="84"/>
      <c r="J220" s="10" t="s">
        <v>411</v>
      </c>
    </row>
    <row r="221" spans="1:10" x14ac:dyDescent="0.15">
      <c r="A221" s="4">
        <f>A214+1</f>
        <v>32</v>
      </c>
      <c r="B221" s="78">
        <v>40448</v>
      </c>
      <c r="C221" s="137">
        <v>41491</v>
      </c>
      <c r="D221" s="8"/>
      <c r="E221" s="52"/>
      <c r="F221" s="7"/>
      <c r="G221" s="80"/>
      <c r="H221" s="81"/>
      <c r="I221" s="81"/>
      <c r="J221" s="10" t="s">
        <v>411</v>
      </c>
    </row>
    <row r="222" spans="1:10" x14ac:dyDescent="0.15">
      <c r="A222" s="11" t="s">
        <v>11</v>
      </c>
      <c r="B222" s="78">
        <v>40449</v>
      </c>
      <c r="C222" s="138">
        <v>41492</v>
      </c>
      <c r="D222" s="13" t="s">
        <v>14</v>
      </c>
      <c r="E222" s="54">
        <v>2.5277777777777777E-2</v>
      </c>
      <c r="F222" s="2">
        <v>156</v>
      </c>
      <c r="G222" s="83">
        <v>7.5</v>
      </c>
      <c r="H222" s="84">
        <f>E222/G222</f>
        <v>3.3703703703703704E-3</v>
      </c>
      <c r="I222" s="84" t="s">
        <v>466</v>
      </c>
      <c r="J222" s="10" t="s">
        <v>411</v>
      </c>
    </row>
    <row r="223" spans="1:10" x14ac:dyDescent="0.15">
      <c r="A223" s="15">
        <f>SUM(G221:G227)</f>
        <v>18.22</v>
      </c>
      <c r="B223" s="78">
        <v>40450</v>
      </c>
      <c r="C223" s="138">
        <v>41493</v>
      </c>
      <c r="D223" s="13"/>
      <c r="E223" s="54"/>
      <c r="F223" s="12"/>
      <c r="G223" s="83"/>
      <c r="H223" s="84"/>
      <c r="I223" s="84"/>
      <c r="J223" s="10" t="s">
        <v>411</v>
      </c>
    </row>
    <row r="224" spans="1:10" x14ac:dyDescent="0.15">
      <c r="A224" s="2"/>
      <c r="B224" s="78">
        <v>40451</v>
      </c>
      <c r="C224" s="138">
        <v>41494</v>
      </c>
      <c r="D224" s="13"/>
      <c r="E224" s="54"/>
      <c r="F224" s="2"/>
      <c r="G224" s="83"/>
      <c r="H224" s="84"/>
      <c r="I224" s="84"/>
      <c r="J224" s="10" t="s">
        <v>411</v>
      </c>
    </row>
    <row r="225" spans="1:10" x14ac:dyDescent="0.15">
      <c r="A225" s="2"/>
      <c r="B225" s="78">
        <v>40452</v>
      </c>
      <c r="C225" s="138">
        <v>41495</v>
      </c>
      <c r="D225" s="13"/>
      <c r="E225" s="54"/>
      <c r="F225" s="12"/>
      <c r="G225" s="83"/>
      <c r="H225" s="84"/>
      <c r="I225" s="84"/>
      <c r="J225" s="10" t="s">
        <v>411</v>
      </c>
    </row>
    <row r="226" spans="1:10" x14ac:dyDescent="0.15">
      <c r="A226" s="2"/>
      <c r="B226" s="78">
        <v>40453</v>
      </c>
      <c r="C226" s="138">
        <v>41496</v>
      </c>
      <c r="D226" s="13" t="s">
        <v>14</v>
      </c>
      <c r="E226" s="54">
        <v>3.9675925925925927E-2</v>
      </c>
      <c r="F226" s="12">
        <v>142</v>
      </c>
      <c r="G226" s="83">
        <v>10.72</v>
      </c>
      <c r="H226" s="84">
        <f>E226/G226</f>
        <v>3.7011124930901051E-3</v>
      </c>
      <c r="I226" s="84" t="s">
        <v>466</v>
      </c>
      <c r="J226" s="10" t="s">
        <v>411</v>
      </c>
    </row>
    <row r="227" spans="1:10" x14ac:dyDescent="0.15">
      <c r="A227" s="2"/>
      <c r="B227" s="85">
        <v>40454</v>
      </c>
      <c r="C227" s="138">
        <v>41497</v>
      </c>
      <c r="D227" s="13"/>
      <c r="E227" s="54"/>
      <c r="F227" s="12"/>
      <c r="G227" s="83"/>
      <c r="H227" s="146"/>
      <c r="I227" s="84"/>
      <c r="J227" s="10" t="s">
        <v>411</v>
      </c>
    </row>
    <row r="228" spans="1:10" x14ac:dyDescent="0.15">
      <c r="A228" s="4">
        <f>A221+1</f>
        <v>33</v>
      </c>
      <c r="B228" s="78">
        <v>40455</v>
      </c>
      <c r="C228" s="137">
        <v>41498</v>
      </c>
      <c r="D228" s="8" t="s">
        <v>14</v>
      </c>
      <c r="E228" s="52">
        <v>2.1273148148148149E-2</v>
      </c>
      <c r="F228" s="7">
        <v>125</v>
      </c>
      <c r="G228" s="80">
        <v>4.47</v>
      </c>
      <c r="H228" s="81">
        <f>E228/G228</f>
        <v>4.7590935454470138E-3</v>
      </c>
      <c r="I228" s="81" t="s">
        <v>455</v>
      </c>
      <c r="J228" s="10" t="s">
        <v>411</v>
      </c>
    </row>
    <row r="229" spans="1:10" x14ac:dyDescent="0.15">
      <c r="A229" s="11" t="s">
        <v>11</v>
      </c>
      <c r="B229" s="78">
        <v>40456</v>
      </c>
      <c r="C229" s="138">
        <v>41499</v>
      </c>
      <c r="D229" s="13"/>
      <c r="E229" s="54"/>
      <c r="F229" s="2"/>
      <c r="G229" s="83"/>
      <c r="H229" s="84"/>
      <c r="I229" s="84"/>
      <c r="J229" s="10" t="s">
        <v>411</v>
      </c>
    </row>
    <row r="230" spans="1:10" x14ac:dyDescent="0.15">
      <c r="A230" s="15">
        <f>SUM(G228:G234)</f>
        <v>25.439999999999998</v>
      </c>
      <c r="B230" s="78">
        <v>40457</v>
      </c>
      <c r="C230" s="138">
        <v>41500</v>
      </c>
      <c r="D230" s="13"/>
      <c r="E230" s="54"/>
      <c r="F230" s="12"/>
      <c r="G230" s="83"/>
      <c r="H230" s="84"/>
      <c r="I230" s="84"/>
      <c r="J230" s="10" t="s">
        <v>411</v>
      </c>
    </row>
    <row r="231" spans="1:10" x14ac:dyDescent="0.15">
      <c r="A231" s="2"/>
      <c r="B231" s="78">
        <v>40458</v>
      </c>
      <c r="C231" s="138">
        <v>41501</v>
      </c>
      <c r="D231" s="13"/>
      <c r="E231" s="54"/>
      <c r="F231" s="2"/>
      <c r="G231" s="83"/>
      <c r="H231" s="84"/>
      <c r="I231" s="84"/>
      <c r="J231" s="10" t="s">
        <v>411</v>
      </c>
    </row>
    <row r="232" spans="1:10" x14ac:dyDescent="0.15">
      <c r="A232" s="2"/>
      <c r="B232" s="78">
        <v>40459</v>
      </c>
      <c r="C232" s="138">
        <v>41502</v>
      </c>
      <c r="D232" s="13" t="s">
        <v>14</v>
      </c>
      <c r="E232" s="54">
        <v>3.8518518518518521E-2</v>
      </c>
      <c r="F232" s="12">
        <v>143</v>
      </c>
      <c r="G232" s="83">
        <v>10.5</v>
      </c>
      <c r="H232" s="84">
        <f>E232/G232</f>
        <v>3.6684303350970021E-3</v>
      </c>
      <c r="I232" s="84" t="s">
        <v>466</v>
      </c>
      <c r="J232" s="10" t="s">
        <v>411</v>
      </c>
    </row>
    <row r="233" spans="1:10" x14ac:dyDescent="0.15">
      <c r="A233" s="2"/>
      <c r="B233" s="78">
        <v>40460</v>
      </c>
      <c r="C233" s="138">
        <v>41503</v>
      </c>
      <c r="D233" s="13"/>
      <c r="E233" s="54"/>
      <c r="F233" s="12"/>
      <c r="G233" s="83"/>
      <c r="H233" s="84"/>
      <c r="I233" s="84"/>
      <c r="J233" s="10" t="s">
        <v>411</v>
      </c>
    </row>
    <row r="234" spans="1:10" x14ac:dyDescent="0.15">
      <c r="A234" s="2"/>
      <c r="B234" s="85">
        <v>40461</v>
      </c>
      <c r="C234" s="138">
        <v>41504</v>
      </c>
      <c r="D234" s="13" t="s">
        <v>14</v>
      </c>
      <c r="E234" s="54">
        <v>3.9398148148148147E-2</v>
      </c>
      <c r="F234" s="12">
        <v>146</v>
      </c>
      <c r="G234" s="83">
        <v>10.47</v>
      </c>
      <c r="H234" s="84">
        <f>E234/G234</f>
        <v>3.7629558880752766E-3</v>
      </c>
      <c r="I234" s="84" t="s">
        <v>466</v>
      </c>
      <c r="J234" s="10" t="s">
        <v>411</v>
      </c>
    </row>
    <row r="235" spans="1:10" x14ac:dyDescent="0.15">
      <c r="A235" s="4">
        <f>A228+1</f>
        <v>34</v>
      </c>
      <c r="B235" s="78">
        <v>40462</v>
      </c>
      <c r="C235" s="137">
        <v>41505</v>
      </c>
      <c r="D235" s="8"/>
      <c r="E235" s="52"/>
      <c r="F235" s="7"/>
      <c r="G235" s="80"/>
      <c r="H235" s="81"/>
      <c r="I235" s="81"/>
      <c r="J235" s="10" t="s">
        <v>411</v>
      </c>
    </row>
    <row r="236" spans="1:10" x14ac:dyDescent="0.15">
      <c r="A236" s="11" t="s">
        <v>11</v>
      </c>
      <c r="B236" s="78">
        <v>40463</v>
      </c>
      <c r="C236" s="138">
        <v>41506</v>
      </c>
      <c r="D236" s="13" t="s">
        <v>14</v>
      </c>
      <c r="E236" s="54">
        <v>4.1712962962962959E-2</v>
      </c>
      <c r="F236" s="2">
        <v>138</v>
      </c>
      <c r="G236" s="83">
        <v>11.13</v>
      </c>
      <c r="H236" s="84">
        <f>E236/G236</f>
        <v>3.7477954144620805E-3</v>
      </c>
      <c r="I236" s="84" t="s">
        <v>466</v>
      </c>
      <c r="J236" s="10" t="s">
        <v>411</v>
      </c>
    </row>
    <row r="237" spans="1:10" x14ac:dyDescent="0.15">
      <c r="A237" s="15">
        <f>SUM(G235:G241)</f>
        <v>21.65</v>
      </c>
      <c r="B237" s="78">
        <v>40464</v>
      </c>
      <c r="C237" s="138">
        <v>41507</v>
      </c>
      <c r="D237" s="13"/>
      <c r="E237" s="54"/>
      <c r="F237" s="12"/>
      <c r="G237" s="83"/>
      <c r="H237" s="84"/>
      <c r="I237" s="84"/>
      <c r="J237" s="10" t="s">
        <v>411</v>
      </c>
    </row>
    <row r="238" spans="1:10" x14ac:dyDescent="0.15">
      <c r="A238" s="2"/>
      <c r="B238" s="78">
        <v>40465</v>
      </c>
      <c r="C238" s="138">
        <v>41508</v>
      </c>
      <c r="D238" s="13"/>
      <c r="E238" s="54"/>
      <c r="F238" s="2"/>
      <c r="G238" s="83"/>
      <c r="H238" s="84"/>
      <c r="I238" s="84"/>
      <c r="J238" s="10" t="s">
        <v>411</v>
      </c>
    </row>
    <row r="239" spans="1:10" x14ac:dyDescent="0.15">
      <c r="A239" s="2"/>
      <c r="B239" s="78">
        <v>40466</v>
      </c>
      <c r="C239" s="138">
        <v>41509</v>
      </c>
      <c r="D239" s="13" t="s">
        <v>14</v>
      </c>
      <c r="E239" s="54">
        <v>3.9594907407407405E-2</v>
      </c>
      <c r="F239" s="12">
        <v>144</v>
      </c>
      <c r="G239" s="83">
        <v>10.52</v>
      </c>
      <c r="H239" s="84">
        <f>E239/G239</f>
        <v>3.7637744683847343E-3</v>
      </c>
      <c r="I239" s="84" t="s">
        <v>466</v>
      </c>
      <c r="J239" s="10" t="s">
        <v>411</v>
      </c>
    </row>
    <row r="240" spans="1:10" x14ac:dyDescent="0.15">
      <c r="A240" s="2"/>
      <c r="B240" s="78">
        <v>40467</v>
      </c>
      <c r="C240" s="138">
        <v>41510</v>
      </c>
      <c r="D240" s="13"/>
      <c r="E240" s="54"/>
      <c r="F240" s="12"/>
      <c r="G240" s="83"/>
      <c r="H240" s="84"/>
      <c r="I240" s="84"/>
      <c r="J240" s="10" t="s">
        <v>411</v>
      </c>
    </row>
    <row r="241" spans="1:11" x14ac:dyDescent="0.15">
      <c r="A241" s="2"/>
      <c r="B241" s="85">
        <v>40468</v>
      </c>
      <c r="C241" s="138">
        <v>41511</v>
      </c>
      <c r="D241" s="13"/>
      <c r="E241" s="54"/>
      <c r="F241" s="12"/>
      <c r="G241" s="83"/>
      <c r="H241" s="146"/>
      <c r="I241" s="84"/>
      <c r="J241" s="10" t="s">
        <v>411</v>
      </c>
    </row>
    <row r="242" spans="1:11" x14ac:dyDescent="0.15">
      <c r="A242" s="4">
        <f>A235+1</f>
        <v>35</v>
      </c>
      <c r="B242" s="78">
        <v>40469</v>
      </c>
      <c r="C242" s="137">
        <v>41512</v>
      </c>
      <c r="D242" s="8"/>
      <c r="E242" s="52"/>
      <c r="F242" s="7"/>
      <c r="G242" s="80"/>
      <c r="H242" s="81"/>
      <c r="I242" s="81"/>
      <c r="J242" s="10" t="s">
        <v>411</v>
      </c>
    </row>
    <row r="243" spans="1:11" x14ac:dyDescent="0.15">
      <c r="A243" s="11" t="s">
        <v>11</v>
      </c>
      <c r="B243" s="78">
        <v>40470</v>
      </c>
      <c r="C243" s="138">
        <v>41513</v>
      </c>
      <c r="D243" s="13"/>
      <c r="E243" s="54"/>
      <c r="F243" s="2"/>
      <c r="G243" s="83"/>
      <c r="H243" s="84"/>
      <c r="I243" s="84"/>
      <c r="J243" s="10" t="s">
        <v>411</v>
      </c>
    </row>
    <row r="244" spans="1:11" x14ac:dyDescent="0.15">
      <c r="A244" s="15">
        <f>SUM(G242:G248)</f>
        <v>20.92</v>
      </c>
      <c r="B244" s="78">
        <v>40471</v>
      </c>
      <c r="C244" s="138">
        <v>41514</v>
      </c>
      <c r="D244" s="13" t="s">
        <v>14</v>
      </c>
      <c r="E244" s="54">
        <v>3.8530092592592595E-2</v>
      </c>
      <c r="F244" s="12">
        <v>140</v>
      </c>
      <c r="G244" s="83">
        <v>10.45</v>
      </c>
      <c r="H244" s="84">
        <f>E244/G244</f>
        <v>3.6870902002480955E-3</v>
      </c>
      <c r="I244" s="84" t="s">
        <v>466</v>
      </c>
      <c r="J244" s="10" t="s">
        <v>411</v>
      </c>
    </row>
    <row r="245" spans="1:11" x14ac:dyDescent="0.15">
      <c r="A245" s="2"/>
      <c r="B245" s="78">
        <v>40472</v>
      </c>
      <c r="C245" s="138">
        <v>41515</v>
      </c>
      <c r="D245" s="13"/>
      <c r="E245" s="54"/>
      <c r="F245" s="2"/>
      <c r="G245" s="83"/>
      <c r="H245" s="84"/>
      <c r="I245" s="84"/>
      <c r="J245" s="10" t="s">
        <v>411</v>
      </c>
    </row>
    <row r="246" spans="1:11" x14ac:dyDescent="0.15">
      <c r="A246" s="2"/>
      <c r="B246" s="78">
        <v>40473</v>
      </c>
      <c r="C246" s="138">
        <v>41516</v>
      </c>
      <c r="D246" s="13"/>
      <c r="E246" s="54"/>
      <c r="F246" s="12"/>
      <c r="G246" s="83"/>
      <c r="H246" s="84"/>
      <c r="I246" s="84"/>
      <c r="J246" s="10" t="s">
        <v>411</v>
      </c>
    </row>
    <row r="247" spans="1:11" x14ac:dyDescent="0.15">
      <c r="A247" s="2"/>
      <c r="B247" s="78">
        <v>40474</v>
      </c>
      <c r="C247" s="138">
        <v>41517</v>
      </c>
      <c r="D247" s="13"/>
      <c r="E247" s="54"/>
      <c r="F247" s="12"/>
      <c r="G247" s="83"/>
      <c r="H247" s="84"/>
      <c r="I247" s="84"/>
      <c r="J247" s="10" t="s">
        <v>411</v>
      </c>
    </row>
    <row r="248" spans="1:11" x14ac:dyDescent="0.15">
      <c r="A248" s="2"/>
      <c r="B248" s="85">
        <v>40475</v>
      </c>
      <c r="C248" s="138">
        <v>41518</v>
      </c>
      <c r="D248" s="13" t="s">
        <v>14</v>
      </c>
      <c r="E248" s="54">
        <v>3.7696759259259256E-2</v>
      </c>
      <c r="F248" s="12">
        <v>143</v>
      </c>
      <c r="G248" s="83">
        <v>10.47</v>
      </c>
      <c r="H248" s="84">
        <f>E248/G248</f>
        <v>3.6004545615338349E-3</v>
      </c>
      <c r="I248" s="84" t="s">
        <v>466</v>
      </c>
      <c r="J248" s="10" t="s">
        <v>411</v>
      </c>
    </row>
    <row r="249" spans="1:11" x14ac:dyDescent="0.15">
      <c r="A249" s="4">
        <f>A242+1</f>
        <v>36</v>
      </c>
      <c r="B249" s="78">
        <v>40476</v>
      </c>
      <c r="C249" s="137">
        <v>41519</v>
      </c>
      <c r="D249" s="8"/>
      <c r="E249" s="52"/>
      <c r="F249" s="7"/>
      <c r="G249" s="80"/>
      <c r="H249" s="81"/>
      <c r="I249" s="81"/>
      <c r="J249" s="10" t="s">
        <v>411</v>
      </c>
    </row>
    <row r="250" spans="1:11" x14ac:dyDescent="0.15">
      <c r="A250" s="11" t="s">
        <v>11</v>
      </c>
      <c r="B250" s="78">
        <v>40477</v>
      </c>
      <c r="C250" s="138">
        <v>41520</v>
      </c>
      <c r="D250" s="13" t="s">
        <v>14</v>
      </c>
      <c r="E250" s="54">
        <v>4.6053240740740735E-2</v>
      </c>
      <c r="F250" s="2">
        <v>142</v>
      </c>
      <c r="G250" s="83">
        <v>12.07</v>
      </c>
      <c r="H250" s="84">
        <f>E250/G250</f>
        <v>3.8155129031268212E-3</v>
      </c>
      <c r="I250" s="84" t="s">
        <v>436</v>
      </c>
      <c r="J250" s="10" t="s">
        <v>411</v>
      </c>
    </row>
    <row r="251" spans="1:11" x14ac:dyDescent="0.15">
      <c r="A251" s="15">
        <f>SUM(G249:G255)</f>
        <v>22.42</v>
      </c>
      <c r="B251" s="78">
        <v>40478</v>
      </c>
      <c r="C251" s="138">
        <v>41521</v>
      </c>
      <c r="D251" s="13"/>
      <c r="E251" s="54"/>
      <c r="F251" s="12"/>
      <c r="G251" s="83"/>
      <c r="H251" s="84"/>
      <c r="I251" s="84"/>
      <c r="J251" s="10" t="s">
        <v>411</v>
      </c>
      <c r="K251" s="147"/>
    </row>
    <row r="252" spans="1:11" x14ac:dyDescent="0.15">
      <c r="A252" s="2"/>
      <c r="B252" s="78">
        <v>40479</v>
      </c>
      <c r="C252" s="138">
        <v>41522</v>
      </c>
      <c r="D252" s="13"/>
      <c r="E252" s="54"/>
      <c r="F252" s="2"/>
      <c r="G252" s="83"/>
      <c r="H252" s="84"/>
      <c r="I252" s="84"/>
      <c r="J252" s="10" t="s">
        <v>411</v>
      </c>
    </row>
    <row r="253" spans="1:11" x14ac:dyDescent="0.15">
      <c r="A253" s="2"/>
      <c r="B253" s="78">
        <v>40480</v>
      </c>
      <c r="C253" s="138">
        <v>41523</v>
      </c>
      <c r="D253" s="13" t="s">
        <v>14</v>
      </c>
      <c r="E253" s="54">
        <v>3.8344907407407411E-2</v>
      </c>
      <c r="F253" s="12">
        <v>144</v>
      </c>
      <c r="G253" s="83">
        <v>10.35</v>
      </c>
      <c r="H253" s="84">
        <f>E253/G253</f>
        <v>3.7048219717301847E-3</v>
      </c>
      <c r="I253" s="84" t="s">
        <v>466</v>
      </c>
      <c r="J253" s="10" t="s">
        <v>411</v>
      </c>
    </row>
    <row r="254" spans="1:11" x14ac:dyDescent="0.15">
      <c r="A254" s="2"/>
      <c r="B254" s="78">
        <v>40481</v>
      </c>
      <c r="C254" s="138">
        <v>41524</v>
      </c>
      <c r="D254" s="13"/>
      <c r="E254" s="54"/>
      <c r="F254" s="12"/>
      <c r="G254" s="83"/>
      <c r="H254" s="84"/>
      <c r="I254" s="84"/>
      <c r="J254" s="10" t="s">
        <v>411</v>
      </c>
    </row>
    <row r="255" spans="1:11" x14ac:dyDescent="0.15">
      <c r="A255" s="2"/>
      <c r="B255" s="85">
        <v>40482</v>
      </c>
      <c r="C255" s="138">
        <v>41525</v>
      </c>
      <c r="D255" s="13"/>
      <c r="E255" s="54"/>
      <c r="F255" s="12"/>
      <c r="G255" s="83"/>
      <c r="H255" s="146"/>
      <c r="I255" s="84"/>
      <c r="J255" s="10" t="s">
        <v>411</v>
      </c>
    </row>
    <row r="256" spans="1:11" x14ac:dyDescent="0.15">
      <c r="A256" s="4">
        <f>A249+1</f>
        <v>37</v>
      </c>
      <c r="B256" s="78">
        <v>40483</v>
      </c>
      <c r="C256" s="137">
        <v>41526</v>
      </c>
      <c r="D256" s="8"/>
      <c r="E256" s="52"/>
      <c r="F256" s="7"/>
      <c r="G256" s="80"/>
      <c r="H256" s="81"/>
      <c r="I256" s="81"/>
      <c r="J256" s="10" t="s">
        <v>411</v>
      </c>
    </row>
    <row r="257" spans="1:10" x14ac:dyDescent="0.15">
      <c r="A257" s="11" t="s">
        <v>11</v>
      </c>
      <c r="B257" s="78">
        <v>40484</v>
      </c>
      <c r="C257" s="138">
        <v>41527</v>
      </c>
      <c r="D257" s="13" t="s">
        <v>14</v>
      </c>
      <c r="E257" s="54" t="s">
        <v>437</v>
      </c>
      <c r="F257" s="2" t="s">
        <v>437</v>
      </c>
      <c r="G257" s="83">
        <v>10.4</v>
      </c>
      <c r="H257" s="84" t="s">
        <v>437</v>
      </c>
      <c r="I257" s="84" t="s">
        <v>466</v>
      </c>
      <c r="J257" s="10" t="s">
        <v>411</v>
      </c>
    </row>
    <row r="258" spans="1:10" x14ac:dyDescent="0.15">
      <c r="A258" s="15">
        <f>SUM(G256:G262)</f>
        <v>10.4</v>
      </c>
      <c r="B258" s="78">
        <v>40485</v>
      </c>
      <c r="C258" s="138">
        <v>41528</v>
      </c>
      <c r="D258" s="13"/>
      <c r="E258" s="54"/>
      <c r="F258" s="12"/>
      <c r="G258" s="83"/>
      <c r="H258" s="84"/>
      <c r="I258" s="84"/>
      <c r="J258" s="10" t="s">
        <v>411</v>
      </c>
    </row>
    <row r="259" spans="1:10" x14ac:dyDescent="0.15">
      <c r="A259" s="2"/>
      <c r="B259" s="78">
        <v>40486</v>
      </c>
      <c r="C259" s="138">
        <v>41529</v>
      </c>
      <c r="D259" s="13"/>
      <c r="E259" s="54"/>
      <c r="F259" s="2"/>
      <c r="G259" s="83"/>
      <c r="H259" s="84"/>
      <c r="I259" s="84"/>
      <c r="J259" s="10" t="s">
        <v>411</v>
      </c>
    </row>
    <row r="260" spans="1:10" x14ac:dyDescent="0.15">
      <c r="A260" s="2"/>
      <c r="B260" s="78">
        <v>40487</v>
      </c>
      <c r="C260" s="138">
        <v>41530</v>
      </c>
      <c r="D260" s="13"/>
      <c r="E260" s="54"/>
      <c r="F260" s="12"/>
      <c r="G260" s="83"/>
      <c r="H260" s="84"/>
      <c r="I260" s="84"/>
      <c r="J260" s="10" t="s">
        <v>411</v>
      </c>
    </row>
    <row r="261" spans="1:10" x14ac:dyDescent="0.15">
      <c r="A261" s="2"/>
      <c r="B261" s="78">
        <v>40488</v>
      </c>
      <c r="C261" s="138">
        <v>41531</v>
      </c>
      <c r="D261" s="148"/>
      <c r="E261" s="149"/>
      <c r="F261" s="28"/>
      <c r="G261" s="150"/>
      <c r="H261" s="151"/>
      <c r="I261" s="151"/>
      <c r="J261" s="10" t="s">
        <v>411</v>
      </c>
    </row>
    <row r="262" spans="1:10" x14ac:dyDescent="0.15">
      <c r="A262" s="2"/>
      <c r="B262" s="85">
        <v>40489</v>
      </c>
      <c r="C262" s="138">
        <v>41532</v>
      </c>
      <c r="D262" s="13"/>
      <c r="E262" s="54"/>
      <c r="F262" s="12"/>
      <c r="G262" s="83"/>
      <c r="H262" s="84"/>
      <c r="I262" s="84"/>
      <c r="J262" s="10" t="s">
        <v>411</v>
      </c>
    </row>
    <row r="263" spans="1:10" x14ac:dyDescent="0.15">
      <c r="A263" s="4">
        <f>A256+1</f>
        <v>38</v>
      </c>
      <c r="B263" s="78">
        <v>40490</v>
      </c>
      <c r="C263" s="137">
        <v>41533</v>
      </c>
      <c r="D263" s="8"/>
      <c r="E263" s="52"/>
      <c r="F263" s="7"/>
      <c r="G263" s="80"/>
      <c r="H263" s="81"/>
      <c r="I263" s="81"/>
      <c r="J263" s="10" t="s">
        <v>411</v>
      </c>
    </row>
    <row r="264" spans="1:10" x14ac:dyDescent="0.15">
      <c r="A264" s="11" t="s">
        <v>11</v>
      </c>
      <c r="B264" s="78">
        <v>40491</v>
      </c>
      <c r="C264" s="138">
        <v>41534</v>
      </c>
      <c r="D264" s="13"/>
      <c r="E264" s="54"/>
      <c r="F264" s="2"/>
      <c r="G264" s="83"/>
      <c r="H264" s="84"/>
      <c r="I264" s="84"/>
      <c r="J264" s="10" t="s">
        <v>411</v>
      </c>
    </row>
    <row r="265" spans="1:10" x14ac:dyDescent="0.15">
      <c r="A265" s="15">
        <f>SUM(G263:G269)</f>
        <v>0</v>
      </c>
      <c r="B265" s="78">
        <v>40492</v>
      </c>
      <c r="C265" s="138">
        <v>41535</v>
      </c>
      <c r="D265" s="13"/>
      <c r="E265" s="54"/>
      <c r="F265" s="12"/>
      <c r="G265" s="83"/>
      <c r="H265" s="84"/>
      <c r="I265" s="84"/>
      <c r="J265" s="10" t="s">
        <v>411</v>
      </c>
    </row>
    <row r="266" spans="1:10" x14ac:dyDescent="0.15">
      <c r="A266" s="2"/>
      <c r="B266" s="78">
        <v>40493</v>
      </c>
      <c r="C266" s="138">
        <v>41536</v>
      </c>
      <c r="D266" s="13"/>
      <c r="E266" s="54"/>
      <c r="F266" s="2"/>
      <c r="G266" s="83"/>
      <c r="H266" s="84"/>
      <c r="I266" s="84"/>
      <c r="J266" s="10" t="s">
        <v>411</v>
      </c>
    </row>
    <row r="267" spans="1:10" x14ac:dyDescent="0.15">
      <c r="A267" s="2"/>
      <c r="B267" s="78">
        <v>40494</v>
      </c>
      <c r="C267" s="138">
        <v>41537</v>
      </c>
      <c r="D267" s="13"/>
      <c r="E267" s="54"/>
      <c r="F267" s="12"/>
      <c r="G267" s="83"/>
      <c r="H267" s="84"/>
      <c r="I267" s="84"/>
      <c r="J267" s="10" t="s">
        <v>411</v>
      </c>
    </row>
    <row r="268" spans="1:10" x14ac:dyDescent="0.15">
      <c r="A268" s="2"/>
      <c r="B268" s="78">
        <v>40495</v>
      </c>
      <c r="C268" s="138">
        <v>41538</v>
      </c>
      <c r="D268" s="13"/>
      <c r="E268" s="54"/>
      <c r="F268" s="12"/>
      <c r="G268" s="83"/>
      <c r="H268" s="84"/>
      <c r="I268" s="84"/>
      <c r="J268" s="10" t="s">
        <v>411</v>
      </c>
    </row>
    <row r="269" spans="1:10" x14ac:dyDescent="0.15">
      <c r="A269" s="2"/>
      <c r="B269" s="85">
        <v>40496</v>
      </c>
      <c r="C269" s="138">
        <v>41539</v>
      </c>
      <c r="D269" s="13"/>
      <c r="E269" s="54"/>
      <c r="F269" s="12"/>
      <c r="G269" s="83"/>
      <c r="H269" s="146"/>
      <c r="I269" s="84"/>
      <c r="J269" s="10" t="s">
        <v>411</v>
      </c>
    </row>
    <row r="270" spans="1:10" x14ac:dyDescent="0.15">
      <c r="A270" s="4">
        <f>A263+1</f>
        <v>39</v>
      </c>
      <c r="B270" s="78">
        <v>40497</v>
      </c>
      <c r="C270" s="137">
        <v>41540</v>
      </c>
      <c r="D270" s="8"/>
      <c r="E270" s="52"/>
      <c r="F270" s="7"/>
      <c r="G270" s="80"/>
      <c r="H270" s="81"/>
      <c r="I270" s="81"/>
      <c r="J270" s="10" t="s">
        <v>411</v>
      </c>
    </row>
    <row r="271" spans="1:10" x14ac:dyDescent="0.15">
      <c r="A271" s="11" t="s">
        <v>11</v>
      </c>
      <c r="B271" s="78">
        <v>40498</v>
      </c>
      <c r="C271" s="138">
        <v>41541</v>
      </c>
      <c r="D271" s="13"/>
      <c r="E271" s="54"/>
      <c r="F271" s="2"/>
      <c r="G271" s="83"/>
      <c r="H271" s="84"/>
      <c r="I271" s="84"/>
      <c r="J271" s="10" t="s">
        <v>411</v>
      </c>
    </row>
    <row r="272" spans="1:10" x14ac:dyDescent="0.15">
      <c r="A272" s="15">
        <f>SUM(G270:G276)</f>
        <v>0</v>
      </c>
      <c r="B272" s="78">
        <v>40499</v>
      </c>
      <c r="C272" s="138">
        <v>41542</v>
      </c>
      <c r="D272" s="13"/>
      <c r="E272" s="54"/>
      <c r="F272" s="12"/>
      <c r="G272" s="83"/>
      <c r="H272" s="84"/>
      <c r="I272" s="84"/>
      <c r="J272" s="10" t="s">
        <v>411</v>
      </c>
    </row>
    <row r="273" spans="1:10" x14ac:dyDescent="0.15">
      <c r="A273" s="2"/>
      <c r="B273" s="78">
        <v>40500</v>
      </c>
      <c r="C273" s="138">
        <v>41543</v>
      </c>
      <c r="D273" s="13"/>
      <c r="E273" s="54"/>
      <c r="F273" s="2"/>
      <c r="G273" s="83"/>
      <c r="H273" s="84"/>
      <c r="I273" s="84"/>
      <c r="J273" s="10" t="s">
        <v>411</v>
      </c>
    </row>
    <row r="274" spans="1:10" x14ac:dyDescent="0.15">
      <c r="A274" s="2"/>
      <c r="B274" s="78">
        <v>40501</v>
      </c>
      <c r="C274" s="138">
        <v>41544</v>
      </c>
      <c r="D274" s="13"/>
      <c r="E274" s="54"/>
      <c r="F274" s="12"/>
      <c r="G274" s="83"/>
      <c r="H274" s="84"/>
      <c r="I274" s="84"/>
      <c r="J274" s="10" t="s">
        <v>411</v>
      </c>
    </row>
    <row r="275" spans="1:10" x14ac:dyDescent="0.15">
      <c r="A275" s="2"/>
      <c r="B275" s="78">
        <v>40502</v>
      </c>
      <c r="C275" s="138">
        <v>41545</v>
      </c>
      <c r="D275" s="13"/>
      <c r="E275" s="54"/>
      <c r="F275" s="12"/>
      <c r="G275" s="83"/>
      <c r="H275" s="84"/>
      <c r="I275" s="84"/>
      <c r="J275" s="10" t="s">
        <v>411</v>
      </c>
    </row>
    <row r="276" spans="1:10" x14ac:dyDescent="0.15">
      <c r="A276" s="2"/>
      <c r="B276" s="85">
        <v>40503</v>
      </c>
      <c r="C276" s="138">
        <v>41546</v>
      </c>
      <c r="D276" s="13"/>
      <c r="E276" s="54"/>
      <c r="F276" s="12"/>
      <c r="G276" s="83"/>
      <c r="H276" s="146"/>
      <c r="I276" s="84"/>
      <c r="J276" s="10" t="s">
        <v>411</v>
      </c>
    </row>
    <row r="277" spans="1:10" x14ac:dyDescent="0.15">
      <c r="A277" s="4">
        <f>A270+1</f>
        <v>40</v>
      </c>
      <c r="B277" s="78">
        <v>40504</v>
      </c>
      <c r="C277" s="137">
        <v>41547</v>
      </c>
      <c r="D277" s="8"/>
      <c r="E277" s="52"/>
      <c r="F277" s="7"/>
      <c r="G277" s="80"/>
      <c r="H277" s="81"/>
      <c r="I277" s="81"/>
      <c r="J277" s="10" t="s">
        <v>411</v>
      </c>
    </row>
    <row r="278" spans="1:10" x14ac:dyDescent="0.15">
      <c r="A278" s="11" t="s">
        <v>11</v>
      </c>
      <c r="B278" s="78">
        <v>40505</v>
      </c>
      <c r="C278" s="138">
        <v>41548</v>
      </c>
      <c r="D278" s="13"/>
      <c r="E278" s="54"/>
      <c r="F278" s="2"/>
      <c r="G278" s="83"/>
      <c r="H278" s="84"/>
      <c r="I278" s="84"/>
      <c r="J278" s="10" t="s">
        <v>411</v>
      </c>
    </row>
    <row r="279" spans="1:10" x14ac:dyDescent="0.15">
      <c r="A279" s="15">
        <f>SUM(G277:G283)</f>
        <v>20.85</v>
      </c>
      <c r="B279" s="78">
        <v>40506</v>
      </c>
      <c r="C279" s="138">
        <v>41549</v>
      </c>
      <c r="D279" s="13"/>
      <c r="E279" s="54"/>
      <c r="F279" s="12"/>
      <c r="G279" s="83"/>
      <c r="H279" s="84"/>
      <c r="I279" s="84"/>
      <c r="J279" s="10" t="s">
        <v>411</v>
      </c>
    </row>
    <row r="280" spans="1:10" x14ac:dyDescent="0.15">
      <c r="A280" s="2"/>
      <c r="B280" s="78">
        <v>40507</v>
      </c>
      <c r="C280" s="138">
        <v>41550</v>
      </c>
      <c r="D280" s="13" t="s">
        <v>14</v>
      </c>
      <c r="E280" s="54">
        <v>3.7870370370370367E-2</v>
      </c>
      <c r="F280" s="2">
        <v>136</v>
      </c>
      <c r="G280" s="83">
        <v>9.6999999999999993</v>
      </c>
      <c r="H280" s="84">
        <f>E280/G280</f>
        <v>3.9041618938526154E-3</v>
      </c>
      <c r="I280" s="84" t="s">
        <v>466</v>
      </c>
      <c r="J280" s="10" t="s">
        <v>411</v>
      </c>
    </row>
    <row r="281" spans="1:10" x14ac:dyDescent="0.15">
      <c r="A281" s="2"/>
      <c r="B281" s="78">
        <v>40508</v>
      </c>
      <c r="C281" s="138">
        <v>41551</v>
      </c>
      <c r="D281" s="13"/>
      <c r="E281" s="54"/>
      <c r="F281" s="12"/>
      <c r="G281" s="83"/>
      <c r="H281" s="84"/>
      <c r="I281" s="84"/>
      <c r="J281" s="10" t="s">
        <v>411</v>
      </c>
    </row>
    <row r="282" spans="1:10" x14ac:dyDescent="0.15">
      <c r="A282" s="2"/>
      <c r="B282" s="78">
        <v>40509</v>
      </c>
      <c r="C282" s="138">
        <v>41552</v>
      </c>
      <c r="D282" s="13"/>
      <c r="E282" s="54"/>
      <c r="F282" s="12"/>
      <c r="G282" s="83"/>
      <c r="H282" s="84"/>
      <c r="I282" s="84"/>
      <c r="J282" s="10" t="s">
        <v>411</v>
      </c>
    </row>
    <row r="283" spans="1:10" x14ac:dyDescent="0.15">
      <c r="A283" s="2"/>
      <c r="B283" s="85">
        <v>40510</v>
      </c>
      <c r="C283" s="138">
        <v>41553</v>
      </c>
      <c r="D283" s="13" t="s">
        <v>14</v>
      </c>
      <c r="E283" s="54">
        <v>4.3738425925925924E-2</v>
      </c>
      <c r="F283" s="12">
        <v>138</v>
      </c>
      <c r="G283" s="83">
        <v>11.15</v>
      </c>
      <c r="H283" s="84">
        <f>E283/G283</f>
        <v>3.9227287825942527E-3</v>
      </c>
      <c r="I283" s="84" t="s">
        <v>466</v>
      </c>
      <c r="J283" s="10" t="s">
        <v>411</v>
      </c>
    </row>
    <row r="284" spans="1:10" x14ac:dyDescent="0.15">
      <c r="A284" s="4">
        <f>A277+1</f>
        <v>41</v>
      </c>
      <c r="B284" s="78">
        <v>40511</v>
      </c>
      <c r="C284" s="137">
        <v>41554</v>
      </c>
      <c r="D284" s="8"/>
      <c r="E284" s="52"/>
      <c r="F284" s="7"/>
      <c r="G284" s="80"/>
      <c r="H284" s="81"/>
      <c r="I284" s="81"/>
      <c r="J284" s="10" t="s">
        <v>411</v>
      </c>
    </row>
    <row r="285" spans="1:10" x14ac:dyDescent="0.15">
      <c r="A285" s="11" t="s">
        <v>11</v>
      </c>
      <c r="B285" s="78">
        <v>40512</v>
      </c>
      <c r="C285" s="138">
        <v>41555</v>
      </c>
      <c r="D285" s="13" t="s">
        <v>14</v>
      </c>
      <c r="E285" s="54">
        <v>4.0775462962962965E-2</v>
      </c>
      <c r="F285" s="2">
        <v>150</v>
      </c>
      <c r="G285" s="83">
        <v>10.9</v>
      </c>
      <c r="H285" s="84">
        <f>E285/G285</f>
        <v>3.7408681617397215E-3</v>
      </c>
      <c r="I285" s="84" t="s">
        <v>466</v>
      </c>
      <c r="J285" s="10" t="s">
        <v>411</v>
      </c>
    </row>
    <row r="286" spans="1:10" x14ac:dyDescent="0.15">
      <c r="A286" s="15">
        <f>SUM(G284:G290)</f>
        <v>32.9</v>
      </c>
      <c r="B286" s="78">
        <v>40513</v>
      </c>
      <c r="C286" s="138">
        <v>41556</v>
      </c>
      <c r="D286" s="13"/>
      <c r="E286" s="54"/>
      <c r="F286" s="12"/>
      <c r="G286" s="83"/>
      <c r="H286" s="84"/>
      <c r="I286" s="84"/>
      <c r="J286" s="10" t="s">
        <v>411</v>
      </c>
    </row>
    <row r="287" spans="1:10" x14ac:dyDescent="0.15">
      <c r="A287" s="2"/>
      <c r="B287" s="78">
        <v>40514</v>
      </c>
      <c r="C287" s="138">
        <v>41557</v>
      </c>
      <c r="D287" s="13"/>
      <c r="E287" s="54"/>
      <c r="F287" s="2"/>
      <c r="G287" s="83"/>
      <c r="H287" s="84"/>
      <c r="I287" s="84"/>
      <c r="J287" s="10" t="s">
        <v>411</v>
      </c>
    </row>
    <row r="288" spans="1:10" x14ac:dyDescent="0.15">
      <c r="A288" s="2"/>
      <c r="B288" s="78">
        <v>40515</v>
      </c>
      <c r="C288" s="138">
        <v>41558</v>
      </c>
      <c r="D288" s="13" t="s">
        <v>14</v>
      </c>
      <c r="E288" s="54">
        <v>4.2048611111111106E-2</v>
      </c>
      <c r="F288" s="12">
        <v>146</v>
      </c>
      <c r="G288" s="83">
        <v>11.04</v>
      </c>
      <c r="H288" s="84">
        <f>E288/G288</f>
        <v>3.8087510064412238E-3</v>
      </c>
      <c r="I288" s="84" t="s">
        <v>466</v>
      </c>
      <c r="J288" s="10" t="s">
        <v>411</v>
      </c>
    </row>
    <row r="289" spans="1:10" x14ac:dyDescent="0.15">
      <c r="A289" s="2"/>
      <c r="B289" s="78">
        <v>40516</v>
      </c>
      <c r="C289" s="138">
        <v>41559</v>
      </c>
      <c r="D289" s="13"/>
      <c r="E289" s="54"/>
      <c r="F289" s="12"/>
      <c r="G289" s="83"/>
      <c r="H289" s="84"/>
      <c r="I289" s="84"/>
      <c r="J289" s="10" t="s">
        <v>411</v>
      </c>
    </row>
    <row r="290" spans="1:10" x14ac:dyDescent="0.15">
      <c r="A290" s="2"/>
      <c r="B290" s="85">
        <v>40517</v>
      </c>
      <c r="C290" s="138">
        <v>41560</v>
      </c>
      <c r="D290" s="13" t="s">
        <v>14</v>
      </c>
      <c r="E290" s="54">
        <v>4.3425925925925923E-2</v>
      </c>
      <c r="F290" s="12">
        <v>146</v>
      </c>
      <c r="G290" s="83">
        <v>10.96</v>
      </c>
      <c r="H290" s="84">
        <f>E290/G290</f>
        <v>3.9622195187888612E-3</v>
      </c>
      <c r="I290" s="84" t="s">
        <v>466</v>
      </c>
      <c r="J290" s="10" t="s">
        <v>411</v>
      </c>
    </row>
    <row r="291" spans="1:10" x14ac:dyDescent="0.15">
      <c r="A291" s="4">
        <f>A284+1</f>
        <v>42</v>
      </c>
      <c r="B291" s="78">
        <v>40518</v>
      </c>
      <c r="C291" s="137">
        <v>41561</v>
      </c>
      <c r="D291" s="8"/>
      <c r="E291" s="52"/>
      <c r="F291" s="7"/>
      <c r="G291" s="80"/>
      <c r="H291" s="81"/>
      <c r="I291" s="81"/>
      <c r="J291" s="10" t="s">
        <v>411</v>
      </c>
    </row>
    <row r="292" spans="1:10" x14ac:dyDescent="0.15">
      <c r="A292" s="11" t="s">
        <v>11</v>
      </c>
      <c r="B292" s="78">
        <v>40519</v>
      </c>
      <c r="C292" s="138">
        <v>41562</v>
      </c>
      <c r="D292" s="13"/>
      <c r="E292" s="54"/>
      <c r="F292" s="2"/>
      <c r="G292" s="83"/>
      <c r="H292" s="84"/>
      <c r="I292" s="84"/>
      <c r="J292" s="10" t="s">
        <v>411</v>
      </c>
    </row>
    <row r="293" spans="1:10" x14ac:dyDescent="0.15">
      <c r="A293" s="15">
        <f>SUM(G291:G297)</f>
        <v>21.93</v>
      </c>
      <c r="B293" s="78">
        <v>40520</v>
      </c>
      <c r="C293" s="138">
        <v>41563</v>
      </c>
      <c r="D293" s="13" t="s">
        <v>14</v>
      </c>
      <c r="E293" s="54">
        <v>4.1666666666666664E-2</v>
      </c>
      <c r="F293" s="12">
        <v>143</v>
      </c>
      <c r="G293" s="83">
        <v>10.91</v>
      </c>
      <c r="H293" s="84">
        <f>E293/G293</f>
        <v>3.8191261839291167E-3</v>
      </c>
      <c r="I293" s="84" t="s">
        <v>466</v>
      </c>
      <c r="J293" s="10" t="s">
        <v>411</v>
      </c>
    </row>
    <row r="294" spans="1:10" x14ac:dyDescent="0.15">
      <c r="A294" s="2"/>
      <c r="B294" s="78">
        <v>40521</v>
      </c>
      <c r="C294" s="138">
        <v>41564</v>
      </c>
      <c r="D294" s="13"/>
      <c r="E294" s="54"/>
      <c r="F294" s="2"/>
      <c r="G294" s="83"/>
      <c r="H294" s="84"/>
      <c r="I294" s="84"/>
      <c r="J294" s="10" t="s">
        <v>411</v>
      </c>
    </row>
    <row r="295" spans="1:10" x14ac:dyDescent="0.15">
      <c r="A295" s="2"/>
      <c r="B295" s="78">
        <v>40522</v>
      </c>
      <c r="C295" s="138">
        <v>41565</v>
      </c>
      <c r="D295" s="13"/>
      <c r="E295" s="54"/>
      <c r="F295" s="12"/>
      <c r="G295" s="83"/>
      <c r="H295" s="84"/>
      <c r="I295" s="84"/>
      <c r="J295" s="10" t="s">
        <v>411</v>
      </c>
    </row>
    <row r="296" spans="1:10" x14ac:dyDescent="0.15">
      <c r="A296" s="2"/>
      <c r="B296" s="78">
        <v>40523</v>
      </c>
      <c r="C296" s="138">
        <v>41566</v>
      </c>
      <c r="D296" s="13" t="s">
        <v>14</v>
      </c>
      <c r="E296" s="54">
        <v>4.2268518518518518E-2</v>
      </c>
      <c r="F296" s="12">
        <v>147</v>
      </c>
      <c r="G296" s="83">
        <v>11.02</v>
      </c>
      <c r="H296" s="84">
        <f>E296/G296</f>
        <v>3.8356187403374336E-3</v>
      </c>
      <c r="I296" s="84" t="s">
        <v>466</v>
      </c>
      <c r="J296" s="10" t="s">
        <v>411</v>
      </c>
    </row>
    <row r="297" spans="1:10" x14ac:dyDescent="0.15">
      <c r="A297" s="2"/>
      <c r="B297" s="85">
        <v>40524</v>
      </c>
      <c r="C297" s="138">
        <v>41567</v>
      </c>
      <c r="D297" s="13"/>
      <c r="E297" s="54"/>
      <c r="F297" s="12"/>
      <c r="G297" s="83"/>
      <c r="H297" s="146"/>
      <c r="I297" s="84"/>
      <c r="J297" s="10" t="s">
        <v>411</v>
      </c>
    </row>
    <row r="298" spans="1:10" x14ac:dyDescent="0.15">
      <c r="A298" s="4">
        <f>A291+1</f>
        <v>43</v>
      </c>
      <c r="B298" s="78">
        <v>40525</v>
      </c>
      <c r="C298" s="137">
        <v>41568</v>
      </c>
      <c r="D298" s="8" t="s">
        <v>14</v>
      </c>
      <c r="E298" s="52">
        <v>4.0150462962962964E-2</v>
      </c>
      <c r="F298" s="7">
        <v>152</v>
      </c>
      <c r="G298" s="80">
        <v>10.91</v>
      </c>
      <c r="H298" s="81">
        <f>E298/G298</f>
        <v>3.6801524255694741E-3</v>
      </c>
      <c r="I298" s="81" t="s">
        <v>466</v>
      </c>
      <c r="J298" s="10" t="s">
        <v>411</v>
      </c>
    </row>
    <row r="299" spans="1:10" x14ac:dyDescent="0.15">
      <c r="A299" s="11" t="s">
        <v>11</v>
      </c>
      <c r="B299" s="78">
        <v>40526</v>
      </c>
      <c r="C299" s="138">
        <v>41569</v>
      </c>
      <c r="D299" s="13"/>
      <c r="E299" s="54"/>
      <c r="F299" s="2"/>
      <c r="G299" s="83"/>
      <c r="H299" s="84"/>
      <c r="I299" s="84"/>
      <c r="J299" s="10" t="s">
        <v>411</v>
      </c>
    </row>
    <row r="300" spans="1:10" x14ac:dyDescent="0.15">
      <c r="A300" s="15">
        <f>SUM(G298:G304)</f>
        <v>21.87</v>
      </c>
      <c r="B300" s="78">
        <v>40527</v>
      </c>
      <c r="C300" s="138">
        <v>41570</v>
      </c>
      <c r="D300" s="13" t="s">
        <v>14</v>
      </c>
      <c r="E300" s="54">
        <v>3.934027777777778E-2</v>
      </c>
      <c r="F300" s="12">
        <v>146</v>
      </c>
      <c r="G300" s="83">
        <v>10.96</v>
      </c>
      <c r="H300" s="84">
        <f>E300/G300</f>
        <v>3.5894414030819138E-3</v>
      </c>
      <c r="I300" s="84" t="s">
        <v>466</v>
      </c>
      <c r="J300" s="10" t="s">
        <v>411</v>
      </c>
    </row>
    <row r="301" spans="1:10" x14ac:dyDescent="0.15">
      <c r="A301" s="2"/>
      <c r="B301" s="78">
        <v>40528</v>
      </c>
      <c r="C301" s="138">
        <v>41571</v>
      </c>
      <c r="D301" s="13"/>
      <c r="E301" s="54"/>
      <c r="F301" s="2"/>
      <c r="G301" s="83"/>
      <c r="H301" s="84"/>
      <c r="I301" s="84"/>
      <c r="J301" s="10" t="s">
        <v>411</v>
      </c>
    </row>
    <row r="302" spans="1:10" x14ac:dyDescent="0.15">
      <c r="A302" s="2"/>
      <c r="B302" s="78">
        <v>40529</v>
      </c>
      <c r="C302" s="138">
        <v>41572</v>
      </c>
      <c r="D302" s="13"/>
      <c r="E302" s="54"/>
      <c r="F302" s="12"/>
      <c r="G302" s="83"/>
      <c r="H302" s="84"/>
      <c r="I302" s="84"/>
      <c r="J302" s="10" t="s">
        <v>411</v>
      </c>
    </row>
    <row r="303" spans="1:10" x14ac:dyDescent="0.15">
      <c r="A303" s="2"/>
      <c r="B303" s="78">
        <v>40530</v>
      </c>
      <c r="C303" s="138">
        <v>41573</v>
      </c>
      <c r="D303" s="13"/>
      <c r="E303" s="54"/>
      <c r="F303" s="12"/>
      <c r="G303" s="83"/>
      <c r="H303" s="84"/>
      <c r="I303" s="84"/>
      <c r="J303" s="10" t="s">
        <v>411</v>
      </c>
    </row>
    <row r="304" spans="1:10" x14ac:dyDescent="0.15">
      <c r="A304" s="2"/>
      <c r="B304" s="85">
        <v>40531</v>
      </c>
      <c r="C304" s="138">
        <v>41574</v>
      </c>
      <c r="D304" s="13"/>
      <c r="E304" s="54"/>
      <c r="F304" s="12"/>
      <c r="G304" s="83"/>
      <c r="H304" s="146"/>
      <c r="I304" s="84"/>
      <c r="J304" s="10" t="s">
        <v>411</v>
      </c>
    </row>
    <row r="305" spans="1:10" x14ac:dyDescent="0.15">
      <c r="A305" s="4">
        <f>A298+1</f>
        <v>44</v>
      </c>
      <c r="B305" s="78">
        <v>40532</v>
      </c>
      <c r="C305" s="137">
        <v>41575</v>
      </c>
      <c r="D305" s="8"/>
      <c r="E305" s="52"/>
      <c r="F305" s="7"/>
      <c r="G305" s="80"/>
      <c r="H305" s="81"/>
      <c r="I305" s="81"/>
      <c r="J305" s="10" t="s">
        <v>411</v>
      </c>
    </row>
    <row r="306" spans="1:10" x14ac:dyDescent="0.15">
      <c r="A306" s="11" t="s">
        <v>11</v>
      </c>
      <c r="B306" s="78">
        <v>40533</v>
      </c>
      <c r="C306" s="138">
        <v>41576</v>
      </c>
      <c r="D306" s="13" t="s">
        <v>14</v>
      </c>
      <c r="E306" s="54">
        <v>3.6597222222222218E-2</v>
      </c>
      <c r="F306" s="2">
        <v>148</v>
      </c>
      <c r="G306" s="83">
        <v>9.8699999999999992</v>
      </c>
      <c r="H306" s="84">
        <f>E306/G306</f>
        <v>3.7079252504784417E-3</v>
      </c>
      <c r="I306" s="84" t="s">
        <v>466</v>
      </c>
      <c r="J306" s="10" t="s">
        <v>411</v>
      </c>
    </row>
    <row r="307" spans="1:10" x14ac:dyDescent="0.15">
      <c r="A307" s="15">
        <f>SUM(G305:G311)</f>
        <v>21.869999999999997</v>
      </c>
      <c r="B307" s="78">
        <v>40534</v>
      </c>
      <c r="C307" s="138">
        <v>41577</v>
      </c>
      <c r="D307" s="13"/>
      <c r="E307" s="54"/>
      <c r="F307" s="12"/>
      <c r="G307" s="83"/>
      <c r="H307" s="84"/>
      <c r="I307" s="84"/>
      <c r="J307" s="10" t="s">
        <v>411</v>
      </c>
    </row>
    <row r="308" spans="1:10" x14ac:dyDescent="0.15">
      <c r="A308" s="2"/>
      <c r="B308" s="78">
        <v>40535</v>
      </c>
      <c r="C308" s="138">
        <v>41578</v>
      </c>
      <c r="D308" s="13"/>
      <c r="E308" s="54"/>
      <c r="F308" s="2"/>
      <c r="G308" s="83"/>
      <c r="H308" s="84"/>
      <c r="I308" s="84"/>
      <c r="J308" s="10" t="s">
        <v>411</v>
      </c>
    </row>
    <row r="309" spans="1:10" x14ac:dyDescent="0.15">
      <c r="A309" s="2"/>
      <c r="B309" s="78">
        <v>40536</v>
      </c>
      <c r="C309" s="138">
        <v>41579</v>
      </c>
      <c r="D309" s="13"/>
      <c r="E309" s="54"/>
      <c r="F309" s="12"/>
      <c r="G309" s="83"/>
      <c r="H309" s="84"/>
      <c r="I309" s="84"/>
      <c r="J309" s="10" t="s">
        <v>411</v>
      </c>
    </row>
    <row r="310" spans="1:10" x14ac:dyDescent="0.15">
      <c r="A310" s="2"/>
      <c r="B310" s="78">
        <v>40537</v>
      </c>
      <c r="C310" s="138">
        <v>41580</v>
      </c>
      <c r="D310" s="13"/>
      <c r="E310" s="54"/>
      <c r="F310" s="12"/>
      <c r="G310" s="83"/>
      <c r="H310" s="84"/>
      <c r="I310" s="84"/>
      <c r="J310" s="10" t="s">
        <v>411</v>
      </c>
    </row>
    <row r="311" spans="1:10" x14ac:dyDescent="0.15">
      <c r="A311" s="2"/>
      <c r="B311" s="85">
        <v>40538</v>
      </c>
      <c r="C311" s="138">
        <v>41581</v>
      </c>
      <c r="D311" s="13" t="s">
        <v>14</v>
      </c>
      <c r="E311" s="54">
        <v>4.7222222222222221E-2</v>
      </c>
      <c r="F311" s="12" t="s">
        <v>437</v>
      </c>
      <c r="G311" s="83">
        <v>12</v>
      </c>
      <c r="H311" s="84">
        <f>E311/G311</f>
        <v>3.9351851851851848E-3</v>
      </c>
      <c r="I311" s="84" t="s">
        <v>466</v>
      </c>
      <c r="J311" s="10" t="s">
        <v>411</v>
      </c>
    </row>
    <row r="312" spans="1:10" x14ac:dyDescent="0.15">
      <c r="A312" s="4">
        <f>A305+1</f>
        <v>45</v>
      </c>
      <c r="B312" s="78">
        <v>40539</v>
      </c>
      <c r="C312" s="137">
        <v>41582</v>
      </c>
      <c r="D312" s="8"/>
      <c r="E312" s="52"/>
      <c r="F312" s="7"/>
      <c r="G312" s="80"/>
      <c r="H312" s="81"/>
      <c r="I312" s="81"/>
      <c r="J312" s="10" t="s">
        <v>411</v>
      </c>
    </row>
    <row r="313" spans="1:10" x14ac:dyDescent="0.15">
      <c r="A313" s="11" t="s">
        <v>11</v>
      </c>
      <c r="B313" s="78">
        <v>40540</v>
      </c>
      <c r="C313" s="138">
        <v>41583</v>
      </c>
      <c r="D313" s="13" t="s">
        <v>14</v>
      </c>
      <c r="E313" s="54">
        <v>3.8055555555555551E-2</v>
      </c>
      <c r="F313" s="2">
        <v>149</v>
      </c>
      <c r="G313" s="83">
        <v>10.16</v>
      </c>
      <c r="H313" s="84">
        <f>E313/G313</f>
        <v>3.7456255468066488E-3</v>
      </c>
      <c r="I313" s="84" t="s">
        <v>466</v>
      </c>
      <c r="J313" s="10" t="s">
        <v>411</v>
      </c>
    </row>
    <row r="314" spans="1:10" x14ac:dyDescent="0.15">
      <c r="A314" s="15">
        <f>SUM(G312:G318)</f>
        <v>20.3</v>
      </c>
      <c r="B314" s="78">
        <v>40541</v>
      </c>
      <c r="C314" s="138">
        <v>41584</v>
      </c>
      <c r="D314" s="13"/>
      <c r="E314" s="54"/>
      <c r="F314" s="12"/>
      <c r="G314" s="83"/>
      <c r="H314" s="84"/>
      <c r="I314" s="84"/>
      <c r="J314" s="10" t="s">
        <v>411</v>
      </c>
    </row>
    <row r="315" spans="1:10" x14ac:dyDescent="0.15">
      <c r="A315" s="2"/>
      <c r="B315" s="78">
        <v>40542</v>
      </c>
      <c r="C315" s="138">
        <v>41585</v>
      </c>
      <c r="D315" s="13"/>
      <c r="E315" s="54"/>
      <c r="F315" s="2"/>
      <c r="G315" s="83"/>
      <c r="H315" s="84"/>
      <c r="I315" s="84"/>
      <c r="J315" s="10" t="s">
        <v>411</v>
      </c>
    </row>
    <row r="316" spans="1:10" x14ac:dyDescent="0.15">
      <c r="A316" s="2"/>
      <c r="B316" s="78">
        <v>40543</v>
      </c>
      <c r="C316" s="138">
        <v>41586</v>
      </c>
      <c r="D316" s="13"/>
      <c r="E316" s="54"/>
      <c r="F316" s="12"/>
      <c r="G316" s="83"/>
      <c r="H316" s="84"/>
      <c r="I316" s="84"/>
      <c r="J316" s="10" t="s">
        <v>411</v>
      </c>
    </row>
    <row r="317" spans="1:10" x14ac:dyDescent="0.15">
      <c r="B317" s="78">
        <v>40544</v>
      </c>
      <c r="C317" s="138">
        <v>41587</v>
      </c>
      <c r="D317" s="13" t="s">
        <v>14</v>
      </c>
      <c r="E317" s="54">
        <v>3.6712962962962961E-2</v>
      </c>
      <c r="F317" s="12">
        <v>153</v>
      </c>
      <c r="G317" s="83">
        <v>10.14</v>
      </c>
      <c r="H317" s="84">
        <f>E317/G317</f>
        <v>3.6206077872744536E-3</v>
      </c>
      <c r="I317" s="84" t="s">
        <v>466</v>
      </c>
      <c r="J317" s="10" t="s">
        <v>411</v>
      </c>
    </row>
    <row r="318" spans="1:10" x14ac:dyDescent="0.15">
      <c r="B318" s="85">
        <v>40545</v>
      </c>
      <c r="C318" s="138">
        <v>41588</v>
      </c>
      <c r="D318" s="13"/>
      <c r="E318" s="54"/>
      <c r="F318" s="12"/>
      <c r="G318" s="83"/>
      <c r="H318" s="84"/>
      <c r="I318" s="84"/>
      <c r="J318" s="10" t="s">
        <v>411</v>
      </c>
    </row>
    <row r="319" spans="1:10" x14ac:dyDescent="0.15">
      <c r="A319" s="4">
        <f>A312+1</f>
        <v>46</v>
      </c>
      <c r="B319" s="78"/>
      <c r="C319" s="137">
        <v>41589</v>
      </c>
      <c r="D319" s="8"/>
      <c r="E319" s="52"/>
      <c r="F319" s="7"/>
      <c r="G319" s="80"/>
      <c r="H319" s="81"/>
      <c r="I319" s="81"/>
      <c r="J319" s="10" t="s">
        <v>411</v>
      </c>
    </row>
    <row r="320" spans="1:10" x14ac:dyDescent="0.15">
      <c r="A320" s="11" t="s">
        <v>11</v>
      </c>
      <c r="B320" s="78"/>
      <c r="C320" s="138">
        <v>41590</v>
      </c>
      <c r="D320" s="13"/>
      <c r="E320" s="54"/>
      <c r="F320" s="2"/>
      <c r="G320" s="83"/>
      <c r="H320" s="84"/>
      <c r="I320" s="84"/>
      <c r="J320" s="10" t="s">
        <v>411</v>
      </c>
    </row>
    <row r="321" spans="1:10" x14ac:dyDescent="0.15">
      <c r="A321" s="15">
        <f>SUM(G319:G325)</f>
        <v>9.67</v>
      </c>
      <c r="B321" s="78"/>
      <c r="C321" s="138">
        <v>41591</v>
      </c>
      <c r="D321" s="13" t="s">
        <v>14</v>
      </c>
      <c r="E321" s="54">
        <v>3.5532407407407408E-2</v>
      </c>
      <c r="F321" s="12">
        <v>151</v>
      </c>
      <c r="G321" s="83">
        <v>9.67</v>
      </c>
      <c r="H321" s="84">
        <f>E321/G321</f>
        <v>3.6744992148301354E-3</v>
      </c>
      <c r="I321" s="84" t="s">
        <v>466</v>
      </c>
      <c r="J321" s="10" t="s">
        <v>411</v>
      </c>
    </row>
    <row r="322" spans="1:10" x14ac:dyDescent="0.15">
      <c r="A322" s="2"/>
      <c r="B322" s="78"/>
      <c r="C322" s="138">
        <v>41592</v>
      </c>
      <c r="D322" s="13"/>
      <c r="E322" s="54"/>
      <c r="F322" s="2"/>
      <c r="G322" s="83"/>
      <c r="H322" s="84"/>
      <c r="I322" s="84"/>
      <c r="J322" s="10" t="s">
        <v>411</v>
      </c>
    </row>
    <row r="323" spans="1:10" x14ac:dyDescent="0.15">
      <c r="A323" s="2"/>
      <c r="B323" s="78"/>
      <c r="C323" s="138">
        <v>41593</v>
      </c>
      <c r="D323" s="13"/>
      <c r="E323" s="54"/>
      <c r="F323" s="12"/>
      <c r="G323" s="83"/>
      <c r="H323" s="84"/>
      <c r="I323" s="84"/>
      <c r="J323" s="10" t="s">
        <v>411</v>
      </c>
    </row>
    <row r="324" spans="1:10" x14ac:dyDescent="0.15">
      <c r="B324" s="78"/>
      <c r="C324" s="138">
        <v>41594</v>
      </c>
      <c r="D324" s="13"/>
      <c r="E324" s="54"/>
      <c r="F324" s="12"/>
      <c r="G324" s="83"/>
      <c r="H324" s="84"/>
      <c r="I324" s="84"/>
      <c r="J324" s="10" t="s">
        <v>411</v>
      </c>
    </row>
    <row r="325" spans="1:10" x14ac:dyDescent="0.15">
      <c r="B325" s="85"/>
      <c r="C325" s="138">
        <v>41595</v>
      </c>
      <c r="D325" s="13"/>
      <c r="E325" s="54"/>
      <c r="F325" s="12"/>
      <c r="G325" s="83"/>
      <c r="H325" s="84"/>
      <c r="I325" s="84"/>
      <c r="J325" s="10" t="s">
        <v>411</v>
      </c>
    </row>
    <row r="326" spans="1:10" x14ac:dyDescent="0.15">
      <c r="A326" s="4">
        <f>A319+1</f>
        <v>47</v>
      </c>
      <c r="B326" s="78"/>
      <c r="C326" s="137">
        <v>41596</v>
      </c>
      <c r="D326" s="8"/>
      <c r="E326" s="52"/>
      <c r="F326" s="7"/>
      <c r="G326" s="80"/>
      <c r="H326" s="81"/>
      <c r="I326" s="81"/>
      <c r="J326" s="10" t="s">
        <v>411</v>
      </c>
    </row>
    <row r="327" spans="1:10" x14ac:dyDescent="0.15">
      <c r="A327" s="11" t="s">
        <v>11</v>
      </c>
      <c r="B327" s="78"/>
      <c r="C327" s="138">
        <v>41597</v>
      </c>
      <c r="D327" s="13"/>
      <c r="E327" s="54"/>
      <c r="F327" s="2"/>
      <c r="G327" s="83"/>
      <c r="H327" s="84"/>
      <c r="I327" s="84"/>
      <c r="J327" s="10" t="s">
        <v>411</v>
      </c>
    </row>
    <row r="328" spans="1:10" x14ac:dyDescent="0.15">
      <c r="A328" s="15">
        <f>SUM(G326:G332)</f>
        <v>10.52</v>
      </c>
      <c r="B328" s="78"/>
      <c r="C328" s="138">
        <v>41598</v>
      </c>
      <c r="D328" s="13" t="s">
        <v>14</v>
      </c>
      <c r="E328" s="54">
        <v>3.8692129629629632E-2</v>
      </c>
      <c r="F328" s="12" t="s">
        <v>437</v>
      </c>
      <c r="G328" s="83">
        <v>10.52</v>
      </c>
      <c r="H328" s="84">
        <f>E328/G328</f>
        <v>3.6779590902689765E-3</v>
      </c>
      <c r="I328" s="84" t="s">
        <v>466</v>
      </c>
      <c r="J328" s="10" t="s">
        <v>411</v>
      </c>
    </row>
    <row r="329" spans="1:10" x14ac:dyDescent="0.15">
      <c r="A329" s="2"/>
      <c r="B329" s="78"/>
      <c r="C329" s="138">
        <v>41599</v>
      </c>
      <c r="D329" s="13"/>
      <c r="E329" s="54"/>
      <c r="F329" s="2"/>
      <c r="G329" s="83"/>
      <c r="H329" s="84"/>
      <c r="I329" s="84"/>
      <c r="J329" s="10" t="s">
        <v>411</v>
      </c>
    </row>
    <row r="330" spans="1:10" x14ac:dyDescent="0.15">
      <c r="A330" s="2"/>
      <c r="B330" s="78"/>
      <c r="C330" s="138">
        <v>41600</v>
      </c>
      <c r="D330" s="13"/>
      <c r="E330" s="54"/>
      <c r="F330" s="12"/>
      <c r="G330" s="83"/>
      <c r="H330" s="84"/>
      <c r="I330" s="84"/>
      <c r="J330" s="10" t="s">
        <v>411</v>
      </c>
    </row>
    <row r="331" spans="1:10" x14ac:dyDescent="0.15">
      <c r="B331" s="78"/>
      <c r="C331" s="138">
        <v>41601</v>
      </c>
      <c r="D331" s="13"/>
      <c r="E331" s="54"/>
      <c r="F331" s="12"/>
      <c r="G331" s="83"/>
      <c r="H331" s="84"/>
      <c r="I331" s="84"/>
      <c r="J331" s="10" t="s">
        <v>411</v>
      </c>
    </row>
    <row r="332" spans="1:10" x14ac:dyDescent="0.15">
      <c r="B332" s="85"/>
      <c r="C332" s="138">
        <v>41602</v>
      </c>
      <c r="D332" s="13"/>
      <c r="E332" s="54"/>
      <c r="F332" s="12"/>
      <c r="G332" s="83"/>
      <c r="H332" s="84"/>
      <c r="I332" s="84"/>
      <c r="J332" s="10" t="s">
        <v>411</v>
      </c>
    </row>
    <row r="333" spans="1:10" x14ac:dyDescent="0.15">
      <c r="A333" s="4">
        <f>A326+1</f>
        <v>48</v>
      </c>
      <c r="B333" s="78"/>
      <c r="C333" s="137">
        <v>41603</v>
      </c>
      <c r="D333" s="8"/>
      <c r="E333" s="52"/>
      <c r="F333" s="7"/>
      <c r="G333" s="80"/>
      <c r="H333" s="81"/>
      <c r="I333" s="81"/>
      <c r="J333" s="10" t="s">
        <v>411</v>
      </c>
    </row>
    <row r="334" spans="1:10" x14ac:dyDescent="0.15">
      <c r="A334" s="11" t="s">
        <v>11</v>
      </c>
      <c r="B334" s="78"/>
      <c r="C334" s="138">
        <v>41604</v>
      </c>
      <c r="D334" s="13" t="s">
        <v>14</v>
      </c>
      <c r="E334" s="54">
        <v>4.2476851851851849E-2</v>
      </c>
      <c r="F334" s="2" t="s">
        <v>437</v>
      </c>
      <c r="G334" s="83">
        <v>10.53</v>
      </c>
      <c r="H334" s="84">
        <f>E334/G334</f>
        <v>4.0338890647532624E-3</v>
      </c>
      <c r="I334" s="84" t="s">
        <v>466</v>
      </c>
      <c r="J334" s="10" t="s">
        <v>411</v>
      </c>
    </row>
    <row r="335" spans="1:10" x14ac:dyDescent="0.15">
      <c r="A335" s="15">
        <f>SUM(G333:G339)</f>
        <v>10.53</v>
      </c>
      <c r="B335" s="78"/>
      <c r="C335" s="138">
        <v>41605</v>
      </c>
      <c r="D335" s="13"/>
      <c r="E335" s="54"/>
      <c r="F335" s="12"/>
      <c r="G335" s="83"/>
      <c r="H335" s="84"/>
      <c r="I335" s="84"/>
      <c r="J335" s="10" t="s">
        <v>411</v>
      </c>
    </row>
    <row r="336" spans="1:10" x14ac:dyDescent="0.15">
      <c r="A336" s="2"/>
      <c r="B336" s="78"/>
      <c r="C336" s="138">
        <v>41606</v>
      </c>
      <c r="D336" s="13"/>
      <c r="E336" s="54"/>
      <c r="F336" s="2"/>
      <c r="G336" s="83"/>
      <c r="H336" s="84"/>
      <c r="I336" s="84"/>
      <c r="J336" s="10" t="s">
        <v>411</v>
      </c>
    </row>
    <row r="337" spans="1:10" x14ac:dyDescent="0.15">
      <c r="A337" s="2"/>
      <c r="B337" s="78"/>
      <c r="C337" s="138">
        <v>41607</v>
      </c>
      <c r="D337" s="13"/>
      <c r="E337" s="54"/>
      <c r="F337" s="12"/>
      <c r="G337" s="83"/>
      <c r="H337" s="84"/>
      <c r="I337" s="84"/>
      <c r="J337" s="10" t="s">
        <v>411</v>
      </c>
    </row>
    <row r="338" spans="1:10" x14ac:dyDescent="0.15">
      <c r="B338" s="78"/>
      <c r="C338" s="138">
        <v>41608</v>
      </c>
      <c r="D338" s="13"/>
      <c r="E338" s="54"/>
      <c r="F338" s="12"/>
      <c r="G338" s="83"/>
      <c r="H338" s="84"/>
      <c r="I338" s="84"/>
      <c r="J338" s="10" t="s">
        <v>411</v>
      </c>
    </row>
    <row r="339" spans="1:10" x14ac:dyDescent="0.15">
      <c r="B339" s="85"/>
      <c r="C339" s="138">
        <v>41609</v>
      </c>
      <c r="D339" s="13"/>
      <c r="E339" s="54"/>
      <c r="F339" s="12"/>
      <c r="G339" s="83"/>
      <c r="H339" s="84"/>
      <c r="I339" s="84"/>
      <c r="J339" s="10" t="s">
        <v>411</v>
      </c>
    </row>
    <row r="340" spans="1:10" x14ac:dyDescent="0.15">
      <c r="A340" s="4">
        <f>A333+1</f>
        <v>49</v>
      </c>
      <c r="B340" s="78"/>
      <c r="C340" s="137">
        <v>41610</v>
      </c>
      <c r="D340" s="8"/>
      <c r="E340" s="52"/>
      <c r="F340" s="7"/>
      <c r="G340" s="80"/>
      <c r="H340" s="81"/>
      <c r="I340" s="81"/>
      <c r="J340" s="10" t="s">
        <v>411</v>
      </c>
    </row>
    <row r="341" spans="1:10" x14ac:dyDescent="0.15">
      <c r="A341" s="11" t="s">
        <v>11</v>
      </c>
      <c r="B341" s="78"/>
      <c r="C341" s="138">
        <v>41611</v>
      </c>
      <c r="D341" s="13"/>
      <c r="E341" s="54"/>
      <c r="F341" s="2"/>
      <c r="G341" s="83"/>
      <c r="H341" s="84"/>
      <c r="I341" s="84"/>
      <c r="J341" s="10" t="s">
        <v>411</v>
      </c>
    </row>
    <row r="342" spans="1:10" x14ac:dyDescent="0.15">
      <c r="A342" s="15">
        <f>SUM(G340:G346)</f>
        <v>0</v>
      </c>
      <c r="B342" s="78"/>
      <c r="C342" s="138">
        <v>41612</v>
      </c>
      <c r="D342" s="13"/>
      <c r="E342" s="54"/>
      <c r="F342" s="12"/>
      <c r="G342" s="83"/>
      <c r="H342" s="84"/>
      <c r="I342" s="84"/>
      <c r="J342" s="10" t="s">
        <v>411</v>
      </c>
    </row>
    <row r="343" spans="1:10" x14ac:dyDescent="0.15">
      <c r="A343" s="2"/>
      <c r="B343" s="78"/>
      <c r="C343" s="138">
        <v>41613</v>
      </c>
      <c r="D343" s="13"/>
      <c r="E343" s="54"/>
      <c r="F343" s="2"/>
      <c r="G343" s="83"/>
      <c r="H343" s="84"/>
      <c r="I343" s="84"/>
      <c r="J343" s="10" t="s">
        <v>411</v>
      </c>
    </row>
    <row r="344" spans="1:10" x14ac:dyDescent="0.15">
      <c r="A344" s="2"/>
      <c r="B344" s="78"/>
      <c r="C344" s="138">
        <v>41614</v>
      </c>
      <c r="D344" s="13"/>
      <c r="E344" s="54"/>
      <c r="F344" s="12"/>
      <c r="G344" s="83"/>
      <c r="H344" s="84"/>
      <c r="I344" s="84"/>
      <c r="J344" s="10" t="s">
        <v>411</v>
      </c>
    </row>
    <row r="345" spans="1:10" x14ac:dyDescent="0.15">
      <c r="B345" s="78"/>
      <c r="C345" s="138">
        <v>41615</v>
      </c>
      <c r="D345" s="13"/>
      <c r="E345" s="54"/>
      <c r="F345" s="12"/>
      <c r="G345" s="83"/>
      <c r="H345" s="84"/>
      <c r="I345" s="84"/>
      <c r="J345" s="10" t="s">
        <v>411</v>
      </c>
    </row>
    <row r="346" spans="1:10" x14ac:dyDescent="0.15">
      <c r="B346" s="85"/>
      <c r="C346" s="138">
        <v>41616</v>
      </c>
      <c r="D346" s="13"/>
      <c r="E346" s="54"/>
      <c r="F346" s="12"/>
      <c r="G346" s="83"/>
      <c r="H346" s="146"/>
      <c r="I346" s="84"/>
      <c r="J346" s="10" t="s">
        <v>411</v>
      </c>
    </row>
    <row r="347" spans="1:10" x14ac:dyDescent="0.15">
      <c r="A347" s="4">
        <f>A340+1</f>
        <v>50</v>
      </c>
      <c r="B347" s="78"/>
      <c r="C347" s="137">
        <v>41617</v>
      </c>
      <c r="D347" s="8"/>
      <c r="E347" s="52"/>
      <c r="F347" s="7"/>
      <c r="G347" s="80"/>
      <c r="H347" s="81"/>
      <c r="I347" s="81"/>
      <c r="J347" s="10" t="s">
        <v>411</v>
      </c>
    </row>
    <row r="348" spans="1:10" x14ac:dyDescent="0.15">
      <c r="A348" s="11" t="s">
        <v>11</v>
      </c>
      <c r="B348" s="78"/>
      <c r="C348" s="138">
        <v>41618</v>
      </c>
      <c r="D348" s="13"/>
      <c r="E348" s="54"/>
      <c r="F348" s="2"/>
      <c r="G348" s="83"/>
      <c r="H348" s="84"/>
      <c r="I348" s="84"/>
      <c r="J348" s="10" t="s">
        <v>411</v>
      </c>
    </row>
    <row r="349" spans="1:10" x14ac:dyDescent="0.15">
      <c r="A349" s="15">
        <f>SUM(G347:G353)</f>
        <v>0</v>
      </c>
      <c r="B349" s="78"/>
      <c r="C349" s="138">
        <v>41619</v>
      </c>
      <c r="D349" s="13"/>
      <c r="E349" s="54"/>
      <c r="F349" s="12"/>
      <c r="G349" s="83"/>
      <c r="H349" s="84"/>
      <c r="I349" s="84"/>
      <c r="J349" s="10" t="s">
        <v>411</v>
      </c>
    </row>
    <row r="350" spans="1:10" x14ac:dyDescent="0.15">
      <c r="A350" s="2"/>
      <c r="B350" s="78"/>
      <c r="C350" s="138">
        <v>41620</v>
      </c>
      <c r="D350" s="13"/>
      <c r="E350" s="54"/>
      <c r="F350" s="2"/>
      <c r="G350" s="83"/>
      <c r="H350" s="84"/>
      <c r="I350" s="84"/>
      <c r="J350" s="10" t="s">
        <v>411</v>
      </c>
    </row>
    <row r="351" spans="1:10" x14ac:dyDescent="0.15">
      <c r="A351" s="2"/>
      <c r="B351" s="78"/>
      <c r="C351" s="138">
        <v>41621</v>
      </c>
      <c r="D351" s="13"/>
      <c r="E351" s="54"/>
      <c r="F351" s="12"/>
      <c r="G351" s="83"/>
      <c r="H351" s="84"/>
      <c r="I351" s="84"/>
      <c r="J351" s="10" t="s">
        <v>411</v>
      </c>
    </row>
    <row r="352" spans="1:10" x14ac:dyDescent="0.15">
      <c r="B352" s="78"/>
      <c r="C352" s="138">
        <v>41622</v>
      </c>
      <c r="D352" s="13"/>
      <c r="E352" s="54"/>
      <c r="F352" s="12"/>
      <c r="G352" s="83"/>
      <c r="H352" s="84"/>
      <c r="I352" s="84"/>
      <c r="J352" s="10" t="s">
        <v>411</v>
      </c>
    </row>
    <row r="353" spans="1:10" x14ac:dyDescent="0.15">
      <c r="B353" s="85"/>
      <c r="C353" s="138">
        <v>41623</v>
      </c>
      <c r="D353" s="13"/>
      <c r="E353" s="54"/>
      <c r="F353" s="12"/>
      <c r="G353" s="83"/>
      <c r="H353" s="84"/>
      <c r="I353" s="84"/>
      <c r="J353" s="10" t="s">
        <v>411</v>
      </c>
    </row>
    <row r="354" spans="1:10" x14ac:dyDescent="0.15">
      <c r="A354" s="4">
        <f>A347+1</f>
        <v>51</v>
      </c>
      <c r="B354" s="78"/>
      <c r="C354" s="137">
        <v>41624</v>
      </c>
      <c r="D354" s="8"/>
      <c r="E354" s="52"/>
      <c r="F354" s="7"/>
      <c r="G354" s="80"/>
      <c r="H354" s="81"/>
      <c r="I354" s="81"/>
      <c r="J354" s="10" t="s">
        <v>411</v>
      </c>
    </row>
    <row r="355" spans="1:10" x14ac:dyDescent="0.15">
      <c r="A355" s="11" t="s">
        <v>11</v>
      </c>
      <c r="B355" s="78"/>
      <c r="C355" s="138">
        <v>41625</v>
      </c>
      <c r="D355" s="13"/>
      <c r="E355" s="54"/>
      <c r="F355" s="2"/>
      <c r="G355" s="83"/>
      <c r="H355" s="84"/>
      <c r="I355" s="84"/>
      <c r="J355" s="10" t="s">
        <v>411</v>
      </c>
    </row>
    <row r="356" spans="1:10" x14ac:dyDescent="0.15">
      <c r="A356" s="15">
        <f>SUM(G354:G360)</f>
        <v>0</v>
      </c>
      <c r="B356" s="78"/>
      <c r="C356" s="138">
        <v>41626</v>
      </c>
      <c r="D356" s="13"/>
      <c r="E356" s="54"/>
      <c r="F356" s="12"/>
      <c r="G356" s="83"/>
      <c r="H356" s="84"/>
      <c r="I356" s="84"/>
      <c r="J356" s="10" t="s">
        <v>411</v>
      </c>
    </row>
    <row r="357" spans="1:10" x14ac:dyDescent="0.15">
      <c r="A357" s="2"/>
      <c r="B357" s="78"/>
      <c r="C357" s="138">
        <v>41627</v>
      </c>
      <c r="D357" s="13"/>
      <c r="E357" s="54"/>
      <c r="F357" s="2"/>
      <c r="G357" s="83"/>
      <c r="H357" s="84"/>
      <c r="I357" s="84"/>
      <c r="J357" s="10" t="s">
        <v>411</v>
      </c>
    </row>
    <row r="358" spans="1:10" x14ac:dyDescent="0.15">
      <c r="A358" s="2"/>
      <c r="B358" s="78"/>
      <c r="C358" s="138">
        <v>41628</v>
      </c>
      <c r="D358" s="13"/>
      <c r="E358" s="54"/>
      <c r="F358" s="12"/>
      <c r="G358" s="83"/>
      <c r="H358" s="84"/>
      <c r="I358" s="84"/>
      <c r="J358" s="10" t="s">
        <v>411</v>
      </c>
    </row>
    <row r="359" spans="1:10" x14ac:dyDescent="0.15">
      <c r="B359" s="78"/>
      <c r="C359" s="138">
        <v>41629</v>
      </c>
      <c r="D359" s="13"/>
      <c r="E359" s="54"/>
      <c r="F359" s="12"/>
      <c r="G359" s="83"/>
      <c r="H359" s="84"/>
      <c r="I359" s="84"/>
      <c r="J359" s="10" t="s">
        <v>411</v>
      </c>
    </row>
    <row r="360" spans="1:10" x14ac:dyDescent="0.15">
      <c r="B360" s="85"/>
      <c r="C360" s="138">
        <v>41630</v>
      </c>
      <c r="D360" s="13"/>
      <c r="E360" s="54"/>
      <c r="F360" s="12"/>
      <c r="G360" s="83"/>
      <c r="H360" s="84"/>
      <c r="I360" s="84"/>
      <c r="J360" s="10" t="s">
        <v>411</v>
      </c>
    </row>
    <row r="361" spans="1:10" x14ac:dyDescent="0.15">
      <c r="A361" s="4">
        <f>A354+1</f>
        <v>52</v>
      </c>
      <c r="B361" s="78"/>
      <c r="C361" s="137">
        <v>41631</v>
      </c>
      <c r="D361" s="8"/>
      <c r="E361" s="52"/>
      <c r="F361" s="7"/>
      <c r="G361" s="80"/>
      <c r="H361" s="81"/>
      <c r="I361" s="81"/>
      <c r="J361" s="10" t="s">
        <v>411</v>
      </c>
    </row>
    <row r="362" spans="1:10" x14ac:dyDescent="0.15">
      <c r="A362" s="11" t="s">
        <v>11</v>
      </c>
      <c r="B362" s="78"/>
      <c r="C362" s="138">
        <v>41632</v>
      </c>
      <c r="D362" s="13"/>
      <c r="E362" s="54"/>
      <c r="F362" s="2"/>
      <c r="G362" s="83"/>
      <c r="H362" s="84"/>
      <c r="I362" s="84"/>
      <c r="J362" s="10" t="s">
        <v>411</v>
      </c>
    </row>
    <row r="363" spans="1:10" x14ac:dyDescent="0.15">
      <c r="A363" s="15">
        <f>SUM(G361:G367)</f>
        <v>0</v>
      </c>
      <c r="B363" s="78"/>
      <c r="C363" s="138">
        <v>41633</v>
      </c>
      <c r="D363" s="13"/>
      <c r="E363" s="54"/>
      <c r="F363" s="12"/>
      <c r="G363" s="83"/>
      <c r="H363" s="84"/>
      <c r="I363" s="84"/>
      <c r="J363" s="10" t="s">
        <v>411</v>
      </c>
    </row>
    <row r="364" spans="1:10" x14ac:dyDescent="0.15">
      <c r="A364" s="2"/>
      <c r="B364" s="78"/>
      <c r="C364" s="138">
        <v>41634</v>
      </c>
      <c r="D364" s="13"/>
      <c r="E364" s="54"/>
      <c r="F364" s="2"/>
      <c r="G364" s="83"/>
      <c r="H364" s="84"/>
      <c r="I364" s="84"/>
      <c r="J364" s="10" t="s">
        <v>411</v>
      </c>
    </row>
    <row r="365" spans="1:10" x14ac:dyDescent="0.15">
      <c r="A365" s="2"/>
      <c r="B365" s="78"/>
      <c r="C365" s="138">
        <v>41635</v>
      </c>
      <c r="D365" s="13"/>
      <c r="E365" s="54"/>
      <c r="F365" s="12"/>
      <c r="G365" s="83"/>
      <c r="H365" s="84"/>
      <c r="I365" s="84"/>
      <c r="J365" s="10" t="s">
        <v>411</v>
      </c>
    </row>
    <row r="366" spans="1:10" x14ac:dyDescent="0.15">
      <c r="B366" s="78"/>
      <c r="C366" s="138">
        <v>41636</v>
      </c>
      <c r="D366" s="13"/>
      <c r="E366" s="54"/>
      <c r="F366" s="12"/>
      <c r="G366" s="83"/>
      <c r="H366" s="84"/>
      <c r="I366" s="84"/>
      <c r="J366" s="10" t="s">
        <v>411</v>
      </c>
    </row>
    <row r="367" spans="1:10" x14ac:dyDescent="0.15">
      <c r="B367" s="85"/>
      <c r="C367" s="138">
        <v>41637</v>
      </c>
      <c r="D367" s="13"/>
      <c r="E367" s="54"/>
      <c r="F367" s="12"/>
      <c r="G367" s="83"/>
      <c r="H367" s="84"/>
      <c r="I367" s="84"/>
      <c r="J367" s="10" t="s">
        <v>411</v>
      </c>
    </row>
    <row r="368" spans="1:10" x14ac:dyDescent="0.15">
      <c r="A368" s="4">
        <f>A361+1</f>
        <v>53</v>
      </c>
      <c r="B368" s="78"/>
      <c r="C368" s="137">
        <v>41638</v>
      </c>
      <c r="D368" s="8"/>
      <c r="E368" s="52"/>
      <c r="F368" s="7"/>
      <c r="G368" s="80"/>
      <c r="H368" s="81"/>
      <c r="I368" s="81"/>
      <c r="J368" s="10" t="s">
        <v>411</v>
      </c>
    </row>
    <row r="369" spans="1:10" x14ac:dyDescent="0.15">
      <c r="A369" s="11" t="s">
        <v>11</v>
      </c>
      <c r="B369" s="78"/>
      <c r="C369" s="138">
        <v>41639</v>
      </c>
      <c r="D369" s="13"/>
      <c r="E369" s="54"/>
      <c r="F369" s="2"/>
      <c r="G369" s="83"/>
      <c r="H369" s="84"/>
      <c r="I369" s="84"/>
      <c r="J369" s="10" t="s">
        <v>411</v>
      </c>
    </row>
    <row r="370" spans="1:10" x14ac:dyDescent="0.15">
      <c r="A370" s="15">
        <f>SUM(G368:G374)</f>
        <v>0</v>
      </c>
      <c r="B370" s="78"/>
      <c r="C370" s="138">
        <v>41640</v>
      </c>
      <c r="D370" s="13"/>
      <c r="E370" s="54"/>
      <c r="F370" s="12"/>
      <c r="G370" s="83"/>
      <c r="H370" s="84"/>
      <c r="I370" s="84"/>
      <c r="J370" s="10" t="s">
        <v>411</v>
      </c>
    </row>
    <row r="371" spans="1:10" x14ac:dyDescent="0.15">
      <c r="A371" s="2"/>
      <c r="B371" s="78"/>
      <c r="C371" s="138">
        <v>41641</v>
      </c>
      <c r="D371" s="13"/>
      <c r="E371" s="54"/>
      <c r="F371" s="2"/>
      <c r="G371" s="83"/>
      <c r="H371" s="84"/>
      <c r="I371" s="84" t="s">
        <v>434</v>
      </c>
      <c r="J371" s="10" t="s">
        <v>411</v>
      </c>
    </row>
    <row r="372" spans="1:10" x14ac:dyDescent="0.15">
      <c r="B372" s="78"/>
      <c r="C372" s="138">
        <v>41642</v>
      </c>
      <c r="D372" s="13"/>
      <c r="E372" s="54"/>
      <c r="F372" s="12"/>
      <c r="G372" s="83"/>
      <c r="H372" s="84"/>
      <c r="I372" s="84" t="s">
        <v>453</v>
      </c>
      <c r="J372" s="10" t="s">
        <v>411</v>
      </c>
    </row>
    <row r="373" spans="1:10" x14ac:dyDescent="0.15">
      <c r="A373" s="4" t="s">
        <v>438</v>
      </c>
      <c r="B373" s="78"/>
      <c r="C373" s="138">
        <v>41643</v>
      </c>
      <c r="D373" s="13"/>
      <c r="E373" s="54"/>
      <c r="F373" s="12"/>
      <c r="G373" s="83"/>
      <c r="H373" s="84"/>
      <c r="I373" s="84" t="s">
        <v>455</v>
      </c>
      <c r="J373" s="10" t="s">
        <v>411</v>
      </c>
    </row>
    <row r="374" spans="1:10" x14ac:dyDescent="0.15">
      <c r="A374" s="89">
        <f>A370+A363+A356+A349+A342+A335+A328+A321+A314+A307+A300+A293+A286+A279+A272+A265+A258+A251+A244+A237+A230+A223+A216+A209+A202+A195+A188+A181+A174+A167+A160+A153+A146+A139+A132+A125+A118+A111+A104+A97+A90+A83+A76+A69+A62+A55+A48+A41+A34+A27+A20+A13+A6</f>
        <v>563.00000000000011</v>
      </c>
      <c r="B374" s="85"/>
      <c r="C374" s="90">
        <v>41644</v>
      </c>
      <c r="D374" s="17"/>
      <c r="E374" s="57"/>
      <c r="F374" s="16"/>
      <c r="G374" s="86"/>
      <c r="H374" s="87"/>
      <c r="I374" s="87" t="s">
        <v>436</v>
      </c>
      <c r="J374" s="26" t="s">
        <v>411</v>
      </c>
    </row>
    <row r="375" spans="1:10" x14ac:dyDescent="0.15">
      <c r="A375" s="2">
        <f>A374/52</f>
        <v>10.826923076923078</v>
      </c>
      <c r="C375"/>
    </row>
    <row r="376" spans="1:10" x14ac:dyDescent="0.15">
      <c r="C376"/>
    </row>
    <row r="377" spans="1:10" x14ac:dyDescent="0.15">
      <c r="C377"/>
    </row>
    <row r="378" spans="1:10" x14ac:dyDescent="0.15">
      <c r="C378"/>
    </row>
    <row r="379" spans="1:10" x14ac:dyDescent="0.15">
      <c r="C379"/>
    </row>
    <row r="380" spans="1:10" x14ac:dyDescent="0.15">
      <c r="C380"/>
    </row>
    <row r="381" spans="1:10" x14ac:dyDescent="0.15">
      <c r="C381"/>
    </row>
    <row r="382" spans="1:10" x14ac:dyDescent="0.15">
      <c r="C382"/>
    </row>
    <row r="383" spans="1:10" x14ac:dyDescent="0.15">
      <c r="C383"/>
    </row>
    <row r="384" spans="1:10" x14ac:dyDescent="0.15">
      <c r="C384"/>
    </row>
    <row r="385" spans="3:3" x14ac:dyDescent="0.15">
      <c r="C385"/>
    </row>
    <row r="386" spans="3:3" x14ac:dyDescent="0.15">
      <c r="C386"/>
    </row>
    <row r="387" spans="3:3" x14ac:dyDescent="0.15">
      <c r="C387"/>
    </row>
    <row r="388" spans="3:3" x14ac:dyDescent="0.15">
      <c r="C388"/>
    </row>
    <row r="389" spans="3:3" x14ac:dyDescent="0.15">
      <c r="C389"/>
    </row>
    <row r="390" spans="3:3" x14ac:dyDescent="0.15">
      <c r="C390"/>
    </row>
    <row r="391" spans="3:3" x14ac:dyDescent="0.15">
      <c r="C391"/>
    </row>
    <row r="392" spans="3:3" x14ac:dyDescent="0.15">
      <c r="C392"/>
    </row>
    <row r="393" spans="3:3" x14ac:dyDescent="0.15">
      <c r="C393"/>
    </row>
    <row r="394" spans="3:3" x14ac:dyDescent="0.15">
      <c r="C394"/>
    </row>
    <row r="395" spans="3:3" x14ac:dyDescent="0.15">
      <c r="C395"/>
    </row>
    <row r="396" spans="3:3" x14ac:dyDescent="0.15">
      <c r="C396"/>
    </row>
    <row r="397" spans="3:3" x14ac:dyDescent="0.15">
      <c r="C397"/>
    </row>
    <row r="398" spans="3:3" x14ac:dyDescent="0.15">
      <c r="C398"/>
    </row>
    <row r="399" spans="3:3" x14ac:dyDescent="0.15">
      <c r="C399"/>
    </row>
    <row r="400" spans="3:3" x14ac:dyDescent="0.15">
      <c r="C400"/>
    </row>
    <row r="401" spans="3:3" x14ac:dyDescent="0.15">
      <c r="C401"/>
    </row>
    <row r="402" spans="3:3" x14ac:dyDescent="0.15">
      <c r="C402"/>
    </row>
    <row r="403" spans="3:3" x14ac:dyDescent="0.15">
      <c r="C403"/>
    </row>
    <row r="404" spans="3:3" x14ac:dyDescent="0.15">
      <c r="C404"/>
    </row>
    <row r="405" spans="3:3" x14ac:dyDescent="0.15">
      <c r="C405"/>
    </row>
    <row r="406" spans="3:3" x14ac:dyDescent="0.15">
      <c r="C406"/>
    </row>
    <row r="407" spans="3:3" x14ac:dyDescent="0.15">
      <c r="C407"/>
    </row>
    <row r="408" spans="3:3" x14ac:dyDescent="0.15">
      <c r="C408"/>
    </row>
    <row r="409" spans="3:3" x14ac:dyDescent="0.15">
      <c r="C409"/>
    </row>
  </sheetData>
  <sheetProtection selectLockedCells="1" selectUnlockedCells="1"/>
  <mergeCells count="8">
    <mergeCell ref="M19:T19"/>
    <mergeCell ref="M20:T20"/>
    <mergeCell ref="A1:J1"/>
    <mergeCell ref="M7:O7"/>
    <mergeCell ref="P7:R7"/>
    <mergeCell ref="M13:O13"/>
    <mergeCell ref="P13:R13"/>
    <mergeCell ref="M18:T18"/>
  </mergeCells>
  <dataValidations count="3">
    <dataValidation type="list" operator="equal" allowBlank="1" sqref="K3:S17 T11:T12 K18:N18 P18:S18 K19:S129 K130:K136 K137:S152 K153:K161 K162:S258 L259:S259 K260:S269 L270:S272 K271:S274 L275:S275 K276:S287 L288:S288 K289:S375" xr:uid="{00000000-0002-0000-0600-000000000000}">
      <formula1>"ASICS GEL 11-50,ASICS GT 21-40,ASICS GT 21-60"</formula1>
      <formula2>0</formula2>
    </dataValidation>
    <dataValidation type="list" operator="equal" allowBlank="1" showDropDown="1" sqref="A1:H32676 J1:J32676" xr:uid="{00000000-0002-0000-0600-000001000000}">
      <formula1>"ASICS GEL 11-50,ASICS GT 21-40,ASICS GT 21-60"</formula1>
      <formula2>0</formula2>
    </dataValidation>
    <dataValidation type="list" operator="equal" allowBlank="1" sqref="I1:I32676" xr:uid="{00000000-0002-0000-0600-000002000000}">
      <formula1>"ASICS GEL 11-50,ASICS GEL 11-70,ASICS GT 21-40,ASICS GT 21-60,NIKE Run Free 2.0"</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autoPageBreaks="0"/>
  </sheetPr>
  <dimension ref="A1:S409"/>
  <sheetViews>
    <sheetView workbookViewId="0">
      <pane ySplit="3" topLeftCell="A339" activePane="bottomLeft" state="frozen"/>
      <selection pane="bottomLeft" activeCell="K293" sqref="K293"/>
    </sheetView>
  </sheetViews>
  <sheetFormatPr baseColWidth="10" defaultColWidth="11.5" defaultRowHeight="13" x14ac:dyDescent="0.15"/>
  <cols>
    <col min="2" max="2" width="10.5" style="46" customWidth="1"/>
    <col min="3" max="3" width="5.5" customWidth="1"/>
    <col min="4" max="4" width="8.5" style="47" customWidth="1"/>
    <col min="5" max="5" width="6" customWidth="1"/>
    <col min="6" max="6" width="6.1640625" style="62" customWidth="1"/>
    <col min="7" max="7" width="10.1640625" style="63" customWidth="1"/>
    <col min="8" max="8" width="20.5" style="63" customWidth="1"/>
    <col min="9" max="9" width="6.83203125" customWidth="1"/>
    <col min="10" max="10" width="14.6640625" customWidth="1"/>
    <col min="11" max="11" width="12.83203125" customWidth="1"/>
    <col min="12" max="12" width="5.5" customWidth="1"/>
    <col min="13" max="13" width="2.1640625" customWidth="1"/>
    <col min="14" max="14" width="5.5" customWidth="1"/>
    <col min="15" max="15" width="4.5" customWidth="1"/>
    <col min="16" max="16" width="2.1640625" customWidth="1"/>
    <col min="17" max="17" width="4.5" customWidth="1"/>
    <col min="18" max="19" width="13.1640625" customWidth="1"/>
  </cols>
  <sheetData>
    <row r="1" spans="1:19" ht="19" x14ac:dyDescent="0.15">
      <c r="A1" s="3419" t="s">
        <v>470</v>
      </c>
      <c r="B1" s="3419"/>
      <c r="C1" s="3419"/>
      <c r="D1" s="3419"/>
      <c r="E1" s="3419"/>
      <c r="F1" s="3419"/>
      <c r="G1" s="3419"/>
      <c r="H1" s="3419"/>
      <c r="I1" s="3419"/>
    </row>
    <row r="2" spans="1:19" x14ac:dyDescent="0.15">
      <c r="A2" s="2"/>
      <c r="C2" s="2"/>
      <c r="D2" s="43"/>
      <c r="E2" s="2"/>
      <c r="F2" s="65"/>
      <c r="G2" s="45"/>
      <c r="H2" s="45"/>
      <c r="I2" s="2"/>
    </row>
    <row r="3" spans="1:19" x14ac:dyDescent="0.15">
      <c r="A3" s="3" t="s">
        <v>1</v>
      </c>
      <c r="B3" s="67" t="s">
        <v>3</v>
      </c>
      <c r="C3" s="4" t="s">
        <v>4</v>
      </c>
      <c r="D3" s="50" t="s">
        <v>5</v>
      </c>
      <c r="E3" s="3" t="s">
        <v>440</v>
      </c>
      <c r="F3" s="68" t="s">
        <v>429</v>
      </c>
      <c r="G3" s="69" t="s">
        <v>430</v>
      </c>
      <c r="H3" s="69" t="s">
        <v>431</v>
      </c>
      <c r="I3" s="4" t="s">
        <v>432</v>
      </c>
    </row>
    <row r="4" spans="1:19" x14ac:dyDescent="0.15">
      <c r="A4" s="4">
        <v>1</v>
      </c>
      <c r="B4" s="137"/>
      <c r="C4" s="8"/>
      <c r="D4" s="52"/>
      <c r="E4" s="7"/>
      <c r="F4" s="80"/>
      <c r="G4" s="81"/>
      <c r="H4" s="81"/>
      <c r="I4" s="10" t="s">
        <v>411</v>
      </c>
    </row>
    <row r="5" spans="1:19" x14ac:dyDescent="0.15">
      <c r="A5" s="11" t="s">
        <v>11</v>
      </c>
      <c r="B5" s="138">
        <v>41639</v>
      </c>
      <c r="C5" s="13" t="s">
        <v>14</v>
      </c>
      <c r="D5" s="54">
        <v>4.0300925925925928E-2</v>
      </c>
      <c r="E5" s="2">
        <v>155</v>
      </c>
      <c r="F5" s="83">
        <v>10.99</v>
      </c>
      <c r="G5" s="84">
        <f>D5/F5</f>
        <v>3.6670542243790651E-3</v>
      </c>
      <c r="H5" s="84" t="s">
        <v>466</v>
      </c>
      <c r="I5" s="10" t="s">
        <v>411</v>
      </c>
      <c r="L5" s="35"/>
      <c r="M5" s="35"/>
    </row>
    <row r="6" spans="1:19" x14ac:dyDescent="0.15">
      <c r="A6" s="15">
        <f>SUM(F4:F10)</f>
        <v>10.99</v>
      </c>
      <c r="B6" s="138">
        <v>41640</v>
      </c>
      <c r="C6" s="13"/>
      <c r="D6" s="54"/>
      <c r="E6" s="12"/>
      <c r="F6" s="83"/>
      <c r="G6" s="84"/>
      <c r="H6" s="84"/>
      <c r="I6" s="10" t="s">
        <v>411</v>
      </c>
      <c r="L6" s="2"/>
      <c r="M6" s="2"/>
    </row>
    <row r="7" spans="1:19" x14ac:dyDescent="0.15">
      <c r="A7" s="2"/>
      <c r="B7" s="138">
        <v>41641</v>
      </c>
      <c r="C7" s="13"/>
      <c r="D7" s="54"/>
      <c r="E7" s="2"/>
      <c r="F7" s="83"/>
      <c r="G7" s="84"/>
      <c r="H7" s="84"/>
      <c r="I7" s="10" t="s">
        <v>411</v>
      </c>
      <c r="K7" s="93"/>
      <c r="L7" s="3421" t="s">
        <v>441</v>
      </c>
      <c r="M7" s="3421"/>
      <c r="N7" s="3421"/>
      <c r="O7" s="3422" t="s">
        <v>442</v>
      </c>
      <c r="P7" s="3422"/>
      <c r="Q7" s="3422"/>
      <c r="R7" s="4" t="s">
        <v>443</v>
      </c>
    </row>
    <row r="8" spans="1:19" x14ac:dyDescent="0.15">
      <c r="A8" s="2"/>
      <c r="B8" s="138">
        <v>41642</v>
      </c>
      <c r="C8" s="13"/>
      <c r="D8" s="54"/>
      <c r="E8" s="12"/>
      <c r="F8" s="83"/>
      <c r="G8" s="84"/>
      <c r="H8" s="84"/>
      <c r="I8" s="10" t="s">
        <v>411</v>
      </c>
      <c r="K8" s="94" t="s">
        <v>444</v>
      </c>
      <c r="L8" s="95">
        <v>0.65</v>
      </c>
      <c r="M8" s="96" t="s">
        <v>437</v>
      </c>
      <c r="N8" s="97">
        <v>0.7</v>
      </c>
      <c r="O8" s="98">
        <f>L8*$O$13</f>
        <v>120.9</v>
      </c>
      <c r="P8" s="99" t="s">
        <v>437</v>
      </c>
      <c r="Q8" s="100">
        <f>N8*$O$13</f>
        <v>130.19999999999999</v>
      </c>
      <c r="R8" s="101">
        <v>4.31712962962963E-3</v>
      </c>
    </row>
    <row r="9" spans="1:19" x14ac:dyDescent="0.15">
      <c r="A9" s="2"/>
      <c r="B9" s="138">
        <v>41643</v>
      </c>
      <c r="C9" s="13"/>
      <c r="D9" s="54"/>
      <c r="E9" s="12"/>
      <c r="F9" s="83"/>
      <c r="G9" s="84"/>
      <c r="H9" s="84"/>
      <c r="I9" s="10" t="s">
        <v>411</v>
      </c>
      <c r="K9" s="94" t="s">
        <v>445</v>
      </c>
      <c r="L9" s="95">
        <v>0.75</v>
      </c>
      <c r="M9" s="96" t="s">
        <v>437</v>
      </c>
      <c r="N9" s="97">
        <v>0.8</v>
      </c>
      <c r="O9" s="98">
        <f>L9*$O$13</f>
        <v>139.5</v>
      </c>
      <c r="P9" s="99" t="s">
        <v>437</v>
      </c>
      <c r="Q9" s="100">
        <f>N9*$O$13</f>
        <v>148.80000000000001</v>
      </c>
      <c r="R9" s="101">
        <v>3.7268518518518519E-3</v>
      </c>
    </row>
    <row r="10" spans="1:19" x14ac:dyDescent="0.15">
      <c r="A10" s="2"/>
      <c r="B10" s="90">
        <v>41644</v>
      </c>
      <c r="C10" s="13"/>
      <c r="D10" s="54"/>
      <c r="E10" s="12"/>
      <c r="F10" s="83"/>
      <c r="G10" s="84"/>
      <c r="H10" s="84"/>
      <c r="I10" s="10" t="s">
        <v>411</v>
      </c>
      <c r="K10" s="94" t="s">
        <v>446</v>
      </c>
      <c r="L10" s="95">
        <v>0.9</v>
      </c>
      <c r="M10" s="96" t="s">
        <v>437</v>
      </c>
      <c r="N10" s="97">
        <v>0.95</v>
      </c>
      <c r="O10" s="98">
        <f>L10*$O$13</f>
        <v>167.4</v>
      </c>
      <c r="P10" s="99" t="s">
        <v>437</v>
      </c>
      <c r="Q10" s="100">
        <f>N10*$O$13</f>
        <v>176.7</v>
      </c>
      <c r="R10" s="101">
        <v>3.2870370370370371E-3</v>
      </c>
    </row>
    <row r="11" spans="1:19" x14ac:dyDescent="0.15">
      <c r="A11" s="4">
        <f>A4+1</f>
        <v>2</v>
      </c>
      <c r="B11" s="137">
        <v>41645</v>
      </c>
      <c r="C11" s="8"/>
      <c r="D11" s="52"/>
      <c r="E11" s="7"/>
      <c r="F11" s="80"/>
      <c r="G11" s="81"/>
      <c r="H11" s="81"/>
      <c r="I11" s="10" t="s">
        <v>411</v>
      </c>
      <c r="K11" s="94" t="s">
        <v>447</v>
      </c>
      <c r="L11" s="95">
        <v>0.8</v>
      </c>
      <c r="M11" s="96" t="s">
        <v>437</v>
      </c>
      <c r="N11" s="97">
        <v>0.85</v>
      </c>
      <c r="O11" s="98">
        <f>L11*$O$13</f>
        <v>148.80000000000001</v>
      </c>
      <c r="P11" s="99" t="s">
        <v>437</v>
      </c>
      <c r="Q11" s="100">
        <f>N11*$O$13</f>
        <v>158.1</v>
      </c>
      <c r="R11" s="101">
        <f>S11/42.195</f>
        <v>3.2090317002628887E-3</v>
      </c>
      <c r="S11" s="43">
        <v>0.13540509259259259</v>
      </c>
    </row>
    <row r="12" spans="1:19" x14ac:dyDescent="0.15">
      <c r="A12" s="11" t="s">
        <v>11</v>
      </c>
      <c r="B12" s="138">
        <v>41646</v>
      </c>
      <c r="C12" s="13"/>
      <c r="D12" s="54"/>
      <c r="E12" s="2"/>
      <c r="F12" s="83"/>
      <c r="G12" s="84"/>
      <c r="H12" s="84"/>
      <c r="I12" s="10" t="s">
        <v>411</v>
      </c>
      <c r="K12" s="102" t="s">
        <v>448</v>
      </c>
      <c r="L12" s="103">
        <v>0.85</v>
      </c>
      <c r="M12" s="104" t="s">
        <v>437</v>
      </c>
      <c r="N12" s="105">
        <v>0.9</v>
      </c>
      <c r="O12" s="106">
        <f>L12*$O$13</f>
        <v>158.1</v>
      </c>
      <c r="P12" s="107" t="s">
        <v>437</v>
      </c>
      <c r="Q12" s="108">
        <f>N12*$O$13</f>
        <v>167.4</v>
      </c>
      <c r="R12" s="109">
        <f>S12/(42.195/2)</f>
        <v>2.7978565127516424E-3</v>
      </c>
      <c r="S12" s="43">
        <v>5.9027777777777776E-2</v>
      </c>
    </row>
    <row r="13" spans="1:19" x14ac:dyDescent="0.15">
      <c r="A13" s="15">
        <f>SUM(F11:F17)</f>
        <v>10.65</v>
      </c>
      <c r="B13" s="138">
        <v>41647</v>
      </c>
      <c r="C13" s="13"/>
      <c r="D13" s="54"/>
      <c r="E13" s="12"/>
      <c r="F13" s="83"/>
      <c r="G13" s="84"/>
      <c r="H13" s="84"/>
      <c r="I13" s="10" t="s">
        <v>411</v>
      </c>
      <c r="K13" s="102" t="s">
        <v>449</v>
      </c>
      <c r="L13" s="3423">
        <v>1</v>
      </c>
      <c r="M13" s="3423"/>
      <c r="N13" s="3423"/>
      <c r="O13" s="3424">
        <v>186</v>
      </c>
      <c r="P13" s="3424"/>
      <c r="Q13" s="3424"/>
      <c r="R13" s="2"/>
    </row>
    <row r="14" spans="1:19" x14ac:dyDescent="0.15">
      <c r="A14" s="2"/>
      <c r="B14" s="138">
        <v>41648</v>
      </c>
      <c r="C14" s="13"/>
      <c r="D14" s="54"/>
      <c r="E14" s="2"/>
      <c r="F14" s="83"/>
      <c r="G14" s="84"/>
      <c r="H14" s="84"/>
      <c r="I14" s="10" t="s">
        <v>411</v>
      </c>
      <c r="N14" s="35"/>
    </row>
    <row r="15" spans="1:19" x14ac:dyDescent="0.15">
      <c r="A15" s="2"/>
      <c r="B15" s="138">
        <v>41649</v>
      </c>
      <c r="C15" s="13"/>
      <c r="D15" s="54"/>
      <c r="E15" s="12"/>
      <c r="F15" s="83"/>
      <c r="G15" s="84"/>
      <c r="H15" s="84"/>
      <c r="I15" s="10" t="s">
        <v>411</v>
      </c>
      <c r="N15" s="2"/>
    </row>
    <row r="16" spans="1:19" x14ac:dyDescent="0.15">
      <c r="A16" s="2"/>
      <c r="B16" s="138">
        <v>41650</v>
      </c>
      <c r="C16" s="13"/>
      <c r="D16" s="54"/>
      <c r="E16" s="12"/>
      <c r="F16" s="83"/>
      <c r="G16" s="84"/>
      <c r="H16" s="84"/>
      <c r="I16" s="10" t="s">
        <v>411</v>
      </c>
      <c r="N16" s="2"/>
    </row>
    <row r="17" spans="1:19" x14ac:dyDescent="0.15">
      <c r="A17" s="2"/>
      <c r="B17" s="90">
        <v>41651</v>
      </c>
      <c r="C17" s="13" t="s">
        <v>14</v>
      </c>
      <c r="D17" s="54">
        <v>4.0011574074074074E-2</v>
      </c>
      <c r="E17" s="12">
        <v>144</v>
      </c>
      <c r="F17" s="83">
        <v>10.65</v>
      </c>
      <c r="G17" s="84">
        <f>D17/F17</f>
        <v>3.7569553121196311E-3</v>
      </c>
      <c r="H17" s="84" t="s">
        <v>466</v>
      </c>
      <c r="I17" s="10" t="s">
        <v>411</v>
      </c>
      <c r="K17" s="139" t="s">
        <v>458</v>
      </c>
      <c r="N17" s="2"/>
    </row>
    <row r="18" spans="1:19" x14ac:dyDescent="0.15">
      <c r="A18" s="4">
        <f>A11+1</f>
        <v>3</v>
      </c>
      <c r="B18" s="137">
        <v>41652</v>
      </c>
      <c r="C18" s="8"/>
      <c r="D18" s="52"/>
      <c r="E18" s="7"/>
      <c r="F18" s="80"/>
      <c r="G18" s="81"/>
      <c r="H18" s="81"/>
      <c r="I18" s="10" t="s">
        <v>411</v>
      </c>
      <c r="K18" s="140" t="s">
        <v>14</v>
      </c>
      <c r="L18" s="3425" t="s">
        <v>459</v>
      </c>
      <c r="M18" s="3425"/>
      <c r="N18" s="3425"/>
      <c r="O18" s="3425"/>
      <c r="P18" s="3425"/>
      <c r="Q18" s="3425"/>
      <c r="R18" s="3425"/>
      <c r="S18" s="3425"/>
    </row>
    <row r="19" spans="1:19" x14ac:dyDescent="0.15">
      <c r="A19" s="11" t="s">
        <v>11</v>
      </c>
      <c r="B19" s="138">
        <v>41653</v>
      </c>
      <c r="C19" s="13" t="s">
        <v>14</v>
      </c>
      <c r="D19" s="54">
        <v>4.1006944444444443E-2</v>
      </c>
      <c r="E19" s="2">
        <v>146</v>
      </c>
      <c r="F19" s="83">
        <v>10.5</v>
      </c>
      <c r="G19" s="84">
        <f>D19/F19</f>
        <v>3.9054232804232804E-3</v>
      </c>
      <c r="H19" s="84" t="s">
        <v>453</v>
      </c>
      <c r="I19" s="10" t="s">
        <v>411</v>
      </c>
      <c r="K19" s="140" t="s">
        <v>460</v>
      </c>
      <c r="L19" s="3425" t="s">
        <v>461</v>
      </c>
      <c r="M19" s="3425"/>
      <c r="N19" s="3425"/>
      <c r="O19" s="3425"/>
      <c r="P19" s="3425"/>
      <c r="Q19" s="3425"/>
      <c r="R19" s="3425"/>
      <c r="S19" s="3425"/>
    </row>
    <row r="20" spans="1:19" x14ac:dyDescent="0.15">
      <c r="A20" s="15">
        <f>SUM(F18:F24)</f>
        <v>21.03</v>
      </c>
      <c r="B20" s="138">
        <v>41654</v>
      </c>
      <c r="C20" s="13"/>
      <c r="D20" s="54"/>
      <c r="E20" s="12"/>
      <c r="F20" s="83"/>
      <c r="G20" s="84"/>
      <c r="H20" s="84"/>
      <c r="I20" s="10" t="s">
        <v>411</v>
      </c>
      <c r="K20" s="140" t="s">
        <v>462</v>
      </c>
      <c r="L20" s="3425" t="s">
        <v>463</v>
      </c>
      <c r="M20" s="3425"/>
      <c r="N20" s="3425"/>
      <c r="O20" s="3425"/>
      <c r="P20" s="3425"/>
      <c r="Q20" s="3425"/>
      <c r="R20" s="3425"/>
      <c r="S20" s="3425"/>
    </row>
    <row r="21" spans="1:19" x14ac:dyDescent="0.15">
      <c r="A21" s="2"/>
      <c r="B21" s="138">
        <v>41655</v>
      </c>
      <c r="C21" s="13"/>
      <c r="D21" s="54"/>
      <c r="E21" s="2"/>
      <c r="F21" s="83"/>
      <c r="G21" s="84"/>
      <c r="H21" s="84"/>
      <c r="I21" s="10" t="s">
        <v>411</v>
      </c>
    </row>
    <row r="22" spans="1:19" x14ac:dyDescent="0.15">
      <c r="A22" s="2"/>
      <c r="B22" s="138">
        <v>41656</v>
      </c>
      <c r="C22" s="13" t="s">
        <v>14</v>
      </c>
      <c r="D22" s="54">
        <v>3.9317129629629632E-2</v>
      </c>
      <c r="E22" s="12">
        <v>152</v>
      </c>
      <c r="F22" s="83">
        <v>10.53</v>
      </c>
      <c r="G22" s="84">
        <f>D22/F22</f>
        <v>3.7338204776476386E-3</v>
      </c>
      <c r="H22" s="84" t="s">
        <v>466</v>
      </c>
      <c r="I22" s="10" t="s">
        <v>411</v>
      </c>
    </row>
    <row r="23" spans="1:19" x14ac:dyDescent="0.15">
      <c r="A23" s="2"/>
      <c r="B23" s="138">
        <v>41657</v>
      </c>
      <c r="C23" s="13"/>
      <c r="D23" s="54"/>
      <c r="E23" s="12"/>
      <c r="F23" s="83"/>
      <c r="G23" s="84"/>
      <c r="H23" s="84"/>
      <c r="I23" s="10" t="s">
        <v>411</v>
      </c>
    </row>
    <row r="24" spans="1:19" x14ac:dyDescent="0.15">
      <c r="A24" s="2"/>
      <c r="B24" s="90">
        <v>41658</v>
      </c>
      <c r="C24" s="13"/>
      <c r="D24" s="54"/>
      <c r="E24" s="12"/>
      <c r="F24" s="83"/>
      <c r="G24" s="84"/>
      <c r="H24" s="84"/>
      <c r="I24" s="10" t="s">
        <v>411</v>
      </c>
    </row>
    <row r="25" spans="1:19" x14ac:dyDescent="0.15">
      <c r="A25" s="4">
        <f>A18+1</f>
        <v>4</v>
      </c>
      <c r="B25" s="137">
        <v>41659</v>
      </c>
      <c r="C25" s="8"/>
      <c r="D25" s="52"/>
      <c r="E25" s="7"/>
      <c r="F25" s="80"/>
      <c r="G25" s="81"/>
      <c r="H25" s="81"/>
      <c r="I25" s="10" t="s">
        <v>411</v>
      </c>
    </row>
    <row r="26" spans="1:19" x14ac:dyDescent="0.15">
      <c r="A26" s="11" t="s">
        <v>11</v>
      </c>
      <c r="B26" s="138">
        <v>41660</v>
      </c>
      <c r="C26" s="13" t="s">
        <v>14</v>
      </c>
      <c r="D26" s="54">
        <v>3.8657407407407411E-2</v>
      </c>
      <c r="E26" s="2">
        <v>152</v>
      </c>
      <c r="F26" s="83">
        <v>10.5</v>
      </c>
      <c r="G26" s="84">
        <f>D26/F26</f>
        <v>3.6816578483245153E-3</v>
      </c>
      <c r="H26" s="84" t="s">
        <v>466</v>
      </c>
      <c r="I26" s="10" t="s">
        <v>411</v>
      </c>
    </row>
    <row r="27" spans="1:19" x14ac:dyDescent="0.15">
      <c r="A27" s="15">
        <f>SUM(F25:F31)</f>
        <v>35.040000000000006</v>
      </c>
      <c r="B27" s="138">
        <v>41661</v>
      </c>
      <c r="C27" s="13"/>
      <c r="D27" s="54"/>
      <c r="E27" s="12"/>
      <c r="F27" s="83"/>
      <c r="G27" s="84"/>
      <c r="H27" s="84"/>
      <c r="I27" s="10" t="s">
        <v>411</v>
      </c>
    </row>
    <row r="28" spans="1:19" x14ac:dyDescent="0.15">
      <c r="A28" s="2"/>
      <c r="B28" s="138">
        <v>41662</v>
      </c>
      <c r="C28" s="13"/>
      <c r="D28" s="54"/>
      <c r="E28" s="2"/>
      <c r="F28" s="83"/>
      <c r="G28" s="84"/>
      <c r="H28" s="84"/>
      <c r="I28" s="10" t="s">
        <v>411</v>
      </c>
    </row>
    <row r="29" spans="1:19" x14ac:dyDescent="0.15">
      <c r="A29" s="2"/>
      <c r="B29" s="138">
        <v>41663</v>
      </c>
      <c r="C29" s="13" t="s">
        <v>14</v>
      </c>
      <c r="D29" s="54">
        <v>3.9016203703703706E-2</v>
      </c>
      <c r="E29" s="12">
        <v>154</v>
      </c>
      <c r="F29" s="83">
        <v>10.49</v>
      </c>
      <c r="G29" s="84">
        <f>D29/F29</f>
        <v>3.7193711824312398E-3</v>
      </c>
      <c r="H29" s="84" t="s">
        <v>455</v>
      </c>
      <c r="I29" s="10" t="s">
        <v>411</v>
      </c>
    </row>
    <row r="30" spans="1:19" x14ac:dyDescent="0.15">
      <c r="A30" s="2"/>
      <c r="B30" s="138">
        <v>41664</v>
      </c>
      <c r="C30" s="13"/>
      <c r="D30" s="54"/>
      <c r="E30" s="12"/>
      <c r="F30" s="83"/>
      <c r="G30" s="84"/>
      <c r="H30" s="84"/>
      <c r="I30" s="10" t="s">
        <v>411</v>
      </c>
    </row>
    <row r="31" spans="1:19" x14ac:dyDescent="0.15">
      <c r="A31" s="2"/>
      <c r="B31" s="90">
        <v>41665</v>
      </c>
      <c r="C31" s="13" t="s">
        <v>14</v>
      </c>
      <c r="D31" s="54">
        <v>5.1354166666666666E-2</v>
      </c>
      <c r="E31" s="12">
        <v>147</v>
      </c>
      <c r="F31" s="83">
        <v>14.05</v>
      </c>
      <c r="G31" s="84">
        <f>D31/F31</f>
        <v>3.6551008303677339E-3</v>
      </c>
      <c r="H31" s="84" t="s">
        <v>466</v>
      </c>
      <c r="I31" s="10" t="s">
        <v>411</v>
      </c>
    </row>
    <row r="32" spans="1:19" x14ac:dyDescent="0.15">
      <c r="A32" s="4">
        <f>A25+1</f>
        <v>5</v>
      </c>
      <c r="B32" s="137">
        <v>41666</v>
      </c>
      <c r="C32" s="8"/>
      <c r="D32" s="52"/>
      <c r="E32" s="7"/>
      <c r="F32" s="80"/>
      <c r="G32" s="81"/>
      <c r="H32" s="81"/>
      <c r="I32" s="10" t="s">
        <v>411</v>
      </c>
    </row>
    <row r="33" spans="1:9" x14ac:dyDescent="0.15">
      <c r="A33" s="11" t="s">
        <v>11</v>
      </c>
      <c r="B33" s="138">
        <v>41667</v>
      </c>
      <c r="C33" s="13"/>
      <c r="D33" s="54"/>
      <c r="E33" s="2"/>
      <c r="F33" s="83"/>
      <c r="G33" s="84"/>
      <c r="H33" s="84"/>
      <c r="I33" s="10" t="s">
        <v>411</v>
      </c>
    </row>
    <row r="34" spans="1:9" x14ac:dyDescent="0.15">
      <c r="A34" s="15">
        <f>SUM(F32:F38)</f>
        <v>10.48</v>
      </c>
      <c r="B34" s="138">
        <v>41668</v>
      </c>
      <c r="C34" s="13" t="s">
        <v>14</v>
      </c>
      <c r="D34" s="54">
        <v>3.8043981481481477E-2</v>
      </c>
      <c r="E34" s="12">
        <v>150</v>
      </c>
      <c r="F34" s="83">
        <v>10.48</v>
      </c>
      <c r="G34" s="84">
        <f>D34/F34</f>
        <v>3.6301509047215147E-3</v>
      </c>
      <c r="H34" s="84" t="s">
        <v>466</v>
      </c>
      <c r="I34" s="10" t="s">
        <v>411</v>
      </c>
    </row>
    <row r="35" spans="1:9" x14ac:dyDescent="0.15">
      <c r="A35" s="2"/>
      <c r="B35" s="138">
        <v>41669</v>
      </c>
      <c r="C35" s="13"/>
      <c r="D35" s="54"/>
      <c r="E35" s="2"/>
      <c r="F35" s="83"/>
      <c r="G35" s="84"/>
      <c r="H35" s="84"/>
      <c r="I35" s="10" t="s">
        <v>411</v>
      </c>
    </row>
    <row r="36" spans="1:9" x14ac:dyDescent="0.15">
      <c r="A36" s="2"/>
      <c r="B36" s="138">
        <v>41670</v>
      </c>
      <c r="C36" s="13"/>
      <c r="D36" s="54"/>
      <c r="E36" s="12"/>
      <c r="F36" s="83"/>
      <c r="G36" s="84"/>
      <c r="H36" s="84"/>
      <c r="I36" s="10" t="s">
        <v>411</v>
      </c>
    </row>
    <row r="37" spans="1:9" x14ac:dyDescent="0.15">
      <c r="A37" s="2"/>
      <c r="B37" s="138">
        <v>41671</v>
      </c>
      <c r="C37" s="13"/>
      <c r="D37" s="54"/>
      <c r="E37" s="12"/>
      <c r="F37" s="83"/>
      <c r="G37" s="84"/>
      <c r="H37" s="84"/>
      <c r="I37" s="10" t="s">
        <v>411</v>
      </c>
    </row>
    <row r="38" spans="1:9" x14ac:dyDescent="0.15">
      <c r="A38" s="2"/>
      <c r="B38" s="90">
        <v>41672</v>
      </c>
      <c r="C38" s="13"/>
      <c r="D38" s="54"/>
      <c r="E38" s="12"/>
      <c r="F38" s="83"/>
      <c r="G38" s="84"/>
      <c r="H38" s="84"/>
      <c r="I38" s="10" t="s">
        <v>411</v>
      </c>
    </row>
    <row r="39" spans="1:9" x14ac:dyDescent="0.15">
      <c r="A39" s="4">
        <f>A32+1</f>
        <v>6</v>
      </c>
      <c r="B39" s="137">
        <v>41673</v>
      </c>
      <c r="C39" s="8" t="s">
        <v>14</v>
      </c>
      <c r="D39" s="52">
        <v>4.506944444444444E-2</v>
      </c>
      <c r="E39" s="7">
        <v>142</v>
      </c>
      <c r="F39" s="80">
        <v>12.15</v>
      </c>
      <c r="G39" s="81">
        <f>D39/F39</f>
        <v>3.7094192958390484E-3</v>
      </c>
      <c r="H39" s="81" t="s">
        <v>455</v>
      </c>
      <c r="I39" s="10" t="s">
        <v>411</v>
      </c>
    </row>
    <row r="40" spans="1:9" x14ac:dyDescent="0.15">
      <c r="A40" s="11" t="s">
        <v>11</v>
      </c>
      <c r="B40" s="138">
        <v>41674</v>
      </c>
      <c r="C40" s="13"/>
      <c r="D40" s="54"/>
      <c r="E40" s="2"/>
      <c r="F40" s="83"/>
      <c r="G40" s="84"/>
      <c r="H40" s="84"/>
      <c r="I40" s="10" t="s">
        <v>411</v>
      </c>
    </row>
    <row r="41" spans="1:9" x14ac:dyDescent="0.15">
      <c r="A41" s="15">
        <f>SUM(F39:F45)</f>
        <v>36.870000000000005</v>
      </c>
      <c r="B41" s="138">
        <v>41675</v>
      </c>
      <c r="C41" s="13"/>
      <c r="D41" s="54"/>
      <c r="E41" s="12"/>
      <c r="F41" s="83"/>
      <c r="G41" s="84"/>
      <c r="H41" s="84"/>
      <c r="I41" s="10" t="s">
        <v>411</v>
      </c>
    </row>
    <row r="42" spans="1:9" x14ac:dyDescent="0.15">
      <c r="A42" s="2"/>
      <c r="B42" s="138">
        <v>41676</v>
      </c>
      <c r="C42" s="13"/>
      <c r="D42" s="54"/>
      <c r="E42" s="2"/>
      <c r="F42" s="83"/>
      <c r="G42" s="84"/>
      <c r="H42" s="84"/>
      <c r="I42" s="10" t="s">
        <v>411</v>
      </c>
    </row>
    <row r="43" spans="1:9" x14ac:dyDescent="0.15">
      <c r="A43" s="2"/>
      <c r="B43" s="138">
        <v>41677</v>
      </c>
      <c r="C43" s="13" t="s">
        <v>14</v>
      </c>
      <c r="D43" s="54">
        <v>3.7731481481481477E-2</v>
      </c>
      <c r="E43" s="12">
        <v>156</v>
      </c>
      <c r="F43" s="83">
        <v>10.48</v>
      </c>
      <c r="G43" s="84">
        <f>D43/F43</f>
        <v>3.6003322024314383E-3</v>
      </c>
      <c r="H43" s="84" t="s">
        <v>453</v>
      </c>
      <c r="I43" s="10" t="s">
        <v>411</v>
      </c>
    </row>
    <row r="44" spans="1:9" x14ac:dyDescent="0.15">
      <c r="A44" s="2"/>
      <c r="B44" s="138">
        <v>41678</v>
      </c>
      <c r="C44" s="13"/>
      <c r="D44" s="54"/>
      <c r="E44" s="12"/>
      <c r="F44" s="83"/>
      <c r="G44" s="84"/>
      <c r="H44" s="84"/>
      <c r="I44" s="10" t="s">
        <v>411</v>
      </c>
    </row>
    <row r="45" spans="1:9" x14ac:dyDescent="0.15">
      <c r="A45" s="2"/>
      <c r="B45" s="90">
        <v>41679</v>
      </c>
      <c r="C45" s="13" t="s">
        <v>14</v>
      </c>
      <c r="D45" s="54">
        <v>5.3298611111111109E-2</v>
      </c>
      <c r="E45" s="12" t="s">
        <v>437</v>
      </c>
      <c r="F45" s="83">
        <v>14.24</v>
      </c>
      <c r="G45" s="84">
        <f>D45/F45</f>
        <v>3.7428799937578023E-3</v>
      </c>
      <c r="H45" s="84" t="s">
        <v>453</v>
      </c>
      <c r="I45" s="10" t="s">
        <v>411</v>
      </c>
    </row>
    <row r="46" spans="1:9" x14ac:dyDescent="0.15">
      <c r="A46" s="4">
        <f>A39+1</f>
        <v>7</v>
      </c>
      <c r="B46" s="137">
        <v>41680</v>
      </c>
      <c r="C46" s="8"/>
      <c r="D46" s="52"/>
      <c r="E46" s="7"/>
      <c r="F46" s="80"/>
      <c r="G46" s="81"/>
      <c r="H46" s="81"/>
      <c r="I46" s="10" t="s">
        <v>411</v>
      </c>
    </row>
    <row r="47" spans="1:9" x14ac:dyDescent="0.15">
      <c r="A47" s="11" t="s">
        <v>11</v>
      </c>
      <c r="B47" s="138">
        <v>41681</v>
      </c>
      <c r="C47" s="13" t="s">
        <v>14</v>
      </c>
      <c r="D47" s="54">
        <v>3.9502314814814816E-2</v>
      </c>
      <c r="E47" s="2" t="s">
        <v>437</v>
      </c>
      <c r="F47" s="83">
        <v>10.51</v>
      </c>
      <c r="G47" s="84">
        <f>D47/F47</f>
        <v>3.758545653169821E-3</v>
      </c>
      <c r="H47" s="84" t="s">
        <v>453</v>
      </c>
      <c r="I47" s="10" t="s">
        <v>411</v>
      </c>
    </row>
    <row r="48" spans="1:9" x14ac:dyDescent="0.15">
      <c r="A48" s="15">
        <f>SUM(F46:F52)</f>
        <v>50.98</v>
      </c>
      <c r="B48" s="138">
        <v>41682</v>
      </c>
      <c r="C48" s="13" t="s">
        <v>464</v>
      </c>
      <c r="D48" s="54">
        <v>4.0104166666666663E-2</v>
      </c>
      <c r="E48" s="12" t="s">
        <v>437</v>
      </c>
      <c r="F48" s="83">
        <v>11.22</v>
      </c>
      <c r="G48" s="84">
        <f>D48/F48</f>
        <v>3.5743464052287576E-3</v>
      </c>
      <c r="H48" s="84" t="s">
        <v>466</v>
      </c>
      <c r="I48" s="10" t="s">
        <v>411</v>
      </c>
    </row>
    <row r="49" spans="1:9" x14ac:dyDescent="0.15">
      <c r="A49" s="2"/>
      <c r="B49" s="138">
        <v>41683</v>
      </c>
      <c r="C49" s="13"/>
      <c r="D49" s="54"/>
      <c r="E49" s="2"/>
      <c r="F49" s="83"/>
      <c r="G49" s="84"/>
      <c r="H49" s="84"/>
      <c r="I49" s="10" t="s">
        <v>411</v>
      </c>
    </row>
    <row r="50" spans="1:9" x14ac:dyDescent="0.15">
      <c r="A50" s="2"/>
      <c r="B50" s="138">
        <v>41684</v>
      </c>
      <c r="C50" s="13" t="s">
        <v>14</v>
      </c>
      <c r="D50" s="54">
        <v>3.7187499999999998E-2</v>
      </c>
      <c r="E50" s="12" t="s">
        <v>437</v>
      </c>
      <c r="F50" s="83">
        <v>10.43</v>
      </c>
      <c r="G50" s="84">
        <f>D50/F50</f>
        <v>3.5654362416107383E-3</v>
      </c>
      <c r="H50" s="84" t="s">
        <v>466</v>
      </c>
      <c r="I50" s="10" t="s">
        <v>411</v>
      </c>
    </row>
    <row r="51" spans="1:9" x14ac:dyDescent="0.15">
      <c r="A51" s="2"/>
      <c r="B51" s="138">
        <v>41685</v>
      </c>
      <c r="C51" s="13"/>
      <c r="D51" s="54"/>
      <c r="E51" s="12"/>
      <c r="F51" s="83"/>
      <c r="G51" s="84"/>
      <c r="H51" s="84"/>
      <c r="I51" s="10" t="s">
        <v>411</v>
      </c>
    </row>
    <row r="52" spans="1:9" x14ac:dyDescent="0.15">
      <c r="A52" s="2"/>
      <c r="B52" s="90">
        <v>41686</v>
      </c>
      <c r="C52" s="13" t="s">
        <v>14</v>
      </c>
      <c r="D52" s="54">
        <v>6.6331018518518525E-2</v>
      </c>
      <c r="E52" s="12">
        <v>151</v>
      </c>
      <c r="F52" s="83">
        <v>18.82</v>
      </c>
      <c r="G52" s="84">
        <f>D52/F52</f>
        <v>3.5244962018341403E-3</v>
      </c>
      <c r="H52" s="84" t="s">
        <v>453</v>
      </c>
      <c r="I52" s="10" t="s">
        <v>411</v>
      </c>
    </row>
    <row r="53" spans="1:9" x14ac:dyDescent="0.15">
      <c r="A53" s="4">
        <f>A46+1</f>
        <v>8</v>
      </c>
      <c r="B53" s="137">
        <v>41687</v>
      </c>
      <c r="C53" s="8"/>
      <c r="D53" s="52"/>
      <c r="E53" s="7"/>
      <c r="F53" s="80"/>
      <c r="G53" s="81"/>
      <c r="H53" s="81"/>
      <c r="I53" s="10" t="s">
        <v>411</v>
      </c>
    </row>
    <row r="54" spans="1:9" x14ac:dyDescent="0.15">
      <c r="A54" s="11" t="s">
        <v>11</v>
      </c>
      <c r="B54" s="138">
        <v>41688</v>
      </c>
      <c r="C54" s="13" t="s">
        <v>14</v>
      </c>
      <c r="D54" s="54">
        <v>3.7361111111111109E-2</v>
      </c>
      <c r="E54" s="2">
        <v>146</v>
      </c>
      <c r="F54" s="83">
        <v>10.49</v>
      </c>
      <c r="G54" s="84">
        <f>D54/F54</f>
        <v>3.5615930515835183E-3</v>
      </c>
      <c r="H54" s="84" t="s">
        <v>455</v>
      </c>
      <c r="I54" s="10" t="s">
        <v>411</v>
      </c>
    </row>
    <row r="55" spans="1:9" x14ac:dyDescent="0.15">
      <c r="A55" s="15">
        <f>SUM(F53:F59)</f>
        <v>43.56</v>
      </c>
      <c r="B55" s="138">
        <v>41689</v>
      </c>
      <c r="C55" s="13" t="s">
        <v>49</v>
      </c>
      <c r="D55" s="54">
        <v>3.5254629629629629E-2</v>
      </c>
      <c r="E55" s="12">
        <v>156</v>
      </c>
      <c r="F55" s="83">
        <v>10.45</v>
      </c>
      <c r="G55" s="84">
        <f>D55/F55</f>
        <v>3.3736487683856107E-3</v>
      </c>
      <c r="H55" s="84" t="s">
        <v>466</v>
      </c>
      <c r="I55" s="10" t="s">
        <v>411</v>
      </c>
    </row>
    <row r="56" spans="1:9" x14ac:dyDescent="0.15">
      <c r="A56" s="2"/>
      <c r="B56" s="138">
        <v>41690</v>
      </c>
      <c r="C56" s="13" t="s">
        <v>14</v>
      </c>
      <c r="D56" s="54">
        <v>4.3854166666666666E-2</v>
      </c>
      <c r="E56" s="2">
        <v>151</v>
      </c>
      <c r="F56" s="83">
        <v>12.2</v>
      </c>
      <c r="G56" s="84">
        <f>D56/F56</f>
        <v>3.5946038251366123E-3</v>
      </c>
      <c r="H56" s="84" t="s">
        <v>466</v>
      </c>
      <c r="I56" s="10" t="s">
        <v>411</v>
      </c>
    </row>
    <row r="57" spans="1:9" x14ac:dyDescent="0.15">
      <c r="A57" s="2"/>
      <c r="B57" s="138">
        <v>41691</v>
      </c>
      <c r="C57" s="13"/>
      <c r="D57" s="54"/>
      <c r="E57" s="12"/>
      <c r="F57" s="83"/>
      <c r="G57" s="84"/>
      <c r="H57" s="84"/>
      <c r="I57" s="10" t="s">
        <v>411</v>
      </c>
    </row>
    <row r="58" spans="1:9" x14ac:dyDescent="0.15">
      <c r="A58" s="2"/>
      <c r="B58" s="138">
        <v>41692</v>
      </c>
      <c r="C58" s="13" t="s">
        <v>158</v>
      </c>
      <c r="D58" s="54">
        <v>3.2337962962962957E-2</v>
      </c>
      <c r="E58" s="12">
        <v>160</v>
      </c>
      <c r="F58" s="83">
        <v>10.42</v>
      </c>
      <c r="G58" s="84">
        <f>D58/F58</f>
        <v>3.103451340015639E-3</v>
      </c>
      <c r="H58" s="84" t="s">
        <v>466</v>
      </c>
      <c r="I58" s="10" t="s">
        <v>411</v>
      </c>
    </row>
    <row r="59" spans="1:9" x14ac:dyDescent="0.15">
      <c r="A59" s="2"/>
      <c r="B59" s="90">
        <v>41693</v>
      </c>
      <c r="C59" s="13"/>
      <c r="D59" s="54"/>
      <c r="E59" s="12"/>
      <c r="F59" s="83"/>
      <c r="G59" s="84"/>
      <c r="H59" s="84"/>
      <c r="I59" s="10" t="s">
        <v>411</v>
      </c>
    </row>
    <row r="60" spans="1:9" x14ac:dyDescent="0.15">
      <c r="A60" s="4">
        <f>A53+1</f>
        <v>9</v>
      </c>
      <c r="B60" s="137">
        <v>41694</v>
      </c>
      <c r="C60" s="8"/>
      <c r="D60" s="52"/>
      <c r="E60" s="7"/>
      <c r="F60" s="80"/>
      <c r="G60" s="81"/>
      <c r="H60" s="81"/>
      <c r="I60" s="10" t="s">
        <v>411</v>
      </c>
    </row>
    <row r="61" spans="1:9" x14ac:dyDescent="0.15">
      <c r="A61" s="11" t="s">
        <v>11</v>
      </c>
      <c r="B61" s="138">
        <v>41695</v>
      </c>
      <c r="C61" s="13" t="s">
        <v>14</v>
      </c>
      <c r="D61" s="54">
        <v>3.8229166666666668E-2</v>
      </c>
      <c r="E61" s="2">
        <v>146</v>
      </c>
      <c r="F61" s="83">
        <v>10.38</v>
      </c>
      <c r="G61" s="84">
        <f>D61/F61</f>
        <v>3.6829640333975594E-3</v>
      </c>
      <c r="H61" s="84" t="s">
        <v>453</v>
      </c>
      <c r="I61" s="10" t="s">
        <v>411</v>
      </c>
    </row>
    <row r="62" spans="1:9" x14ac:dyDescent="0.15">
      <c r="A62" s="15">
        <f>SUM(F60:F66)</f>
        <v>55.209999999999994</v>
      </c>
      <c r="B62" s="138">
        <v>41696</v>
      </c>
      <c r="C62" s="13"/>
      <c r="D62" s="54"/>
      <c r="E62" s="12"/>
      <c r="F62" s="83"/>
      <c r="G62" s="84"/>
      <c r="H62" s="84"/>
      <c r="I62" s="10" t="s">
        <v>411</v>
      </c>
    </row>
    <row r="63" spans="1:9" x14ac:dyDescent="0.15">
      <c r="A63" s="2"/>
      <c r="B63" s="138">
        <v>41697</v>
      </c>
      <c r="C63" s="13" t="s">
        <v>464</v>
      </c>
      <c r="D63" s="54">
        <v>4.1678240740740738E-2</v>
      </c>
      <c r="E63" s="2">
        <v>148</v>
      </c>
      <c r="F63" s="83">
        <v>11.41</v>
      </c>
      <c r="G63" s="84">
        <f>D63/F63</f>
        <v>3.6527818352971725E-3</v>
      </c>
      <c r="H63" s="84" t="s">
        <v>466</v>
      </c>
      <c r="I63" s="10" t="s">
        <v>411</v>
      </c>
    </row>
    <row r="64" spans="1:9" x14ac:dyDescent="0.15">
      <c r="A64" s="2"/>
      <c r="B64" s="138">
        <v>41698</v>
      </c>
      <c r="C64" s="13"/>
      <c r="D64" s="54"/>
      <c r="E64" s="12"/>
      <c r="F64" s="83"/>
      <c r="G64" s="84"/>
      <c r="H64" s="84"/>
      <c r="I64" s="10" t="s">
        <v>411</v>
      </c>
    </row>
    <row r="65" spans="1:9" x14ac:dyDescent="0.15">
      <c r="A65" s="2"/>
      <c r="B65" s="138">
        <v>41699</v>
      </c>
      <c r="C65" s="13" t="s">
        <v>14</v>
      </c>
      <c r="D65" s="54">
        <v>3.920138888888889E-2</v>
      </c>
      <c r="E65" s="12">
        <v>148</v>
      </c>
      <c r="F65" s="83">
        <v>11.19</v>
      </c>
      <c r="G65" s="84">
        <f>D65/F65</f>
        <v>3.5032519114288553E-3</v>
      </c>
      <c r="H65" s="84" t="s">
        <v>436</v>
      </c>
      <c r="I65" s="10" t="s">
        <v>411</v>
      </c>
    </row>
    <row r="66" spans="1:9" x14ac:dyDescent="0.15">
      <c r="A66" s="2"/>
      <c r="B66" s="90">
        <v>41700</v>
      </c>
      <c r="C66" s="13" t="s">
        <v>14</v>
      </c>
      <c r="D66" s="54">
        <v>8.1539351851851835E-2</v>
      </c>
      <c r="E66" s="12">
        <v>141</v>
      </c>
      <c r="F66" s="83">
        <v>22.23</v>
      </c>
      <c r="G66" s="84">
        <f>D66/F66</f>
        <v>3.6679870378700779E-3</v>
      </c>
      <c r="H66" s="84" t="s">
        <v>453</v>
      </c>
      <c r="I66" s="10" t="s">
        <v>411</v>
      </c>
    </row>
    <row r="67" spans="1:9" x14ac:dyDescent="0.15">
      <c r="A67" s="4">
        <f>A60+1</f>
        <v>10</v>
      </c>
      <c r="B67" s="137">
        <v>41701</v>
      </c>
      <c r="C67" s="8"/>
      <c r="D67" s="52"/>
      <c r="E67" s="7"/>
      <c r="F67" s="80"/>
      <c r="G67" s="81"/>
      <c r="H67" s="81"/>
      <c r="I67" s="10" t="s">
        <v>411</v>
      </c>
    </row>
    <row r="68" spans="1:9" x14ac:dyDescent="0.15">
      <c r="A68" s="11" t="s">
        <v>11</v>
      </c>
      <c r="B68" s="138">
        <v>41702</v>
      </c>
      <c r="C68" s="13" t="s">
        <v>447</v>
      </c>
      <c r="D68" s="54">
        <v>3.784722222222222E-2</v>
      </c>
      <c r="E68" s="2">
        <v>140</v>
      </c>
      <c r="F68" s="83">
        <v>10.45</v>
      </c>
      <c r="G68" s="84">
        <f>D68/F68</f>
        <v>3.6217437533227008E-3</v>
      </c>
      <c r="H68" s="84" t="s">
        <v>466</v>
      </c>
      <c r="I68" s="10" t="s">
        <v>411</v>
      </c>
    </row>
    <row r="69" spans="1:9" x14ac:dyDescent="0.15">
      <c r="A69" s="15">
        <f>SUM(F67:F73)</f>
        <v>43.18</v>
      </c>
      <c r="B69" s="138">
        <v>41703</v>
      </c>
      <c r="C69" s="13" t="s">
        <v>464</v>
      </c>
      <c r="D69" s="54">
        <v>3.9675925925925927E-2</v>
      </c>
      <c r="E69" s="12">
        <v>145</v>
      </c>
      <c r="F69" s="83">
        <v>11.02</v>
      </c>
      <c r="G69" s="84">
        <f>D69/F69</f>
        <v>3.6003562546212276E-3</v>
      </c>
      <c r="H69" s="84" t="s">
        <v>453</v>
      </c>
      <c r="I69" s="10" t="s">
        <v>411</v>
      </c>
    </row>
    <row r="70" spans="1:9" x14ac:dyDescent="0.15">
      <c r="A70" s="2"/>
      <c r="B70" s="138">
        <v>41704</v>
      </c>
      <c r="C70" s="13"/>
      <c r="D70" s="54"/>
      <c r="E70" s="2"/>
      <c r="F70" s="83"/>
      <c r="G70" s="84"/>
      <c r="H70" s="84"/>
      <c r="I70" s="10" t="s">
        <v>411</v>
      </c>
    </row>
    <row r="71" spans="1:9" x14ac:dyDescent="0.15">
      <c r="A71" s="2"/>
      <c r="B71" s="138">
        <v>41705</v>
      </c>
      <c r="C71" s="13" t="s">
        <v>158</v>
      </c>
      <c r="D71" s="54">
        <v>3.5000000000000003E-2</v>
      </c>
      <c r="E71" s="12">
        <v>148</v>
      </c>
      <c r="F71" s="83">
        <v>10.49</v>
      </c>
      <c r="G71" s="84">
        <f>D71/F71</f>
        <v>3.3365109628217351E-3</v>
      </c>
      <c r="H71" s="84" t="s">
        <v>455</v>
      </c>
      <c r="I71" s="10" t="s">
        <v>411</v>
      </c>
    </row>
    <row r="72" spans="1:9" x14ac:dyDescent="0.15">
      <c r="A72" s="2"/>
      <c r="B72" s="138">
        <v>41706</v>
      </c>
      <c r="C72" s="13"/>
      <c r="D72" s="54"/>
      <c r="E72" s="12"/>
      <c r="F72" s="83"/>
      <c r="G72" s="84"/>
      <c r="H72" s="84"/>
      <c r="I72" s="10" t="s">
        <v>411</v>
      </c>
    </row>
    <row r="73" spans="1:9" x14ac:dyDescent="0.15">
      <c r="A73" s="2"/>
      <c r="B73" s="90">
        <v>41707</v>
      </c>
      <c r="C73" s="13" t="s">
        <v>14</v>
      </c>
      <c r="D73" s="54">
        <v>3.9421296296296295E-2</v>
      </c>
      <c r="E73" s="12">
        <v>139</v>
      </c>
      <c r="F73" s="83">
        <v>11.22</v>
      </c>
      <c r="G73" s="84">
        <f>D73/F73</f>
        <v>3.513484518386479E-3</v>
      </c>
      <c r="H73" s="84" t="s">
        <v>466</v>
      </c>
      <c r="I73" s="10" t="s">
        <v>411</v>
      </c>
    </row>
    <row r="74" spans="1:9" x14ac:dyDescent="0.15">
      <c r="A74" s="4">
        <f>A67+1</f>
        <v>11</v>
      </c>
      <c r="B74" s="137">
        <v>41708</v>
      </c>
      <c r="C74" s="8"/>
      <c r="D74" s="52"/>
      <c r="E74" s="7"/>
      <c r="F74" s="80"/>
      <c r="G74" s="81"/>
      <c r="H74" s="81"/>
      <c r="I74" s="10" t="s">
        <v>411</v>
      </c>
    </row>
    <row r="75" spans="1:9" x14ac:dyDescent="0.15">
      <c r="A75" s="11" t="s">
        <v>11</v>
      </c>
      <c r="B75" s="138">
        <v>41709</v>
      </c>
      <c r="C75" s="13" t="s">
        <v>14</v>
      </c>
      <c r="D75" s="54">
        <v>3.9363425925925927E-2</v>
      </c>
      <c r="E75" s="2">
        <v>144</v>
      </c>
      <c r="F75" s="83">
        <v>11.21</v>
      </c>
      <c r="G75" s="84">
        <f>D75/F75</f>
        <v>3.5114563716258629E-3</v>
      </c>
      <c r="H75" s="84" t="s">
        <v>466</v>
      </c>
      <c r="I75" s="10" t="s">
        <v>411</v>
      </c>
    </row>
    <row r="76" spans="1:9" x14ac:dyDescent="0.15">
      <c r="A76" s="15">
        <f>SUM(F74:F80)</f>
        <v>63.4</v>
      </c>
      <c r="B76" s="138">
        <v>41710</v>
      </c>
      <c r="C76" s="13" t="s">
        <v>447</v>
      </c>
      <c r="D76" s="54">
        <v>3.6412037037037034E-2</v>
      </c>
      <c r="E76" s="12">
        <v>145</v>
      </c>
      <c r="F76" s="83">
        <v>10.47</v>
      </c>
      <c r="G76" s="84">
        <f>D76/F76</f>
        <v>3.4777494782270327E-3</v>
      </c>
      <c r="H76" s="84" t="s">
        <v>466</v>
      </c>
      <c r="I76" s="10" t="s">
        <v>411</v>
      </c>
    </row>
    <row r="77" spans="1:9" x14ac:dyDescent="0.15">
      <c r="A77" s="2"/>
      <c r="B77" s="138">
        <v>41711</v>
      </c>
      <c r="C77" s="13"/>
      <c r="D77" s="54"/>
      <c r="E77" s="2"/>
      <c r="F77" s="83"/>
      <c r="G77" s="84"/>
      <c r="H77" s="84"/>
      <c r="I77" s="10" t="s">
        <v>411</v>
      </c>
    </row>
    <row r="78" spans="1:9" x14ac:dyDescent="0.15">
      <c r="A78" s="2"/>
      <c r="B78" s="138">
        <v>41712</v>
      </c>
      <c r="C78" s="13" t="s">
        <v>464</v>
      </c>
      <c r="D78" s="54">
        <v>4.0567129629629634E-2</v>
      </c>
      <c r="E78" s="12" t="s">
        <v>437</v>
      </c>
      <c r="F78" s="83">
        <v>11.54</v>
      </c>
      <c r="G78" s="84">
        <f>D78/F78</f>
        <v>3.5153491880095004E-3</v>
      </c>
      <c r="H78" s="84" t="s">
        <v>466</v>
      </c>
      <c r="I78" s="10" t="s">
        <v>411</v>
      </c>
    </row>
    <row r="79" spans="1:9" x14ac:dyDescent="0.15">
      <c r="A79" s="2"/>
      <c r="B79" s="138">
        <v>41713</v>
      </c>
      <c r="C79" s="13"/>
      <c r="D79" s="54"/>
      <c r="E79" s="12"/>
      <c r="F79" s="83"/>
      <c r="G79" s="84"/>
      <c r="H79" s="84"/>
      <c r="I79" s="10" t="s">
        <v>411</v>
      </c>
    </row>
    <row r="80" spans="1:9" x14ac:dyDescent="0.15">
      <c r="A80" s="2"/>
      <c r="B80" s="90">
        <v>41714</v>
      </c>
      <c r="C80" s="13" t="s">
        <v>14</v>
      </c>
      <c r="D80" s="54">
        <v>0.11228009259259258</v>
      </c>
      <c r="E80" s="12">
        <v>142</v>
      </c>
      <c r="F80" s="83">
        <v>30.18</v>
      </c>
      <c r="G80" s="84">
        <f>D80/F80</f>
        <v>3.720347667083916E-3</v>
      </c>
      <c r="H80" s="84" t="s">
        <v>453</v>
      </c>
      <c r="I80" s="10" t="s">
        <v>411</v>
      </c>
    </row>
    <row r="81" spans="1:9" x14ac:dyDescent="0.15">
      <c r="A81" s="4">
        <f>A74+1</f>
        <v>12</v>
      </c>
      <c r="B81" s="137">
        <v>41715</v>
      </c>
      <c r="C81" s="8"/>
      <c r="D81" s="52"/>
      <c r="E81" s="7"/>
      <c r="F81" s="80"/>
      <c r="G81" s="81"/>
      <c r="H81" s="81"/>
      <c r="I81" s="10" t="s">
        <v>411</v>
      </c>
    </row>
    <row r="82" spans="1:9" x14ac:dyDescent="0.15">
      <c r="A82" s="11" t="s">
        <v>11</v>
      </c>
      <c r="B82" s="138">
        <v>41716</v>
      </c>
      <c r="C82" s="13" t="s">
        <v>14</v>
      </c>
      <c r="D82" s="54">
        <v>3.9675925925925927E-2</v>
      </c>
      <c r="E82" s="2">
        <v>134</v>
      </c>
      <c r="F82" s="83">
        <v>10.48</v>
      </c>
      <c r="G82" s="84">
        <f>D82/F82</f>
        <v>3.7858707944585807E-3</v>
      </c>
      <c r="H82" s="84" t="s">
        <v>455</v>
      </c>
      <c r="I82" s="10" t="s">
        <v>411</v>
      </c>
    </row>
    <row r="83" spans="1:9" x14ac:dyDescent="0.15">
      <c r="A83" s="15">
        <f>SUM(F81:F87)</f>
        <v>45.74</v>
      </c>
      <c r="B83" s="138">
        <v>41717</v>
      </c>
      <c r="C83" s="13"/>
      <c r="D83" s="54"/>
      <c r="E83" s="12"/>
      <c r="F83" s="83"/>
      <c r="G83" s="84"/>
      <c r="H83" s="84"/>
      <c r="I83" s="10" t="s">
        <v>411</v>
      </c>
    </row>
    <row r="84" spans="1:9" x14ac:dyDescent="0.15">
      <c r="A84" s="2"/>
      <c r="B84" s="138">
        <v>41718</v>
      </c>
      <c r="C84" s="13"/>
      <c r="D84" s="54"/>
      <c r="E84" s="2"/>
      <c r="F84" s="83"/>
      <c r="G84" s="84"/>
      <c r="H84" s="84"/>
      <c r="I84" s="10" t="s">
        <v>411</v>
      </c>
    </row>
    <row r="85" spans="1:9" x14ac:dyDescent="0.15">
      <c r="A85" s="2"/>
      <c r="B85" s="138">
        <v>41719</v>
      </c>
      <c r="C85" s="13" t="s">
        <v>464</v>
      </c>
      <c r="D85" s="54">
        <v>3.9930555555555552E-2</v>
      </c>
      <c r="E85" s="12">
        <v>144</v>
      </c>
      <c r="F85" s="83">
        <v>11.22</v>
      </c>
      <c r="G85" s="84">
        <f>D85/F85</f>
        <v>3.5588730441671614E-3</v>
      </c>
      <c r="H85" s="84" t="s">
        <v>466</v>
      </c>
      <c r="I85" s="10" t="s">
        <v>411</v>
      </c>
    </row>
    <row r="86" spans="1:9" x14ac:dyDescent="0.15">
      <c r="A86" s="2"/>
      <c r="B86" s="138">
        <v>41720</v>
      </c>
      <c r="C86" s="13"/>
      <c r="D86" s="54"/>
      <c r="E86" s="12"/>
      <c r="F86" s="83"/>
      <c r="G86" s="84"/>
      <c r="H86" s="84"/>
      <c r="I86" s="10" t="s">
        <v>411</v>
      </c>
    </row>
    <row r="87" spans="1:9" x14ac:dyDescent="0.15">
      <c r="A87" s="2"/>
      <c r="B87" s="90">
        <v>41721</v>
      </c>
      <c r="C87" s="13" t="s">
        <v>14</v>
      </c>
      <c r="D87" s="54">
        <v>8.666666666666667E-2</v>
      </c>
      <c r="E87" s="12">
        <v>143</v>
      </c>
      <c r="F87" s="83">
        <v>24.04</v>
      </c>
      <c r="G87" s="84">
        <f>D87/F87</f>
        <v>3.6051026067665005E-3</v>
      </c>
      <c r="H87" s="84" t="s">
        <v>466</v>
      </c>
      <c r="I87" s="10" t="s">
        <v>411</v>
      </c>
    </row>
    <row r="88" spans="1:9" x14ac:dyDescent="0.15">
      <c r="A88" s="4">
        <f>A81+1</f>
        <v>13</v>
      </c>
      <c r="B88" s="137">
        <v>41722</v>
      </c>
      <c r="C88" s="8"/>
      <c r="D88" s="52"/>
      <c r="E88" s="7"/>
      <c r="F88" s="80"/>
      <c r="G88" s="81"/>
      <c r="H88" s="81"/>
      <c r="I88" s="10" t="s">
        <v>411</v>
      </c>
    </row>
    <row r="89" spans="1:9" x14ac:dyDescent="0.15">
      <c r="A89" s="11" t="s">
        <v>11</v>
      </c>
      <c r="B89" s="138">
        <v>41723</v>
      </c>
      <c r="C89" s="13"/>
      <c r="D89" s="54"/>
      <c r="E89" s="12"/>
      <c r="F89" s="83"/>
      <c r="G89" s="84"/>
      <c r="H89" s="84"/>
      <c r="I89" s="10" t="s">
        <v>411</v>
      </c>
    </row>
    <row r="90" spans="1:9" x14ac:dyDescent="0.15">
      <c r="A90" s="15">
        <f>SUM(F88:F94)</f>
        <v>53.43</v>
      </c>
      <c r="B90" s="138">
        <v>41724</v>
      </c>
      <c r="C90" s="13" t="s">
        <v>464</v>
      </c>
      <c r="D90" s="54">
        <v>3.8240740740740742E-2</v>
      </c>
      <c r="E90" s="12">
        <v>141</v>
      </c>
      <c r="F90" s="83">
        <v>11.02</v>
      </c>
      <c r="G90" s="84">
        <f>D90/F90</f>
        <v>3.4701216643140422E-3</v>
      </c>
      <c r="H90" s="84" t="s">
        <v>466</v>
      </c>
      <c r="I90" s="10" t="s">
        <v>411</v>
      </c>
    </row>
    <row r="91" spans="1:9" x14ac:dyDescent="0.15">
      <c r="A91" s="2"/>
      <c r="B91" s="138">
        <v>41725</v>
      </c>
      <c r="C91" s="13" t="s">
        <v>447</v>
      </c>
      <c r="D91" s="54">
        <v>4.1238425925925928E-2</v>
      </c>
      <c r="E91" s="12">
        <v>150</v>
      </c>
      <c r="F91" s="83">
        <v>12.18</v>
      </c>
      <c r="G91" s="84">
        <f>D91/F91</f>
        <v>3.3857492550021288E-3</v>
      </c>
      <c r="H91" s="84" t="s">
        <v>466</v>
      </c>
      <c r="I91" s="10" t="s">
        <v>411</v>
      </c>
    </row>
    <row r="92" spans="1:9" x14ac:dyDescent="0.15">
      <c r="A92" s="2"/>
      <c r="B92" s="138">
        <v>41726</v>
      </c>
      <c r="C92" s="13"/>
      <c r="D92" s="54"/>
      <c r="E92" s="12"/>
      <c r="F92" s="83"/>
      <c r="G92" s="84"/>
      <c r="H92" s="84"/>
      <c r="I92" s="10" t="s">
        <v>411</v>
      </c>
    </row>
    <row r="93" spans="1:9" x14ac:dyDescent="0.15">
      <c r="A93" s="2"/>
      <c r="B93" s="138">
        <v>41727</v>
      </c>
      <c r="C93" s="13"/>
      <c r="D93" s="54"/>
      <c r="E93" s="12"/>
      <c r="F93" s="83"/>
      <c r="G93" s="84"/>
      <c r="H93" s="84"/>
      <c r="I93" s="10" t="s">
        <v>411</v>
      </c>
    </row>
    <row r="94" spans="1:9" x14ac:dyDescent="0.15">
      <c r="A94" s="2"/>
      <c r="B94" s="90">
        <v>41728</v>
      </c>
      <c r="C94" s="13" t="s">
        <v>14</v>
      </c>
      <c r="D94" s="54">
        <v>0.11390046296296297</v>
      </c>
      <c r="E94" s="12">
        <v>145</v>
      </c>
      <c r="F94" s="83">
        <v>30.23</v>
      </c>
      <c r="G94" s="84">
        <f>D94/F94</f>
        <v>3.7677956653312263E-3</v>
      </c>
      <c r="H94" s="84" t="s">
        <v>453</v>
      </c>
      <c r="I94" s="10" t="s">
        <v>411</v>
      </c>
    </row>
    <row r="95" spans="1:9" x14ac:dyDescent="0.15">
      <c r="A95" s="4">
        <f>A88+1</f>
        <v>14</v>
      </c>
      <c r="B95" s="137">
        <v>41729</v>
      </c>
      <c r="C95" s="8"/>
      <c r="D95" s="52"/>
      <c r="E95" s="7"/>
      <c r="F95" s="80"/>
      <c r="G95" s="81"/>
      <c r="H95" s="81"/>
      <c r="I95" s="10" t="s">
        <v>411</v>
      </c>
    </row>
    <row r="96" spans="1:9" x14ac:dyDescent="0.15">
      <c r="A96" s="11" t="s">
        <v>11</v>
      </c>
      <c r="B96" s="138">
        <v>41730</v>
      </c>
      <c r="C96" s="13" t="s">
        <v>14</v>
      </c>
      <c r="D96" s="54">
        <v>3.6516203703703703E-2</v>
      </c>
      <c r="E96" s="2">
        <v>141</v>
      </c>
      <c r="F96" s="83">
        <v>10.43</v>
      </c>
      <c r="G96" s="84">
        <f>D96/F96</f>
        <v>3.501074180604382E-3</v>
      </c>
      <c r="H96" s="84" t="s">
        <v>466</v>
      </c>
      <c r="I96" s="10" t="s">
        <v>411</v>
      </c>
    </row>
    <row r="97" spans="1:9" x14ac:dyDescent="0.15">
      <c r="A97" s="15">
        <f>SUM(F95:F101)</f>
        <v>52.43</v>
      </c>
      <c r="B97" s="138">
        <v>41731</v>
      </c>
      <c r="C97" s="13" t="s">
        <v>447</v>
      </c>
      <c r="D97" s="54">
        <v>3.6307870370370365E-2</v>
      </c>
      <c r="E97" s="12">
        <v>142</v>
      </c>
      <c r="F97" s="83">
        <v>10.44</v>
      </c>
      <c r="G97" s="84">
        <f>D97/F97</f>
        <v>3.4777653611465869E-3</v>
      </c>
      <c r="H97" s="84" t="s">
        <v>455</v>
      </c>
      <c r="I97" s="10" t="s">
        <v>411</v>
      </c>
    </row>
    <row r="98" spans="1:9" x14ac:dyDescent="0.15">
      <c r="A98" s="2"/>
      <c r="B98" s="138">
        <v>41732</v>
      </c>
      <c r="C98" s="13"/>
      <c r="D98" s="54"/>
      <c r="E98" s="2"/>
      <c r="F98" s="83"/>
      <c r="G98" s="84"/>
      <c r="H98" s="84"/>
      <c r="I98" s="10" t="s">
        <v>411</v>
      </c>
    </row>
    <row r="99" spans="1:9" x14ac:dyDescent="0.15">
      <c r="A99" s="2"/>
      <c r="B99" s="138">
        <v>41733</v>
      </c>
      <c r="C99" s="13" t="s">
        <v>14</v>
      </c>
      <c r="D99" s="54">
        <v>3.6377314814814814E-2</v>
      </c>
      <c r="E99" s="12" t="s">
        <v>437</v>
      </c>
      <c r="F99" s="83">
        <v>10.46</v>
      </c>
      <c r="G99" s="84">
        <f>D99/F99</f>
        <v>3.4777547624105939E-3</v>
      </c>
      <c r="H99" s="84" t="s">
        <v>466</v>
      </c>
      <c r="I99" s="10" t="s">
        <v>411</v>
      </c>
    </row>
    <row r="100" spans="1:9" x14ac:dyDescent="0.15">
      <c r="A100" s="2"/>
      <c r="B100" s="138">
        <v>41734</v>
      </c>
      <c r="C100" s="13"/>
      <c r="D100" s="54"/>
      <c r="E100" s="12"/>
      <c r="F100" s="83"/>
      <c r="G100" s="84"/>
      <c r="H100" s="84"/>
      <c r="I100" s="10" t="s">
        <v>411</v>
      </c>
    </row>
    <row r="101" spans="1:9" x14ac:dyDescent="0.15">
      <c r="A101" s="2"/>
      <c r="B101" s="90">
        <v>41735</v>
      </c>
      <c r="C101" s="13" t="s">
        <v>183</v>
      </c>
      <c r="D101" s="54">
        <v>6.2268518518518522E-2</v>
      </c>
      <c r="E101" s="12">
        <v>166</v>
      </c>
      <c r="F101" s="83">
        <v>21.1</v>
      </c>
      <c r="G101" s="84">
        <f>D101/F101</f>
        <v>2.9511146217307354E-3</v>
      </c>
      <c r="H101" s="84" t="s">
        <v>466</v>
      </c>
      <c r="I101" s="10" t="s">
        <v>411</v>
      </c>
    </row>
    <row r="102" spans="1:9" x14ac:dyDescent="0.15">
      <c r="A102" s="4">
        <f>A95+1</f>
        <v>15</v>
      </c>
      <c r="B102" s="137">
        <v>41736</v>
      </c>
      <c r="C102" s="8"/>
      <c r="D102" s="52"/>
      <c r="E102" s="7"/>
      <c r="F102" s="80"/>
      <c r="G102" s="81"/>
      <c r="H102" s="81"/>
      <c r="I102" s="10" t="s">
        <v>411</v>
      </c>
    </row>
    <row r="103" spans="1:9" x14ac:dyDescent="0.15">
      <c r="A103" s="11" t="s">
        <v>11</v>
      </c>
      <c r="B103" s="138">
        <v>41737</v>
      </c>
      <c r="C103" s="13" t="s">
        <v>14</v>
      </c>
      <c r="D103" s="54">
        <v>3.4953703703703702E-2</v>
      </c>
      <c r="E103" s="2">
        <v>143</v>
      </c>
      <c r="F103" s="83">
        <v>10.3</v>
      </c>
      <c r="G103" s="84">
        <f>D103/F103</f>
        <v>3.3935634663790001E-3</v>
      </c>
      <c r="H103" s="84" t="s">
        <v>466</v>
      </c>
      <c r="I103" s="10" t="s">
        <v>411</v>
      </c>
    </row>
    <row r="104" spans="1:9" x14ac:dyDescent="0.15">
      <c r="A104" s="15">
        <f>SUM(F102:F108)</f>
        <v>50.68</v>
      </c>
      <c r="B104" s="138">
        <v>41738</v>
      </c>
      <c r="C104" s="13"/>
      <c r="D104" s="54"/>
      <c r="E104" s="12"/>
      <c r="F104" s="83"/>
      <c r="G104" s="84"/>
      <c r="H104" s="84"/>
      <c r="I104" s="10" t="s">
        <v>411</v>
      </c>
    </row>
    <row r="105" spans="1:9" x14ac:dyDescent="0.15">
      <c r="A105" s="2"/>
      <c r="B105" s="138">
        <v>41739</v>
      </c>
      <c r="C105" s="13" t="s">
        <v>14</v>
      </c>
      <c r="D105" s="54">
        <v>3.7824074074074072E-2</v>
      </c>
      <c r="E105" s="2">
        <v>141</v>
      </c>
      <c r="F105" s="83">
        <v>10</v>
      </c>
      <c r="G105" s="84">
        <f>D105/F105</f>
        <v>3.7824074074074071E-3</v>
      </c>
      <c r="H105" s="84" t="s">
        <v>466</v>
      </c>
      <c r="I105" s="10" t="s">
        <v>411</v>
      </c>
    </row>
    <row r="106" spans="1:9" x14ac:dyDescent="0.15">
      <c r="A106" s="2"/>
      <c r="B106" s="138">
        <v>41740</v>
      </c>
      <c r="C106" s="13"/>
      <c r="D106" s="54"/>
      <c r="E106" s="12"/>
      <c r="F106" s="83"/>
      <c r="G106" s="84"/>
      <c r="H106" s="84"/>
      <c r="I106" s="10" t="s">
        <v>411</v>
      </c>
    </row>
    <row r="107" spans="1:9" x14ac:dyDescent="0.15">
      <c r="A107" s="2"/>
      <c r="B107" s="138">
        <v>41741</v>
      </c>
      <c r="C107" s="13"/>
      <c r="D107" s="54"/>
      <c r="E107" s="12"/>
      <c r="F107" s="83"/>
      <c r="G107" s="84"/>
      <c r="H107" s="84"/>
      <c r="I107" s="10" t="s">
        <v>411</v>
      </c>
    </row>
    <row r="108" spans="1:9" x14ac:dyDescent="0.15">
      <c r="A108" s="2"/>
      <c r="B108" s="90">
        <v>41742</v>
      </c>
      <c r="C108" s="13" t="s">
        <v>14</v>
      </c>
      <c r="D108" s="54">
        <v>0.11261574074074072</v>
      </c>
      <c r="E108" s="12">
        <v>151</v>
      </c>
      <c r="F108" s="83">
        <v>30.38</v>
      </c>
      <c r="G108" s="84">
        <f>D108/F108</f>
        <v>3.7069039085168114E-3</v>
      </c>
      <c r="H108" s="84" t="s">
        <v>453</v>
      </c>
      <c r="I108" s="10" t="s">
        <v>411</v>
      </c>
    </row>
    <row r="109" spans="1:9" x14ac:dyDescent="0.15">
      <c r="A109" s="4">
        <f>A102+1</f>
        <v>16</v>
      </c>
      <c r="B109" s="137">
        <v>41743</v>
      </c>
      <c r="C109" s="8"/>
      <c r="D109" s="52"/>
      <c r="E109" s="7"/>
      <c r="F109" s="80"/>
      <c r="G109" s="81"/>
      <c r="H109" s="81"/>
      <c r="I109" s="10" t="s">
        <v>411</v>
      </c>
    </row>
    <row r="110" spans="1:9" x14ac:dyDescent="0.15">
      <c r="A110" s="11" t="s">
        <v>11</v>
      </c>
      <c r="B110" s="138">
        <v>41744</v>
      </c>
      <c r="C110" s="13"/>
      <c r="D110" s="54"/>
      <c r="E110" s="2"/>
      <c r="F110" s="83"/>
      <c r="G110" s="84"/>
      <c r="H110" s="84"/>
      <c r="I110" s="10" t="s">
        <v>411</v>
      </c>
    </row>
    <row r="111" spans="1:9" x14ac:dyDescent="0.15">
      <c r="A111" s="15">
        <f>SUM(F109:F115)</f>
        <v>22.02</v>
      </c>
      <c r="B111" s="138">
        <v>41745</v>
      </c>
      <c r="C111" s="13"/>
      <c r="D111" s="54"/>
      <c r="E111" s="12"/>
      <c r="F111" s="83"/>
      <c r="G111" s="84"/>
      <c r="H111" s="84"/>
      <c r="I111" s="10" t="s">
        <v>411</v>
      </c>
    </row>
    <row r="112" spans="1:9" x14ac:dyDescent="0.15">
      <c r="A112" s="2"/>
      <c r="B112" s="138">
        <v>41746</v>
      </c>
      <c r="C112" s="13" t="s">
        <v>447</v>
      </c>
      <c r="D112" s="54">
        <v>4.0856481481481487E-2</v>
      </c>
      <c r="E112" s="2">
        <v>150</v>
      </c>
      <c r="F112" s="83">
        <v>12.08</v>
      </c>
      <c r="G112" s="84">
        <f>D112/F112</f>
        <v>3.3821590630365469E-3</v>
      </c>
      <c r="H112" s="84" t="s">
        <v>466</v>
      </c>
      <c r="I112" s="10" t="s">
        <v>411</v>
      </c>
    </row>
    <row r="113" spans="1:9" x14ac:dyDescent="0.15">
      <c r="A113" s="2"/>
      <c r="B113" s="138">
        <v>41747</v>
      </c>
      <c r="C113" s="13"/>
      <c r="D113" s="54"/>
      <c r="E113" s="12"/>
      <c r="F113" s="83"/>
      <c r="G113" s="84"/>
      <c r="H113" s="84"/>
      <c r="I113" s="10" t="s">
        <v>411</v>
      </c>
    </row>
    <row r="114" spans="1:9" x14ac:dyDescent="0.15">
      <c r="A114" s="2"/>
      <c r="B114" s="138">
        <v>41748</v>
      </c>
      <c r="C114" s="13"/>
      <c r="D114" s="54"/>
      <c r="E114" s="12"/>
      <c r="F114" s="83"/>
      <c r="G114" s="84"/>
      <c r="H114" s="84"/>
      <c r="I114" s="10" t="s">
        <v>411</v>
      </c>
    </row>
    <row r="115" spans="1:9" x14ac:dyDescent="0.15">
      <c r="A115" s="2"/>
      <c r="B115" s="90">
        <v>41749</v>
      </c>
      <c r="C115" s="13" t="s">
        <v>14</v>
      </c>
      <c r="D115" s="54">
        <v>3.412037037037037E-2</v>
      </c>
      <c r="E115" s="12" t="s">
        <v>437</v>
      </c>
      <c r="F115" s="83">
        <v>9.94</v>
      </c>
      <c r="G115" s="84">
        <f>D115/F115</f>
        <v>3.432632834041285E-3</v>
      </c>
      <c r="H115" s="84" t="s">
        <v>466</v>
      </c>
      <c r="I115" s="10" t="s">
        <v>411</v>
      </c>
    </row>
    <row r="116" spans="1:9" x14ac:dyDescent="0.15">
      <c r="A116" s="4">
        <f>A109+1</f>
        <v>17</v>
      </c>
      <c r="B116" s="137">
        <v>41750</v>
      </c>
      <c r="C116" s="8" t="s">
        <v>447</v>
      </c>
      <c r="D116" s="52">
        <v>3.6064814814814813E-2</v>
      </c>
      <c r="E116" s="7">
        <v>153</v>
      </c>
      <c r="F116" s="80">
        <v>10.42</v>
      </c>
      <c r="G116" s="81">
        <f>D116/F116</f>
        <v>3.4611146655292527E-3</v>
      </c>
      <c r="H116" s="81" t="s">
        <v>466</v>
      </c>
      <c r="I116" s="10" t="s">
        <v>411</v>
      </c>
    </row>
    <row r="117" spans="1:9" x14ac:dyDescent="0.15">
      <c r="A117" s="11" t="s">
        <v>11</v>
      </c>
      <c r="B117" s="138">
        <v>41751</v>
      </c>
      <c r="C117" s="13"/>
      <c r="D117" s="54"/>
      <c r="E117" s="2"/>
      <c r="F117" s="83"/>
      <c r="G117" s="84"/>
      <c r="H117" s="84"/>
      <c r="I117" s="10" t="s">
        <v>411</v>
      </c>
    </row>
    <row r="118" spans="1:9" x14ac:dyDescent="0.15">
      <c r="A118" s="15">
        <f>SUM(F116:F122)</f>
        <v>59.26</v>
      </c>
      <c r="B118" s="138">
        <v>41752</v>
      </c>
      <c r="C118" s="13" t="s">
        <v>14</v>
      </c>
      <c r="D118" s="54">
        <v>0.1077199074074074</v>
      </c>
      <c r="E118" s="12">
        <v>153</v>
      </c>
      <c r="F118" s="83">
        <v>28.09</v>
      </c>
      <c r="G118" s="84">
        <f>D118/F118</f>
        <v>3.8348133644502459E-3</v>
      </c>
      <c r="H118" s="84" t="s">
        <v>453</v>
      </c>
      <c r="I118" s="10" t="s">
        <v>411</v>
      </c>
    </row>
    <row r="119" spans="1:9" x14ac:dyDescent="0.15">
      <c r="A119" s="2"/>
      <c r="B119" s="138">
        <v>41753</v>
      </c>
      <c r="C119" s="13"/>
      <c r="D119" s="54"/>
      <c r="E119" s="2"/>
      <c r="F119" s="83"/>
      <c r="G119" s="84"/>
      <c r="H119" s="84"/>
      <c r="I119" s="10" t="s">
        <v>411</v>
      </c>
    </row>
    <row r="120" spans="1:9" x14ac:dyDescent="0.15">
      <c r="A120" s="2"/>
      <c r="B120" s="138">
        <v>41754</v>
      </c>
      <c r="C120" s="13" t="s">
        <v>14</v>
      </c>
      <c r="D120" s="54">
        <v>3.9791666666666663E-2</v>
      </c>
      <c r="E120" s="12">
        <v>146</v>
      </c>
      <c r="F120" s="83">
        <v>10.38</v>
      </c>
      <c r="G120" s="84">
        <f>D120/F120</f>
        <v>3.8334938985227994E-3</v>
      </c>
      <c r="H120" s="84" t="s">
        <v>455</v>
      </c>
      <c r="I120" s="10" t="s">
        <v>411</v>
      </c>
    </row>
    <row r="121" spans="1:9" x14ac:dyDescent="0.15">
      <c r="A121" s="2"/>
      <c r="B121" s="138">
        <v>41755</v>
      </c>
      <c r="C121" s="13" t="s">
        <v>49</v>
      </c>
      <c r="D121" s="54">
        <v>3.7858796296296293E-2</v>
      </c>
      <c r="E121" s="12">
        <v>141</v>
      </c>
      <c r="F121" s="83">
        <v>10.37</v>
      </c>
      <c r="G121" s="84">
        <f>D121/F121</f>
        <v>3.6508000285724491E-3</v>
      </c>
      <c r="H121" s="84" t="s">
        <v>466</v>
      </c>
      <c r="I121" s="10" t="s">
        <v>411</v>
      </c>
    </row>
    <row r="122" spans="1:9" x14ac:dyDescent="0.15">
      <c r="A122" s="2"/>
      <c r="B122" s="90">
        <v>41756</v>
      </c>
      <c r="C122" s="13"/>
      <c r="D122" s="54"/>
      <c r="E122" s="12"/>
      <c r="F122" s="83"/>
      <c r="G122" s="84"/>
      <c r="H122" s="84"/>
      <c r="I122" s="10" t="s">
        <v>411</v>
      </c>
    </row>
    <row r="123" spans="1:9" x14ac:dyDescent="0.15">
      <c r="A123" s="4">
        <f>A116+1</f>
        <v>18</v>
      </c>
      <c r="B123" s="137">
        <v>41757</v>
      </c>
      <c r="C123" s="8"/>
      <c r="D123" s="52"/>
      <c r="E123" s="7"/>
      <c r="F123" s="80"/>
      <c r="G123" s="81"/>
      <c r="H123" s="81"/>
      <c r="I123" s="10" t="s">
        <v>411</v>
      </c>
    </row>
    <row r="124" spans="1:9" x14ac:dyDescent="0.15">
      <c r="A124" s="11" t="s">
        <v>11</v>
      </c>
      <c r="B124" s="138">
        <v>41758</v>
      </c>
      <c r="C124" s="13"/>
      <c r="D124" s="54"/>
      <c r="E124" s="2"/>
      <c r="F124" s="83"/>
      <c r="G124" s="84"/>
      <c r="H124" s="84"/>
      <c r="I124" s="10" t="s">
        <v>411</v>
      </c>
    </row>
    <row r="125" spans="1:9" x14ac:dyDescent="0.15">
      <c r="A125" s="15">
        <f>SUM(F123:F129)</f>
        <v>52.495000000000005</v>
      </c>
      <c r="B125" s="138">
        <v>41759</v>
      </c>
      <c r="C125" s="13" t="s">
        <v>14</v>
      </c>
      <c r="D125" s="54">
        <v>3.5671296296296298E-2</v>
      </c>
      <c r="E125" s="12">
        <v>147</v>
      </c>
      <c r="F125" s="83">
        <v>10.3</v>
      </c>
      <c r="G125" s="84">
        <f>D125/F125</f>
        <v>3.4632326501258539E-3</v>
      </c>
      <c r="H125" s="84" t="s">
        <v>466</v>
      </c>
      <c r="I125" s="10" t="s">
        <v>411</v>
      </c>
    </row>
    <row r="126" spans="1:9" x14ac:dyDescent="0.15">
      <c r="A126" s="2"/>
      <c r="B126" s="138">
        <v>41760</v>
      </c>
      <c r="C126" s="13"/>
      <c r="D126" s="54"/>
      <c r="E126" s="2"/>
      <c r="F126" s="83"/>
      <c r="G126" s="84"/>
      <c r="H126" s="84"/>
      <c r="I126" s="10" t="s">
        <v>411</v>
      </c>
    </row>
    <row r="127" spans="1:9" x14ac:dyDescent="0.15">
      <c r="A127" s="2"/>
      <c r="B127" s="138">
        <v>41761</v>
      </c>
      <c r="C127" s="13"/>
      <c r="D127" s="54"/>
      <c r="E127" s="12"/>
      <c r="F127" s="83"/>
      <c r="G127" s="84"/>
      <c r="H127" s="84"/>
      <c r="I127" s="10" t="s">
        <v>411</v>
      </c>
    </row>
    <row r="128" spans="1:9" x14ac:dyDescent="0.15">
      <c r="A128" s="2"/>
      <c r="B128" s="138">
        <v>41762</v>
      </c>
      <c r="C128" s="13"/>
      <c r="D128" s="54"/>
      <c r="E128" s="12"/>
      <c r="F128" s="83"/>
      <c r="G128" s="84"/>
      <c r="H128" s="84"/>
      <c r="I128" s="10" t="s">
        <v>411</v>
      </c>
    </row>
    <row r="129" spans="1:9" x14ac:dyDescent="0.15">
      <c r="A129" s="2"/>
      <c r="B129" s="90">
        <v>41763</v>
      </c>
      <c r="C129" s="141" t="s">
        <v>424</v>
      </c>
      <c r="D129" s="142">
        <v>0.14460648148148147</v>
      </c>
      <c r="E129" s="143">
        <v>156</v>
      </c>
      <c r="F129" s="144">
        <v>42.195</v>
      </c>
      <c r="G129" s="145">
        <f>D129/F129</f>
        <v>3.4270999284626491E-3</v>
      </c>
      <c r="H129" s="145" t="s">
        <v>453</v>
      </c>
      <c r="I129" s="10" t="s">
        <v>411</v>
      </c>
    </row>
    <row r="130" spans="1:9" x14ac:dyDescent="0.15">
      <c r="A130" s="4">
        <f>A123+1</f>
        <v>19</v>
      </c>
      <c r="B130" s="137">
        <v>41764</v>
      </c>
      <c r="C130" s="8"/>
      <c r="D130" s="52"/>
      <c r="E130" s="7"/>
      <c r="F130" s="80"/>
      <c r="G130" s="81"/>
      <c r="H130" s="81"/>
      <c r="I130" s="10" t="s">
        <v>411</v>
      </c>
    </row>
    <row r="131" spans="1:9" x14ac:dyDescent="0.15">
      <c r="A131" s="11" t="s">
        <v>11</v>
      </c>
      <c r="B131" s="138">
        <v>41765</v>
      </c>
      <c r="C131" s="13"/>
      <c r="D131" s="54"/>
      <c r="E131" s="2"/>
      <c r="F131" s="83"/>
      <c r="G131" s="84"/>
      <c r="H131" s="84"/>
      <c r="I131" s="10" t="s">
        <v>411</v>
      </c>
    </row>
    <row r="132" spans="1:9" x14ac:dyDescent="0.15">
      <c r="A132" s="15">
        <f>SUM(F130:F136)</f>
        <v>0</v>
      </c>
      <c r="B132" s="138">
        <v>41766</v>
      </c>
      <c r="C132" s="13"/>
      <c r="D132" s="54"/>
      <c r="E132" s="12"/>
      <c r="F132" s="83"/>
      <c r="G132" s="84"/>
      <c r="H132" s="84"/>
      <c r="I132" s="10" t="s">
        <v>411</v>
      </c>
    </row>
    <row r="133" spans="1:9" x14ac:dyDescent="0.15">
      <c r="A133" s="2"/>
      <c r="B133" s="138">
        <v>41767</v>
      </c>
      <c r="C133" s="13"/>
      <c r="D133" s="54"/>
      <c r="E133" s="2"/>
      <c r="F133" s="83"/>
      <c r="G133" s="84"/>
      <c r="H133" s="84"/>
      <c r="I133" s="10" t="s">
        <v>411</v>
      </c>
    </row>
    <row r="134" spans="1:9" x14ac:dyDescent="0.15">
      <c r="A134" s="2"/>
      <c r="B134" s="138">
        <v>41768</v>
      </c>
      <c r="C134" s="13"/>
      <c r="D134" s="54"/>
      <c r="E134" s="12"/>
      <c r="F134" s="83"/>
      <c r="G134" s="84"/>
      <c r="H134" s="84"/>
      <c r="I134" s="10" t="s">
        <v>411</v>
      </c>
    </row>
    <row r="135" spans="1:9" x14ac:dyDescent="0.15">
      <c r="A135" s="2"/>
      <c r="B135" s="138">
        <v>41769</v>
      </c>
      <c r="C135" s="13"/>
      <c r="D135" s="54"/>
      <c r="E135" s="12"/>
      <c r="F135" s="83"/>
      <c r="G135" s="84"/>
      <c r="H135" s="84"/>
      <c r="I135" s="10" t="s">
        <v>411</v>
      </c>
    </row>
    <row r="136" spans="1:9" x14ac:dyDescent="0.15">
      <c r="A136" s="2"/>
      <c r="B136" s="90">
        <v>41770</v>
      </c>
      <c r="C136" s="13"/>
      <c r="D136" s="54"/>
      <c r="E136" s="12"/>
      <c r="F136" s="83"/>
      <c r="G136" s="84"/>
      <c r="H136" s="84"/>
      <c r="I136" s="10" t="s">
        <v>411</v>
      </c>
    </row>
    <row r="137" spans="1:9" x14ac:dyDescent="0.15">
      <c r="A137" s="4">
        <f>A130+1</f>
        <v>20</v>
      </c>
      <c r="B137" s="137">
        <v>41771</v>
      </c>
      <c r="C137" s="8"/>
      <c r="D137" s="52"/>
      <c r="E137" s="7"/>
      <c r="F137" s="80"/>
      <c r="G137" s="81"/>
      <c r="H137" s="81"/>
      <c r="I137" s="10" t="s">
        <v>411</v>
      </c>
    </row>
    <row r="138" spans="1:9" x14ac:dyDescent="0.15">
      <c r="A138" s="11" t="s">
        <v>11</v>
      </c>
      <c r="B138" s="138">
        <v>41772</v>
      </c>
      <c r="C138" s="13"/>
      <c r="D138" s="54"/>
      <c r="E138" s="2"/>
      <c r="F138" s="83"/>
      <c r="G138" s="84"/>
      <c r="H138" s="84"/>
      <c r="I138" s="10" t="s">
        <v>411</v>
      </c>
    </row>
    <row r="139" spans="1:9" x14ac:dyDescent="0.15">
      <c r="A139" s="15">
        <f>SUM(F137:F143)</f>
        <v>20.84</v>
      </c>
      <c r="B139" s="138">
        <v>41773</v>
      </c>
      <c r="C139" s="13" t="s">
        <v>14</v>
      </c>
      <c r="D139" s="54">
        <v>3.6296296296296292E-2</v>
      </c>
      <c r="E139" s="12" t="s">
        <v>437</v>
      </c>
      <c r="F139" s="83">
        <v>10.4</v>
      </c>
      <c r="G139" s="84">
        <f>D139/F139</f>
        <v>3.4900284900284896E-3</v>
      </c>
      <c r="H139" s="84" t="s">
        <v>466</v>
      </c>
      <c r="I139" s="10" t="s">
        <v>411</v>
      </c>
    </row>
    <row r="140" spans="1:9" x14ac:dyDescent="0.15">
      <c r="A140" s="2"/>
      <c r="B140" s="138">
        <v>41774</v>
      </c>
      <c r="C140" s="13"/>
      <c r="D140" s="54"/>
      <c r="E140" s="2"/>
      <c r="F140" s="83"/>
      <c r="G140" s="84"/>
      <c r="H140" s="84"/>
      <c r="I140" s="10" t="s">
        <v>411</v>
      </c>
    </row>
    <row r="141" spans="1:9" x14ac:dyDescent="0.15">
      <c r="A141" s="2"/>
      <c r="B141" s="138">
        <v>41775</v>
      </c>
      <c r="C141" s="13"/>
      <c r="D141" s="54"/>
      <c r="E141" s="12"/>
      <c r="F141" s="83"/>
      <c r="G141" s="84"/>
      <c r="H141" s="84"/>
      <c r="I141" s="10" t="s">
        <v>411</v>
      </c>
    </row>
    <row r="142" spans="1:9" x14ac:dyDescent="0.15">
      <c r="A142" s="2"/>
      <c r="B142" s="138">
        <v>41776</v>
      </c>
      <c r="C142" s="13"/>
      <c r="D142" s="54"/>
      <c r="E142" s="12"/>
      <c r="F142" s="83"/>
      <c r="G142" s="84"/>
      <c r="H142" s="84"/>
      <c r="I142" s="10" t="s">
        <v>411</v>
      </c>
    </row>
    <row r="143" spans="1:9" x14ac:dyDescent="0.15">
      <c r="A143" s="2"/>
      <c r="B143" s="90">
        <v>41777</v>
      </c>
      <c r="C143" s="13" t="s">
        <v>14</v>
      </c>
      <c r="D143" s="54">
        <v>3.6006944444444446E-2</v>
      </c>
      <c r="E143" s="12">
        <v>146</v>
      </c>
      <c r="F143" s="83">
        <v>10.44</v>
      </c>
      <c r="G143" s="84">
        <f>D143/F143</f>
        <v>3.4489410387398894E-3</v>
      </c>
      <c r="H143" s="84" t="s">
        <v>455</v>
      </c>
      <c r="I143" s="10" t="s">
        <v>411</v>
      </c>
    </row>
    <row r="144" spans="1:9" x14ac:dyDescent="0.15">
      <c r="A144" s="4">
        <f>A137+1</f>
        <v>21</v>
      </c>
      <c r="B144" s="137">
        <v>41778</v>
      </c>
      <c r="C144" s="8"/>
      <c r="D144" s="52"/>
      <c r="E144" s="7"/>
      <c r="F144" s="80"/>
      <c r="G144" s="81"/>
      <c r="H144" s="81"/>
      <c r="I144" s="10" t="s">
        <v>411</v>
      </c>
    </row>
    <row r="145" spans="1:9" x14ac:dyDescent="0.15">
      <c r="A145" s="11" t="s">
        <v>11</v>
      </c>
      <c r="B145" s="138">
        <v>41779</v>
      </c>
      <c r="C145" s="13" t="s">
        <v>14</v>
      </c>
      <c r="D145" s="54">
        <v>3.5729166666666666E-2</v>
      </c>
      <c r="E145" s="2">
        <v>151</v>
      </c>
      <c r="F145" s="83">
        <v>10.26</v>
      </c>
      <c r="G145" s="84">
        <f>D145/F145</f>
        <v>3.4823749187784274E-3</v>
      </c>
      <c r="H145" s="84" t="s">
        <v>455</v>
      </c>
      <c r="I145" s="10" t="s">
        <v>411</v>
      </c>
    </row>
    <row r="146" spans="1:9" x14ac:dyDescent="0.15">
      <c r="A146" s="15">
        <f>SUM(F144:F150)</f>
        <v>20.54</v>
      </c>
      <c r="B146" s="138">
        <v>41780</v>
      </c>
      <c r="C146" s="13"/>
      <c r="D146" s="54"/>
      <c r="E146" s="12"/>
      <c r="F146" s="83"/>
      <c r="G146" s="84"/>
      <c r="H146" s="84"/>
      <c r="I146" s="10" t="s">
        <v>411</v>
      </c>
    </row>
    <row r="147" spans="1:9" x14ac:dyDescent="0.15">
      <c r="A147" s="2"/>
      <c r="B147" s="138">
        <v>41781</v>
      </c>
      <c r="C147" s="13"/>
      <c r="D147" s="54"/>
      <c r="E147" s="2"/>
      <c r="F147" s="83"/>
      <c r="G147" s="84"/>
      <c r="H147" s="84"/>
      <c r="I147" s="10" t="s">
        <v>411</v>
      </c>
    </row>
    <row r="148" spans="1:9" x14ac:dyDescent="0.15">
      <c r="A148" s="2"/>
      <c r="B148" s="138">
        <v>41782</v>
      </c>
      <c r="C148" s="13" t="s">
        <v>49</v>
      </c>
      <c r="D148" s="54">
        <v>3.3009259259259259E-2</v>
      </c>
      <c r="E148" s="12">
        <v>154</v>
      </c>
      <c r="F148" s="83">
        <v>10.28</v>
      </c>
      <c r="G148" s="84">
        <f>D148/F148</f>
        <v>3.2110174376711342E-3</v>
      </c>
      <c r="H148" s="84" t="s">
        <v>466</v>
      </c>
      <c r="I148" s="10" t="s">
        <v>411</v>
      </c>
    </row>
    <row r="149" spans="1:9" x14ac:dyDescent="0.15">
      <c r="A149" s="2"/>
      <c r="B149" s="138">
        <v>41783</v>
      </c>
      <c r="C149" s="13"/>
      <c r="D149" s="54"/>
      <c r="E149" s="12"/>
      <c r="F149" s="83"/>
      <c r="G149" s="84"/>
      <c r="H149" s="84"/>
      <c r="I149" s="10" t="s">
        <v>411</v>
      </c>
    </row>
    <row r="150" spans="1:9" x14ac:dyDescent="0.15">
      <c r="A150" s="2"/>
      <c r="B150" s="90">
        <v>41784</v>
      </c>
      <c r="C150" s="13"/>
      <c r="D150" s="54"/>
      <c r="E150" s="12"/>
      <c r="F150" s="83"/>
      <c r="G150" s="84"/>
      <c r="H150" s="84"/>
      <c r="I150" s="10" t="s">
        <v>411</v>
      </c>
    </row>
    <row r="151" spans="1:9" x14ac:dyDescent="0.15">
      <c r="A151" s="4">
        <f>A144+1</f>
        <v>22</v>
      </c>
      <c r="B151" s="137">
        <v>41785</v>
      </c>
      <c r="C151" s="8"/>
      <c r="D151" s="52"/>
      <c r="E151" s="7"/>
      <c r="F151" s="80"/>
      <c r="G151" s="81"/>
      <c r="H151" s="81"/>
      <c r="I151" s="10" t="s">
        <v>411</v>
      </c>
    </row>
    <row r="152" spans="1:9" x14ac:dyDescent="0.15">
      <c r="A152" s="11" t="s">
        <v>11</v>
      </c>
      <c r="B152" s="138">
        <v>41786</v>
      </c>
      <c r="C152" s="13"/>
      <c r="D152" s="54"/>
      <c r="E152" s="2"/>
      <c r="F152" s="83"/>
      <c r="G152" s="84"/>
      <c r="H152" s="84"/>
      <c r="I152" s="10" t="s">
        <v>411</v>
      </c>
    </row>
    <row r="153" spans="1:9" x14ac:dyDescent="0.15">
      <c r="A153" s="15">
        <f>SUM(F151:F157)</f>
        <v>20.02</v>
      </c>
      <c r="B153" s="138">
        <v>41787</v>
      </c>
      <c r="C153" s="13" t="s">
        <v>14</v>
      </c>
      <c r="D153" s="54">
        <v>3.7974537037037036E-2</v>
      </c>
      <c r="E153" s="12">
        <v>140</v>
      </c>
      <c r="F153" s="83">
        <v>10.43</v>
      </c>
      <c r="G153" s="84">
        <f>D153/F153</f>
        <v>3.640895209687156E-3</v>
      </c>
      <c r="H153" s="84" t="s">
        <v>466</v>
      </c>
      <c r="I153" s="10" t="s">
        <v>411</v>
      </c>
    </row>
    <row r="154" spans="1:9" x14ac:dyDescent="0.15">
      <c r="A154" s="2"/>
      <c r="B154" s="138">
        <v>41788</v>
      </c>
      <c r="C154" s="13"/>
      <c r="D154" s="54"/>
      <c r="E154" s="2"/>
      <c r="F154" s="83"/>
      <c r="G154" s="84"/>
      <c r="H154" s="84"/>
      <c r="I154" s="10" t="s">
        <v>411</v>
      </c>
    </row>
    <row r="155" spans="1:9" x14ac:dyDescent="0.15">
      <c r="A155" s="2"/>
      <c r="B155" s="138">
        <v>41789</v>
      </c>
      <c r="C155" s="13" t="s">
        <v>14</v>
      </c>
      <c r="D155" s="54">
        <v>2.7557870370370371E-2</v>
      </c>
      <c r="E155" s="12">
        <v>167</v>
      </c>
      <c r="F155" s="83">
        <v>9.59</v>
      </c>
      <c r="G155" s="84">
        <f>D155/F155</f>
        <v>2.8736048352836674E-3</v>
      </c>
      <c r="H155" s="84" t="s">
        <v>471</v>
      </c>
      <c r="I155" s="10" t="s">
        <v>411</v>
      </c>
    </row>
    <row r="156" spans="1:9" x14ac:dyDescent="0.15">
      <c r="A156" s="2"/>
      <c r="B156" s="138">
        <v>41790</v>
      </c>
      <c r="C156" s="13"/>
      <c r="D156" s="54"/>
      <c r="E156" s="12"/>
      <c r="F156" s="83"/>
      <c r="G156" s="84"/>
      <c r="H156" s="84"/>
      <c r="I156" s="10" t="s">
        <v>411</v>
      </c>
    </row>
    <row r="157" spans="1:9" x14ac:dyDescent="0.15">
      <c r="A157" s="2"/>
      <c r="B157" s="90">
        <v>41791</v>
      </c>
      <c r="C157" s="13"/>
      <c r="D157" s="54"/>
      <c r="E157" s="12"/>
      <c r="F157" s="83"/>
      <c r="G157" s="84"/>
      <c r="H157" s="84"/>
      <c r="I157" s="10" t="s">
        <v>411</v>
      </c>
    </row>
    <row r="158" spans="1:9" x14ac:dyDescent="0.15">
      <c r="A158" s="4">
        <f>A151+1</f>
        <v>23</v>
      </c>
      <c r="B158" s="137">
        <v>41792</v>
      </c>
      <c r="C158" s="8" t="s">
        <v>14</v>
      </c>
      <c r="D158" s="52">
        <v>3.4710648148148143E-2</v>
      </c>
      <c r="E158" s="7">
        <v>158</v>
      </c>
      <c r="F158" s="80">
        <v>10.41</v>
      </c>
      <c r="G158" s="81">
        <f>D158/F158</f>
        <v>3.3343562101967477E-3</v>
      </c>
      <c r="H158" s="81" t="s">
        <v>471</v>
      </c>
      <c r="I158" s="10" t="s">
        <v>411</v>
      </c>
    </row>
    <row r="159" spans="1:9" x14ac:dyDescent="0.15">
      <c r="A159" s="11" t="s">
        <v>11</v>
      </c>
      <c r="B159" s="138">
        <v>41793</v>
      </c>
      <c r="C159" s="13"/>
      <c r="D159" s="54"/>
      <c r="E159" s="2"/>
      <c r="F159" s="83"/>
      <c r="G159" s="84"/>
      <c r="H159" s="84"/>
      <c r="I159" s="10" t="s">
        <v>411</v>
      </c>
    </row>
    <row r="160" spans="1:9" x14ac:dyDescent="0.15">
      <c r="A160" s="15">
        <f>SUM(F158:F164)</f>
        <v>20.77</v>
      </c>
      <c r="B160" s="138">
        <v>41794</v>
      </c>
      <c r="C160" s="13" t="s">
        <v>14</v>
      </c>
      <c r="D160" s="54">
        <v>3.4907407407407408E-2</v>
      </c>
      <c r="E160" s="12" t="s">
        <v>437</v>
      </c>
      <c r="F160" s="83">
        <v>10.36</v>
      </c>
      <c r="G160" s="84">
        <f>D160/F160</f>
        <v>3.3694408694408696E-3</v>
      </c>
      <c r="H160" s="84" t="s">
        <v>471</v>
      </c>
      <c r="I160" s="10" t="s">
        <v>411</v>
      </c>
    </row>
    <row r="161" spans="1:9" x14ac:dyDescent="0.15">
      <c r="A161" s="2"/>
      <c r="B161" s="138">
        <v>41795</v>
      </c>
      <c r="C161" s="13"/>
      <c r="D161" s="54"/>
      <c r="E161" s="2"/>
      <c r="F161" s="83"/>
      <c r="G161" s="84"/>
      <c r="H161" s="84"/>
      <c r="I161" s="10" t="s">
        <v>411</v>
      </c>
    </row>
    <row r="162" spans="1:9" x14ac:dyDescent="0.15">
      <c r="A162" s="2"/>
      <c r="B162" s="138">
        <v>41796</v>
      </c>
      <c r="C162" s="13"/>
      <c r="D162" s="54"/>
      <c r="E162" s="12"/>
      <c r="F162" s="83"/>
      <c r="G162" s="84"/>
      <c r="H162" s="84"/>
      <c r="I162" s="10" t="s">
        <v>411</v>
      </c>
    </row>
    <row r="163" spans="1:9" x14ac:dyDescent="0.15">
      <c r="A163" s="2"/>
      <c r="B163" s="138">
        <v>41797</v>
      </c>
      <c r="C163" s="13"/>
      <c r="D163" s="54"/>
      <c r="E163" s="12"/>
      <c r="F163" s="83"/>
      <c r="G163" s="84"/>
      <c r="H163" s="84"/>
      <c r="I163" s="10" t="s">
        <v>411</v>
      </c>
    </row>
    <row r="164" spans="1:9" x14ac:dyDescent="0.15">
      <c r="A164" s="2"/>
      <c r="B164" s="90">
        <v>41798</v>
      </c>
      <c r="C164" s="13"/>
      <c r="D164" s="54"/>
      <c r="E164" s="12"/>
      <c r="F164" s="83"/>
      <c r="G164" s="84"/>
      <c r="H164" s="84"/>
      <c r="I164" s="10" t="s">
        <v>411</v>
      </c>
    </row>
    <row r="165" spans="1:9" x14ac:dyDescent="0.15">
      <c r="A165" s="4">
        <f>A158+1</f>
        <v>24</v>
      </c>
      <c r="B165" s="137">
        <v>41799</v>
      </c>
      <c r="C165" s="8" t="s">
        <v>14</v>
      </c>
      <c r="D165" s="52">
        <v>3.4548611111111106E-2</v>
      </c>
      <c r="E165" s="7">
        <v>152</v>
      </c>
      <c r="F165" s="80">
        <v>10.43</v>
      </c>
      <c r="G165" s="81">
        <f>D165/F165</f>
        <v>3.3124267604133372E-3</v>
      </c>
      <c r="H165" s="81" t="s">
        <v>453</v>
      </c>
      <c r="I165" s="10" t="s">
        <v>411</v>
      </c>
    </row>
    <row r="166" spans="1:9" x14ac:dyDescent="0.15">
      <c r="A166" s="11" t="s">
        <v>11</v>
      </c>
      <c r="B166" s="138">
        <v>41800</v>
      </c>
      <c r="C166" s="13"/>
      <c r="D166" s="54"/>
      <c r="E166" s="2"/>
      <c r="F166" s="83"/>
      <c r="G166" s="84"/>
      <c r="H166" s="84"/>
      <c r="I166" s="10" t="s">
        <v>411</v>
      </c>
    </row>
    <row r="167" spans="1:9" x14ac:dyDescent="0.15">
      <c r="A167" s="15">
        <f>SUM(F165:F171)</f>
        <v>52.260000000000005</v>
      </c>
      <c r="B167" s="138">
        <v>41801</v>
      </c>
      <c r="C167" s="13" t="s">
        <v>14</v>
      </c>
      <c r="D167" s="54">
        <v>3.4004629629629628E-2</v>
      </c>
      <c r="E167" s="12" t="s">
        <v>437</v>
      </c>
      <c r="F167" s="83">
        <v>10.38</v>
      </c>
      <c r="G167" s="84">
        <f>D167/F167</f>
        <v>3.2759758795404261E-3</v>
      </c>
      <c r="H167" s="84" t="s">
        <v>471</v>
      </c>
      <c r="I167" s="10" t="s">
        <v>411</v>
      </c>
    </row>
    <row r="168" spans="1:9" x14ac:dyDescent="0.15">
      <c r="A168" s="2"/>
      <c r="B168" s="138">
        <v>41802</v>
      </c>
      <c r="C168" s="13"/>
      <c r="D168" s="54"/>
      <c r="E168" s="2"/>
      <c r="F168" s="83"/>
      <c r="G168" s="84"/>
      <c r="H168" s="84"/>
      <c r="I168" s="10" t="s">
        <v>411</v>
      </c>
    </row>
    <row r="169" spans="1:9" x14ac:dyDescent="0.15">
      <c r="A169" s="2"/>
      <c r="B169" s="138">
        <v>41803</v>
      </c>
      <c r="C169" s="13" t="s">
        <v>14</v>
      </c>
      <c r="D169" s="54">
        <v>3.6516203703703703E-2</v>
      </c>
      <c r="E169" s="12" t="s">
        <v>437</v>
      </c>
      <c r="F169" s="83">
        <v>10.56</v>
      </c>
      <c r="G169" s="84">
        <f>D169/F169</f>
        <v>3.4579738355780022E-3</v>
      </c>
      <c r="H169" s="84" t="s">
        <v>453</v>
      </c>
      <c r="I169" s="10" t="s">
        <v>411</v>
      </c>
    </row>
    <row r="170" spans="1:9" x14ac:dyDescent="0.15">
      <c r="A170" s="2"/>
      <c r="B170" s="138">
        <v>41804</v>
      </c>
      <c r="C170" s="13" t="s">
        <v>14</v>
      </c>
      <c r="D170" s="54" t="s">
        <v>437</v>
      </c>
      <c r="E170" s="12" t="s">
        <v>437</v>
      </c>
      <c r="F170" s="83">
        <v>10.43</v>
      </c>
      <c r="G170" s="84" t="s">
        <v>437</v>
      </c>
      <c r="H170" s="84" t="s">
        <v>471</v>
      </c>
      <c r="I170" s="10" t="s">
        <v>411</v>
      </c>
    </row>
    <row r="171" spans="1:9" x14ac:dyDescent="0.15">
      <c r="A171" s="2"/>
      <c r="B171" s="90">
        <v>41805</v>
      </c>
      <c r="C171" s="13" t="s">
        <v>14</v>
      </c>
      <c r="D171" s="54">
        <v>3.7349537037037035E-2</v>
      </c>
      <c r="E171" s="12"/>
      <c r="F171" s="83">
        <v>10.46</v>
      </c>
      <c r="G171" s="84">
        <f>D171/F171</f>
        <v>3.570701437575242E-3</v>
      </c>
      <c r="H171" s="84" t="s">
        <v>455</v>
      </c>
      <c r="I171" s="10" t="s">
        <v>411</v>
      </c>
    </row>
    <row r="172" spans="1:9" x14ac:dyDescent="0.15">
      <c r="A172" s="4">
        <f>A165+1</f>
        <v>25</v>
      </c>
      <c r="B172" s="137">
        <v>41806</v>
      </c>
      <c r="C172" s="8"/>
      <c r="D172" s="52"/>
      <c r="E172" s="7"/>
      <c r="F172" s="80"/>
      <c r="G172" s="81"/>
      <c r="H172" s="81"/>
      <c r="I172" s="10" t="s">
        <v>411</v>
      </c>
    </row>
    <row r="173" spans="1:9" x14ac:dyDescent="0.15">
      <c r="A173" s="34" t="s">
        <v>11</v>
      </c>
      <c r="B173" s="138">
        <v>41807</v>
      </c>
      <c r="C173" s="13" t="s">
        <v>14</v>
      </c>
      <c r="D173" s="54">
        <v>3.4537037037037033E-2</v>
      </c>
      <c r="E173" s="2">
        <v>146</v>
      </c>
      <c r="F173" s="83">
        <v>10.4</v>
      </c>
      <c r="G173" s="84">
        <f>D173/F173</f>
        <v>3.3208689458689455E-3</v>
      </c>
      <c r="H173" s="84" t="s">
        <v>471</v>
      </c>
      <c r="I173" s="10" t="s">
        <v>411</v>
      </c>
    </row>
    <row r="174" spans="1:9" x14ac:dyDescent="0.15">
      <c r="A174" s="15">
        <f>SUM(F172:F178)</f>
        <v>18.41</v>
      </c>
      <c r="B174" s="138">
        <v>41808</v>
      </c>
      <c r="C174" s="13"/>
      <c r="D174" s="54"/>
      <c r="E174" s="12"/>
      <c r="F174" s="83"/>
      <c r="G174" s="84"/>
      <c r="H174" s="84"/>
      <c r="I174" s="10" t="s">
        <v>411</v>
      </c>
    </row>
    <row r="175" spans="1:9" x14ac:dyDescent="0.15">
      <c r="A175" s="2"/>
      <c r="B175" s="138">
        <v>41809</v>
      </c>
      <c r="C175" s="13"/>
      <c r="D175" s="54"/>
      <c r="E175" s="2"/>
      <c r="F175" s="83"/>
      <c r="G175" s="84"/>
      <c r="H175" s="84"/>
      <c r="I175" s="10" t="s">
        <v>411</v>
      </c>
    </row>
    <row r="176" spans="1:9" x14ac:dyDescent="0.15">
      <c r="A176" s="2"/>
      <c r="B176" s="138">
        <v>41810</v>
      </c>
      <c r="C176" s="13"/>
      <c r="D176" s="54"/>
      <c r="E176" s="12"/>
      <c r="F176" s="83"/>
      <c r="G176" s="84"/>
      <c r="H176" s="84"/>
      <c r="I176" s="10" t="s">
        <v>411</v>
      </c>
    </row>
    <row r="177" spans="1:9" x14ac:dyDescent="0.15">
      <c r="A177" s="2"/>
      <c r="B177" s="138">
        <v>41811</v>
      </c>
      <c r="C177" s="13" t="s">
        <v>14</v>
      </c>
      <c r="D177" s="54">
        <v>3.2326388888888884E-2</v>
      </c>
      <c r="E177" s="12" t="s">
        <v>437</v>
      </c>
      <c r="F177" s="83">
        <v>8.01</v>
      </c>
      <c r="G177" s="84">
        <f>D177/F177</f>
        <v>4.03575391871272E-3</v>
      </c>
      <c r="H177" s="84" t="s">
        <v>471</v>
      </c>
      <c r="I177" s="10" t="s">
        <v>411</v>
      </c>
    </row>
    <row r="178" spans="1:9" x14ac:dyDescent="0.15">
      <c r="A178" s="35"/>
      <c r="B178" s="90">
        <v>41812</v>
      </c>
      <c r="C178" s="13"/>
      <c r="D178" s="54"/>
      <c r="E178" s="12"/>
      <c r="F178" s="83"/>
      <c r="G178" s="84"/>
      <c r="H178" s="84"/>
      <c r="I178" s="10" t="s">
        <v>411</v>
      </c>
    </row>
    <row r="179" spans="1:9" x14ac:dyDescent="0.15">
      <c r="A179" s="4">
        <f>A172+1</f>
        <v>26</v>
      </c>
      <c r="B179" s="137">
        <v>41813</v>
      </c>
      <c r="C179" s="8"/>
      <c r="D179" s="52"/>
      <c r="E179" s="7"/>
      <c r="F179" s="80"/>
      <c r="G179" s="81"/>
      <c r="H179" s="81"/>
      <c r="I179" s="10" t="s">
        <v>411</v>
      </c>
    </row>
    <row r="180" spans="1:9" x14ac:dyDescent="0.15">
      <c r="A180" s="11" t="s">
        <v>11</v>
      </c>
      <c r="B180" s="138">
        <v>41814</v>
      </c>
      <c r="C180" s="13"/>
      <c r="D180" s="54"/>
      <c r="E180" s="2"/>
      <c r="F180" s="83"/>
      <c r="G180" s="84"/>
      <c r="H180" s="84"/>
      <c r="I180" s="10" t="s">
        <v>411</v>
      </c>
    </row>
    <row r="181" spans="1:9" x14ac:dyDescent="0.15">
      <c r="A181" s="15">
        <f>SUM(F179:F185)</f>
        <v>0</v>
      </c>
      <c r="B181" s="138">
        <v>41815</v>
      </c>
      <c r="C181" s="13"/>
      <c r="D181" s="54"/>
      <c r="E181" s="12"/>
      <c r="F181" s="83"/>
      <c r="G181" s="84"/>
      <c r="H181" s="84"/>
      <c r="I181" s="10" t="s">
        <v>411</v>
      </c>
    </row>
    <row r="182" spans="1:9" x14ac:dyDescent="0.15">
      <c r="A182" s="2"/>
      <c r="B182" s="138">
        <v>41816</v>
      </c>
      <c r="C182" s="13"/>
      <c r="D182" s="54"/>
      <c r="E182" s="2"/>
      <c r="F182" s="83"/>
      <c r="G182" s="84"/>
      <c r="H182" s="84"/>
      <c r="I182" s="10" t="s">
        <v>411</v>
      </c>
    </row>
    <row r="183" spans="1:9" x14ac:dyDescent="0.15">
      <c r="A183" s="2"/>
      <c r="B183" s="138">
        <v>41817</v>
      </c>
      <c r="C183" s="13"/>
      <c r="D183" s="54"/>
      <c r="E183" s="12"/>
      <c r="F183" s="83"/>
      <c r="G183" s="84"/>
      <c r="H183" s="84"/>
      <c r="I183" s="10" t="s">
        <v>411</v>
      </c>
    </row>
    <row r="184" spans="1:9" x14ac:dyDescent="0.15">
      <c r="A184" s="2"/>
      <c r="B184" s="138">
        <v>41818</v>
      </c>
      <c r="C184" s="13"/>
      <c r="D184" s="54"/>
      <c r="E184" s="12"/>
      <c r="F184" s="83"/>
      <c r="G184" s="84"/>
      <c r="H184" s="84"/>
      <c r="I184" s="10" t="s">
        <v>411</v>
      </c>
    </row>
    <row r="185" spans="1:9" x14ac:dyDescent="0.15">
      <c r="A185" s="2"/>
      <c r="B185" s="90">
        <v>41819</v>
      </c>
      <c r="C185" s="13"/>
      <c r="D185" s="54"/>
      <c r="E185" s="12"/>
      <c r="F185" s="83"/>
      <c r="G185" s="84"/>
      <c r="H185" s="84"/>
      <c r="I185" s="10" t="s">
        <v>411</v>
      </c>
    </row>
    <row r="186" spans="1:9" x14ac:dyDescent="0.15">
      <c r="A186" s="4">
        <f>A179+1</f>
        <v>27</v>
      </c>
      <c r="B186" s="137">
        <v>41820</v>
      </c>
      <c r="C186" s="8" t="s">
        <v>14</v>
      </c>
      <c r="D186" s="52">
        <v>3.3171296296296296E-2</v>
      </c>
      <c r="E186" s="7">
        <v>153</v>
      </c>
      <c r="F186" s="80">
        <v>10.39</v>
      </c>
      <c r="G186" s="81">
        <f>D186/F186</f>
        <v>3.1926175453605675E-3</v>
      </c>
      <c r="H186" s="81" t="s">
        <v>471</v>
      </c>
      <c r="I186" s="10" t="s">
        <v>411</v>
      </c>
    </row>
    <row r="187" spans="1:9" x14ac:dyDescent="0.15">
      <c r="A187" s="11" t="s">
        <v>11</v>
      </c>
      <c r="B187" s="138">
        <v>41821</v>
      </c>
      <c r="C187" s="13"/>
      <c r="D187" s="54"/>
      <c r="E187" s="2"/>
      <c r="F187" s="83"/>
      <c r="G187" s="84"/>
      <c r="H187" s="84"/>
      <c r="I187" s="10" t="s">
        <v>411</v>
      </c>
    </row>
    <row r="188" spans="1:9" x14ac:dyDescent="0.15">
      <c r="A188" s="15">
        <f>SUM(F186:F192)</f>
        <v>43.21</v>
      </c>
      <c r="B188" s="138">
        <v>41822</v>
      </c>
      <c r="C188" s="13" t="s">
        <v>14</v>
      </c>
      <c r="D188" s="54" t="s">
        <v>437</v>
      </c>
      <c r="E188" s="12" t="s">
        <v>437</v>
      </c>
      <c r="F188" s="83">
        <v>10.45</v>
      </c>
      <c r="G188" s="84" t="s">
        <v>437</v>
      </c>
      <c r="H188" s="84" t="s">
        <v>453</v>
      </c>
      <c r="I188" s="10" t="s">
        <v>411</v>
      </c>
    </row>
    <row r="189" spans="1:9" x14ac:dyDescent="0.15">
      <c r="A189" s="2"/>
      <c r="B189" s="138">
        <v>41823</v>
      </c>
      <c r="C189" s="13" t="s">
        <v>14</v>
      </c>
      <c r="D189" s="54">
        <v>3.6331018518518512E-2</v>
      </c>
      <c r="E189" s="2" t="s">
        <v>437</v>
      </c>
      <c r="F189" s="83">
        <v>10.3</v>
      </c>
      <c r="G189" s="84">
        <f>D189/F189</f>
        <v>3.5272833513124765E-3</v>
      </c>
      <c r="H189" s="84" t="s">
        <v>471</v>
      </c>
      <c r="I189" s="10" t="s">
        <v>411</v>
      </c>
    </row>
    <row r="190" spans="1:9" x14ac:dyDescent="0.15">
      <c r="A190" s="2"/>
      <c r="B190" s="138">
        <v>41824</v>
      </c>
      <c r="C190" s="13"/>
      <c r="D190" s="54"/>
      <c r="E190" s="12"/>
      <c r="F190" s="83"/>
      <c r="G190" s="84"/>
      <c r="H190" s="84"/>
      <c r="I190" s="10" t="s">
        <v>411</v>
      </c>
    </row>
    <row r="191" spans="1:9" x14ac:dyDescent="0.15">
      <c r="A191" s="2"/>
      <c r="B191" s="138">
        <v>41825</v>
      </c>
      <c r="C191" s="13"/>
      <c r="D191" s="54"/>
      <c r="E191" s="12"/>
      <c r="F191" s="83"/>
      <c r="G191" s="84"/>
      <c r="H191" s="84"/>
      <c r="I191" s="10" t="s">
        <v>411</v>
      </c>
    </row>
    <row r="192" spans="1:9" x14ac:dyDescent="0.15">
      <c r="A192" s="2"/>
      <c r="B192" s="90">
        <v>41826</v>
      </c>
      <c r="C192" s="13" t="s">
        <v>14</v>
      </c>
      <c r="D192" s="54">
        <v>4.2928240740740739E-2</v>
      </c>
      <c r="E192" s="12">
        <v>162</v>
      </c>
      <c r="F192" s="83">
        <v>12.07</v>
      </c>
      <c r="G192" s="84">
        <f>D192/F192</f>
        <v>3.5566065236736322E-3</v>
      </c>
      <c r="H192" s="84" t="s">
        <v>471</v>
      </c>
      <c r="I192" s="10" t="s">
        <v>411</v>
      </c>
    </row>
    <row r="193" spans="1:10" x14ac:dyDescent="0.15">
      <c r="A193" s="4">
        <f>A186+1</f>
        <v>28</v>
      </c>
      <c r="B193" s="137">
        <v>41827</v>
      </c>
      <c r="C193" s="8"/>
      <c r="D193" s="52"/>
      <c r="E193" s="7"/>
      <c r="F193" s="80"/>
      <c r="G193" s="81"/>
      <c r="H193" s="81"/>
      <c r="I193" s="10" t="s">
        <v>411</v>
      </c>
    </row>
    <row r="194" spans="1:10" x14ac:dyDescent="0.15">
      <c r="A194" s="11" t="s">
        <v>11</v>
      </c>
      <c r="B194" s="138">
        <v>41828</v>
      </c>
      <c r="C194" s="13" t="s">
        <v>14</v>
      </c>
      <c r="D194" s="54">
        <v>3.4444444444444444E-2</v>
      </c>
      <c r="E194" s="2">
        <v>148</v>
      </c>
      <c r="F194" s="83">
        <v>10.5</v>
      </c>
      <c r="G194" s="84">
        <f>D194/F194</f>
        <v>3.2804232804232803E-3</v>
      </c>
      <c r="H194" s="84" t="s">
        <v>453</v>
      </c>
      <c r="I194" s="10" t="s">
        <v>411</v>
      </c>
    </row>
    <row r="195" spans="1:10" x14ac:dyDescent="0.15">
      <c r="A195" s="15">
        <f>SUM(F193:F199)</f>
        <v>33.01</v>
      </c>
      <c r="B195" s="138">
        <v>41829</v>
      </c>
      <c r="C195" s="13"/>
      <c r="D195" s="54"/>
      <c r="E195" s="12"/>
      <c r="F195" s="83"/>
      <c r="G195" s="84"/>
      <c r="H195" s="84"/>
      <c r="I195" s="10" t="s">
        <v>411</v>
      </c>
    </row>
    <row r="196" spans="1:10" x14ac:dyDescent="0.15">
      <c r="A196" s="2"/>
      <c r="B196" s="138">
        <v>41830</v>
      </c>
      <c r="C196" s="13" t="s">
        <v>464</v>
      </c>
      <c r="D196" s="54">
        <v>3.4513888888888886E-2</v>
      </c>
      <c r="E196" s="2">
        <v>149</v>
      </c>
      <c r="F196" s="83">
        <v>10.44</v>
      </c>
      <c r="G196" s="84">
        <f>D196/F196</f>
        <v>3.3059280544912727E-3</v>
      </c>
      <c r="H196" s="84" t="s">
        <v>471</v>
      </c>
      <c r="I196" s="10" t="s">
        <v>411</v>
      </c>
      <c r="J196" s="156"/>
    </row>
    <row r="197" spans="1:10" x14ac:dyDescent="0.15">
      <c r="A197" s="2"/>
      <c r="B197" s="138">
        <v>41831</v>
      </c>
      <c r="C197" s="13" t="s">
        <v>14</v>
      </c>
      <c r="D197" s="54">
        <v>4.2314814814814812E-2</v>
      </c>
      <c r="E197" s="12">
        <v>148</v>
      </c>
      <c r="F197" s="83">
        <v>12.07</v>
      </c>
      <c r="G197" s="84">
        <f>D197/F197</f>
        <v>3.5057841602994873E-3</v>
      </c>
      <c r="H197" s="84" t="s">
        <v>472</v>
      </c>
      <c r="I197" s="10" t="s">
        <v>411</v>
      </c>
    </row>
    <row r="198" spans="1:10" x14ac:dyDescent="0.15">
      <c r="A198" s="2"/>
      <c r="B198" s="138">
        <v>41832</v>
      </c>
      <c r="C198" s="13"/>
      <c r="D198" s="54"/>
      <c r="E198" s="12"/>
      <c r="F198" s="83"/>
      <c r="G198" s="84"/>
      <c r="H198" s="84"/>
      <c r="I198" s="10" t="s">
        <v>411</v>
      </c>
    </row>
    <row r="199" spans="1:10" x14ac:dyDescent="0.15">
      <c r="A199" s="2"/>
      <c r="B199" s="90">
        <v>41833</v>
      </c>
      <c r="C199" s="13"/>
      <c r="D199" s="54"/>
      <c r="E199" s="12"/>
      <c r="F199" s="83"/>
      <c r="G199" s="84"/>
      <c r="H199" s="84"/>
      <c r="I199" s="10" t="s">
        <v>411</v>
      </c>
    </row>
    <row r="200" spans="1:10" x14ac:dyDescent="0.15">
      <c r="A200" s="4">
        <f>A193+1</f>
        <v>29</v>
      </c>
      <c r="B200" s="137">
        <v>41834</v>
      </c>
      <c r="C200" s="8"/>
      <c r="D200" s="52"/>
      <c r="E200" s="7"/>
      <c r="F200" s="80"/>
      <c r="G200" s="81"/>
      <c r="H200" s="81"/>
      <c r="I200" s="10" t="s">
        <v>411</v>
      </c>
    </row>
    <row r="201" spans="1:10" x14ac:dyDescent="0.15">
      <c r="A201" s="11" t="s">
        <v>11</v>
      </c>
      <c r="B201" s="138">
        <v>41835</v>
      </c>
      <c r="C201" s="13"/>
      <c r="D201" s="54"/>
      <c r="E201" s="2"/>
      <c r="F201" s="83"/>
      <c r="G201" s="84"/>
      <c r="H201" s="84"/>
      <c r="I201" s="10" t="s">
        <v>411</v>
      </c>
    </row>
    <row r="202" spans="1:10" x14ac:dyDescent="0.15">
      <c r="A202" s="15">
        <f>SUM(F200:F206)</f>
        <v>36.57</v>
      </c>
      <c r="B202" s="138">
        <v>41836</v>
      </c>
      <c r="C202" s="13" t="s">
        <v>464</v>
      </c>
      <c r="D202" s="54">
        <v>3.5671296296296298E-2</v>
      </c>
      <c r="E202" s="12">
        <v>147</v>
      </c>
      <c r="F202" s="83">
        <v>10.36</v>
      </c>
      <c r="G202" s="84">
        <f>D202/F202</f>
        <v>3.4431753181753187E-3</v>
      </c>
      <c r="H202" s="84" t="s">
        <v>472</v>
      </c>
      <c r="I202" s="10" t="s">
        <v>411</v>
      </c>
    </row>
    <row r="203" spans="1:10" x14ac:dyDescent="0.15">
      <c r="A203" s="2"/>
      <c r="B203" s="138">
        <v>41837</v>
      </c>
      <c r="C203" s="13"/>
      <c r="D203" s="54"/>
      <c r="E203" s="2"/>
      <c r="F203" s="83"/>
      <c r="G203" s="84"/>
      <c r="H203" s="84"/>
      <c r="I203" s="10" t="s">
        <v>411</v>
      </c>
    </row>
    <row r="204" spans="1:10" x14ac:dyDescent="0.15">
      <c r="A204" s="2"/>
      <c r="B204" s="138">
        <v>41838</v>
      </c>
      <c r="C204" s="13" t="s">
        <v>14</v>
      </c>
      <c r="D204" s="54">
        <v>4.4467592592592586E-2</v>
      </c>
      <c r="E204" s="12">
        <v>145</v>
      </c>
      <c r="F204" s="83">
        <v>12.07</v>
      </c>
      <c r="G204" s="84">
        <f>D204/F204</f>
        <v>3.6841418883672397E-3</v>
      </c>
      <c r="H204" s="84" t="s">
        <v>471</v>
      </c>
      <c r="I204" s="10" t="s">
        <v>411</v>
      </c>
    </row>
    <row r="205" spans="1:10" x14ac:dyDescent="0.15">
      <c r="A205" s="2"/>
      <c r="B205" s="138">
        <v>41839</v>
      </c>
      <c r="C205" s="13"/>
      <c r="D205" s="54"/>
      <c r="E205" s="12"/>
      <c r="F205" s="83"/>
      <c r="G205" s="84"/>
      <c r="H205" s="84"/>
      <c r="I205" s="10" t="s">
        <v>411</v>
      </c>
    </row>
    <row r="206" spans="1:10" x14ac:dyDescent="0.15">
      <c r="A206" s="2"/>
      <c r="B206" s="90">
        <v>41840</v>
      </c>
      <c r="C206" s="13" t="s">
        <v>14</v>
      </c>
      <c r="D206" s="54">
        <v>4.9444444444444444E-2</v>
      </c>
      <c r="E206" s="12">
        <v>153</v>
      </c>
      <c r="F206" s="83">
        <v>14.14</v>
      </c>
      <c r="G206" s="84">
        <f>D206/F206</f>
        <v>3.4967782492534966E-3</v>
      </c>
      <c r="H206" s="84" t="s">
        <v>471</v>
      </c>
      <c r="I206" s="10" t="s">
        <v>411</v>
      </c>
    </row>
    <row r="207" spans="1:10" x14ac:dyDescent="0.15">
      <c r="A207" s="4">
        <f>A200+1</f>
        <v>30</v>
      </c>
      <c r="B207" s="137">
        <v>41841</v>
      </c>
      <c r="C207" s="8" t="s">
        <v>14</v>
      </c>
      <c r="D207" s="52">
        <v>3.5104166666666665E-2</v>
      </c>
      <c r="E207" s="7">
        <v>148</v>
      </c>
      <c r="F207" s="80">
        <v>10.36</v>
      </c>
      <c r="G207" s="81">
        <f>D207/F207</f>
        <v>3.388433075933076E-3</v>
      </c>
      <c r="H207" s="81" t="s">
        <v>472</v>
      </c>
      <c r="I207" s="10" t="s">
        <v>411</v>
      </c>
    </row>
    <row r="208" spans="1:10" x14ac:dyDescent="0.15">
      <c r="A208" s="11" t="s">
        <v>11</v>
      </c>
      <c r="B208" s="138">
        <v>41842</v>
      </c>
      <c r="C208" s="13"/>
      <c r="D208" s="54"/>
      <c r="E208" s="2"/>
      <c r="F208" s="83"/>
      <c r="G208" s="84"/>
      <c r="H208" s="84"/>
      <c r="I208" s="10" t="s">
        <v>411</v>
      </c>
    </row>
    <row r="209" spans="1:10" x14ac:dyDescent="0.15">
      <c r="A209" s="15">
        <f>SUM(F207:F213)</f>
        <v>31.1</v>
      </c>
      <c r="B209" s="138">
        <v>41843</v>
      </c>
      <c r="C209" s="13" t="s">
        <v>14</v>
      </c>
      <c r="D209" s="54">
        <v>3.5254629629629629E-2</v>
      </c>
      <c r="E209" s="12">
        <v>141</v>
      </c>
      <c r="F209" s="83">
        <v>10.38</v>
      </c>
      <c r="G209" s="84">
        <f>D209/F209</f>
        <v>3.3963997716406191E-3</v>
      </c>
      <c r="H209" s="84" t="s">
        <v>455</v>
      </c>
      <c r="I209" s="10" t="s">
        <v>411</v>
      </c>
    </row>
    <row r="210" spans="1:10" x14ac:dyDescent="0.15">
      <c r="A210" s="2"/>
      <c r="B210" s="138">
        <v>41844</v>
      </c>
      <c r="C210" s="13"/>
      <c r="D210" s="54"/>
      <c r="E210" s="2"/>
      <c r="F210" s="83"/>
      <c r="G210" s="84"/>
      <c r="H210" s="84"/>
      <c r="I210" s="10" t="s">
        <v>411</v>
      </c>
    </row>
    <row r="211" spans="1:10" x14ac:dyDescent="0.15">
      <c r="A211" s="2"/>
      <c r="B211" s="138">
        <v>41845</v>
      </c>
      <c r="C211" s="13" t="s">
        <v>14</v>
      </c>
      <c r="D211" s="54">
        <v>3.6701388888888888E-2</v>
      </c>
      <c r="E211" s="12">
        <v>127</v>
      </c>
      <c r="F211" s="83">
        <v>10.36</v>
      </c>
      <c r="G211" s="84">
        <f>D211/F211</f>
        <v>3.5426051051051051E-3</v>
      </c>
      <c r="H211" s="84" t="s">
        <v>471</v>
      </c>
      <c r="I211" s="10" t="s">
        <v>411</v>
      </c>
    </row>
    <row r="212" spans="1:10" x14ac:dyDescent="0.15">
      <c r="A212" s="2"/>
      <c r="B212" s="138">
        <v>41846</v>
      </c>
      <c r="C212" s="13"/>
      <c r="D212" s="54"/>
      <c r="E212" s="12"/>
      <c r="F212" s="83"/>
      <c r="G212" s="84"/>
      <c r="H212" s="84"/>
      <c r="I212" s="10" t="s">
        <v>411</v>
      </c>
    </row>
    <row r="213" spans="1:10" x14ac:dyDescent="0.15">
      <c r="A213" s="2"/>
      <c r="B213" s="90">
        <v>41847</v>
      </c>
      <c r="C213" s="13"/>
      <c r="D213" s="54"/>
      <c r="E213" s="12"/>
      <c r="F213" s="83"/>
      <c r="G213" s="84"/>
      <c r="H213" s="84"/>
      <c r="I213" s="10" t="s">
        <v>411</v>
      </c>
    </row>
    <row r="214" spans="1:10" x14ac:dyDescent="0.15">
      <c r="A214" s="4">
        <f>A207+1</f>
        <v>31</v>
      </c>
      <c r="B214" s="137">
        <v>41848</v>
      </c>
      <c r="C214" s="8" t="s">
        <v>14</v>
      </c>
      <c r="D214" s="52">
        <v>4.4131944444444439E-2</v>
      </c>
      <c r="E214" s="7">
        <v>128</v>
      </c>
      <c r="F214" s="80">
        <v>10.35</v>
      </c>
      <c r="G214" s="81">
        <f>D214/F214</f>
        <v>4.2639559849704774E-3</v>
      </c>
      <c r="H214" s="81" t="s">
        <v>471</v>
      </c>
      <c r="I214" s="10" t="s">
        <v>411</v>
      </c>
    </row>
    <row r="215" spans="1:10" x14ac:dyDescent="0.15">
      <c r="A215" s="11" t="s">
        <v>11</v>
      </c>
      <c r="B215" s="138">
        <v>41849</v>
      </c>
      <c r="C215" s="13"/>
      <c r="D215" s="54"/>
      <c r="E215" s="2"/>
      <c r="F215" s="83"/>
      <c r="G215" s="84"/>
      <c r="H215" s="84"/>
      <c r="I215" s="10" t="s">
        <v>411</v>
      </c>
    </row>
    <row r="216" spans="1:10" x14ac:dyDescent="0.15">
      <c r="A216" s="15">
        <f>SUM(F214:F220)</f>
        <v>60.089999999999989</v>
      </c>
      <c r="B216" s="138">
        <v>41850</v>
      </c>
      <c r="C216" s="13" t="s">
        <v>464</v>
      </c>
      <c r="D216" s="54">
        <v>3.9664351851851853E-2</v>
      </c>
      <c r="E216" s="12">
        <v>147</v>
      </c>
      <c r="F216" s="83">
        <v>11.02</v>
      </c>
      <c r="G216" s="84">
        <f>D216/F216</f>
        <v>3.5993059756671375E-3</v>
      </c>
      <c r="H216" s="84" t="s">
        <v>471</v>
      </c>
      <c r="I216" s="10" t="s">
        <v>411</v>
      </c>
    </row>
    <row r="217" spans="1:10" x14ac:dyDescent="0.15">
      <c r="A217" s="2"/>
      <c r="B217" s="138">
        <v>41851</v>
      </c>
      <c r="C217" s="152" t="s">
        <v>14</v>
      </c>
      <c r="D217" s="153">
        <v>3.5393518518518519E-2</v>
      </c>
      <c r="E217" s="157">
        <v>138</v>
      </c>
      <c r="F217" s="155">
        <v>10.39</v>
      </c>
      <c r="G217" s="84">
        <f>D217/F217</f>
        <v>3.4064984137168928E-3</v>
      </c>
      <c r="H217" s="84" t="s">
        <v>472</v>
      </c>
      <c r="I217" s="10" t="s">
        <v>411</v>
      </c>
    </row>
    <row r="218" spans="1:10" x14ac:dyDescent="0.15">
      <c r="A218" s="2"/>
      <c r="B218" s="138">
        <v>41852</v>
      </c>
      <c r="C218" s="13" t="s">
        <v>14</v>
      </c>
      <c r="D218" s="54">
        <v>4.2870370370370364E-2</v>
      </c>
      <c r="E218" s="12">
        <v>139</v>
      </c>
      <c r="F218" s="83">
        <v>12.09</v>
      </c>
      <c r="G218" s="84">
        <f>D218/F218</f>
        <v>3.5459363416352661E-3</v>
      </c>
      <c r="H218" s="84" t="s">
        <v>471</v>
      </c>
      <c r="I218" s="10" t="s">
        <v>411</v>
      </c>
    </row>
    <row r="219" spans="1:10" x14ac:dyDescent="0.15">
      <c r="A219" s="2"/>
      <c r="B219" s="138">
        <v>41853</v>
      </c>
      <c r="C219" s="13"/>
      <c r="D219" s="54"/>
      <c r="E219" s="12"/>
      <c r="F219" s="83"/>
      <c r="G219" s="84"/>
      <c r="H219" s="84"/>
      <c r="I219" s="10" t="s">
        <v>411</v>
      </c>
    </row>
    <row r="220" spans="1:10" x14ac:dyDescent="0.15">
      <c r="A220" s="2"/>
      <c r="B220" s="90">
        <v>41854</v>
      </c>
      <c r="C220" s="13" t="s">
        <v>14</v>
      </c>
      <c r="D220" s="54">
        <v>5.7986111111111106E-2</v>
      </c>
      <c r="E220" s="12">
        <v>144</v>
      </c>
      <c r="F220" s="83">
        <v>16.239999999999998</v>
      </c>
      <c r="G220" s="84">
        <f>D220/F220</f>
        <v>3.5705733442802411E-3</v>
      </c>
      <c r="H220" s="84" t="s">
        <v>472</v>
      </c>
      <c r="I220" s="10" t="s">
        <v>411</v>
      </c>
    </row>
    <row r="221" spans="1:10" x14ac:dyDescent="0.15">
      <c r="A221" s="4">
        <f>A214+1</f>
        <v>32</v>
      </c>
      <c r="B221" s="137">
        <v>41855</v>
      </c>
      <c r="C221" s="8" t="s">
        <v>14</v>
      </c>
      <c r="D221" s="52">
        <v>3.6770833333333329E-2</v>
      </c>
      <c r="E221" s="7">
        <v>138</v>
      </c>
      <c r="F221" s="80">
        <v>10.37</v>
      </c>
      <c r="G221" s="81">
        <f>D221/F221</f>
        <v>3.5458855673416905E-3</v>
      </c>
      <c r="H221" s="81" t="s">
        <v>455</v>
      </c>
      <c r="I221" s="10" t="s">
        <v>411</v>
      </c>
      <c r="J221" s="156"/>
    </row>
    <row r="222" spans="1:10" x14ac:dyDescent="0.15">
      <c r="A222" s="11" t="s">
        <v>11</v>
      </c>
      <c r="B222" s="138">
        <v>41856</v>
      </c>
      <c r="C222" s="13"/>
      <c r="D222" s="54"/>
      <c r="E222" s="2"/>
      <c r="F222" s="83"/>
      <c r="G222" s="84"/>
      <c r="H222" s="84"/>
      <c r="I222" s="10" t="s">
        <v>411</v>
      </c>
    </row>
    <row r="223" spans="1:10" x14ac:dyDescent="0.15">
      <c r="A223" s="15">
        <f>SUM(F221:F227)</f>
        <v>44.71</v>
      </c>
      <c r="B223" s="138">
        <v>41857</v>
      </c>
      <c r="C223" s="13" t="s">
        <v>14</v>
      </c>
      <c r="D223" s="54">
        <v>4.465277777777777E-2</v>
      </c>
      <c r="E223" s="12">
        <v>114</v>
      </c>
      <c r="F223" s="83">
        <v>10.37</v>
      </c>
      <c r="G223" s="84">
        <f>D223/F223</f>
        <v>4.3059573556198435E-3</v>
      </c>
      <c r="H223" s="84" t="s">
        <v>471</v>
      </c>
      <c r="I223" s="10" t="s">
        <v>411</v>
      </c>
    </row>
    <row r="224" spans="1:10" x14ac:dyDescent="0.15">
      <c r="A224" s="2"/>
      <c r="B224" s="138">
        <v>41858</v>
      </c>
      <c r="C224" s="13"/>
      <c r="D224" s="54"/>
      <c r="E224" s="2"/>
      <c r="F224" s="83"/>
      <c r="G224" s="84"/>
      <c r="H224" s="84"/>
      <c r="I224" s="10" t="s">
        <v>411</v>
      </c>
    </row>
    <row r="225" spans="1:10" x14ac:dyDescent="0.15">
      <c r="A225" s="2"/>
      <c r="B225" s="138">
        <v>41859</v>
      </c>
      <c r="C225" s="13" t="s">
        <v>464</v>
      </c>
      <c r="D225" s="54">
        <v>3.4502314814814812E-2</v>
      </c>
      <c r="E225" s="12">
        <v>154</v>
      </c>
      <c r="F225" s="83">
        <v>10.34</v>
      </c>
      <c r="G225" s="84">
        <f>D225/F225</f>
        <v>3.3367809298660359E-3</v>
      </c>
      <c r="H225" s="84" t="s">
        <v>472</v>
      </c>
      <c r="I225" s="10" t="s">
        <v>411</v>
      </c>
    </row>
    <row r="226" spans="1:10" x14ac:dyDescent="0.15">
      <c r="A226" s="2"/>
      <c r="B226" s="138">
        <v>41860</v>
      </c>
      <c r="C226" s="13"/>
      <c r="D226" s="54"/>
      <c r="E226" s="12"/>
      <c r="F226" s="83"/>
      <c r="G226" s="84"/>
      <c r="H226" s="84"/>
      <c r="I226" s="10" t="s">
        <v>411</v>
      </c>
    </row>
    <row r="227" spans="1:10" x14ac:dyDescent="0.15">
      <c r="A227" s="2"/>
      <c r="B227" s="90">
        <v>41861</v>
      </c>
      <c r="C227" s="13" t="s">
        <v>14</v>
      </c>
      <c r="D227" s="54">
        <v>4.7094907407407412E-2</v>
      </c>
      <c r="E227" s="12">
        <v>145</v>
      </c>
      <c r="F227" s="83">
        <v>13.63</v>
      </c>
      <c r="G227" s="84">
        <f>D227/F227</f>
        <v>3.4552389880709764E-3</v>
      </c>
      <c r="H227" s="84" t="s">
        <v>471</v>
      </c>
      <c r="I227" s="10" t="s">
        <v>411</v>
      </c>
    </row>
    <row r="228" spans="1:10" x14ac:dyDescent="0.15">
      <c r="A228" s="4">
        <f>A221+1</f>
        <v>33</v>
      </c>
      <c r="B228" s="137">
        <v>41862</v>
      </c>
      <c r="C228" s="8"/>
      <c r="D228" s="52"/>
      <c r="E228" s="7"/>
      <c r="F228" s="80"/>
      <c r="G228" s="81"/>
      <c r="H228" s="81"/>
      <c r="I228" s="10" t="s">
        <v>411</v>
      </c>
      <c r="J228" s="140"/>
    </row>
    <row r="229" spans="1:10" x14ac:dyDescent="0.15">
      <c r="A229" s="11" t="s">
        <v>11</v>
      </c>
      <c r="B229" s="138">
        <v>41863</v>
      </c>
      <c r="C229" s="13" t="s">
        <v>14</v>
      </c>
      <c r="D229" s="54">
        <v>3.5219907407407408E-2</v>
      </c>
      <c r="E229" s="2">
        <v>135</v>
      </c>
      <c r="F229" s="83">
        <v>10.33</v>
      </c>
      <c r="G229" s="84">
        <f>D229/F229</f>
        <v>3.409477967803234E-3</v>
      </c>
      <c r="H229" s="84" t="s">
        <v>455</v>
      </c>
      <c r="I229" s="10" t="s">
        <v>411</v>
      </c>
    </row>
    <row r="230" spans="1:10" x14ac:dyDescent="0.15">
      <c r="A230" s="15">
        <f>SUM(F228:F234)</f>
        <v>47.3</v>
      </c>
      <c r="B230" s="138">
        <v>41864</v>
      </c>
      <c r="C230" s="13" t="s">
        <v>49</v>
      </c>
      <c r="D230" s="54">
        <v>3.291666666666667E-2</v>
      </c>
      <c r="E230" s="12">
        <v>149</v>
      </c>
      <c r="F230" s="83">
        <v>10.35</v>
      </c>
      <c r="G230" s="84">
        <f>D230/F230</f>
        <v>3.1803542673107896E-3</v>
      </c>
      <c r="H230" s="84" t="s">
        <v>471</v>
      </c>
      <c r="I230" s="10" t="s">
        <v>411</v>
      </c>
    </row>
    <row r="231" spans="1:10" x14ac:dyDescent="0.15">
      <c r="A231" s="2"/>
      <c r="B231" s="138">
        <v>41865</v>
      </c>
      <c r="C231" s="13" t="s">
        <v>14</v>
      </c>
      <c r="D231" s="54">
        <v>4.1458333333333333E-2</v>
      </c>
      <c r="E231" s="2">
        <v>140</v>
      </c>
      <c r="F231" s="83">
        <v>12.1</v>
      </c>
      <c r="G231" s="84">
        <f>D231/F231</f>
        <v>3.4263085399449038E-3</v>
      </c>
      <c r="H231" s="84" t="s">
        <v>472</v>
      </c>
      <c r="I231" s="10" t="s">
        <v>411</v>
      </c>
    </row>
    <row r="232" spans="1:10" x14ac:dyDescent="0.15">
      <c r="A232" s="2"/>
      <c r="B232" s="138">
        <v>41866</v>
      </c>
      <c r="C232" s="13"/>
      <c r="D232" s="54"/>
      <c r="E232" s="12"/>
      <c r="F232" s="83"/>
      <c r="G232" s="84"/>
      <c r="H232" s="84"/>
      <c r="I232" s="10" t="s">
        <v>411</v>
      </c>
    </row>
    <row r="233" spans="1:10" x14ac:dyDescent="0.15">
      <c r="A233" s="2"/>
      <c r="B233" s="138">
        <v>41867</v>
      </c>
      <c r="C233" s="13" t="s">
        <v>14</v>
      </c>
      <c r="D233" s="54">
        <v>4.9097222222222216E-2</v>
      </c>
      <c r="E233" s="12">
        <v>139</v>
      </c>
      <c r="F233" s="83">
        <v>14.52</v>
      </c>
      <c r="G233" s="84">
        <f>D233/F233</f>
        <v>3.3813513927150288E-3</v>
      </c>
      <c r="H233" s="84" t="s">
        <v>472</v>
      </c>
      <c r="I233" s="10" t="s">
        <v>411</v>
      </c>
    </row>
    <row r="234" spans="1:10" x14ac:dyDescent="0.15">
      <c r="A234" s="2"/>
      <c r="B234" s="90">
        <v>41868</v>
      </c>
      <c r="C234" s="13"/>
      <c r="D234" s="54"/>
      <c r="E234" s="12"/>
      <c r="F234" s="83"/>
      <c r="G234" s="84"/>
      <c r="H234" s="84"/>
      <c r="I234" s="10" t="s">
        <v>411</v>
      </c>
    </row>
    <row r="235" spans="1:10" x14ac:dyDescent="0.15">
      <c r="A235" s="4">
        <f>A228+1</f>
        <v>34</v>
      </c>
      <c r="B235" s="137">
        <v>41869</v>
      </c>
      <c r="C235" s="8"/>
      <c r="D235" s="52"/>
      <c r="E235" s="7"/>
      <c r="F235" s="80"/>
      <c r="G235" s="81"/>
      <c r="H235" s="81"/>
      <c r="I235" s="10" t="s">
        <v>411</v>
      </c>
    </row>
    <row r="236" spans="1:10" x14ac:dyDescent="0.15">
      <c r="A236" s="11" t="s">
        <v>11</v>
      </c>
      <c r="B236" s="138">
        <v>41870</v>
      </c>
      <c r="C236" s="13" t="s">
        <v>14</v>
      </c>
      <c r="D236" s="54">
        <v>5.7743055555555554E-2</v>
      </c>
      <c r="E236" s="2">
        <v>146</v>
      </c>
      <c r="F236" s="83">
        <v>16.27</v>
      </c>
      <c r="G236" s="84">
        <f>D236/F236</f>
        <v>3.5490507409683806E-3</v>
      </c>
      <c r="H236" s="84" t="s">
        <v>471</v>
      </c>
      <c r="I236" s="10" t="s">
        <v>411</v>
      </c>
    </row>
    <row r="237" spans="1:10" x14ac:dyDescent="0.15">
      <c r="A237" s="15">
        <f>SUM(F235:F241)</f>
        <v>53.82</v>
      </c>
      <c r="B237" s="138">
        <v>41871</v>
      </c>
      <c r="C237" s="13" t="s">
        <v>14</v>
      </c>
      <c r="D237" s="54">
        <v>5.423611111111111E-2</v>
      </c>
      <c r="E237" s="12">
        <v>149</v>
      </c>
      <c r="F237" s="83">
        <v>15.85</v>
      </c>
      <c r="G237" s="84">
        <f>D237/F237</f>
        <v>3.4218366631615844E-3</v>
      </c>
      <c r="H237" s="84" t="s">
        <v>472</v>
      </c>
      <c r="I237" s="10" t="s">
        <v>411</v>
      </c>
    </row>
    <row r="238" spans="1:10" x14ac:dyDescent="0.15">
      <c r="A238" s="2"/>
      <c r="B238" s="138">
        <v>41872</v>
      </c>
      <c r="C238" s="13"/>
      <c r="D238" s="54"/>
      <c r="E238" s="2"/>
      <c r="F238" s="83"/>
      <c r="G238" s="84"/>
      <c r="H238" s="84"/>
      <c r="I238" s="10" t="s">
        <v>411</v>
      </c>
    </row>
    <row r="239" spans="1:10" x14ac:dyDescent="0.15">
      <c r="A239" s="2"/>
      <c r="B239" s="138">
        <v>41873</v>
      </c>
      <c r="C239" s="13"/>
      <c r="D239" s="54"/>
      <c r="E239" s="12"/>
      <c r="F239" s="83"/>
      <c r="G239" s="84"/>
      <c r="H239" s="84"/>
      <c r="I239" s="10" t="s">
        <v>411</v>
      </c>
    </row>
    <row r="240" spans="1:10" x14ac:dyDescent="0.15">
      <c r="A240" s="2"/>
      <c r="B240" s="138">
        <v>41874</v>
      </c>
      <c r="C240" s="13" t="s">
        <v>158</v>
      </c>
      <c r="D240" s="54">
        <v>3.0960648148148147E-2</v>
      </c>
      <c r="E240" s="12" t="s">
        <v>437</v>
      </c>
      <c r="F240" s="83">
        <v>9.6</v>
      </c>
      <c r="G240" s="84">
        <f>D240/F240</f>
        <v>3.2250675154320988E-3</v>
      </c>
      <c r="H240" s="84" t="s">
        <v>471</v>
      </c>
      <c r="I240" s="10" t="s">
        <v>411</v>
      </c>
    </row>
    <row r="241" spans="1:10" x14ac:dyDescent="0.15">
      <c r="A241" s="2"/>
      <c r="B241" s="90">
        <v>41875</v>
      </c>
      <c r="C241" s="13" t="s">
        <v>14</v>
      </c>
      <c r="D241" s="54">
        <v>4.1053240740740744E-2</v>
      </c>
      <c r="E241" s="12" t="s">
        <v>437</v>
      </c>
      <c r="F241" s="83">
        <v>12.1</v>
      </c>
      <c r="G241" s="84">
        <f>D241/F241</f>
        <v>3.3928298132843591E-3</v>
      </c>
      <c r="H241" s="84" t="s">
        <v>472</v>
      </c>
      <c r="I241" s="10" t="s">
        <v>411</v>
      </c>
    </row>
    <row r="242" spans="1:10" x14ac:dyDescent="0.15">
      <c r="A242" s="4">
        <f>A235+1</f>
        <v>35</v>
      </c>
      <c r="B242" s="137">
        <v>41876</v>
      </c>
      <c r="C242" s="8"/>
      <c r="D242" s="52"/>
      <c r="E242" s="7"/>
      <c r="F242" s="80"/>
      <c r="G242" s="81"/>
      <c r="H242" s="81"/>
      <c r="I242" s="10" t="s">
        <v>411</v>
      </c>
    </row>
    <row r="243" spans="1:10" x14ac:dyDescent="0.15">
      <c r="A243" s="11" t="s">
        <v>11</v>
      </c>
      <c r="B243" s="138">
        <v>41877</v>
      </c>
      <c r="C243" s="13" t="s">
        <v>464</v>
      </c>
      <c r="D243" s="54">
        <v>4.1354166666666664E-2</v>
      </c>
      <c r="E243" s="2">
        <v>153</v>
      </c>
      <c r="F243" s="83">
        <v>11.58</v>
      </c>
      <c r="G243" s="84">
        <f>D243/F243</f>
        <v>3.5711715601611971E-3</v>
      </c>
      <c r="H243" s="84" t="s">
        <v>471</v>
      </c>
      <c r="I243" s="10" t="s">
        <v>411</v>
      </c>
    </row>
    <row r="244" spans="1:10" x14ac:dyDescent="0.15">
      <c r="A244" s="15">
        <f>SUM(F242:F248)</f>
        <v>34.08</v>
      </c>
      <c r="B244" s="138">
        <v>41878</v>
      </c>
      <c r="C244" s="13" t="s">
        <v>14</v>
      </c>
      <c r="D244" s="54">
        <v>3.5752314814814813E-2</v>
      </c>
      <c r="E244" s="12">
        <v>148</v>
      </c>
      <c r="F244" s="83">
        <v>10.41</v>
      </c>
      <c r="G244" s="84">
        <f>D244/F244</f>
        <v>3.434420251182979E-3</v>
      </c>
      <c r="H244" s="84" t="s">
        <v>472</v>
      </c>
      <c r="I244" s="10" t="s">
        <v>411</v>
      </c>
    </row>
    <row r="245" spans="1:10" x14ac:dyDescent="0.15">
      <c r="A245" s="2"/>
      <c r="B245" s="138">
        <v>41879</v>
      </c>
      <c r="C245" s="13"/>
      <c r="D245" s="54"/>
      <c r="E245" s="2"/>
      <c r="F245" s="83"/>
      <c r="G245" s="84"/>
      <c r="H245" s="84"/>
      <c r="I245" s="10" t="s">
        <v>411</v>
      </c>
    </row>
    <row r="246" spans="1:10" x14ac:dyDescent="0.15">
      <c r="A246" s="2"/>
      <c r="B246" s="138">
        <v>41880</v>
      </c>
      <c r="C246" s="13" t="s">
        <v>447</v>
      </c>
      <c r="D246" s="54">
        <v>3.8541666666666669E-2</v>
      </c>
      <c r="E246" s="12">
        <v>157</v>
      </c>
      <c r="F246" s="83">
        <v>12.09</v>
      </c>
      <c r="G246" s="84">
        <f>D246/F246</f>
        <v>3.1878963330576235E-3</v>
      </c>
      <c r="H246" s="84" t="s">
        <v>471</v>
      </c>
      <c r="I246" s="10" t="s">
        <v>411</v>
      </c>
      <c r="J246" s="158"/>
    </row>
    <row r="247" spans="1:10" x14ac:dyDescent="0.15">
      <c r="A247" s="2"/>
      <c r="B247" s="138">
        <v>41881</v>
      </c>
      <c r="C247" s="13"/>
      <c r="D247" s="54"/>
      <c r="E247" s="12"/>
      <c r="F247" s="83"/>
      <c r="G247" s="84"/>
      <c r="H247" s="84"/>
      <c r="I247" s="10" t="s">
        <v>411</v>
      </c>
    </row>
    <row r="248" spans="1:10" x14ac:dyDescent="0.15">
      <c r="A248" s="2"/>
      <c r="B248" s="90">
        <v>41882</v>
      </c>
      <c r="C248" s="13"/>
      <c r="D248" s="54"/>
      <c r="E248" s="12"/>
      <c r="F248" s="83"/>
      <c r="G248" s="84"/>
      <c r="H248" s="84"/>
      <c r="I248" s="10" t="s">
        <v>411</v>
      </c>
    </row>
    <row r="249" spans="1:10" x14ac:dyDescent="0.15">
      <c r="A249" s="4">
        <f>A242+1</f>
        <v>36</v>
      </c>
      <c r="B249" s="137">
        <v>41883</v>
      </c>
      <c r="C249" s="8"/>
      <c r="D249" s="52"/>
      <c r="E249" s="7"/>
      <c r="F249" s="80"/>
      <c r="G249" s="81"/>
      <c r="H249" s="81"/>
      <c r="I249" s="10" t="s">
        <v>411</v>
      </c>
    </row>
    <row r="250" spans="1:10" x14ac:dyDescent="0.15">
      <c r="A250" s="11" t="s">
        <v>11</v>
      </c>
      <c r="B250" s="138">
        <v>41884</v>
      </c>
      <c r="C250" s="13" t="s">
        <v>14</v>
      </c>
      <c r="D250" s="54">
        <v>3.802083333333333E-2</v>
      </c>
      <c r="E250" s="2">
        <v>144</v>
      </c>
      <c r="F250" s="83">
        <v>10.039999999999999</v>
      </c>
      <c r="G250" s="84">
        <f>D250/F250</f>
        <v>3.7869355909694556E-3</v>
      </c>
      <c r="H250" s="84" t="s">
        <v>472</v>
      </c>
      <c r="I250" s="10" t="s">
        <v>411</v>
      </c>
    </row>
    <row r="251" spans="1:10" x14ac:dyDescent="0.15">
      <c r="A251" s="15">
        <f>SUM(F249:F255)</f>
        <v>44.67</v>
      </c>
      <c r="B251" s="138">
        <v>41885</v>
      </c>
      <c r="C251" s="13"/>
      <c r="D251" s="54"/>
      <c r="E251" s="12"/>
      <c r="F251" s="83"/>
      <c r="G251" s="84"/>
      <c r="H251" s="84"/>
      <c r="I251" s="10" t="s">
        <v>411</v>
      </c>
      <c r="J251" s="147"/>
    </row>
    <row r="252" spans="1:10" x14ac:dyDescent="0.15">
      <c r="A252" s="2"/>
      <c r="B252" s="138">
        <v>41886</v>
      </c>
      <c r="C252" s="13"/>
      <c r="D252" s="54"/>
      <c r="E252" s="2"/>
      <c r="F252" s="83"/>
      <c r="G252" s="84"/>
      <c r="H252" s="84"/>
      <c r="I252" s="10" t="s">
        <v>411</v>
      </c>
    </row>
    <row r="253" spans="1:10" x14ac:dyDescent="0.15">
      <c r="A253" s="2"/>
      <c r="B253" s="138">
        <v>41887</v>
      </c>
      <c r="C253" s="13" t="s">
        <v>447</v>
      </c>
      <c r="D253" s="54">
        <v>4.0960648148148149E-2</v>
      </c>
      <c r="E253" s="12">
        <v>154</v>
      </c>
      <c r="F253" s="83">
        <v>12.15</v>
      </c>
      <c r="G253" s="84">
        <f>D253/F253</f>
        <v>3.3712467611644566E-3</v>
      </c>
      <c r="H253" s="84" t="s">
        <v>471</v>
      </c>
      <c r="I253" s="10" t="s">
        <v>411</v>
      </c>
    </row>
    <row r="254" spans="1:10" x14ac:dyDescent="0.15">
      <c r="A254" s="2"/>
      <c r="B254" s="138">
        <v>41888</v>
      </c>
      <c r="C254" s="13" t="s">
        <v>158</v>
      </c>
      <c r="D254" s="54">
        <v>3.72337962962963E-2</v>
      </c>
      <c r="E254" s="12">
        <v>151</v>
      </c>
      <c r="F254" s="83">
        <v>10.35</v>
      </c>
      <c r="G254" s="84">
        <f>D254/F254</f>
        <v>3.5974682411880482E-3</v>
      </c>
      <c r="H254" s="84" t="s">
        <v>472</v>
      </c>
      <c r="I254" s="10" t="s">
        <v>411</v>
      </c>
      <c r="J254" t="s">
        <v>473</v>
      </c>
    </row>
    <row r="255" spans="1:10" x14ac:dyDescent="0.15">
      <c r="A255" s="2"/>
      <c r="B255" s="90">
        <v>41889</v>
      </c>
      <c r="C255" s="13" t="s">
        <v>14</v>
      </c>
      <c r="D255" s="54">
        <v>4.2268518518518518E-2</v>
      </c>
      <c r="E255" s="12">
        <v>149</v>
      </c>
      <c r="F255" s="83">
        <v>12.13</v>
      </c>
      <c r="G255" s="84">
        <f>D255/F255</f>
        <v>3.4846264236206527E-3</v>
      </c>
      <c r="H255" s="84" t="s">
        <v>472</v>
      </c>
      <c r="I255" s="10" t="s">
        <v>411</v>
      </c>
    </row>
    <row r="256" spans="1:10" x14ac:dyDescent="0.15">
      <c r="A256" s="4">
        <f>A249+1</f>
        <v>37</v>
      </c>
      <c r="B256" s="137">
        <v>41890</v>
      </c>
      <c r="C256" s="8"/>
      <c r="D256" s="52"/>
      <c r="E256" s="7"/>
      <c r="F256" s="80"/>
      <c r="G256" s="81"/>
      <c r="H256" s="81"/>
      <c r="I256" s="10" t="s">
        <v>411</v>
      </c>
    </row>
    <row r="257" spans="1:10" x14ac:dyDescent="0.15">
      <c r="A257" s="11" t="s">
        <v>11</v>
      </c>
      <c r="B257" s="138">
        <v>41891</v>
      </c>
      <c r="C257" s="13" t="s">
        <v>14</v>
      </c>
      <c r="D257" s="54">
        <v>3.7835648148148146E-2</v>
      </c>
      <c r="E257" s="2">
        <v>142</v>
      </c>
      <c r="F257" s="83">
        <v>11.01</v>
      </c>
      <c r="G257" s="84">
        <f>D257/F257</f>
        <v>3.4364803041006492E-3</v>
      </c>
      <c r="H257" s="84" t="s">
        <v>471</v>
      </c>
      <c r="I257" s="10" t="s">
        <v>411</v>
      </c>
    </row>
    <row r="258" spans="1:10" x14ac:dyDescent="0.15">
      <c r="A258" s="15">
        <f>SUM(F256:F262)</f>
        <v>57.57</v>
      </c>
      <c r="B258" s="138">
        <v>41892</v>
      </c>
      <c r="C258" s="13"/>
      <c r="D258" s="54"/>
      <c r="E258" s="12"/>
      <c r="F258" s="83"/>
      <c r="G258" s="84"/>
      <c r="H258" s="84"/>
      <c r="I258" s="10" t="s">
        <v>411</v>
      </c>
    </row>
    <row r="259" spans="1:10" x14ac:dyDescent="0.15">
      <c r="A259" s="2"/>
      <c r="B259" s="138">
        <v>41893</v>
      </c>
      <c r="C259" s="13" t="s">
        <v>447</v>
      </c>
      <c r="D259" s="54">
        <v>4.1319444444444443E-2</v>
      </c>
      <c r="E259" s="2" t="s">
        <v>437</v>
      </c>
      <c r="F259" s="83">
        <v>12.13</v>
      </c>
      <c r="G259" s="84">
        <f>D259/F259</f>
        <v>3.4063845378767056E-3</v>
      </c>
      <c r="H259" s="84" t="s">
        <v>472</v>
      </c>
      <c r="I259" s="10" t="s">
        <v>411</v>
      </c>
    </row>
    <row r="260" spans="1:10" x14ac:dyDescent="0.15">
      <c r="A260" s="2"/>
      <c r="B260" s="138">
        <v>41894</v>
      </c>
      <c r="C260" s="13"/>
      <c r="D260" s="54"/>
      <c r="E260" s="12"/>
      <c r="F260" s="83"/>
      <c r="G260" s="84"/>
      <c r="H260" s="84"/>
      <c r="I260" s="10" t="s">
        <v>411</v>
      </c>
    </row>
    <row r="261" spans="1:10" x14ac:dyDescent="0.15">
      <c r="A261" s="2"/>
      <c r="B261" s="138">
        <v>41895</v>
      </c>
      <c r="C261" s="13" t="s">
        <v>14</v>
      </c>
      <c r="D261" s="54">
        <v>3.5520833333333335E-2</v>
      </c>
      <c r="E261" s="12">
        <v>147</v>
      </c>
      <c r="F261" s="83">
        <v>10.4</v>
      </c>
      <c r="G261" s="84">
        <f>D261/F261</f>
        <v>3.4154647435897436E-3</v>
      </c>
      <c r="H261" s="84" t="s">
        <v>471</v>
      </c>
      <c r="I261" s="10" t="s">
        <v>411</v>
      </c>
    </row>
    <row r="262" spans="1:10" x14ac:dyDescent="0.15">
      <c r="A262" s="2"/>
      <c r="B262" s="90">
        <v>41896</v>
      </c>
      <c r="C262" s="13" t="s">
        <v>14</v>
      </c>
      <c r="D262" s="54">
        <v>9.0104166666666666E-2</v>
      </c>
      <c r="E262" s="12">
        <v>153</v>
      </c>
      <c r="F262" s="83">
        <v>24.03</v>
      </c>
      <c r="G262" s="84">
        <f>D262/F262</f>
        <v>3.7496532112636979E-3</v>
      </c>
      <c r="H262" s="84" t="s">
        <v>472</v>
      </c>
      <c r="I262" s="10" t="s">
        <v>411</v>
      </c>
    </row>
    <row r="263" spans="1:10" x14ac:dyDescent="0.15">
      <c r="A263" s="4">
        <f>A256+1</f>
        <v>38</v>
      </c>
      <c r="B263" s="137">
        <v>41897</v>
      </c>
      <c r="C263" s="8"/>
      <c r="D263" s="52"/>
      <c r="E263" s="7"/>
      <c r="F263" s="80"/>
      <c r="G263" s="81"/>
      <c r="H263" s="81"/>
      <c r="I263" s="10" t="s">
        <v>411</v>
      </c>
    </row>
    <row r="264" spans="1:10" x14ac:dyDescent="0.15">
      <c r="A264" s="11" t="s">
        <v>11</v>
      </c>
      <c r="B264" s="138">
        <v>41898</v>
      </c>
      <c r="C264" s="13" t="s">
        <v>14</v>
      </c>
      <c r="D264" s="54">
        <v>5.0289351851851849E-2</v>
      </c>
      <c r="E264" s="2">
        <v>152</v>
      </c>
      <c r="F264" s="83">
        <v>14.49</v>
      </c>
      <c r="G264" s="84">
        <f>D264/F264</f>
        <v>3.4706246964701067E-3</v>
      </c>
      <c r="H264" s="84" t="s">
        <v>471</v>
      </c>
      <c r="I264" s="10" t="s">
        <v>411</v>
      </c>
    </row>
    <row r="265" spans="1:10" x14ac:dyDescent="0.15">
      <c r="A265" s="15">
        <f>SUM(F263:F269)</f>
        <v>67.930000000000007</v>
      </c>
      <c r="B265" s="138">
        <v>41899</v>
      </c>
      <c r="C265" s="13" t="s">
        <v>447</v>
      </c>
      <c r="D265" s="54">
        <v>3.9710648148148148E-2</v>
      </c>
      <c r="E265" s="12">
        <v>144</v>
      </c>
      <c r="F265" s="83">
        <v>12.13</v>
      </c>
      <c r="G265" s="84">
        <f>D265/F265</f>
        <v>3.2737549998473328E-3</v>
      </c>
      <c r="H265" s="84" t="s">
        <v>471</v>
      </c>
      <c r="I265" s="10" t="s">
        <v>411</v>
      </c>
    </row>
    <row r="266" spans="1:10" x14ac:dyDescent="0.15">
      <c r="A266" s="2"/>
      <c r="B266" s="138">
        <v>41900</v>
      </c>
      <c r="C266" s="13"/>
      <c r="D266" s="54"/>
      <c r="E266" s="2"/>
      <c r="F266" s="83"/>
      <c r="G266" s="84"/>
      <c r="H266" s="84"/>
      <c r="I266" s="10" t="s">
        <v>411</v>
      </c>
      <c r="J266" s="58"/>
    </row>
    <row r="267" spans="1:10" x14ac:dyDescent="0.15">
      <c r="A267" s="2"/>
      <c r="B267" s="138">
        <v>41901</v>
      </c>
      <c r="C267" s="13" t="s">
        <v>14</v>
      </c>
      <c r="D267" s="54">
        <v>4.0115740740740737E-2</v>
      </c>
      <c r="E267" s="12" t="s">
        <v>437</v>
      </c>
      <c r="F267" s="83">
        <v>11.25</v>
      </c>
      <c r="G267" s="84">
        <f>D267/F267</f>
        <v>3.5658436213991764E-3</v>
      </c>
      <c r="H267" s="84" t="s">
        <v>472</v>
      </c>
      <c r="I267" s="10" t="s">
        <v>411</v>
      </c>
    </row>
    <row r="268" spans="1:10" x14ac:dyDescent="0.15">
      <c r="A268" s="2"/>
      <c r="B268" s="138">
        <v>41902</v>
      </c>
      <c r="C268" s="13"/>
      <c r="D268" s="54"/>
      <c r="E268" s="12"/>
      <c r="F268" s="83"/>
      <c r="G268" s="84"/>
      <c r="H268" s="84"/>
      <c r="I268" s="10" t="s">
        <v>411</v>
      </c>
    </row>
    <row r="269" spans="1:10" x14ac:dyDescent="0.15">
      <c r="A269" s="2"/>
      <c r="B269" s="90">
        <v>41903</v>
      </c>
      <c r="C269" s="13" t="s">
        <v>14</v>
      </c>
      <c r="D269" s="54">
        <v>0.10616898148148148</v>
      </c>
      <c r="E269" s="12" t="s">
        <v>437</v>
      </c>
      <c r="F269" s="83">
        <v>30.06</v>
      </c>
      <c r="G269" s="84">
        <f>D269/F269</f>
        <v>3.5319022448929301E-3</v>
      </c>
      <c r="H269" s="84" t="s">
        <v>472</v>
      </c>
      <c r="I269" s="10" t="s">
        <v>411</v>
      </c>
    </row>
    <row r="270" spans="1:10" x14ac:dyDescent="0.15">
      <c r="A270" s="4">
        <f>A263+1</f>
        <v>39</v>
      </c>
      <c r="B270" s="137">
        <v>41904</v>
      </c>
      <c r="C270" s="8"/>
      <c r="D270" s="52"/>
      <c r="E270" s="7"/>
      <c r="F270" s="80"/>
      <c r="G270" s="81"/>
      <c r="H270" s="81"/>
      <c r="I270" s="10" t="s">
        <v>411</v>
      </c>
    </row>
    <row r="271" spans="1:10" x14ac:dyDescent="0.15">
      <c r="A271" s="11" t="s">
        <v>11</v>
      </c>
      <c r="B271" s="138">
        <v>41905</v>
      </c>
      <c r="C271" s="13" t="s">
        <v>14</v>
      </c>
      <c r="D271" s="54">
        <v>4.0787037037037038E-2</v>
      </c>
      <c r="E271" s="2">
        <v>144</v>
      </c>
      <c r="F271" s="83">
        <v>12.11</v>
      </c>
      <c r="G271" s="84">
        <f>D271/F271</f>
        <v>3.3680459981038019E-3</v>
      </c>
      <c r="H271" s="84" t="s">
        <v>455</v>
      </c>
      <c r="I271" s="10" t="s">
        <v>411</v>
      </c>
    </row>
    <row r="272" spans="1:10" x14ac:dyDescent="0.15">
      <c r="A272" s="15">
        <f>SUM(F270:F276)</f>
        <v>55.7</v>
      </c>
      <c r="B272" s="138">
        <v>41906</v>
      </c>
      <c r="C272" s="13" t="s">
        <v>14</v>
      </c>
      <c r="D272" s="54">
        <v>3.9930555555555552E-2</v>
      </c>
      <c r="E272" s="12">
        <v>140</v>
      </c>
      <c r="F272" s="83">
        <v>11.11</v>
      </c>
      <c r="G272" s="84">
        <f>D272/F272</f>
        <v>3.5941094109410939E-3</v>
      </c>
      <c r="H272" s="84" t="s">
        <v>471</v>
      </c>
      <c r="I272" s="10" t="s">
        <v>411</v>
      </c>
    </row>
    <row r="273" spans="1:10" x14ac:dyDescent="0.15">
      <c r="A273" s="2"/>
      <c r="B273" s="138">
        <v>41907</v>
      </c>
      <c r="C273" s="13"/>
      <c r="D273" s="54"/>
      <c r="E273" s="2"/>
      <c r="F273" s="83"/>
      <c r="G273" s="84"/>
      <c r="H273" s="84"/>
      <c r="I273" s="10" t="s">
        <v>411</v>
      </c>
    </row>
    <row r="274" spans="1:10" x14ac:dyDescent="0.15">
      <c r="A274" s="2"/>
      <c r="B274" s="138">
        <v>41908</v>
      </c>
      <c r="C274" s="13" t="s">
        <v>14</v>
      </c>
      <c r="D274" s="54">
        <v>3.3402777777777774E-2</v>
      </c>
      <c r="E274" s="12">
        <v>152</v>
      </c>
      <c r="F274" s="83">
        <v>10.39</v>
      </c>
      <c r="G274" s="84">
        <f>D274/F274</f>
        <v>3.2148968024810175E-3</v>
      </c>
      <c r="H274" s="84" t="s">
        <v>471</v>
      </c>
      <c r="I274" s="10" t="s">
        <v>411</v>
      </c>
    </row>
    <row r="275" spans="1:10" x14ac:dyDescent="0.15">
      <c r="A275" s="2"/>
      <c r="B275" s="138">
        <v>41909</v>
      </c>
      <c r="C275" s="13" t="s">
        <v>14</v>
      </c>
      <c r="D275" s="54">
        <v>7.9317129629629626E-2</v>
      </c>
      <c r="E275" s="12">
        <v>148</v>
      </c>
      <c r="F275" s="83">
        <v>22.09</v>
      </c>
      <c r="G275" s="84">
        <f>D275/F275</f>
        <v>3.5906351122512279E-3</v>
      </c>
      <c r="H275" s="84" t="s">
        <v>472</v>
      </c>
      <c r="I275" s="10" t="s">
        <v>411</v>
      </c>
    </row>
    <row r="276" spans="1:10" x14ac:dyDescent="0.15">
      <c r="A276" s="2"/>
      <c r="B276" s="90">
        <v>41910</v>
      </c>
      <c r="C276" s="13"/>
      <c r="D276" s="54"/>
      <c r="E276" s="12"/>
      <c r="F276" s="83"/>
      <c r="G276" s="84"/>
      <c r="H276" s="84"/>
      <c r="I276" s="10" t="s">
        <v>411</v>
      </c>
      <c r="J276" s="58"/>
    </row>
    <row r="277" spans="1:10" x14ac:dyDescent="0.15">
      <c r="A277" s="4">
        <f>A270+1</f>
        <v>40</v>
      </c>
      <c r="B277" s="137">
        <v>41911</v>
      </c>
      <c r="C277" s="8"/>
      <c r="D277" s="52"/>
      <c r="E277" s="7"/>
      <c r="F277" s="80"/>
      <c r="G277" s="81"/>
      <c r="H277" s="81"/>
      <c r="I277" s="10" t="s">
        <v>411</v>
      </c>
      <c r="J277" s="147"/>
    </row>
    <row r="278" spans="1:10" x14ac:dyDescent="0.15">
      <c r="A278" s="11" t="s">
        <v>11</v>
      </c>
      <c r="B278" s="138">
        <v>41912</v>
      </c>
      <c r="C278" s="13" t="s">
        <v>14</v>
      </c>
      <c r="D278" s="54">
        <v>4.87037037037037E-2</v>
      </c>
      <c r="E278" s="2">
        <v>122</v>
      </c>
      <c r="F278" s="83">
        <v>10.26</v>
      </c>
      <c r="G278" s="84">
        <f>D278/F278</f>
        <v>4.7469496787235577E-3</v>
      </c>
      <c r="H278" s="84" t="s">
        <v>455</v>
      </c>
      <c r="I278" s="10" t="s">
        <v>411</v>
      </c>
    </row>
    <row r="279" spans="1:10" x14ac:dyDescent="0.15">
      <c r="A279" s="15">
        <f>SUM(F277:F283)</f>
        <v>56.23</v>
      </c>
      <c r="B279" s="138">
        <v>41913</v>
      </c>
      <c r="C279" s="13" t="s">
        <v>464</v>
      </c>
      <c r="D279" s="54">
        <v>3.6979166666666667E-2</v>
      </c>
      <c r="E279" s="12">
        <v>141</v>
      </c>
      <c r="F279" s="83">
        <v>10.44</v>
      </c>
      <c r="G279" s="84">
        <f>D279/F279</f>
        <v>3.5420657726692212E-3</v>
      </c>
      <c r="H279" s="84" t="s">
        <v>472</v>
      </c>
      <c r="I279" s="10" t="s">
        <v>411</v>
      </c>
    </row>
    <row r="280" spans="1:10" x14ac:dyDescent="0.15">
      <c r="A280" s="2"/>
      <c r="B280" s="138">
        <v>41914</v>
      </c>
      <c r="C280" s="13"/>
      <c r="D280" s="54"/>
      <c r="E280" s="2"/>
      <c r="F280" s="83"/>
      <c r="G280" s="84"/>
      <c r="H280" s="84"/>
      <c r="I280" s="10" t="s">
        <v>411</v>
      </c>
    </row>
    <row r="281" spans="1:10" x14ac:dyDescent="0.15">
      <c r="A281" s="2"/>
      <c r="B281" s="138">
        <v>41915</v>
      </c>
      <c r="C281" s="13" t="s">
        <v>14</v>
      </c>
      <c r="D281" s="54">
        <v>3.1018518518518518E-2</v>
      </c>
      <c r="E281" s="12" t="s">
        <v>437</v>
      </c>
      <c r="F281" s="83">
        <v>9.6</v>
      </c>
      <c r="G281" s="84">
        <f>D281/F281</f>
        <v>3.2310956790123457E-3</v>
      </c>
      <c r="H281" s="84" t="s">
        <v>471</v>
      </c>
      <c r="I281" s="10" t="s">
        <v>411</v>
      </c>
    </row>
    <row r="282" spans="1:10" x14ac:dyDescent="0.15">
      <c r="A282" s="2"/>
      <c r="B282" s="138">
        <v>41916</v>
      </c>
      <c r="C282" s="13"/>
      <c r="D282" s="54"/>
      <c r="E282" s="12"/>
      <c r="F282" s="83"/>
      <c r="G282" s="84"/>
      <c r="H282" s="84"/>
      <c r="I282" s="10" t="s">
        <v>411</v>
      </c>
    </row>
    <row r="283" spans="1:10" x14ac:dyDescent="0.15">
      <c r="A283" s="2"/>
      <c r="B283" s="90">
        <v>41917</v>
      </c>
      <c r="C283" s="13" t="s">
        <v>474</v>
      </c>
      <c r="D283" s="54">
        <v>9.3391203703703712E-2</v>
      </c>
      <c r="E283" s="12">
        <v>145</v>
      </c>
      <c r="F283" s="83">
        <v>25.93</v>
      </c>
      <c r="G283" s="84">
        <f>D283/F283</f>
        <v>3.601666166745226E-3</v>
      </c>
      <c r="H283" s="84" t="s">
        <v>472</v>
      </c>
      <c r="I283" s="10" t="s">
        <v>411</v>
      </c>
    </row>
    <row r="284" spans="1:10" x14ac:dyDescent="0.15">
      <c r="A284" s="4">
        <f>A277+1</f>
        <v>41</v>
      </c>
      <c r="B284" s="137">
        <v>41918</v>
      </c>
      <c r="C284" s="8"/>
      <c r="D284" s="52"/>
      <c r="E284" s="7"/>
      <c r="F284" s="80"/>
      <c r="G284" s="81"/>
      <c r="H284" s="81"/>
      <c r="I284" s="10" t="s">
        <v>411</v>
      </c>
    </row>
    <row r="285" spans="1:10" x14ac:dyDescent="0.15">
      <c r="A285" s="11" t="s">
        <v>11</v>
      </c>
      <c r="B285" s="138">
        <v>41919</v>
      </c>
      <c r="C285" s="13" t="s">
        <v>464</v>
      </c>
      <c r="D285" s="54">
        <v>3.4722222222222224E-2</v>
      </c>
      <c r="E285" s="2" t="s">
        <v>437</v>
      </c>
      <c r="F285" s="83">
        <v>10.59</v>
      </c>
      <c r="G285" s="84">
        <f>D285/F285</f>
        <v>3.2787745252334491E-3</v>
      </c>
      <c r="H285" s="84" t="s">
        <v>472</v>
      </c>
      <c r="I285" s="10" t="s">
        <v>411</v>
      </c>
    </row>
    <row r="286" spans="1:10" x14ac:dyDescent="0.15">
      <c r="A286" s="15">
        <f>SUM(F284:F290)</f>
        <v>78.88</v>
      </c>
      <c r="B286" s="138">
        <v>41920</v>
      </c>
      <c r="C286" s="13" t="s">
        <v>14</v>
      </c>
      <c r="D286" s="54">
        <v>4.0196759259259258E-2</v>
      </c>
      <c r="E286" s="12">
        <v>146</v>
      </c>
      <c r="F286" s="83">
        <v>12.2</v>
      </c>
      <c r="G286" s="84">
        <f>D286/F286</f>
        <v>3.294816332726169E-3</v>
      </c>
      <c r="H286" s="84" t="s">
        <v>471</v>
      </c>
      <c r="I286" s="10" t="s">
        <v>411</v>
      </c>
    </row>
    <row r="287" spans="1:10" x14ac:dyDescent="0.15">
      <c r="A287" s="2"/>
      <c r="B287" s="138">
        <v>41921</v>
      </c>
      <c r="C287" s="13" t="s">
        <v>447</v>
      </c>
      <c r="D287" s="54">
        <v>4.8148148148148141E-2</v>
      </c>
      <c r="E287" s="2">
        <v>135</v>
      </c>
      <c r="F287" s="83">
        <v>13.67</v>
      </c>
      <c r="G287" s="84">
        <f>D287/F287</f>
        <v>3.5221761629954749E-3</v>
      </c>
      <c r="H287" s="84" t="s">
        <v>472</v>
      </c>
      <c r="I287" s="10" t="s">
        <v>411</v>
      </c>
    </row>
    <row r="288" spans="1:10" x14ac:dyDescent="0.15">
      <c r="A288" s="2"/>
      <c r="B288" s="138">
        <v>41922</v>
      </c>
      <c r="C288" s="13"/>
      <c r="D288" s="54"/>
      <c r="E288" s="12"/>
      <c r="F288" s="83"/>
      <c r="G288" s="84"/>
      <c r="H288" s="84"/>
      <c r="I288" s="10" t="s">
        <v>411</v>
      </c>
    </row>
    <row r="289" spans="1:9" x14ac:dyDescent="0.15">
      <c r="A289" s="2"/>
      <c r="B289" s="138">
        <v>41923</v>
      </c>
      <c r="C289" s="13" t="s">
        <v>14</v>
      </c>
      <c r="D289" s="54">
        <v>4.0520833333333339E-2</v>
      </c>
      <c r="E289" s="12">
        <v>138</v>
      </c>
      <c r="F289" s="83">
        <v>12.15</v>
      </c>
      <c r="G289" s="84">
        <f>D289/F289</f>
        <v>3.3350480109739372E-3</v>
      </c>
      <c r="H289" s="84" t="s">
        <v>466</v>
      </c>
      <c r="I289" s="10" t="s">
        <v>411</v>
      </c>
    </row>
    <row r="290" spans="1:9" x14ac:dyDescent="0.15">
      <c r="A290" s="2"/>
      <c r="B290" s="90">
        <v>41924</v>
      </c>
      <c r="C290" s="13" t="s">
        <v>14</v>
      </c>
      <c r="D290" s="54">
        <v>0.1036111111111111</v>
      </c>
      <c r="E290" s="12">
        <v>145</v>
      </c>
      <c r="F290" s="83">
        <v>30.27</v>
      </c>
      <c r="G290" s="84">
        <f>D290/F290</f>
        <v>3.4228976250780013E-3</v>
      </c>
      <c r="H290" s="84" t="s">
        <v>472</v>
      </c>
      <c r="I290" s="10" t="s">
        <v>411</v>
      </c>
    </row>
    <row r="291" spans="1:9" x14ac:dyDescent="0.15">
      <c r="A291" s="4">
        <f>A284+1</f>
        <v>42</v>
      </c>
      <c r="B291" s="137">
        <v>41925</v>
      </c>
      <c r="C291" s="8"/>
      <c r="D291" s="52"/>
      <c r="E291" s="7"/>
      <c r="F291" s="80"/>
      <c r="G291" s="81"/>
      <c r="H291" s="81"/>
      <c r="I291" s="10" t="s">
        <v>411</v>
      </c>
    </row>
    <row r="292" spans="1:9" x14ac:dyDescent="0.15">
      <c r="A292" s="11" t="s">
        <v>11</v>
      </c>
      <c r="B292" s="138">
        <v>41926</v>
      </c>
      <c r="C292" s="13" t="s">
        <v>14</v>
      </c>
      <c r="D292" s="54">
        <v>4.4675925925925918E-2</v>
      </c>
      <c r="E292" s="2" t="s">
        <v>437</v>
      </c>
      <c r="F292" s="83">
        <v>10.5</v>
      </c>
      <c r="G292" s="84">
        <f>D292/F292</f>
        <v>4.2548500881834208E-3</v>
      </c>
      <c r="H292" s="84" t="s">
        <v>455</v>
      </c>
      <c r="I292" s="10" t="s">
        <v>411</v>
      </c>
    </row>
    <row r="293" spans="1:9" x14ac:dyDescent="0.15">
      <c r="A293" s="15">
        <f>SUM(F291:F297)</f>
        <v>46.230000000000004</v>
      </c>
      <c r="B293" s="138">
        <v>41927</v>
      </c>
      <c r="C293" s="13"/>
      <c r="D293" s="54"/>
      <c r="E293" s="12"/>
      <c r="F293" s="83"/>
      <c r="G293" s="84"/>
      <c r="H293" s="84"/>
      <c r="I293" s="10" t="s">
        <v>411</v>
      </c>
    </row>
    <row r="294" spans="1:9" x14ac:dyDescent="0.15">
      <c r="A294" s="2"/>
      <c r="B294" s="138">
        <v>41928</v>
      </c>
      <c r="C294" s="13" t="s">
        <v>447</v>
      </c>
      <c r="D294" s="54">
        <v>4.2569444444444438E-2</v>
      </c>
      <c r="E294" s="2" t="s">
        <v>437</v>
      </c>
      <c r="F294" s="83">
        <v>12.33</v>
      </c>
      <c r="G294" s="84">
        <f>D294/F294</f>
        <v>3.4525096873028742E-3</v>
      </c>
      <c r="H294" s="84" t="s">
        <v>471</v>
      </c>
      <c r="I294" s="10" t="s">
        <v>411</v>
      </c>
    </row>
    <row r="295" spans="1:9" x14ac:dyDescent="0.15">
      <c r="A295" s="2"/>
      <c r="B295" s="138">
        <v>41929</v>
      </c>
      <c r="C295" s="13"/>
      <c r="D295" s="54"/>
      <c r="E295" s="12"/>
      <c r="F295" s="83"/>
      <c r="G295" s="84"/>
      <c r="H295" s="84"/>
      <c r="I295" s="10" t="s">
        <v>411</v>
      </c>
    </row>
    <row r="296" spans="1:9" x14ac:dyDescent="0.15">
      <c r="A296" s="2"/>
      <c r="B296" s="138">
        <v>41930</v>
      </c>
      <c r="C296" s="13" t="s">
        <v>14</v>
      </c>
      <c r="D296" s="54">
        <v>3.6967592592592594E-2</v>
      </c>
      <c r="E296" s="12" t="s">
        <v>437</v>
      </c>
      <c r="F296" s="83">
        <v>11.1</v>
      </c>
      <c r="G296" s="84">
        <f>D296/F296</f>
        <v>3.330413747080414E-3</v>
      </c>
      <c r="H296" s="84" t="s">
        <v>471</v>
      </c>
      <c r="I296" s="10" t="s">
        <v>411</v>
      </c>
    </row>
    <row r="297" spans="1:9" x14ac:dyDescent="0.15">
      <c r="A297" s="2"/>
      <c r="B297" s="90">
        <v>41931</v>
      </c>
      <c r="C297" s="13" t="s">
        <v>14</v>
      </c>
      <c r="D297" s="54">
        <v>4.0844907407407413E-2</v>
      </c>
      <c r="E297" s="12" t="s">
        <v>437</v>
      </c>
      <c r="F297" s="83">
        <v>12.3</v>
      </c>
      <c r="G297" s="84">
        <f>D297/F297</f>
        <v>3.3207241794640172E-3</v>
      </c>
      <c r="H297" s="84" t="s">
        <v>472</v>
      </c>
      <c r="I297" s="10" t="s">
        <v>411</v>
      </c>
    </row>
    <row r="298" spans="1:9" x14ac:dyDescent="0.15">
      <c r="A298" s="4">
        <f>A291+1</f>
        <v>43</v>
      </c>
      <c r="B298" s="137">
        <v>41932</v>
      </c>
      <c r="C298" s="8"/>
      <c r="D298" s="52"/>
      <c r="E298" s="7"/>
      <c r="F298" s="80"/>
      <c r="G298" s="81"/>
      <c r="H298" s="81"/>
      <c r="I298" s="10" t="s">
        <v>411</v>
      </c>
    </row>
    <row r="299" spans="1:9" x14ac:dyDescent="0.15">
      <c r="A299" s="11" t="s">
        <v>11</v>
      </c>
      <c r="B299" s="138">
        <v>41933</v>
      </c>
      <c r="C299" s="13" t="s">
        <v>447</v>
      </c>
      <c r="D299" s="54">
        <v>4.0775462962962965E-2</v>
      </c>
      <c r="E299" s="2" t="s">
        <v>437</v>
      </c>
      <c r="F299" s="83">
        <v>12.3</v>
      </c>
      <c r="G299" s="84">
        <f>D299/F299</f>
        <v>3.3150782896717856E-3</v>
      </c>
      <c r="H299" s="84" t="s">
        <v>471</v>
      </c>
      <c r="I299" s="10" t="s">
        <v>411</v>
      </c>
    </row>
    <row r="300" spans="1:9" x14ac:dyDescent="0.15">
      <c r="A300" s="15">
        <f>SUM(F298:F304)</f>
        <v>52.39</v>
      </c>
      <c r="B300" s="138">
        <v>41934</v>
      </c>
      <c r="C300" s="13"/>
      <c r="D300" s="54"/>
      <c r="E300" s="12"/>
      <c r="F300" s="83"/>
      <c r="G300" s="84"/>
      <c r="H300" s="84"/>
      <c r="I300" s="10" t="s">
        <v>411</v>
      </c>
    </row>
    <row r="301" spans="1:9" x14ac:dyDescent="0.15">
      <c r="A301" s="2"/>
      <c r="B301" s="138">
        <v>41935</v>
      </c>
      <c r="C301" s="13" t="s">
        <v>14</v>
      </c>
      <c r="D301" s="54">
        <v>0.10243055555555555</v>
      </c>
      <c r="E301" s="2" t="s">
        <v>437</v>
      </c>
      <c r="F301" s="83">
        <v>30.49</v>
      </c>
      <c r="G301" s="84">
        <f>D301/F301</f>
        <v>3.3594803396377682E-3</v>
      </c>
      <c r="H301" s="84" t="s">
        <v>472</v>
      </c>
      <c r="I301" s="10" t="s">
        <v>411</v>
      </c>
    </row>
    <row r="302" spans="1:9" x14ac:dyDescent="0.15">
      <c r="A302" s="2"/>
      <c r="B302" s="138">
        <v>41936</v>
      </c>
      <c r="C302" s="13"/>
      <c r="D302" s="54"/>
      <c r="E302" s="12"/>
      <c r="F302" s="83"/>
      <c r="G302" s="84"/>
      <c r="H302" s="84"/>
      <c r="I302" s="10" t="s">
        <v>411</v>
      </c>
    </row>
    <row r="303" spans="1:9" x14ac:dyDescent="0.15">
      <c r="A303" s="2"/>
      <c r="B303" s="138">
        <v>41937</v>
      </c>
      <c r="C303" s="13"/>
      <c r="D303" s="54"/>
      <c r="E303" s="12"/>
      <c r="F303" s="83"/>
      <c r="G303" s="84"/>
      <c r="H303" s="84"/>
      <c r="I303" s="10" t="s">
        <v>411</v>
      </c>
    </row>
    <row r="304" spans="1:9" x14ac:dyDescent="0.15">
      <c r="A304" s="2"/>
      <c r="B304" s="90">
        <v>41938</v>
      </c>
      <c r="C304" s="13" t="s">
        <v>14</v>
      </c>
      <c r="D304" s="54">
        <v>3.2199074074074074E-2</v>
      </c>
      <c r="E304" s="12" t="s">
        <v>437</v>
      </c>
      <c r="F304" s="83">
        <v>9.6</v>
      </c>
      <c r="G304" s="84">
        <f>D304/F304</f>
        <v>3.354070216049383E-3</v>
      </c>
      <c r="H304" s="84" t="s">
        <v>471</v>
      </c>
      <c r="I304" s="10" t="s">
        <v>411</v>
      </c>
    </row>
    <row r="305" spans="1:9" x14ac:dyDescent="0.15">
      <c r="A305" s="4">
        <f>A298+1</f>
        <v>44</v>
      </c>
      <c r="B305" s="137">
        <v>41939</v>
      </c>
      <c r="C305" s="8" t="s">
        <v>447</v>
      </c>
      <c r="D305" s="52">
        <v>3.6203703703703703E-2</v>
      </c>
      <c r="E305" s="7" t="s">
        <v>437</v>
      </c>
      <c r="F305" s="80">
        <v>10.46</v>
      </c>
      <c r="G305" s="81">
        <f>D305/F305</f>
        <v>3.4611571418454779E-3</v>
      </c>
      <c r="H305" s="81" t="s">
        <v>471</v>
      </c>
      <c r="I305" s="10" t="s">
        <v>411</v>
      </c>
    </row>
    <row r="306" spans="1:9" x14ac:dyDescent="0.15">
      <c r="A306" s="11" t="s">
        <v>11</v>
      </c>
      <c r="B306" s="138">
        <v>41940</v>
      </c>
      <c r="C306" s="13"/>
      <c r="D306" s="54"/>
      <c r="E306" s="2"/>
      <c r="F306" s="83"/>
      <c r="G306" s="84"/>
      <c r="H306" s="84"/>
      <c r="I306" s="10" t="s">
        <v>411</v>
      </c>
    </row>
    <row r="307" spans="1:9" x14ac:dyDescent="0.15">
      <c r="A307" s="15">
        <f>SUM(F305:F311)</f>
        <v>68.355000000000004</v>
      </c>
      <c r="B307" s="138">
        <v>41941</v>
      </c>
      <c r="C307" s="13" t="s">
        <v>14</v>
      </c>
      <c r="D307" s="54" t="s">
        <v>437</v>
      </c>
      <c r="E307" s="12" t="s">
        <v>437</v>
      </c>
      <c r="F307" s="83">
        <v>10</v>
      </c>
      <c r="G307" s="84" t="s">
        <v>437</v>
      </c>
      <c r="H307" s="84" t="s">
        <v>472</v>
      </c>
      <c r="I307" s="10" t="s">
        <v>411</v>
      </c>
    </row>
    <row r="308" spans="1:9" x14ac:dyDescent="0.15">
      <c r="A308" s="2"/>
      <c r="B308" s="138">
        <v>41942</v>
      </c>
      <c r="C308" s="13"/>
      <c r="D308" s="54"/>
      <c r="E308" s="2"/>
      <c r="F308" s="83"/>
      <c r="G308" s="84"/>
      <c r="H308" s="84"/>
      <c r="I308" s="10" t="s">
        <v>411</v>
      </c>
    </row>
    <row r="309" spans="1:9" x14ac:dyDescent="0.15">
      <c r="A309" s="2"/>
      <c r="B309" s="138">
        <v>41943</v>
      </c>
      <c r="C309" s="13" t="s">
        <v>14</v>
      </c>
      <c r="D309" s="54" t="s">
        <v>437</v>
      </c>
      <c r="E309" s="12" t="s">
        <v>437</v>
      </c>
      <c r="F309" s="83">
        <v>5.7</v>
      </c>
      <c r="G309" s="84" t="s">
        <v>437</v>
      </c>
      <c r="H309" s="84" t="s">
        <v>472</v>
      </c>
      <c r="I309" s="10" t="s">
        <v>411</v>
      </c>
    </row>
    <row r="310" spans="1:9" x14ac:dyDescent="0.15">
      <c r="A310" s="2"/>
      <c r="B310" s="138">
        <v>41944</v>
      </c>
      <c r="C310" s="13"/>
      <c r="D310" s="54"/>
      <c r="E310" s="12"/>
      <c r="F310" s="83"/>
      <c r="G310" s="84"/>
      <c r="H310" s="84"/>
      <c r="I310" s="10" t="s">
        <v>411</v>
      </c>
    </row>
    <row r="311" spans="1:9" x14ac:dyDescent="0.15">
      <c r="A311" s="2"/>
      <c r="B311" s="90">
        <v>41945</v>
      </c>
      <c r="C311" s="141" t="s">
        <v>424</v>
      </c>
      <c r="D311" s="142">
        <v>0.13983796296296297</v>
      </c>
      <c r="E311" s="143" t="s">
        <v>437</v>
      </c>
      <c r="F311" s="144">
        <v>42.195</v>
      </c>
      <c r="G311" s="145">
        <f>D311/F311</f>
        <v>3.314088469320132E-3</v>
      </c>
      <c r="H311" s="145" t="s">
        <v>472</v>
      </c>
      <c r="I311" s="10" t="s">
        <v>411</v>
      </c>
    </row>
    <row r="312" spans="1:9" x14ac:dyDescent="0.15">
      <c r="A312" s="4">
        <f>A305+1</f>
        <v>45</v>
      </c>
      <c r="B312" s="137">
        <v>41946</v>
      </c>
      <c r="C312" s="8"/>
      <c r="D312" s="52"/>
      <c r="E312" s="7"/>
      <c r="F312" s="80"/>
      <c r="G312" s="81"/>
      <c r="H312" s="81"/>
      <c r="I312" s="10" t="s">
        <v>411</v>
      </c>
    </row>
    <row r="313" spans="1:9" x14ac:dyDescent="0.15">
      <c r="A313" s="11" t="s">
        <v>11</v>
      </c>
      <c r="B313" s="138">
        <v>41947</v>
      </c>
      <c r="C313" s="13"/>
      <c r="D313" s="54"/>
      <c r="E313" s="2"/>
      <c r="F313" s="83"/>
      <c r="G313" s="84"/>
      <c r="H313" s="84"/>
      <c r="I313" s="10" t="s">
        <v>411</v>
      </c>
    </row>
    <row r="314" spans="1:9" x14ac:dyDescent="0.15">
      <c r="A314" s="15">
        <f>SUM(F312:F318)</f>
        <v>20.87</v>
      </c>
      <c r="B314" s="138">
        <v>41948</v>
      </c>
      <c r="C314" s="13" t="s">
        <v>14</v>
      </c>
      <c r="D314" s="54" t="s">
        <v>437</v>
      </c>
      <c r="E314" s="12" t="s">
        <v>437</v>
      </c>
      <c r="F314" s="83">
        <v>10.46</v>
      </c>
      <c r="G314" s="84" t="s">
        <v>437</v>
      </c>
      <c r="H314" s="84" t="s">
        <v>471</v>
      </c>
      <c r="I314" s="10" t="s">
        <v>411</v>
      </c>
    </row>
    <row r="315" spans="1:9" x14ac:dyDescent="0.15">
      <c r="A315" s="2"/>
      <c r="B315" s="138">
        <v>41949</v>
      </c>
      <c r="C315" s="13"/>
      <c r="D315" s="54"/>
      <c r="E315" s="2"/>
      <c r="F315" s="83"/>
      <c r="G315" s="84"/>
      <c r="H315" s="84"/>
      <c r="I315" s="10" t="s">
        <v>411</v>
      </c>
    </row>
    <row r="316" spans="1:9" x14ac:dyDescent="0.15">
      <c r="A316" s="2"/>
      <c r="B316" s="138">
        <v>41950</v>
      </c>
      <c r="C316" s="13" t="s">
        <v>14</v>
      </c>
      <c r="D316" s="54">
        <v>3.7071759259259263E-2</v>
      </c>
      <c r="E316" s="12" t="s">
        <v>437</v>
      </c>
      <c r="F316" s="83">
        <v>10.41</v>
      </c>
      <c r="G316" s="84">
        <f>D316/F316</f>
        <v>3.5611680364322057E-3</v>
      </c>
      <c r="H316" s="84" t="s">
        <v>475</v>
      </c>
      <c r="I316" s="10" t="s">
        <v>411</v>
      </c>
    </row>
    <row r="317" spans="1:9" x14ac:dyDescent="0.15">
      <c r="B317" s="138">
        <v>41951</v>
      </c>
      <c r="C317" s="13"/>
      <c r="D317" s="54"/>
      <c r="E317" s="12"/>
      <c r="F317" s="83"/>
      <c r="G317" s="84"/>
      <c r="H317" s="84"/>
      <c r="I317" s="10" t="s">
        <v>411</v>
      </c>
    </row>
    <row r="318" spans="1:9" x14ac:dyDescent="0.15">
      <c r="B318" s="90">
        <v>41952</v>
      </c>
      <c r="C318" s="141"/>
      <c r="D318" s="142"/>
      <c r="E318" s="143"/>
      <c r="F318" s="144"/>
      <c r="G318" s="145"/>
      <c r="H318" s="145"/>
      <c r="I318" s="10" t="s">
        <v>411</v>
      </c>
    </row>
    <row r="319" spans="1:9" x14ac:dyDescent="0.15">
      <c r="A319" s="4">
        <f>A312+1</f>
        <v>46</v>
      </c>
      <c r="B319" s="137">
        <v>41953</v>
      </c>
      <c r="C319" s="8" t="s">
        <v>14</v>
      </c>
      <c r="D319" s="52">
        <v>3.8553240740740742E-2</v>
      </c>
      <c r="E319" s="7" t="s">
        <v>437</v>
      </c>
      <c r="F319" s="80">
        <v>10.5</v>
      </c>
      <c r="G319" s="81">
        <f>D319/F319</f>
        <v>3.6717372134038801E-3</v>
      </c>
      <c r="H319" s="81" t="s">
        <v>475</v>
      </c>
      <c r="I319" s="10" t="s">
        <v>411</v>
      </c>
    </row>
    <row r="320" spans="1:9" x14ac:dyDescent="0.15">
      <c r="A320" s="11" t="s">
        <v>11</v>
      </c>
      <c r="B320" s="138">
        <v>41954</v>
      </c>
      <c r="C320" s="13"/>
      <c r="D320" s="54"/>
      <c r="E320" s="2"/>
      <c r="F320" s="83"/>
      <c r="G320" s="84"/>
      <c r="H320" s="84"/>
      <c r="I320" s="10" t="s">
        <v>411</v>
      </c>
    </row>
    <row r="321" spans="1:9" x14ac:dyDescent="0.15">
      <c r="A321" s="15">
        <f>SUM(F319:F325)</f>
        <v>42.43</v>
      </c>
      <c r="B321" s="138">
        <v>41955</v>
      </c>
      <c r="C321" s="13" t="s">
        <v>14</v>
      </c>
      <c r="D321" s="54">
        <v>3.5972222222222218E-2</v>
      </c>
      <c r="E321" s="12" t="s">
        <v>437</v>
      </c>
      <c r="F321" s="83">
        <v>10.48</v>
      </c>
      <c r="G321" s="84">
        <f>D321/F321</f>
        <v>3.4324639525021199E-3</v>
      </c>
      <c r="H321" s="84" t="s">
        <v>472</v>
      </c>
      <c r="I321" s="10" t="s">
        <v>411</v>
      </c>
    </row>
    <row r="322" spans="1:9" x14ac:dyDescent="0.15">
      <c r="A322" s="2"/>
      <c r="B322" s="138">
        <v>41956</v>
      </c>
      <c r="C322" s="13"/>
      <c r="D322" s="54"/>
      <c r="E322" s="2"/>
      <c r="F322" s="83"/>
      <c r="G322" s="84"/>
      <c r="H322" s="84"/>
      <c r="I322" s="10" t="s">
        <v>411</v>
      </c>
    </row>
    <row r="323" spans="1:9" x14ac:dyDescent="0.15">
      <c r="A323" s="2"/>
      <c r="B323" s="138">
        <v>41957</v>
      </c>
      <c r="C323" s="13" t="s">
        <v>14</v>
      </c>
      <c r="D323" s="54">
        <v>3.7476851851851851E-2</v>
      </c>
      <c r="E323" s="12" t="s">
        <v>437</v>
      </c>
      <c r="F323" s="83">
        <v>10.41</v>
      </c>
      <c r="G323" s="84">
        <f>D323/F323</f>
        <v>3.6000818301490729E-3</v>
      </c>
      <c r="H323" s="84" t="s">
        <v>471</v>
      </c>
      <c r="I323" s="10" t="s">
        <v>411</v>
      </c>
    </row>
    <row r="324" spans="1:9" x14ac:dyDescent="0.15">
      <c r="B324" s="138">
        <v>41958</v>
      </c>
      <c r="C324" s="13"/>
      <c r="D324" s="54"/>
      <c r="E324" s="12"/>
      <c r="F324" s="83"/>
      <c r="G324" s="84"/>
      <c r="H324" s="84"/>
      <c r="I324" s="10" t="s">
        <v>411</v>
      </c>
    </row>
    <row r="325" spans="1:9" x14ac:dyDescent="0.15">
      <c r="B325" s="90">
        <v>41959</v>
      </c>
      <c r="C325" s="13" t="s">
        <v>14</v>
      </c>
      <c r="D325" s="54">
        <v>3.5057870370370371E-2</v>
      </c>
      <c r="E325" s="12" t="s">
        <v>437</v>
      </c>
      <c r="F325" s="83">
        <v>11.04</v>
      </c>
      <c r="G325" s="84">
        <f>D325/F325</f>
        <v>3.1755317364465917E-3</v>
      </c>
      <c r="H325" s="84" t="s">
        <v>475</v>
      </c>
      <c r="I325" s="10" t="s">
        <v>411</v>
      </c>
    </row>
    <row r="326" spans="1:9" x14ac:dyDescent="0.15">
      <c r="A326" s="4">
        <f>A319+1</f>
        <v>47</v>
      </c>
      <c r="B326" s="137">
        <v>41960</v>
      </c>
      <c r="C326" s="8"/>
      <c r="D326" s="52"/>
      <c r="E326" s="7"/>
      <c r="F326" s="80"/>
      <c r="G326" s="81"/>
      <c r="H326" s="81"/>
      <c r="I326" s="10" t="s">
        <v>411</v>
      </c>
    </row>
    <row r="327" spans="1:9" x14ac:dyDescent="0.15">
      <c r="A327" s="11" t="s">
        <v>11</v>
      </c>
      <c r="B327" s="138">
        <v>41961</v>
      </c>
      <c r="C327" s="13"/>
      <c r="D327" s="54"/>
      <c r="E327" s="2"/>
      <c r="F327" s="83"/>
      <c r="G327" s="84"/>
      <c r="H327" s="84"/>
      <c r="I327" s="10" t="s">
        <v>411</v>
      </c>
    </row>
    <row r="328" spans="1:9" x14ac:dyDescent="0.15">
      <c r="A328" s="15">
        <f>SUM(F326:F332)</f>
        <v>10.42</v>
      </c>
      <c r="B328" s="138">
        <v>41962</v>
      </c>
      <c r="C328" s="13"/>
      <c r="D328" s="54"/>
      <c r="E328" s="12"/>
      <c r="F328" s="83"/>
      <c r="G328" s="84"/>
      <c r="H328" s="84"/>
      <c r="I328" s="10" t="s">
        <v>411</v>
      </c>
    </row>
    <row r="329" spans="1:9" x14ac:dyDescent="0.15">
      <c r="A329" s="2"/>
      <c r="B329" s="138">
        <v>41963</v>
      </c>
      <c r="C329" s="13"/>
      <c r="D329" s="54"/>
      <c r="E329" s="2"/>
      <c r="F329" s="83"/>
      <c r="G329" s="84"/>
      <c r="H329" s="84"/>
      <c r="I329" s="10" t="s">
        <v>411</v>
      </c>
    </row>
    <row r="330" spans="1:9" x14ac:dyDescent="0.15">
      <c r="A330" s="2"/>
      <c r="B330" s="138">
        <v>41964</v>
      </c>
      <c r="C330" s="13" t="s">
        <v>14</v>
      </c>
      <c r="D330" s="54" t="s">
        <v>437</v>
      </c>
      <c r="E330" s="12" t="s">
        <v>437</v>
      </c>
      <c r="F330" s="83">
        <v>10.42</v>
      </c>
      <c r="G330" s="84" t="s">
        <v>437</v>
      </c>
      <c r="H330" s="84" t="s">
        <v>475</v>
      </c>
      <c r="I330" s="10" t="s">
        <v>411</v>
      </c>
    </row>
    <row r="331" spans="1:9" x14ac:dyDescent="0.15">
      <c r="B331" s="138">
        <v>41965</v>
      </c>
      <c r="C331" s="13"/>
      <c r="D331" s="54"/>
      <c r="E331" s="12"/>
      <c r="F331" s="83"/>
      <c r="G331" s="84"/>
      <c r="H331" s="84"/>
      <c r="I331" s="10" t="s">
        <v>411</v>
      </c>
    </row>
    <row r="332" spans="1:9" x14ac:dyDescent="0.15">
      <c r="B332" s="90">
        <v>41966</v>
      </c>
      <c r="C332" s="13"/>
      <c r="D332" s="54"/>
      <c r="E332" s="12"/>
      <c r="F332" s="83"/>
      <c r="G332" s="84"/>
      <c r="H332" s="84"/>
      <c r="I332" s="10" t="s">
        <v>411</v>
      </c>
    </row>
    <row r="333" spans="1:9" x14ac:dyDescent="0.15">
      <c r="A333" s="4">
        <f>A326+1</f>
        <v>48</v>
      </c>
      <c r="B333" s="137">
        <v>41967</v>
      </c>
      <c r="C333" s="8"/>
      <c r="D333" s="52"/>
      <c r="E333" s="7"/>
      <c r="F333" s="80"/>
      <c r="G333" s="81"/>
      <c r="H333" s="81"/>
      <c r="I333" s="10" t="s">
        <v>411</v>
      </c>
    </row>
    <row r="334" spans="1:9" x14ac:dyDescent="0.15">
      <c r="A334" s="11" t="s">
        <v>11</v>
      </c>
      <c r="B334" s="138">
        <v>41968</v>
      </c>
      <c r="C334" s="13"/>
      <c r="D334" s="54"/>
      <c r="E334" s="2"/>
      <c r="F334" s="83"/>
      <c r="G334" s="84"/>
      <c r="H334" s="84"/>
      <c r="I334" s="10" t="s">
        <v>411</v>
      </c>
    </row>
    <row r="335" spans="1:9" x14ac:dyDescent="0.15">
      <c r="A335" s="15">
        <f>SUM(F333:F339)</f>
        <v>21.42</v>
      </c>
      <c r="B335" s="138">
        <v>41969</v>
      </c>
      <c r="C335" s="13" t="s">
        <v>14</v>
      </c>
      <c r="D335" s="54">
        <v>3.5451388888888886E-2</v>
      </c>
      <c r="E335" s="12" t="s">
        <v>437</v>
      </c>
      <c r="F335" s="83">
        <v>10.4</v>
      </c>
      <c r="G335" s="84">
        <f>D335/F335</f>
        <v>3.4087873931623928E-3</v>
      </c>
      <c r="H335" s="84" t="s">
        <v>472</v>
      </c>
      <c r="I335" s="10" t="s">
        <v>411</v>
      </c>
    </row>
    <row r="336" spans="1:9" x14ac:dyDescent="0.15">
      <c r="A336" s="2"/>
      <c r="B336" s="138">
        <v>41970</v>
      </c>
      <c r="C336" s="13"/>
      <c r="D336" s="54"/>
      <c r="E336" s="2"/>
      <c r="F336" s="83"/>
      <c r="G336" s="84"/>
      <c r="H336" s="84"/>
      <c r="I336" s="10" t="s">
        <v>411</v>
      </c>
    </row>
    <row r="337" spans="1:9" x14ac:dyDescent="0.15">
      <c r="A337" s="2"/>
      <c r="B337" s="138">
        <v>41971</v>
      </c>
      <c r="C337" s="13"/>
      <c r="D337" s="54"/>
      <c r="E337" s="12"/>
      <c r="F337" s="83"/>
      <c r="G337" s="84"/>
      <c r="H337" s="84"/>
      <c r="I337" s="10" t="s">
        <v>411</v>
      </c>
    </row>
    <row r="338" spans="1:9" x14ac:dyDescent="0.15">
      <c r="B338" s="138">
        <v>41972</v>
      </c>
      <c r="C338" s="13" t="s">
        <v>14</v>
      </c>
      <c r="D338" s="54">
        <v>3.9027777777777779E-2</v>
      </c>
      <c r="E338" s="12" t="s">
        <v>437</v>
      </c>
      <c r="F338" s="83">
        <v>11.02</v>
      </c>
      <c r="G338" s="84">
        <f>D338/F338</f>
        <v>3.5415406331921759E-3</v>
      </c>
      <c r="H338" s="84" t="s">
        <v>471</v>
      </c>
      <c r="I338" s="10" t="s">
        <v>411</v>
      </c>
    </row>
    <row r="339" spans="1:9" x14ac:dyDescent="0.15">
      <c r="B339" s="90">
        <v>41973</v>
      </c>
      <c r="C339" s="13"/>
      <c r="D339" s="54"/>
      <c r="E339" s="12"/>
      <c r="F339" s="83"/>
      <c r="G339" s="84"/>
      <c r="H339" s="84"/>
      <c r="I339" s="10" t="s">
        <v>411</v>
      </c>
    </row>
    <row r="340" spans="1:9" x14ac:dyDescent="0.15">
      <c r="A340" s="4">
        <f>A333+1</f>
        <v>49</v>
      </c>
      <c r="B340" s="137">
        <v>41974</v>
      </c>
      <c r="C340" s="8"/>
      <c r="D340" s="52"/>
      <c r="E340" s="7"/>
      <c r="F340" s="80"/>
      <c r="G340" s="81"/>
      <c r="H340" s="81"/>
      <c r="I340" s="10" t="s">
        <v>411</v>
      </c>
    </row>
    <row r="341" spans="1:9" x14ac:dyDescent="0.15">
      <c r="A341" s="11" t="s">
        <v>11</v>
      </c>
      <c r="B341" s="138">
        <v>41975</v>
      </c>
      <c r="C341" s="13"/>
      <c r="D341" s="54"/>
      <c r="E341" s="2"/>
      <c r="F341" s="83"/>
      <c r="G341" s="84"/>
      <c r="H341" s="84"/>
      <c r="I341" s="10" t="s">
        <v>411</v>
      </c>
    </row>
    <row r="342" spans="1:9" x14ac:dyDescent="0.15">
      <c r="A342" s="15">
        <f>SUM(F340:F346)</f>
        <v>11.16</v>
      </c>
      <c r="B342" s="138">
        <v>41976</v>
      </c>
      <c r="C342" s="13"/>
      <c r="D342" s="54"/>
      <c r="E342" s="12"/>
      <c r="F342" s="83"/>
      <c r="G342" s="84"/>
      <c r="H342" s="84"/>
      <c r="I342" s="10" t="s">
        <v>411</v>
      </c>
    </row>
    <row r="343" spans="1:9" x14ac:dyDescent="0.15">
      <c r="A343" s="2"/>
      <c r="B343" s="138">
        <v>41977</v>
      </c>
      <c r="C343" s="13" t="s">
        <v>14</v>
      </c>
      <c r="D343" s="54">
        <v>4.0891203703703707E-2</v>
      </c>
      <c r="E343" s="2" t="s">
        <v>437</v>
      </c>
      <c r="F343" s="83">
        <v>11.16</v>
      </c>
      <c r="G343" s="84">
        <f>D343/F343</f>
        <v>3.6640863533784684E-3</v>
      </c>
      <c r="H343" s="84" t="s">
        <v>472</v>
      </c>
      <c r="I343" s="10" t="s">
        <v>411</v>
      </c>
    </row>
    <row r="344" spans="1:9" x14ac:dyDescent="0.15">
      <c r="A344" s="2"/>
      <c r="B344" s="138">
        <v>41978</v>
      </c>
      <c r="C344" s="13"/>
      <c r="D344" s="54"/>
      <c r="E344" s="12"/>
      <c r="F344" s="83"/>
      <c r="G344" s="84"/>
      <c r="H344" s="84"/>
      <c r="I344" s="10" t="s">
        <v>411</v>
      </c>
    </row>
    <row r="345" spans="1:9" x14ac:dyDescent="0.15">
      <c r="B345" s="138">
        <v>41979</v>
      </c>
      <c r="C345" s="13"/>
      <c r="D345" s="54"/>
      <c r="E345" s="12"/>
      <c r="F345" s="83"/>
      <c r="G345" s="84"/>
      <c r="H345" s="84"/>
      <c r="I345" s="10" t="s">
        <v>411</v>
      </c>
    </row>
    <row r="346" spans="1:9" x14ac:dyDescent="0.15">
      <c r="B346" s="90">
        <v>41980</v>
      </c>
      <c r="C346" s="13"/>
      <c r="D346" s="54"/>
      <c r="E346" s="12"/>
      <c r="F346" s="83"/>
      <c r="G346" s="84"/>
      <c r="H346" s="84"/>
      <c r="I346" s="10" t="s">
        <v>411</v>
      </c>
    </row>
    <row r="347" spans="1:9" x14ac:dyDescent="0.15">
      <c r="A347" s="4">
        <f>A340+1</f>
        <v>50</v>
      </c>
      <c r="B347" s="137">
        <v>41981</v>
      </c>
      <c r="C347" s="8"/>
      <c r="D347" s="52"/>
      <c r="E347" s="7"/>
      <c r="F347" s="80"/>
      <c r="G347" s="81"/>
      <c r="H347" s="81"/>
      <c r="I347" s="10" t="s">
        <v>411</v>
      </c>
    </row>
    <row r="348" spans="1:9" x14ac:dyDescent="0.15">
      <c r="A348" s="11" t="s">
        <v>11</v>
      </c>
      <c r="B348" s="138">
        <v>41982</v>
      </c>
      <c r="C348" s="13" t="s">
        <v>14</v>
      </c>
      <c r="D348" s="54">
        <v>3.6249999999999998E-2</v>
      </c>
      <c r="E348" s="2" t="s">
        <v>437</v>
      </c>
      <c r="F348" s="83">
        <v>10.43</v>
      </c>
      <c r="G348" s="84">
        <f>D348/F348</f>
        <v>3.4755512943432407E-3</v>
      </c>
      <c r="H348" s="84" t="s">
        <v>475</v>
      </c>
      <c r="I348" s="10" t="s">
        <v>411</v>
      </c>
    </row>
    <row r="349" spans="1:9" x14ac:dyDescent="0.15">
      <c r="A349" s="15">
        <f>SUM(F347:F353)</f>
        <v>20.78</v>
      </c>
      <c r="B349" s="138">
        <v>41983</v>
      </c>
      <c r="C349" s="13"/>
      <c r="D349" s="54"/>
      <c r="E349" s="12"/>
      <c r="F349" s="83"/>
      <c r="G349" s="84"/>
      <c r="H349" s="84"/>
      <c r="I349" s="10" t="s">
        <v>411</v>
      </c>
    </row>
    <row r="350" spans="1:9" x14ac:dyDescent="0.15">
      <c r="A350" s="2"/>
      <c r="B350" s="138">
        <v>41984</v>
      </c>
      <c r="C350" s="13"/>
      <c r="D350" s="54"/>
      <c r="E350" s="2"/>
      <c r="F350" s="83"/>
      <c r="G350" s="84"/>
      <c r="H350" s="84"/>
      <c r="I350" s="10" t="s">
        <v>411</v>
      </c>
    </row>
    <row r="351" spans="1:9" x14ac:dyDescent="0.15">
      <c r="A351" s="2"/>
      <c r="B351" s="138">
        <v>41985</v>
      </c>
      <c r="C351" s="13" t="s">
        <v>14</v>
      </c>
      <c r="D351" s="54">
        <v>3.5856481481481482E-2</v>
      </c>
      <c r="E351" s="12" t="s">
        <v>437</v>
      </c>
      <c r="F351" s="83">
        <v>10.35</v>
      </c>
      <c r="G351" s="84">
        <f>D351/F351</f>
        <v>3.4643943460368584E-3</v>
      </c>
      <c r="H351" s="84" t="s">
        <v>471</v>
      </c>
      <c r="I351" s="10" t="s">
        <v>411</v>
      </c>
    </row>
    <row r="352" spans="1:9" x14ac:dyDescent="0.15">
      <c r="B352" s="138">
        <v>41986</v>
      </c>
      <c r="C352" s="13"/>
      <c r="D352" s="54"/>
      <c r="E352" s="12"/>
      <c r="F352" s="83"/>
      <c r="G352" s="84"/>
      <c r="H352" s="84"/>
      <c r="I352" s="10" t="s">
        <v>411</v>
      </c>
    </row>
    <row r="353" spans="1:9" x14ac:dyDescent="0.15">
      <c r="B353" s="90">
        <v>41987</v>
      </c>
      <c r="C353" s="13"/>
      <c r="D353" s="54"/>
      <c r="E353" s="12"/>
      <c r="F353" s="83"/>
      <c r="G353" s="84"/>
      <c r="H353" s="84"/>
      <c r="I353" s="10" t="s">
        <v>411</v>
      </c>
    </row>
    <row r="354" spans="1:9" x14ac:dyDescent="0.15">
      <c r="A354" s="4">
        <f>A347+1</f>
        <v>51</v>
      </c>
      <c r="B354" s="137">
        <v>41988</v>
      </c>
      <c r="C354" s="8"/>
      <c r="D354" s="52"/>
      <c r="E354" s="7"/>
      <c r="F354" s="80"/>
      <c r="G354" s="81"/>
      <c r="H354" s="81"/>
      <c r="I354" s="10" t="s">
        <v>411</v>
      </c>
    </row>
    <row r="355" spans="1:9" x14ac:dyDescent="0.15">
      <c r="A355" s="11" t="s">
        <v>11</v>
      </c>
      <c r="B355" s="138">
        <v>41989</v>
      </c>
      <c r="C355" s="13"/>
      <c r="D355" s="54"/>
      <c r="E355" s="2"/>
      <c r="F355" s="83"/>
      <c r="G355" s="84"/>
      <c r="H355" s="84"/>
      <c r="I355" s="10" t="s">
        <v>411</v>
      </c>
    </row>
    <row r="356" spans="1:9" x14ac:dyDescent="0.15">
      <c r="A356" s="15">
        <f>SUM(F354:F360)</f>
        <v>10.49</v>
      </c>
      <c r="B356" s="138">
        <v>41990</v>
      </c>
      <c r="C356" s="13"/>
      <c r="D356" s="54"/>
      <c r="E356" s="12"/>
      <c r="F356" s="83"/>
      <c r="G356" s="84"/>
      <c r="H356" s="84"/>
      <c r="I356" s="10" t="s">
        <v>411</v>
      </c>
    </row>
    <row r="357" spans="1:9" x14ac:dyDescent="0.15">
      <c r="A357" s="2"/>
      <c r="B357" s="138">
        <v>41991</v>
      </c>
      <c r="C357" s="13"/>
      <c r="D357" s="54"/>
      <c r="E357" s="2"/>
      <c r="F357" s="83"/>
      <c r="G357" s="84"/>
      <c r="H357" s="84"/>
      <c r="I357" s="10" t="s">
        <v>411</v>
      </c>
    </row>
    <row r="358" spans="1:9" x14ac:dyDescent="0.15">
      <c r="A358" s="2"/>
      <c r="B358" s="138">
        <v>41992</v>
      </c>
      <c r="C358" s="13"/>
      <c r="D358" s="54"/>
      <c r="E358" s="12"/>
      <c r="F358" s="83"/>
      <c r="G358" s="84"/>
      <c r="H358" s="84"/>
      <c r="I358" s="10" t="s">
        <v>411</v>
      </c>
    </row>
    <row r="359" spans="1:9" x14ac:dyDescent="0.15">
      <c r="B359" s="138">
        <v>41993</v>
      </c>
      <c r="C359" s="13"/>
      <c r="D359" s="54"/>
      <c r="E359" s="12"/>
      <c r="F359" s="83"/>
      <c r="G359" s="84"/>
      <c r="H359" s="84"/>
      <c r="I359" s="10" t="s">
        <v>411</v>
      </c>
    </row>
    <row r="360" spans="1:9" x14ac:dyDescent="0.15">
      <c r="B360" s="90">
        <v>41994</v>
      </c>
      <c r="C360" s="13" t="s">
        <v>14</v>
      </c>
      <c r="D360" s="54">
        <v>3.5405092592592592E-2</v>
      </c>
      <c r="E360" s="12" t="s">
        <v>437</v>
      </c>
      <c r="F360" s="83">
        <v>10.49</v>
      </c>
      <c r="G360" s="84">
        <f>D360/F360</f>
        <v>3.3751279878543937E-3</v>
      </c>
      <c r="H360" s="84" t="s">
        <v>475</v>
      </c>
      <c r="I360" s="10" t="s">
        <v>411</v>
      </c>
    </row>
    <row r="361" spans="1:9" x14ac:dyDescent="0.15">
      <c r="A361" s="4">
        <f>A354+1</f>
        <v>52</v>
      </c>
      <c r="B361" s="137">
        <v>41995</v>
      </c>
      <c r="C361" s="8"/>
      <c r="D361" s="52"/>
      <c r="E361" s="7"/>
      <c r="F361" s="80"/>
      <c r="G361" s="81"/>
      <c r="H361" s="81"/>
      <c r="I361" s="10" t="s">
        <v>411</v>
      </c>
    </row>
    <row r="362" spans="1:9" x14ac:dyDescent="0.15">
      <c r="A362" s="11" t="s">
        <v>11</v>
      </c>
      <c r="B362" s="138">
        <v>41996</v>
      </c>
      <c r="C362" s="13"/>
      <c r="D362" s="54"/>
      <c r="E362" s="2"/>
      <c r="F362" s="83"/>
      <c r="G362" s="84"/>
      <c r="H362" s="84"/>
      <c r="I362" s="10" t="s">
        <v>411</v>
      </c>
    </row>
    <row r="363" spans="1:9" x14ac:dyDescent="0.15">
      <c r="A363" s="15">
        <f>SUM(F361:F367)</f>
        <v>9.6</v>
      </c>
      <c r="B363" s="138">
        <v>41997</v>
      </c>
      <c r="C363" s="13"/>
      <c r="D363" s="54"/>
      <c r="E363" s="12"/>
      <c r="F363" s="83"/>
      <c r="G363" s="84"/>
      <c r="H363" s="84"/>
      <c r="I363" s="10" t="s">
        <v>411</v>
      </c>
    </row>
    <row r="364" spans="1:9" x14ac:dyDescent="0.15">
      <c r="A364" s="2"/>
      <c r="B364" s="138">
        <v>41998</v>
      </c>
      <c r="C364" s="13"/>
      <c r="D364" s="54"/>
      <c r="E364" s="2"/>
      <c r="F364" s="83"/>
      <c r="G364" s="84"/>
      <c r="H364" s="84"/>
      <c r="I364" s="10" t="s">
        <v>411</v>
      </c>
    </row>
    <row r="365" spans="1:9" x14ac:dyDescent="0.15">
      <c r="A365" s="2"/>
      <c r="B365" s="138">
        <v>41999</v>
      </c>
      <c r="C365" s="13" t="s">
        <v>14</v>
      </c>
      <c r="D365" s="54">
        <v>3.3287037037037039E-2</v>
      </c>
      <c r="E365" s="12" t="s">
        <v>437</v>
      </c>
      <c r="F365" s="83">
        <v>9.6</v>
      </c>
      <c r="G365" s="84">
        <f>D365/F365</f>
        <v>3.467399691358025E-3</v>
      </c>
      <c r="H365" s="84" t="s">
        <v>475</v>
      </c>
      <c r="I365" s="10" t="s">
        <v>411</v>
      </c>
    </row>
    <row r="366" spans="1:9" x14ac:dyDescent="0.15">
      <c r="B366" s="138">
        <v>42000</v>
      </c>
      <c r="C366" s="13"/>
      <c r="D366" s="54"/>
      <c r="E366" s="12"/>
      <c r="F366" s="83"/>
      <c r="G366" s="84"/>
      <c r="H366" s="84"/>
      <c r="I366" s="10" t="s">
        <v>411</v>
      </c>
    </row>
    <row r="367" spans="1:9" x14ac:dyDescent="0.15">
      <c r="B367" s="90">
        <v>42001</v>
      </c>
      <c r="C367" s="13"/>
      <c r="D367" s="54"/>
      <c r="E367" s="12"/>
      <c r="F367" s="83"/>
      <c r="G367" s="84"/>
      <c r="H367" s="84"/>
      <c r="I367" s="10" t="s">
        <v>411</v>
      </c>
    </row>
    <row r="368" spans="1:9" x14ac:dyDescent="0.15">
      <c r="A368" s="4">
        <f>A361+1</f>
        <v>53</v>
      </c>
      <c r="B368" s="137">
        <v>42002</v>
      </c>
      <c r="C368" s="8" t="s">
        <v>14</v>
      </c>
      <c r="D368" s="52">
        <v>3.7800925925925925E-2</v>
      </c>
      <c r="E368" s="7" t="s">
        <v>437</v>
      </c>
      <c r="F368" s="80">
        <v>10.42</v>
      </c>
      <c r="G368" s="81">
        <f>D368/F368</f>
        <v>3.6277280159237933E-3</v>
      </c>
      <c r="H368" s="81" t="s">
        <v>472</v>
      </c>
      <c r="I368" s="10" t="s">
        <v>411</v>
      </c>
    </row>
    <row r="369" spans="1:9" x14ac:dyDescent="0.15">
      <c r="A369" s="11" t="s">
        <v>11</v>
      </c>
      <c r="B369" s="138">
        <v>42003</v>
      </c>
      <c r="C369" s="13"/>
      <c r="D369" s="54"/>
      <c r="E369" s="2"/>
      <c r="F369" s="83"/>
      <c r="G369" s="84"/>
      <c r="H369" s="84"/>
      <c r="I369" s="10" t="s">
        <v>411</v>
      </c>
    </row>
    <row r="370" spans="1:9" x14ac:dyDescent="0.15">
      <c r="A370" s="15">
        <f>SUM(F368:F374)</f>
        <v>21.2</v>
      </c>
      <c r="B370" s="138">
        <v>42004</v>
      </c>
      <c r="C370" s="13" t="s">
        <v>14</v>
      </c>
      <c r="D370" s="54">
        <v>3.8101851851851852E-2</v>
      </c>
      <c r="E370" s="12" t="s">
        <v>437</v>
      </c>
      <c r="F370" s="83">
        <v>10.78</v>
      </c>
      <c r="G370" s="84">
        <f>D370/F370</f>
        <v>3.5344946059231775E-3</v>
      </c>
      <c r="H370" s="84" t="s">
        <v>475</v>
      </c>
      <c r="I370" s="10" t="s">
        <v>411</v>
      </c>
    </row>
    <row r="371" spans="1:9" x14ac:dyDescent="0.15">
      <c r="A371" s="2"/>
      <c r="B371" s="138">
        <v>42005</v>
      </c>
      <c r="C371" s="13"/>
      <c r="D371" s="54"/>
      <c r="E371" s="2"/>
      <c r="F371" s="83"/>
      <c r="G371" s="84"/>
      <c r="H371" s="84" t="s">
        <v>434</v>
      </c>
      <c r="I371" s="10" t="s">
        <v>411</v>
      </c>
    </row>
    <row r="372" spans="1:9" x14ac:dyDescent="0.15">
      <c r="B372" s="138">
        <v>42006</v>
      </c>
      <c r="C372" s="13"/>
      <c r="D372" s="54"/>
      <c r="E372" s="12"/>
      <c r="F372" s="83"/>
      <c r="G372" s="84"/>
      <c r="H372" s="84"/>
      <c r="I372" s="10" t="s">
        <v>411</v>
      </c>
    </row>
    <row r="373" spans="1:9" x14ac:dyDescent="0.15">
      <c r="A373" s="4" t="s">
        <v>438</v>
      </c>
      <c r="B373" s="138">
        <v>42007</v>
      </c>
      <c r="C373" s="13"/>
      <c r="D373" s="54"/>
      <c r="E373" s="12"/>
      <c r="F373" s="83"/>
      <c r="G373" s="84"/>
      <c r="H373" s="84"/>
      <c r="I373" s="10" t="s">
        <v>411</v>
      </c>
    </row>
    <row r="374" spans="1:9" x14ac:dyDescent="0.15">
      <c r="A374" s="159">
        <f>A370+A363+A356+A349+A342+A335+A328+A321+A314+A307+A300+A293+A286+A279+A272+A265+A258+A251+A244+A237+A230+A223+A216+A209+A202+A195+A188+A181+A174+A167+A160+A153+A146+A139+A132+A125+A118+A111+A104+A97+A90+A83+A76+A69+A62+A55+A48+A41+A34+A27+A20+A13+A6</f>
        <v>1950.5000000000005</v>
      </c>
      <c r="B374" s="90">
        <v>42008</v>
      </c>
      <c r="C374" s="17"/>
      <c r="D374" s="57"/>
      <c r="E374" s="16"/>
      <c r="F374" s="86"/>
      <c r="G374" s="87"/>
      <c r="H374" s="87"/>
      <c r="I374" s="10" t="s">
        <v>411</v>
      </c>
    </row>
    <row r="375" spans="1:9" x14ac:dyDescent="0.15">
      <c r="A375" s="359">
        <f>A374/52</f>
        <v>37.509615384615394</v>
      </c>
      <c r="B375"/>
      <c r="D375" s="43">
        <f>AVERAGE(D4:D374)</f>
        <v>4.5618975139523066E-2</v>
      </c>
      <c r="F375" s="65">
        <f>AVERAGE(F4:F374)</f>
        <v>12.83223684210526</v>
      </c>
      <c r="G375" s="45">
        <f>AVERAGE(G4:G374)</f>
        <v>3.5161792820766892E-3</v>
      </c>
    </row>
    <row r="376" spans="1:9" x14ac:dyDescent="0.15">
      <c r="B376"/>
    </row>
    <row r="377" spans="1:9" x14ac:dyDescent="0.15">
      <c r="B377"/>
    </row>
    <row r="378" spans="1:9" x14ac:dyDescent="0.15">
      <c r="B378"/>
    </row>
    <row r="379" spans="1:9" x14ac:dyDescent="0.15">
      <c r="B379"/>
    </row>
    <row r="380" spans="1:9" x14ac:dyDescent="0.15">
      <c r="B380"/>
    </row>
    <row r="381" spans="1:9" x14ac:dyDescent="0.15">
      <c r="B381"/>
    </row>
    <row r="382" spans="1:9" x14ac:dyDescent="0.15">
      <c r="B382"/>
    </row>
    <row r="383" spans="1:9" x14ac:dyDescent="0.15">
      <c r="B383"/>
    </row>
    <row r="384" spans="1:9" x14ac:dyDescent="0.15">
      <c r="B384"/>
    </row>
    <row r="385" spans="2:2" x14ac:dyDescent="0.15">
      <c r="B385"/>
    </row>
    <row r="386" spans="2:2" x14ac:dyDescent="0.15">
      <c r="B386"/>
    </row>
    <row r="387" spans="2:2" x14ac:dyDescent="0.15">
      <c r="B387"/>
    </row>
    <row r="388" spans="2:2" x14ac:dyDescent="0.15">
      <c r="B388"/>
    </row>
    <row r="389" spans="2:2" x14ac:dyDescent="0.15">
      <c r="B389"/>
    </row>
    <row r="390" spans="2:2" x14ac:dyDescent="0.15">
      <c r="B390"/>
    </row>
    <row r="391" spans="2:2" x14ac:dyDescent="0.15">
      <c r="B391"/>
    </row>
    <row r="392" spans="2:2" x14ac:dyDescent="0.15">
      <c r="B392"/>
    </row>
    <row r="393" spans="2:2" x14ac:dyDescent="0.15">
      <c r="B393"/>
    </row>
    <row r="394" spans="2:2" x14ac:dyDescent="0.15">
      <c r="B394"/>
    </row>
    <row r="395" spans="2:2" x14ac:dyDescent="0.15">
      <c r="B395"/>
    </row>
    <row r="396" spans="2:2" x14ac:dyDescent="0.15">
      <c r="B396"/>
    </row>
    <row r="397" spans="2:2" x14ac:dyDescent="0.15">
      <c r="B397"/>
    </row>
    <row r="398" spans="2:2" x14ac:dyDescent="0.15">
      <c r="B398"/>
    </row>
    <row r="399" spans="2:2" x14ac:dyDescent="0.15">
      <c r="B399"/>
    </row>
    <row r="400" spans="2:2" x14ac:dyDescent="0.15">
      <c r="B400"/>
    </row>
    <row r="401" spans="2:2" x14ac:dyDescent="0.15">
      <c r="B401"/>
    </row>
    <row r="402" spans="2:2" x14ac:dyDescent="0.15">
      <c r="B402"/>
    </row>
    <row r="403" spans="2:2" x14ac:dyDescent="0.15">
      <c r="B403"/>
    </row>
    <row r="404" spans="2:2" x14ac:dyDescent="0.15">
      <c r="B404"/>
    </row>
    <row r="405" spans="2:2" x14ac:dyDescent="0.15">
      <c r="B405"/>
    </row>
    <row r="406" spans="2:2" x14ac:dyDescent="0.15">
      <c r="B406"/>
    </row>
    <row r="407" spans="2:2" x14ac:dyDescent="0.15">
      <c r="B407"/>
    </row>
    <row r="408" spans="2:2" x14ac:dyDescent="0.15">
      <c r="B408"/>
    </row>
    <row r="409" spans="2:2" x14ac:dyDescent="0.15">
      <c r="B409"/>
    </row>
  </sheetData>
  <sheetProtection selectLockedCells="1" selectUnlockedCells="1"/>
  <mergeCells count="8">
    <mergeCell ref="L19:S19"/>
    <mergeCell ref="L20:S20"/>
    <mergeCell ref="A1:I1"/>
    <mergeCell ref="L7:N7"/>
    <mergeCell ref="O7:Q7"/>
    <mergeCell ref="L13:N13"/>
    <mergeCell ref="O13:Q13"/>
    <mergeCell ref="L18:S18"/>
  </mergeCells>
  <dataValidations count="3">
    <dataValidation type="list" operator="equal" allowBlank="1" sqref="J3:R17 S11:S12 J18:M18 O18:R18 J19:R129 J130:J136 J137:R152 J153:J161 J162:R174 K175:R175 J176:R258 K259:R259 J260:R269 K270:R272 J271:R274 K275:R277 J276:R287 K288:R288 J289:R375" xr:uid="{00000000-0002-0000-0700-000000000000}">
      <formula1>"ASICS GEL 11-50,ASICS GT 21-40,ASICS GT 21-60"</formula1>
      <formula2>0</formula2>
    </dataValidation>
    <dataValidation type="list" operator="equal" allowBlank="1" showDropDown="1" sqref="A1:G32676 I1:I32676" xr:uid="{00000000-0002-0000-0700-000001000000}">
      <formula1>"ASICS GEL 11-50,ASICS GT 21-40,ASICS GT 21-60"</formula1>
      <formula2>0</formula2>
    </dataValidation>
    <dataValidation type="list" operator="equal" allowBlank="1" sqref="H1:H32676" xr:uid="{00000000-0002-0000-0700-000002000000}">
      <formula1>"ASICS GEL 11-50,ASICS GEL 11-70,ASICS GT 21-40,ASICS GT 21-60,NIKE Run Free 2.0,ASICS GEL-Kayano 20,ASICS GT 2000,BROOKS Transcend"</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autoPageBreaks="0"/>
  </sheetPr>
  <dimension ref="A1:R409"/>
  <sheetViews>
    <sheetView workbookViewId="0">
      <pane ySplit="3" topLeftCell="A352" activePane="bottomLeft" state="frozen"/>
      <selection pane="bottomLeft" activeCell="I15" sqref="I15"/>
    </sheetView>
  </sheetViews>
  <sheetFormatPr baseColWidth="10" defaultColWidth="11.5" defaultRowHeight="13" x14ac:dyDescent="0.15"/>
  <cols>
    <col min="1" max="1" width="10.6640625" customWidth="1"/>
    <col min="2" max="2" width="10.5" style="46" customWidth="1"/>
    <col min="3" max="3" width="7.33203125" customWidth="1"/>
    <col min="4" max="4" width="8.5" style="47" customWidth="1"/>
    <col min="5" max="5" width="6.33203125" style="62" customWidth="1"/>
    <col min="6" max="6" width="10.1640625" style="63" customWidth="1"/>
    <col min="7" max="7" width="20.5" style="63" customWidth="1"/>
    <col min="8" max="8" width="6.83203125" customWidth="1"/>
    <col min="9" max="9" width="23.5" customWidth="1"/>
    <col min="10" max="10" width="12.83203125" customWidth="1"/>
    <col min="11" max="11" width="5.1640625" customWidth="1"/>
    <col min="12" max="12" width="2.1640625" customWidth="1"/>
    <col min="13" max="13" width="5.1640625" customWidth="1"/>
    <col min="14" max="14" width="4.5" customWidth="1"/>
    <col min="15" max="15" width="2.1640625" customWidth="1"/>
    <col min="16" max="16" width="4.5" customWidth="1"/>
    <col min="17" max="17" width="13" customWidth="1"/>
    <col min="18" max="18" width="19.33203125" customWidth="1"/>
  </cols>
  <sheetData>
    <row r="1" spans="1:18" ht="19" x14ac:dyDescent="0.15">
      <c r="A1" s="3419" t="s">
        <v>476</v>
      </c>
      <c r="B1" s="3419"/>
      <c r="C1" s="3419"/>
      <c r="D1" s="3419"/>
      <c r="E1" s="3419"/>
      <c r="F1" s="3419"/>
      <c r="G1" s="3419"/>
      <c r="H1" s="3419"/>
    </row>
    <row r="2" spans="1:18" x14ac:dyDescent="0.15">
      <c r="A2" s="2"/>
      <c r="C2" s="2"/>
      <c r="D2" s="43"/>
      <c r="E2" s="65"/>
      <c r="F2" s="45"/>
      <c r="G2" s="45"/>
      <c r="H2" s="2"/>
    </row>
    <row r="3" spans="1:18" x14ac:dyDescent="0.15">
      <c r="A3" s="3" t="s">
        <v>1</v>
      </c>
      <c r="B3" s="67" t="s">
        <v>3</v>
      </c>
      <c r="C3" s="4" t="s">
        <v>4</v>
      </c>
      <c r="D3" s="50" t="s">
        <v>5</v>
      </c>
      <c r="E3" s="68" t="s">
        <v>429</v>
      </c>
      <c r="F3" s="69" t="s">
        <v>430</v>
      </c>
      <c r="G3" s="69" t="s">
        <v>431</v>
      </c>
      <c r="H3" s="4" t="s">
        <v>432</v>
      </c>
    </row>
    <row r="4" spans="1:18" x14ac:dyDescent="0.15">
      <c r="A4" s="4">
        <v>1</v>
      </c>
      <c r="B4" s="138">
        <v>42002</v>
      </c>
      <c r="C4" s="8"/>
      <c r="D4" s="52"/>
      <c r="E4" s="80"/>
      <c r="F4" s="81"/>
      <c r="G4" s="81"/>
      <c r="H4" s="10" t="s">
        <v>411</v>
      </c>
    </row>
    <row r="5" spans="1:18" x14ac:dyDescent="0.15">
      <c r="A5" s="11" t="s">
        <v>11</v>
      </c>
      <c r="B5" s="138">
        <v>42003</v>
      </c>
      <c r="C5" s="13"/>
      <c r="D5" s="54"/>
      <c r="E5" s="83"/>
      <c r="F5" s="84"/>
      <c r="G5" s="84"/>
      <c r="H5" s="10" t="s">
        <v>411</v>
      </c>
      <c r="K5" s="35"/>
      <c r="L5" s="35"/>
    </row>
    <row r="6" spans="1:18" x14ac:dyDescent="0.15">
      <c r="A6" s="15">
        <f>SUM(E4:E10)</f>
        <v>0</v>
      </c>
      <c r="B6" s="138">
        <v>42004</v>
      </c>
      <c r="C6" s="13"/>
      <c r="D6" s="54"/>
      <c r="E6" s="83"/>
      <c r="F6" s="84"/>
      <c r="G6" s="84"/>
      <c r="H6" s="10" t="s">
        <v>411</v>
      </c>
      <c r="K6" s="2"/>
      <c r="L6" s="2"/>
    </row>
    <row r="7" spans="1:18" x14ac:dyDescent="0.15">
      <c r="A7" s="2"/>
      <c r="B7" s="138">
        <v>42005</v>
      </c>
      <c r="C7" s="13"/>
      <c r="D7" s="54"/>
      <c r="E7" s="83"/>
      <c r="F7" s="84"/>
      <c r="G7" s="84"/>
      <c r="H7" s="10" t="s">
        <v>411</v>
      </c>
      <c r="J7" s="93"/>
      <c r="K7" s="3421" t="s">
        <v>441</v>
      </c>
      <c r="L7" s="3421"/>
      <c r="M7" s="3421"/>
      <c r="N7" s="3422" t="s">
        <v>442</v>
      </c>
      <c r="O7" s="3422"/>
      <c r="P7" s="3422"/>
      <c r="Q7" s="4" t="s">
        <v>443</v>
      </c>
    </row>
    <row r="8" spans="1:18" x14ac:dyDescent="0.15">
      <c r="A8" s="2"/>
      <c r="B8" s="138">
        <v>42006</v>
      </c>
      <c r="C8" s="13"/>
      <c r="D8" s="54"/>
      <c r="E8" s="83"/>
      <c r="F8" s="84"/>
      <c r="G8" s="84"/>
      <c r="H8" s="10" t="s">
        <v>411</v>
      </c>
      <c r="J8" s="94" t="s">
        <v>444</v>
      </c>
      <c r="K8" s="95">
        <v>0.65</v>
      </c>
      <c r="L8" s="96" t="s">
        <v>437</v>
      </c>
      <c r="M8" s="97">
        <v>0.7</v>
      </c>
      <c r="N8" s="98">
        <f>K8*$N$13</f>
        <v>120.9</v>
      </c>
      <c r="O8" s="99" t="s">
        <v>437</v>
      </c>
      <c r="P8" s="100">
        <f>M8*$N$13</f>
        <v>130.19999999999999</v>
      </c>
      <c r="Q8" s="101">
        <v>4.31712962962963E-3</v>
      </c>
    </row>
    <row r="9" spans="1:18" x14ac:dyDescent="0.15">
      <c r="A9" s="2"/>
      <c r="B9" s="138">
        <v>42007</v>
      </c>
      <c r="C9" s="13"/>
      <c r="D9" s="54"/>
      <c r="E9" s="83"/>
      <c r="F9" s="84"/>
      <c r="G9" s="84"/>
      <c r="H9" s="10" t="s">
        <v>411</v>
      </c>
      <c r="J9" s="94" t="s">
        <v>445</v>
      </c>
      <c r="K9" s="95">
        <v>0.75</v>
      </c>
      <c r="L9" s="96" t="s">
        <v>437</v>
      </c>
      <c r="M9" s="97">
        <v>0.8</v>
      </c>
      <c r="N9" s="98">
        <f>K9*$N$13</f>
        <v>139.5</v>
      </c>
      <c r="O9" s="99" t="s">
        <v>437</v>
      </c>
      <c r="P9" s="100">
        <f>M9*$N$13</f>
        <v>148.80000000000001</v>
      </c>
      <c r="Q9" s="101">
        <v>3.7268518518518519E-3</v>
      </c>
    </row>
    <row r="10" spans="1:18" x14ac:dyDescent="0.15">
      <c r="A10" s="2"/>
      <c r="B10" s="90">
        <v>42008</v>
      </c>
      <c r="C10" s="13"/>
      <c r="D10" s="54"/>
      <c r="E10" s="83"/>
      <c r="F10" s="84"/>
      <c r="G10" s="84"/>
      <c r="H10" s="10" t="s">
        <v>411</v>
      </c>
      <c r="J10" s="94" t="s">
        <v>446</v>
      </c>
      <c r="K10" s="95">
        <v>0.9</v>
      </c>
      <c r="L10" s="96" t="s">
        <v>437</v>
      </c>
      <c r="M10" s="97">
        <v>0.95</v>
      </c>
      <c r="N10" s="98">
        <f>K10*$N$13</f>
        <v>167.4</v>
      </c>
      <c r="O10" s="99" t="s">
        <v>437</v>
      </c>
      <c r="P10" s="100">
        <f>M10*$N$13</f>
        <v>176.7</v>
      </c>
      <c r="Q10" s="101">
        <v>3.2870370370370371E-3</v>
      </c>
    </row>
    <row r="11" spans="1:18" x14ac:dyDescent="0.15">
      <c r="A11" s="4">
        <f>A4+1</f>
        <v>2</v>
      </c>
      <c r="B11" s="138">
        <v>42009</v>
      </c>
      <c r="C11" s="8" t="s">
        <v>14</v>
      </c>
      <c r="D11" s="52">
        <v>3.8368055555555558E-2</v>
      </c>
      <c r="E11" s="80">
        <v>10.42</v>
      </c>
      <c r="F11" s="81">
        <f>D11/E11</f>
        <v>3.6821550437193436E-3</v>
      </c>
      <c r="G11" s="81" t="s">
        <v>471</v>
      </c>
      <c r="H11" s="10" t="s">
        <v>411</v>
      </c>
      <c r="J11" s="94" t="s">
        <v>447</v>
      </c>
      <c r="K11" s="95">
        <v>0.8</v>
      </c>
      <c r="L11" s="96" t="s">
        <v>437</v>
      </c>
      <c r="M11" s="97">
        <v>0.85</v>
      </c>
      <c r="N11" s="98">
        <f>K11*$N$13</f>
        <v>148.80000000000001</v>
      </c>
      <c r="O11" s="99" t="s">
        <v>437</v>
      </c>
      <c r="P11" s="100">
        <f>M11*$N$13</f>
        <v>158.1</v>
      </c>
      <c r="Q11" s="101">
        <f>R11/42.195</f>
        <v>3.2090317002628887E-3</v>
      </c>
      <c r="R11" s="43">
        <v>0.13540509259259259</v>
      </c>
    </row>
    <row r="12" spans="1:18" x14ac:dyDescent="0.15">
      <c r="A12" s="11" t="s">
        <v>11</v>
      </c>
      <c r="B12" s="138">
        <v>42010</v>
      </c>
      <c r="C12" s="13"/>
      <c r="D12" s="54"/>
      <c r="E12" s="83"/>
      <c r="F12" s="84"/>
      <c r="G12" s="84"/>
      <c r="H12" s="10" t="s">
        <v>411</v>
      </c>
      <c r="J12" s="102" t="s">
        <v>448</v>
      </c>
      <c r="K12" s="103">
        <v>0.85</v>
      </c>
      <c r="L12" s="104" t="s">
        <v>437</v>
      </c>
      <c r="M12" s="105">
        <v>0.9</v>
      </c>
      <c r="N12" s="106">
        <f>K12*$N$13</f>
        <v>158.1</v>
      </c>
      <c r="O12" s="107" t="s">
        <v>437</v>
      </c>
      <c r="P12" s="108">
        <f>M12*$N$13</f>
        <v>167.4</v>
      </c>
      <c r="Q12" s="109">
        <f>R12/(42.195/2)</f>
        <v>2.7973079134354165E-3</v>
      </c>
      <c r="R12" s="43">
        <v>5.9016203703703703E-2</v>
      </c>
    </row>
    <row r="13" spans="1:18" x14ac:dyDescent="0.15">
      <c r="A13" s="15">
        <f>SUM(E11:E17)</f>
        <v>41.14</v>
      </c>
      <c r="B13" s="138">
        <v>42011</v>
      </c>
      <c r="C13" s="13" t="s">
        <v>14</v>
      </c>
      <c r="D13" s="54">
        <v>3.8240740740740742E-2</v>
      </c>
      <c r="E13" s="83">
        <v>9.7200000000000006</v>
      </c>
      <c r="F13" s="84">
        <f>D13/E13</f>
        <v>3.9342325864959605E-3</v>
      </c>
      <c r="G13" s="84" t="s">
        <v>475</v>
      </c>
      <c r="H13" s="10" t="s">
        <v>411</v>
      </c>
      <c r="J13" s="102" t="s">
        <v>449</v>
      </c>
      <c r="K13" s="3423">
        <v>1</v>
      </c>
      <c r="L13" s="3423"/>
      <c r="M13" s="3423"/>
      <c r="N13" s="3424">
        <v>186</v>
      </c>
      <c r="O13" s="3424"/>
      <c r="P13" s="3424"/>
      <c r="Q13" s="2"/>
    </row>
    <row r="14" spans="1:18" x14ac:dyDescent="0.15">
      <c r="A14" s="2"/>
      <c r="B14" s="138">
        <v>42012</v>
      </c>
      <c r="C14" s="13"/>
      <c r="D14" s="54"/>
      <c r="E14" s="83"/>
      <c r="F14" s="84"/>
      <c r="G14" s="84"/>
      <c r="H14" s="10" t="s">
        <v>411</v>
      </c>
      <c r="M14" s="35"/>
    </row>
    <row r="15" spans="1:18" x14ac:dyDescent="0.15">
      <c r="A15" s="2"/>
      <c r="B15" s="138">
        <v>42013</v>
      </c>
      <c r="C15" s="13"/>
      <c r="D15" s="54"/>
      <c r="E15" s="83"/>
      <c r="F15" s="84"/>
      <c r="G15" s="84"/>
      <c r="H15" s="10" t="s">
        <v>411</v>
      </c>
      <c r="M15" s="2"/>
    </row>
    <row r="16" spans="1:18" x14ac:dyDescent="0.15">
      <c r="A16" s="2"/>
      <c r="B16" s="138">
        <v>42014</v>
      </c>
      <c r="C16" s="13" t="s">
        <v>477</v>
      </c>
      <c r="D16" s="54">
        <v>7.0937500000000001E-2</v>
      </c>
      <c r="E16" s="83">
        <v>21</v>
      </c>
      <c r="F16" s="84">
        <f>D16/E16</f>
        <v>3.3779761904761904E-3</v>
      </c>
      <c r="G16" s="84" t="s">
        <v>471</v>
      </c>
      <c r="H16" s="10" t="s">
        <v>411</v>
      </c>
      <c r="M16" s="2"/>
    </row>
    <row r="17" spans="1:18" x14ac:dyDescent="0.15">
      <c r="A17" s="2"/>
      <c r="B17" s="90">
        <v>42015</v>
      </c>
      <c r="C17" s="13"/>
      <c r="D17" s="54"/>
      <c r="E17" s="83"/>
      <c r="F17" s="84"/>
      <c r="G17" s="84"/>
      <c r="H17" s="10" t="s">
        <v>411</v>
      </c>
      <c r="J17" s="139" t="s">
        <v>458</v>
      </c>
      <c r="M17" s="2"/>
    </row>
    <row r="18" spans="1:18" x14ac:dyDescent="0.15">
      <c r="A18" s="4">
        <f>A11+1</f>
        <v>3</v>
      </c>
      <c r="B18" s="138">
        <v>42016</v>
      </c>
      <c r="C18" s="8"/>
      <c r="D18" s="52"/>
      <c r="E18" s="80"/>
      <c r="F18" s="81"/>
      <c r="G18" s="81"/>
      <c r="H18" s="10" t="s">
        <v>411</v>
      </c>
      <c r="J18" s="140" t="s">
        <v>14</v>
      </c>
      <c r="K18" s="3425" t="s">
        <v>459</v>
      </c>
      <c r="L18" s="3425"/>
      <c r="M18" s="3425"/>
      <c r="N18" s="3425"/>
      <c r="O18" s="3425"/>
      <c r="P18" s="3425"/>
      <c r="Q18" s="3425"/>
      <c r="R18" s="3425"/>
    </row>
    <row r="19" spans="1:18" x14ac:dyDescent="0.15">
      <c r="A19" s="11" t="s">
        <v>11</v>
      </c>
      <c r="B19" s="138">
        <v>42017</v>
      </c>
      <c r="C19" s="13" t="s">
        <v>14</v>
      </c>
      <c r="D19" s="54">
        <v>4.1793981481481481E-2</v>
      </c>
      <c r="E19" s="83">
        <v>10.83</v>
      </c>
      <c r="F19" s="84">
        <f>D19/E19</f>
        <v>3.8590933962586779E-3</v>
      </c>
      <c r="G19" s="84" t="s">
        <v>475</v>
      </c>
      <c r="H19" s="10" t="s">
        <v>411</v>
      </c>
      <c r="J19" s="140" t="s">
        <v>460</v>
      </c>
      <c r="K19" s="3425" t="s">
        <v>461</v>
      </c>
      <c r="L19" s="3425"/>
      <c r="M19" s="3425"/>
      <c r="N19" s="3425"/>
      <c r="O19" s="3425"/>
      <c r="P19" s="3425"/>
      <c r="Q19" s="3425"/>
      <c r="R19" s="3425"/>
    </row>
    <row r="20" spans="1:18" x14ac:dyDescent="0.15">
      <c r="A20" s="15">
        <f>SUM(E18:E24)</f>
        <v>33.32</v>
      </c>
      <c r="B20" s="138">
        <v>42018</v>
      </c>
      <c r="C20" s="13"/>
      <c r="D20" s="54"/>
      <c r="E20" s="83"/>
      <c r="F20" s="84"/>
      <c r="G20" s="84"/>
      <c r="H20" s="10" t="s">
        <v>411</v>
      </c>
      <c r="J20" s="140" t="s">
        <v>462</v>
      </c>
      <c r="K20" s="3425" t="s">
        <v>463</v>
      </c>
      <c r="L20" s="3425"/>
      <c r="M20" s="3425"/>
      <c r="N20" s="3425"/>
      <c r="O20" s="3425"/>
      <c r="P20" s="3425"/>
      <c r="Q20" s="3425"/>
      <c r="R20" s="3425"/>
    </row>
    <row r="21" spans="1:18" x14ac:dyDescent="0.15">
      <c r="A21" s="2"/>
      <c r="B21" s="138">
        <v>42019</v>
      </c>
      <c r="C21" s="13" t="s">
        <v>14</v>
      </c>
      <c r="D21" s="54">
        <v>3.802083333333333E-2</v>
      </c>
      <c r="E21" s="83">
        <v>10.88</v>
      </c>
      <c r="F21" s="84">
        <f>D21/E21</f>
        <v>3.4945618872549013E-3</v>
      </c>
      <c r="G21" s="84" t="s">
        <v>472</v>
      </c>
      <c r="H21" s="10" t="s">
        <v>411</v>
      </c>
    </row>
    <row r="22" spans="1:18" x14ac:dyDescent="0.15">
      <c r="A22" s="2"/>
      <c r="B22" s="138">
        <v>42020</v>
      </c>
      <c r="C22" s="13"/>
      <c r="D22" s="54"/>
      <c r="E22" s="83"/>
      <c r="F22" s="84"/>
      <c r="G22" s="84"/>
      <c r="H22" s="10" t="s">
        <v>411</v>
      </c>
    </row>
    <row r="23" spans="1:18" x14ac:dyDescent="0.15">
      <c r="A23" s="2"/>
      <c r="B23" s="138">
        <v>42021</v>
      </c>
      <c r="C23" s="13"/>
      <c r="D23" s="54"/>
      <c r="E23" s="83"/>
      <c r="F23" s="84"/>
      <c r="G23" s="84"/>
      <c r="H23" s="10" t="s">
        <v>411</v>
      </c>
    </row>
    <row r="24" spans="1:18" x14ac:dyDescent="0.15">
      <c r="A24" s="2"/>
      <c r="B24" s="90">
        <v>42022</v>
      </c>
      <c r="C24" s="13" t="s">
        <v>14</v>
      </c>
      <c r="D24" s="54" t="s">
        <v>437</v>
      </c>
      <c r="E24" s="83">
        <v>11.61</v>
      </c>
      <c r="F24" s="84" t="s">
        <v>437</v>
      </c>
      <c r="G24" s="84" t="s">
        <v>475</v>
      </c>
      <c r="H24" s="10" t="s">
        <v>411</v>
      </c>
    </row>
    <row r="25" spans="1:18" x14ac:dyDescent="0.15">
      <c r="A25" s="4">
        <f>A18+1</f>
        <v>4</v>
      </c>
      <c r="B25" s="138">
        <v>42023</v>
      </c>
      <c r="C25" s="8" t="s">
        <v>14</v>
      </c>
      <c r="D25" s="52">
        <v>4.0543981481481486E-2</v>
      </c>
      <c r="E25" s="80">
        <v>10.87</v>
      </c>
      <c r="F25" s="81">
        <f>D25/E25</f>
        <v>3.7298971004122807E-3</v>
      </c>
      <c r="G25" s="81" t="s">
        <v>471</v>
      </c>
      <c r="H25" s="10" t="s">
        <v>411</v>
      </c>
    </row>
    <row r="26" spans="1:18" x14ac:dyDescent="0.15">
      <c r="A26" s="11" t="s">
        <v>11</v>
      </c>
      <c r="B26" s="138">
        <v>42024</v>
      </c>
      <c r="C26" s="13"/>
      <c r="D26" s="54"/>
      <c r="E26" s="83"/>
      <c r="F26" s="84"/>
      <c r="G26" s="84"/>
      <c r="H26" s="10" t="s">
        <v>411</v>
      </c>
    </row>
    <row r="27" spans="1:18" x14ac:dyDescent="0.15">
      <c r="A27" s="15">
        <f>SUM(E25:E31)</f>
        <v>21.72</v>
      </c>
      <c r="B27" s="138">
        <v>42025</v>
      </c>
      <c r="C27" s="13" t="s">
        <v>14</v>
      </c>
      <c r="D27" s="54">
        <v>3.8240740740740742E-2</v>
      </c>
      <c r="E27" s="83">
        <v>10.85</v>
      </c>
      <c r="F27" s="84">
        <f>D27/E27</f>
        <v>3.5244922341696539E-3</v>
      </c>
      <c r="G27" s="84" t="s">
        <v>475</v>
      </c>
      <c r="H27" s="10" t="s">
        <v>411</v>
      </c>
    </row>
    <row r="28" spans="1:18" x14ac:dyDescent="0.15">
      <c r="A28" s="2"/>
      <c r="B28" s="138">
        <v>42026</v>
      </c>
      <c r="C28" s="13"/>
      <c r="D28" s="54"/>
      <c r="E28" s="83"/>
      <c r="F28" s="84"/>
      <c r="G28" s="84"/>
      <c r="H28" s="10" t="s">
        <v>411</v>
      </c>
    </row>
    <row r="29" spans="1:18" x14ac:dyDescent="0.15">
      <c r="A29" s="2"/>
      <c r="B29" s="138">
        <v>42027</v>
      </c>
      <c r="C29" s="13"/>
      <c r="D29" s="54"/>
      <c r="E29" s="83"/>
      <c r="F29" s="84"/>
      <c r="G29" s="84"/>
      <c r="H29" s="10" t="s">
        <v>411</v>
      </c>
    </row>
    <row r="30" spans="1:18" x14ac:dyDescent="0.15">
      <c r="A30" s="2"/>
      <c r="B30" s="138">
        <v>42028</v>
      </c>
      <c r="C30" s="13"/>
      <c r="D30" s="54"/>
      <c r="E30" s="83"/>
      <c r="F30" s="84"/>
      <c r="G30" s="84"/>
      <c r="H30" s="10" t="s">
        <v>411</v>
      </c>
    </row>
    <row r="31" spans="1:18" x14ac:dyDescent="0.15">
      <c r="A31" s="2"/>
      <c r="B31" s="90">
        <v>42029</v>
      </c>
      <c r="C31" s="13"/>
      <c r="D31" s="54"/>
      <c r="E31" s="83"/>
      <c r="F31" s="84"/>
      <c r="G31" s="84"/>
      <c r="H31" s="10" t="s">
        <v>411</v>
      </c>
    </row>
    <row r="32" spans="1:18" x14ac:dyDescent="0.15">
      <c r="A32" s="4">
        <f>A25+1</f>
        <v>5</v>
      </c>
      <c r="B32" s="138">
        <v>42030</v>
      </c>
      <c r="C32" s="8" t="s">
        <v>14</v>
      </c>
      <c r="D32" s="52">
        <v>3.6076388888888887E-2</v>
      </c>
      <c r="E32" s="80">
        <v>11</v>
      </c>
      <c r="F32" s="81">
        <f>D32/E32</f>
        <v>3.279671717171717E-3</v>
      </c>
      <c r="G32" s="81" t="s">
        <v>472</v>
      </c>
      <c r="H32" s="10" t="s">
        <v>411</v>
      </c>
    </row>
    <row r="33" spans="1:8" x14ac:dyDescent="0.15">
      <c r="A33" s="11" t="s">
        <v>11</v>
      </c>
      <c r="B33" s="138">
        <v>42031</v>
      </c>
      <c r="C33" s="13"/>
      <c r="D33" s="54"/>
      <c r="E33" s="83"/>
      <c r="F33" s="84"/>
      <c r="G33" s="84"/>
      <c r="H33" s="10" t="s">
        <v>411</v>
      </c>
    </row>
    <row r="34" spans="1:8" x14ac:dyDescent="0.15">
      <c r="A34" s="15">
        <f>SUM(E32:E38)</f>
        <v>32.5</v>
      </c>
      <c r="B34" s="138">
        <v>42032</v>
      </c>
      <c r="C34" s="13" t="s">
        <v>14</v>
      </c>
      <c r="D34" s="54">
        <v>3.7858796296296293E-2</v>
      </c>
      <c r="E34" s="83">
        <v>10.98</v>
      </c>
      <c r="F34" s="84">
        <f>D34/E34</f>
        <v>3.447977804762868E-3</v>
      </c>
      <c r="G34" s="84" t="s">
        <v>472</v>
      </c>
      <c r="H34" s="10" t="s">
        <v>411</v>
      </c>
    </row>
    <row r="35" spans="1:8" x14ac:dyDescent="0.15">
      <c r="A35" s="2"/>
      <c r="B35" s="138">
        <v>42033</v>
      </c>
      <c r="C35" s="13"/>
      <c r="D35" s="54"/>
      <c r="E35" s="83"/>
      <c r="F35" s="84"/>
      <c r="G35" s="84"/>
      <c r="H35" s="10" t="s">
        <v>411</v>
      </c>
    </row>
    <row r="36" spans="1:8" x14ac:dyDescent="0.15">
      <c r="A36" s="2"/>
      <c r="B36" s="138">
        <v>42034</v>
      </c>
      <c r="C36" s="13"/>
      <c r="D36" s="54"/>
      <c r="E36" s="83"/>
      <c r="F36" s="84"/>
      <c r="G36" s="84"/>
      <c r="H36" s="10" t="s">
        <v>411</v>
      </c>
    </row>
    <row r="37" spans="1:8" x14ac:dyDescent="0.15">
      <c r="A37" s="2"/>
      <c r="B37" s="138">
        <v>42035</v>
      </c>
      <c r="C37" s="13" t="s">
        <v>14</v>
      </c>
      <c r="D37" s="54">
        <v>3.784722222222222E-2</v>
      </c>
      <c r="E37" s="83">
        <v>10.52</v>
      </c>
      <c r="F37" s="84">
        <f>D37/E37</f>
        <v>3.5976446979298689E-3</v>
      </c>
      <c r="G37" s="84" t="s">
        <v>475</v>
      </c>
      <c r="H37" s="10" t="s">
        <v>411</v>
      </c>
    </row>
    <row r="38" spans="1:8" x14ac:dyDescent="0.15">
      <c r="A38" s="2"/>
      <c r="B38" s="90">
        <v>42036</v>
      </c>
      <c r="C38" s="13"/>
      <c r="D38" s="54"/>
      <c r="E38" s="83"/>
      <c r="F38" s="84"/>
      <c r="G38" s="84"/>
      <c r="H38" s="10" t="s">
        <v>411</v>
      </c>
    </row>
    <row r="39" spans="1:8" x14ac:dyDescent="0.15">
      <c r="A39" s="4">
        <f>A32+1</f>
        <v>6</v>
      </c>
      <c r="B39" s="138">
        <v>42037</v>
      </c>
      <c r="C39" s="8" t="s">
        <v>14</v>
      </c>
      <c r="D39" s="52">
        <v>4.0162037037037038E-2</v>
      </c>
      <c r="E39" s="80">
        <v>10.85</v>
      </c>
      <c r="F39" s="81">
        <f>D39/E39</f>
        <v>3.7015702338282987E-3</v>
      </c>
      <c r="G39" s="81" t="s">
        <v>471</v>
      </c>
      <c r="H39" s="10" t="s">
        <v>411</v>
      </c>
    </row>
    <row r="40" spans="1:8" x14ac:dyDescent="0.15">
      <c r="A40" s="11" t="s">
        <v>11</v>
      </c>
      <c r="B40" s="138">
        <v>42038</v>
      </c>
      <c r="C40" s="13"/>
      <c r="D40" s="54"/>
      <c r="E40" s="83"/>
      <c r="F40" s="84"/>
      <c r="G40" s="84"/>
      <c r="H40" s="10" t="s">
        <v>411</v>
      </c>
    </row>
    <row r="41" spans="1:8" x14ac:dyDescent="0.15">
      <c r="A41" s="15">
        <f>SUM(E39:E45)</f>
        <v>38.200000000000003</v>
      </c>
      <c r="B41" s="138">
        <v>42039</v>
      </c>
      <c r="C41" s="13"/>
      <c r="D41" s="54"/>
      <c r="E41" s="83"/>
      <c r="F41" s="84"/>
      <c r="G41" s="84"/>
      <c r="H41" s="10" t="s">
        <v>411</v>
      </c>
    </row>
    <row r="42" spans="1:8" x14ac:dyDescent="0.15">
      <c r="A42" s="2"/>
      <c r="B42" s="138">
        <v>42040</v>
      </c>
      <c r="C42" s="13" t="s">
        <v>14</v>
      </c>
      <c r="D42" s="54">
        <v>3.770833333333333E-2</v>
      </c>
      <c r="E42" s="83">
        <v>10.94</v>
      </c>
      <c r="F42" s="84">
        <f>D42/E42</f>
        <v>3.4468312004875073E-3</v>
      </c>
      <c r="G42" s="84" t="s">
        <v>475</v>
      </c>
      <c r="H42" s="10" t="s">
        <v>411</v>
      </c>
    </row>
    <row r="43" spans="1:8" x14ac:dyDescent="0.15">
      <c r="A43" s="2"/>
      <c r="B43" s="138">
        <v>42041</v>
      </c>
      <c r="C43" s="13"/>
      <c r="D43" s="54"/>
      <c r="E43" s="83"/>
      <c r="F43" s="84"/>
      <c r="G43" s="84"/>
      <c r="H43" s="10" t="s">
        <v>411</v>
      </c>
    </row>
    <row r="44" spans="1:8" x14ac:dyDescent="0.15">
      <c r="A44" s="2"/>
      <c r="B44" s="138">
        <v>42042</v>
      </c>
      <c r="C44" s="13" t="s">
        <v>14</v>
      </c>
      <c r="D44" s="54">
        <v>5.7326388888888885E-2</v>
      </c>
      <c r="E44" s="83">
        <v>16.41</v>
      </c>
      <c r="F44" s="84">
        <f>D44/E44</f>
        <v>3.4933814070011509E-3</v>
      </c>
      <c r="G44" s="84" t="s">
        <v>472</v>
      </c>
      <c r="H44" s="10" t="s">
        <v>411</v>
      </c>
    </row>
    <row r="45" spans="1:8" x14ac:dyDescent="0.15">
      <c r="A45" s="2"/>
      <c r="B45" s="90">
        <v>42043</v>
      </c>
      <c r="C45" s="13"/>
      <c r="D45" s="54"/>
      <c r="E45" s="83"/>
      <c r="F45" s="84"/>
      <c r="G45" s="84"/>
      <c r="H45" s="10" t="s">
        <v>411</v>
      </c>
    </row>
    <row r="46" spans="1:8" x14ac:dyDescent="0.15">
      <c r="A46" s="4">
        <f>A39+1</f>
        <v>7</v>
      </c>
      <c r="B46" s="138">
        <v>42044</v>
      </c>
      <c r="C46" s="8" t="s">
        <v>14</v>
      </c>
      <c r="D46" s="52">
        <v>5.1006944444444445E-2</v>
      </c>
      <c r="E46" s="80">
        <v>14.55</v>
      </c>
      <c r="F46" s="81">
        <f>D46/E46</f>
        <v>3.505631920580374E-3</v>
      </c>
      <c r="G46" s="81" t="s">
        <v>475</v>
      </c>
      <c r="H46" s="10" t="s">
        <v>411</v>
      </c>
    </row>
    <row r="47" spans="1:8" x14ac:dyDescent="0.15">
      <c r="A47" s="11" t="s">
        <v>11</v>
      </c>
      <c r="B47" s="138">
        <v>42045</v>
      </c>
      <c r="C47" s="13"/>
      <c r="D47" s="54"/>
      <c r="E47" s="83"/>
      <c r="F47" s="84"/>
      <c r="G47" s="84"/>
      <c r="H47" s="10" t="s">
        <v>411</v>
      </c>
    </row>
    <row r="48" spans="1:8" x14ac:dyDescent="0.15">
      <c r="A48" s="15">
        <f>SUM(E46:E52)</f>
        <v>43.51</v>
      </c>
      <c r="B48" s="138">
        <v>42046</v>
      </c>
      <c r="C48" s="13" t="s">
        <v>14</v>
      </c>
      <c r="D48" s="54">
        <v>5.1261574074074077E-2</v>
      </c>
      <c r="E48" s="83">
        <v>14.52</v>
      </c>
      <c r="F48" s="84">
        <f>D48/E48</f>
        <v>3.5304114376084076E-3</v>
      </c>
      <c r="G48" s="84" t="s">
        <v>471</v>
      </c>
      <c r="H48" s="10" t="s">
        <v>411</v>
      </c>
    </row>
    <row r="49" spans="1:8" x14ac:dyDescent="0.15">
      <c r="A49" s="2"/>
      <c r="B49" s="138">
        <v>42047</v>
      </c>
      <c r="C49" s="13"/>
      <c r="D49" s="54"/>
      <c r="E49" s="83"/>
      <c r="F49" s="84"/>
      <c r="G49" s="84"/>
      <c r="H49" s="10" t="s">
        <v>411</v>
      </c>
    </row>
    <row r="50" spans="1:8" x14ac:dyDescent="0.15">
      <c r="A50" s="2"/>
      <c r="B50" s="138">
        <v>42048</v>
      </c>
      <c r="C50" s="13"/>
      <c r="D50" s="54"/>
      <c r="E50" s="83"/>
      <c r="F50" s="84"/>
      <c r="G50" s="84"/>
      <c r="H50" s="10" t="s">
        <v>411</v>
      </c>
    </row>
    <row r="51" spans="1:8" x14ac:dyDescent="0.15">
      <c r="A51" s="2"/>
      <c r="B51" s="138">
        <v>42049</v>
      </c>
      <c r="C51" s="13"/>
      <c r="D51" s="54"/>
      <c r="E51" s="83"/>
      <c r="F51" s="84"/>
      <c r="G51" s="84"/>
      <c r="H51" s="10" t="s">
        <v>411</v>
      </c>
    </row>
    <row r="52" spans="1:8" x14ac:dyDescent="0.15">
      <c r="A52" s="2"/>
      <c r="B52" s="90">
        <v>42050</v>
      </c>
      <c r="C52" s="13" t="s">
        <v>14</v>
      </c>
      <c r="D52" s="54">
        <v>5.2939814814814815E-2</v>
      </c>
      <c r="E52" s="83">
        <v>14.44</v>
      </c>
      <c r="F52" s="84">
        <f>D52/E52</f>
        <v>3.6661921616907766E-3</v>
      </c>
      <c r="G52" s="84" t="s">
        <v>475</v>
      </c>
      <c r="H52" s="10" t="s">
        <v>411</v>
      </c>
    </row>
    <row r="53" spans="1:8" x14ac:dyDescent="0.15">
      <c r="A53" s="4">
        <f>A46+1</f>
        <v>8</v>
      </c>
      <c r="B53" s="138">
        <v>42051</v>
      </c>
      <c r="C53" s="8"/>
      <c r="D53" s="52"/>
      <c r="E53" s="80"/>
      <c r="F53" s="81"/>
      <c r="G53" s="81"/>
      <c r="H53" s="10" t="s">
        <v>411</v>
      </c>
    </row>
    <row r="54" spans="1:8" x14ac:dyDescent="0.15">
      <c r="A54" s="11" t="s">
        <v>11</v>
      </c>
      <c r="B54" s="138">
        <v>42052</v>
      </c>
      <c r="C54" s="13" t="s">
        <v>464</v>
      </c>
      <c r="D54" s="54">
        <v>3.9467592592592596E-2</v>
      </c>
      <c r="E54" s="83">
        <v>11.45</v>
      </c>
      <c r="F54" s="84">
        <f>D54/E54</f>
        <v>3.4469513181303577E-3</v>
      </c>
      <c r="G54" s="84" t="s">
        <v>472</v>
      </c>
      <c r="H54" s="10" t="s">
        <v>411</v>
      </c>
    </row>
    <row r="55" spans="1:8" x14ac:dyDescent="0.15">
      <c r="A55" s="15">
        <f>SUM(E53:E59)</f>
        <v>58.870000000000005</v>
      </c>
      <c r="B55" s="138">
        <v>42053</v>
      </c>
      <c r="C55" s="13" t="s">
        <v>14</v>
      </c>
      <c r="D55" s="54">
        <v>3.9375E-2</v>
      </c>
      <c r="E55" s="83">
        <v>10.89</v>
      </c>
      <c r="F55" s="84">
        <f>D55/E55</f>
        <v>3.6157024793388426E-3</v>
      </c>
      <c r="G55" s="84" t="s">
        <v>471</v>
      </c>
      <c r="H55" s="10" t="s">
        <v>411</v>
      </c>
    </row>
    <row r="56" spans="1:8" x14ac:dyDescent="0.15">
      <c r="A56" s="2"/>
      <c r="B56" s="138">
        <v>42054</v>
      </c>
      <c r="C56" s="13" t="s">
        <v>447</v>
      </c>
      <c r="D56" s="54">
        <v>4.1203703703703701E-2</v>
      </c>
      <c r="E56" s="83">
        <v>12.48</v>
      </c>
      <c r="F56" s="84">
        <f>D56/E56</f>
        <v>3.3015788224121552E-3</v>
      </c>
      <c r="G56" s="84" t="s">
        <v>475</v>
      </c>
      <c r="H56" s="10" t="s">
        <v>411</v>
      </c>
    </row>
    <row r="57" spans="1:8" x14ac:dyDescent="0.15">
      <c r="A57" s="2"/>
      <c r="B57" s="138">
        <v>42055</v>
      </c>
      <c r="C57" s="13"/>
      <c r="D57" s="54"/>
      <c r="E57" s="83"/>
      <c r="F57" s="84"/>
      <c r="G57" s="84"/>
      <c r="H57" s="10" t="s">
        <v>411</v>
      </c>
    </row>
    <row r="58" spans="1:8" x14ac:dyDescent="0.15">
      <c r="A58" s="2"/>
      <c r="B58" s="138">
        <v>42056</v>
      </c>
      <c r="C58" s="13" t="s">
        <v>14</v>
      </c>
      <c r="D58" s="54">
        <v>8.3587962962962961E-2</v>
      </c>
      <c r="E58" s="83">
        <v>24.05</v>
      </c>
      <c r="F58" s="84">
        <f>D58/E58</f>
        <v>3.4755909755909754E-3</v>
      </c>
      <c r="G58" s="84" t="s">
        <v>472</v>
      </c>
      <c r="H58" s="10" t="s">
        <v>411</v>
      </c>
    </row>
    <row r="59" spans="1:8" x14ac:dyDescent="0.15">
      <c r="A59" s="2"/>
      <c r="B59" s="90">
        <v>42057</v>
      </c>
      <c r="C59" s="13"/>
      <c r="D59" s="54"/>
      <c r="E59" s="83"/>
      <c r="F59" s="84"/>
      <c r="G59" s="84"/>
      <c r="H59" s="10" t="s">
        <v>411</v>
      </c>
    </row>
    <row r="60" spans="1:8" x14ac:dyDescent="0.15">
      <c r="A60" s="4">
        <f>A53+1</f>
        <v>9</v>
      </c>
      <c r="B60" s="138">
        <v>42058</v>
      </c>
      <c r="C60" s="8" t="s">
        <v>14</v>
      </c>
      <c r="D60" s="52">
        <v>3.5983796296296298E-2</v>
      </c>
      <c r="E60" s="80">
        <v>10.91</v>
      </c>
      <c r="F60" s="81">
        <f>D60/E60</f>
        <v>3.2982398071765627E-3</v>
      </c>
      <c r="G60" s="81" t="s">
        <v>475</v>
      </c>
      <c r="H60" s="10" t="s">
        <v>411</v>
      </c>
    </row>
    <row r="61" spans="1:8" x14ac:dyDescent="0.15">
      <c r="A61" s="11" t="s">
        <v>11</v>
      </c>
      <c r="B61" s="138">
        <v>42059</v>
      </c>
      <c r="C61" s="13"/>
      <c r="D61" s="54"/>
      <c r="E61" s="83"/>
      <c r="F61" s="84"/>
      <c r="G61" s="84"/>
      <c r="H61" s="10" t="s">
        <v>411</v>
      </c>
    </row>
    <row r="62" spans="1:8" x14ac:dyDescent="0.15">
      <c r="A62" s="15">
        <f>SUM(E60:E66)</f>
        <v>55.38</v>
      </c>
      <c r="B62" s="138">
        <v>42060</v>
      </c>
      <c r="C62" s="13" t="s">
        <v>464</v>
      </c>
      <c r="D62" s="54">
        <v>4.3576388888888887E-2</v>
      </c>
      <c r="E62" s="83">
        <v>11.92</v>
      </c>
      <c r="F62" s="84">
        <f>D62/E62</f>
        <v>3.6557373228933631E-3</v>
      </c>
      <c r="G62" s="84" t="s">
        <v>471</v>
      </c>
      <c r="H62" s="10" t="s">
        <v>411</v>
      </c>
    </row>
    <row r="63" spans="1:8" x14ac:dyDescent="0.15">
      <c r="A63" s="2"/>
      <c r="B63" s="138">
        <v>42061</v>
      </c>
      <c r="C63" s="13" t="s">
        <v>14</v>
      </c>
      <c r="D63" s="54">
        <v>3.8993055555555559E-2</v>
      </c>
      <c r="E63" s="83">
        <v>11.56</v>
      </c>
      <c r="F63" s="84">
        <f>D63/E63</f>
        <v>3.3731016916570553E-3</v>
      </c>
      <c r="G63" s="84" t="s">
        <v>475</v>
      </c>
      <c r="H63" s="10" t="s">
        <v>411</v>
      </c>
    </row>
    <row r="64" spans="1:8" x14ac:dyDescent="0.15">
      <c r="A64" s="2"/>
      <c r="B64" s="138">
        <v>42062</v>
      </c>
      <c r="C64" s="13"/>
      <c r="D64" s="54"/>
      <c r="E64" s="83"/>
      <c r="F64" s="84"/>
      <c r="G64" s="84"/>
      <c r="H64" s="10" t="s">
        <v>411</v>
      </c>
    </row>
    <row r="65" spans="1:8" x14ac:dyDescent="0.15">
      <c r="A65" s="2"/>
      <c r="B65" s="138">
        <v>42063</v>
      </c>
      <c r="C65" s="13" t="s">
        <v>158</v>
      </c>
      <c r="D65" s="54">
        <v>3.3645833333333333E-2</v>
      </c>
      <c r="E65" s="83">
        <v>10.74</v>
      </c>
      <c r="F65" s="84">
        <f>D65/E65</f>
        <v>3.1327591558038483E-3</v>
      </c>
      <c r="G65" s="84" t="s">
        <v>472</v>
      </c>
      <c r="H65" s="10" t="s">
        <v>411</v>
      </c>
    </row>
    <row r="66" spans="1:8" x14ac:dyDescent="0.15">
      <c r="A66" s="2"/>
      <c r="B66" s="90">
        <v>42064</v>
      </c>
      <c r="C66" s="13" t="s">
        <v>14</v>
      </c>
      <c r="D66" s="54">
        <v>4.583333333333333E-2</v>
      </c>
      <c r="E66" s="83">
        <v>10.25</v>
      </c>
      <c r="F66" s="84">
        <f>D66/E66</f>
        <v>4.4715447154471538E-3</v>
      </c>
      <c r="G66" s="84" t="s">
        <v>475</v>
      </c>
      <c r="H66" s="10" t="s">
        <v>411</v>
      </c>
    </row>
    <row r="67" spans="1:8" x14ac:dyDescent="0.15">
      <c r="A67" s="4">
        <f>A60+1</f>
        <v>10</v>
      </c>
      <c r="B67" s="138">
        <v>42065</v>
      </c>
      <c r="C67" s="8"/>
      <c r="D67" s="52"/>
      <c r="E67" s="80"/>
      <c r="F67" s="81"/>
      <c r="G67" s="81"/>
      <c r="H67" s="10" t="s">
        <v>411</v>
      </c>
    </row>
    <row r="68" spans="1:8" x14ac:dyDescent="0.15">
      <c r="A68" s="11" t="s">
        <v>11</v>
      </c>
      <c r="B68" s="138">
        <v>42066</v>
      </c>
      <c r="C68" s="13" t="s">
        <v>14</v>
      </c>
      <c r="D68" s="54">
        <v>3.6759259259259255E-2</v>
      </c>
      <c r="E68" s="83">
        <v>10.85</v>
      </c>
      <c r="F68" s="84">
        <f>D68/E68</f>
        <v>3.3879501621437102E-3</v>
      </c>
      <c r="G68" s="84" t="s">
        <v>472</v>
      </c>
      <c r="H68" s="10" t="s">
        <v>411</v>
      </c>
    </row>
    <row r="69" spans="1:8" x14ac:dyDescent="0.15">
      <c r="A69" s="15">
        <f>SUM(E67:E73)</f>
        <v>63.15</v>
      </c>
      <c r="B69" s="138">
        <v>42067</v>
      </c>
      <c r="C69" s="13" t="s">
        <v>464</v>
      </c>
      <c r="D69" s="54">
        <v>3.920138888888889E-2</v>
      </c>
      <c r="E69" s="83">
        <v>11.38</v>
      </c>
      <c r="F69" s="84">
        <f>D69/E69</f>
        <v>3.4447617652802187E-3</v>
      </c>
      <c r="G69" s="84" t="s">
        <v>471</v>
      </c>
      <c r="H69" s="10" t="s">
        <v>411</v>
      </c>
    </row>
    <row r="70" spans="1:8" x14ac:dyDescent="0.15">
      <c r="A70" s="2"/>
      <c r="B70" s="138">
        <v>42068</v>
      </c>
      <c r="C70" s="13"/>
      <c r="D70" s="54"/>
      <c r="E70" s="83"/>
      <c r="F70" s="84"/>
      <c r="G70" s="84"/>
      <c r="H70" s="10" t="s">
        <v>411</v>
      </c>
    </row>
    <row r="71" spans="1:8" x14ac:dyDescent="0.15">
      <c r="A71" s="2"/>
      <c r="B71" s="138">
        <v>42069</v>
      </c>
      <c r="C71" s="13" t="s">
        <v>447</v>
      </c>
      <c r="D71" s="54">
        <v>3.5717592592592592E-2</v>
      </c>
      <c r="E71" s="83">
        <v>10.74</v>
      </c>
      <c r="F71" s="84">
        <f>D71/E71</f>
        <v>3.3256603903717495E-3</v>
      </c>
      <c r="G71" s="84" t="s">
        <v>475</v>
      </c>
      <c r="H71" s="10" t="s">
        <v>411</v>
      </c>
    </row>
    <row r="72" spans="1:8" x14ac:dyDescent="0.15">
      <c r="A72" s="2"/>
      <c r="B72" s="138">
        <v>42070</v>
      </c>
      <c r="C72" s="13"/>
      <c r="D72" s="54"/>
      <c r="E72" s="83"/>
      <c r="F72" s="84"/>
      <c r="G72" s="84"/>
      <c r="H72" s="10" t="s">
        <v>411</v>
      </c>
    </row>
    <row r="73" spans="1:8" x14ac:dyDescent="0.15">
      <c r="A73" s="2"/>
      <c r="B73" s="90">
        <v>42071</v>
      </c>
      <c r="C73" s="13" t="s">
        <v>14</v>
      </c>
      <c r="D73" s="54">
        <v>0.10387731481481481</v>
      </c>
      <c r="E73" s="83">
        <v>30.18</v>
      </c>
      <c r="F73" s="84">
        <f>D73/E73</f>
        <v>3.4419256068527106E-3</v>
      </c>
      <c r="G73" s="84" t="s">
        <v>472</v>
      </c>
      <c r="H73" s="10" t="s">
        <v>411</v>
      </c>
    </row>
    <row r="74" spans="1:8" x14ac:dyDescent="0.15">
      <c r="A74" s="4">
        <f>A67+1</f>
        <v>11</v>
      </c>
      <c r="B74" s="138">
        <v>42072</v>
      </c>
      <c r="C74" s="8" t="s">
        <v>14</v>
      </c>
      <c r="D74" s="52">
        <v>3.923611111111111E-2</v>
      </c>
      <c r="E74" s="80">
        <v>10.76</v>
      </c>
      <c r="F74" s="81">
        <f>D74/E74</f>
        <v>3.6464787277984303E-3</v>
      </c>
      <c r="G74" s="81" t="s">
        <v>475</v>
      </c>
      <c r="H74" s="10" t="s">
        <v>411</v>
      </c>
    </row>
    <row r="75" spans="1:8" x14ac:dyDescent="0.15">
      <c r="A75" s="11" t="s">
        <v>11</v>
      </c>
      <c r="B75" s="138">
        <v>42073</v>
      </c>
      <c r="C75" s="13"/>
      <c r="D75" s="54"/>
      <c r="E75" s="83"/>
      <c r="F75" s="84"/>
      <c r="G75" s="84"/>
      <c r="H75" s="10" t="s">
        <v>411</v>
      </c>
    </row>
    <row r="76" spans="1:8" x14ac:dyDescent="0.15">
      <c r="A76" s="15">
        <f>SUM(E74:E80)</f>
        <v>66.42</v>
      </c>
      <c r="B76" s="138">
        <v>42074</v>
      </c>
      <c r="C76" s="13" t="s">
        <v>14</v>
      </c>
      <c r="D76" s="54">
        <f>E76*F76</f>
        <v>4.6487268518518518E-2</v>
      </c>
      <c r="E76" s="83">
        <v>14.5</v>
      </c>
      <c r="F76" s="84">
        <v>3.2060185185185186E-3</v>
      </c>
      <c r="G76" s="84" t="s">
        <v>471</v>
      </c>
      <c r="H76" s="10" t="s">
        <v>411</v>
      </c>
    </row>
    <row r="77" spans="1:8" x14ac:dyDescent="0.15">
      <c r="A77" s="2"/>
      <c r="B77" s="138">
        <v>42075</v>
      </c>
      <c r="C77" s="13"/>
      <c r="D77" s="54"/>
      <c r="E77" s="83"/>
      <c r="F77" s="84"/>
      <c r="G77" s="84"/>
      <c r="H77" s="10" t="s">
        <v>411</v>
      </c>
    </row>
    <row r="78" spans="1:8" x14ac:dyDescent="0.15">
      <c r="A78" s="2"/>
      <c r="B78" s="138">
        <v>42076</v>
      </c>
      <c r="C78" s="13" t="s">
        <v>14</v>
      </c>
      <c r="D78" s="54">
        <v>3.8321759259259264E-2</v>
      </c>
      <c r="E78" s="83">
        <v>10.8</v>
      </c>
      <c r="F78" s="84">
        <f>D78/E78</f>
        <v>3.5483110425240058E-3</v>
      </c>
      <c r="G78" s="84" t="s">
        <v>475</v>
      </c>
      <c r="H78" s="10" t="s">
        <v>411</v>
      </c>
    </row>
    <row r="79" spans="1:8" x14ac:dyDescent="0.15">
      <c r="A79" s="2"/>
      <c r="B79" s="138">
        <v>42077</v>
      </c>
      <c r="C79" s="13" t="s">
        <v>14</v>
      </c>
      <c r="D79" s="54">
        <v>0.10202546296296297</v>
      </c>
      <c r="E79" s="83">
        <v>30.36</v>
      </c>
      <c r="F79" s="84">
        <f>D79/E79</f>
        <v>3.3605224954862639E-3</v>
      </c>
      <c r="G79" s="84" t="s">
        <v>472</v>
      </c>
      <c r="H79" s="10" t="s">
        <v>411</v>
      </c>
    </row>
    <row r="80" spans="1:8" x14ac:dyDescent="0.15">
      <c r="A80" s="2"/>
      <c r="B80" s="90">
        <v>42078</v>
      </c>
      <c r="C80" s="13"/>
      <c r="D80" s="54"/>
      <c r="E80" s="83"/>
      <c r="F80" s="84"/>
      <c r="G80" s="84"/>
      <c r="H80" s="10" t="s">
        <v>411</v>
      </c>
    </row>
    <row r="81" spans="1:8" x14ac:dyDescent="0.15">
      <c r="A81" s="4">
        <f>A74+1</f>
        <v>12</v>
      </c>
      <c r="B81" s="138">
        <v>42079</v>
      </c>
      <c r="C81" s="8" t="s">
        <v>14</v>
      </c>
      <c r="D81" s="52">
        <v>4.0578703703703707E-2</v>
      </c>
      <c r="E81" s="80">
        <v>11.5</v>
      </c>
      <c r="F81" s="81">
        <f>D81/E81</f>
        <v>3.5285829307568442E-3</v>
      </c>
      <c r="G81" s="81" t="s">
        <v>475</v>
      </c>
      <c r="H81" s="10" t="s">
        <v>411</v>
      </c>
    </row>
    <row r="82" spans="1:8" x14ac:dyDescent="0.15">
      <c r="A82" s="11" t="s">
        <v>11</v>
      </c>
      <c r="B82" s="138">
        <v>42080</v>
      </c>
      <c r="C82" s="13"/>
      <c r="D82" s="54"/>
      <c r="E82" s="83"/>
      <c r="F82" s="84"/>
      <c r="G82" s="84"/>
      <c r="H82" s="10" t="s">
        <v>411</v>
      </c>
    </row>
    <row r="83" spans="1:8" x14ac:dyDescent="0.15">
      <c r="A83" s="15">
        <f>SUM(E81:E87)</f>
        <v>58.63</v>
      </c>
      <c r="B83" s="138">
        <v>42081</v>
      </c>
      <c r="C83" s="13" t="s">
        <v>447</v>
      </c>
      <c r="D83" s="54">
        <v>4.2673611111111107E-2</v>
      </c>
      <c r="E83" s="83">
        <v>13.8</v>
      </c>
      <c r="F83" s="84">
        <f>D83/E83</f>
        <v>3.0922906602254422E-3</v>
      </c>
      <c r="G83" s="84" t="s">
        <v>471</v>
      </c>
      <c r="H83" s="10" t="s">
        <v>411</v>
      </c>
    </row>
    <row r="84" spans="1:8" x14ac:dyDescent="0.15">
      <c r="A84" s="2"/>
      <c r="B84" s="138">
        <v>42082</v>
      </c>
      <c r="C84" s="13"/>
      <c r="D84" s="54"/>
      <c r="E84" s="83"/>
      <c r="F84" s="84"/>
      <c r="G84" s="84"/>
      <c r="H84" s="10" t="s">
        <v>411</v>
      </c>
    </row>
    <row r="85" spans="1:8" x14ac:dyDescent="0.15">
      <c r="A85" s="2"/>
      <c r="B85" s="138">
        <v>42083</v>
      </c>
      <c r="C85" s="13"/>
      <c r="D85" s="54"/>
      <c r="E85" s="83"/>
      <c r="F85" s="84"/>
      <c r="G85" s="84"/>
      <c r="H85" s="10" t="s">
        <v>411</v>
      </c>
    </row>
    <row r="86" spans="1:8" x14ac:dyDescent="0.15">
      <c r="A86" s="2"/>
      <c r="B86" s="138">
        <v>42084</v>
      </c>
      <c r="C86" s="13" t="s">
        <v>14</v>
      </c>
      <c r="D86" s="54">
        <v>3.5335648148148151E-2</v>
      </c>
      <c r="E86" s="83">
        <v>10.93</v>
      </c>
      <c r="F86" s="84">
        <f>D86/E86</f>
        <v>3.2329046796109929E-3</v>
      </c>
      <c r="G86" s="84" t="s">
        <v>475</v>
      </c>
      <c r="H86" s="10" t="s">
        <v>411</v>
      </c>
    </row>
    <row r="87" spans="1:8" x14ac:dyDescent="0.15">
      <c r="A87" s="2"/>
      <c r="B87" s="90">
        <v>42085</v>
      </c>
      <c r="C87" s="13" t="s">
        <v>478</v>
      </c>
      <c r="D87" s="54">
        <v>7.3321759259259253E-2</v>
      </c>
      <c r="E87" s="83">
        <v>22.4</v>
      </c>
      <c r="F87" s="84">
        <f>D87/E87</f>
        <v>3.2732928240740739E-3</v>
      </c>
      <c r="G87" s="84" t="s">
        <v>472</v>
      </c>
      <c r="H87" s="10" t="s">
        <v>411</v>
      </c>
    </row>
    <row r="88" spans="1:8" x14ac:dyDescent="0.15">
      <c r="A88" s="4">
        <f>A81+1</f>
        <v>13</v>
      </c>
      <c r="B88" s="138">
        <v>42086</v>
      </c>
      <c r="C88" s="8"/>
      <c r="D88" s="52"/>
      <c r="E88" s="80"/>
      <c r="F88" s="81"/>
      <c r="G88" s="81"/>
      <c r="H88" s="10" t="s">
        <v>411</v>
      </c>
    </row>
    <row r="89" spans="1:8" x14ac:dyDescent="0.15">
      <c r="A89" s="11" t="s">
        <v>11</v>
      </c>
      <c r="B89" s="138">
        <v>42087</v>
      </c>
      <c r="C89" s="13" t="s">
        <v>14</v>
      </c>
      <c r="D89" s="54">
        <v>3.7175925925925925E-2</v>
      </c>
      <c r="E89" s="83">
        <v>10.44</v>
      </c>
      <c r="F89" s="84">
        <f>D89/E89</f>
        <v>3.5609124450120618E-3</v>
      </c>
      <c r="G89" s="84" t="s">
        <v>471</v>
      </c>
      <c r="H89" s="10" t="s">
        <v>411</v>
      </c>
    </row>
    <row r="90" spans="1:8" x14ac:dyDescent="0.15">
      <c r="A90" s="15">
        <f>SUM(E88:E94)</f>
        <v>56.459999999999994</v>
      </c>
      <c r="B90" s="138">
        <v>42088</v>
      </c>
      <c r="C90" s="13"/>
      <c r="D90" s="54"/>
      <c r="E90" s="83"/>
      <c r="F90" s="84"/>
      <c r="G90" s="84"/>
      <c r="H90" s="10" t="s">
        <v>411</v>
      </c>
    </row>
    <row r="91" spans="1:8" x14ac:dyDescent="0.15">
      <c r="A91" s="2"/>
      <c r="B91" s="138">
        <v>42089</v>
      </c>
      <c r="C91" s="13" t="s">
        <v>14</v>
      </c>
      <c r="D91" s="54">
        <v>3.6620370370370366E-2</v>
      </c>
      <c r="E91" s="83">
        <v>10.64</v>
      </c>
      <c r="F91" s="84">
        <f>D91/E91</f>
        <v>3.4417641325536056E-3</v>
      </c>
      <c r="G91" s="84" t="s">
        <v>472</v>
      </c>
      <c r="H91" s="10" t="s">
        <v>411</v>
      </c>
    </row>
    <row r="92" spans="1:8" x14ac:dyDescent="0.15">
      <c r="A92" s="2"/>
      <c r="B92" s="138">
        <v>42090</v>
      </c>
      <c r="C92" s="13" t="s">
        <v>447</v>
      </c>
      <c r="D92" s="54">
        <v>3.5138888888888893E-2</v>
      </c>
      <c r="E92" s="83">
        <v>11.08</v>
      </c>
      <c r="F92" s="84">
        <f>D92/E92</f>
        <v>3.1713798636181312E-3</v>
      </c>
      <c r="G92" s="84" t="s">
        <v>471</v>
      </c>
      <c r="H92" s="10" t="s">
        <v>411</v>
      </c>
    </row>
    <row r="93" spans="1:8" x14ac:dyDescent="0.15">
      <c r="A93" s="2"/>
      <c r="B93" s="138">
        <v>42091</v>
      </c>
      <c r="C93" s="13"/>
      <c r="D93" s="54"/>
      <c r="E93" s="83"/>
      <c r="F93" s="84"/>
      <c r="G93" s="84"/>
      <c r="H93" s="10" t="s">
        <v>411</v>
      </c>
    </row>
    <row r="94" spans="1:8" x14ac:dyDescent="0.15">
      <c r="A94" s="2"/>
      <c r="B94" s="90">
        <v>42092</v>
      </c>
      <c r="C94" s="13" t="s">
        <v>14</v>
      </c>
      <c r="D94" s="54">
        <v>8.520833333333333E-2</v>
      </c>
      <c r="E94" s="83">
        <v>24.3</v>
      </c>
      <c r="F94" s="84">
        <f>D94/E94</f>
        <v>3.5065157750342932E-3</v>
      </c>
      <c r="G94" s="84" t="s">
        <v>475</v>
      </c>
      <c r="H94" s="10" t="s">
        <v>411</v>
      </c>
    </row>
    <row r="95" spans="1:8" x14ac:dyDescent="0.15">
      <c r="A95" s="4">
        <f>A88+1</f>
        <v>14</v>
      </c>
      <c r="B95" s="138">
        <v>42093</v>
      </c>
      <c r="C95" s="8"/>
      <c r="D95" s="52"/>
      <c r="E95" s="80"/>
      <c r="F95" s="81"/>
      <c r="G95" s="81"/>
      <c r="H95" s="10" t="s">
        <v>411</v>
      </c>
    </row>
    <row r="96" spans="1:8" x14ac:dyDescent="0.15">
      <c r="A96" s="11" t="s">
        <v>11</v>
      </c>
      <c r="B96" s="138">
        <v>42094</v>
      </c>
      <c r="C96" s="13" t="s">
        <v>14</v>
      </c>
      <c r="D96" s="54">
        <v>3.7280092592592594E-2</v>
      </c>
      <c r="E96" s="83">
        <v>11.11</v>
      </c>
      <c r="F96" s="84">
        <f>D96/E96</f>
        <v>3.3555438877221058E-3</v>
      </c>
      <c r="G96" s="84" t="s">
        <v>471</v>
      </c>
      <c r="H96" s="10" t="s">
        <v>411</v>
      </c>
    </row>
    <row r="97" spans="1:8" x14ac:dyDescent="0.15">
      <c r="A97" s="15">
        <f>SUM(E95:E101)</f>
        <v>66.899999999999991</v>
      </c>
      <c r="B97" s="138">
        <v>42095</v>
      </c>
      <c r="C97" s="13"/>
      <c r="D97" s="54"/>
      <c r="E97" s="83"/>
      <c r="F97" s="84"/>
      <c r="G97" s="84"/>
      <c r="H97" s="10" t="s">
        <v>411</v>
      </c>
    </row>
    <row r="98" spans="1:8" x14ac:dyDescent="0.15">
      <c r="A98" s="2"/>
      <c r="B98" s="138">
        <v>42096</v>
      </c>
      <c r="C98" s="13" t="s">
        <v>14</v>
      </c>
      <c r="D98" s="54">
        <v>4.6076388888888889E-2</v>
      </c>
      <c r="E98" s="83">
        <v>13.4</v>
      </c>
      <c r="F98" s="84">
        <f>D98/E98</f>
        <v>3.4385364842454392E-3</v>
      </c>
      <c r="G98" s="84" t="s">
        <v>472</v>
      </c>
      <c r="H98" s="10" t="s">
        <v>411</v>
      </c>
    </row>
    <row r="99" spans="1:8" x14ac:dyDescent="0.15">
      <c r="A99" s="2"/>
      <c r="B99" s="138">
        <v>42097</v>
      </c>
      <c r="C99" s="13"/>
      <c r="D99" s="54"/>
      <c r="E99" s="83"/>
      <c r="F99" s="84"/>
      <c r="G99" s="84"/>
      <c r="H99" s="10" t="s">
        <v>411</v>
      </c>
    </row>
    <row r="100" spans="1:8" x14ac:dyDescent="0.15">
      <c r="A100" s="2"/>
      <c r="B100" s="138">
        <v>42098</v>
      </c>
      <c r="C100" s="13" t="s">
        <v>14</v>
      </c>
      <c r="D100" s="54">
        <v>4.0983796296296296E-2</v>
      </c>
      <c r="E100" s="83">
        <v>12.2</v>
      </c>
      <c r="F100" s="84">
        <f>D100/E100</f>
        <v>3.3593275652701884E-3</v>
      </c>
      <c r="G100" s="84" t="s">
        <v>471</v>
      </c>
      <c r="H100" s="10" t="s">
        <v>411</v>
      </c>
    </row>
    <row r="101" spans="1:8" x14ac:dyDescent="0.15">
      <c r="A101" s="2"/>
      <c r="B101" s="90">
        <v>42099</v>
      </c>
      <c r="C101" s="13" t="s">
        <v>14</v>
      </c>
      <c r="D101" s="54">
        <v>0.10484953703703703</v>
      </c>
      <c r="E101" s="83">
        <v>30.19</v>
      </c>
      <c r="F101" s="84">
        <f>D101/E101</f>
        <v>3.4729889710843668E-3</v>
      </c>
      <c r="G101" s="84" t="s">
        <v>475</v>
      </c>
      <c r="H101" s="10" t="s">
        <v>411</v>
      </c>
    </row>
    <row r="102" spans="1:8" x14ac:dyDescent="0.15">
      <c r="A102" s="4">
        <f>A95+1</f>
        <v>15</v>
      </c>
      <c r="B102" s="138">
        <v>42100</v>
      </c>
      <c r="C102" s="8"/>
      <c r="D102" s="52"/>
      <c r="E102" s="80"/>
      <c r="F102" s="81"/>
      <c r="G102" s="81"/>
      <c r="H102" s="10" t="s">
        <v>411</v>
      </c>
    </row>
    <row r="103" spans="1:8" x14ac:dyDescent="0.15">
      <c r="A103" s="11" t="s">
        <v>11</v>
      </c>
      <c r="B103" s="138">
        <v>42101</v>
      </c>
      <c r="C103" s="13" t="s">
        <v>464</v>
      </c>
      <c r="D103" s="54">
        <v>4.4849537037037035E-2</v>
      </c>
      <c r="E103" s="83">
        <v>13.06</v>
      </c>
      <c r="F103" s="84">
        <f>D103/E103</f>
        <v>3.4341146276444896E-3</v>
      </c>
      <c r="G103" s="84" t="s">
        <v>471</v>
      </c>
      <c r="H103" s="10" t="s">
        <v>411</v>
      </c>
    </row>
    <row r="104" spans="1:8" x14ac:dyDescent="0.15">
      <c r="A104" s="15">
        <f>SUM(E102:E108)</f>
        <v>61.95</v>
      </c>
      <c r="B104" s="138">
        <v>42102</v>
      </c>
      <c r="C104" s="13" t="s">
        <v>14</v>
      </c>
      <c r="D104" s="54">
        <v>3.726851851851852E-2</v>
      </c>
      <c r="E104" s="83">
        <v>11.07</v>
      </c>
      <c r="F104" s="84">
        <f>D104/E104</f>
        <v>3.3666231724045637E-3</v>
      </c>
      <c r="G104" s="84" t="s">
        <v>475</v>
      </c>
      <c r="H104" s="10" t="s">
        <v>411</v>
      </c>
    </row>
    <row r="105" spans="1:8" x14ac:dyDescent="0.15">
      <c r="A105" s="2"/>
      <c r="B105" s="138">
        <v>42103</v>
      </c>
      <c r="C105" s="13" t="s">
        <v>447</v>
      </c>
      <c r="D105" s="54">
        <v>4.4999999999999991E-2</v>
      </c>
      <c r="E105" s="83">
        <v>14.05</v>
      </c>
      <c r="F105" s="84">
        <f>D105/E105</f>
        <v>3.2028469750889671E-3</v>
      </c>
      <c r="G105" s="84" t="s">
        <v>472</v>
      </c>
      <c r="H105" s="10" t="s">
        <v>411</v>
      </c>
    </row>
    <row r="106" spans="1:8" x14ac:dyDescent="0.15">
      <c r="A106" s="2"/>
      <c r="B106" s="138">
        <v>42104</v>
      </c>
      <c r="C106" s="13"/>
      <c r="D106" s="54"/>
      <c r="E106" s="83"/>
      <c r="F106" s="84"/>
      <c r="G106" s="84"/>
      <c r="H106" s="10" t="s">
        <v>411</v>
      </c>
    </row>
    <row r="107" spans="1:8" x14ac:dyDescent="0.15">
      <c r="A107" s="2"/>
      <c r="B107" s="138">
        <v>42105</v>
      </c>
      <c r="C107" s="13" t="s">
        <v>158</v>
      </c>
      <c r="D107" s="54">
        <v>3.3692129629629627E-2</v>
      </c>
      <c r="E107" s="83">
        <v>10.47</v>
      </c>
      <c r="F107" s="84">
        <f>D107/E107</f>
        <v>3.2179684460009192E-3</v>
      </c>
      <c r="G107" s="84" t="s">
        <v>471</v>
      </c>
      <c r="H107" s="10" t="s">
        <v>411</v>
      </c>
    </row>
    <row r="108" spans="1:8" x14ac:dyDescent="0.15">
      <c r="A108" s="2"/>
      <c r="B108" s="90">
        <v>42106</v>
      </c>
      <c r="C108" s="13" t="s">
        <v>14</v>
      </c>
      <c r="D108" s="54">
        <v>4.5914351851851852E-2</v>
      </c>
      <c r="E108" s="83">
        <v>13.3</v>
      </c>
      <c r="F108" s="84">
        <f>D108/E108</f>
        <v>3.4522069061542742E-3</v>
      </c>
      <c r="G108" s="84" t="s">
        <v>475</v>
      </c>
      <c r="H108" s="10" t="s">
        <v>411</v>
      </c>
    </row>
    <row r="109" spans="1:8" x14ac:dyDescent="0.15">
      <c r="A109" s="4">
        <f>A102+1</f>
        <v>16</v>
      </c>
      <c r="B109" s="138">
        <v>42107</v>
      </c>
      <c r="C109" s="8"/>
      <c r="D109" s="52"/>
      <c r="E109" s="80"/>
      <c r="F109" s="81"/>
      <c r="G109" s="81"/>
      <c r="H109" s="10" t="s">
        <v>411</v>
      </c>
    </row>
    <row r="110" spans="1:8" x14ac:dyDescent="0.15">
      <c r="A110" s="11" t="s">
        <v>11</v>
      </c>
      <c r="B110" s="138">
        <v>42108</v>
      </c>
      <c r="C110" s="13" t="s">
        <v>447</v>
      </c>
      <c r="D110" s="54">
        <v>3.5208333333333335E-2</v>
      </c>
      <c r="E110" s="83">
        <v>10.45</v>
      </c>
      <c r="F110" s="84">
        <f>D110/E110</f>
        <v>3.3692185007974484E-3</v>
      </c>
      <c r="G110" s="84" t="s">
        <v>471</v>
      </c>
      <c r="H110" s="10" t="s">
        <v>411</v>
      </c>
    </row>
    <row r="111" spans="1:8" x14ac:dyDescent="0.15">
      <c r="A111" s="15">
        <f>SUM(E109:E115)</f>
        <v>50.989999999999995</v>
      </c>
      <c r="B111" s="138">
        <v>42109</v>
      </c>
      <c r="C111" s="13"/>
      <c r="D111" s="54"/>
      <c r="E111" s="83"/>
      <c r="F111" s="84"/>
      <c r="G111" s="84"/>
      <c r="H111" s="10" t="s">
        <v>411</v>
      </c>
    </row>
    <row r="112" spans="1:8" x14ac:dyDescent="0.15">
      <c r="A112" s="2"/>
      <c r="B112" s="138">
        <v>42110</v>
      </c>
      <c r="C112" s="13" t="s">
        <v>14</v>
      </c>
      <c r="D112" s="54">
        <v>0.10532407407407406</v>
      </c>
      <c r="E112" s="83">
        <v>30.06</v>
      </c>
      <c r="F112" s="84">
        <f>D112/E112</f>
        <v>3.5037948793770479E-3</v>
      </c>
      <c r="G112" s="84" t="s">
        <v>475</v>
      </c>
      <c r="H112" s="10" t="s">
        <v>411</v>
      </c>
    </row>
    <row r="113" spans="1:8" x14ac:dyDescent="0.15">
      <c r="A113" s="2"/>
      <c r="B113" s="138">
        <v>42111</v>
      </c>
      <c r="C113" s="13"/>
      <c r="D113" s="54"/>
      <c r="E113" s="83"/>
      <c r="F113" s="84"/>
      <c r="G113" s="84"/>
      <c r="H113" s="10" t="s">
        <v>411</v>
      </c>
    </row>
    <row r="114" spans="1:8" x14ac:dyDescent="0.15">
      <c r="A114" s="2"/>
      <c r="B114" s="138">
        <v>42112</v>
      </c>
      <c r="C114" s="13" t="s">
        <v>14</v>
      </c>
      <c r="D114" s="54">
        <v>3.7858796296296293E-2</v>
      </c>
      <c r="E114" s="83">
        <v>10.48</v>
      </c>
      <c r="F114" s="84">
        <f>D114/E114</f>
        <v>3.6124805626236919E-3</v>
      </c>
      <c r="G114" s="84" t="s">
        <v>455</v>
      </c>
      <c r="H114" s="10" t="s">
        <v>411</v>
      </c>
    </row>
    <row r="115" spans="1:8" x14ac:dyDescent="0.15">
      <c r="A115" s="2"/>
      <c r="B115" s="90">
        <v>42113</v>
      </c>
      <c r="C115" s="13"/>
      <c r="D115" s="54"/>
      <c r="E115" s="83"/>
      <c r="F115" s="84"/>
      <c r="G115" s="84"/>
      <c r="H115" s="10" t="s">
        <v>411</v>
      </c>
    </row>
    <row r="116" spans="1:8" x14ac:dyDescent="0.15">
      <c r="A116" s="4">
        <f>A109+1</f>
        <v>17</v>
      </c>
      <c r="B116" s="138">
        <v>42114</v>
      </c>
      <c r="C116" s="8"/>
      <c r="D116" s="52"/>
      <c r="E116" s="80"/>
      <c r="F116" s="81"/>
      <c r="G116" s="81"/>
      <c r="H116" s="10" t="s">
        <v>411</v>
      </c>
    </row>
    <row r="117" spans="1:8" x14ac:dyDescent="0.15">
      <c r="A117" s="11" t="s">
        <v>11</v>
      </c>
      <c r="B117" s="138">
        <v>42115</v>
      </c>
      <c r="C117" s="13"/>
      <c r="D117" s="54"/>
      <c r="E117" s="83"/>
      <c r="F117" s="84"/>
      <c r="G117" s="84"/>
      <c r="H117" s="10" t="s">
        <v>411</v>
      </c>
    </row>
    <row r="118" spans="1:8" x14ac:dyDescent="0.15">
      <c r="A118" s="15">
        <f>SUM(E116:E122)</f>
        <v>52.631999999999998</v>
      </c>
      <c r="B118" s="138">
        <v>42116</v>
      </c>
      <c r="C118" s="13" t="s">
        <v>14</v>
      </c>
      <c r="D118" s="54">
        <v>3.695601851851852E-2</v>
      </c>
      <c r="E118" s="83">
        <v>10.44</v>
      </c>
      <c r="F118" s="84">
        <f>D118/E118</f>
        <v>3.5398485170994752E-3</v>
      </c>
      <c r="G118" s="84" t="s">
        <v>475</v>
      </c>
      <c r="H118" s="10" t="s">
        <v>411</v>
      </c>
    </row>
    <row r="119" spans="1:8" x14ac:dyDescent="0.15">
      <c r="A119" s="2"/>
      <c r="B119" s="138">
        <v>42117</v>
      </c>
      <c r="C119" s="13"/>
      <c r="D119" s="54"/>
      <c r="E119" s="83"/>
      <c r="F119" s="84"/>
      <c r="G119" s="84"/>
      <c r="H119" s="10" t="s">
        <v>411</v>
      </c>
    </row>
    <row r="120" spans="1:8" x14ac:dyDescent="0.15">
      <c r="A120" s="2"/>
      <c r="B120" s="138">
        <v>42118</v>
      </c>
      <c r="C120" s="13"/>
      <c r="D120" s="54"/>
      <c r="E120" s="83"/>
      <c r="F120" s="84"/>
      <c r="G120" s="84"/>
      <c r="H120" s="10" t="s">
        <v>411</v>
      </c>
    </row>
    <row r="121" spans="1:8" x14ac:dyDescent="0.15">
      <c r="A121" s="2"/>
      <c r="B121" s="138">
        <v>42119</v>
      </c>
      <c r="C121" s="13"/>
      <c r="D121" s="54"/>
      <c r="E121" s="83"/>
      <c r="F121" s="84"/>
      <c r="G121" s="84"/>
      <c r="H121" s="10" t="s">
        <v>411</v>
      </c>
    </row>
    <row r="122" spans="1:8" x14ac:dyDescent="0.15">
      <c r="A122" s="2"/>
      <c r="B122" s="90">
        <v>42120</v>
      </c>
      <c r="C122" s="160" t="s">
        <v>479</v>
      </c>
      <c r="D122" s="161">
        <v>0.14031250000000001</v>
      </c>
      <c r="E122" s="162">
        <v>42.192</v>
      </c>
      <c r="F122" s="163">
        <f>D122/E122</f>
        <v>3.3255711983314375E-3</v>
      </c>
      <c r="G122" s="163" t="s">
        <v>475</v>
      </c>
      <c r="H122" s="10" t="s">
        <v>411</v>
      </c>
    </row>
    <row r="123" spans="1:8" x14ac:dyDescent="0.15">
      <c r="A123" s="4">
        <f>A116+1</f>
        <v>18</v>
      </c>
      <c r="B123" s="138">
        <v>42121</v>
      </c>
      <c r="C123" s="8"/>
      <c r="D123" s="52"/>
      <c r="E123" s="80"/>
      <c r="F123" s="81"/>
      <c r="G123" s="81"/>
      <c r="H123" s="10" t="s">
        <v>411</v>
      </c>
    </row>
    <row r="124" spans="1:8" x14ac:dyDescent="0.15">
      <c r="A124" s="11" t="s">
        <v>11</v>
      </c>
      <c r="B124" s="138">
        <v>42122</v>
      </c>
      <c r="C124" s="13"/>
      <c r="D124" s="54"/>
      <c r="E124" s="83"/>
      <c r="F124" s="84"/>
      <c r="G124" s="84"/>
      <c r="H124" s="10" t="s">
        <v>411</v>
      </c>
    </row>
    <row r="125" spans="1:8" x14ac:dyDescent="0.15">
      <c r="A125" s="15">
        <f>SUM(E123:E129)</f>
        <v>10.01</v>
      </c>
      <c r="B125" s="138">
        <v>42123</v>
      </c>
      <c r="C125" s="13"/>
      <c r="D125" s="54"/>
      <c r="E125" s="83"/>
      <c r="F125" s="84"/>
      <c r="G125" s="84"/>
      <c r="H125" s="10" t="s">
        <v>411</v>
      </c>
    </row>
    <row r="126" spans="1:8" x14ac:dyDescent="0.15">
      <c r="A126" s="2"/>
      <c r="B126" s="138">
        <v>42124</v>
      </c>
      <c r="C126" s="13"/>
      <c r="D126" s="54"/>
      <c r="E126" s="83"/>
      <c r="F126" s="84"/>
      <c r="G126" s="84"/>
      <c r="H126" s="10" t="s">
        <v>411</v>
      </c>
    </row>
    <row r="127" spans="1:8" x14ac:dyDescent="0.15">
      <c r="A127" s="2"/>
      <c r="B127" s="138">
        <v>42125</v>
      </c>
      <c r="C127" s="13"/>
      <c r="D127" s="54"/>
      <c r="E127" s="83"/>
      <c r="F127" s="84"/>
      <c r="G127" s="84"/>
      <c r="H127" s="10" t="s">
        <v>411</v>
      </c>
    </row>
    <row r="128" spans="1:8" x14ac:dyDescent="0.15">
      <c r="A128" s="2"/>
      <c r="B128" s="138">
        <v>42126</v>
      </c>
      <c r="C128" s="13" t="s">
        <v>14</v>
      </c>
      <c r="D128" s="54">
        <v>3.7152777777777778E-2</v>
      </c>
      <c r="E128" s="83">
        <v>10.01</v>
      </c>
      <c r="F128" s="84">
        <f>D128/E128</f>
        <v>3.7115662115662115E-3</v>
      </c>
      <c r="G128" s="84" t="s">
        <v>471</v>
      </c>
      <c r="H128" s="10" t="s">
        <v>411</v>
      </c>
    </row>
    <row r="129" spans="1:8" x14ac:dyDescent="0.15">
      <c r="A129" s="2"/>
      <c r="B129" s="90">
        <v>42127</v>
      </c>
      <c r="C129" s="13"/>
      <c r="D129" s="54"/>
      <c r="E129" s="83"/>
      <c r="F129" s="84"/>
      <c r="G129" s="84"/>
      <c r="H129" s="10" t="s">
        <v>411</v>
      </c>
    </row>
    <row r="130" spans="1:8" x14ac:dyDescent="0.15">
      <c r="A130" s="4">
        <f>A123+1</f>
        <v>19</v>
      </c>
      <c r="B130" s="138">
        <v>42128</v>
      </c>
      <c r="C130" s="8" t="s">
        <v>14</v>
      </c>
      <c r="D130" s="52">
        <v>3.5335648148148151E-2</v>
      </c>
      <c r="E130" s="80">
        <v>10.3</v>
      </c>
      <c r="F130" s="81">
        <f>D130/E130</f>
        <v>3.4306454512765192E-3</v>
      </c>
      <c r="G130" s="81" t="s">
        <v>471</v>
      </c>
      <c r="H130" s="10" t="s">
        <v>411</v>
      </c>
    </row>
    <row r="131" spans="1:8" x14ac:dyDescent="0.15">
      <c r="A131" s="11" t="s">
        <v>11</v>
      </c>
      <c r="B131" s="138">
        <v>42129</v>
      </c>
      <c r="C131" s="13"/>
      <c r="D131" s="54"/>
      <c r="E131" s="83"/>
      <c r="F131" s="84"/>
      <c r="G131" s="84"/>
      <c r="H131" s="10" t="s">
        <v>411</v>
      </c>
    </row>
    <row r="132" spans="1:8" x14ac:dyDescent="0.15">
      <c r="A132" s="15">
        <f>SUM(E130:E136)</f>
        <v>20.43</v>
      </c>
      <c r="B132" s="138">
        <v>42130</v>
      </c>
      <c r="C132" s="13"/>
      <c r="D132" s="54"/>
      <c r="E132" s="83"/>
      <c r="F132" s="84"/>
      <c r="G132" s="84"/>
      <c r="H132" s="10" t="s">
        <v>411</v>
      </c>
    </row>
    <row r="133" spans="1:8" x14ac:dyDescent="0.15">
      <c r="A133" s="2"/>
      <c r="B133" s="138">
        <v>42131</v>
      </c>
      <c r="C133" s="13"/>
      <c r="D133" s="54"/>
      <c r="E133" s="83"/>
      <c r="F133" s="84"/>
      <c r="G133" s="84"/>
      <c r="H133" s="10" t="s">
        <v>411</v>
      </c>
    </row>
    <row r="134" spans="1:8" x14ac:dyDescent="0.15">
      <c r="A134" s="2"/>
      <c r="B134" s="138">
        <v>42132</v>
      </c>
      <c r="C134" s="13" t="s">
        <v>14</v>
      </c>
      <c r="D134" s="54">
        <v>3.6006944444444446E-2</v>
      </c>
      <c r="E134" s="83">
        <v>10.130000000000001</v>
      </c>
      <c r="F134" s="84">
        <f>D134/E134</f>
        <v>3.5544861248217614E-3</v>
      </c>
      <c r="G134" s="84" t="s">
        <v>475</v>
      </c>
      <c r="H134" s="10" t="s">
        <v>411</v>
      </c>
    </row>
    <row r="135" spans="1:8" x14ac:dyDescent="0.15">
      <c r="A135" s="2"/>
      <c r="B135" s="138">
        <v>42133</v>
      </c>
      <c r="C135" s="13"/>
      <c r="D135" s="54"/>
      <c r="E135" s="83"/>
      <c r="F135" s="84"/>
      <c r="G135" s="84"/>
      <c r="H135" s="10" t="s">
        <v>411</v>
      </c>
    </row>
    <row r="136" spans="1:8" x14ac:dyDescent="0.15">
      <c r="A136" s="2"/>
      <c r="B136" s="90">
        <v>42134</v>
      </c>
      <c r="C136" s="13"/>
      <c r="D136" s="54"/>
      <c r="E136" s="83"/>
      <c r="F136" s="84"/>
      <c r="G136" s="84"/>
      <c r="H136" s="10" t="s">
        <v>411</v>
      </c>
    </row>
    <row r="137" spans="1:8" x14ac:dyDescent="0.15">
      <c r="A137" s="4">
        <f>A130+1</f>
        <v>20</v>
      </c>
      <c r="B137" s="138">
        <v>42135</v>
      </c>
      <c r="C137" s="8" t="s">
        <v>14</v>
      </c>
      <c r="D137" s="52">
        <v>3.2615740740740737E-2</v>
      </c>
      <c r="E137" s="80">
        <v>10.050000000000001</v>
      </c>
      <c r="F137" s="81">
        <f>D137/E137</f>
        <v>3.2453473373871377E-3</v>
      </c>
      <c r="G137" s="81" t="s">
        <v>475</v>
      </c>
      <c r="H137" s="10" t="s">
        <v>411</v>
      </c>
    </row>
    <row r="138" spans="1:8" x14ac:dyDescent="0.15">
      <c r="A138" s="11" t="s">
        <v>11</v>
      </c>
      <c r="B138" s="138">
        <v>42136</v>
      </c>
      <c r="C138" s="13"/>
      <c r="D138" s="54"/>
      <c r="E138" s="83"/>
      <c r="F138" s="84"/>
      <c r="G138" s="84"/>
      <c r="H138" s="10" t="s">
        <v>411</v>
      </c>
    </row>
    <row r="139" spans="1:8" x14ac:dyDescent="0.15">
      <c r="A139" s="15">
        <f>SUM(E137:E143)</f>
        <v>41.61</v>
      </c>
      <c r="B139" s="138">
        <v>42137</v>
      </c>
      <c r="C139" s="13"/>
      <c r="D139" s="54"/>
      <c r="E139" s="83"/>
      <c r="F139" s="84"/>
      <c r="G139" s="84"/>
      <c r="H139" s="10" t="s">
        <v>411</v>
      </c>
    </row>
    <row r="140" spans="1:8" x14ac:dyDescent="0.15">
      <c r="A140" s="2"/>
      <c r="B140" s="138">
        <v>42138</v>
      </c>
      <c r="C140" s="13" t="s">
        <v>14</v>
      </c>
      <c r="D140" s="54">
        <v>3.6064814814814813E-2</v>
      </c>
      <c r="E140" s="83">
        <v>10.46</v>
      </c>
      <c r="F140" s="84">
        <f>D140/E140</f>
        <v>3.4478790453933853E-3</v>
      </c>
      <c r="G140" s="84" t="s">
        <v>472</v>
      </c>
      <c r="H140" s="10" t="s">
        <v>411</v>
      </c>
    </row>
    <row r="141" spans="1:8" x14ac:dyDescent="0.15">
      <c r="A141" s="2"/>
      <c r="B141" s="138">
        <v>42139</v>
      </c>
      <c r="C141" s="13"/>
      <c r="D141" s="54"/>
      <c r="E141" s="83"/>
      <c r="F141" s="84"/>
      <c r="G141" s="84"/>
      <c r="H141" s="10" t="s">
        <v>411</v>
      </c>
    </row>
    <row r="142" spans="1:8" x14ac:dyDescent="0.15">
      <c r="A142" s="2"/>
      <c r="B142" s="138">
        <v>42140</v>
      </c>
      <c r="C142" s="13"/>
      <c r="D142" s="54"/>
      <c r="E142" s="83"/>
      <c r="F142" s="84"/>
      <c r="G142" s="84"/>
      <c r="H142" s="10" t="s">
        <v>411</v>
      </c>
    </row>
    <row r="143" spans="1:8" x14ac:dyDescent="0.15">
      <c r="A143" s="2"/>
      <c r="B143" s="90">
        <v>42141</v>
      </c>
      <c r="C143" s="148" t="s">
        <v>480</v>
      </c>
      <c r="D143" s="149">
        <v>5.9965277777777777E-2</v>
      </c>
      <c r="E143" s="150">
        <v>21.1</v>
      </c>
      <c r="F143" s="151">
        <f>D143/E143</f>
        <v>2.8419562927856764E-3</v>
      </c>
      <c r="G143" s="151" t="s">
        <v>471</v>
      </c>
      <c r="H143" s="10" t="s">
        <v>411</v>
      </c>
    </row>
    <row r="144" spans="1:8" x14ac:dyDescent="0.15">
      <c r="A144" s="4">
        <f>A137+1</f>
        <v>21</v>
      </c>
      <c r="B144" s="138">
        <v>42142</v>
      </c>
      <c r="C144" s="8"/>
      <c r="D144" s="52"/>
      <c r="E144" s="80"/>
      <c r="F144" s="81"/>
      <c r="G144" s="81"/>
      <c r="H144" s="10" t="s">
        <v>411</v>
      </c>
    </row>
    <row r="145" spans="1:8" x14ac:dyDescent="0.15">
      <c r="A145" s="11" t="s">
        <v>11</v>
      </c>
      <c r="B145" s="138">
        <v>42143</v>
      </c>
      <c r="C145" s="13"/>
      <c r="D145" s="54"/>
      <c r="E145" s="83"/>
      <c r="F145" s="84"/>
      <c r="G145" s="84"/>
      <c r="H145" s="10" t="s">
        <v>411</v>
      </c>
    </row>
    <row r="146" spans="1:8" x14ac:dyDescent="0.15">
      <c r="A146" s="15">
        <f>SUM(E144:E150)</f>
        <v>10.9</v>
      </c>
      <c r="B146" s="138">
        <v>42144</v>
      </c>
      <c r="C146" s="13"/>
      <c r="D146" s="54"/>
      <c r="E146" s="83"/>
      <c r="F146" s="84"/>
      <c r="G146" s="84"/>
      <c r="H146" s="10" t="s">
        <v>411</v>
      </c>
    </row>
    <row r="147" spans="1:8" x14ac:dyDescent="0.15">
      <c r="A147" s="2"/>
      <c r="B147" s="138">
        <v>42145</v>
      </c>
      <c r="C147" s="13"/>
      <c r="D147" s="54"/>
      <c r="E147" s="83"/>
      <c r="F147" s="84"/>
      <c r="G147" s="84"/>
      <c r="H147" s="10" t="s">
        <v>411</v>
      </c>
    </row>
    <row r="148" spans="1:8" x14ac:dyDescent="0.15">
      <c r="A148" s="2"/>
      <c r="B148" s="138">
        <v>42146</v>
      </c>
      <c r="C148" s="13"/>
      <c r="D148" s="54"/>
      <c r="E148" s="83"/>
      <c r="F148" s="84"/>
      <c r="G148" s="84"/>
      <c r="H148" s="10" t="s">
        <v>411</v>
      </c>
    </row>
    <row r="149" spans="1:8" x14ac:dyDescent="0.15">
      <c r="A149" s="2"/>
      <c r="B149" s="138">
        <v>42147</v>
      </c>
      <c r="C149" s="13" t="s">
        <v>14</v>
      </c>
      <c r="D149" s="54">
        <v>4.0300925925925928E-2</v>
      </c>
      <c r="E149" s="83">
        <v>10.9</v>
      </c>
      <c r="F149" s="84">
        <f>D149/E149</f>
        <v>3.6973326537546721E-3</v>
      </c>
      <c r="G149" s="84" t="s">
        <v>472</v>
      </c>
      <c r="H149" s="10" t="s">
        <v>411</v>
      </c>
    </row>
    <row r="150" spans="1:8" x14ac:dyDescent="0.15">
      <c r="A150" s="2"/>
      <c r="B150" s="90">
        <v>42148</v>
      </c>
      <c r="C150" s="13"/>
      <c r="D150" s="54"/>
      <c r="E150" s="83"/>
      <c r="F150" s="84"/>
      <c r="G150" s="84"/>
      <c r="H150" s="10" t="s">
        <v>411</v>
      </c>
    </row>
    <row r="151" spans="1:8" x14ac:dyDescent="0.15">
      <c r="A151" s="4">
        <f>A144+1</f>
        <v>22</v>
      </c>
      <c r="B151" s="138">
        <v>42149</v>
      </c>
      <c r="C151" s="8"/>
      <c r="D151" s="52"/>
      <c r="E151" s="80"/>
      <c r="F151" s="81"/>
      <c r="G151" s="81"/>
      <c r="H151" s="10" t="s">
        <v>411</v>
      </c>
    </row>
    <row r="152" spans="1:8" x14ac:dyDescent="0.15">
      <c r="A152" s="11" t="s">
        <v>11</v>
      </c>
      <c r="B152" s="138">
        <v>42150</v>
      </c>
      <c r="C152" s="13"/>
      <c r="D152" s="54"/>
      <c r="E152" s="83"/>
      <c r="F152" s="84"/>
      <c r="G152" s="84"/>
      <c r="H152" s="10" t="s">
        <v>411</v>
      </c>
    </row>
    <row r="153" spans="1:8" x14ac:dyDescent="0.15">
      <c r="A153" s="15">
        <f>SUM(E151:E157)</f>
        <v>13.28</v>
      </c>
      <c r="B153" s="138">
        <v>42151</v>
      </c>
      <c r="C153" s="13"/>
      <c r="D153" s="54"/>
      <c r="E153" s="83"/>
      <c r="F153" s="84"/>
      <c r="G153" s="84"/>
      <c r="H153" s="10" t="s">
        <v>411</v>
      </c>
    </row>
    <row r="154" spans="1:8" x14ac:dyDescent="0.15">
      <c r="A154" s="2"/>
      <c r="B154" s="138">
        <v>42152</v>
      </c>
      <c r="C154" s="13" t="s">
        <v>14</v>
      </c>
      <c r="D154" s="54">
        <v>4.2870370370370364E-2</v>
      </c>
      <c r="E154" s="83">
        <v>13.28</v>
      </c>
      <c r="F154" s="84">
        <f>D154/E154</f>
        <v>3.2281905399375276E-3</v>
      </c>
      <c r="G154" s="84" t="s">
        <v>471</v>
      </c>
      <c r="H154" s="10" t="s">
        <v>411</v>
      </c>
    </row>
    <row r="155" spans="1:8" x14ac:dyDescent="0.15">
      <c r="A155" s="2"/>
      <c r="B155" s="138">
        <v>42153</v>
      </c>
      <c r="C155" s="13"/>
      <c r="D155" s="54"/>
      <c r="E155" s="83"/>
      <c r="F155" s="84"/>
      <c r="G155" s="84"/>
      <c r="H155" s="10" t="s">
        <v>411</v>
      </c>
    </row>
    <row r="156" spans="1:8" x14ac:dyDescent="0.15">
      <c r="A156" s="2"/>
      <c r="B156" s="138">
        <v>42154</v>
      </c>
      <c r="C156" s="13"/>
      <c r="D156" s="54"/>
      <c r="E156" s="83"/>
      <c r="F156" s="84"/>
      <c r="G156" s="84"/>
      <c r="H156" s="10" t="s">
        <v>411</v>
      </c>
    </row>
    <row r="157" spans="1:8" x14ac:dyDescent="0.15">
      <c r="A157" s="2"/>
      <c r="B157" s="90">
        <v>42155</v>
      </c>
      <c r="C157" s="13"/>
      <c r="D157" s="54"/>
      <c r="E157" s="83"/>
      <c r="F157" s="84"/>
      <c r="G157" s="84"/>
      <c r="H157" s="10" t="s">
        <v>411</v>
      </c>
    </row>
    <row r="158" spans="1:8" x14ac:dyDescent="0.15">
      <c r="A158" s="4">
        <f>A151+1</f>
        <v>23</v>
      </c>
      <c r="B158" s="138">
        <v>42156</v>
      </c>
      <c r="C158" s="8"/>
      <c r="D158" s="52"/>
      <c r="E158" s="80"/>
      <c r="F158" s="81"/>
      <c r="G158" s="81"/>
      <c r="H158" s="10" t="s">
        <v>411</v>
      </c>
    </row>
    <row r="159" spans="1:8" x14ac:dyDescent="0.15">
      <c r="A159" s="11" t="s">
        <v>11</v>
      </c>
      <c r="B159" s="138">
        <v>42157</v>
      </c>
      <c r="C159" s="13" t="s">
        <v>14</v>
      </c>
      <c r="D159" s="54">
        <v>4.6296296296296294E-2</v>
      </c>
      <c r="E159" s="83">
        <v>13.46</v>
      </c>
      <c r="F159" s="84">
        <f>D159/E159</f>
        <v>3.4395465301854601E-3</v>
      </c>
      <c r="G159" s="84" t="s">
        <v>471</v>
      </c>
      <c r="H159" s="10" t="s">
        <v>411</v>
      </c>
    </row>
    <row r="160" spans="1:8" x14ac:dyDescent="0.15">
      <c r="A160" s="15">
        <f>SUM(E158:E164)</f>
        <v>32.97</v>
      </c>
      <c r="B160" s="138">
        <v>42158</v>
      </c>
      <c r="C160" s="13"/>
      <c r="D160" s="54"/>
      <c r="E160" s="83"/>
      <c r="F160" s="84"/>
      <c r="G160" s="84"/>
      <c r="H160" s="10" t="s">
        <v>411</v>
      </c>
    </row>
    <row r="161" spans="1:8" x14ac:dyDescent="0.15">
      <c r="A161" s="2"/>
      <c r="B161" s="138">
        <v>42159</v>
      </c>
      <c r="C161" s="13" t="s">
        <v>14</v>
      </c>
      <c r="D161" s="54">
        <v>3.7499999999999999E-2</v>
      </c>
      <c r="E161" s="83">
        <v>10.3</v>
      </c>
      <c r="F161" s="84">
        <f>D161/E161</f>
        <v>3.6407766990291259E-3</v>
      </c>
      <c r="G161" s="84" t="s">
        <v>475</v>
      </c>
      <c r="H161" s="10" t="s">
        <v>411</v>
      </c>
    </row>
    <row r="162" spans="1:8" x14ac:dyDescent="0.15">
      <c r="A162" s="2"/>
      <c r="B162" s="138">
        <v>42160</v>
      </c>
      <c r="C162" s="13"/>
      <c r="D162" s="54"/>
      <c r="E162" s="83"/>
      <c r="F162" s="84"/>
      <c r="G162" s="84"/>
      <c r="H162" s="10" t="s">
        <v>411</v>
      </c>
    </row>
    <row r="163" spans="1:8" x14ac:dyDescent="0.15">
      <c r="A163" s="2"/>
      <c r="B163" s="138">
        <v>42161</v>
      </c>
      <c r="C163" s="13" t="s">
        <v>14</v>
      </c>
      <c r="D163" s="54">
        <v>3.3414351851851855E-2</v>
      </c>
      <c r="E163" s="83">
        <v>9.2100000000000009</v>
      </c>
      <c r="F163" s="84">
        <f>D163/E163</f>
        <v>3.6280512325572042E-3</v>
      </c>
      <c r="G163" s="84" t="s">
        <v>475</v>
      </c>
      <c r="H163" s="10" t="s">
        <v>411</v>
      </c>
    </row>
    <row r="164" spans="1:8" x14ac:dyDescent="0.15">
      <c r="A164" s="2"/>
      <c r="B164" s="90">
        <v>42162</v>
      </c>
      <c r="C164" s="13"/>
      <c r="D164" s="54"/>
      <c r="E164" s="83"/>
      <c r="F164" s="84"/>
      <c r="G164" s="84"/>
      <c r="H164" s="10" t="s">
        <v>411</v>
      </c>
    </row>
    <row r="165" spans="1:8" x14ac:dyDescent="0.15">
      <c r="A165" s="4">
        <f>A158+1</f>
        <v>24</v>
      </c>
      <c r="B165" s="138">
        <v>42163</v>
      </c>
      <c r="C165" s="8" t="s">
        <v>14</v>
      </c>
      <c r="D165" s="52">
        <v>3.4768518518518518E-2</v>
      </c>
      <c r="E165" s="80">
        <v>10.44</v>
      </c>
      <c r="F165" s="81">
        <f>D165/E165</f>
        <v>3.330317865758479E-3</v>
      </c>
      <c r="G165" s="81" t="s">
        <v>472</v>
      </c>
      <c r="H165" s="10" t="s">
        <v>411</v>
      </c>
    </row>
    <row r="166" spans="1:8" x14ac:dyDescent="0.15">
      <c r="A166" s="11" t="s">
        <v>11</v>
      </c>
      <c r="B166" s="138">
        <v>42164</v>
      </c>
      <c r="C166" s="13"/>
      <c r="D166" s="54"/>
      <c r="E166" s="83"/>
      <c r="F166" s="84"/>
      <c r="G166" s="84"/>
      <c r="H166" s="10" t="s">
        <v>411</v>
      </c>
    </row>
    <row r="167" spans="1:8" x14ac:dyDescent="0.15">
      <c r="A167" s="15">
        <f>SUM(E165:E171)</f>
        <v>43.53</v>
      </c>
      <c r="B167" s="138">
        <v>42165</v>
      </c>
      <c r="C167" s="13" t="s">
        <v>14</v>
      </c>
      <c r="D167" s="54">
        <v>3.5682870370370372E-2</v>
      </c>
      <c r="E167" s="83">
        <v>10.36</v>
      </c>
      <c r="F167" s="84">
        <f>D167/E167</f>
        <v>3.4442925067925071E-3</v>
      </c>
      <c r="G167" s="84" t="s">
        <v>471</v>
      </c>
      <c r="H167" s="10" t="s">
        <v>411</v>
      </c>
    </row>
    <row r="168" spans="1:8" x14ac:dyDescent="0.15">
      <c r="A168" s="2"/>
      <c r="B168" s="138">
        <v>42166</v>
      </c>
      <c r="C168" s="13"/>
      <c r="D168" s="54"/>
      <c r="E168" s="83"/>
      <c r="F168" s="84"/>
      <c r="G168" s="84"/>
      <c r="H168" s="10" t="s">
        <v>411</v>
      </c>
    </row>
    <row r="169" spans="1:8" x14ac:dyDescent="0.15">
      <c r="A169" s="2"/>
      <c r="B169" s="138">
        <v>42167</v>
      </c>
      <c r="C169" s="13" t="s">
        <v>14</v>
      </c>
      <c r="D169" s="54">
        <v>3.574074074074074E-2</v>
      </c>
      <c r="E169" s="83">
        <v>10.23</v>
      </c>
      <c r="F169" s="84">
        <f>D169/E169</f>
        <v>3.493718547481988E-3</v>
      </c>
      <c r="G169" s="84" t="s">
        <v>475</v>
      </c>
      <c r="H169" s="10" t="s">
        <v>411</v>
      </c>
    </row>
    <row r="170" spans="1:8" x14ac:dyDescent="0.15">
      <c r="A170" s="2"/>
      <c r="B170" s="138">
        <v>42168</v>
      </c>
      <c r="C170" s="13"/>
      <c r="D170" s="54"/>
      <c r="E170" s="83"/>
      <c r="F170" s="84"/>
      <c r="G170" s="84"/>
      <c r="H170" s="10" t="s">
        <v>411</v>
      </c>
    </row>
    <row r="171" spans="1:8" x14ac:dyDescent="0.15">
      <c r="A171" s="2"/>
      <c r="B171" s="90">
        <v>42169</v>
      </c>
      <c r="C171" s="13" t="s">
        <v>14</v>
      </c>
      <c r="D171" s="54">
        <v>4.4849537037037035E-2</v>
      </c>
      <c r="E171" s="83">
        <v>12.5</v>
      </c>
      <c r="F171" s="84">
        <f>D171/E171</f>
        <v>3.5879629629629629E-3</v>
      </c>
      <c r="G171" s="84" t="s">
        <v>472</v>
      </c>
      <c r="H171" s="10" t="s">
        <v>411</v>
      </c>
    </row>
    <row r="172" spans="1:8" x14ac:dyDescent="0.15">
      <c r="A172" s="4">
        <f>A165+1</f>
        <v>25</v>
      </c>
      <c r="B172" s="138">
        <v>42170</v>
      </c>
      <c r="C172" s="8"/>
      <c r="D172" s="52"/>
      <c r="E172" s="80"/>
      <c r="F172" s="81"/>
      <c r="G172" s="81"/>
      <c r="H172" s="10" t="s">
        <v>411</v>
      </c>
    </row>
    <row r="173" spans="1:8" x14ac:dyDescent="0.15">
      <c r="A173" s="34" t="s">
        <v>11</v>
      </c>
      <c r="B173" s="138">
        <v>42171</v>
      </c>
      <c r="C173" s="13" t="s">
        <v>14</v>
      </c>
      <c r="D173" s="54">
        <v>3.8344907407407411E-2</v>
      </c>
      <c r="E173" s="83">
        <v>11.6</v>
      </c>
      <c r="F173" s="84">
        <f>D173/E173</f>
        <v>3.3055954661558116E-3</v>
      </c>
      <c r="G173" s="84" t="s">
        <v>471</v>
      </c>
      <c r="H173" s="10" t="s">
        <v>411</v>
      </c>
    </row>
    <row r="174" spans="1:8" x14ac:dyDescent="0.15">
      <c r="A174" s="15">
        <f>SUM(E172:E178)</f>
        <v>50.830000000000005</v>
      </c>
      <c r="B174" s="138">
        <v>42172</v>
      </c>
      <c r="C174" s="13" t="s">
        <v>14</v>
      </c>
      <c r="D174" s="54">
        <v>4.4583333333333329E-2</v>
      </c>
      <c r="E174" s="83">
        <v>12.96</v>
      </c>
      <c r="F174" s="84">
        <f>D174/E174</f>
        <v>3.4400720164609049E-3</v>
      </c>
      <c r="G174" s="84" t="s">
        <v>472</v>
      </c>
      <c r="H174" s="10" t="s">
        <v>411</v>
      </c>
    </row>
    <row r="175" spans="1:8" x14ac:dyDescent="0.15">
      <c r="A175" s="2"/>
      <c r="B175" s="138">
        <v>42173</v>
      </c>
      <c r="C175" s="13" t="s">
        <v>14</v>
      </c>
      <c r="D175" s="54">
        <v>5.1157407407407408E-2</v>
      </c>
      <c r="E175" s="83">
        <v>14.1</v>
      </c>
      <c r="F175" s="84">
        <f>D175/E175</f>
        <v>3.6281849225111638E-3</v>
      </c>
      <c r="G175" s="84" t="s">
        <v>472</v>
      </c>
      <c r="H175" s="10" t="s">
        <v>411</v>
      </c>
    </row>
    <row r="176" spans="1:8" x14ac:dyDescent="0.15">
      <c r="A176" s="2"/>
      <c r="B176" s="138">
        <v>42174</v>
      </c>
      <c r="C176" s="13"/>
      <c r="D176" s="54"/>
      <c r="E176" s="83"/>
      <c r="F176" s="84"/>
      <c r="G176" s="84"/>
      <c r="H176" s="10" t="s">
        <v>411</v>
      </c>
    </row>
    <row r="177" spans="1:8" x14ac:dyDescent="0.15">
      <c r="A177" s="2"/>
      <c r="B177" s="138">
        <v>42175</v>
      </c>
      <c r="C177" s="13"/>
      <c r="D177" s="54"/>
      <c r="E177" s="83"/>
      <c r="F177" s="84"/>
      <c r="G177" s="84"/>
      <c r="H177" s="10" t="s">
        <v>411</v>
      </c>
    </row>
    <row r="178" spans="1:8" x14ac:dyDescent="0.15">
      <c r="A178" s="35"/>
      <c r="B178" s="90">
        <v>42176</v>
      </c>
      <c r="C178" s="13" t="s">
        <v>14</v>
      </c>
      <c r="D178" s="54">
        <v>4.3113425925925923E-2</v>
      </c>
      <c r="E178" s="83">
        <v>12.17</v>
      </c>
      <c r="F178" s="84">
        <f>D178/E178</f>
        <v>3.5425986792050881E-3</v>
      </c>
      <c r="G178" s="84" t="s">
        <v>471</v>
      </c>
      <c r="H178" s="10" t="s">
        <v>411</v>
      </c>
    </row>
    <row r="179" spans="1:8" x14ac:dyDescent="0.15">
      <c r="A179" s="4">
        <f>A172+1</f>
        <v>26</v>
      </c>
      <c r="B179" s="138">
        <v>42177</v>
      </c>
      <c r="C179" s="8"/>
      <c r="D179" s="52"/>
      <c r="E179" s="80"/>
      <c r="F179" s="81"/>
      <c r="G179" s="81"/>
      <c r="H179" s="10" t="s">
        <v>411</v>
      </c>
    </row>
    <row r="180" spans="1:8" x14ac:dyDescent="0.15">
      <c r="A180" s="11" t="s">
        <v>11</v>
      </c>
      <c r="B180" s="138">
        <v>42178</v>
      </c>
      <c r="C180" s="13" t="s">
        <v>14</v>
      </c>
      <c r="D180" s="54">
        <v>3.7314814814814815E-2</v>
      </c>
      <c r="E180" s="83">
        <v>10.43</v>
      </c>
      <c r="F180" s="84">
        <f>D180/E180</f>
        <v>3.577642839387806E-3</v>
      </c>
      <c r="G180" s="84" t="s">
        <v>455</v>
      </c>
      <c r="H180" s="10" t="s">
        <v>411</v>
      </c>
    </row>
    <row r="181" spans="1:8" x14ac:dyDescent="0.15">
      <c r="A181" s="15">
        <f>SUM(E179:E185)</f>
        <v>55.63</v>
      </c>
      <c r="B181" s="138">
        <v>42179</v>
      </c>
      <c r="C181" s="13" t="s">
        <v>14</v>
      </c>
      <c r="D181" s="54">
        <v>4.431712962962963E-2</v>
      </c>
      <c r="E181" s="83">
        <v>13</v>
      </c>
      <c r="F181" s="84">
        <f>D181/E181</f>
        <v>3.4090099715099716E-3</v>
      </c>
      <c r="G181" s="84" t="s">
        <v>472</v>
      </c>
      <c r="H181" s="10" t="s">
        <v>411</v>
      </c>
    </row>
    <row r="182" spans="1:8" x14ac:dyDescent="0.15">
      <c r="A182" s="2"/>
      <c r="B182" s="138">
        <v>42180</v>
      </c>
      <c r="C182" s="13"/>
      <c r="D182" s="54"/>
      <c r="E182" s="83"/>
      <c r="F182" s="84"/>
      <c r="G182" s="84"/>
      <c r="H182" s="10" t="s">
        <v>411</v>
      </c>
    </row>
    <row r="183" spans="1:8" x14ac:dyDescent="0.15">
      <c r="A183" s="2"/>
      <c r="B183" s="138">
        <v>42181</v>
      </c>
      <c r="C183" s="13"/>
      <c r="D183" s="54"/>
      <c r="E183" s="83"/>
      <c r="F183" s="84"/>
      <c r="G183" s="84"/>
      <c r="H183" s="10" t="s">
        <v>411</v>
      </c>
    </row>
    <row r="184" spans="1:8" x14ac:dyDescent="0.15">
      <c r="A184" s="2"/>
      <c r="B184" s="138">
        <v>42182</v>
      </c>
      <c r="C184" s="13" t="s">
        <v>14</v>
      </c>
      <c r="D184" s="54">
        <v>4.2476851851851849E-2</v>
      </c>
      <c r="E184" s="83">
        <v>12.02</v>
      </c>
      <c r="F184" s="84">
        <f>D184/E184</f>
        <v>3.5338479078079743E-3</v>
      </c>
      <c r="G184" s="84" t="s">
        <v>472</v>
      </c>
      <c r="H184" s="10" t="s">
        <v>411</v>
      </c>
    </row>
    <row r="185" spans="1:8" x14ac:dyDescent="0.15">
      <c r="A185" s="2"/>
      <c r="B185" s="90">
        <v>42183</v>
      </c>
      <c r="C185" s="13" t="s">
        <v>14</v>
      </c>
      <c r="D185" s="54">
        <v>7.075231481481481E-2</v>
      </c>
      <c r="E185" s="83">
        <v>20.18</v>
      </c>
      <c r="F185" s="84">
        <f>D185/E185</f>
        <v>3.5060611900304662E-3</v>
      </c>
      <c r="G185" s="84" t="s">
        <v>475</v>
      </c>
      <c r="H185" s="10" t="s">
        <v>411</v>
      </c>
    </row>
    <row r="186" spans="1:8" x14ac:dyDescent="0.15">
      <c r="A186" s="4">
        <f>A179+1</f>
        <v>27</v>
      </c>
      <c r="B186" s="138">
        <v>42184</v>
      </c>
      <c r="C186" s="8"/>
      <c r="D186" s="52"/>
      <c r="E186" s="80"/>
      <c r="F186" s="81"/>
      <c r="G186" s="81"/>
      <c r="H186" s="10" t="s">
        <v>411</v>
      </c>
    </row>
    <row r="187" spans="1:8" x14ac:dyDescent="0.15">
      <c r="A187" s="11" t="s">
        <v>11</v>
      </c>
      <c r="B187" s="138">
        <v>42185</v>
      </c>
      <c r="C187" s="13" t="s">
        <v>14</v>
      </c>
      <c r="D187" s="54">
        <v>4.7708333333333332E-2</v>
      </c>
      <c r="E187" s="83">
        <v>13.83</v>
      </c>
      <c r="F187" s="84">
        <f>D187/E187</f>
        <v>3.4496264160038563E-3</v>
      </c>
      <c r="G187" s="84" t="s">
        <v>471</v>
      </c>
      <c r="H187" s="10" t="s">
        <v>411</v>
      </c>
    </row>
    <row r="188" spans="1:8" x14ac:dyDescent="0.15">
      <c r="A188" s="15">
        <f>SUM(E186:E192)</f>
        <v>37.07</v>
      </c>
      <c r="B188" s="138">
        <v>42186</v>
      </c>
      <c r="C188" s="13"/>
      <c r="D188" s="54"/>
      <c r="E188" s="83"/>
      <c r="F188" s="84"/>
      <c r="G188" s="84"/>
      <c r="H188" s="10" t="s">
        <v>411</v>
      </c>
    </row>
    <row r="189" spans="1:8" x14ac:dyDescent="0.15">
      <c r="A189" s="2"/>
      <c r="B189" s="138">
        <v>42187</v>
      </c>
      <c r="C189" s="13" t="s">
        <v>14</v>
      </c>
      <c r="D189" s="54">
        <v>4.89699074074074E-2</v>
      </c>
      <c r="E189" s="83">
        <v>13.84</v>
      </c>
      <c r="F189" s="84">
        <f>D189/E189</f>
        <v>3.5382881074716328E-3</v>
      </c>
      <c r="G189" s="84" t="s">
        <v>472</v>
      </c>
      <c r="H189" s="10" t="s">
        <v>411</v>
      </c>
    </row>
    <row r="190" spans="1:8" x14ac:dyDescent="0.15">
      <c r="A190" s="2"/>
      <c r="B190" s="138">
        <v>42188</v>
      </c>
      <c r="C190" s="13"/>
      <c r="D190" s="54"/>
      <c r="E190" s="83"/>
      <c r="F190" s="84"/>
      <c r="G190" s="84"/>
      <c r="H190" s="10" t="s">
        <v>411</v>
      </c>
    </row>
    <row r="191" spans="1:8" x14ac:dyDescent="0.15">
      <c r="A191" s="2"/>
      <c r="B191" s="138">
        <v>42189</v>
      </c>
      <c r="C191" s="13"/>
      <c r="D191" s="54"/>
      <c r="E191" s="83"/>
      <c r="F191" s="84"/>
      <c r="G191" s="84"/>
      <c r="H191" s="10" t="s">
        <v>411</v>
      </c>
    </row>
    <row r="192" spans="1:8" x14ac:dyDescent="0.15">
      <c r="A192" s="2"/>
      <c r="B192" s="90">
        <v>42190</v>
      </c>
      <c r="C192" s="13" t="s">
        <v>14</v>
      </c>
      <c r="D192" s="54">
        <v>3.442129629629629E-2</v>
      </c>
      <c r="E192" s="83">
        <v>9.4</v>
      </c>
      <c r="F192" s="84">
        <f>D192/E192</f>
        <v>3.6618400315208818E-3</v>
      </c>
      <c r="G192" s="84" t="s">
        <v>471</v>
      </c>
      <c r="H192" s="10" t="s">
        <v>411</v>
      </c>
    </row>
    <row r="193" spans="1:9" x14ac:dyDescent="0.15">
      <c r="A193" s="4">
        <f>A186+1</f>
        <v>28</v>
      </c>
      <c r="B193" s="138">
        <v>42191</v>
      </c>
      <c r="C193" s="8"/>
      <c r="D193" s="52"/>
      <c r="E193" s="80"/>
      <c r="F193" s="81"/>
      <c r="G193" s="81"/>
      <c r="H193" s="10" t="s">
        <v>411</v>
      </c>
    </row>
    <row r="194" spans="1:9" x14ac:dyDescent="0.15">
      <c r="A194" s="11" t="s">
        <v>11</v>
      </c>
      <c r="B194" s="138">
        <v>42192</v>
      </c>
      <c r="C194" s="13" t="s">
        <v>14</v>
      </c>
      <c r="D194" s="54">
        <v>3.5393518518518519E-2</v>
      </c>
      <c r="E194" s="83">
        <v>10.16</v>
      </c>
      <c r="F194" s="84">
        <f>D194/E194</f>
        <v>3.48361402741324E-3</v>
      </c>
      <c r="G194" s="84" t="s">
        <v>471</v>
      </c>
      <c r="H194" s="10" t="s">
        <v>411</v>
      </c>
    </row>
    <row r="195" spans="1:9" x14ac:dyDescent="0.15">
      <c r="A195" s="15">
        <f>SUM(E193:E199)</f>
        <v>41.01</v>
      </c>
      <c r="B195" s="138">
        <v>42193</v>
      </c>
      <c r="C195" s="13"/>
      <c r="D195" s="54"/>
      <c r="E195" s="83"/>
      <c r="F195" s="84"/>
      <c r="G195" s="84"/>
      <c r="H195" s="10" t="s">
        <v>411</v>
      </c>
    </row>
    <row r="196" spans="1:9" x14ac:dyDescent="0.15">
      <c r="A196" s="2"/>
      <c r="B196" s="138">
        <v>42194</v>
      </c>
      <c r="C196" s="13"/>
      <c r="D196" s="54"/>
      <c r="E196" s="83"/>
      <c r="F196" s="84"/>
      <c r="G196" s="84"/>
      <c r="H196" s="10" t="s">
        <v>411</v>
      </c>
      <c r="I196" s="156"/>
    </row>
    <row r="197" spans="1:9" x14ac:dyDescent="0.15">
      <c r="A197" s="2"/>
      <c r="B197" s="138">
        <v>42195</v>
      </c>
      <c r="C197" s="13" t="s">
        <v>447</v>
      </c>
      <c r="D197" s="54">
        <v>3.7442129629629631E-2</v>
      </c>
      <c r="E197" s="83">
        <v>10.99</v>
      </c>
      <c r="F197" s="84">
        <f>D197/E197</f>
        <v>3.4069271728507399E-3</v>
      </c>
      <c r="G197" s="84" t="s">
        <v>472</v>
      </c>
      <c r="H197" s="10" t="s">
        <v>411</v>
      </c>
    </row>
    <row r="198" spans="1:9" x14ac:dyDescent="0.15">
      <c r="A198" s="2"/>
      <c r="B198" s="138">
        <v>42196</v>
      </c>
      <c r="C198" s="13"/>
      <c r="D198" s="54"/>
      <c r="E198" s="83"/>
      <c r="F198" s="84"/>
      <c r="G198" s="84"/>
      <c r="H198" s="10" t="s">
        <v>411</v>
      </c>
    </row>
    <row r="199" spans="1:9" x14ac:dyDescent="0.15">
      <c r="A199" s="2"/>
      <c r="B199" s="90">
        <v>42197</v>
      </c>
      <c r="C199" s="13" t="s">
        <v>14</v>
      </c>
      <c r="D199" s="54">
        <v>7.149305555555556E-2</v>
      </c>
      <c r="E199" s="83">
        <v>19.86</v>
      </c>
      <c r="F199" s="84">
        <f>D199/E199</f>
        <v>3.5998517399574805E-3</v>
      </c>
      <c r="G199" s="84" t="s">
        <v>475</v>
      </c>
      <c r="H199" s="10" t="s">
        <v>411</v>
      </c>
    </row>
    <row r="200" spans="1:9" x14ac:dyDescent="0.15">
      <c r="A200" s="4">
        <f>A193+1</f>
        <v>29</v>
      </c>
      <c r="B200" s="138">
        <v>42198</v>
      </c>
      <c r="C200" s="8"/>
      <c r="D200" s="52"/>
      <c r="E200" s="80"/>
      <c r="F200" s="81"/>
      <c r="G200" s="81"/>
      <c r="H200" s="10" t="s">
        <v>411</v>
      </c>
      <c r="I200" s="156"/>
    </row>
    <row r="201" spans="1:9" x14ac:dyDescent="0.15">
      <c r="A201" s="11" t="s">
        <v>11</v>
      </c>
      <c r="B201" s="138">
        <v>42199</v>
      </c>
      <c r="C201" s="13"/>
      <c r="D201" s="54"/>
      <c r="E201" s="83"/>
      <c r="F201" s="84"/>
      <c r="G201" s="84"/>
      <c r="H201" s="10" t="s">
        <v>411</v>
      </c>
    </row>
    <row r="202" spans="1:9" x14ac:dyDescent="0.15">
      <c r="A202" s="15">
        <f>SUM(E200:E206)</f>
        <v>9.61</v>
      </c>
      <c r="B202" s="138">
        <v>42200</v>
      </c>
      <c r="C202" s="13"/>
      <c r="D202" s="54"/>
      <c r="E202" s="83"/>
      <c r="F202" s="84"/>
      <c r="G202" s="84"/>
      <c r="H202" s="10" t="s">
        <v>411</v>
      </c>
    </row>
    <row r="203" spans="1:9" x14ac:dyDescent="0.15">
      <c r="A203" s="2"/>
      <c r="B203" s="138">
        <v>42201</v>
      </c>
      <c r="C203" s="13" t="s">
        <v>14</v>
      </c>
      <c r="D203" s="54">
        <v>3.4409722222222217E-2</v>
      </c>
      <c r="E203" s="83">
        <v>9.61</v>
      </c>
      <c r="F203" s="84">
        <f>D203/E203</f>
        <v>3.5806162562145908E-3</v>
      </c>
      <c r="G203" s="84" t="s">
        <v>472</v>
      </c>
      <c r="H203" s="10" t="s">
        <v>411</v>
      </c>
    </row>
    <row r="204" spans="1:9" x14ac:dyDescent="0.15">
      <c r="A204" s="2"/>
      <c r="B204" s="138">
        <v>42202</v>
      </c>
      <c r="C204" s="13"/>
      <c r="D204" s="54"/>
      <c r="E204" s="83"/>
      <c r="F204" s="84"/>
      <c r="G204" s="84"/>
      <c r="H204" s="10" t="s">
        <v>411</v>
      </c>
    </row>
    <row r="205" spans="1:9" x14ac:dyDescent="0.15">
      <c r="A205" s="2"/>
      <c r="B205" s="138">
        <v>42203</v>
      </c>
      <c r="C205" s="13"/>
      <c r="D205" s="54"/>
      <c r="E205" s="83"/>
      <c r="F205" s="84"/>
      <c r="G205" s="84"/>
      <c r="H205" s="10" t="s">
        <v>411</v>
      </c>
    </row>
    <row r="206" spans="1:9" x14ac:dyDescent="0.15">
      <c r="A206" s="2"/>
      <c r="B206" s="90">
        <v>42204</v>
      </c>
      <c r="C206" s="13"/>
      <c r="D206" s="54"/>
      <c r="E206" s="83"/>
      <c r="F206" s="84"/>
      <c r="G206" s="84"/>
      <c r="H206" s="10" t="s">
        <v>411</v>
      </c>
    </row>
    <row r="207" spans="1:9" x14ac:dyDescent="0.15">
      <c r="A207" s="4">
        <f>A200+1</f>
        <v>30</v>
      </c>
      <c r="B207" s="138">
        <v>42205</v>
      </c>
      <c r="C207" s="8"/>
      <c r="D207" s="52"/>
      <c r="E207" s="80"/>
      <c r="F207" s="81"/>
      <c r="G207" s="81"/>
      <c r="H207" s="10" t="s">
        <v>411</v>
      </c>
    </row>
    <row r="208" spans="1:9" x14ac:dyDescent="0.15">
      <c r="A208" s="11" t="s">
        <v>11</v>
      </c>
      <c r="B208" s="138">
        <v>42206</v>
      </c>
      <c r="C208" s="13" t="s">
        <v>14</v>
      </c>
      <c r="D208" s="54">
        <v>3.6446759259259255E-2</v>
      </c>
      <c r="E208" s="83">
        <v>10.199999999999999</v>
      </c>
      <c r="F208" s="84">
        <f>D208/E208</f>
        <v>3.5732116920842408E-3</v>
      </c>
      <c r="G208" s="84" t="s">
        <v>472</v>
      </c>
      <c r="H208" s="10" t="s">
        <v>411</v>
      </c>
    </row>
    <row r="209" spans="1:9" x14ac:dyDescent="0.15">
      <c r="A209" s="15">
        <f>SUM(E207:E213)</f>
        <v>31.11</v>
      </c>
      <c r="B209" s="138">
        <v>42207</v>
      </c>
      <c r="C209" s="13"/>
      <c r="D209" s="54"/>
      <c r="E209" s="83"/>
      <c r="F209" s="84"/>
      <c r="G209" s="84"/>
      <c r="H209" s="10" t="s">
        <v>411</v>
      </c>
    </row>
    <row r="210" spans="1:9" x14ac:dyDescent="0.15">
      <c r="A210" s="2"/>
      <c r="B210" s="138">
        <v>42208</v>
      </c>
      <c r="C210" s="13" t="s">
        <v>14</v>
      </c>
      <c r="D210" s="54">
        <v>3.6157407407407402E-2</v>
      </c>
      <c r="E210" s="83">
        <v>9.91</v>
      </c>
      <c r="F210" s="84">
        <f>D210/E210</f>
        <v>3.6485779422207269E-3</v>
      </c>
      <c r="G210" s="84" t="s">
        <v>472</v>
      </c>
      <c r="H210" s="10" t="s">
        <v>411</v>
      </c>
    </row>
    <row r="211" spans="1:9" x14ac:dyDescent="0.15">
      <c r="A211" s="2"/>
      <c r="B211" s="138">
        <v>42209</v>
      </c>
      <c r="C211" s="13"/>
      <c r="D211" s="54"/>
      <c r="E211" s="83"/>
      <c r="F211" s="84"/>
      <c r="G211" s="84"/>
      <c r="H211" s="10" t="s">
        <v>411</v>
      </c>
    </row>
    <row r="212" spans="1:9" x14ac:dyDescent="0.15">
      <c r="A212" s="2"/>
      <c r="B212" s="138">
        <v>42210</v>
      </c>
      <c r="C212" s="13"/>
      <c r="D212" s="54"/>
      <c r="E212" s="83"/>
      <c r="F212" s="84"/>
      <c r="G212" s="84"/>
      <c r="H212" s="10" t="s">
        <v>411</v>
      </c>
    </row>
    <row r="213" spans="1:9" x14ac:dyDescent="0.15">
      <c r="A213" s="2"/>
      <c r="B213" s="90">
        <v>42211</v>
      </c>
      <c r="C213" s="13" t="s">
        <v>14</v>
      </c>
      <c r="D213" s="54">
        <v>3.7245370370370373E-2</v>
      </c>
      <c r="E213" s="83">
        <v>11</v>
      </c>
      <c r="F213" s="84">
        <f>D213/E213</f>
        <v>3.3859427609427614E-3</v>
      </c>
      <c r="G213" s="84" t="s">
        <v>475</v>
      </c>
      <c r="H213" s="10" t="s">
        <v>411</v>
      </c>
    </row>
    <row r="214" spans="1:9" x14ac:dyDescent="0.15">
      <c r="A214" s="4">
        <f>A207+1</f>
        <v>31</v>
      </c>
      <c r="B214" s="138">
        <v>42212</v>
      </c>
      <c r="C214" s="8"/>
      <c r="D214" s="52"/>
      <c r="E214" s="80"/>
      <c r="F214" s="81"/>
      <c r="G214" s="81"/>
      <c r="H214" s="10" t="s">
        <v>411</v>
      </c>
    </row>
    <row r="215" spans="1:9" x14ac:dyDescent="0.15">
      <c r="A215" s="11" t="s">
        <v>11</v>
      </c>
      <c r="B215" s="138">
        <v>42213</v>
      </c>
      <c r="C215" s="13" t="s">
        <v>464</v>
      </c>
      <c r="D215" s="54">
        <v>3.8078703703703705E-2</v>
      </c>
      <c r="E215" s="83">
        <v>11</v>
      </c>
      <c r="F215" s="84">
        <f>D215/E215</f>
        <v>3.4617003367003367E-3</v>
      </c>
      <c r="G215" s="84" t="s">
        <v>471</v>
      </c>
      <c r="H215" s="10" t="s">
        <v>411</v>
      </c>
    </row>
    <row r="216" spans="1:9" x14ac:dyDescent="0.15">
      <c r="A216" s="15">
        <f>SUM(E214:E220)</f>
        <v>55.86</v>
      </c>
      <c r="B216" s="138">
        <v>42214</v>
      </c>
      <c r="C216" s="13" t="s">
        <v>14</v>
      </c>
      <c r="D216" s="54">
        <v>4.1921296296296297E-2</v>
      </c>
      <c r="E216" s="83">
        <v>12.18</v>
      </c>
      <c r="F216" s="84">
        <f>D216/E216</f>
        <v>3.4418141458371345E-3</v>
      </c>
      <c r="G216" s="84" t="s">
        <v>475</v>
      </c>
      <c r="H216" s="10" t="s">
        <v>411</v>
      </c>
    </row>
    <row r="217" spans="1:9" x14ac:dyDescent="0.15">
      <c r="A217" s="2"/>
      <c r="B217" s="138">
        <v>42215</v>
      </c>
      <c r="C217" s="13" t="s">
        <v>14</v>
      </c>
      <c r="D217" s="54">
        <v>4.1284722222222223E-2</v>
      </c>
      <c r="E217" s="83">
        <v>11.49</v>
      </c>
      <c r="F217" s="84">
        <f>D217/E217</f>
        <v>3.5931002804370951E-3</v>
      </c>
      <c r="G217" s="84" t="s">
        <v>472</v>
      </c>
      <c r="H217" s="10" t="s">
        <v>411</v>
      </c>
    </row>
    <row r="218" spans="1:9" x14ac:dyDescent="0.15">
      <c r="A218" s="2"/>
      <c r="B218" s="138">
        <v>42216</v>
      </c>
      <c r="C218" s="13"/>
      <c r="D218" s="54"/>
      <c r="E218" s="83"/>
      <c r="F218" s="84"/>
      <c r="G218" s="84"/>
      <c r="H218" s="10" t="s">
        <v>411</v>
      </c>
    </row>
    <row r="219" spans="1:9" x14ac:dyDescent="0.15">
      <c r="A219" s="2"/>
      <c r="B219" s="138">
        <v>42217</v>
      </c>
      <c r="C219" s="13" t="s">
        <v>158</v>
      </c>
      <c r="D219" s="54">
        <v>3.0405092592592595E-2</v>
      </c>
      <c r="E219" s="83">
        <v>9.93</v>
      </c>
      <c r="F219" s="84">
        <f>D219/E219</f>
        <v>3.0619428592741789E-3</v>
      </c>
      <c r="G219" s="84" t="s">
        <v>475</v>
      </c>
      <c r="H219" s="10" t="s">
        <v>411</v>
      </c>
    </row>
    <row r="220" spans="1:9" x14ac:dyDescent="0.15">
      <c r="A220" s="2"/>
      <c r="B220" s="90">
        <v>42218</v>
      </c>
      <c r="C220" s="13" t="s">
        <v>14</v>
      </c>
      <c r="D220" s="54">
        <v>4.130787037037037E-2</v>
      </c>
      <c r="E220" s="83">
        <v>11.26</v>
      </c>
      <c r="F220" s="84">
        <f>D220/E220</f>
        <v>3.6685497664627328E-3</v>
      </c>
      <c r="G220" s="84" t="s">
        <v>472</v>
      </c>
      <c r="H220" s="10" t="s">
        <v>411</v>
      </c>
    </row>
    <row r="221" spans="1:9" x14ac:dyDescent="0.15">
      <c r="A221" s="4">
        <f>A214+1</f>
        <v>32</v>
      </c>
      <c r="B221" s="138">
        <v>42219</v>
      </c>
      <c r="C221" s="8"/>
      <c r="D221" s="52"/>
      <c r="E221" s="80"/>
      <c r="F221" s="81"/>
      <c r="G221" s="81"/>
      <c r="H221" s="10" t="s">
        <v>411</v>
      </c>
      <c r="I221" s="156"/>
    </row>
    <row r="222" spans="1:9" x14ac:dyDescent="0.15">
      <c r="A222" s="11" t="s">
        <v>11</v>
      </c>
      <c r="B222" s="138">
        <v>42220</v>
      </c>
      <c r="C222" s="13" t="s">
        <v>14</v>
      </c>
      <c r="D222" s="54">
        <v>3.7997685185185183E-2</v>
      </c>
      <c r="E222" s="83">
        <v>11.16</v>
      </c>
      <c r="F222" s="84">
        <f>D222/E222</f>
        <v>3.4048105004646219E-3</v>
      </c>
      <c r="G222" s="84" t="s">
        <v>471</v>
      </c>
      <c r="H222" s="10" t="s">
        <v>411</v>
      </c>
    </row>
    <row r="223" spans="1:9" x14ac:dyDescent="0.15">
      <c r="A223" s="15">
        <f>SUM(E221:E227)</f>
        <v>59.440000000000005</v>
      </c>
      <c r="B223" s="138">
        <v>42221</v>
      </c>
      <c r="C223" s="13" t="s">
        <v>447</v>
      </c>
      <c r="D223" s="54">
        <v>3.7870370370370367E-2</v>
      </c>
      <c r="E223" s="83">
        <v>12.01</v>
      </c>
      <c r="F223" s="84">
        <f>D223/E223</f>
        <v>3.1532365004471579E-3</v>
      </c>
      <c r="G223" s="84" t="s">
        <v>472</v>
      </c>
      <c r="H223" s="10" t="s">
        <v>411</v>
      </c>
    </row>
    <row r="224" spans="1:9" x14ac:dyDescent="0.15">
      <c r="A224" s="2"/>
      <c r="B224" s="138">
        <v>42222</v>
      </c>
      <c r="C224" s="13"/>
      <c r="D224" s="54"/>
      <c r="E224" s="83"/>
      <c r="F224" s="84"/>
      <c r="G224" s="84"/>
      <c r="H224" s="10" t="s">
        <v>411</v>
      </c>
    </row>
    <row r="225" spans="1:9" x14ac:dyDescent="0.15">
      <c r="A225" s="2"/>
      <c r="B225" s="138">
        <v>42223</v>
      </c>
      <c r="C225" s="13" t="s">
        <v>464</v>
      </c>
      <c r="D225" s="54">
        <v>4.0023148148148148E-2</v>
      </c>
      <c r="E225" s="83">
        <v>10.31</v>
      </c>
      <c r="F225" s="84">
        <f>D225/E225</f>
        <v>3.8819736322161149E-3</v>
      </c>
      <c r="G225" s="84" t="s">
        <v>471</v>
      </c>
      <c r="H225" s="10" t="s">
        <v>411</v>
      </c>
    </row>
    <row r="226" spans="1:9" x14ac:dyDescent="0.15">
      <c r="A226" s="2"/>
      <c r="B226" s="138">
        <v>42224</v>
      </c>
      <c r="C226" s="13"/>
      <c r="D226" s="54"/>
      <c r="E226" s="83"/>
      <c r="F226" s="84"/>
      <c r="G226" s="84"/>
      <c r="H226" s="10" t="s">
        <v>411</v>
      </c>
    </row>
    <row r="227" spans="1:9" x14ac:dyDescent="0.15">
      <c r="A227" s="2"/>
      <c r="B227" s="90">
        <v>42225</v>
      </c>
      <c r="C227" s="13" t="s">
        <v>14</v>
      </c>
      <c r="D227" s="54">
        <v>9.4664351851851847E-2</v>
      </c>
      <c r="E227" s="83">
        <v>25.96</v>
      </c>
      <c r="F227" s="84">
        <f>D227/E227</f>
        <v>3.6465466815043084E-3</v>
      </c>
      <c r="G227" s="84" t="s">
        <v>475</v>
      </c>
      <c r="H227" s="10" t="s">
        <v>411</v>
      </c>
    </row>
    <row r="228" spans="1:9" x14ac:dyDescent="0.15">
      <c r="A228" s="4">
        <f>A221+1</f>
        <v>33</v>
      </c>
      <c r="B228" s="138">
        <v>42226</v>
      </c>
      <c r="C228" s="8"/>
      <c r="D228" s="52"/>
      <c r="E228" s="80"/>
      <c r="F228" s="81"/>
      <c r="G228" s="81"/>
      <c r="H228" s="10" t="s">
        <v>411</v>
      </c>
      <c r="I228" s="140"/>
    </row>
    <row r="229" spans="1:9" x14ac:dyDescent="0.15">
      <c r="A229" s="11" t="s">
        <v>11</v>
      </c>
      <c r="B229" s="138">
        <v>42227</v>
      </c>
      <c r="C229" s="13" t="s">
        <v>14</v>
      </c>
      <c r="D229" s="54">
        <v>5.4259259259259264E-2</v>
      </c>
      <c r="E229" s="83">
        <v>15.03</v>
      </c>
      <c r="F229" s="84">
        <f>D229/E229</f>
        <v>3.6100638229713418E-3</v>
      </c>
      <c r="G229" s="84" t="s">
        <v>472</v>
      </c>
      <c r="H229" s="10" t="s">
        <v>411</v>
      </c>
    </row>
    <row r="230" spans="1:9" x14ac:dyDescent="0.15">
      <c r="A230" s="15">
        <f>SUM(E228:E234)</f>
        <v>66.5</v>
      </c>
      <c r="B230" s="138">
        <v>42228</v>
      </c>
      <c r="C230" s="13"/>
      <c r="D230" s="54"/>
      <c r="E230" s="83"/>
      <c r="F230" s="84"/>
      <c r="G230" s="84"/>
      <c r="H230" s="10" t="s">
        <v>411</v>
      </c>
    </row>
    <row r="231" spans="1:9" x14ac:dyDescent="0.15">
      <c r="A231" s="2"/>
      <c r="B231" s="138">
        <v>42229</v>
      </c>
      <c r="C231" s="13" t="s">
        <v>447</v>
      </c>
      <c r="D231" s="54">
        <v>4.3854166666666666E-2</v>
      </c>
      <c r="E231" s="83">
        <v>12.14</v>
      </c>
      <c r="F231" s="84">
        <f>D231/E231</f>
        <v>3.6123695771554088E-3</v>
      </c>
      <c r="G231" s="84" t="s">
        <v>471</v>
      </c>
      <c r="H231" s="10" t="s">
        <v>411</v>
      </c>
    </row>
    <row r="232" spans="1:9" x14ac:dyDescent="0.15">
      <c r="A232" s="2"/>
      <c r="B232" s="138">
        <v>42230</v>
      </c>
      <c r="C232" s="13" t="s">
        <v>464</v>
      </c>
      <c r="D232" s="54">
        <v>3.6157407407407402E-2</v>
      </c>
      <c r="E232" s="83">
        <v>10.09</v>
      </c>
      <c r="F232" s="84">
        <f>D232/E232</f>
        <v>3.5834893367103471E-3</v>
      </c>
      <c r="G232" s="84" t="s">
        <v>472</v>
      </c>
      <c r="H232" s="10" t="s">
        <v>411</v>
      </c>
    </row>
    <row r="233" spans="1:9" x14ac:dyDescent="0.15">
      <c r="A233" s="2"/>
      <c r="B233" s="138">
        <v>42231</v>
      </c>
      <c r="C233" s="13"/>
      <c r="D233" s="54"/>
      <c r="E233" s="83"/>
      <c r="F233" s="84"/>
      <c r="G233" s="84"/>
      <c r="H233" s="10" t="s">
        <v>411</v>
      </c>
    </row>
    <row r="234" spans="1:9" x14ac:dyDescent="0.15">
      <c r="A234" s="2"/>
      <c r="B234" s="90">
        <v>42232</v>
      </c>
      <c r="C234" s="13" t="s">
        <v>14</v>
      </c>
      <c r="D234" s="54">
        <v>0.10510416666666665</v>
      </c>
      <c r="E234" s="83">
        <v>29.24</v>
      </c>
      <c r="F234" s="84">
        <f>D234/E234</f>
        <v>3.5945337437300498E-3</v>
      </c>
      <c r="G234" s="84" t="s">
        <v>475</v>
      </c>
      <c r="H234" s="10" t="s">
        <v>411</v>
      </c>
    </row>
    <row r="235" spans="1:9" x14ac:dyDescent="0.15">
      <c r="A235" s="4">
        <f>A228+1</f>
        <v>34</v>
      </c>
      <c r="B235" s="138">
        <v>42233</v>
      </c>
      <c r="C235" s="8"/>
      <c r="D235" s="52"/>
      <c r="E235" s="80"/>
      <c r="F235" s="81"/>
      <c r="G235" s="81"/>
      <c r="H235" s="10" t="s">
        <v>411</v>
      </c>
    </row>
    <row r="236" spans="1:9" x14ac:dyDescent="0.15">
      <c r="A236" s="11" t="s">
        <v>11</v>
      </c>
      <c r="B236" s="138">
        <v>42234</v>
      </c>
      <c r="C236" s="13" t="s">
        <v>14</v>
      </c>
      <c r="D236" s="54">
        <v>3.7372685185185189E-2</v>
      </c>
      <c r="E236" s="83">
        <v>10.6</v>
      </c>
      <c r="F236" s="84">
        <f>D236/E236</f>
        <v>3.5257250174703012E-3</v>
      </c>
      <c r="G236" s="84" t="s">
        <v>471</v>
      </c>
      <c r="H236" s="10" t="s">
        <v>411</v>
      </c>
    </row>
    <row r="237" spans="1:9" x14ac:dyDescent="0.15">
      <c r="A237" s="15">
        <f>SUM(E235:E241)</f>
        <v>51.249999999999993</v>
      </c>
      <c r="B237" s="138">
        <v>42235</v>
      </c>
      <c r="C237" s="13"/>
      <c r="D237" s="54"/>
      <c r="E237" s="83"/>
      <c r="F237" s="84"/>
      <c r="G237" s="84"/>
      <c r="H237" s="10" t="s">
        <v>411</v>
      </c>
    </row>
    <row r="238" spans="1:9" x14ac:dyDescent="0.15">
      <c r="A238" s="2"/>
      <c r="B238" s="138">
        <v>42236</v>
      </c>
      <c r="C238" s="13" t="s">
        <v>447</v>
      </c>
      <c r="D238" s="54">
        <v>4.4502314814814807E-2</v>
      </c>
      <c r="E238" s="83">
        <v>13.09</v>
      </c>
      <c r="F238" s="84">
        <f>D238/E238</f>
        <v>3.3997184732478844E-3</v>
      </c>
      <c r="G238" s="84" t="s">
        <v>472</v>
      </c>
      <c r="H238" s="10" t="s">
        <v>411</v>
      </c>
    </row>
    <row r="239" spans="1:9" x14ac:dyDescent="0.15">
      <c r="A239" s="2"/>
      <c r="B239" s="138">
        <v>42237</v>
      </c>
      <c r="C239" s="13" t="s">
        <v>14</v>
      </c>
      <c r="D239" s="54">
        <v>4.4224537037037034E-2</v>
      </c>
      <c r="E239" s="83">
        <v>12.3</v>
      </c>
      <c r="F239" s="84">
        <f>D239/E239</f>
        <v>3.595490816019271E-3</v>
      </c>
      <c r="G239" s="84" t="s">
        <v>471</v>
      </c>
      <c r="H239" s="10" t="s">
        <v>411</v>
      </c>
    </row>
    <row r="240" spans="1:9" x14ac:dyDescent="0.15">
      <c r="A240" s="2"/>
      <c r="B240" s="138">
        <v>42238</v>
      </c>
      <c r="C240" s="13"/>
      <c r="D240" s="54"/>
      <c r="E240" s="83"/>
      <c r="F240" s="84"/>
      <c r="G240" s="84"/>
      <c r="H240" s="10" t="s">
        <v>411</v>
      </c>
    </row>
    <row r="241" spans="1:9" x14ac:dyDescent="0.15">
      <c r="A241" s="2"/>
      <c r="B241" s="90">
        <v>42239</v>
      </c>
      <c r="C241" s="13" t="s">
        <v>14</v>
      </c>
      <c r="D241" s="54">
        <v>5.5185185185185184E-2</v>
      </c>
      <c r="E241" s="83">
        <v>15.26</v>
      </c>
      <c r="F241" s="84">
        <f>D241/E241</f>
        <v>3.616329304402699E-3</v>
      </c>
      <c r="G241" s="84" t="s">
        <v>475</v>
      </c>
      <c r="H241" s="10" t="s">
        <v>411</v>
      </c>
    </row>
    <row r="242" spans="1:9" x14ac:dyDescent="0.15">
      <c r="A242" s="4">
        <f>A235+1</f>
        <v>35</v>
      </c>
      <c r="B242" s="138">
        <v>42240</v>
      </c>
      <c r="C242" s="8" t="s">
        <v>14</v>
      </c>
      <c r="D242" s="52">
        <v>2.525462962962963E-2</v>
      </c>
      <c r="E242" s="80">
        <v>6.84</v>
      </c>
      <c r="F242" s="81">
        <f>D242/E242</f>
        <v>3.6921973142733377E-3</v>
      </c>
      <c r="G242" s="81" t="s">
        <v>455</v>
      </c>
      <c r="H242" s="10" t="s">
        <v>411</v>
      </c>
    </row>
    <row r="243" spans="1:9" x14ac:dyDescent="0.15">
      <c r="A243" s="11" t="s">
        <v>11</v>
      </c>
      <c r="B243" s="138">
        <v>42241</v>
      </c>
      <c r="C243" s="13" t="s">
        <v>464</v>
      </c>
      <c r="D243" s="54">
        <v>3.7997685185185183E-2</v>
      </c>
      <c r="E243" s="83">
        <v>10.62</v>
      </c>
      <c r="F243" s="84">
        <f>D243/E243</f>
        <v>3.5779364581153658E-3</v>
      </c>
      <c r="G243" s="84" t="s">
        <v>472</v>
      </c>
      <c r="H243" s="10" t="s">
        <v>411</v>
      </c>
    </row>
    <row r="244" spans="1:9" x14ac:dyDescent="0.15">
      <c r="A244" s="15">
        <f>SUM(E242:E248)</f>
        <v>68.820000000000007</v>
      </c>
      <c r="B244" s="138">
        <v>42242</v>
      </c>
      <c r="C244" s="13"/>
      <c r="D244" s="54"/>
      <c r="E244" s="83"/>
      <c r="F244" s="84"/>
      <c r="G244" s="84"/>
      <c r="H244" s="10" t="s">
        <v>411</v>
      </c>
    </row>
    <row r="245" spans="1:9" x14ac:dyDescent="0.15">
      <c r="A245" s="2"/>
      <c r="B245" s="138">
        <v>42243</v>
      </c>
      <c r="C245" s="13" t="s">
        <v>14</v>
      </c>
      <c r="D245" s="54">
        <v>4.8275462962962958E-2</v>
      </c>
      <c r="E245" s="83">
        <v>13.21</v>
      </c>
      <c r="F245" s="84">
        <f>D245/E245</f>
        <v>3.6544635096868246E-3</v>
      </c>
      <c r="G245" s="84" t="s">
        <v>475</v>
      </c>
      <c r="H245" s="10" t="s">
        <v>411</v>
      </c>
    </row>
    <row r="246" spans="1:9" x14ac:dyDescent="0.15">
      <c r="A246" s="2"/>
      <c r="B246" s="138">
        <v>42244</v>
      </c>
      <c r="C246" s="13" t="s">
        <v>447</v>
      </c>
      <c r="D246" s="54">
        <v>3.8495370370370374E-2</v>
      </c>
      <c r="E246" s="83">
        <v>12.17</v>
      </c>
      <c r="F246" s="84">
        <f>D246/E246</f>
        <v>3.163136431419094E-3</v>
      </c>
      <c r="G246" s="84" t="s">
        <v>472</v>
      </c>
      <c r="H246" s="10" t="s">
        <v>411</v>
      </c>
    </row>
    <row r="247" spans="1:9" x14ac:dyDescent="0.15">
      <c r="A247" s="2"/>
      <c r="B247" s="138">
        <v>42245</v>
      </c>
      <c r="C247" s="13"/>
      <c r="D247" s="54"/>
      <c r="E247" s="83"/>
      <c r="F247" s="84"/>
      <c r="G247" s="84"/>
      <c r="H247" s="10" t="s">
        <v>411</v>
      </c>
    </row>
    <row r="248" spans="1:9" x14ac:dyDescent="0.15">
      <c r="A248" s="2"/>
      <c r="B248" s="90">
        <v>42246</v>
      </c>
      <c r="C248" s="13" t="s">
        <v>14</v>
      </c>
      <c r="D248" s="54">
        <v>9.5891203703703701E-2</v>
      </c>
      <c r="E248" s="83">
        <v>25.98</v>
      </c>
      <c r="F248" s="84">
        <f>D248/E248</f>
        <v>3.6909624212357081E-3</v>
      </c>
      <c r="G248" s="84" t="s">
        <v>475</v>
      </c>
      <c r="H248" s="10" t="s">
        <v>411</v>
      </c>
    </row>
    <row r="249" spans="1:9" x14ac:dyDescent="0.15">
      <c r="A249" s="4">
        <f>A242+1</f>
        <v>36</v>
      </c>
      <c r="B249" s="138">
        <v>42247</v>
      </c>
      <c r="C249" s="8"/>
      <c r="D249" s="52"/>
      <c r="E249" s="80"/>
      <c r="F249" s="81"/>
      <c r="G249" s="81"/>
      <c r="H249" s="10" t="s">
        <v>411</v>
      </c>
    </row>
    <row r="250" spans="1:9" x14ac:dyDescent="0.15">
      <c r="A250" s="11" t="s">
        <v>11</v>
      </c>
      <c r="B250" s="138">
        <v>42248</v>
      </c>
      <c r="C250" s="13" t="s">
        <v>14</v>
      </c>
      <c r="D250" s="54">
        <v>3.6701388888888888E-2</v>
      </c>
      <c r="E250" s="83">
        <v>10.48</v>
      </c>
      <c r="F250" s="84">
        <f>D250/E250</f>
        <v>3.5020409245122984E-3</v>
      </c>
      <c r="G250" s="84" t="s">
        <v>472</v>
      </c>
      <c r="H250" s="10" t="s">
        <v>411</v>
      </c>
    </row>
    <row r="251" spans="1:9" x14ac:dyDescent="0.15">
      <c r="A251" s="15">
        <f>SUM(E249:E255)</f>
        <v>64.22</v>
      </c>
      <c r="B251" s="138">
        <v>42249</v>
      </c>
      <c r="C251" s="13"/>
      <c r="D251" s="54"/>
      <c r="E251" s="83"/>
      <c r="F251" s="84"/>
      <c r="G251" s="84"/>
      <c r="H251" s="10" t="s">
        <v>411</v>
      </c>
      <c r="I251" s="147"/>
    </row>
    <row r="252" spans="1:9" x14ac:dyDescent="0.15">
      <c r="A252" s="2"/>
      <c r="B252" s="138">
        <v>42250</v>
      </c>
      <c r="C252" s="13" t="s">
        <v>447</v>
      </c>
      <c r="D252" s="54">
        <v>4.3460648148148151E-2</v>
      </c>
      <c r="E252" s="83">
        <v>13.45</v>
      </c>
      <c r="F252" s="84">
        <f>D252/E252</f>
        <v>3.231274955252651E-3</v>
      </c>
      <c r="G252" s="84" t="s">
        <v>475</v>
      </c>
      <c r="H252" s="10" t="s">
        <v>411</v>
      </c>
    </row>
    <row r="253" spans="1:9" x14ac:dyDescent="0.15">
      <c r="A253" s="2"/>
      <c r="B253" s="138">
        <v>42251</v>
      </c>
      <c r="C253" s="13"/>
      <c r="D253" s="54"/>
      <c r="E253" s="83"/>
      <c r="F253" s="84"/>
      <c r="G253" s="84"/>
      <c r="H253" s="10" t="s">
        <v>411</v>
      </c>
    </row>
    <row r="254" spans="1:9" x14ac:dyDescent="0.15">
      <c r="A254" s="2"/>
      <c r="B254" s="138">
        <v>42252</v>
      </c>
      <c r="C254" s="13" t="s">
        <v>14</v>
      </c>
      <c r="D254" s="54">
        <v>4.254629629629629E-2</v>
      </c>
      <c r="E254" s="83">
        <v>12.13</v>
      </c>
      <c r="F254" s="84">
        <f>D254/E254</f>
        <v>3.5075264877408316E-3</v>
      </c>
      <c r="G254" s="84" t="s">
        <v>471</v>
      </c>
      <c r="H254" s="10" t="s">
        <v>411</v>
      </c>
    </row>
    <row r="255" spans="1:9" x14ac:dyDescent="0.15">
      <c r="A255" s="2"/>
      <c r="B255" s="90">
        <v>42253</v>
      </c>
      <c r="C255" s="13" t="s">
        <v>14</v>
      </c>
      <c r="D255" s="54">
        <v>9.9537037037037035E-2</v>
      </c>
      <c r="E255" s="83">
        <v>28.16</v>
      </c>
      <c r="F255" s="84">
        <f>D255/E255</f>
        <v>3.5346959175084174E-3</v>
      </c>
      <c r="G255" s="84" t="s">
        <v>475</v>
      </c>
      <c r="H255" s="10" t="s">
        <v>411</v>
      </c>
    </row>
    <row r="256" spans="1:9" x14ac:dyDescent="0.15">
      <c r="A256" s="4">
        <f>A249+1</f>
        <v>37</v>
      </c>
      <c r="B256" s="138">
        <v>42254</v>
      </c>
      <c r="C256" s="8"/>
      <c r="D256" s="52"/>
      <c r="E256" s="80"/>
      <c r="F256" s="81"/>
      <c r="G256" s="81"/>
      <c r="H256" s="10" t="s">
        <v>411</v>
      </c>
    </row>
    <row r="257" spans="1:8" x14ac:dyDescent="0.15">
      <c r="A257" s="11" t="s">
        <v>11</v>
      </c>
      <c r="B257" s="138">
        <v>42255</v>
      </c>
      <c r="C257" s="13" t="s">
        <v>464</v>
      </c>
      <c r="D257" s="54">
        <v>4.4768518518518513E-2</v>
      </c>
      <c r="E257" s="83">
        <v>12.58</v>
      </c>
      <c r="F257" s="84">
        <f>D257/E257</f>
        <v>3.5587057645881169E-3</v>
      </c>
      <c r="G257" s="84" t="s">
        <v>471</v>
      </c>
      <c r="H257" s="10" t="s">
        <v>411</v>
      </c>
    </row>
    <row r="258" spans="1:8" x14ac:dyDescent="0.15">
      <c r="A258" s="15">
        <f>SUM(E256:E262)</f>
        <v>49.69</v>
      </c>
      <c r="B258" s="138">
        <v>42256</v>
      </c>
      <c r="C258" s="13" t="s">
        <v>14</v>
      </c>
      <c r="D258" s="54">
        <v>4.2418981481481474E-2</v>
      </c>
      <c r="E258" s="83">
        <v>12.19</v>
      </c>
      <c r="F258" s="84">
        <f>D258/E258</f>
        <v>3.4798180050435992E-3</v>
      </c>
      <c r="G258" s="84" t="s">
        <v>472</v>
      </c>
      <c r="H258" s="10" t="s">
        <v>411</v>
      </c>
    </row>
    <row r="259" spans="1:8" x14ac:dyDescent="0.15">
      <c r="A259" s="2"/>
      <c r="B259" s="138">
        <v>42257</v>
      </c>
      <c r="C259" s="13"/>
      <c r="D259" s="54"/>
      <c r="E259" s="83"/>
      <c r="F259" s="84"/>
      <c r="G259" s="84"/>
      <c r="H259" s="10" t="s">
        <v>411</v>
      </c>
    </row>
    <row r="260" spans="1:8" x14ac:dyDescent="0.15">
      <c r="A260" s="2"/>
      <c r="B260" s="138">
        <v>42258</v>
      </c>
      <c r="C260" s="13"/>
      <c r="D260" s="54"/>
      <c r="E260" s="83"/>
      <c r="F260" s="84"/>
      <c r="G260" s="84"/>
      <c r="H260" s="10" t="s">
        <v>411</v>
      </c>
    </row>
    <row r="261" spans="1:8" x14ac:dyDescent="0.15">
      <c r="A261" s="2"/>
      <c r="B261" s="138">
        <v>42259</v>
      </c>
      <c r="C261" s="13" t="s">
        <v>158</v>
      </c>
      <c r="D261" s="54">
        <v>3.5613425925925923E-2</v>
      </c>
      <c r="E261" s="83">
        <v>10.47</v>
      </c>
      <c r="F261" s="84">
        <f>D261/E261</f>
        <v>3.4014733453606419E-3</v>
      </c>
      <c r="G261" s="84" t="s">
        <v>472</v>
      </c>
      <c r="H261" s="10" t="s">
        <v>411</v>
      </c>
    </row>
    <row r="262" spans="1:8" x14ac:dyDescent="0.15">
      <c r="A262" s="2"/>
      <c r="B262" s="90">
        <v>42260</v>
      </c>
      <c r="C262" s="13" t="s">
        <v>14</v>
      </c>
      <c r="D262" s="54">
        <v>4.9120370370370363E-2</v>
      </c>
      <c r="E262" s="83">
        <v>14.45</v>
      </c>
      <c r="F262" s="84">
        <f>D262/E262</f>
        <v>3.3993335896450078E-3</v>
      </c>
      <c r="G262" s="84" t="s">
        <v>475</v>
      </c>
      <c r="H262" s="10" t="s">
        <v>411</v>
      </c>
    </row>
    <row r="263" spans="1:8" x14ac:dyDescent="0.15">
      <c r="A263" s="4">
        <f>A256+1</f>
        <v>38</v>
      </c>
      <c r="B263" s="138">
        <v>42261</v>
      </c>
      <c r="C263" s="8"/>
      <c r="D263" s="52"/>
      <c r="E263" s="80"/>
      <c r="F263" s="81"/>
      <c r="G263" s="81"/>
      <c r="H263" s="10" t="s">
        <v>411</v>
      </c>
    </row>
    <row r="264" spans="1:8" x14ac:dyDescent="0.15">
      <c r="A264" s="11" t="s">
        <v>11</v>
      </c>
      <c r="B264" s="138">
        <v>42262</v>
      </c>
      <c r="C264" s="13" t="s">
        <v>447</v>
      </c>
      <c r="D264" s="54">
        <v>4.1250000000000002E-2</v>
      </c>
      <c r="E264" s="83">
        <v>12.13</v>
      </c>
      <c r="F264" s="84">
        <f>D264/E264</f>
        <v>3.4006595218466613E-3</v>
      </c>
      <c r="G264" s="84" t="s">
        <v>472</v>
      </c>
      <c r="H264" s="10" t="s">
        <v>411</v>
      </c>
    </row>
    <row r="265" spans="1:8" x14ac:dyDescent="0.15">
      <c r="A265" s="164">
        <f>SUM(E263:E269)</f>
        <v>50.79</v>
      </c>
      <c r="B265" s="138">
        <v>42263</v>
      </c>
      <c r="C265" s="13"/>
      <c r="D265" s="54"/>
      <c r="E265" s="83"/>
      <c r="F265" s="84"/>
      <c r="G265" s="84"/>
      <c r="H265" s="10" t="s">
        <v>411</v>
      </c>
    </row>
    <row r="266" spans="1:8" x14ac:dyDescent="0.15">
      <c r="A266" s="2"/>
      <c r="B266" s="138">
        <v>42264</v>
      </c>
      <c r="C266" s="13" t="s">
        <v>14</v>
      </c>
      <c r="D266" s="54">
        <v>0.10060185185185185</v>
      </c>
      <c r="E266" s="83">
        <v>28.52</v>
      </c>
      <c r="F266" s="84">
        <f>D266/E266</f>
        <v>3.5274141603033608E-3</v>
      </c>
      <c r="G266" s="84" t="s">
        <v>475</v>
      </c>
      <c r="H266" s="10" t="s">
        <v>411</v>
      </c>
    </row>
    <row r="267" spans="1:8" x14ac:dyDescent="0.15">
      <c r="A267" s="2"/>
      <c r="B267" s="138">
        <v>42265</v>
      </c>
      <c r="C267" s="13"/>
      <c r="D267" s="54"/>
      <c r="E267" s="83"/>
      <c r="F267" s="84"/>
      <c r="G267" s="84"/>
      <c r="H267" s="10" t="s">
        <v>411</v>
      </c>
    </row>
    <row r="268" spans="1:8" x14ac:dyDescent="0.15">
      <c r="A268" s="2"/>
      <c r="B268" s="138">
        <v>42266</v>
      </c>
      <c r="C268" s="13"/>
      <c r="D268" s="54"/>
      <c r="E268" s="83"/>
      <c r="F268" s="84"/>
      <c r="G268" s="84"/>
      <c r="H268" s="10" t="s">
        <v>411</v>
      </c>
    </row>
    <row r="269" spans="1:8" ht="14" thickBot="1" x14ac:dyDescent="0.2">
      <c r="A269" s="2"/>
      <c r="B269" s="90">
        <v>42267</v>
      </c>
      <c r="C269" s="13" t="s">
        <v>464</v>
      </c>
      <c r="D269" s="54">
        <v>3.6215277777777777E-2</v>
      </c>
      <c r="E269" s="83">
        <v>10.14</v>
      </c>
      <c r="F269" s="84">
        <f>D269/E269</f>
        <v>3.5715264080648694E-3</v>
      </c>
      <c r="G269" s="84" t="s">
        <v>471</v>
      </c>
      <c r="H269" s="10" t="s">
        <v>411</v>
      </c>
    </row>
    <row r="270" spans="1:8" ht="14" thickBot="1" x14ac:dyDescent="0.2">
      <c r="A270" s="4">
        <f>A263+1</f>
        <v>39</v>
      </c>
      <c r="B270" s="138">
        <v>42268</v>
      </c>
      <c r="C270" s="8"/>
      <c r="D270" s="52"/>
      <c r="E270" s="80"/>
      <c r="F270" s="81"/>
      <c r="G270" s="81"/>
      <c r="H270" s="10" t="s">
        <v>411</v>
      </c>
    </row>
    <row r="271" spans="1:8" x14ac:dyDescent="0.15">
      <c r="A271" s="11" t="s">
        <v>11</v>
      </c>
      <c r="B271" s="138">
        <v>42269</v>
      </c>
      <c r="C271" s="13"/>
      <c r="D271" s="54"/>
      <c r="E271" s="83"/>
      <c r="F271" s="84"/>
      <c r="G271" s="84"/>
      <c r="H271" s="10" t="s">
        <v>411</v>
      </c>
    </row>
    <row r="272" spans="1:8" ht="14" thickBot="1" x14ac:dyDescent="0.2">
      <c r="A272" s="15">
        <f>SUM(E270:E276)</f>
        <v>57.784999999999997</v>
      </c>
      <c r="B272" s="138">
        <v>42270</v>
      </c>
      <c r="C272" s="13" t="s">
        <v>14</v>
      </c>
      <c r="D272" s="54">
        <v>2.9027777777777777E-2</v>
      </c>
      <c r="E272" s="83">
        <v>8.0399999999999991</v>
      </c>
      <c r="F272" s="84">
        <f>D272/E272</f>
        <v>3.6104201216141519E-3</v>
      </c>
      <c r="G272" s="84" t="s">
        <v>472</v>
      </c>
      <c r="H272" s="10" t="s">
        <v>411</v>
      </c>
    </row>
    <row r="273" spans="1:8" x14ac:dyDescent="0.15">
      <c r="A273" s="2"/>
      <c r="B273" s="138">
        <v>42271</v>
      </c>
      <c r="C273" s="13"/>
      <c r="D273" s="54"/>
      <c r="E273" s="83"/>
      <c r="F273" s="84"/>
      <c r="G273" s="84"/>
      <c r="H273" s="10" t="s">
        <v>411</v>
      </c>
    </row>
    <row r="274" spans="1:8" x14ac:dyDescent="0.15">
      <c r="A274" s="2"/>
      <c r="B274" s="138">
        <v>42272</v>
      </c>
      <c r="C274" s="13" t="s">
        <v>14</v>
      </c>
      <c r="D274" s="54">
        <v>2.7523148148148147E-2</v>
      </c>
      <c r="E274" s="83">
        <v>7.55</v>
      </c>
      <c r="F274" s="84">
        <f>D274/E274</f>
        <v>3.645450085847437E-3</v>
      </c>
      <c r="G274" s="84" t="s">
        <v>471</v>
      </c>
      <c r="H274" s="10" t="s">
        <v>411</v>
      </c>
    </row>
    <row r="275" spans="1:8" x14ac:dyDescent="0.15">
      <c r="A275" s="2"/>
      <c r="B275" s="138">
        <v>42273</v>
      </c>
      <c r="C275" s="13"/>
      <c r="D275" s="54"/>
      <c r="E275" s="83"/>
      <c r="F275" s="84"/>
      <c r="G275" s="84"/>
      <c r="H275" s="10" t="s">
        <v>411</v>
      </c>
    </row>
    <row r="276" spans="1:8" ht="14" thickBot="1" x14ac:dyDescent="0.2">
      <c r="A276" s="2"/>
      <c r="B276" s="90">
        <v>42274</v>
      </c>
      <c r="C276" s="165" t="s">
        <v>481</v>
      </c>
      <c r="D276" s="166">
        <v>0.14809027777777778</v>
      </c>
      <c r="E276" s="167">
        <v>42.195</v>
      </c>
      <c r="F276" s="192">
        <f>D276/E276</f>
        <v>3.509664125554634E-3</v>
      </c>
      <c r="G276" s="192" t="s">
        <v>475</v>
      </c>
      <c r="H276" s="10" t="s">
        <v>411</v>
      </c>
    </row>
    <row r="277" spans="1:8" ht="14" thickBot="1" x14ac:dyDescent="0.2">
      <c r="A277" s="4">
        <f>A270+1</f>
        <v>40</v>
      </c>
      <c r="B277" s="138">
        <v>42275</v>
      </c>
      <c r="C277" s="8"/>
      <c r="D277" s="52"/>
      <c r="E277" s="80"/>
      <c r="F277" s="81"/>
      <c r="G277" s="81"/>
      <c r="H277" s="10" t="s">
        <v>411</v>
      </c>
    </row>
    <row r="278" spans="1:8" x14ac:dyDescent="0.15">
      <c r="A278" s="11" t="s">
        <v>11</v>
      </c>
      <c r="B278" s="138">
        <v>42276</v>
      </c>
      <c r="C278" s="13"/>
      <c r="D278" s="54"/>
      <c r="E278" s="83"/>
      <c r="F278" s="84"/>
      <c r="G278" s="84"/>
      <c r="H278" s="10" t="s">
        <v>411</v>
      </c>
    </row>
    <row r="279" spans="1:8" ht="14" thickBot="1" x14ac:dyDescent="0.2">
      <c r="A279" s="15">
        <f>SUM(E277:E283)</f>
        <v>0</v>
      </c>
      <c r="B279" s="138">
        <v>42277</v>
      </c>
      <c r="C279" s="13"/>
      <c r="D279" s="54"/>
      <c r="E279" s="83"/>
      <c r="F279" s="84"/>
      <c r="G279" s="84"/>
      <c r="H279" s="10" t="s">
        <v>411</v>
      </c>
    </row>
    <row r="280" spans="1:8" x14ac:dyDescent="0.15">
      <c r="A280" s="2"/>
      <c r="B280" s="138">
        <v>42278</v>
      </c>
      <c r="C280" s="13"/>
      <c r="D280" s="54"/>
      <c r="E280" s="83"/>
      <c r="F280" s="84"/>
      <c r="G280" s="84"/>
      <c r="H280" s="10" t="s">
        <v>411</v>
      </c>
    </row>
    <row r="281" spans="1:8" x14ac:dyDescent="0.15">
      <c r="A281" s="2"/>
      <c r="B281" s="138">
        <v>42279</v>
      </c>
      <c r="C281" s="13"/>
      <c r="D281" s="54"/>
      <c r="E281" s="83"/>
      <c r="F281" s="84"/>
      <c r="G281" s="84"/>
      <c r="H281" s="10" t="s">
        <v>411</v>
      </c>
    </row>
    <row r="282" spans="1:8" x14ac:dyDescent="0.15">
      <c r="A282" s="2"/>
      <c r="B282" s="138">
        <v>42280</v>
      </c>
      <c r="C282" s="13"/>
      <c r="D282" s="54"/>
      <c r="E282" s="83"/>
      <c r="F282" s="84"/>
      <c r="G282" s="84"/>
      <c r="H282" s="10" t="s">
        <v>411</v>
      </c>
    </row>
    <row r="283" spans="1:8" ht="14" thickBot="1" x14ac:dyDescent="0.2">
      <c r="A283" s="2"/>
      <c r="B283" s="90">
        <v>42281</v>
      </c>
      <c r="C283" s="165"/>
      <c r="D283" s="166"/>
      <c r="E283" s="167"/>
      <c r="F283" s="84"/>
      <c r="G283" s="84"/>
      <c r="H283" s="10" t="s">
        <v>411</v>
      </c>
    </row>
    <row r="284" spans="1:8" ht="14" thickBot="1" x14ac:dyDescent="0.2">
      <c r="A284" s="4">
        <f>A277+1</f>
        <v>41</v>
      </c>
      <c r="B284" s="138">
        <v>42282</v>
      </c>
      <c r="C284" s="8"/>
      <c r="D284" s="52"/>
      <c r="E284" s="80"/>
      <c r="F284" s="81"/>
      <c r="G284" s="81"/>
      <c r="H284" s="10" t="s">
        <v>411</v>
      </c>
    </row>
    <row r="285" spans="1:8" x14ac:dyDescent="0.15">
      <c r="A285" s="11" t="s">
        <v>11</v>
      </c>
      <c r="B285" s="138">
        <v>42283</v>
      </c>
      <c r="C285" s="13"/>
      <c r="D285" s="54"/>
      <c r="E285" s="83"/>
      <c r="F285" s="84"/>
      <c r="G285" s="84"/>
      <c r="H285" s="10" t="s">
        <v>411</v>
      </c>
    </row>
    <row r="286" spans="1:8" ht="14" thickBot="1" x14ac:dyDescent="0.2">
      <c r="A286" s="15">
        <f>SUM(E284:E290)</f>
        <v>10.5</v>
      </c>
      <c r="B286" s="138">
        <v>42284</v>
      </c>
      <c r="C286" s="13" t="s">
        <v>14</v>
      </c>
      <c r="D286" s="54">
        <v>3.9907407407407412E-2</v>
      </c>
      <c r="E286" s="83">
        <v>10.5</v>
      </c>
      <c r="F286" s="84">
        <f>D286/E286</f>
        <v>3.8007054673721346E-3</v>
      </c>
      <c r="G286" s="84" t="s">
        <v>472</v>
      </c>
      <c r="H286" s="10" t="s">
        <v>411</v>
      </c>
    </row>
    <row r="287" spans="1:8" x14ac:dyDescent="0.15">
      <c r="A287" s="2"/>
      <c r="B287" s="138">
        <v>42285</v>
      </c>
      <c r="C287" s="13"/>
      <c r="D287" s="54"/>
      <c r="E287" s="83"/>
      <c r="F287" s="84"/>
      <c r="G287" s="84"/>
      <c r="H287" s="10" t="s">
        <v>411</v>
      </c>
    </row>
    <row r="288" spans="1:8" x14ac:dyDescent="0.15">
      <c r="A288" s="2"/>
      <c r="B288" s="138">
        <v>42286</v>
      </c>
      <c r="C288" s="13"/>
      <c r="D288" s="54"/>
      <c r="E288" s="83"/>
      <c r="F288" s="84"/>
      <c r="G288" s="84"/>
      <c r="H288" s="10" t="s">
        <v>411</v>
      </c>
    </row>
    <row r="289" spans="1:8" x14ac:dyDescent="0.15">
      <c r="A289" s="2"/>
      <c r="B289" s="138">
        <v>42287</v>
      </c>
      <c r="C289" s="13"/>
      <c r="D289" s="54"/>
      <c r="E289" s="83"/>
      <c r="F289" s="84"/>
      <c r="G289" s="84"/>
      <c r="H289" s="10" t="s">
        <v>411</v>
      </c>
    </row>
    <row r="290" spans="1:8" ht="14" thickBot="1" x14ac:dyDescent="0.2">
      <c r="A290" s="2"/>
      <c r="B290" s="90">
        <v>42288</v>
      </c>
      <c r="C290" s="165"/>
      <c r="D290" s="166"/>
      <c r="E290" s="167"/>
      <c r="F290" s="84"/>
      <c r="G290" s="84"/>
      <c r="H290" s="10" t="s">
        <v>411</v>
      </c>
    </row>
    <row r="291" spans="1:8" ht="14" thickBot="1" x14ac:dyDescent="0.2">
      <c r="A291" s="4">
        <f>A284+1</f>
        <v>42</v>
      </c>
      <c r="B291" s="138">
        <v>42289</v>
      </c>
      <c r="C291" s="8"/>
      <c r="D291" s="52"/>
      <c r="E291" s="80"/>
      <c r="F291" s="81"/>
      <c r="G291" s="81"/>
      <c r="H291" s="10" t="s">
        <v>411</v>
      </c>
    </row>
    <row r="292" spans="1:8" x14ac:dyDescent="0.15">
      <c r="A292" s="11" t="s">
        <v>11</v>
      </c>
      <c r="B292" s="138">
        <v>42290</v>
      </c>
      <c r="C292" s="13"/>
      <c r="D292" s="54"/>
      <c r="E292" s="83"/>
      <c r="F292" s="84"/>
      <c r="G292" s="84"/>
      <c r="H292" s="10" t="s">
        <v>411</v>
      </c>
    </row>
    <row r="293" spans="1:8" ht="14" thickBot="1" x14ac:dyDescent="0.2">
      <c r="A293" s="15">
        <f>SUM(E291:E297)</f>
        <v>0</v>
      </c>
      <c r="B293" s="138">
        <v>42291</v>
      </c>
      <c r="C293" s="13"/>
      <c r="D293" s="54"/>
      <c r="E293" s="83"/>
      <c r="F293" s="84"/>
      <c r="G293" s="84"/>
      <c r="H293" s="10" t="s">
        <v>411</v>
      </c>
    </row>
    <row r="294" spans="1:8" x14ac:dyDescent="0.15">
      <c r="A294" s="2"/>
      <c r="B294" s="138">
        <v>42292</v>
      </c>
      <c r="C294" s="13"/>
      <c r="D294" s="54"/>
      <c r="E294" s="83"/>
      <c r="F294" s="84"/>
      <c r="G294" s="84"/>
      <c r="H294" s="10" t="s">
        <v>411</v>
      </c>
    </row>
    <row r="295" spans="1:8" x14ac:dyDescent="0.15">
      <c r="A295" s="2"/>
      <c r="B295" s="138">
        <v>42293</v>
      </c>
      <c r="C295" s="13"/>
      <c r="D295" s="54"/>
      <c r="E295" s="83"/>
      <c r="F295" s="84"/>
      <c r="G295" s="84"/>
      <c r="H295" s="10" t="s">
        <v>411</v>
      </c>
    </row>
    <row r="296" spans="1:8" x14ac:dyDescent="0.15">
      <c r="A296" s="2"/>
      <c r="B296" s="138">
        <v>42294</v>
      </c>
      <c r="C296" s="13"/>
      <c r="D296" s="54"/>
      <c r="E296" s="83"/>
      <c r="F296" s="84"/>
      <c r="G296" s="84"/>
      <c r="H296" s="10" t="s">
        <v>411</v>
      </c>
    </row>
    <row r="297" spans="1:8" ht="14" thickBot="1" x14ac:dyDescent="0.2">
      <c r="A297" s="2"/>
      <c r="B297" s="90">
        <v>42295</v>
      </c>
      <c r="C297" s="165"/>
      <c r="D297" s="166"/>
      <c r="E297" s="167"/>
      <c r="F297" s="84"/>
      <c r="G297" s="84"/>
      <c r="H297" s="10" t="s">
        <v>411</v>
      </c>
    </row>
    <row r="298" spans="1:8" ht="14" thickBot="1" x14ac:dyDescent="0.2">
      <c r="A298" s="4">
        <f>A291+1</f>
        <v>43</v>
      </c>
      <c r="B298" s="138">
        <v>42296</v>
      </c>
      <c r="C298" s="8"/>
      <c r="D298" s="52"/>
      <c r="E298" s="80"/>
      <c r="F298" s="81"/>
      <c r="G298" s="81"/>
      <c r="H298" s="10" t="s">
        <v>411</v>
      </c>
    </row>
    <row r="299" spans="1:8" x14ac:dyDescent="0.15">
      <c r="A299" s="11" t="s">
        <v>11</v>
      </c>
      <c r="B299" s="138">
        <v>42297</v>
      </c>
      <c r="C299" s="13"/>
      <c r="D299" s="54"/>
      <c r="E299" s="83"/>
      <c r="F299" s="84"/>
      <c r="G299" s="84"/>
      <c r="H299" s="10" t="s">
        <v>411</v>
      </c>
    </row>
    <row r="300" spans="1:8" ht="14" thickBot="1" x14ac:dyDescent="0.2">
      <c r="A300" s="15">
        <f>SUM(E298:E304)</f>
        <v>0</v>
      </c>
      <c r="B300" s="138">
        <v>42298</v>
      </c>
      <c r="C300" s="13"/>
      <c r="D300" s="54"/>
      <c r="E300" s="83"/>
      <c r="F300" s="84"/>
      <c r="G300" s="84"/>
      <c r="H300" s="10" t="s">
        <v>411</v>
      </c>
    </row>
    <row r="301" spans="1:8" x14ac:dyDescent="0.15">
      <c r="A301" s="2"/>
      <c r="B301" s="138">
        <v>42299</v>
      </c>
      <c r="C301" s="13"/>
      <c r="D301" s="54"/>
      <c r="E301" s="83"/>
      <c r="F301" s="84"/>
      <c r="G301" s="84"/>
      <c r="H301" s="10" t="s">
        <v>411</v>
      </c>
    </row>
    <row r="302" spans="1:8" x14ac:dyDescent="0.15">
      <c r="A302" s="2"/>
      <c r="B302" s="138">
        <v>42300</v>
      </c>
      <c r="C302" s="13"/>
      <c r="D302" s="54"/>
      <c r="E302" s="83"/>
      <c r="F302" s="84"/>
      <c r="G302" s="84"/>
      <c r="H302" s="10" t="s">
        <v>411</v>
      </c>
    </row>
    <row r="303" spans="1:8" x14ac:dyDescent="0.15">
      <c r="A303" s="2"/>
      <c r="B303" s="138">
        <v>42301</v>
      </c>
      <c r="C303" s="13"/>
      <c r="D303" s="54"/>
      <c r="E303" s="83"/>
      <c r="F303" s="84"/>
      <c r="G303" s="84"/>
      <c r="H303" s="10" t="s">
        <v>411</v>
      </c>
    </row>
    <row r="304" spans="1:8" ht="14" thickBot="1" x14ac:dyDescent="0.2">
      <c r="A304" s="2"/>
      <c r="B304" s="90">
        <v>42302</v>
      </c>
      <c r="C304" s="165"/>
      <c r="D304" s="166"/>
      <c r="E304" s="167"/>
      <c r="F304" s="84"/>
      <c r="G304" s="84"/>
      <c r="H304" s="10" t="s">
        <v>411</v>
      </c>
    </row>
    <row r="305" spans="1:8" ht="14" thickBot="1" x14ac:dyDescent="0.2">
      <c r="A305" s="4">
        <f>A298+1</f>
        <v>44</v>
      </c>
      <c r="B305" s="138">
        <v>42303</v>
      </c>
      <c r="C305" s="8"/>
      <c r="D305" s="52"/>
      <c r="E305" s="80"/>
      <c r="F305" s="81"/>
      <c r="G305" s="81"/>
      <c r="H305" s="10" t="s">
        <v>411</v>
      </c>
    </row>
    <row r="306" spans="1:8" x14ac:dyDescent="0.15">
      <c r="A306" s="11" t="s">
        <v>11</v>
      </c>
      <c r="B306" s="138">
        <v>42304</v>
      </c>
      <c r="C306" s="13"/>
      <c r="D306" s="54"/>
      <c r="E306" s="83"/>
      <c r="F306" s="84"/>
      <c r="G306" s="84"/>
      <c r="H306" s="10" t="s">
        <v>411</v>
      </c>
    </row>
    <row r="307" spans="1:8" ht="14" thickBot="1" x14ac:dyDescent="0.2">
      <c r="A307" s="15">
        <f>SUM(E305:E311)</f>
        <v>0</v>
      </c>
      <c r="B307" s="138">
        <v>42305</v>
      </c>
      <c r="C307" s="13"/>
      <c r="D307" s="54"/>
      <c r="E307" s="83"/>
      <c r="F307" s="84"/>
      <c r="G307" s="84"/>
      <c r="H307" s="10" t="s">
        <v>411</v>
      </c>
    </row>
    <row r="308" spans="1:8" x14ac:dyDescent="0.15">
      <c r="A308" s="2"/>
      <c r="B308" s="138">
        <v>42306</v>
      </c>
      <c r="C308" s="13"/>
      <c r="D308" s="54"/>
      <c r="E308" s="83"/>
      <c r="F308" s="84"/>
      <c r="G308" s="84"/>
      <c r="H308" s="10" t="s">
        <v>411</v>
      </c>
    </row>
    <row r="309" spans="1:8" x14ac:dyDescent="0.15">
      <c r="A309" s="2"/>
      <c r="B309" s="138">
        <v>42307</v>
      </c>
      <c r="C309" s="13"/>
      <c r="D309" s="54"/>
      <c r="E309" s="83"/>
      <c r="F309" s="84"/>
      <c r="G309" s="84"/>
      <c r="H309" s="10" t="s">
        <v>411</v>
      </c>
    </row>
    <row r="310" spans="1:8" x14ac:dyDescent="0.15">
      <c r="A310" s="2"/>
      <c r="B310" s="138">
        <v>42308</v>
      </c>
      <c r="C310" s="13"/>
      <c r="D310" s="54"/>
      <c r="E310" s="83"/>
      <c r="F310" s="84"/>
      <c r="G310" s="84"/>
      <c r="H310" s="10" t="s">
        <v>411</v>
      </c>
    </row>
    <row r="311" spans="1:8" ht="14" thickBot="1" x14ac:dyDescent="0.2">
      <c r="A311" s="2"/>
      <c r="B311" s="90">
        <v>42309</v>
      </c>
      <c r="C311" s="165"/>
      <c r="D311" s="166"/>
      <c r="E311" s="167"/>
      <c r="F311" s="84"/>
      <c r="G311" s="84"/>
      <c r="H311" s="10" t="s">
        <v>411</v>
      </c>
    </row>
    <row r="312" spans="1:8" ht="14" thickBot="1" x14ac:dyDescent="0.2">
      <c r="A312" s="4">
        <f>A305+1</f>
        <v>45</v>
      </c>
      <c r="B312" s="138">
        <v>42310</v>
      </c>
      <c r="C312" s="8"/>
      <c r="D312" s="52"/>
      <c r="E312" s="80"/>
      <c r="F312" s="81"/>
      <c r="G312" s="81"/>
      <c r="H312" s="10" t="s">
        <v>411</v>
      </c>
    </row>
    <row r="313" spans="1:8" x14ac:dyDescent="0.15">
      <c r="A313" s="11" t="s">
        <v>11</v>
      </c>
      <c r="B313" s="138">
        <v>42311</v>
      </c>
      <c r="C313" s="13"/>
      <c r="D313" s="54"/>
      <c r="E313" s="83"/>
      <c r="F313" s="84"/>
      <c r="G313" s="84"/>
      <c r="H313" s="10" t="s">
        <v>411</v>
      </c>
    </row>
    <row r="314" spans="1:8" ht="14" thickBot="1" x14ac:dyDescent="0.2">
      <c r="A314" s="15">
        <f>SUM(E312:E318)</f>
        <v>21.21</v>
      </c>
      <c r="B314" s="138">
        <v>42312</v>
      </c>
      <c r="C314" s="13"/>
      <c r="D314" s="54"/>
      <c r="E314" s="83"/>
      <c r="F314" s="84"/>
      <c r="G314" s="84"/>
      <c r="H314" s="10" t="s">
        <v>411</v>
      </c>
    </row>
    <row r="315" spans="1:8" x14ac:dyDescent="0.15">
      <c r="A315" s="2"/>
      <c r="B315" s="138">
        <v>42313</v>
      </c>
      <c r="C315" s="13" t="s">
        <v>14</v>
      </c>
      <c r="D315" s="54">
        <v>3.6655092592592593E-2</v>
      </c>
      <c r="E315" s="83">
        <v>10.81</v>
      </c>
      <c r="F315" s="84">
        <f>D315/E315</f>
        <v>3.3908503785932092E-3</v>
      </c>
      <c r="G315" s="84" t="s">
        <v>475</v>
      </c>
      <c r="H315" s="10" t="s">
        <v>411</v>
      </c>
    </row>
    <row r="316" spans="1:8" x14ac:dyDescent="0.15">
      <c r="A316" s="2"/>
      <c r="B316" s="138">
        <v>42314</v>
      </c>
      <c r="C316" s="13"/>
      <c r="D316" s="54"/>
      <c r="E316" s="83"/>
      <c r="F316" s="84"/>
      <c r="G316" s="84"/>
      <c r="H316" s="10" t="s">
        <v>411</v>
      </c>
    </row>
    <row r="317" spans="1:8" x14ac:dyDescent="0.15">
      <c r="B317" s="138">
        <v>42315</v>
      </c>
      <c r="C317" s="13"/>
      <c r="D317" s="54"/>
      <c r="E317" s="83"/>
      <c r="F317" s="84"/>
      <c r="G317" s="84"/>
      <c r="H317" s="10" t="s">
        <v>411</v>
      </c>
    </row>
    <row r="318" spans="1:8" ht="14" thickBot="1" x14ac:dyDescent="0.2">
      <c r="B318" s="90">
        <v>42316</v>
      </c>
      <c r="C318" s="186" t="s">
        <v>14</v>
      </c>
      <c r="D318" s="187">
        <v>4.024305555555556E-2</v>
      </c>
      <c r="E318" s="188">
        <v>10.4</v>
      </c>
      <c r="F318" s="84">
        <f>D318/E318</f>
        <v>3.8695245726495728E-3</v>
      </c>
      <c r="G318" s="84" t="s">
        <v>475</v>
      </c>
      <c r="H318" s="10" t="s">
        <v>411</v>
      </c>
    </row>
    <row r="319" spans="1:8" ht="14" thickBot="1" x14ac:dyDescent="0.2">
      <c r="A319" s="4">
        <f>A312+1</f>
        <v>46</v>
      </c>
      <c r="B319" s="138">
        <v>42317</v>
      </c>
      <c r="C319" s="189"/>
      <c r="D319" s="190"/>
      <c r="E319" s="191"/>
      <c r="F319" s="81"/>
      <c r="G319" s="81"/>
      <c r="H319" s="10" t="s">
        <v>411</v>
      </c>
    </row>
    <row r="320" spans="1:8" x14ac:dyDescent="0.15">
      <c r="A320" s="11" t="s">
        <v>11</v>
      </c>
      <c r="B320" s="138">
        <v>42318</v>
      </c>
      <c r="C320" s="13" t="s">
        <v>14</v>
      </c>
      <c r="D320" s="54">
        <v>3.7835648148148153E-2</v>
      </c>
      <c r="E320" s="83">
        <v>10.6</v>
      </c>
      <c r="F320" s="84">
        <f>D320/E320</f>
        <v>3.5694007686932223E-3</v>
      </c>
      <c r="G320" s="84" t="s">
        <v>472</v>
      </c>
      <c r="H320" s="10" t="s">
        <v>411</v>
      </c>
    </row>
    <row r="321" spans="1:8" ht="14" thickBot="1" x14ac:dyDescent="0.2">
      <c r="A321" s="15">
        <f>SUM(E319:E325)</f>
        <v>21.189999999999998</v>
      </c>
      <c r="B321" s="138">
        <v>42319</v>
      </c>
      <c r="C321" s="13"/>
      <c r="D321" s="54"/>
      <c r="E321" s="83"/>
      <c r="F321" s="84"/>
      <c r="G321" s="84"/>
      <c r="H321" s="10" t="s">
        <v>411</v>
      </c>
    </row>
    <row r="322" spans="1:8" x14ac:dyDescent="0.15">
      <c r="A322" s="2"/>
      <c r="B322" s="138">
        <v>42320</v>
      </c>
      <c r="C322" s="13" t="s">
        <v>14</v>
      </c>
      <c r="D322" s="54">
        <v>4.1180555555555554E-2</v>
      </c>
      <c r="E322" s="83">
        <v>10.59</v>
      </c>
      <c r="F322" s="84">
        <f>D322/E322</f>
        <v>3.88862658692687E-3</v>
      </c>
      <c r="G322" s="84" t="s">
        <v>475</v>
      </c>
      <c r="H322" s="10" t="s">
        <v>411</v>
      </c>
    </row>
    <row r="323" spans="1:8" x14ac:dyDescent="0.15">
      <c r="A323" s="2"/>
      <c r="B323" s="138">
        <v>42321</v>
      </c>
      <c r="C323" s="13"/>
      <c r="D323" s="54"/>
      <c r="E323" s="83"/>
      <c r="F323" s="84"/>
      <c r="G323" s="84"/>
      <c r="H323" s="10" t="s">
        <v>411</v>
      </c>
    </row>
    <row r="324" spans="1:8" x14ac:dyDescent="0.15">
      <c r="B324" s="138">
        <v>42322</v>
      </c>
      <c r="C324" s="13"/>
      <c r="D324" s="54"/>
      <c r="E324" s="83"/>
      <c r="F324" s="84"/>
      <c r="G324" s="84"/>
      <c r="H324" s="10" t="s">
        <v>411</v>
      </c>
    </row>
    <row r="325" spans="1:8" ht="14" thickBot="1" x14ac:dyDescent="0.2">
      <c r="B325" s="90">
        <v>42323</v>
      </c>
      <c r="C325" s="165"/>
      <c r="D325" s="166"/>
      <c r="E325" s="167"/>
      <c r="F325" s="84"/>
      <c r="G325" s="84"/>
      <c r="H325" s="10" t="s">
        <v>411</v>
      </c>
    </row>
    <row r="326" spans="1:8" ht="14" thickBot="1" x14ac:dyDescent="0.2">
      <c r="A326" s="4">
        <f>A319+1</f>
        <v>47</v>
      </c>
      <c r="B326" s="138">
        <v>42324</v>
      </c>
      <c r="C326" s="8"/>
      <c r="D326" s="52"/>
      <c r="E326" s="80"/>
      <c r="F326" s="81"/>
      <c r="G326" s="81"/>
      <c r="H326" s="10" t="s">
        <v>411</v>
      </c>
    </row>
    <row r="327" spans="1:8" x14ac:dyDescent="0.15">
      <c r="A327" s="11" t="s">
        <v>11</v>
      </c>
      <c r="B327" s="138">
        <v>42325</v>
      </c>
      <c r="C327" s="13"/>
      <c r="D327" s="54"/>
      <c r="E327" s="83"/>
      <c r="F327" s="84"/>
      <c r="G327" s="84"/>
      <c r="H327" s="10" t="s">
        <v>411</v>
      </c>
    </row>
    <row r="328" spans="1:8" ht="14" thickBot="1" x14ac:dyDescent="0.2">
      <c r="A328" s="15">
        <f>SUM(E326:E332)</f>
        <v>11.13</v>
      </c>
      <c r="B328" s="138">
        <v>42326</v>
      </c>
      <c r="C328" s="13"/>
      <c r="D328" s="54"/>
      <c r="E328" s="83"/>
      <c r="F328" s="84"/>
      <c r="G328" s="84"/>
      <c r="H328" s="10" t="s">
        <v>411</v>
      </c>
    </row>
    <row r="329" spans="1:8" x14ac:dyDescent="0.15">
      <c r="A329" s="2"/>
      <c r="B329" s="138">
        <v>42327</v>
      </c>
      <c r="C329" s="13"/>
      <c r="D329" s="54"/>
      <c r="E329" s="83"/>
      <c r="F329" s="84"/>
      <c r="G329" s="84"/>
      <c r="H329" s="10" t="s">
        <v>411</v>
      </c>
    </row>
    <row r="330" spans="1:8" x14ac:dyDescent="0.15">
      <c r="A330" s="2"/>
      <c r="B330" s="138">
        <v>42328</v>
      </c>
      <c r="C330" s="13"/>
      <c r="D330" s="54"/>
      <c r="E330" s="83"/>
      <c r="F330" s="84"/>
      <c r="G330" s="84"/>
      <c r="H330" s="10" t="s">
        <v>411</v>
      </c>
    </row>
    <row r="331" spans="1:8" x14ac:dyDescent="0.15">
      <c r="B331" s="138">
        <v>42329</v>
      </c>
      <c r="C331" s="13" t="s">
        <v>14</v>
      </c>
      <c r="D331" s="54">
        <v>4.0949074074074075E-2</v>
      </c>
      <c r="E331" s="83">
        <v>11.13</v>
      </c>
      <c r="F331" s="84">
        <f>D331/E331</f>
        <v>3.6791620911117767E-3</v>
      </c>
      <c r="G331" s="84" t="s">
        <v>471</v>
      </c>
      <c r="H331" s="10" t="s">
        <v>411</v>
      </c>
    </row>
    <row r="332" spans="1:8" ht="14" thickBot="1" x14ac:dyDescent="0.2">
      <c r="B332" s="90">
        <v>42330</v>
      </c>
      <c r="C332" s="165"/>
      <c r="D332" s="166"/>
      <c r="E332" s="167"/>
      <c r="F332" s="84"/>
      <c r="G332" s="84"/>
      <c r="H332" s="10" t="s">
        <v>411</v>
      </c>
    </row>
    <row r="333" spans="1:8" ht="14" thickBot="1" x14ac:dyDescent="0.2">
      <c r="A333" s="4">
        <f>A326+1</f>
        <v>48</v>
      </c>
      <c r="B333" s="138">
        <v>42331</v>
      </c>
      <c r="C333" s="8"/>
      <c r="D333" s="52"/>
      <c r="E333" s="80"/>
      <c r="F333" s="81"/>
      <c r="G333" s="81"/>
      <c r="H333" s="10" t="s">
        <v>411</v>
      </c>
    </row>
    <row r="334" spans="1:8" x14ac:dyDescent="0.15">
      <c r="A334" s="11" t="s">
        <v>11</v>
      </c>
      <c r="B334" s="138">
        <v>42332</v>
      </c>
      <c r="C334" s="13"/>
      <c r="D334" s="54"/>
      <c r="E334" s="83"/>
      <c r="F334" s="84"/>
      <c r="G334" s="84"/>
      <c r="H334" s="10" t="s">
        <v>411</v>
      </c>
    </row>
    <row r="335" spans="1:8" ht="14" thickBot="1" x14ac:dyDescent="0.2">
      <c r="A335" s="15">
        <f>SUM(E333:E339)</f>
        <v>10.54</v>
      </c>
      <c r="B335" s="138">
        <v>42333</v>
      </c>
      <c r="C335" s="13"/>
      <c r="D335" s="54"/>
      <c r="E335" s="83"/>
      <c r="F335" s="84"/>
      <c r="G335" s="84"/>
      <c r="H335" s="10" t="s">
        <v>411</v>
      </c>
    </row>
    <row r="336" spans="1:8" x14ac:dyDescent="0.15">
      <c r="A336" s="2"/>
      <c r="B336" s="138">
        <v>42334</v>
      </c>
      <c r="C336" s="13"/>
      <c r="D336" s="54"/>
      <c r="E336" s="83"/>
      <c r="F336" s="84"/>
      <c r="G336" s="84"/>
      <c r="H336" s="10" t="s">
        <v>411</v>
      </c>
    </row>
    <row r="337" spans="1:8" x14ac:dyDescent="0.15">
      <c r="A337" s="2"/>
      <c r="B337" s="138">
        <v>42335</v>
      </c>
      <c r="C337" s="13"/>
      <c r="D337" s="54"/>
      <c r="E337" s="83"/>
      <c r="F337" s="84"/>
      <c r="G337" s="84"/>
      <c r="H337" s="10" t="s">
        <v>411</v>
      </c>
    </row>
    <row r="338" spans="1:8" x14ac:dyDescent="0.15">
      <c r="B338" s="138">
        <v>42336</v>
      </c>
      <c r="C338" s="13" t="s">
        <v>14</v>
      </c>
      <c r="D338" s="54">
        <v>3.7083333333333336E-2</v>
      </c>
      <c r="E338" s="83">
        <v>10.54</v>
      </c>
      <c r="F338" s="84">
        <f>D338/E338</f>
        <v>3.5183428209993681E-3</v>
      </c>
      <c r="G338" s="84" t="s">
        <v>475</v>
      </c>
      <c r="H338" s="10" t="s">
        <v>411</v>
      </c>
    </row>
    <row r="339" spans="1:8" ht="14" thickBot="1" x14ac:dyDescent="0.2">
      <c r="B339" s="90">
        <v>42337</v>
      </c>
      <c r="C339" s="165"/>
      <c r="D339" s="166"/>
      <c r="E339" s="167"/>
      <c r="F339" s="84"/>
      <c r="G339" s="84"/>
      <c r="H339" s="10" t="s">
        <v>411</v>
      </c>
    </row>
    <row r="340" spans="1:8" ht="14" thickBot="1" x14ac:dyDescent="0.2">
      <c r="A340" s="4">
        <f>A333+1</f>
        <v>49</v>
      </c>
      <c r="B340" s="138">
        <v>42338</v>
      </c>
      <c r="C340" s="8"/>
      <c r="D340" s="52"/>
      <c r="E340" s="80"/>
      <c r="F340" s="81"/>
      <c r="G340" s="81"/>
      <c r="H340" s="10" t="s">
        <v>411</v>
      </c>
    </row>
    <row r="341" spans="1:8" x14ac:dyDescent="0.15">
      <c r="A341" s="11" t="s">
        <v>11</v>
      </c>
      <c r="B341" s="138">
        <v>42339</v>
      </c>
      <c r="C341" s="13"/>
      <c r="D341" s="54"/>
      <c r="E341" s="83"/>
      <c r="F341" s="84"/>
      <c r="G341" s="84"/>
      <c r="H341" s="10" t="s">
        <v>411</v>
      </c>
    </row>
    <row r="342" spans="1:8" ht="14" thickBot="1" x14ac:dyDescent="0.2">
      <c r="A342" s="15">
        <f>SUM(E340:E346)</f>
        <v>21.240000000000002</v>
      </c>
      <c r="B342" s="138">
        <v>42340</v>
      </c>
      <c r="C342" s="13" t="s">
        <v>14</v>
      </c>
      <c r="D342" s="54">
        <v>3.7488425925925925E-2</v>
      </c>
      <c r="E342" s="83">
        <v>10.63</v>
      </c>
      <c r="F342" s="84">
        <f>D342/E342</f>
        <v>3.5266628340475939E-3</v>
      </c>
      <c r="G342" s="84" t="s">
        <v>472</v>
      </c>
      <c r="H342" s="10" t="s">
        <v>411</v>
      </c>
    </row>
    <row r="343" spans="1:8" x14ac:dyDescent="0.15">
      <c r="A343" s="2"/>
      <c r="B343" s="138">
        <v>42341</v>
      </c>
      <c r="C343" s="13"/>
      <c r="D343" s="54"/>
      <c r="E343" s="83"/>
      <c r="F343" s="84"/>
      <c r="G343" s="84"/>
      <c r="H343" s="10" t="s">
        <v>411</v>
      </c>
    </row>
    <row r="344" spans="1:8" x14ac:dyDescent="0.15">
      <c r="A344" s="2"/>
      <c r="B344" s="138">
        <v>42342</v>
      </c>
      <c r="C344" s="13"/>
      <c r="D344" s="54"/>
      <c r="E344" s="83"/>
      <c r="F344" s="84"/>
      <c r="G344" s="84"/>
      <c r="H344" s="10" t="s">
        <v>411</v>
      </c>
    </row>
    <row r="345" spans="1:8" x14ac:dyDescent="0.15">
      <c r="B345" s="138">
        <v>42343</v>
      </c>
      <c r="C345" s="13"/>
      <c r="D345" s="54"/>
      <c r="E345" s="83"/>
      <c r="F345" s="84"/>
      <c r="G345" s="84"/>
      <c r="H345" s="10" t="s">
        <v>411</v>
      </c>
    </row>
    <row r="346" spans="1:8" ht="14" thickBot="1" x14ac:dyDescent="0.2">
      <c r="B346" s="90">
        <v>42344</v>
      </c>
      <c r="C346" s="186" t="s">
        <v>14</v>
      </c>
      <c r="D346" s="187">
        <v>3.8090277777777778E-2</v>
      </c>
      <c r="E346" s="188">
        <v>10.61</v>
      </c>
      <c r="F346" s="84">
        <f>D346/E346</f>
        <v>3.5900356058225997E-3</v>
      </c>
      <c r="G346" s="84" t="s">
        <v>475</v>
      </c>
      <c r="H346" s="10" t="s">
        <v>411</v>
      </c>
    </row>
    <row r="347" spans="1:8" ht="14" thickBot="1" x14ac:dyDescent="0.2">
      <c r="A347" s="4">
        <f>A340+1</f>
        <v>50</v>
      </c>
      <c r="B347" s="138">
        <v>42345</v>
      </c>
      <c r="C347" s="8"/>
      <c r="D347" s="52"/>
      <c r="E347" s="80"/>
      <c r="F347" s="81"/>
      <c r="G347" s="81"/>
      <c r="H347" s="10" t="s">
        <v>411</v>
      </c>
    </row>
    <row r="348" spans="1:8" x14ac:dyDescent="0.15">
      <c r="A348" s="11" t="s">
        <v>11</v>
      </c>
      <c r="B348" s="138">
        <v>42346</v>
      </c>
      <c r="C348" s="13"/>
      <c r="D348" s="54"/>
      <c r="E348" s="83"/>
      <c r="F348" s="84"/>
      <c r="G348" s="84"/>
      <c r="H348" s="10" t="s">
        <v>411</v>
      </c>
    </row>
    <row r="349" spans="1:8" ht="14" thickBot="1" x14ac:dyDescent="0.2">
      <c r="A349" s="15">
        <f>SUM(E347:E353)</f>
        <v>21.2</v>
      </c>
      <c r="B349" s="138">
        <v>42347</v>
      </c>
      <c r="C349" s="13"/>
      <c r="D349" s="54"/>
      <c r="E349" s="83"/>
      <c r="F349" s="84"/>
      <c r="G349" s="84"/>
      <c r="H349" s="10" t="s">
        <v>411</v>
      </c>
    </row>
    <row r="350" spans="1:8" x14ac:dyDescent="0.15">
      <c r="A350" s="2"/>
      <c r="B350" s="138">
        <v>42348</v>
      </c>
      <c r="C350" s="13" t="s">
        <v>14</v>
      </c>
      <c r="D350" s="54">
        <v>3.8807870370370375E-2</v>
      </c>
      <c r="E350" s="83">
        <v>10.62</v>
      </c>
      <c r="F350" s="84">
        <f>D350/E350</f>
        <v>3.6542250819557795E-3</v>
      </c>
      <c r="G350" s="84" t="s">
        <v>475</v>
      </c>
      <c r="H350" s="10" t="s">
        <v>411</v>
      </c>
    </row>
    <row r="351" spans="1:8" x14ac:dyDescent="0.15">
      <c r="A351" s="2"/>
      <c r="B351" s="138">
        <v>42349</v>
      </c>
      <c r="C351" s="13"/>
      <c r="D351" s="54"/>
      <c r="E351" s="83"/>
      <c r="F351" s="84"/>
      <c r="G351" s="84"/>
      <c r="H351" s="10" t="s">
        <v>411</v>
      </c>
    </row>
    <row r="352" spans="1:8" x14ac:dyDescent="0.15">
      <c r="B352" s="138">
        <v>42350</v>
      </c>
      <c r="C352" s="13"/>
      <c r="D352" s="54"/>
      <c r="E352" s="83"/>
      <c r="F352" s="84"/>
      <c r="G352" s="84"/>
      <c r="H352" s="10" t="s">
        <v>411</v>
      </c>
    </row>
    <row r="353" spans="1:8" ht="14" thickBot="1" x14ac:dyDescent="0.2">
      <c r="B353" s="90">
        <v>42351</v>
      </c>
      <c r="C353" s="186" t="s">
        <v>14</v>
      </c>
      <c r="D353" s="187">
        <v>3.9375E-2</v>
      </c>
      <c r="E353" s="188">
        <v>10.58</v>
      </c>
      <c r="F353" s="84">
        <f>D353/E353</f>
        <v>3.7216446124763705E-3</v>
      </c>
      <c r="G353" s="84" t="s">
        <v>475</v>
      </c>
      <c r="H353" s="10" t="s">
        <v>411</v>
      </c>
    </row>
    <row r="354" spans="1:8" ht="14" thickBot="1" x14ac:dyDescent="0.2">
      <c r="A354" s="4">
        <f>A347+1</f>
        <v>51</v>
      </c>
      <c r="B354" s="138">
        <v>42352</v>
      </c>
      <c r="C354" s="189"/>
      <c r="D354" s="190"/>
      <c r="E354" s="191"/>
      <c r="F354" s="81"/>
      <c r="G354" s="81"/>
      <c r="H354" s="10" t="s">
        <v>411</v>
      </c>
    </row>
    <row r="355" spans="1:8" x14ac:dyDescent="0.15">
      <c r="A355" s="11" t="s">
        <v>11</v>
      </c>
      <c r="B355" s="138">
        <v>42353</v>
      </c>
      <c r="C355" s="13"/>
      <c r="D355" s="54"/>
      <c r="E355" s="83"/>
      <c r="F355" s="84"/>
      <c r="G355" s="84"/>
      <c r="H355" s="10" t="s">
        <v>411</v>
      </c>
    </row>
    <row r="356" spans="1:8" ht="14" thickBot="1" x14ac:dyDescent="0.2">
      <c r="A356" s="15">
        <f>SUM(E354:E360)</f>
        <v>10.63</v>
      </c>
      <c r="B356" s="138">
        <v>42354</v>
      </c>
      <c r="C356" s="13"/>
      <c r="D356" s="54"/>
      <c r="E356" s="83"/>
      <c r="F356" s="84"/>
      <c r="G356" s="84"/>
      <c r="H356" s="10" t="s">
        <v>411</v>
      </c>
    </row>
    <row r="357" spans="1:8" x14ac:dyDescent="0.15">
      <c r="A357" s="2"/>
      <c r="B357" s="138">
        <v>42355</v>
      </c>
      <c r="C357" s="13"/>
      <c r="D357" s="54"/>
      <c r="E357" s="83"/>
      <c r="F357" s="84"/>
      <c r="G357" s="84"/>
      <c r="H357" s="10" t="s">
        <v>411</v>
      </c>
    </row>
    <row r="358" spans="1:8" x14ac:dyDescent="0.15">
      <c r="A358" s="2"/>
      <c r="B358" s="138">
        <v>42356</v>
      </c>
      <c r="C358" s="13"/>
      <c r="D358" s="54"/>
      <c r="E358" s="83"/>
      <c r="F358" s="84"/>
      <c r="G358" s="84"/>
      <c r="H358" s="10" t="s">
        <v>411</v>
      </c>
    </row>
    <row r="359" spans="1:8" x14ac:dyDescent="0.15">
      <c r="B359" s="138">
        <v>42357</v>
      </c>
      <c r="C359" s="13" t="s">
        <v>14</v>
      </c>
      <c r="D359" s="54">
        <v>3.8900462962962963E-2</v>
      </c>
      <c r="E359" s="83">
        <v>10.63</v>
      </c>
      <c r="F359" s="84">
        <f>D359/E359</f>
        <v>3.6594979269015016E-3</v>
      </c>
      <c r="G359" s="84" t="s">
        <v>475</v>
      </c>
      <c r="H359" s="10" t="s">
        <v>411</v>
      </c>
    </row>
    <row r="360" spans="1:8" ht="14" thickBot="1" x14ac:dyDescent="0.2">
      <c r="B360" s="90">
        <v>42358</v>
      </c>
      <c r="C360" s="165"/>
      <c r="D360" s="166"/>
      <c r="E360" s="167"/>
      <c r="F360" s="84"/>
      <c r="G360" s="84"/>
      <c r="H360" s="10" t="s">
        <v>411</v>
      </c>
    </row>
    <row r="361" spans="1:8" ht="14" thickBot="1" x14ac:dyDescent="0.2">
      <c r="A361" s="4">
        <f>A354+1</f>
        <v>52</v>
      </c>
      <c r="B361" s="138">
        <v>42359</v>
      </c>
      <c r="C361" s="8"/>
      <c r="D361" s="52"/>
      <c r="E361" s="80"/>
      <c r="F361" s="81"/>
      <c r="G361" s="81"/>
      <c r="H361" s="10" t="s">
        <v>411</v>
      </c>
    </row>
    <row r="362" spans="1:8" x14ac:dyDescent="0.15">
      <c r="A362" s="11" t="s">
        <v>11</v>
      </c>
      <c r="B362" s="138">
        <v>42360</v>
      </c>
      <c r="C362" s="13"/>
      <c r="D362" s="54"/>
      <c r="E362" s="83"/>
      <c r="F362" s="84"/>
      <c r="G362" s="84"/>
      <c r="H362" s="10" t="s">
        <v>411</v>
      </c>
    </row>
    <row r="363" spans="1:8" ht="14" thickBot="1" x14ac:dyDescent="0.2">
      <c r="A363" s="15">
        <f>SUM(E361:E367)</f>
        <v>9.9499999999999993</v>
      </c>
      <c r="B363" s="138">
        <v>42361</v>
      </c>
      <c r="C363" s="13"/>
      <c r="D363" s="54"/>
      <c r="E363" s="83"/>
      <c r="F363" s="84"/>
      <c r="G363" s="84"/>
      <c r="H363" s="10" t="s">
        <v>411</v>
      </c>
    </row>
    <row r="364" spans="1:8" x14ac:dyDescent="0.15">
      <c r="A364" s="2"/>
      <c r="B364" s="138">
        <v>42362</v>
      </c>
      <c r="C364" s="13" t="s">
        <v>14</v>
      </c>
      <c r="D364" s="54">
        <v>3.2777777777777781E-2</v>
      </c>
      <c r="E364" s="83">
        <v>9.9499999999999993</v>
      </c>
      <c r="F364" s="84">
        <f>D364/E364</f>
        <v>3.2942490228922397E-3</v>
      </c>
      <c r="G364" s="84" t="s">
        <v>475</v>
      </c>
      <c r="H364" s="10" t="s">
        <v>411</v>
      </c>
    </row>
    <row r="365" spans="1:8" x14ac:dyDescent="0.15">
      <c r="A365" s="2"/>
      <c r="B365" s="138">
        <v>42363</v>
      </c>
      <c r="C365" s="13"/>
      <c r="D365" s="54"/>
      <c r="E365" s="83"/>
      <c r="F365" s="84"/>
      <c r="G365" s="84"/>
      <c r="H365" s="10" t="s">
        <v>411</v>
      </c>
    </row>
    <row r="366" spans="1:8" x14ac:dyDescent="0.15">
      <c r="B366" s="138">
        <v>42364</v>
      </c>
      <c r="C366" s="13"/>
      <c r="D366" s="54"/>
      <c r="E366" s="83"/>
      <c r="F366" s="84"/>
      <c r="G366" s="84"/>
      <c r="H366" s="10" t="s">
        <v>411</v>
      </c>
    </row>
    <row r="367" spans="1:8" ht="14" thickBot="1" x14ac:dyDescent="0.2">
      <c r="B367" s="170">
        <v>42365</v>
      </c>
      <c r="C367" s="171"/>
      <c r="D367" s="172"/>
      <c r="E367" s="173"/>
      <c r="F367" s="174"/>
      <c r="G367" s="174"/>
      <c r="H367" s="10" t="s">
        <v>411</v>
      </c>
    </row>
    <row r="368" spans="1:8" ht="14" thickBot="1" x14ac:dyDescent="0.2">
      <c r="A368" s="3">
        <f>A361+1</f>
        <v>53</v>
      </c>
      <c r="B368" s="175">
        <v>42366</v>
      </c>
      <c r="C368" s="176"/>
      <c r="D368" s="177"/>
      <c r="E368" s="178"/>
      <c r="F368" s="179"/>
      <c r="G368" s="179"/>
      <c r="H368" s="10" t="s">
        <v>411</v>
      </c>
    </row>
    <row r="369" spans="1:8" x14ac:dyDescent="0.15">
      <c r="A369" s="34" t="s">
        <v>11</v>
      </c>
      <c r="B369" s="180">
        <v>42367</v>
      </c>
      <c r="C369" s="13"/>
      <c r="D369" s="54"/>
      <c r="E369" s="83"/>
      <c r="F369" s="84"/>
      <c r="G369" s="84"/>
      <c r="H369" s="10" t="s">
        <v>411</v>
      </c>
    </row>
    <row r="370" spans="1:8" ht="14" thickBot="1" x14ac:dyDescent="0.2">
      <c r="A370" s="168">
        <f>SUM(E368:E374)</f>
        <v>10.9</v>
      </c>
      <c r="B370" s="180">
        <v>42368</v>
      </c>
      <c r="C370" s="13"/>
      <c r="D370" s="54"/>
      <c r="E370" s="83"/>
      <c r="F370" s="84"/>
      <c r="G370" s="84"/>
      <c r="H370" s="10" t="s">
        <v>411</v>
      </c>
    </row>
    <row r="371" spans="1:8" x14ac:dyDescent="0.15">
      <c r="A371" s="2"/>
      <c r="B371" s="180">
        <v>42369</v>
      </c>
      <c r="C371" s="13" t="s">
        <v>14</v>
      </c>
      <c r="D371" s="54">
        <v>3.920138888888889E-2</v>
      </c>
      <c r="E371" s="83">
        <v>10.9</v>
      </c>
      <c r="F371" s="84">
        <f>D371/E371</f>
        <v>3.5964576962283384E-3</v>
      </c>
      <c r="G371" s="84" t="s">
        <v>475</v>
      </c>
      <c r="H371" s="10" t="s">
        <v>411</v>
      </c>
    </row>
    <row r="372" spans="1:8" ht="14" thickBot="1" x14ac:dyDescent="0.2">
      <c r="B372" s="180">
        <v>42370</v>
      </c>
      <c r="C372" s="13"/>
      <c r="D372" s="54"/>
      <c r="E372" s="83"/>
      <c r="F372" s="84"/>
      <c r="G372" s="84"/>
      <c r="H372" s="10" t="s">
        <v>411</v>
      </c>
    </row>
    <row r="373" spans="1:8" ht="14" thickBot="1" x14ac:dyDescent="0.2">
      <c r="A373" s="3" t="s">
        <v>438</v>
      </c>
      <c r="B373" s="180">
        <v>42371</v>
      </c>
      <c r="C373" s="13"/>
      <c r="D373" s="54"/>
      <c r="E373" s="83"/>
      <c r="F373" s="84"/>
      <c r="G373" s="84"/>
      <c r="H373" s="10" t="s">
        <v>411</v>
      </c>
    </row>
    <row r="374" spans="1:8" ht="14" thickBot="1" x14ac:dyDescent="0.2">
      <c r="A374" s="169">
        <f>A370+A363+A356+A349+A342+A335+A328+A321+A314+A307+A300+A293+A286+A279+A272+A265+A258+A251+A244+A237+A230+A223+A216+A209+A202+A195+A188+A181+A174+A167+A160+A153+A146+A139+A132+A125+A118+A111+A104+A97+A90+A83+A76+A69+A62+A55+A48+A41+A34+A27+A20+A13+A6</f>
        <v>1872.6070000000011</v>
      </c>
      <c r="B374" s="181">
        <v>42372</v>
      </c>
      <c r="C374" s="182"/>
      <c r="D374" s="183"/>
      <c r="E374" s="184"/>
      <c r="F374" s="185"/>
      <c r="G374" s="185"/>
      <c r="H374" s="10" t="s">
        <v>411</v>
      </c>
    </row>
    <row r="375" spans="1:8" x14ac:dyDescent="0.15">
      <c r="A375" s="65">
        <f>A374/52</f>
        <v>36.011673076923095</v>
      </c>
      <c r="B375"/>
      <c r="D375" s="43">
        <f>AVERAGE(D4:D374)</f>
        <v>4.7065678676865279E-2</v>
      </c>
      <c r="E375" s="65">
        <f>AVERAGE(E4:E374)</f>
        <v>13.4719928057554</v>
      </c>
      <c r="F375" s="45">
        <f>AVERAGE(F4:F374)</f>
        <v>3.5009154273389726E-3</v>
      </c>
    </row>
    <row r="376" spans="1:8" x14ac:dyDescent="0.15">
      <c r="B376"/>
      <c r="D376" s="158"/>
    </row>
    <row r="377" spans="1:8" x14ac:dyDescent="0.15">
      <c r="B377"/>
    </row>
    <row r="378" spans="1:8" x14ac:dyDescent="0.15">
      <c r="B378"/>
    </row>
    <row r="379" spans="1:8" x14ac:dyDescent="0.15">
      <c r="B379"/>
    </row>
    <row r="380" spans="1:8" x14ac:dyDescent="0.15">
      <c r="B380"/>
    </row>
    <row r="381" spans="1:8" x14ac:dyDescent="0.15">
      <c r="B381"/>
    </row>
    <row r="382" spans="1:8" x14ac:dyDescent="0.15">
      <c r="B382"/>
    </row>
    <row r="383" spans="1:8" x14ac:dyDescent="0.15">
      <c r="B383"/>
    </row>
    <row r="384" spans="1:8" x14ac:dyDescent="0.15">
      <c r="B384"/>
    </row>
    <row r="385" spans="2:2" x14ac:dyDescent="0.15">
      <c r="B385"/>
    </row>
    <row r="386" spans="2:2" x14ac:dyDescent="0.15">
      <c r="B386"/>
    </row>
    <row r="387" spans="2:2" x14ac:dyDescent="0.15">
      <c r="B387"/>
    </row>
    <row r="388" spans="2:2" x14ac:dyDescent="0.15">
      <c r="B388"/>
    </row>
    <row r="389" spans="2:2" x14ac:dyDescent="0.15">
      <c r="B389"/>
    </row>
    <row r="390" spans="2:2" x14ac:dyDescent="0.15">
      <c r="B390"/>
    </row>
    <row r="391" spans="2:2" x14ac:dyDescent="0.15">
      <c r="B391"/>
    </row>
    <row r="392" spans="2:2" x14ac:dyDescent="0.15">
      <c r="B392"/>
    </row>
    <row r="393" spans="2:2" x14ac:dyDescent="0.15">
      <c r="B393"/>
    </row>
    <row r="394" spans="2:2" x14ac:dyDescent="0.15">
      <c r="B394"/>
    </row>
    <row r="395" spans="2:2" x14ac:dyDescent="0.15">
      <c r="B395"/>
    </row>
    <row r="396" spans="2:2" x14ac:dyDescent="0.15">
      <c r="B396"/>
    </row>
    <row r="397" spans="2:2" x14ac:dyDescent="0.15">
      <c r="B397"/>
    </row>
    <row r="398" spans="2:2" x14ac:dyDescent="0.15">
      <c r="B398"/>
    </row>
    <row r="399" spans="2:2" x14ac:dyDescent="0.15">
      <c r="B399"/>
    </row>
    <row r="400" spans="2:2" x14ac:dyDescent="0.15">
      <c r="B400"/>
    </row>
    <row r="401" spans="2:2" x14ac:dyDescent="0.15">
      <c r="B401"/>
    </row>
    <row r="402" spans="2:2" x14ac:dyDescent="0.15">
      <c r="B402"/>
    </row>
    <row r="403" spans="2:2" x14ac:dyDescent="0.15">
      <c r="B403"/>
    </row>
    <row r="404" spans="2:2" x14ac:dyDescent="0.15">
      <c r="B404"/>
    </row>
    <row r="405" spans="2:2" x14ac:dyDescent="0.15">
      <c r="B405"/>
    </row>
    <row r="406" spans="2:2" x14ac:dyDescent="0.15">
      <c r="B406"/>
    </row>
    <row r="407" spans="2:2" x14ac:dyDescent="0.15">
      <c r="B407"/>
    </row>
    <row r="408" spans="2:2" x14ac:dyDescent="0.15">
      <c r="B408"/>
    </row>
    <row r="409" spans="2:2" x14ac:dyDescent="0.15">
      <c r="B409"/>
    </row>
  </sheetData>
  <sheetProtection selectLockedCells="1" selectUnlockedCells="1"/>
  <mergeCells count="8">
    <mergeCell ref="K19:R19"/>
    <mergeCell ref="K20:R20"/>
    <mergeCell ref="A1:H1"/>
    <mergeCell ref="K7:M7"/>
    <mergeCell ref="N7:P7"/>
    <mergeCell ref="K13:M13"/>
    <mergeCell ref="N13:P13"/>
    <mergeCell ref="K18:R18"/>
  </mergeCells>
  <phoneticPr fontId="26" type="noConversion"/>
  <dataValidations count="3">
    <dataValidation type="list" operator="equal" allowBlank="1" sqref="I3:Q17 R11:R12 I18:L18 N18:Q18 I19:Q129 I130:I136 I137:Q152 I153:I161 I162:Q174 J175:Q175 I176:Q184 J185:Q185 I186:Q258 J259:Q259 I260:Q269 J270:Q272 I271:Q274 J275:Q275 I276:Q287 J288:Q288 I289:Q375" xr:uid="{00000000-0002-0000-0800-000000000000}">
      <formula1>"ASICS GEL 11-50,ASICS GT 21-40,ASICS GT 21-60"</formula1>
      <formula2>0</formula2>
    </dataValidation>
    <dataValidation type="list" operator="equal" allowBlank="1" showDropDown="1" sqref="A1:F32676 H1:H32676" xr:uid="{00000000-0002-0000-0800-000001000000}">
      <formula1>"ASICS GEL 11-50,ASICS GT 21-40,ASICS GT 21-60"</formula1>
      <formula2>0</formula2>
    </dataValidation>
    <dataValidation type="list" operator="equal" allowBlank="1" sqref="G1:G32676" xr:uid="{00000000-0002-0000-0800-000002000000}">
      <formula1>"ASICS GEL 11-50,ASICS GEL 11-70,ASICS GT 21-40,ASICS GT 21-60,NIKE Run Free 2.0,ASICS GEL-Kayano 20,ASICS GT 2000,BROOKS Transcend,"</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ignoredErrors>
    <ignoredError sqref="A265" formulaRange="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autoPageBreaks="0"/>
  </sheetPr>
  <dimension ref="A1:Q409"/>
  <sheetViews>
    <sheetView workbookViewId="0">
      <pane ySplit="3" topLeftCell="A339" activePane="bottomLeft" state="frozen"/>
      <selection pane="bottomLeft" activeCell="H22" sqref="H22"/>
    </sheetView>
  </sheetViews>
  <sheetFormatPr baseColWidth="10" defaultColWidth="11.5" defaultRowHeight="13" x14ac:dyDescent="0.15"/>
  <cols>
    <col min="1" max="1" width="10.6640625" customWidth="1"/>
    <col min="2" max="2" width="10.5" style="46" customWidth="1"/>
    <col min="3" max="3" width="7.33203125" customWidth="1"/>
    <col min="4" max="4" width="8.5" style="47" customWidth="1"/>
    <col min="5" max="5" width="6.33203125" style="62" customWidth="1"/>
    <col min="6" max="6" width="10.1640625" style="63" customWidth="1"/>
    <col min="7" max="7" width="20.5" style="63" customWidth="1"/>
    <col min="8" max="8" width="23.5" customWidth="1"/>
    <col min="9" max="9" width="12.83203125" customWidth="1"/>
    <col min="10" max="10" width="5.1640625" customWidth="1"/>
    <col min="11" max="11" width="2.1640625" customWidth="1"/>
    <col min="12" max="12" width="5.1640625" customWidth="1"/>
    <col min="13" max="13" width="4.5" customWidth="1"/>
    <col min="14" max="14" width="2.1640625" customWidth="1"/>
    <col min="15" max="15" width="4.5" customWidth="1"/>
    <col min="16" max="16" width="13" customWidth="1"/>
    <col min="17" max="17" width="19.33203125" customWidth="1"/>
  </cols>
  <sheetData>
    <row r="1" spans="1:17" ht="19" x14ac:dyDescent="0.15">
      <c r="A1" s="3419" t="s">
        <v>482</v>
      </c>
      <c r="B1" s="3419"/>
      <c r="C1" s="3419"/>
      <c r="D1" s="3419"/>
      <c r="E1" s="3419"/>
      <c r="F1" s="3419"/>
      <c r="G1" s="3419"/>
    </row>
    <row r="2" spans="1:17" ht="14" thickBot="1" x14ac:dyDescent="0.2">
      <c r="A2" s="2"/>
      <c r="C2" s="2"/>
      <c r="D2" s="43"/>
      <c r="E2" s="65"/>
      <c r="F2" s="45"/>
      <c r="G2" s="45"/>
    </row>
    <row r="3" spans="1:17" ht="14" thickBot="1" x14ac:dyDescent="0.2">
      <c r="A3" s="193" t="s">
        <v>1</v>
      </c>
      <c r="B3" s="213" t="s">
        <v>3</v>
      </c>
      <c r="C3" s="214" t="s">
        <v>4</v>
      </c>
      <c r="D3" s="215" t="s">
        <v>5</v>
      </c>
      <c r="E3" s="216" t="s">
        <v>429</v>
      </c>
      <c r="F3" s="217" t="s">
        <v>430</v>
      </c>
      <c r="G3" s="218" t="s">
        <v>431</v>
      </c>
    </row>
    <row r="4" spans="1:17" ht="14" thickBot="1" x14ac:dyDescent="0.2">
      <c r="A4" s="209">
        <v>1</v>
      </c>
      <c r="B4" s="175">
        <v>42373</v>
      </c>
      <c r="C4" s="176"/>
      <c r="D4" s="177"/>
      <c r="E4" s="178"/>
      <c r="F4" s="179"/>
      <c r="G4" s="194"/>
    </row>
    <row r="5" spans="1:17" x14ac:dyDescent="0.15">
      <c r="A5" s="210" t="s">
        <v>11</v>
      </c>
      <c r="B5" s="180">
        <v>42374</v>
      </c>
      <c r="C5" s="13"/>
      <c r="D5" s="54"/>
      <c r="E5" s="83"/>
      <c r="F5" s="84"/>
      <c r="G5" s="195"/>
      <c r="J5" s="35"/>
      <c r="K5" s="35"/>
    </row>
    <row r="6" spans="1:17" ht="14" thickBot="1" x14ac:dyDescent="0.2">
      <c r="A6" s="211">
        <f>SUM(E4:E10)</f>
        <v>10.7</v>
      </c>
      <c r="B6" s="180">
        <v>42375</v>
      </c>
      <c r="C6" s="13" t="s">
        <v>14</v>
      </c>
      <c r="D6" s="54">
        <v>3.8576388888888889E-2</v>
      </c>
      <c r="E6" s="83">
        <v>10.7</v>
      </c>
      <c r="F6" s="84">
        <f>D6/E6</f>
        <v>3.6052699896157842E-3</v>
      </c>
      <c r="G6" s="195" t="s">
        <v>475</v>
      </c>
      <c r="J6" s="2"/>
      <c r="K6" s="2"/>
    </row>
    <row r="7" spans="1:17" ht="14" thickBot="1" x14ac:dyDescent="0.2">
      <c r="A7" s="196"/>
      <c r="B7" s="180">
        <v>42376</v>
      </c>
      <c r="C7" s="13"/>
      <c r="D7" s="54"/>
      <c r="E7" s="83"/>
      <c r="F7" s="84"/>
      <c r="G7" s="195"/>
      <c r="I7" s="93"/>
      <c r="J7" s="3421" t="s">
        <v>441</v>
      </c>
      <c r="K7" s="3421"/>
      <c r="L7" s="3421"/>
      <c r="M7" s="3422" t="s">
        <v>442</v>
      </c>
      <c r="N7" s="3422"/>
      <c r="O7" s="3422"/>
      <c r="P7" s="4" t="s">
        <v>443</v>
      </c>
    </row>
    <row r="8" spans="1:17" x14ac:dyDescent="0.15">
      <c r="A8" s="196"/>
      <c r="B8" s="180">
        <v>42377</v>
      </c>
      <c r="C8" s="13"/>
      <c r="D8" s="54"/>
      <c r="E8" s="83"/>
      <c r="F8" s="84"/>
      <c r="G8" s="195"/>
      <c r="I8" s="94" t="s">
        <v>444</v>
      </c>
      <c r="J8" s="95">
        <v>0.65</v>
      </c>
      <c r="K8" s="96" t="s">
        <v>437</v>
      </c>
      <c r="L8" s="97">
        <v>0.7</v>
      </c>
      <c r="M8" s="98">
        <f>J8*$M$13</f>
        <v>120.9</v>
      </c>
      <c r="N8" s="99" t="s">
        <v>437</v>
      </c>
      <c r="O8" s="100">
        <f>L8*$M$13</f>
        <v>130.19999999999999</v>
      </c>
      <c r="P8" s="101">
        <v>4.31712962962963E-3</v>
      </c>
    </row>
    <row r="9" spans="1:17" x14ac:dyDescent="0.15">
      <c r="A9" s="196"/>
      <c r="B9" s="180">
        <v>42378</v>
      </c>
      <c r="C9" s="13"/>
      <c r="D9" s="54"/>
      <c r="E9" s="83"/>
      <c r="F9" s="84"/>
      <c r="G9" s="195"/>
      <c r="I9" s="94" t="s">
        <v>445</v>
      </c>
      <c r="J9" s="95">
        <v>0.75</v>
      </c>
      <c r="K9" s="96" t="s">
        <v>437</v>
      </c>
      <c r="L9" s="97">
        <v>0.8</v>
      </c>
      <c r="M9" s="98">
        <f>J9*$M$13</f>
        <v>139.5</v>
      </c>
      <c r="N9" s="99" t="s">
        <v>437</v>
      </c>
      <c r="O9" s="100">
        <f>L9*$M$13</f>
        <v>148.80000000000001</v>
      </c>
      <c r="P9" s="101">
        <v>3.7268518518518519E-3</v>
      </c>
    </row>
    <row r="10" spans="1:17" ht="14" thickBot="1" x14ac:dyDescent="0.2">
      <c r="A10" s="197"/>
      <c r="B10" s="181">
        <v>42379</v>
      </c>
      <c r="C10" s="198"/>
      <c r="D10" s="199"/>
      <c r="E10" s="200"/>
      <c r="F10" s="185"/>
      <c r="G10" s="201"/>
      <c r="I10" s="94" t="s">
        <v>446</v>
      </c>
      <c r="J10" s="95">
        <v>0.9</v>
      </c>
      <c r="K10" s="96" t="s">
        <v>437</v>
      </c>
      <c r="L10" s="97">
        <v>0.95</v>
      </c>
      <c r="M10" s="98">
        <f>J10*$M$13</f>
        <v>167.4</v>
      </c>
      <c r="N10" s="99" t="s">
        <v>437</v>
      </c>
      <c r="O10" s="100">
        <f>L10*$M$13</f>
        <v>176.7</v>
      </c>
      <c r="P10" s="101">
        <v>3.2870370370370371E-3</v>
      </c>
    </row>
    <row r="11" spans="1:17" ht="14" thickBot="1" x14ac:dyDescent="0.2">
      <c r="A11" s="202">
        <f>A4+1</f>
        <v>2</v>
      </c>
      <c r="B11" s="175">
        <v>42380</v>
      </c>
      <c r="C11" s="176"/>
      <c r="D11" s="177"/>
      <c r="E11" s="178"/>
      <c r="F11" s="179"/>
      <c r="G11" s="194"/>
      <c r="I11" s="94" t="s">
        <v>447</v>
      </c>
      <c r="J11" s="95">
        <v>0.8</v>
      </c>
      <c r="K11" s="96" t="s">
        <v>437</v>
      </c>
      <c r="L11" s="97">
        <v>0.85</v>
      </c>
      <c r="M11" s="98">
        <f>J11*$M$13</f>
        <v>148.80000000000001</v>
      </c>
      <c r="N11" s="99" t="s">
        <v>437</v>
      </c>
      <c r="O11" s="100">
        <f>L11*$M$13</f>
        <v>158.1</v>
      </c>
      <c r="P11" s="101">
        <f>Q11/42.195</f>
        <v>3.2090317002628887E-3</v>
      </c>
      <c r="Q11" s="43">
        <v>0.13540509259259259</v>
      </c>
    </row>
    <row r="12" spans="1:17" ht="14" thickBot="1" x14ac:dyDescent="0.2">
      <c r="A12" s="34" t="s">
        <v>11</v>
      </c>
      <c r="B12" s="180">
        <v>42381</v>
      </c>
      <c r="C12" s="13"/>
      <c r="D12" s="54"/>
      <c r="E12" s="83"/>
      <c r="F12" s="84"/>
      <c r="G12" s="195"/>
      <c r="I12" s="102" t="s">
        <v>448</v>
      </c>
      <c r="J12" s="103">
        <v>0.85</v>
      </c>
      <c r="K12" s="104" t="s">
        <v>437</v>
      </c>
      <c r="L12" s="105">
        <v>0.9</v>
      </c>
      <c r="M12" s="106">
        <f>J12*$M$13</f>
        <v>158.1</v>
      </c>
      <c r="N12" s="107" t="s">
        <v>437</v>
      </c>
      <c r="O12" s="108">
        <f>L12*$M$13</f>
        <v>167.4</v>
      </c>
      <c r="P12" s="109">
        <f>Q12/(42.195/2)</f>
        <v>2.7973079134354165E-3</v>
      </c>
      <c r="Q12" s="43">
        <v>5.9016203703703703E-2</v>
      </c>
    </row>
    <row r="13" spans="1:17" ht="14" thickBot="1" x14ac:dyDescent="0.2">
      <c r="A13" s="168">
        <f>SUM(E11:E17)</f>
        <v>10.56</v>
      </c>
      <c r="B13" s="180">
        <v>42382</v>
      </c>
      <c r="C13" s="13"/>
      <c r="D13" s="54"/>
      <c r="E13" s="83"/>
      <c r="F13" s="84"/>
      <c r="G13" s="195"/>
      <c r="I13" s="102" t="s">
        <v>449</v>
      </c>
      <c r="J13" s="3423">
        <v>1</v>
      </c>
      <c r="K13" s="3423"/>
      <c r="L13" s="3423"/>
      <c r="M13" s="3424">
        <v>186</v>
      </c>
      <c r="N13" s="3424"/>
      <c r="O13" s="3424"/>
      <c r="P13" s="2"/>
    </row>
    <row r="14" spans="1:17" x14ac:dyDescent="0.15">
      <c r="A14" s="2"/>
      <c r="B14" s="180">
        <v>42383</v>
      </c>
      <c r="C14" s="13"/>
      <c r="D14" s="54"/>
      <c r="E14" s="83"/>
      <c r="F14" s="84"/>
      <c r="G14" s="195"/>
      <c r="L14" s="35"/>
    </row>
    <row r="15" spans="1:17" x14ac:dyDescent="0.15">
      <c r="A15" s="2"/>
      <c r="B15" s="180">
        <v>42384</v>
      </c>
      <c r="C15" s="13"/>
      <c r="D15" s="54"/>
      <c r="E15" s="83"/>
      <c r="F15" s="84"/>
      <c r="G15" s="195"/>
      <c r="L15" s="2"/>
    </row>
    <row r="16" spans="1:17" x14ac:dyDescent="0.15">
      <c r="A16" s="2"/>
      <c r="B16" s="180">
        <v>42385</v>
      </c>
      <c r="C16" s="13" t="s">
        <v>14</v>
      </c>
      <c r="D16" s="54">
        <v>3.8229166666666668E-2</v>
      </c>
      <c r="E16" s="83">
        <v>10.56</v>
      </c>
      <c r="F16" s="84">
        <f>D16/E16</f>
        <v>3.6201862373737375E-3</v>
      </c>
      <c r="G16" s="195" t="s">
        <v>475</v>
      </c>
      <c r="L16" s="2"/>
    </row>
    <row r="17" spans="1:17" ht="14" thickBot="1" x14ac:dyDescent="0.2">
      <c r="A17" s="2"/>
      <c r="B17" s="181">
        <v>42386</v>
      </c>
      <c r="C17" s="198"/>
      <c r="D17" s="199"/>
      <c r="E17" s="200"/>
      <c r="F17" s="185"/>
      <c r="G17" s="201"/>
      <c r="I17" s="139" t="s">
        <v>458</v>
      </c>
      <c r="L17" s="2"/>
    </row>
    <row r="18" spans="1:17" ht="14" thickBot="1" x14ac:dyDescent="0.2">
      <c r="A18" s="3">
        <f>A11+1</f>
        <v>3</v>
      </c>
      <c r="B18" s="203">
        <v>42387</v>
      </c>
      <c r="C18" s="206"/>
      <c r="D18" s="177"/>
      <c r="E18" s="178"/>
      <c r="F18" s="179"/>
      <c r="G18" s="194"/>
      <c r="I18" s="140" t="s">
        <v>14</v>
      </c>
      <c r="J18" s="3425" t="s">
        <v>459</v>
      </c>
      <c r="K18" s="3425"/>
      <c r="L18" s="3425"/>
      <c r="M18" s="3425"/>
      <c r="N18" s="3425"/>
      <c r="O18" s="3425"/>
      <c r="P18" s="3425"/>
      <c r="Q18" s="3425"/>
    </row>
    <row r="19" spans="1:17" x14ac:dyDescent="0.15">
      <c r="A19" s="34" t="s">
        <v>11</v>
      </c>
      <c r="B19" s="204">
        <v>42388</v>
      </c>
      <c r="C19" s="207"/>
      <c r="D19" s="54"/>
      <c r="E19" s="83"/>
      <c r="F19" s="84"/>
      <c r="G19" s="195"/>
      <c r="I19" s="140" t="s">
        <v>460</v>
      </c>
      <c r="J19" s="3425" t="s">
        <v>461</v>
      </c>
      <c r="K19" s="3425"/>
      <c r="L19" s="3425"/>
      <c r="M19" s="3425"/>
      <c r="N19" s="3425"/>
      <c r="O19" s="3425"/>
      <c r="P19" s="3425"/>
      <c r="Q19" s="3425"/>
    </row>
    <row r="20" spans="1:17" ht="14" thickBot="1" x14ac:dyDescent="0.2">
      <c r="A20" s="168">
        <f>SUM(E18:E24)</f>
        <v>21.759999999999998</v>
      </c>
      <c r="B20" s="204">
        <v>42389</v>
      </c>
      <c r="C20" s="207"/>
      <c r="D20" s="54"/>
      <c r="E20" s="83"/>
      <c r="F20" s="84"/>
      <c r="G20" s="195"/>
      <c r="I20" s="140" t="s">
        <v>462</v>
      </c>
      <c r="J20" s="3425" t="s">
        <v>463</v>
      </c>
      <c r="K20" s="3425"/>
      <c r="L20" s="3425"/>
      <c r="M20" s="3425"/>
      <c r="N20" s="3425"/>
      <c r="O20" s="3425"/>
      <c r="P20" s="3425"/>
      <c r="Q20" s="3425"/>
    </row>
    <row r="21" spans="1:17" x14ac:dyDescent="0.15">
      <c r="A21" s="2"/>
      <c r="B21" s="204">
        <v>42390</v>
      </c>
      <c r="C21" s="207"/>
      <c r="D21" s="54"/>
      <c r="E21" s="83"/>
      <c r="F21" s="84"/>
      <c r="G21" s="195"/>
    </row>
    <row r="22" spans="1:17" x14ac:dyDescent="0.15">
      <c r="A22" s="2"/>
      <c r="B22" s="204">
        <v>42391</v>
      </c>
      <c r="C22" s="207" t="s">
        <v>14</v>
      </c>
      <c r="D22" s="54">
        <v>3.9872685185185185E-2</v>
      </c>
      <c r="E22" s="83">
        <v>11.12</v>
      </c>
      <c r="F22" s="84">
        <f>D22/E22</f>
        <v>3.5856731281641357E-3</v>
      </c>
      <c r="G22" s="195" t="s">
        <v>475</v>
      </c>
    </row>
    <row r="23" spans="1:17" x14ac:dyDescent="0.15">
      <c r="A23" s="2"/>
      <c r="B23" s="204">
        <v>42392</v>
      </c>
      <c r="C23" s="207"/>
      <c r="D23" s="54"/>
      <c r="E23" s="83"/>
      <c r="F23" s="84"/>
      <c r="G23" s="195"/>
    </row>
    <row r="24" spans="1:17" ht="14" thickBot="1" x14ac:dyDescent="0.2">
      <c r="A24" s="2"/>
      <c r="B24" s="205">
        <v>42393</v>
      </c>
      <c r="C24" s="208" t="s">
        <v>14</v>
      </c>
      <c r="D24" s="199">
        <v>3.8553240740740742E-2</v>
      </c>
      <c r="E24" s="200">
        <v>10.64</v>
      </c>
      <c r="F24" s="185">
        <f>D24/E24</f>
        <v>3.6234248816485659E-3</v>
      </c>
      <c r="G24" s="201" t="s">
        <v>475</v>
      </c>
    </row>
    <row r="25" spans="1:17" ht="14" thickBot="1" x14ac:dyDescent="0.2">
      <c r="A25" s="3">
        <f>A18+1</f>
        <v>4</v>
      </c>
      <c r="B25" s="203">
        <v>42394</v>
      </c>
      <c r="C25" s="206"/>
      <c r="D25" s="177"/>
      <c r="E25" s="178"/>
      <c r="F25" s="179"/>
      <c r="G25" s="194"/>
    </row>
    <row r="26" spans="1:17" x14ac:dyDescent="0.15">
      <c r="A26" s="34" t="s">
        <v>11</v>
      </c>
      <c r="B26" s="204">
        <v>42395</v>
      </c>
      <c r="C26" s="207"/>
      <c r="D26" s="54"/>
      <c r="E26" s="83"/>
      <c r="F26" s="84"/>
      <c r="G26" s="195"/>
    </row>
    <row r="27" spans="1:17" ht="14" thickBot="1" x14ac:dyDescent="0.2">
      <c r="A27" s="168">
        <f>SUM(E25:E31)</f>
        <v>0</v>
      </c>
      <c r="B27" s="204">
        <v>42396</v>
      </c>
      <c r="C27" s="207"/>
      <c r="D27" s="54"/>
      <c r="E27" s="83"/>
      <c r="F27" s="84"/>
      <c r="G27" s="195"/>
    </row>
    <row r="28" spans="1:17" x14ac:dyDescent="0.15">
      <c r="A28" s="2"/>
      <c r="B28" s="204">
        <v>42397</v>
      </c>
      <c r="C28" s="207"/>
      <c r="D28" s="54"/>
      <c r="E28" s="83"/>
      <c r="F28" s="84"/>
      <c r="G28" s="195"/>
    </row>
    <row r="29" spans="1:17" x14ac:dyDescent="0.15">
      <c r="A29" s="2"/>
      <c r="B29" s="204">
        <v>42398</v>
      </c>
      <c r="C29" s="207"/>
      <c r="D29" s="54"/>
      <c r="E29" s="83"/>
      <c r="F29" s="84"/>
      <c r="G29" s="195"/>
    </row>
    <row r="30" spans="1:17" x14ac:dyDescent="0.15">
      <c r="A30" s="2"/>
      <c r="B30" s="204">
        <v>42399</v>
      </c>
      <c r="C30" s="207"/>
      <c r="D30" s="54"/>
      <c r="E30" s="83"/>
      <c r="F30" s="84"/>
      <c r="G30" s="195"/>
    </row>
    <row r="31" spans="1:17" ht="14" thickBot="1" x14ac:dyDescent="0.2">
      <c r="A31" s="2"/>
      <c r="B31" s="205">
        <v>42400</v>
      </c>
      <c r="C31" s="208"/>
      <c r="D31" s="199"/>
      <c r="E31" s="200"/>
      <c r="F31" s="185"/>
      <c r="G31" s="201"/>
    </row>
    <row r="32" spans="1:17" ht="14" thickBot="1" x14ac:dyDescent="0.2">
      <c r="A32" s="3">
        <f>A25+1</f>
        <v>5</v>
      </c>
      <c r="B32" s="203">
        <v>42401</v>
      </c>
      <c r="C32" s="206"/>
      <c r="D32" s="177"/>
      <c r="E32" s="178"/>
      <c r="F32" s="179"/>
      <c r="G32" s="194"/>
    </row>
    <row r="33" spans="1:7" x14ac:dyDescent="0.15">
      <c r="A33" s="34" t="s">
        <v>11</v>
      </c>
      <c r="B33" s="204">
        <v>42402</v>
      </c>
      <c r="C33" s="207"/>
      <c r="D33" s="54"/>
      <c r="E33" s="83"/>
      <c r="F33" s="84"/>
      <c r="G33" s="195"/>
    </row>
    <row r="34" spans="1:7" ht="14" thickBot="1" x14ac:dyDescent="0.2">
      <c r="A34" s="168">
        <f>SUM(E32:E38)</f>
        <v>0</v>
      </c>
      <c r="B34" s="204">
        <v>42403</v>
      </c>
      <c r="C34" s="207"/>
      <c r="D34" s="54"/>
      <c r="E34" s="83"/>
      <c r="F34" s="84"/>
      <c r="G34" s="195"/>
    </row>
    <row r="35" spans="1:7" x14ac:dyDescent="0.15">
      <c r="A35" s="2"/>
      <c r="B35" s="204">
        <v>42404</v>
      </c>
      <c r="C35" s="207"/>
      <c r="D35" s="54"/>
      <c r="E35" s="83"/>
      <c r="F35" s="84"/>
      <c r="G35" s="195"/>
    </row>
    <row r="36" spans="1:7" x14ac:dyDescent="0.15">
      <c r="A36" s="2"/>
      <c r="B36" s="204">
        <v>42405</v>
      </c>
      <c r="C36" s="207"/>
      <c r="D36" s="54"/>
      <c r="E36" s="83"/>
      <c r="F36" s="84"/>
      <c r="G36" s="195"/>
    </row>
    <row r="37" spans="1:7" x14ac:dyDescent="0.15">
      <c r="A37" s="2"/>
      <c r="B37" s="204">
        <v>42406</v>
      </c>
      <c r="C37" s="207"/>
      <c r="D37" s="54"/>
      <c r="E37" s="83"/>
      <c r="F37" s="84"/>
      <c r="G37" s="195"/>
    </row>
    <row r="38" spans="1:7" ht="14" thickBot="1" x14ac:dyDescent="0.2">
      <c r="A38" s="2"/>
      <c r="B38" s="205">
        <v>42407</v>
      </c>
      <c r="C38" s="208"/>
      <c r="D38" s="199"/>
      <c r="E38" s="200"/>
      <c r="F38" s="185"/>
      <c r="G38" s="201"/>
    </row>
    <row r="39" spans="1:7" ht="14" thickBot="1" x14ac:dyDescent="0.2">
      <c r="A39" s="3">
        <f>A32+1</f>
        <v>6</v>
      </c>
      <c r="B39" s="203">
        <v>42408</v>
      </c>
      <c r="C39" s="206"/>
      <c r="D39" s="177"/>
      <c r="E39" s="178"/>
      <c r="F39" s="179"/>
      <c r="G39" s="194"/>
    </row>
    <row r="40" spans="1:7" x14ac:dyDescent="0.15">
      <c r="A40" s="34" t="s">
        <v>11</v>
      </c>
      <c r="B40" s="204">
        <v>42409</v>
      </c>
      <c r="C40" s="207"/>
      <c r="D40" s="54"/>
      <c r="E40" s="83"/>
      <c r="F40" s="84"/>
      <c r="G40" s="195"/>
    </row>
    <row r="41" spans="1:7" ht="14" thickBot="1" x14ac:dyDescent="0.2">
      <c r="A41" s="168">
        <f>SUM(E39:E45)</f>
        <v>10.42</v>
      </c>
      <c r="B41" s="204">
        <v>42410</v>
      </c>
      <c r="C41" s="207"/>
      <c r="D41" s="54"/>
      <c r="E41" s="83"/>
      <c r="F41" s="84"/>
      <c r="G41" s="195"/>
    </row>
    <row r="42" spans="1:7" x14ac:dyDescent="0.15">
      <c r="A42" s="2"/>
      <c r="B42" s="204">
        <v>42411</v>
      </c>
      <c r="C42" s="207"/>
      <c r="D42" s="54"/>
      <c r="E42" s="83"/>
      <c r="F42" s="84"/>
      <c r="G42" s="195"/>
    </row>
    <row r="43" spans="1:7" x14ac:dyDescent="0.15">
      <c r="A43" s="2"/>
      <c r="B43" s="204">
        <v>42412</v>
      </c>
      <c r="C43" s="207"/>
      <c r="D43" s="54"/>
      <c r="E43" s="83"/>
      <c r="F43" s="84"/>
      <c r="G43" s="195"/>
    </row>
    <row r="44" spans="1:7" x14ac:dyDescent="0.15">
      <c r="A44" s="2"/>
      <c r="B44" s="204">
        <v>42413</v>
      </c>
      <c r="C44" s="207"/>
      <c r="D44" s="54"/>
      <c r="E44" s="83"/>
      <c r="F44" s="84"/>
      <c r="G44" s="195"/>
    </row>
    <row r="45" spans="1:7" ht="14" thickBot="1" x14ac:dyDescent="0.2">
      <c r="A45" s="2"/>
      <c r="B45" s="205">
        <v>42414</v>
      </c>
      <c r="C45" s="208" t="s">
        <v>14</v>
      </c>
      <c r="D45" s="199">
        <v>3.7557870370370373E-2</v>
      </c>
      <c r="E45" s="200">
        <v>10.42</v>
      </c>
      <c r="F45" s="185">
        <f>D45/E45</f>
        <v>3.6044021468685577E-3</v>
      </c>
      <c r="G45" s="201" t="s">
        <v>475</v>
      </c>
    </row>
    <row r="46" spans="1:7" ht="14" thickBot="1" x14ac:dyDescent="0.2">
      <c r="A46" s="3">
        <f>A39+1</f>
        <v>7</v>
      </c>
      <c r="B46" s="203">
        <v>42415</v>
      </c>
      <c r="C46" s="206"/>
      <c r="D46" s="177"/>
      <c r="E46" s="178"/>
      <c r="F46" s="179"/>
      <c r="G46" s="194"/>
    </row>
    <row r="47" spans="1:7" x14ac:dyDescent="0.15">
      <c r="A47" s="34" t="s">
        <v>11</v>
      </c>
      <c r="B47" s="204">
        <v>42416</v>
      </c>
      <c r="C47" s="207"/>
      <c r="D47" s="54"/>
      <c r="E47" s="83"/>
      <c r="F47" s="84"/>
      <c r="G47" s="195"/>
    </row>
    <row r="48" spans="1:7" ht="14" thickBot="1" x14ac:dyDescent="0.2">
      <c r="A48" s="168">
        <f>SUM(E46:E52)</f>
        <v>10.81</v>
      </c>
      <c r="B48" s="204">
        <v>42417</v>
      </c>
      <c r="C48" s="207"/>
      <c r="D48" s="54"/>
      <c r="E48" s="83"/>
      <c r="F48" s="84"/>
      <c r="G48" s="195"/>
    </row>
    <row r="49" spans="1:7" x14ac:dyDescent="0.15">
      <c r="A49" s="2"/>
      <c r="B49" s="204">
        <v>42418</v>
      </c>
      <c r="C49" s="207"/>
      <c r="D49" s="54"/>
      <c r="E49" s="83"/>
      <c r="F49" s="84"/>
      <c r="G49" s="195"/>
    </row>
    <row r="50" spans="1:7" x14ac:dyDescent="0.15">
      <c r="A50" s="2"/>
      <c r="B50" s="204">
        <v>42419</v>
      </c>
      <c r="C50" s="207"/>
      <c r="D50" s="54"/>
      <c r="E50" s="83"/>
      <c r="F50" s="84"/>
      <c r="G50" s="195"/>
    </row>
    <row r="51" spans="1:7" x14ac:dyDescent="0.15">
      <c r="A51" s="2"/>
      <c r="B51" s="204">
        <v>42420</v>
      </c>
      <c r="C51" s="207"/>
      <c r="D51" s="54"/>
      <c r="E51" s="83"/>
      <c r="F51" s="84"/>
      <c r="G51" s="195"/>
    </row>
    <row r="52" spans="1:7" ht="14" thickBot="1" x14ac:dyDescent="0.2">
      <c r="A52" s="2"/>
      <c r="B52" s="205">
        <v>42421</v>
      </c>
      <c r="C52" s="208" t="s">
        <v>14</v>
      </c>
      <c r="D52" s="199">
        <v>3.920138888888889E-2</v>
      </c>
      <c r="E52" s="200">
        <v>10.81</v>
      </c>
      <c r="F52" s="185">
        <f>D52/E52</f>
        <v>3.6264004522561415E-3</v>
      </c>
      <c r="G52" s="201" t="s">
        <v>475</v>
      </c>
    </row>
    <row r="53" spans="1:7" ht="14" thickBot="1" x14ac:dyDescent="0.2">
      <c r="A53" s="3">
        <f>A46+1</f>
        <v>8</v>
      </c>
      <c r="B53" s="203">
        <v>42422</v>
      </c>
      <c r="C53" s="206"/>
      <c r="D53" s="177"/>
      <c r="E53" s="178"/>
      <c r="F53" s="179"/>
      <c r="G53" s="194"/>
    </row>
    <row r="54" spans="1:7" x14ac:dyDescent="0.15">
      <c r="A54" s="34" t="s">
        <v>11</v>
      </c>
      <c r="B54" s="204">
        <v>42423</v>
      </c>
      <c r="C54" s="207"/>
      <c r="D54" s="54"/>
      <c r="E54" s="83"/>
      <c r="F54" s="84"/>
      <c r="G54" s="195"/>
    </row>
    <row r="55" spans="1:7" ht="14" thickBot="1" x14ac:dyDescent="0.2">
      <c r="A55" s="168">
        <f>SUM(E53:E59)</f>
        <v>11.12</v>
      </c>
      <c r="B55" s="204">
        <v>42424</v>
      </c>
      <c r="C55" s="207"/>
      <c r="D55" s="54"/>
      <c r="E55" s="83"/>
      <c r="F55" s="84"/>
      <c r="G55" s="195"/>
    </row>
    <row r="56" spans="1:7" x14ac:dyDescent="0.15">
      <c r="A56" s="2"/>
      <c r="B56" s="204">
        <v>42425</v>
      </c>
      <c r="C56" s="207"/>
      <c r="D56" s="54"/>
      <c r="E56" s="83"/>
      <c r="F56" s="84"/>
      <c r="G56" s="195"/>
    </row>
    <row r="57" spans="1:7" x14ac:dyDescent="0.15">
      <c r="A57" s="2"/>
      <c r="B57" s="204">
        <v>42426</v>
      </c>
      <c r="C57" s="207"/>
      <c r="D57" s="54"/>
      <c r="E57" s="83"/>
      <c r="F57" s="84"/>
      <c r="G57" s="195"/>
    </row>
    <row r="58" spans="1:7" x14ac:dyDescent="0.15">
      <c r="A58" s="2"/>
      <c r="B58" s="204">
        <v>42427</v>
      </c>
      <c r="C58" s="207" t="s">
        <v>14</v>
      </c>
      <c r="D58" s="54">
        <v>3.9039351851851853E-2</v>
      </c>
      <c r="E58" s="83">
        <v>11.12</v>
      </c>
      <c r="F58" s="84">
        <f>D58/E58</f>
        <v>3.510733080202505E-3</v>
      </c>
      <c r="G58" s="195" t="s">
        <v>472</v>
      </c>
    </row>
    <row r="59" spans="1:7" ht="14" thickBot="1" x14ac:dyDescent="0.2">
      <c r="A59" s="2"/>
      <c r="B59" s="205">
        <v>42428</v>
      </c>
      <c r="C59" s="208"/>
      <c r="D59" s="199"/>
      <c r="E59" s="200"/>
      <c r="F59" s="185"/>
      <c r="G59" s="201"/>
    </row>
    <row r="60" spans="1:7" ht="14" thickBot="1" x14ac:dyDescent="0.2">
      <c r="A60" s="3">
        <f>A53+1</f>
        <v>9</v>
      </c>
      <c r="B60" s="203">
        <v>42429</v>
      </c>
      <c r="C60" s="206"/>
      <c r="D60" s="177"/>
      <c r="E60" s="178"/>
      <c r="F60" s="179"/>
      <c r="G60" s="194"/>
    </row>
    <row r="61" spans="1:7" x14ac:dyDescent="0.15">
      <c r="A61" s="34" t="s">
        <v>11</v>
      </c>
      <c r="B61" s="204">
        <v>42430</v>
      </c>
      <c r="C61" s="207"/>
      <c r="D61" s="54"/>
      <c r="E61" s="83"/>
      <c r="F61" s="84"/>
      <c r="G61" s="195"/>
    </row>
    <row r="62" spans="1:7" ht="14" thickBot="1" x14ac:dyDescent="0.2">
      <c r="A62" s="168">
        <f>SUM(E60:E66)</f>
        <v>10.44</v>
      </c>
      <c r="B62" s="204">
        <v>42431</v>
      </c>
      <c r="C62" s="207"/>
      <c r="D62" s="54"/>
      <c r="E62" s="83"/>
      <c r="F62" s="84"/>
      <c r="G62" s="195"/>
    </row>
    <row r="63" spans="1:7" x14ac:dyDescent="0.15">
      <c r="A63" s="2"/>
      <c r="B63" s="204">
        <v>42432</v>
      </c>
      <c r="C63" s="207" t="s">
        <v>14</v>
      </c>
      <c r="D63" s="54">
        <v>3.8287037037037036E-2</v>
      </c>
      <c r="E63" s="83">
        <v>10.44</v>
      </c>
      <c r="F63" s="84">
        <f>D63/E63</f>
        <v>3.6673407123598697E-3</v>
      </c>
      <c r="G63" s="195" t="s">
        <v>475</v>
      </c>
    </row>
    <row r="64" spans="1:7" x14ac:dyDescent="0.15">
      <c r="A64" s="2"/>
      <c r="B64" s="204">
        <v>42433</v>
      </c>
      <c r="C64" s="207"/>
      <c r="D64" s="54"/>
      <c r="E64" s="83"/>
      <c r="F64" s="84"/>
      <c r="G64" s="195"/>
    </row>
    <row r="65" spans="1:7" x14ac:dyDescent="0.15">
      <c r="A65" s="2"/>
      <c r="B65" s="204">
        <v>42434</v>
      </c>
      <c r="C65" s="207"/>
      <c r="D65" s="54"/>
      <c r="E65" s="83"/>
      <c r="F65" s="84"/>
      <c r="G65" s="195"/>
    </row>
    <row r="66" spans="1:7" ht="14" thickBot="1" x14ac:dyDescent="0.2">
      <c r="A66" s="2"/>
      <c r="B66" s="205">
        <v>42435</v>
      </c>
      <c r="C66" s="208"/>
      <c r="D66" s="199"/>
      <c r="E66" s="200"/>
      <c r="F66" s="185"/>
      <c r="G66" s="201"/>
    </row>
    <row r="67" spans="1:7" ht="14" thickBot="1" x14ac:dyDescent="0.2">
      <c r="A67" s="3">
        <f>A60+1</f>
        <v>10</v>
      </c>
      <c r="B67" s="203">
        <v>42436</v>
      </c>
      <c r="C67" s="206"/>
      <c r="D67" s="177"/>
      <c r="E67" s="178"/>
      <c r="F67" s="179"/>
      <c r="G67" s="194"/>
    </row>
    <row r="68" spans="1:7" x14ac:dyDescent="0.15">
      <c r="A68" s="34" t="s">
        <v>11</v>
      </c>
      <c r="B68" s="204">
        <v>42437</v>
      </c>
      <c r="C68" s="207" t="s">
        <v>14</v>
      </c>
      <c r="D68" s="54">
        <v>3.7523148148148146E-2</v>
      </c>
      <c r="E68" s="83">
        <v>10.35</v>
      </c>
      <c r="F68" s="84">
        <f>D68/E68</f>
        <v>3.6254249418500627E-3</v>
      </c>
      <c r="G68" s="195" t="s">
        <v>475</v>
      </c>
    </row>
    <row r="69" spans="1:7" ht="14" thickBot="1" x14ac:dyDescent="0.2">
      <c r="A69" s="168">
        <f>SUM(E67:E73)</f>
        <v>10.35</v>
      </c>
      <c r="B69" s="204">
        <v>42438</v>
      </c>
      <c r="C69" s="207"/>
      <c r="D69" s="54"/>
      <c r="E69" s="83"/>
      <c r="F69" s="84"/>
      <c r="G69" s="195"/>
    </row>
    <row r="70" spans="1:7" x14ac:dyDescent="0.15">
      <c r="A70" s="2"/>
      <c r="B70" s="204">
        <v>42439</v>
      </c>
      <c r="C70" s="207"/>
      <c r="D70" s="54"/>
      <c r="E70" s="83"/>
      <c r="F70" s="84"/>
      <c r="G70" s="195"/>
    </row>
    <row r="71" spans="1:7" x14ac:dyDescent="0.15">
      <c r="A71" s="2"/>
      <c r="B71" s="204">
        <v>42440</v>
      </c>
      <c r="C71" s="207"/>
      <c r="D71" s="54"/>
      <c r="E71" s="83"/>
      <c r="F71" s="84"/>
      <c r="G71" s="195"/>
    </row>
    <row r="72" spans="1:7" x14ac:dyDescent="0.15">
      <c r="A72" s="2"/>
      <c r="B72" s="204">
        <v>42441</v>
      </c>
      <c r="C72" s="207"/>
      <c r="D72" s="54"/>
      <c r="E72" s="83"/>
      <c r="F72" s="84"/>
      <c r="G72" s="195"/>
    </row>
    <row r="73" spans="1:7" ht="14" thickBot="1" x14ac:dyDescent="0.2">
      <c r="A73" s="2"/>
      <c r="B73" s="205">
        <v>42442</v>
      </c>
      <c r="C73" s="208"/>
      <c r="D73" s="199"/>
      <c r="E73" s="200"/>
      <c r="F73" s="185"/>
      <c r="G73" s="201"/>
    </row>
    <row r="74" spans="1:7" ht="14" thickBot="1" x14ac:dyDescent="0.2">
      <c r="A74" s="3">
        <f>A67+1</f>
        <v>11</v>
      </c>
      <c r="B74" s="203">
        <v>42443</v>
      </c>
      <c r="C74" s="206" t="s">
        <v>14</v>
      </c>
      <c r="D74" s="177">
        <v>3.7372685185185189E-2</v>
      </c>
      <c r="E74" s="178">
        <v>10.46</v>
      </c>
      <c r="F74" s="84">
        <f>D74/E74</f>
        <v>3.5729144536505914E-3</v>
      </c>
      <c r="G74" s="194" t="s">
        <v>475</v>
      </c>
    </row>
    <row r="75" spans="1:7" x14ac:dyDescent="0.15">
      <c r="A75" s="34" t="s">
        <v>11</v>
      </c>
      <c r="B75" s="204">
        <v>42444</v>
      </c>
      <c r="C75" s="207"/>
      <c r="D75" s="54"/>
      <c r="E75" s="83"/>
      <c r="F75" s="84"/>
      <c r="G75" s="195"/>
    </row>
    <row r="76" spans="1:7" ht="14" thickBot="1" x14ac:dyDescent="0.2">
      <c r="A76" s="168">
        <f>SUM(E74:E80)</f>
        <v>20.87</v>
      </c>
      <c r="B76" s="204">
        <v>42445</v>
      </c>
      <c r="C76" s="207"/>
      <c r="D76" s="54"/>
      <c r="E76" s="83"/>
      <c r="F76" s="84"/>
      <c r="G76" s="195"/>
    </row>
    <row r="77" spans="1:7" x14ac:dyDescent="0.15">
      <c r="A77" s="2"/>
      <c r="B77" s="204">
        <v>42446</v>
      </c>
      <c r="C77" s="207"/>
      <c r="D77" s="54"/>
      <c r="E77" s="83"/>
      <c r="F77" s="84"/>
      <c r="G77" s="195"/>
    </row>
    <row r="78" spans="1:7" x14ac:dyDescent="0.15">
      <c r="A78" s="2"/>
      <c r="B78" s="204">
        <v>42447</v>
      </c>
      <c r="C78" s="207"/>
      <c r="D78" s="54"/>
      <c r="E78" s="83"/>
      <c r="F78" s="84"/>
      <c r="G78" s="195"/>
    </row>
    <row r="79" spans="1:7" x14ac:dyDescent="0.15">
      <c r="A79" s="2"/>
      <c r="B79" s="204">
        <v>42448</v>
      </c>
      <c r="C79" s="207"/>
      <c r="D79" s="54"/>
      <c r="E79" s="83"/>
      <c r="F79" s="84"/>
      <c r="G79" s="195"/>
    </row>
    <row r="80" spans="1:7" ht="14" thickBot="1" x14ac:dyDescent="0.2">
      <c r="A80" s="2"/>
      <c r="B80" s="205">
        <v>42449</v>
      </c>
      <c r="C80" s="208" t="s">
        <v>14</v>
      </c>
      <c r="D80" s="199">
        <v>3.5659722222222225E-2</v>
      </c>
      <c r="E80" s="200">
        <v>10.41</v>
      </c>
      <c r="F80" s="185">
        <f>D80/E80</f>
        <v>3.4255256697619811E-3</v>
      </c>
      <c r="G80" s="201" t="s">
        <v>475</v>
      </c>
    </row>
    <row r="81" spans="1:7" ht="14" thickBot="1" x14ac:dyDescent="0.2">
      <c r="A81" s="3">
        <f>A74+1</f>
        <v>12</v>
      </c>
      <c r="B81" s="203">
        <v>42450</v>
      </c>
      <c r="C81" s="206"/>
      <c r="D81" s="177"/>
      <c r="E81" s="178"/>
      <c r="F81" s="84"/>
      <c r="G81" s="194"/>
    </row>
    <row r="82" spans="1:7" x14ac:dyDescent="0.15">
      <c r="A82" s="34" t="s">
        <v>11</v>
      </c>
      <c r="B82" s="204">
        <v>42451</v>
      </c>
      <c r="C82" s="207"/>
      <c r="D82" s="54"/>
      <c r="E82" s="83"/>
      <c r="F82" s="84"/>
      <c r="G82" s="195"/>
    </row>
    <row r="83" spans="1:7" ht="14" thickBot="1" x14ac:dyDescent="0.2">
      <c r="A83" s="168">
        <f>SUM(E81:E87)</f>
        <v>10.38</v>
      </c>
      <c r="B83" s="204">
        <v>42452</v>
      </c>
      <c r="C83" s="207"/>
      <c r="D83" s="54"/>
      <c r="E83" s="83"/>
      <c r="F83" s="84"/>
      <c r="G83" s="195"/>
    </row>
    <row r="84" spans="1:7" x14ac:dyDescent="0.15">
      <c r="A84" s="2"/>
      <c r="B84" s="204">
        <v>42453</v>
      </c>
      <c r="C84" s="207"/>
      <c r="D84" s="54"/>
      <c r="E84" s="83"/>
      <c r="F84" s="84"/>
      <c r="G84" s="195"/>
    </row>
    <row r="85" spans="1:7" x14ac:dyDescent="0.15">
      <c r="A85" s="2"/>
      <c r="B85" s="204">
        <v>42454</v>
      </c>
      <c r="C85" s="207" t="s">
        <v>14</v>
      </c>
      <c r="D85" s="54">
        <v>3.6388888888888887E-2</v>
      </c>
      <c r="E85" s="83">
        <v>10.38</v>
      </c>
      <c r="F85" s="84">
        <f>D85/E85</f>
        <v>3.5056733033611643E-3</v>
      </c>
      <c r="G85" s="195" t="s">
        <v>472</v>
      </c>
    </row>
    <row r="86" spans="1:7" x14ac:dyDescent="0.15">
      <c r="A86" s="2"/>
      <c r="B86" s="204">
        <v>42455</v>
      </c>
      <c r="C86" s="207"/>
      <c r="D86" s="54"/>
      <c r="E86" s="83"/>
      <c r="F86" s="84"/>
      <c r="G86" s="195"/>
    </row>
    <row r="87" spans="1:7" ht="14" thickBot="1" x14ac:dyDescent="0.2">
      <c r="A87" s="2"/>
      <c r="B87" s="205">
        <v>42456</v>
      </c>
      <c r="C87" s="208"/>
      <c r="D87" s="199"/>
      <c r="E87" s="200"/>
      <c r="F87" s="185"/>
      <c r="G87" s="201"/>
    </row>
    <row r="88" spans="1:7" ht="14" thickBot="1" x14ac:dyDescent="0.2">
      <c r="A88" s="3">
        <f>A81+1</f>
        <v>13</v>
      </c>
      <c r="B88" s="203">
        <v>42457</v>
      </c>
      <c r="C88" s="206"/>
      <c r="D88" s="177"/>
      <c r="E88" s="178"/>
      <c r="F88" s="84"/>
      <c r="G88" s="194"/>
    </row>
    <row r="89" spans="1:7" x14ac:dyDescent="0.15">
      <c r="A89" s="34" t="s">
        <v>11</v>
      </c>
      <c r="B89" s="204">
        <v>42458</v>
      </c>
      <c r="C89" s="207"/>
      <c r="D89" s="54"/>
      <c r="E89" s="83"/>
      <c r="F89" s="84"/>
      <c r="G89" s="195"/>
    </row>
    <row r="90" spans="1:7" ht="14" thickBot="1" x14ac:dyDescent="0.2">
      <c r="A90" s="168">
        <f>SUM(E88:E94)</f>
        <v>21.28</v>
      </c>
      <c r="B90" s="204">
        <v>42459</v>
      </c>
      <c r="C90" s="207"/>
      <c r="D90" s="54"/>
      <c r="E90" s="83"/>
      <c r="F90" s="84"/>
      <c r="G90" s="195"/>
    </row>
    <row r="91" spans="1:7" x14ac:dyDescent="0.15">
      <c r="A91" s="2"/>
      <c r="B91" s="204">
        <v>42460</v>
      </c>
      <c r="C91" s="207" t="s">
        <v>14</v>
      </c>
      <c r="D91" s="54">
        <v>3.5185185185185187E-2</v>
      </c>
      <c r="E91" s="83">
        <v>10.42</v>
      </c>
      <c r="F91" s="84">
        <f>D91/E91</f>
        <v>3.3766972346626861E-3</v>
      </c>
      <c r="G91" s="195" t="s">
        <v>475</v>
      </c>
    </row>
    <row r="92" spans="1:7" x14ac:dyDescent="0.15">
      <c r="A92" s="2"/>
      <c r="B92" s="204">
        <v>42461</v>
      </c>
      <c r="C92" s="207"/>
      <c r="D92" s="54"/>
      <c r="E92" s="83"/>
      <c r="F92" s="84"/>
      <c r="G92" s="195"/>
    </row>
    <row r="93" spans="1:7" x14ac:dyDescent="0.15">
      <c r="A93" s="2"/>
      <c r="B93" s="204">
        <v>42462</v>
      </c>
      <c r="C93" s="207"/>
      <c r="D93" s="54"/>
      <c r="E93" s="83"/>
      <c r="F93" s="84"/>
      <c r="G93" s="195"/>
    </row>
    <row r="94" spans="1:7" ht="14" thickBot="1" x14ac:dyDescent="0.2">
      <c r="A94" s="2"/>
      <c r="B94" s="205">
        <v>42463</v>
      </c>
      <c r="C94" s="208" t="s">
        <v>14</v>
      </c>
      <c r="D94" s="199">
        <v>4.0173611111111111E-2</v>
      </c>
      <c r="E94" s="200">
        <v>10.86</v>
      </c>
      <c r="F94" s="185">
        <f>D94/E94</f>
        <v>3.699227542459587E-3</v>
      </c>
      <c r="G94" s="201" t="s">
        <v>475</v>
      </c>
    </row>
    <row r="95" spans="1:7" ht="14" thickBot="1" x14ac:dyDescent="0.2">
      <c r="A95" s="3">
        <f>A88+1</f>
        <v>14</v>
      </c>
      <c r="B95" s="203">
        <v>42464</v>
      </c>
      <c r="C95" s="206"/>
      <c r="D95" s="177"/>
      <c r="E95" s="178"/>
      <c r="F95" s="84"/>
      <c r="G95" s="194"/>
    </row>
    <row r="96" spans="1:7" x14ac:dyDescent="0.15">
      <c r="A96" s="34" t="s">
        <v>11</v>
      </c>
      <c r="B96" s="204">
        <v>42465</v>
      </c>
      <c r="C96" s="207" t="s">
        <v>14</v>
      </c>
      <c r="D96" s="54">
        <v>3.8321759259259257E-2</v>
      </c>
      <c r="E96" s="83">
        <v>10.73</v>
      </c>
      <c r="F96" s="84">
        <f>D96/E96</f>
        <v>3.5714593904249072E-3</v>
      </c>
      <c r="G96" s="195" t="s">
        <v>472</v>
      </c>
    </row>
    <row r="97" spans="1:7" ht="14" thickBot="1" x14ac:dyDescent="0.2">
      <c r="A97" s="168">
        <f>SUM(E95:E101)</f>
        <v>32.9</v>
      </c>
      <c r="B97" s="204">
        <v>42466</v>
      </c>
      <c r="C97" s="207"/>
      <c r="D97" s="54"/>
      <c r="E97" s="83"/>
      <c r="F97" s="84"/>
      <c r="G97" s="195"/>
    </row>
    <row r="98" spans="1:7" x14ac:dyDescent="0.15">
      <c r="A98" s="2"/>
      <c r="B98" s="204">
        <v>42467</v>
      </c>
      <c r="C98" s="207" t="s">
        <v>14</v>
      </c>
      <c r="D98" s="54">
        <v>3.784722222222222E-2</v>
      </c>
      <c r="E98" s="83">
        <v>10.16</v>
      </c>
      <c r="F98" s="84">
        <f>D98/E98</f>
        <v>3.7251202974628167E-3</v>
      </c>
      <c r="G98" s="195" t="s">
        <v>475</v>
      </c>
    </row>
    <row r="99" spans="1:7" x14ac:dyDescent="0.15">
      <c r="A99" s="2"/>
      <c r="B99" s="204">
        <v>42468</v>
      </c>
      <c r="C99" s="207"/>
      <c r="D99" s="54"/>
      <c r="E99" s="83"/>
      <c r="F99" s="84"/>
      <c r="G99" s="195"/>
    </row>
    <row r="100" spans="1:7" x14ac:dyDescent="0.15">
      <c r="A100" s="2"/>
      <c r="B100" s="204">
        <v>42469</v>
      </c>
      <c r="C100" s="207"/>
      <c r="D100" s="54"/>
      <c r="E100" s="83"/>
      <c r="F100" s="84"/>
      <c r="G100" s="195"/>
    </row>
    <row r="101" spans="1:7" ht="14" thickBot="1" x14ac:dyDescent="0.2">
      <c r="A101" s="2"/>
      <c r="B101" s="205">
        <v>42470</v>
      </c>
      <c r="C101" s="208" t="s">
        <v>14</v>
      </c>
      <c r="D101" s="199">
        <v>4.3784722222222218E-2</v>
      </c>
      <c r="E101" s="200">
        <v>12.01</v>
      </c>
      <c r="F101" s="185">
        <f>D101/E101</f>
        <v>3.6456887778702931E-3</v>
      </c>
      <c r="G101" s="201" t="s">
        <v>472</v>
      </c>
    </row>
    <row r="102" spans="1:7" ht="14" thickBot="1" x14ac:dyDescent="0.2">
      <c r="A102" s="3">
        <f>A95+1</f>
        <v>15</v>
      </c>
      <c r="B102" s="203">
        <v>42471</v>
      </c>
      <c r="C102" s="206"/>
      <c r="D102" s="177"/>
      <c r="E102" s="178"/>
      <c r="F102" s="84"/>
      <c r="G102" s="194"/>
    </row>
    <row r="103" spans="1:7" x14ac:dyDescent="0.15">
      <c r="A103" s="34" t="s">
        <v>11</v>
      </c>
      <c r="B103" s="204">
        <v>42472</v>
      </c>
      <c r="C103" s="207" t="s">
        <v>14</v>
      </c>
      <c r="D103" s="54">
        <v>4.0289351851851847E-2</v>
      </c>
      <c r="E103" s="83">
        <v>10.96</v>
      </c>
      <c r="F103" s="84">
        <f>D103/E103</f>
        <v>3.6760357529061903E-3</v>
      </c>
      <c r="G103" s="195" t="s">
        <v>475</v>
      </c>
    </row>
    <row r="104" spans="1:7" ht="14" thickBot="1" x14ac:dyDescent="0.2">
      <c r="A104" s="168">
        <f>SUM(E102:E108)</f>
        <v>21.33</v>
      </c>
      <c r="B104" s="204">
        <v>42473</v>
      </c>
      <c r="C104" s="207"/>
      <c r="D104" s="54"/>
      <c r="E104" s="83"/>
      <c r="F104" s="84"/>
      <c r="G104" s="195"/>
    </row>
    <row r="105" spans="1:7" x14ac:dyDescent="0.15">
      <c r="A105" s="2"/>
      <c r="B105" s="204">
        <v>42474</v>
      </c>
      <c r="C105" s="207" t="s">
        <v>14</v>
      </c>
      <c r="D105" s="54">
        <v>3.7314814814814815E-2</v>
      </c>
      <c r="E105" s="83">
        <v>10.37</v>
      </c>
      <c r="F105" s="84">
        <f>D105/E105</f>
        <v>3.5983427979570702E-3</v>
      </c>
      <c r="G105" s="195" t="s">
        <v>475</v>
      </c>
    </row>
    <row r="106" spans="1:7" x14ac:dyDescent="0.15">
      <c r="A106" s="2"/>
      <c r="B106" s="204">
        <v>42475</v>
      </c>
      <c r="C106" s="207"/>
      <c r="D106" s="54"/>
      <c r="E106" s="83"/>
      <c r="F106" s="84"/>
      <c r="G106" s="195"/>
    </row>
    <row r="107" spans="1:7" x14ac:dyDescent="0.15">
      <c r="A107" s="2"/>
      <c r="B107" s="204">
        <v>42476</v>
      </c>
      <c r="C107" s="207"/>
      <c r="D107" s="54"/>
      <c r="E107" s="83"/>
      <c r="F107" s="84"/>
      <c r="G107" s="195"/>
    </row>
    <row r="108" spans="1:7" ht="14" thickBot="1" x14ac:dyDescent="0.2">
      <c r="A108" s="2"/>
      <c r="B108" s="205">
        <v>42477</v>
      </c>
      <c r="C108" s="208"/>
      <c r="D108" s="199"/>
      <c r="E108" s="200"/>
      <c r="F108" s="185"/>
      <c r="G108" s="201"/>
    </row>
    <row r="109" spans="1:7" ht="14" thickBot="1" x14ac:dyDescent="0.2">
      <c r="A109" s="3">
        <f>A102+1</f>
        <v>16</v>
      </c>
      <c r="B109" s="203">
        <v>42478</v>
      </c>
      <c r="C109" s="206"/>
      <c r="D109" s="177"/>
      <c r="E109" s="178"/>
      <c r="F109" s="84"/>
      <c r="G109" s="194"/>
    </row>
    <row r="110" spans="1:7" x14ac:dyDescent="0.15">
      <c r="A110" s="34" t="s">
        <v>11</v>
      </c>
      <c r="B110" s="204">
        <v>42479</v>
      </c>
      <c r="C110" s="207" t="s">
        <v>14</v>
      </c>
      <c r="D110" s="54">
        <v>3.7974537037037036E-2</v>
      </c>
      <c r="E110" s="83">
        <v>10.69</v>
      </c>
      <c r="F110" s="84">
        <f>D110/E110</f>
        <v>3.5523420988809204E-3</v>
      </c>
      <c r="G110" s="195" t="s">
        <v>475</v>
      </c>
    </row>
    <row r="111" spans="1:7" ht="14" thickBot="1" x14ac:dyDescent="0.2">
      <c r="A111" s="168">
        <f>SUM(E109:E115)</f>
        <v>38.49</v>
      </c>
      <c r="B111" s="204">
        <v>42480</v>
      </c>
      <c r="C111" s="207" t="s">
        <v>14</v>
      </c>
      <c r="D111" s="54">
        <v>1.6759259259259258E-2</v>
      </c>
      <c r="E111" s="83">
        <v>4.6100000000000003</v>
      </c>
      <c r="F111" s="84">
        <f>D111/E111</f>
        <v>3.6354141560215308E-3</v>
      </c>
      <c r="G111" s="195" t="s">
        <v>483</v>
      </c>
    </row>
    <row r="112" spans="1:7" x14ac:dyDescent="0.15">
      <c r="A112" s="2"/>
      <c r="B112" s="204">
        <v>42481</v>
      </c>
      <c r="C112" s="207" t="s">
        <v>14</v>
      </c>
      <c r="D112" s="54">
        <v>4.4918981481481483E-2</v>
      </c>
      <c r="E112" s="83">
        <v>12.38</v>
      </c>
      <c r="F112" s="84">
        <f>D112/E112</f>
        <v>3.6283506850954346E-3</v>
      </c>
      <c r="G112" s="195" t="s">
        <v>483</v>
      </c>
    </row>
    <row r="113" spans="1:7" x14ac:dyDescent="0.15">
      <c r="A113" s="2"/>
      <c r="B113" s="204">
        <v>42482</v>
      </c>
      <c r="C113" s="207"/>
      <c r="D113" s="54"/>
      <c r="E113" s="83"/>
      <c r="F113" s="84"/>
      <c r="G113" s="195"/>
    </row>
    <row r="114" spans="1:7" x14ac:dyDescent="0.15">
      <c r="A114" s="2"/>
      <c r="B114" s="204">
        <v>42483</v>
      </c>
      <c r="C114" s="207"/>
      <c r="D114" s="54"/>
      <c r="E114" s="83"/>
      <c r="F114" s="84"/>
      <c r="G114" s="195"/>
    </row>
    <row r="115" spans="1:7" ht="14" thickBot="1" x14ac:dyDescent="0.2">
      <c r="A115" s="2"/>
      <c r="B115" s="205">
        <v>42484</v>
      </c>
      <c r="C115" s="208" t="s">
        <v>14</v>
      </c>
      <c r="D115" s="199">
        <v>3.6840277777777777E-2</v>
      </c>
      <c r="E115" s="200">
        <v>10.81</v>
      </c>
      <c r="F115" s="185">
        <f>D115/E115</f>
        <v>3.4079812930414223E-3</v>
      </c>
      <c r="G115" s="201" t="s">
        <v>483</v>
      </c>
    </row>
    <row r="116" spans="1:7" ht="14" thickBot="1" x14ac:dyDescent="0.2">
      <c r="A116" s="3">
        <f>A109+1</f>
        <v>17</v>
      </c>
      <c r="B116" s="203">
        <v>42485</v>
      </c>
      <c r="C116" s="206"/>
      <c r="D116" s="177"/>
      <c r="E116" s="178"/>
      <c r="F116" s="84"/>
      <c r="G116" s="194"/>
    </row>
    <row r="117" spans="1:7" x14ac:dyDescent="0.15">
      <c r="A117" s="34" t="s">
        <v>11</v>
      </c>
      <c r="B117" s="204">
        <v>42486</v>
      </c>
      <c r="C117" s="207"/>
      <c r="D117" s="54"/>
      <c r="E117" s="83"/>
      <c r="F117" s="84"/>
      <c r="G117" s="195"/>
    </row>
    <row r="118" spans="1:7" ht="14" thickBot="1" x14ac:dyDescent="0.2">
      <c r="A118" s="168">
        <f>SUM(E116:E122)</f>
        <v>20.98</v>
      </c>
      <c r="B118" s="204">
        <v>42487</v>
      </c>
      <c r="C118" s="207"/>
      <c r="D118" s="54"/>
      <c r="E118" s="83"/>
      <c r="F118" s="84"/>
      <c r="G118" s="195"/>
    </row>
    <row r="119" spans="1:7" x14ac:dyDescent="0.15">
      <c r="A119" s="2"/>
      <c r="B119" s="204">
        <v>42488</v>
      </c>
      <c r="C119" s="207" t="s">
        <v>14</v>
      </c>
      <c r="D119" s="54">
        <v>3.7928240740740742E-2</v>
      </c>
      <c r="E119" s="83">
        <v>10.73</v>
      </c>
      <c r="F119" s="84">
        <f>D119/E119</f>
        <v>3.5347847847847849E-3</v>
      </c>
      <c r="G119" s="195" t="s">
        <v>483</v>
      </c>
    </row>
    <row r="120" spans="1:7" x14ac:dyDescent="0.15">
      <c r="A120" s="2"/>
      <c r="B120" s="204">
        <v>42489</v>
      </c>
      <c r="C120" s="207"/>
      <c r="D120" s="54"/>
      <c r="E120" s="83"/>
      <c r="F120" s="84"/>
      <c r="G120" s="195"/>
    </row>
    <row r="121" spans="1:7" x14ac:dyDescent="0.15">
      <c r="A121" s="2"/>
      <c r="B121" s="204">
        <v>42490</v>
      </c>
      <c r="C121" s="207" t="s">
        <v>14</v>
      </c>
      <c r="D121" s="54">
        <v>3.8252314814814815E-2</v>
      </c>
      <c r="E121" s="83">
        <v>10.25</v>
      </c>
      <c r="F121" s="84">
        <f>D121/E121</f>
        <v>3.7319331526648601E-3</v>
      </c>
      <c r="G121" s="195" t="s">
        <v>483</v>
      </c>
    </row>
    <row r="122" spans="1:7" ht="14" thickBot="1" x14ac:dyDescent="0.2">
      <c r="A122" s="2"/>
      <c r="B122" s="205">
        <v>42491</v>
      </c>
      <c r="C122" s="208"/>
      <c r="D122" s="199"/>
      <c r="E122" s="200"/>
      <c r="F122" s="185"/>
      <c r="G122" s="201"/>
    </row>
    <row r="123" spans="1:7" ht="14" thickBot="1" x14ac:dyDescent="0.2">
      <c r="A123" s="3">
        <f>A116+1</f>
        <v>18</v>
      </c>
      <c r="B123" s="203">
        <v>42492</v>
      </c>
      <c r="C123" s="206" t="s">
        <v>14</v>
      </c>
      <c r="D123" s="177">
        <v>3.7685185185185183E-2</v>
      </c>
      <c r="E123" s="178">
        <v>10.24</v>
      </c>
      <c r="F123" s="84">
        <f>D123/E123</f>
        <v>3.6801938657407404E-3</v>
      </c>
      <c r="G123" s="194" t="s">
        <v>483</v>
      </c>
    </row>
    <row r="124" spans="1:7" x14ac:dyDescent="0.15">
      <c r="A124" s="34" t="s">
        <v>11</v>
      </c>
      <c r="B124" s="204">
        <v>42493</v>
      </c>
      <c r="C124" s="207"/>
      <c r="D124" s="54"/>
      <c r="E124" s="83"/>
      <c r="F124" s="84"/>
      <c r="G124" s="195"/>
    </row>
    <row r="125" spans="1:7" ht="14" thickBot="1" x14ac:dyDescent="0.2">
      <c r="A125" s="168">
        <f>SUM(E123:E129)</f>
        <v>33.92</v>
      </c>
      <c r="B125" s="204">
        <v>42494</v>
      </c>
      <c r="C125" s="207"/>
      <c r="D125" s="54"/>
      <c r="E125" s="83"/>
      <c r="F125" s="84"/>
      <c r="G125" s="195"/>
    </row>
    <row r="126" spans="1:7" x14ac:dyDescent="0.15">
      <c r="A126" s="2"/>
      <c r="B126" s="204">
        <v>42495</v>
      </c>
      <c r="C126" s="207" t="s">
        <v>14</v>
      </c>
      <c r="D126" s="54">
        <v>3.8148148148148146E-2</v>
      </c>
      <c r="E126" s="83">
        <v>10.15</v>
      </c>
      <c r="F126" s="84">
        <f>D126/E126</f>
        <v>3.7584382411968618E-3</v>
      </c>
      <c r="G126" s="195" t="s">
        <v>483</v>
      </c>
    </row>
    <row r="127" spans="1:7" x14ac:dyDescent="0.15">
      <c r="A127" s="2"/>
      <c r="B127" s="204">
        <v>42496</v>
      </c>
      <c r="C127" s="207"/>
      <c r="D127" s="54"/>
      <c r="E127" s="83"/>
      <c r="F127" s="84"/>
      <c r="G127" s="195"/>
    </row>
    <row r="128" spans="1:7" x14ac:dyDescent="0.15">
      <c r="A128" s="2"/>
      <c r="B128" s="204">
        <v>42497</v>
      </c>
      <c r="C128" s="207"/>
      <c r="D128" s="54"/>
      <c r="E128" s="83"/>
      <c r="F128" s="84"/>
      <c r="G128" s="195"/>
    </row>
    <row r="129" spans="1:7" ht="14" thickBot="1" x14ac:dyDescent="0.2">
      <c r="A129" s="2"/>
      <c r="B129" s="205">
        <v>42498</v>
      </c>
      <c r="C129" s="208" t="s">
        <v>14</v>
      </c>
      <c r="D129" s="199">
        <v>4.9895833333333334E-2</v>
      </c>
      <c r="E129" s="200">
        <v>13.53</v>
      </c>
      <c r="F129" s="185">
        <f>D129/E129</f>
        <v>3.6877925597437796E-3</v>
      </c>
      <c r="G129" s="201" t="s">
        <v>472</v>
      </c>
    </row>
    <row r="130" spans="1:7" ht="14" thickBot="1" x14ac:dyDescent="0.2">
      <c r="A130" s="3">
        <f>A123+1</f>
        <v>19</v>
      </c>
      <c r="B130" s="203">
        <v>42499</v>
      </c>
      <c r="C130" s="206"/>
      <c r="D130" s="177"/>
      <c r="E130" s="178"/>
      <c r="F130" s="84"/>
      <c r="G130" s="194"/>
    </row>
    <row r="131" spans="1:7" x14ac:dyDescent="0.15">
      <c r="A131" s="34" t="s">
        <v>11</v>
      </c>
      <c r="B131" s="204">
        <v>42500</v>
      </c>
      <c r="C131" s="207" t="s">
        <v>14</v>
      </c>
      <c r="D131" s="54">
        <v>3.8101851851851852E-2</v>
      </c>
      <c r="E131" s="83">
        <v>10.33</v>
      </c>
      <c r="F131" s="84">
        <f>D131/E131</f>
        <v>3.6884658133448066E-3</v>
      </c>
      <c r="G131" s="195" t="s">
        <v>471</v>
      </c>
    </row>
    <row r="132" spans="1:7" ht="14" thickBot="1" x14ac:dyDescent="0.2">
      <c r="A132" s="168">
        <f>SUM(E130:E136)</f>
        <v>10.33</v>
      </c>
      <c r="B132" s="204">
        <v>42501</v>
      </c>
      <c r="C132" s="207"/>
      <c r="D132" s="54"/>
      <c r="E132" s="83"/>
      <c r="F132" s="84"/>
      <c r="G132" s="195"/>
    </row>
    <row r="133" spans="1:7" x14ac:dyDescent="0.15">
      <c r="A133" s="2"/>
      <c r="B133" s="204">
        <v>42502</v>
      </c>
      <c r="C133" s="207"/>
      <c r="D133" s="54"/>
      <c r="E133" s="83"/>
      <c r="F133" s="84"/>
      <c r="G133" s="195"/>
    </row>
    <row r="134" spans="1:7" x14ac:dyDescent="0.15">
      <c r="A134" s="2"/>
      <c r="B134" s="204">
        <v>42503</v>
      </c>
      <c r="C134" s="207"/>
      <c r="D134" s="54"/>
      <c r="E134" s="83"/>
      <c r="F134" s="84"/>
      <c r="G134" s="195"/>
    </row>
    <row r="135" spans="1:7" x14ac:dyDescent="0.15">
      <c r="A135" s="2"/>
      <c r="B135" s="204">
        <v>42504</v>
      </c>
      <c r="C135" s="207"/>
      <c r="D135" s="54"/>
      <c r="E135" s="83"/>
      <c r="F135" s="84"/>
      <c r="G135" s="195"/>
    </row>
    <row r="136" spans="1:7" ht="14" thickBot="1" x14ac:dyDescent="0.2">
      <c r="A136" s="2"/>
      <c r="B136" s="205">
        <v>42505</v>
      </c>
      <c r="C136" s="208"/>
      <c r="D136" s="199"/>
      <c r="E136" s="200"/>
      <c r="F136" s="185"/>
      <c r="G136" s="201"/>
    </row>
    <row r="137" spans="1:7" ht="14" thickBot="1" x14ac:dyDescent="0.2">
      <c r="A137" s="3">
        <f>A130+1</f>
        <v>20</v>
      </c>
      <c r="B137" s="203">
        <v>42506</v>
      </c>
      <c r="C137" s="206"/>
      <c r="D137" s="177"/>
      <c r="E137" s="178"/>
      <c r="F137" s="84"/>
      <c r="G137" s="194"/>
    </row>
    <row r="138" spans="1:7" x14ac:dyDescent="0.15">
      <c r="A138" s="34" t="s">
        <v>11</v>
      </c>
      <c r="B138" s="204">
        <v>42507</v>
      </c>
      <c r="C138" s="207" t="s">
        <v>14</v>
      </c>
      <c r="D138" s="54">
        <v>3.619212962962963E-2</v>
      </c>
      <c r="E138" s="83">
        <v>9.9700000000000006</v>
      </c>
      <c r="F138" s="84">
        <f>D138/E138</f>
        <v>3.6301032727813066E-3</v>
      </c>
      <c r="G138" s="195" t="s">
        <v>483</v>
      </c>
    </row>
    <row r="139" spans="1:7" ht="14" thickBot="1" x14ac:dyDescent="0.2">
      <c r="A139" s="168">
        <f>SUM(E137:E143)</f>
        <v>31.17</v>
      </c>
      <c r="B139" s="204">
        <v>42508</v>
      </c>
      <c r="C139" s="207"/>
      <c r="D139" s="54"/>
      <c r="E139" s="83"/>
      <c r="F139" s="84"/>
      <c r="G139" s="195"/>
    </row>
    <row r="140" spans="1:7" x14ac:dyDescent="0.15">
      <c r="A140" s="2"/>
      <c r="B140" s="204">
        <v>42509</v>
      </c>
      <c r="C140" s="207"/>
      <c r="D140" s="54"/>
      <c r="E140" s="83"/>
      <c r="F140" s="84"/>
      <c r="G140" s="195"/>
    </row>
    <row r="141" spans="1:7" x14ac:dyDescent="0.15">
      <c r="A141" s="2"/>
      <c r="B141" s="204">
        <v>42510</v>
      </c>
      <c r="C141" s="207" t="s">
        <v>14</v>
      </c>
      <c r="D141" s="54">
        <v>3.8483796296296294E-2</v>
      </c>
      <c r="E141" s="83">
        <v>11.09</v>
      </c>
      <c r="F141" s="84">
        <f>D141/E141</f>
        <v>3.4701349230204051E-3</v>
      </c>
      <c r="G141" s="195" t="s">
        <v>483</v>
      </c>
    </row>
    <row r="142" spans="1:7" x14ac:dyDescent="0.15">
      <c r="A142" s="2"/>
      <c r="B142" s="204">
        <v>42511</v>
      </c>
      <c r="C142" s="207"/>
      <c r="D142" s="54"/>
      <c r="E142" s="83"/>
      <c r="F142" s="84"/>
      <c r="G142" s="195"/>
    </row>
    <row r="143" spans="1:7" ht="14" thickBot="1" x14ac:dyDescent="0.2">
      <c r="A143" s="2"/>
      <c r="B143" s="205">
        <v>42512</v>
      </c>
      <c r="C143" s="208" t="s">
        <v>14</v>
      </c>
      <c r="D143" s="199">
        <v>3.6770833333333336E-2</v>
      </c>
      <c r="E143" s="200">
        <v>10.11</v>
      </c>
      <c r="F143" s="185">
        <f>D143/E143</f>
        <v>3.6370755028025063E-3</v>
      </c>
      <c r="G143" s="201" t="s">
        <v>483</v>
      </c>
    </row>
    <row r="144" spans="1:7" ht="14" thickBot="1" x14ac:dyDescent="0.2">
      <c r="A144" s="3">
        <f>A137+1</f>
        <v>21</v>
      </c>
      <c r="B144" s="203">
        <v>42513</v>
      </c>
      <c r="C144" s="206"/>
      <c r="D144" s="177"/>
      <c r="E144" s="178"/>
      <c r="F144" s="84"/>
      <c r="G144" s="194"/>
    </row>
    <row r="145" spans="1:7" x14ac:dyDescent="0.15">
      <c r="A145" s="34" t="s">
        <v>11</v>
      </c>
      <c r="B145" s="204">
        <v>42514</v>
      </c>
      <c r="C145" s="207"/>
      <c r="D145" s="54"/>
      <c r="E145" s="83"/>
      <c r="F145" s="84"/>
      <c r="G145" s="195"/>
    </row>
    <row r="146" spans="1:7" ht="14" thickBot="1" x14ac:dyDescent="0.2">
      <c r="A146" s="168">
        <f>SUM(E144:E150)</f>
        <v>10.53</v>
      </c>
      <c r="B146" s="204">
        <v>42515</v>
      </c>
      <c r="C146" s="207" t="s">
        <v>14</v>
      </c>
      <c r="D146" s="54">
        <v>3.784722222222222E-2</v>
      </c>
      <c r="E146" s="83">
        <v>10.53</v>
      </c>
      <c r="F146" s="84">
        <f>D146/E146</f>
        <v>3.5942281312651681E-3</v>
      </c>
      <c r="G146" s="195" t="s">
        <v>483</v>
      </c>
    </row>
    <row r="147" spans="1:7" x14ac:dyDescent="0.15">
      <c r="A147" s="2"/>
      <c r="B147" s="204">
        <v>42516</v>
      </c>
      <c r="C147" s="207"/>
      <c r="D147" s="54"/>
      <c r="E147" s="83"/>
      <c r="F147" s="84"/>
      <c r="G147" s="195"/>
    </row>
    <row r="148" spans="1:7" x14ac:dyDescent="0.15">
      <c r="A148" s="2"/>
      <c r="B148" s="204">
        <v>42517</v>
      </c>
      <c r="C148" s="207"/>
      <c r="D148" s="54"/>
      <c r="E148" s="83"/>
      <c r="F148" s="84"/>
      <c r="G148" s="195"/>
    </row>
    <row r="149" spans="1:7" x14ac:dyDescent="0.15">
      <c r="A149" s="2"/>
      <c r="B149" s="204">
        <v>42518</v>
      </c>
      <c r="C149" s="207"/>
      <c r="D149" s="54"/>
      <c r="E149" s="83"/>
      <c r="F149" s="84"/>
      <c r="G149" s="195"/>
    </row>
    <row r="150" spans="1:7" ht="14" thickBot="1" x14ac:dyDescent="0.2">
      <c r="A150" s="2"/>
      <c r="B150" s="205">
        <v>42519</v>
      </c>
      <c r="C150" s="208"/>
      <c r="D150" s="199"/>
      <c r="E150" s="200"/>
      <c r="F150" s="185"/>
      <c r="G150" s="201"/>
    </row>
    <row r="151" spans="1:7" ht="14" thickBot="1" x14ac:dyDescent="0.2">
      <c r="A151" s="3">
        <f>A144+1</f>
        <v>22</v>
      </c>
      <c r="B151" s="203">
        <v>42520</v>
      </c>
      <c r="C151" s="206"/>
      <c r="D151" s="177"/>
      <c r="E151" s="178"/>
      <c r="F151" s="84"/>
      <c r="G151" s="194"/>
    </row>
    <row r="152" spans="1:7" x14ac:dyDescent="0.15">
      <c r="A152" s="34" t="s">
        <v>11</v>
      </c>
      <c r="B152" s="204">
        <v>42521</v>
      </c>
      <c r="C152" s="207"/>
      <c r="D152" s="54"/>
      <c r="E152" s="83"/>
      <c r="F152" s="84"/>
      <c r="G152" s="195"/>
    </row>
    <row r="153" spans="1:7" ht="14" thickBot="1" x14ac:dyDescent="0.2">
      <c r="A153" s="168">
        <f>SUM(E151:E157)</f>
        <v>19.380000000000003</v>
      </c>
      <c r="B153" s="204">
        <v>42522</v>
      </c>
      <c r="C153" s="207"/>
      <c r="D153" s="54"/>
      <c r="E153" s="83"/>
      <c r="F153" s="84"/>
      <c r="G153" s="195"/>
    </row>
    <row r="154" spans="1:7" x14ac:dyDescent="0.15">
      <c r="A154" s="2"/>
      <c r="B154" s="204">
        <v>42523</v>
      </c>
      <c r="C154" s="207" t="s">
        <v>14</v>
      </c>
      <c r="D154" s="54">
        <v>3.9675925925925927E-2</v>
      </c>
      <c r="E154" s="83">
        <v>11.21</v>
      </c>
      <c r="F154" s="84">
        <f>D154/E154</f>
        <v>3.5393332672547656E-3</v>
      </c>
      <c r="G154" s="195" t="s">
        <v>475</v>
      </c>
    </row>
    <row r="155" spans="1:7" x14ac:dyDescent="0.15">
      <c r="A155" s="2"/>
      <c r="B155" s="204">
        <v>42524</v>
      </c>
      <c r="C155" s="207"/>
      <c r="D155" s="54"/>
      <c r="E155" s="83"/>
      <c r="F155" s="84"/>
      <c r="G155" s="195"/>
    </row>
    <row r="156" spans="1:7" x14ac:dyDescent="0.15">
      <c r="A156" s="2"/>
      <c r="B156" s="204">
        <v>42525</v>
      </c>
      <c r="C156" s="207" t="s">
        <v>14</v>
      </c>
      <c r="D156" s="54">
        <v>3.0972222222222224E-2</v>
      </c>
      <c r="E156" s="83">
        <v>8.17</v>
      </c>
      <c r="F156" s="84">
        <f>D156/E156</f>
        <v>3.7909696722426222E-3</v>
      </c>
      <c r="G156" s="195" t="s">
        <v>483</v>
      </c>
    </row>
    <row r="157" spans="1:7" ht="14" thickBot="1" x14ac:dyDescent="0.2">
      <c r="A157" s="2"/>
      <c r="B157" s="205">
        <v>42526</v>
      </c>
      <c r="C157" s="208"/>
      <c r="D157" s="199"/>
      <c r="E157" s="200"/>
      <c r="F157" s="185"/>
      <c r="G157" s="201"/>
    </row>
    <row r="158" spans="1:7" ht="14" thickBot="1" x14ac:dyDescent="0.2">
      <c r="A158" s="3">
        <f>A151+1</f>
        <v>23</v>
      </c>
      <c r="B158" s="203">
        <v>42527</v>
      </c>
      <c r="C158" s="206"/>
      <c r="D158" s="177"/>
      <c r="E158" s="178"/>
      <c r="F158" s="84"/>
      <c r="G158" s="194"/>
    </row>
    <row r="159" spans="1:7" x14ac:dyDescent="0.15">
      <c r="A159" s="34" t="s">
        <v>11</v>
      </c>
      <c r="B159" s="204">
        <v>42528</v>
      </c>
      <c r="C159" s="207" t="s">
        <v>14</v>
      </c>
      <c r="D159" s="54">
        <v>5.7453703703703701E-2</v>
      </c>
      <c r="E159" s="83">
        <v>14.72</v>
      </c>
      <c r="F159" s="84">
        <f>D159/E159</f>
        <v>3.9031048711755229E-3</v>
      </c>
      <c r="G159" s="195" t="s">
        <v>483</v>
      </c>
    </row>
    <row r="160" spans="1:7" ht="14" thickBot="1" x14ac:dyDescent="0.2">
      <c r="A160" s="168">
        <f>SUM(E158:E164)</f>
        <v>24.94</v>
      </c>
      <c r="B160" s="204">
        <v>42529</v>
      </c>
      <c r="C160" s="207"/>
      <c r="D160" s="54"/>
      <c r="E160" s="83"/>
      <c r="F160" s="84"/>
      <c r="G160" s="195"/>
    </row>
    <row r="161" spans="1:7" x14ac:dyDescent="0.15">
      <c r="A161" s="2"/>
      <c r="B161" s="204">
        <v>42530</v>
      </c>
      <c r="C161" s="207"/>
      <c r="D161" s="54"/>
      <c r="E161" s="83"/>
      <c r="F161" s="84"/>
      <c r="G161" s="195"/>
    </row>
    <row r="162" spans="1:7" x14ac:dyDescent="0.15">
      <c r="A162" s="2"/>
      <c r="B162" s="204">
        <v>42531</v>
      </c>
      <c r="C162" s="207" t="s">
        <v>14</v>
      </c>
      <c r="D162" s="54">
        <v>3.7152777777777778E-2</v>
      </c>
      <c r="E162" s="83">
        <v>10.220000000000001</v>
      </c>
      <c r="F162" s="84">
        <f>D162/E162</f>
        <v>3.6353011524244399E-3</v>
      </c>
      <c r="G162" s="195" t="s">
        <v>483</v>
      </c>
    </row>
    <row r="163" spans="1:7" x14ac:dyDescent="0.15">
      <c r="A163" s="2"/>
      <c r="B163" s="204">
        <v>42532</v>
      </c>
      <c r="C163" s="207"/>
      <c r="D163" s="54"/>
      <c r="E163" s="83"/>
      <c r="F163" s="84"/>
      <c r="G163" s="195"/>
    </row>
    <row r="164" spans="1:7" ht="14" thickBot="1" x14ac:dyDescent="0.2">
      <c r="A164" s="2"/>
      <c r="B164" s="205">
        <v>42533</v>
      </c>
      <c r="C164" s="208"/>
      <c r="D164" s="199"/>
      <c r="E164" s="200"/>
      <c r="F164" s="185"/>
      <c r="G164" s="201"/>
    </row>
    <row r="165" spans="1:7" ht="14" thickBot="1" x14ac:dyDescent="0.2">
      <c r="A165" s="3">
        <f>A158+1</f>
        <v>24</v>
      </c>
      <c r="B165" s="203">
        <v>42534</v>
      </c>
      <c r="C165" s="206" t="s">
        <v>14</v>
      </c>
      <c r="D165" s="177">
        <v>3.7083333333333336E-2</v>
      </c>
      <c r="E165" s="178">
        <v>10.33</v>
      </c>
      <c r="F165" s="84">
        <f>D165/E165</f>
        <v>3.5898676992578253E-3</v>
      </c>
      <c r="G165" s="194" t="s">
        <v>472</v>
      </c>
    </row>
    <row r="166" spans="1:7" x14ac:dyDescent="0.15">
      <c r="A166" s="34" t="s">
        <v>11</v>
      </c>
      <c r="B166" s="204">
        <v>42535</v>
      </c>
      <c r="C166" s="207"/>
      <c r="D166" s="54"/>
      <c r="E166" s="83"/>
      <c r="F166" s="84"/>
      <c r="G166" s="195"/>
    </row>
    <row r="167" spans="1:7" ht="14" thickBot="1" x14ac:dyDescent="0.2">
      <c r="A167" s="168">
        <f>SUM(E165:E171)</f>
        <v>30.939999999999998</v>
      </c>
      <c r="B167" s="204">
        <v>42536</v>
      </c>
      <c r="C167" s="207" t="s">
        <v>14</v>
      </c>
      <c r="D167" s="54">
        <v>3.7592592592592594E-2</v>
      </c>
      <c r="E167" s="83">
        <v>10.5</v>
      </c>
      <c r="F167" s="84">
        <f>D167/E167</f>
        <v>3.5802469135802471E-3</v>
      </c>
      <c r="G167" s="195" t="s">
        <v>455</v>
      </c>
    </row>
    <row r="168" spans="1:7" x14ac:dyDescent="0.15">
      <c r="A168" s="2"/>
      <c r="B168" s="204">
        <v>42537</v>
      </c>
      <c r="C168" s="207"/>
      <c r="D168" s="54"/>
      <c r="E168" s="83"/>
      <c r="F168" s="84"/>
      <c r="G168" s="195"/>
    </row>
    <row r="169" spans="1:7" x14ac:dyDescent="0.15">
      <c r="A169" s="2"/>
      <c r="B169" s="204">
        <v>42538</v>
      </c>
      <c r="C169" s="207"/>
      <c r="D169" s="54"/>
      <c r="E169" s="83"/>
      <c r="F169" s="84"/>
      <c r="G169" s="195"/>
    </row>
    <row r="170" spans="1:7" x14ac:dyDescent="0.15">
      <c r="A170" s="2"/>
      <c r="B170" s="204">
        <v>42539</v>
      </c>
      <c r="C170" s="207" t="s">
        <v>14</v>
      </c>
      <c r="D170" s="54">
        <v>3.6979166666666667E-2</v>
      </c>
      <c r="E170" s="83">
        <v>10.11</v>
      </c>
      <c r="F170" s="84">
        <f>D170/E170</f>
        <v>3.6576821628750414E-3</v>
      </c>
      <c r="G170" s="195" t="s">
        <v>483</v>
      </c>
    </row>
    <row r="171" spans="1:7" ht="14" thickBot="1" x14ac:dyDescent="0.2">
      <c r="A171" s="2"/>
      <c r="B171" s="205">
        <v>42540</v>
      </c>
      <c r="C171" s="208"/>
      <c r="D171" s="199"/>
      <c r="E171" s="200"/>
      <c r="F171" s="185"/>
      <c r="G171" s="201"/>
    </row>
    <row r="172" spans="1:7" ht="14" thickBot="1" x14ac:dyDescent="0.2">
      <c r="A172" s="3">
        <f>A165+1</f>
        <v>25</v>
      </c>
      <c r="B172" s="203">
        <v>42541</v>
      </c>
      <c r="C172" s="206" t="s">
        <v>14</v>
      </c>
      <c r="D172" s="177">
        <v>3.6724537037037035E-2</v>
      </c>
      <c r="E172" s="178">
        <v>10.210000000000001</v>
      </c>
      <c r="F172" s="84">
        <f>D172/E172</f>
        <v>3.5969184169477994E-3</v>
      </c>
      <c r="G172" s="194" t="s">
        <v>475</v>
      </c>
    </row>
    <row r="173" spans="1:7" x14ac:dyDescent="0.15">
      <c r="A173" s="34" t="s">
        <v>11</v>
      </c>
      <c r="B173" s="204">
        <v>42542</v>
      </c>
      <c r="C173" s="207"/>
      <c r="D173" s="54"/>
      <c r="E173" s="83"/>
      <c r="F173" s="84"/>
      <c r="G173" s="195"/>
    </row>
    <row r="174" spans="1:7" ht="14" thickBot="1" x14ac:dyDescent="0.2">
      <c r="A174" s="168">
        <f>SUM(E172:E178)</f>
        <v>20.700000000000003</v>
      </c>
      <c r="B174" s="204">
        <v>42543</v>
      </c>
      <c r="C174" s="207"/>
      <c r="D174" s="54"/>
      <c r="E174" s="83"/>
      <c r="F174" s="84"/>
      <c r="G174" s="195"/>
    </row>
    <row r="175" spans="1:7" x14ac:dyDescent="0.15">
      <c r="A175" s="2"/>
      <c r="B175" s="204">
        <v>42544</v>
      </c>
      <c r="C175" s="207" t="s">
        <v>14</v>
      </c>
      <c r="D175" s="54">
        <v>3.802083333333333E-2</v>
      </c>
      <c r="E175" s="83">
        <v>10.49</v>
      </c>
      <c r="F175" s="84">
        <f>D175/E175</f>
        <v>3.6244836352081343E-3</v>
      </c>
      <c r="G175" s="195" t="s">
        <v>483</v>
      </c>
    </row>
    <row r="176" spans="1:7" x14ac:dyDescent="0.15">
      <c r="A176" s="2"/>
      <c r="B176" s="204">
        <v>42545</v>
      </c>
      <c r="C176" s="207"/>
      <c r="D176" s="54"/>
      <c r="E176" s="83"/>
      <c r="F176" s="84"/>
      <c r="G176" s="195"/>
    </row>
    <row r="177" spans="1:7" x14ac:dyDescent="0.15">
      <c r="A177" s="2"/>
      <c r="B177" s="204">
        <v>42546</v>
      </c>
      <c r="C177" s="207"/>
      <c r="D177" s="54"/>
      <c r="E177" s="83"/>
      <c r="F177" s="84"/>
      <c r="G177" s="195"/>
    </row>
    <row r="178" spans="1:7" ht="14" thickBot="1" x14ac:dyDescent="0.2">
      <c r="A178" s="35"/>
      <c r="B178" s="205">
        <v>42547</v>
      </c>
      <c r="C178" s="208"/>
      <c r="D178" s="199"/>
      <c r="E178" s="200"/>
      <c r="F178" s="185"/>
      <c r="G178" s="201"/>
    </row>
    <row r="179" spans="1:7" ht="14" thickBot="1" x14ac:dyDescent="0.2">
      <c r="A179" s="3">
        <f>A172+1</f>
        <v>26</v>
      </c>
      <c r="B179" s="203">
        <v>42548</v>
      </c>
      <c r="C179" s="206"/>
      <c r="D179" s="177"/>
      <c r="E179" s="178"/>
      <c r="F179" s="84"/>
      <c r="G179" s="194"/>
    </row>
    <row r="180" spans="1:7" x14ac:dyDescent="0.15">
      <c r="A180" s="34" t="s">
        <v>11</v>
      </c>
      <c r="B180" s="204">
        <v>42549</v>
      </c>
      <c r="C180" s="207" t="s">
        <v>14</v>
      </c>
      <c r="D180" s="54">
        <v>4.05787037037037E-2</v>
      </c>
      <c r="E180" s="83">
        <v>10.56</v>
      </c>
      <c r="F180" s="84">
        <f>D180/E180</f>
        <v>3.8426802749719413E-3</v>
      </c>
      <c r="G180" s="195" t="s">
        <v>483</v>
      </c>
    </row>
    <row r="181" spans="1:7" ht="14" thickBot="1" x14ac:dyDescent="0.2">
      <c r="A181" s="168">
        <f>SUM(E179:E185)</f>
        <v>20.79</v>
      </c>
      <c r="B181" s="204">
        <v>42550</v>
      </c>
      <c r="C181" s="207"/>
      <c r="D181" s="54"/>
      <c r="E181" s="83"/>
      <c r="F181" s="84"/>
      <c r="G181" s="195"/>
    </row>
    <row r="182" spans="1:7" x14ac:dyDescent="0.15">
      <c r="A182" s="2"/>
      <c r="B182" s="204">
        <v>42551</v>
      </c>
      <c r="C182" s="207"/>
      <c r="D182" s="54"/>
      <c r="E182" s="83"/>
      <c r="F182" s="84"/>
      <c r="G182" s="195"/>
    </row>
    <row r="183" spans="1:7" x14ac:dyDescent="0.15">
      <c r="A183" s="2"/>
      <c r="B183" s="204">
        <v>42552</v>
      </c>
      <c r="C183" s="207" t="s">
        <v>14</v>
      </c>
      <c r="D183" s="54">
        <v>3.5520833333333328E-2</v>
      </c>
      <c r="E183" s="83">
        <v>10.23</v>
      </c>
      <c r="F183" s="84">
        <f>D183/E183</f>
        <v>3.4722222222222216E-3</v>
      </c>
      <c r="G183" s="195" t="s">
        <v>483</v>
      </c>
    </row>
    <row r="184" spans="1:7" x14ac:dyDescent="0.15">
      <c r="A184" s="2"/>
      <c r="B184" s="204">
        <v>42553</v>
      </c>
      <c r="C184" s="207"/>
      <c r="D184" s="54"/>
      <c r="E184" s="83"/>
      <c r="F184" s="84"/>
      <c r="G184" s="195"/>
    </row>
    <row r="185" spans="1:7" ht="14" thickBot="1" x14ac:dyDescent="0.2">
      <c r="A185" s="2"/>
      <c r="B185" s="205">
        <v>42554</v>
      </c>
      <c r="C185" s="208"/>
      <c r="D185" s="199"/>
      <c r="E185" s="200"/>
      <c r="F185" s="185"/>
      <c r="G185" s="201"/>
    </row>
    <row r="186" spans="1:7" ht="14" thickBot="1" x14ac:dyDescent="0.2">
      <c r="A186" s="3">
        <f>A179+1</f>
        <v>27</v>
      </c>
      <c r="B186" s="203">
        <v>42555</v>
      </c>
      <c r="C186" s="206"/>
      <c r="D186" s="177"/>
      <c r="E186" s="178"/>
      <c r="F186" s="84"/>
      <c r="G186" s="194"/>
    </row>
    <row r="187" spans="1:7" x14ac:dyDescent="0.15">
      <c r="A187" s="34" t="s">
        <v>11</v>
      </c>
      <c r="B187" s="204">
        <v>42556</v>
      </c>
      <c r="C187" s="207" t="s">
        <v>14</v>
      </c>
      <c r="D187" s="54">
        <v>3.6898148148148145E-2</v>
      </c>
      <c r="E187" s="83">
        <v>9.64</v>
      </c>
      <c r="F187" s="84">
        <f>D187/E187</f>
        <v>3.8276087290610105E-3</v>
      </c>
      <c r="G187" s="195" t="s">
        <v>483</v>
      </c>
    </row>
    <row r="188" spans="1:7" ht="14" thickBot="1" x14ac:dyDescent="0.2">
      <c r="A188" s="168">
        <f>SUM(E186:E192)</f>
        <v>20.28</v>
      </c>
      <c r="B188" s="204">
        <v>42557</v>
      </c>
      <c r="C188" s="207"/>
      <c r="D188" s="54"/>
      <c r="E188" s="83"/>
      <c r="F188" s="84"/>
      <c r="G188" s="195"/>
    </row>
    <row r="189" spans="1:7" x14ac:dyDescent="0.15">
      <c r="A189" s="2"/>
      <c r="B189" s="204">
        <v>42558</v>
      </c>
      <c r="C189" s="207"/>
      <c r="D189" s="54"/>
      <c r="E189" s="83"/>
      <c r="F189" s="84"/>
      <c r="G189" s="195"/>
    </row>
    <row r="190" spans="1:7" x14ac:dyDescent="0.15">
      <c r="A190" s="2"/>
      <c r="B190" s="204">
        <v>42559</v>
      </c>
      <c r="C190" s="207" t="s">
        <v>14</v>
      </c>
      <c r="D190" s="54">
        <v>3.7754629629629631E-2</v>
      </c>
      <c r="E190" s="83">
        <v>10.64</v>
      </c>
      <c r="F190" s="84">
        <f>D190/E190</f>
        <v>3.548367446393762E-3</v>
      </c>
      <c r="G190" s="195" t="s">
        <v>483</v>
      </c>
    </row>
    <row r="191" spans="1:7" x14ac:dyDescent="0.15">
      <c r="A191" s="2"/>
      <c r="B191" s="204">
        <v>42560</v>
      </c>
      <c r="C191" s="207"/>
      <c r="D191" s="54"/>
      <c r="E191" s="83"/>
      <c r="F191" s="84"/>
      <c r="G191" s="195"/>
    </row>
    <row r="192" spans="1:7" ht="14" thickBot="1" x14ac:dyDescent="0.2">
      <c r="A192" s="2"/>
      <c r="B192" s="205">
        <v>42561</v>
      </c>
      <c r="C192" s="208"/>
      <c r="D192" s="199"/>
      <c r="E192" s="200"/>
      <c r="F192" s="185"/>
      <c r="G192" s="201"/>
    </row>
    <row r="193" spans="1:8" ht="14" thickBot="1" x14ac:dyDescent="0.2">
      <c r="A193" s="3">
        <f>A186+1</f>
        <v>28</v>
      </c>
      <c r="B193" s="203">
        <v>42562</v>
      </c>
      <c r="C193" s="206"/>
      <c r="D193" s="177"/>
      <c r="E193" s="178"/>
      <c r="F193" s="84"/>
      <c r="G193" s="194"/>
    </row>
    <row r="194" spans="1:8" x14ac:dyDescent="0.15">
      <c r="A194" s="34" t="s">
        <v>11</v>
      </c>
      <c r="B194" s="204">
        <v>42563</v>
      </c>
      <c r="C194" s="207"/>
      <c r="D194" s="54"/>
      <c r="E194" s="83"/>
      <c r="F194" s="84"/>
      <c r="G194" s="195"/>
    </row>
    <row r="195" spans="1:8" ht="14" thickBot="1" x14ac:dyDescent="0.2">
      <c r="A195" s="168">
        <f>SUM(E193:E199)</f>
        <v>10.53</v>
      </c>
      <c r="B195" s="204">
        <v>42564</v>
      </c>
      <c r="C195" s="207"/>
      <c r="D195" s="54"/>
      <c r="E195" s="83"/>
      <c r="F195" s="84"/>
      <c r="G195" s="195"/>
    </row>
    <row r="196" spans="1:8" x14ac:dyDescent="0.15">
      <c r="A196" s="2"/>
      <c r="B196" s="204">
        <v>42565</v>
      </c>
      <c r="C196" s="207"/>
      <c r="D196" s="54"/>
      <c r="E196" s="83"/>
      <c r="F196" s="84"/>
      <c r="G196" s="195"/>
      <c r="H196" s="156"/>
    </row>
    <row r="197" spans="1:8" x14ac:dyDescent="0.15">
      <c r="A197" s="2"/>
      <c r="B197" s="204">
        <v>42566</v>
      </c>
      <c r="C197" s="207" t="s">
        <v>14</v>
      </c>
      <c r="D197" s="54">
        <v>3.8865740740740742E-2</v>
      </c>
      <c r="E197" s="83">
        <v>10.53</v>
      </c>
      <c r="F197" s="84">
        <f>D197/E197</f>
        <v>3.6909535366325495E-3</v>
      </c>
      <c r="G197" s="195" t="s">
        <v>483</v>
      </c>
    </row>
    <row r="198" spans="1:8" x14ac:dyDescent="0.15">
      <c r="A198" s="2"/>
      <c r="B198" s="204">
        <v>42567</v>
      </c>
      <c r="C198" s="207"/>
      <c r="D198" s="54"/>
      <c r="E198" s="83"/>
      <c r="F198" s="84"/>
      <c r="G198" s="195"/>
    </row>
    <row r="199" spans="1:8" ht="14" thickBot="1" x14ac:dyDescent="0.2">
      <c r="A199" s="2"/>
      <c r="B199" s="205">
        <v>42568</v>
      </c>
      <c r="C199" s="208"/>
      <c r="D199" s="199"/>
      <c r="E199" s="200"/>
      <c r="F199" s="185"/>
      <c r="G199" s="201"/>
    </row>
    <row r="200" spans="1:8" ht="14" thickBot="1" x14ac:dyDescent="0.2">
      <c r="A200" s="3">
        <f>A193+1</f>
        <v>29</v>
      </c>
      <c r="B200" s="203">
        <v>42569</v>
      </c>
      <c r="C200" s="206" t="s">
        <v>14</v>
      </c>
      <c r="D200" s="177">
        <v>3.4305555555555554E-2</v>
      </c>
      <c r="E200" s="178">
        <v>9.09</v>
      </c>
      <c r="F200" s="84">
        <f>D200/E200</f>
        <v>3.7739885099621071E-3</v>
      </c>
      <c r="G200" s="194" t="s">
        <v>483</v>
      </c>
      <c r="H200" s="156"/>
    </row>
    <row r="201" spans="1:8" x14ac:dyDescent="0.15">
      <c r="A201" s="34" t="s">
        <v>11</v>
      </c>
      <c r="B201" s="204">
        <v>42570</v>
      </c>
      <c r="C201" s="207"/>
      <c r="D201" s="54"/>
      <c r="E201" s="83"/>
      <c r="F201" s="84"/>
      <c r="G201" s="195"/>
    </row>
    <row r="202" spans="1:8" ht="14" thickBot="1" x14ac:dyDescent="0.2">
      <c r="A202" s="168">
        <f>SUM(E200:E206)</f>
        <v>19.189999999999998</v>
      </c>
      <c r="B202" s="204">
        <v>42571</v>
      </c>
      <c r="C202" s="207"/>
      <c r="D202" s="54"/>
      <c r="E202" s="83"/>
      <c r="F202" s="84"/>
      <c r="G202" s="195"/>
    </row>
    <row r="203" spans="1:8" x14ac:dyDescent="0.15">
      <c r="A203" s="2"/>
      <c r="B203" s="204">
        <v>42572</v>
      </c>
      <c r="C203" s="207"/>
      <c r="D203" s="54"/>
      <c r="E203" s="83"/>
      <c r="F203" s="84"/>
      <c r="G203" s="195"/>
    </row>
    <row r="204" spans="1:8" x14ac:dyDescent="0.15">
      <c r="A204" s="2"/>
      <c r="B204" s="204">
        <v>42573</v>
      </c>
      <c r="C204" s="207" t="s">
        <v>14</v>
      </c>
      <c r="D204" s="54">
        <v>3.7488425925925925E-2</v>
      </c>
      <c r="E204" s="83">
        <v>10.1</v>
      </c>
      <c r="F204" s="84">
        <f>D204/E204</f>
        <v>3.7117253392005868E-3</v>
      </c>
      <c r="G204" s="195" t="s">
        <v>483</v>
      </c>
    </row>
    <row r="205" spans="1:8" x14ac:dyDescent="0.15">
      <c r="A205" s="2"/>
      <c r="B205" s="204">
        <v>42574</v>
      </c>
      <c r="C205" s="207"/>
      <c r="D205" s="54"/>
      <c r="E205" s="83"/>
      <c r="F205" s="84"/>
      <c r="G205" s="195"/>
    </row>
    <row r="206" spans="1:8" ht="14" thickBot="1" x14ac:dyDescent="0.2">
      <c r="A206" s="2"/>
      <c r="B206" s="205">
        <v>42575</v>
      </c>
      <c r="C206" s="208"/>
      <c r="D206" s="199"/>
      <c r="E206" s="200"/>
      <c r="F206" s="185"/>
      <c r="G206" s="201"/>
    </row>
    <row r="207" spans="1:8" ht="14" thickBot="1" x14ac:dyDescent="0.2">
      <c r="A207" s="3">
        <f>A200+1</f>
        <v>30</v>
      </c>
      <c r="B207" s="203">
        <v>42576</v>
      </c>
      <c r="C207" s="206"/>
      <c r="D207" s="177"/>
      <c r="E207" s="178"/>
      <c r="F207" s="84"/>
      <c r="G207" s="194"/>
    </row>
    <row r="208" spans="1:8" x14ac:dyDescent="0.15">
      <c r="A208" s="34" t="s">
        <v>11</v>
      </c>
      <c r="B208" s="204">
        <v>42577</v>
      </c>
      <c r="C208" s="207"/>
      <c r="D208" s="54"/>
      <c r="E208" s="83"/>
      <c r="F208" s="84"/>
      <c r="G208" s="195"/>
    </row>
    <row r="209" spans="1:8" ht="14" thickBot="1" x14ac:dyDescent="0.2">
      <c r="A209" s="168">
        <f>SUM(E207:E213)</f>
        <v>0</v>
      </c>
      <c r="B209" s="204">
        <v>42578</v>
      </c>
      <c r="C209" s="207"/>
      <c r="D209" s="54"/>
      <c r="E209" s="83"/>
      <c r="F209" s="84"/>
      <c r="G209" s="195"/>
    </row>
    <row r="210" spans="1:8" x14ac:dyDescent="0.15">
      <c r="A210" s="2"/>
      <c r="B210" s="204">
        <v>42579</v>
      </c>
      <c r="C210" s="207"/>
      <c r="D210" s="54"/>
      <c r="E210" s="83"/>
      <c r="F210" s="84"/>
      <c r="G210" s="195"/>
    </row>
    <row r="211" spans="1:8" x14ac:dyDescent="0.15">
      <c r="A211" s="2"/>
      <c r="B211" s="204">
        <v>42580</v>
      </c>
      <c r="C211" s="207"/>
      <c r="D211" s="54"/>
      <c r="E211" s="83"/>
      <c r="F211" s="84"/>
      <c r="G211" s="195"/>
    </row>
    <row r="212" spans="1:8" x14ac:dyDescent="0.15">
      <c r="A212" s="2"/>
      <c r="B212" s="204">
        <v>42581</v>
      </c>
      <c r="C212" s="207"/>
      <c r="D212" s="54"/>
      <c r="E212" s="83"/>
      <c r="F212" s="84"/>
      <c r="G212" s="195"/>
    </row>
    <row r="213" spans="1:8" ht="14" thickBot="1" x14ac:dyDescent="0.2">
      <c r="A213" s="2"/>
      <c r="B213" s="205">
        <v>42582</v>
      </c>
      <c r="C213" s="208"/>
      <c r="D213" s="199"/>
      <c r="E213" s="200"/>
      <c r="F213" s="185"/>
      <c r="G213" s="201"/>
    </row>
    <row r="214" spans="1:8" ht="14" thickBot="1" x14ac:dyDescent="0.2">
      <c r="A214" s="3">
        <f>A207+1</f>
        <v>31</v>
      </c>
      <c r="B214" s="203">
        <v>42583</v>
      </c>
      <c r="C214" s="206" t="s">
        <v>14</v>
      </c>
      <c r="D214" s="177">
        <v>3.7453703703703704E-2</v>
      </c>
      <c r="E214" s="178">
        <v>10.49</v>
      </c>
      <c r="F214" s="84">
        <f>D214/E214</f>
        <v>3.570419800162412E-3</v>
      </c>
      <c r="G214" s="194" t="s">
        <v>483</v>
      </c>
    </row>
    <row r="215" spans="1:8" x14ac:dyDescent="0.15">
      <c r="A215" s="34" t="s">
        <v>11</v>
      </c>
      <c r="B215" s="204">
        <v>42584</v>
      </c>
      <c r="C215" s="207"/>
      <c r="D215" s="54"/>
      <c r="E215" s="83"/>
      <c r="F215" s="84"/>
      <c r="G215" s="195"/>
    </row>
    <row r="216" spans="1:8" ht="14" thickBot="1" x14ac:dyDescent="0.2">
      <c r="A216" s="168">
        <f>SUM(E214:E220)</f>
        <v>31.23</v>
      </c>
      <c r="B216" s="204">
        <v>42585</v>
      </c>
      <c r="C216" s="207"/>
      <c r="D216" s="54"/>
      <c r="E216" s="83"/>
      <c r="F216" s="84"/>
      <c r="G216" s="195"/>
    </row>
    <row r="217" spans="1:8" x14ac:dyDescent="0.15">
      <c r="A217" s="2"/>
      <c r="B217" s="204">
        <v>42586</v>
      </c>
      <c r="C217" s="207"/>
      <c r="D217" s="54"/>
      <c r="E217" s="83"/>
      <c r="F217" s="84"/>
      <c r="G217" s="195"/>
    </row>
    <row r="218" spans="1:8" x14ac:dyDescent="0.15">
      <c r="A218" s="2"/>
      <c r="B218" s="204">
        <v>42587</v>
      </c>
      <c r="C218" s="207" t="s">
        <v>14</v>
      </c>
      <c r="D218" s="54">
        <v>3.8564814814814816E-2</v>
      </c>
      <c r="E218" s="83">
        <v>10.65</v>
      </c>
      <c r="F218" s="84">
        <f>D218/E218</f>
        <v>3.6211093722830811E-3</v>
      </c>
      <c r="G218" s="195" t="s">
        <v>483</v>
      </c>
    </row>
    <row r="219" spans="1:8" x14ac:dyDescent="0.15">
      <c r="A219" s="2"/>
      <c r="B219" s="204">
        <v>42588</v>
      </c>
      <c r="C219" s="207"/>
      <c r="D219" s="54"/>
      <c r="E219" s="83"/>
      <c r="F219" s="84"/>
      <c r="G219" s="195"/>
    </row>
    <row r="220" spans="1:8" ht="14" thickBot="1" x14ac:dyDescent="0.2">
      <c r="A220" s="2"/>
      <c r="B220" s="205">
        <v>42589</v>
      </c>
      <c r="C220" s="208" t="s">
        <v>14</v>
      </c>
      <c r="D220" s="199">
        <v>3.6307870370370372E-2</v>
      </c>
      <c r="E220" s="200">
        <v>10.09</v>
      </c>
      <c r="F220" s="185">
        <f>D220/E220</f>
        <v>3.5984014242190659E-3</v>
      </c>
      <c r="G220" s="201" t="s">
        <v>483</v>
      </c>
    </row>
    <row r="221" spans="1:8" ht="14" thickBot="1" x14ac:dyDescent="0.2">
      <c r="A221" s="3">
        <f>A214+1</f>
        <v>32</v>
      </c>
      <c r="B221" s="203">
        <v>42590</v>
      </c>
      <c r="C221" s="206"/>
      <c r="D221" s="177"/>
      <c r="E221" s="178"/>
      <c r="F221" s="84"/>
      <c r="G221" s="194"/>
      <c r="H221" s="156"/>
    </row>
    <row r="222" spans="1:8" x14ac:dyDescent="0.15">
      <c r="A222" s="34" t="s">
        <v>11</v>
      </c>
      <c r="B222" s="204">
        <v>42591</v>
      </c>
      <c r="C222" s="207"/>
      <c r="D222" s="54"/>
      <c r="E222" s="83"/>
      <c r="F222" s="84"/>
      <c r="G222" s="195"/>
    </row>
    <row r="223" spans="1:8" ht="14" thickBot="1" x14ac:dyDescent="0.2">
      <c r="A223" s="168">
        <f>SUM(E221:E227)</f>
        <v>9.76</v>
      </c>
      <c r="B223" s="204">
        <v>42592</v>
      </c>
      <c r="C223" s="207"/>
      <c r="D223" s="54"/>
      <c r="E223" s="83"/>
      <c r="F223" s="84"/>
      <c r="G223" s="195"/>
    </row>
    <row r="224" spans="1:8" x14ac:dyDescent="0.15">
      <c r="A224" s="2"/>
      <c r="B224" s="204">
        <v>42593</v>
      </c>
      <c r="C224" s="207" t="s">
        <v>14</v>
      </c>
      <c r="D224" s="54">
        <v>3.5659722222222225E-2</v>
      </c>
      <c r="E224" s="83">
        <v>9.76</v>
      </c>
      <c r="F224" s="84">
        <f>D224/E224</f>
        <v>3.6536600637522773E-3</v>
      </c>
      <c r="G224" s="195" t="s">
        <v>483</v>
      </c>
    </row>
    <row r="225" spans="1:8" x14ac:dyDescent="0.15">
      <c r="A225" s="2"/>
      <c r="B225" s="204">
        <v>42594</v>
      </c>
      <c r="C225" s="207"/>
      <c r="D225" s="54"/>
      <c r="E225" s="83"/>
      <c r="F225" s="84"/>
      <c r="G225" s="195"/>
    </row>
    <row r="226" spans="1:8" x14ac:dyDescent="0.15">
      <c r="A226" s="2"/>
      <c r="B226" s="204">
        <v>42595</v>
      </c>
      <c r="C226" s="207"/>
      <c r="D226" s="54"/>
      <c r="E226" s="83"/>
      <c r="F226" s="84"/>
      <c r="G226" s="195"/>
    </row>
    <row r="227" spans="1:8" ht="14" thickBot="1" x14ac:dyDescent="0.2">
      <c r="A227" s="2"/>
      <c r="B227" s="205">
        <v>42596</v>
      </c>
      <c r="C227" s="208"/>
      <c r="D227" s="199"/>
      <c r="E227" s="200"/>
      <c r="F227" s="185"/>
      <c r="G227" s="201"/>
    </row>
    <row r="228" spans="1:8" ht="14" thickBot="1" x14ac:dyDescent="0.2">
      <c r="A228" s="3">
        <f>A221+1</f>
        <v>33</v>
      </c>
      <c r="B228" s="203">
        <v>42597</v>
      </c>
      <c r="C228" s="206"/>
      <c r="D228" s="177"/>
      <c r="E228" s="178"/>
      <c r="F228" s="84"/>
      <c r="G228" s="194"/>
      <c r="H228" s="140"/>
    </row>
    <row r="229" spans="1:8" x14ac:dyDescent="0.15">
      <c r="A229" s="34" t="s">
        <v>11</v>
      </c>
      <c r="B229" s="204">
        <v>42598</v>
      </c>
      <c r="C229" s="207"/>
      <c r="D229" s="54"/>
      <c r="E229" s="83"/>
      <c r="F229" s="84"/>
      <c r="G229" s="195"/>
    </row>
    <row r="230" spans="1:8" ht="14" thickBot="1" x14ac:dyDescent="0.2">
      <c r="A230" s="168">
        <f>SUM(E228:E234)</f>
        <v>0</v>
      </c>
      <c r="B230" s="204">
        <v>42599</v>
      </c>
      <c r="C230" s="207"/>
      <c r="D230" s="54"/>
      <c r="E230" s="83"/>
      <c r="F230" s="84"/>
      <c r="G230" s="195"/>
    </row>
    <row r="231" spans="1:8" x14ac:dyDescent="0.15">
      <c r="A231" s="2"/>
      <c r="B231" s="204">
        <v>42600</v>
      </c>
      <c r="C231" s="207"/>
      <c r="D231" s="54"/>
      <c r="E231" s="83"/>
      <c r="F231" s="84"/>
      <c r="G231" s="195"/>
    </row>
    <row r="232" spans="1:8" x14ac:dyDescent="0.15">
      <c r="A232" s="2"/>
      <c r="B232" s="204">
        <v>42601</v>
      </c>
      <c r="C232" s="207"/>
      <c r="D232" s="54"/>
      <c r="E232" s="83"/>
      <c r="F232" s="84"/>
      <c r="G232" s="195"/>
    </row>
    <row r="233" spans="1:8" x14ac:dyDescent="0.15">
      <c r="A233" s="2"/>
      <c r="B233" s="204">
        <v>42602</v>
      </c>
      <c r="C233" s="207"/>
      <c r="D233" s="54"/>
      <c r="E233" s="83"/>
      <c r="F233" s="84"/>
      <c r="G233" s="195"/>
    </row>
    <row r="234" spans="1:8" ht="14" thickBot="1" x14ac:dyDescent="0.2">
      <c r="A234" s="2"/>
      <c r="B234" s="205">
        <v>42603</v>
      </c>
      <c r="C234" s="208"/>
      <c r="D234" s="199"/>
      <c r="E234" s="200"/>
      <c r="F234" s="185"/>
      <c r="G234" s="201"/>
    </row>
    <row r="235" spans="1:8" ht="14" thickBot="1" x14ac:dyDescent="0.2">
      <c r="A235" s="3">
        <f>A228+1</f>
        <v>34</v>
      </c>
      <c r="B235" s="203">
        <v>42604</v>
      </c>
      <c r="C235" s="206" t="s">
        <v>14</v>
      </c>
      <c r="D235" s="177">
        <v>3.2141203703703707E-2</v>
      </c>
      <c r="E235" s="178">
        <v>8.91</v>
      </c>
      <c r="F235" s="84">
        <f>D235/E235</f>
        <v>3.6073180363303823E-3</v>
      </c>
      <c r="G235" s="194" t="s">
        <v>483</v>
      </c>
    </row>
    <row r="236" spans="1:8" x14ac:dyDescent="0.15">
      <c r="A236" s="34" t="s">
        <v>11</v>
      </c>
      <c r="B236" s="204">
        <v>42605</v>
      </c>
      <c r="C236" s="207"/>
      <c r="D236" s="54"/>
      <c r="E236" s="83"/>
      <c r="F236" s="84"/>
      <c r="G236" s="195"/>
    </row>
    <row r="237" spans="1:8" ht="14" thickBot="1" x14ac:dyDescent="0.2">
      <c r="A237" s="168">
        <f>SUM(E235:E241)</f>
        <v>8.91</v>
      </c>
      <c r="B237" s="204">
        <v>42606</v>
      </c>
      <c r="C237" s="207"/>
      <c r="D237" s="54"/>
      <c r="E237" s="83"/>
      <c r="F237" s="84"/>
      <c r="G237" s="195"/>
    </row>
    <row r="238" spans="1:8" x14ac:dyDescent="0.15">
      <c r="A238" s="2"/>
      <c r="B238" s="204">
        <v>42607</v>
      </c>
      <c r="C238" s="207"/>
      <c r="D238" s="54"/>
      <c r="E238" s="83"/>
      <c r="F238" s="84"/>
      <c r="G238" s="195"/>
    </row>
    <row r="239" spans="1:8" x14ac:dyDescent="0.15">
      <c r="A239" s="2"/>
      <c r="B239" s="204">
        <v>42608</v>
      </c>
      <c r="C239" s="207"/>
      <c r="D239" s="54"/>
      <c r="E239" s="83"/>
      <c r="F239" s="84"/>
      <c r="G239" s="195"/>
    </row>
    <row r="240" spans="1:8" x14ac:dyDescent="0.15">
      <c r="A240" s="2"/>
      <c r="B240" s="204">
        <v>42609</v>
      </c>
      <c r="C240" s="207"/>
      <c r="D240" s="54"/>
      <c r="E240" s="83"/>
      <c r="F240" s="84"/>
      <c r="G240" s="195"/>
    </row>
    <row r="241" spans="1:8" ht="14" thickBot="1" x14ac:dyDescent="0.2">
      <c r="A241" s="2"/>
      <c r="B241" s="205">
        <v>42610</v>
      </c>
      <c r="C241" s="208"/>
      <c r="D241" s="199"/>
      <c r="E241" s="200"/>
      <c r="F241" s="185"/>
      <c r="G241" s="201"/>
    </row>
    <row r="242" spans="1:8" ht="14" thickBot="1" x14ac:dyDescent="0.2">
      <c r="A242" s="3">
        <f>A235+1</f>
        <v>35</v>
      </c>
      <c r="B242" s="203">
        <v>42611</v>
      </c>
      <c r="C242" s="206"/>
      <c r="D242" s="177"/>
      <c r="E242" s="178"/>
      <c r="F242" s="84"/>
      <c r="G242" s="194"/>
    </row>
    <row r="243" spans="1:8" x14ac:dyDescent="0.15">
      <c r="A243" s="34" t="s">
        <v>11</v>
      </c>
      <c r="B243" s="204">
        <v>42612</v>
      </c>
      <c r="C243" s="207"/>
      <c r="D243" s="54"/>
      <c r="E243" s="83"/>
      <c r="F243" s="84"/>
      <c r="G243" s="195"/>
    </row>
    <row r="244" spans="1:8" ht="14" thickBot="1" x14ac:dyDescent="0.2">
      <c r="A244" s="168">
        <f>SUM(E242:E248)</f>
        <v>0</v>
      </c>
      <c r="B244" s="204">
        <v>42613</v>
      </c>
      <c r="C244" s="207"/>
      <c r="D244" s="54"/>
      <c r="E244" s="83"/>
      <c r="F244" s="84"/>
      <c r="G244" s="195"/>
    </row>
    <row r="245" spans="1:8" x14ac:dyDescent="0.15">
      <c r="A245" s="2"/>
      <c r="B245" s="204">
        <v>42614</v>
      </c>
      <c r="C245" s="207"/>
      <c r="D245" s="54"/>
      <c r="E245" s="83"/>
      <c r="F245" s="84"/>
      <c r="G245" s="195"/>
    </row>
    <row r="246" spans="1:8" x14ac:dyDescent="0.15">
      <c r="A246" s="2"/>
      <c r="B246" s="204">
        <v>42615</v>
      </c>
      <c r="C246" s="207"/>
      <c r="D246" s="54"/>
      <c r="E246" s="83"/>
      <c r="F246" s="84"/>
      <c r="G246" s="195"/>
    </row>
    <row r="247" spans="1:8" x14ac:dyDescent="0.15">
      <c r="A247" s="2"/>
      <c r="B247" s="204">
        <v>42616</v>
      </c>
      <c r="C247" s="207"/>
      <c r="D247" s="54"/>
      <c r="E247" s="83"/>
      <c r="F247" s="84"/>
      <c r="G247" s="195"/>
    </row>
    <row r="248" spans="1:8" ht="14" thickBot="1" x14ac:dyDescent="0.2">
      <c r="A248" s="2"/>
      <c r="B248" s="205">
        <v>42617</v>
      </c>
      <c r="C248" s="208"/>
      <c r="D248" s="199"/>
      <c r="E248" s="200"/>
      <c r="F248" s="185"/>
      <c r="G248" s="201"/>
    </row>
    <row r="249" spans="1:8" ht="14" thickBot="1" x14ac:dyDescent="0.2">
      <c r="A249" s="3">
        <f>A242+1</f>
        <v>36</v>
      </c>
      <c r="B249" s="203">
        <v>42618</v>
      </c>
      <c r="C249" s="206"/>
      <c r="D249" s="177"/>
      <c r="E249" s="178"/>
      <c r="F249" s="84"/>
      <c r="G249" s="194"/>
    </row>
    <row r="250" spans="1:8" x14ac:dyDescent="0.15">
      <c r="A250" s="34" t="s">
        <v>11</v>
      </c>
      <c r="B250" s="204">
        <v>42619</v>
      </c>
      <c r="C250" s="207"/>
      <c r="D250" s="54"/>
      <c r="E250" s="83"/>
      <c r="F250" s="84"/>
      <c r="G250" s="195"/>
    </row>
    <row r="251" spans="1:8" ht="14" thickBot="1" x14ac:dyDescent="0.2">
      <c r="A251" s="168">
        <f>SUM(E249:E255)</f>
        <v>19.21</v>
      </c>
      <c r="B251" s="204">
        <v>42620</v>
      </c>
      <c r="C251" s="207"/>
      <c r="D251" s="54"/>
      <c r="E251" s="83"/>
      <c r="F251" s="84"/>
      <c r="G251" s="195"/>
      <c r="H251" s="147"/>
    </row>
    <row r="252" spans="1:8" x14ac:dyDescent="0.15">
      <c r="A252" s="2"/>
      <c r="B252" s="204">
        <v>42621</v>
      </c>
      <c r="C252" s="207" t="s">
        <v>14</v>
      </c>
      <c r="D252" s="54">
        <v>4.0162037037037038E-2</v>
      </c>
      <c r="E252" s="83">
        <v>10.58</v>
      </c>
      <c r="F252" s="84">
        <f>D252/E252</f>
        <v>3.7960337464118181E-3</v>
      </c>
      <c r="G252" s="195" t="s">
        <v>483</v>
      </c>
    </row>
    <row r="253" spans="1:8" x14ac:dyDescent="0.15">
      <c r="A253" s="2"/>
      <c r="B253" s="204">
        <v>42622</v>
      </c>
      <c r="C253" s="207"/>
      <c r="D253" s="54"/>
      <c r="E253" s="83"/>
      <c r="F253" s="84"/>
      <c r="G253" s="195"/>
    </row>
    <row r="254" spans="1:8" x14ac:dyDescent="0.15">
      <c r="A254" s="2"/>
      <c r="B254" s="204">
        <v>42623</v>
      </c>
      <c r="C254" s="207" t="s">
        <v>14</v>
      </c>
      <c r="D254" s="54">
        <v>3.4108796296296297E-2</v>
      </c>
      <c r="E254" s="83">
        <v>8.6300000000000008</v>
      </c>
      <c r="F254" s="84">
        <f>D254/E254</f>
        <v>3.9523518303935454E-3</v>
      </c>
      <c r="G254" s="195" t="s">
        <v>483</v>
      </c>
    </row>
    <row r="255" spans="1:8" ht="14" thickBot="1" x14ac:dyDescent="0.2">
      <c r="A255" s="2"/>
      <c r="B255" s="205">
        <v>42624</v>
      </c>
      <c r="C255" s="208"/>
      <c r="D255" s="199"/>
      <c r="E255" s="200"/>
      <c r="F255" s="185"/>
      <c r="G255" s="201"/>
    </row>
    <row r="256" spans="1:8" ht="14" thickBot="1" x14ac:dyDescent="0.2">
      <c r="A256" s="3">
        <f>A249+1</f>
        <v>37</v>
      </c>
      <c r="B256" s="203">
        <v>42625</v>
      </c>
      <c r="C256" s="206"/>
      <c r="D256" s="177"/>
      <c r="E256" s="178"/>
      <c r="F256" s="84"/>
      <c r="G256" s="194"/>
    </row>
    <row r="257" spans="1:7" x14ac:dyDescent="0.15">
      <c r="A257" s="34" t="s">
        <v>11</v>
      </c>
      <c r="B257" s="204">
        <v>42626</v>
      </c>
      <c r="C257" s="207"/>
      <c r="D257" s="54"/>
      <c r="E257" s="83"/>
      <c r="F257" s="84"/>
      <c r="G257" s="195"/>
    </row>
    <row r="258" spans="1:7" ht="14" thickBot="1" x14ac:dyDescent="0.2">
      <c r="A258" s="168">
        <f>SUM(E256:E262)</f>
        <v>8.5500000000000007</v>
      </c>
      <c r="B258" s="204">
        <v>42627</v>
      </c>
      <c r="C258" s="207" t="s">
        <v>14</v>
      </c>
      <c r="D258" s="54">
        <v>3.2314814814814817E-2</v>
      </c>
      <c r="E258" s="83">
        <v>8.5500000000000007</v>
      </c>
      <c r="F258" s="84">
        <f>D258/E258</f>
        <v>3.7795105046567034E-3</v>
      </c>
      <c r="G258" s="195" t="s">
        <v>483</v>
      </c>
    </row>
    <row r="259" spans="1:7" x14ac:dyDescent="0.15">
      <c r="A259" s="2"/>
      <c r="B259" s="204">
        <v>42628</v>
      </c>
      <c r="C259" s="207"/>
      <c r="D259" s="54"/>
      <c r="E259" s="83"/>
      <c r="F259" s="84"/>
      <c r="G259" s="195"/>
    </row>
    <row r="260" spans="1:7" x14ac:dyDescent="0.15">
      <c r="A260" s="2"/>
      <c r="B260" s="204">
        <v>42629</v>
      </c>
      <c r="C260" s="207"/>
      <c r="D260" s="54"/>
      <c r="E260" s="83"/>
      <c r="F260" s="84"/>
      <c r="G260" s="195"/>
    </row>
    <row r="261" spans="1:7" x14ac:dyDescent="0.15">
      <c r="A261" s="2"/>
      <c r="B261" s="204">
        <v>42630</v>
      </c>
      <c r="C261" s="207"/>
      <c r="D261" s="54"/>
      <c r="E261" s="83"/>
      <c r="F261" s="84"/>
      <c r="G261" s="195"/>
    </row>
    <row r="262" spans="1:7" ht="14" thickBot="1" x14ac:dyDescent="0.2">
      <c r="A262" s="2"/>
      <c r="B262" s="205">
        <v>42631</v>
      </c>
      <c r="C262" s="208"/>
      <c r="D262" s="199"/>
      <c r="E262" s="200"/>
      <c r="F262" s="185"/>
      <c r="G262" s="201"/>
    </row>
    <row r="263" spans="1:7" ht="14" thickBot="1" x14ac:dyDescent="0.2">
      <c r="A263" s="3">
        <f>A256+1</f>
        <v>38</v>
      </c>
      <c r="B263" s="203">
        <v>42632</v>
      </c>
      <c r="C263" s="206" t="s">
        <v>14</v>
      </c>
      <c r="D263" s="177">
        <v>3.8900462962962963E-2</v>
      </c>
      <c r="E263" s="178">
        <v>10.5</v>
      </c>
      <c r="F263" s="84">
        <f>D263/E263</f>
        <v>3.7048059964726633E-3</v>
      </c>
      <c r="G263" s="194" t="s">
        <v>475</v>
      </c>
    </row>
    <row r="264" spans="1:7" x14ac:dyDescent="0.15">
      <c r="A264" s="34" t="s">
        <v>11</v>
      </c>
      <c r="B264" s="204">
        <v>42633</v>
      </c>
      <c r="C264" s="207"/>
      <c r="D264" s="54"/>
      <c r="E264" s="83"/>
      <c r="F264" s="84"/>
      <c r="G264" s="195"/>
    </row>
    <row r="265" spans="1:7" ht="14" thickBot="1" x14ac:dyDescent="0.2">
      <c r="A265" s="212">
        <f>SUM(E263:E269)</f>
        <v>10.5</v>
      </c>
      <c r="B265" s="204">
        <v>42634</v>
      </c>
      <c r="C265" s="207"/>
      <c r="D265" s="54"/>
      <c r="E265" s="83"/>
      <c r="F265" s="84"/>
      <c r="G265" s="195"/>
    </row>
    <row r="266" spans="1:7" x14ac:dyDescent="0.15">
      <c r="A266" s="2"/>
      <c r="B266" s="204">
        <v>42635</v>
      </c>
      <c r="C266" s="207"/>
      <c r="D266" s="54"/>
      <c r="E266" s="83"/>
      <c r="F266" s="84"/>
      <c r="G266" s="195"/>
    </row>
    <row r="267" spans="1:7" x14ac:dyDescent="0.15">
      <c r="A267" s="2"/>
      <c r="B267" s="204">
        <v>42636</v>
      </c>
      <c r="C267" s="207"/>
      <c r="D267" s="54"/>
      <c r="E267" s="83"/>
      <c r="F267" s="84"/>
      <c r="G267" s="195"/>
    </row>
    <row r="268" spans="1:7" x14ac:dyDescent="0.15">
      <c r="A268" s="2"/>
      <c r="B268" s="204">
        <v>42637</v>
      </c>
      <c r="C268" s="207"/>
      <c r="D268" s="54"/>
      <c r="E268" s="83"/>
      <c r="F268" s="84"/>
      <c r="G268" s="195"/>
    </row>
    <row r="269" spans="1:7" ht="14" thickBot="1" x14ac:dyDescent="0.2">
      <c r="A269" s="2"/>
      <c r="B269" s="205">
        <v>42638</v>
      </c>
      <c r="C269" s="208"/>
      <c r="D269" s="199"/>
      <c r="E269" s="200"/>
      <c r="F269" s="185"/>
      <c r="G269" s="201"/>
    </row>
    <row r="270" spans="1:7" ht="14" thickBot="1" x14ac:dyDescent="0.2">
      <c r="A270" s="3">
        <f>A263+1</f>
        <v>39</v>
      </c>
      <c r="B270" s="203">
        <v>42639</v>
      </c>
      <c r="C270" s="206" t="s">
        <v>14</v>
      </c>
      <c r="D270" s="177">
        <v>3.4953703703703702E-2</v>
      </c>
      <c r="E270" s="178">
        <v>9.8000000000000007</v>
      </c>
      <c r="F270" s="84">
        <f>D270/E270</f>
        <v>3.5667044595616018E-3</v>
      </c>
      <c r="G270" s="194" t="s">
        <v>472</v>
      </c>
    </row>
    <row r="271" spans="1:7" x14ac:dyDescent="0.15">
      <c r="A271" s="34" t="s">
        <v>11</v>
      </c>
      <c r="B271" s="204">
        <v>42640</v>
      </c>
      <c r="C271" s="207"/>
      <c r="D271" s="54"/>
      <c r="E271" s="83"/>
      <c r="F271" s="84"/>
      <c r="G271" s="195"/>
    </row>
    <row r="272" spans="1:7" ht="14" thickBot="1" x14ac:dyDescent="0.2">
      <c r="A272" s="168">
        <f>SUM(E270:E276)</f>
        <v>21.39</v>
      </c>
      <c r="B272" s="204">
        <v>42641</v>
      </c>
      <c r="C272" s="207"/>
      <c r="D272" s="54"/>
      <c r="E272" s="83"/>
      <c r="F272" s="84"/>
      <c r="G272" s="195"/>
    </row>
    <row r="273" spans="1:7" x14ac:dyDescent="0.15">
      <c r="A273" s="2"/>
      <c r="B273" s="204">
        <v>42642</v>
      </c>
      <c r="C273" s="207"/>
      <c r="D273" s="54"/>
      <c r="E273" s="83"/>
      <c r="F273" s="84"/>
      <c r="G273" s="195"/>
    </row>
    <row r="274" spans="1:7" x14ac:dyDescent="0.15">
      <c r="A274" s="2"/>
      <c r="B274" s="204">
        <v>42643</v>
      </c>
      <c r="C274" s="207"/>
      <c r="D274" s="54"/>
      <c r="E274" s="83"/>
      <c r="F274" s="84"/>
      <c r="G274" s="195"/>
    </row>
    <row r="275" spans="1:7" x14ac:dyDescent="0.15">
      <c r="A275" s="2"/>
      <c r="B275" s="204">
        <v>42644</v>
      </c>
      <c r="C275" s="207" t="s">
        <v>14</v>
      </c>
      <c r="D275" s="54">
        <v>4.3078703703703702E-2</v>
      </c>
      <c r="E275" s="83">
        <v>11.59</v>
      </c>
      <c r="F275" s="84">
        <f>D275/E275</f>
        <v>3.7168855654619243E-3</v>
      </c>
      <c r="G275" s="195" t="s">
        <v>472</v>
      </c>
    </row>
    <row r="276" spans="1:7" ht="14" thickBot="1" x14ac:dyDescent="0.2">
      <c r="A276" s="2"/>
      <c r="B276" s="205">
        <v>42645</v>
      </c>
      <c r="C276" s="208"/>
      <c r="D276" s="199"/>
      <c r="E276" s="200"/>
      <c r="F276" s="185"/>
      <c r="G276" s="201"/>
    </row>
    <row r="277" spans="1:7" ht="14" thickBot="1" x14ac:dyDescent="0.2">
      <c r="A277" s="3">
        <f>A270+1</f>
        <v>40</v>
      </c>
      <c r="B277" s="203">
        <v>42646</v>
      </c>
      <c r="C277" s="206"/>
      <c r="D277" s="177"/>
      <c r="E277" s="178"/>
      <c r="F277" s="84"/>
      <c r="G277" s="194"/>
    </row>
    <row r="278" spans="1:7" x14ac:dyDescent="0.15">
      <c r="A278" s="34" t="s">
        <v>11</v>
      </c>
      <c r="B278" s="204">
        <v>42647</v>
      </c>
      <c r="C278" s="207"/>
      <c r="D278" s="54"/>
      <c r="E278" s="83"/>
      <c r="F278" s="84"/>
      <c r="G278" s="195"/>
    </row>
    <row r="279" spans="1:7" ht="14" thickBot="1" x14ac:dyDescent="0.2">
      <c r="A279" s="168">
        <f>SUM(E277:E283)</f>
        <v>10</v>
      </c>
      <c r="B279" s="204">
        <v>42648</v>
      </c>
      <c r="C279" s="207"/>
      <c r="D279" s="54"/>
      <c r="E279" s="83"/>
      <c r="F279" s="84"/>
      <c r="G279" s="195"/>
    </row>
    <row r="280" spans="1:7" x14ac:dyDescent="0.15">
      <c r="A280" s="2"/>
      <c r="B280" s="204">
        <v>42649</v>
      </c>
      <c r="C280" s="207" t="s">
        <v>14</v>
      </c>
      <c r="D280" s="54">
        <v>3.6562499999999998E-2</v>
      </c>
      <c r="E280" s="83">
        <v>10</v>
      </c>
      <c r="F280" s="84">
        <f>D280/E280</f>
        <v>3.6562499999999998E-3</v>
      </c>
      <c r="G280" s="195" t="s">
        <v>475</v>
      </c>
    </row>
    <row r="281" spans="1:7" x14ac:dyDescent="0.15">
      <c r="A281" s="2"/>
      <c r="B281" s="204">
        <v>42650</v>
      </c>
      <c r="C281" s="207"/>
      <c r="D281" s="54"/>
      <c r="E281" s="83"/>
      <c r="F281" s="84"/>
      <c r="G281" s="195"/>
    </row>
    <row r="282" spans="1:7" x14ac:dyDescent="0.15">
      <c r="A282" s="2"/>
      <c r="B282" s="204">
        <v>42651</v>
      </c>
      <c r="C282" s="207"/>
      <c r="D282" s="54"/>
      <c r="E282" s="83"/>
      <c r="F282" s="84"/>
      <c r="G282" s="195"/>
    </row>
    <row r="283" spans="1:7" ht="14" thickBot="1" x14ac:dyDescent="0.2">
      <c r="A283" s="2"/>
      <c r="B283" s="205">
        <v>42652</v>
      </c>
      <c r="C283" s="208"/>
      <c r="D283" s="199"/>
      <c r="E283" s="200"/>
      <c r="F283" s="185"/>
      <c r="G283" s="201"/>
    </row>
    <row r="284" spans="1:7" ht="14" thickBot="1" x14ac:dyDescent="0.2">
      <c r="A284" s="3">
        <f>A277+1</f>
        <v>41</v>
      </c>
      <c r="B284" s="203">
        <v>42653</v>
      </c>
      <c r="C284" s="206" t="s">
        <v>14</v>
      </c>
      <c r="D284" s="177">
        <v>3.7152777777777778E-2</v>
      </c>
      <c r="E284" s="178">
        <v>10.44</v>
      </c>
      <c r="F284" s="84">
        <f>D284/E284</f>
        <v>3.5586951894423162E-3</v>
      </c>
      <c r="G284" s="194" t="s">
        <v>483</v>
      </c>
    </row>
    <row r="285" spans="1:7" x14ac:dyDescent="0.15">
      <c r="A285" s="34" t="s">
        <v>11</v>
      </c>
      <c r="B285" s="204">
        <v>42654</v>
      </c>
      <c r="C285" s="207"/>
      <c r="D285" s="54"/>
      <c r="E285" s="83"/>
      <c r="F285" s="84"/>
      <c r="G285" s="195"/>
    </row>
    <row r="286" spans="1:7" ht="14" thickBot="1" x14ac:dyDescent="0.2">
      <c r="A286" s="168">
        <f>SUM(E284:E290)</f>
        <v>10.44</v>
      </c>
      <c r="B286" s="204">
        <v>42655</v>
      </c>
      <c r="C286" s="207"/>
      <c r="D286" s="54"/>
      <c r="E286" s="83"/>
      <c r="F286" s="84"/>
      <c r="G286" s="195"/>
    </row>
    <row r="287" spans="1:7" x14ac:dyDescent="0.15">
      <c r="A287" s="2"/>
      <c r="B287" s="204">
        <v>42656</v>
      </c>
      <c r="C287" s="207"/>
      <c r="D287" s="54"/>
      <c r="E287" s="83"/>
      <c r="F287" s="84"/>
      <c r="G287" s="195"/>
    </row>
    <row r="288" spans="1:7" x14ac:dyDescent="0.15">
      <c r="A288" s="2"/>
      <c r="B288" s="204">
        <v>42657</v>
      </c>
      <c r="C288" s="207"/>
      <c r="D288" s="54"/>
      <c r="E288" s="83"/>
      <c r="F288" s="84"/>
      <c r="G288" s="195"/>
    </row>
    <row r="289" spans="1:7" x14ac:dyDescent="0.15">
      <c r="A289" s="2"/>
      <c r="B289" s="204">
        <v>42658</v>
      </c>
      <c r="C289" s="207"/>
      <c r="D289" s="54"/>
      <c r="E289" s="83"/>
      <c r="F289" s="84"/>
      <c r="G289" s="195"/>
    </row>
    <row r="290" spans="1:7" ht="14" thickBot="1" x14ac:dyDescent="0.2">
      <c r="A290" s="2"/>
      <c r="B290" s="205">
        <v>42659</v>
      </c>
      <c r="C290" s="208"/>
      <c r="D290" s="199"/>
      <c r="E290" s="200"/>
      <c r="F290" s="185"/>
      <c r="G290" s="201"/>
    </row>
    <row r="291" spans="1:7" ht="14" thickBot="1" x14ac:dyDescent="0.2">
      <c r="A291" s="3">
        <f>A284+1</f>
        <v>42</v>
      </c>
      <c r="B291" s="203">
        <v>42660</v>
      </c>
      <c r="C291" s="206"/>
      <c r="D291" s="177"/>
      <c r="E291" s="178"/>
      <c r="F291" s="84"/>
      <c r="G291" s="194"/>
    </row>
    <row r="292" spans="1:7" x14ac:dyDescent="0.15">
      <c r="A292" s="34" t="s">
        <v>11</v>
      </c>
      <c r="B292" s="204">
        <v>42661</v>
      </c>
      <c r="C292" s="207"/>
      <c r="D292" s="54"/>
      <c r="E292" s="83"/>
      <c r="F292" s="84"/>
      <c r="G292" s="195"/>
    </row>
    <row r="293" spans="1:7" ht="14" thickBot="1" x14ac:dyDescent="0.2">
      <c r="A293" s="168">
        <f>SUM(E291:E297)</f>
        <v>9.9</v>
      </c>
      <c r="B293" s="204">
        <v>42662</v>
      </c>
      <c r="C293" s="207"/>
      <c r="D293" s="54"/>
      <c r="E293" s="83"/>
      <c r="F293" s="84"/>
      <c r="G293" s="195"/>
    </row>
    <row r="294" spans="1:7" x14ac:dyDescent="0.15">
      <c r="A294" s="2"/>
      <c r="B294" s="204">
        <v>42663</v>
      </c>
      <c r="C294" s="207"/>
      <c r="D294" s="54"/>
      <c r="E294" s="83"/>
      <c r="F294" s="84"/>
      <c r="G294" s="195"/>
    </row>
    <row r="295" spans="1:7" x14ac:dyDescent="0.15">
      <c r="A295" s="2"/>
      <c r="B295" s="204">
        <v>42664</v>
      </c>
      <c r="C295" s="207"/>
      <c r="D295" s="54"/>
      <c r="E295" s="83"/>
      <c r="F295" s="84"/>
      <c r="G295" s="195"/>
    </row>
    <row r="296" spans="1:7" x14ac:dyDescent="0.15">
      <c r="A296" s="2"/>
      <c r="B296" s="204">
        <v>42665</v>
      </c>
      <c r="C296" s="207"/>
      <c r="D296" s="54"/>
      <c r="E296" s="83"/>
      <c r="F296" s="84"/>
      <c r="G296" s="195"/>
    </row>
    <row r="297" spans="1:7" ht="14" thickBot="1" x14ac:dyDescent="0.2">
      <c r="A297" s="2"/>
      <c r="B297" s="205">
        <v>42666</v>
      </c>
      <c r="C297" s="208" t="s">
        <v>14</v>
      </c>
      <c r="D297" s="199">
        <v>3.7488425925925925E-2</v>
      </c>
      <c r="E297" s="200">
        <v>9.9</v>
      </c>
      <c r="F297" s="185">
        <f>D297/E297</f>
        <v>3.7867096894874672E-3</v>
      </c>
      <c r="G297" s="201" t="s">
        <v>472</v>
      </c>
    </row>
    <row r="298" spans="1:7" ht="14" thickBot="1" x14ac:dyDescent="0.2">
      <c r="A298" s="3">
        <f>A291+1</f>
        <v>43</v>
      </c>
      <c r="B298" s="203">
        <v>42667</v>
      </c>
      <c r="C298" s="206"/>
      <c r="D298" s="177"/>
      <c r="E298" s="178"/>
      <c r="F298" s="84"/>
      <c r="G298" s="194"/>
    </row>
    <row r="299" spans="1:7" x14ac:dyDescent="0.15">
      <c r="A299" s="34" t="s">
        <v>11</v>
      </c>
      <c r="B299" s="204">
        <v>42668</v>
      </c>
      <c r="C299" s="207"/>
      <c r="D299" s="54"/>
      <c r="E299" s="83"/>
      <c r="F299" s="84"/>
      <c r="G299" s="195"/>
    </row>
    <row r="300" spans="1:7" ht="14" thickBot="1" x14ac:dyDescent="0.2">
      <c r="A300" s="168">
        <f>SUM(E298:E304)</f>
        <v>20.89</v>
      </c>
      <c r="B300" s="204">
        <v>42669</v>
      </c>
      <c r="C300" s="207" t="s">
        <v>14</v>
      </c>
      <c r="D300" s="54">
        <v>3.9016203703703699E-2</v>
      </c>
      <c r="E300" s="83">
        <v>10.4</v>
      </c>
      <c r="F300" s="84">
        <f>D300/E300</f>
        <v>3.7515580484330478E-3</v>
      </c>
      <c r="G300" s="195" t="s">
        <v>472</v>
      </c>
    </row>
    <row r="301" spans="1:7" x14ac:dyDescent="0.15">
      <c r="A301" s="2"/>
      <c r="B301" s="204">
        <v>42670</v>
      </c>
      <c r="C301" s="207"/>
      <c r="D301" s="54"/>
      <c r="E301" s="83"/>
      <c r="F301" s="84"/>
      <c r="G301" s="195"/>
    </row>
    <row r="302" spans="1:7" x14ac:dyDescent="0.15">
      <c r="A302" s="2"/>
      <c r="B302" s="204">
        <v>42671</v>
      </c>
      <c r="C302" s="207" t="s">
        <v>14</v>
      </c>
      <c r="D302" s="54">
        <v>3.9560185185185184E-2</v>
      </c>
      <c r="E302" s="83">
        <v>10.49</v>
      </c>
      <c r="F302" s="84">
        <f>D302/E302</f>
        <v>3.7712283303322387E-3</v>
      </c>
      <c r="G302" s="195" t="s">
        <v>475</v>
      </c>
    </row>
    <row r="303" spans="1:7" x14ac:dyDescent="0.15">
      <c r="A303" s="2"/>
      <c r="B303" s="204">
        <v>42672</v>
      </c>
      <c r="C303" s="207"/>
      <c r="D303" s="54"/>
      <c r="E303" s="83"/>
      <c r="F303" s="84"/>
      <c r="G303" s="195"/>
    </row>
    <row r="304" spans="1:7" ht="14" thickBot="1" x14ac:dyDescent="0.2">
      <c r="A304" s="2"/>
      <c r="B304" s="205">
        <v>42673</v>
      </c>
      <c r="C304" s="208"/>
      <c r="D304" s="199"/>
      <c r="E304" s="200"/>
      <c r="F304" s="185"/>
      <c r="G304" s="201"/>
    </row>
    <row r="305" spans="1:7" ht="14" thickBot="1" x14ac:dyDescent="0.2">
      <c r="A305" s="3">
        <f>A298+1</f>
        <v>44</v>
      </c>
      <c r="B305" s="203">
        <v>42674</v>
      </c>
      <c r="C305" s="206"/>
      <c r="D305" s="177"/>
      <c r="E305" s="178"/>
      <c r="F305" s="84"/>
      <c r="G305" s="194"/>
    </row>
    <row r="306" spans="1:7" x14ac:dyDescent="0.15">
      <c r="A306" s="34" t="s">
        <v>11</v>
      </c>
      <c r="B306" s="204">
        <v>42675</v>
      </c>
      <c r="C306" s="207" t="s">
        <v>14</v>
      </c>
      <c r="D306" s="54">
        <v>3.9386574074074074E-2</v>
      </c>
      <c r="E306" s="83">
        <v>10.55</v>
      </c>
      <c r="F306" s="84">
        <f>D306/E306</f>
        <v>3.733324556784272E-3</v>
      </c>
      <c r="G306" s="195" t="s">
        <v>472</v>
      </c>
    </row>
    <row r="307" spans="1:7" ht="14" thickBot="1" x14ac:dyDescent="0.2">
      <c r="A307" s="168">
        <f>SUM(E305:E311)</f>
        <v>10.55</v>
      </c>
      <c r="B307" s="204">
        <v>42676</v>
      </c>
      <c r="C307" s="207"/>
      <c r="D307" s="54"/>
      <c r="E307" s="83"/>
      <c r="F307" s="84"/>
      <c r="G307" s="195"/>
    </row>
    <row r="308" spans="1:7" x14ac:dyDescent="0.15">
      <c r="A308" s="2"/>
      <c r="B308" s="204">
        <v>42677</v>
      </c>
      <c r="C308" s="207"/>
      <c r="D308" s="54"/>
      <c r="E308" s="83"/>
      <c r="F308" s="84"/>
      <c r="G308" s="195"/>
    </row>
    <row r="309" spans="1:7" x14ac:dyDescent="0.15">
      <c r="A309" s="2"/>
      <c r="B309" s="204">
        <v>42678</v>
      </c>
      <c r="C309" s="207"/>
      <c r="D309" s="54"/>
      <c r="E309" s="83"/>
      <c r="F309" s="84"/>
      <c r="G309" s="195"/>
    </row>
    <row r="310" spans="1:7" x14ac:dyDescent="0.15">
      <c r="A310" s="2"/>
      <c r="B310" s="204">
        <v>42679</v>
      </c>
      <c r="C310" s="207"/>
      <c r="D310" s="54"/>
      <c r="E310" s="83"/>
      <c r="F310" s="84"/>
      <c r="G310" s="195"/>
    </row>
    <row r="311" spans="1:7" ht="14" thickBot="1" x14ac:dyDescent="0.2">
      <c r="A311" s="2"/>
      <c r="B311" s="205">
        <v>42680</v>
      </c>
      <c r="C311" s="208"/>
      <c r="D311" s="199"/>
      <c r="E311" s="200"/>
      <c r="F311" s="185"/>
      <c r="G311" s="201"/>
    </row>
    <row r="312" spans="1:7" ht="14" thickBot="1" x14ac:dyDescent="0.2">
      <c r="A312" s="3">
        <f>A305+1</f>
        <v>45</v>
      </c>
      <c r="B312" s="203">
        <v>42681</v>
      </c>
      <c r="C312" s="206"/>
      <c r="D312" s="177"/>
      <c r="E312" s="178"/>
      <c r="F312" s="84"/>
      <c r="G312" s="194"/>
    </row>
    <row r="313" spans="1:7" x14ac:dyDescent="0.15">
      <c r="A313" s="34" t="s">
        <v>11</v>
      </c>
      <c r="B313" s="204">
        <v>42682</v>
      </c>
      <c r="C313" s="207"/>
      <c r="D313" s="54"/>
      <c r="E313" s="83"/>
      <c r="F313" s="84"/>
      <c r="G313" s="195"/>
    </row>
    <row r="314" spans="1:7" ht="14" thickBot="1" x14ac:dyDescent="0.2">
      <c r="A314" s="168">
        <f>SUM(E312:E318)</f>
        <v>10.199999999999999</v>
      </c>
      <c r="B314" s="204">
        <v>42683</v>
      </c>
      <c r="C314" s="207"/>
      <c r="D314" s="54"/>
      <c r="E314" s="83"/>
      <c r="F314" s="84"/>
      <c r="G314" s="195"/>
    </row>
    <row r="315" spans="1:7" x14ac:dyDescent="0.15">
      <c r="A315" s="2"/>
      <c r="B315" s="204">
        <v>42684</v>
      </c>
      <c r="C315" s="207"/>
      <c r="D315" s="54"/>
      <c r="E315" s="83"/>
      <c r="F315" s="84"/>
      <c r="G315" s="195"/>
    </row>
    <row r="316" spans="1:7" x14ac:dyDescent="0.15">
      <c r="A316" s="2"/>
      <c r="B316" s="204">
        <v>42685</v>
      </c>
      <c r="C316" s="207"/>
      <c r="D316" s="54"/>
      <c r="E316" s="83"/>
      <c r="F316" s="84"/>
      <c r="G316" s="195"/>
    </row>
    <row r="317" spans="1:7" x14ac:dyDescent="0.15">
      <c r="B317" s="204">
        <v>42686</v>
      </c>
      <c r="C317" s="207" t="s">
        <v>14</v>
      </c>
      <c r="D317" s="54">
        <v>3.740740740740741E-2</v>
      </c>
      <c r="E317" s="83">
        <v>10.199999999999999</v>
      </c>
      <c r="F317" s="84">
        <f>D317/E317</f>
        <v>3.6673928830791582E-3</v>
      </c>
      <c r="G317" s="195" t="s">
        <v>472</v>
      </c>
    </row>
    <row r="318" spans="1:7" ht="14" thickBot="1" x14ac:dyDescent="0.2">
      <c r="B318" s="205">
        <v>42687</v>
      </c>
      <c r="C318" s="208"/>
      <c r="D318" s="199"/>
      <c r="E318" s="200"/>
      <c r="F318" s="185"/>
      <c r="G318" s="201"/>
    </row>
    <row r="319" spans="1:7" ht="14" thickBot="1" x14ac:dyDescent="0.2">
      <c r="A319" s="3">
        <f>A312+1</f>
        <v>46</v>
      </c>
      <c r="B319" s="203">
        <v>42688</v>
      </c>
      <c r="C319" s="206" t="s">
        <v>14</v>
      </c>
      <c r="D319" s="177">
        <v>3.9120370370370368E-2</v>
      </c>
      <c r="E319" s="178">
        <v>10.53</v>
      </c>
      <c r="F319" s="84">
        <f>D319/E319</f>
        <v>3.7151348879743942E-3</v>
      </c>
      <c r="G319" s="194" t="s">
        <v>472</v>
      </c>
    </row>
    <row r="320" spans="1:7" x14ac:dyDescent="0.15">
      <c r="A320" s="34" t="s">
        <v>11</v>
      </c>
      <c r="B320" s="204">
        <v>42689</v>
      </c>
      <c r="C320" s="207"/>
      <c r="D320" s="54"/>
      <c r="E320" s="83"/>
      <c r="F320" s="84"/>
      <c r="G320" s="195"/>
    </row>
    <row r="321" spans="1:7" ht="14" thickBot="1" x14ac:dyDescent="0.2">
      <c r="A321" s="168">
        <f>SUM(E319:E325)</f>
        <v>10.53</v>
      </c>
      <c r="B321" s="204">
        <v>42690</v>
      </c>
      <c r="C321" s="207"/>
      <c r="D321" s="54"/>
      <c r="E321" s="83"/>
      <c r="F321" s="84"/>
      <c r="G321" s="195"/>
    </row>
    <row r="322" spans="1:7" x14ac:dyDescent="0.15">
      <c r="A322" s="2"/>
      <c r="B322" s="204">
        <v>42691</v>
      </c>
      <c r="C322" s="207"/>
      <c r="D322" s="54"/>
      <c r="E322" s="83"/>
      <c r="F322" s="84"/>
      <c r="G322" s="195"/>
    </row>
    <row r="323" spans="1:7" x14ac:dyDescent="0.15">
      <c r="A323" s="2"/>
      <c r="B323" s="204">
        <v>42692</v>
      </c>
      <c r="C323" s="207"/>
      <c r="D323" s="54"/>
      <c r="E323" s="83"/>
      <c r="F323" s="84"/>
      <c r="G323" s="195"/>
    </row>
    <row r="324" spans="1:7" x14ac:dyDescent="0.15">
      <c r="B324" s="204">
        <v>42693</v>
      </c>
      <c r="C324" s="207"/>
      <c r="D324" s="54"/>
      <c r="E324" s="83"/>
      <c r="F324" s="84"/>
      <c r="G324" s="195"/>
    </row>
    <row r="325" spans="1:7" ht="14" thickBot="1" x14ac:dyDescent="0.2">
      <c r="B325" s="205">
        <v>42694</v>
      </c>
      <c r="C325" s="208"/>
      <c r="D325" s="199"/>
      <c r="E325" s="200"/>
      <c r="F325" s="185"/>
      <c r="G325" s="201"/>
    </row>
    <row r="326" spans="1:7" ht="14" thickBot="1" x14ac:dyDescent="0.2">
      <c r="A326" s="3">
        <f>A319+1</f>
        <v>47</v>
      </c>
      <c r="B326" s="203">
        <v>42695</v>
      </c>
      <c r="C326" s="206"/>
      <c r="D326" s="177"/>
      <c r="E326" s="178"/>
      <c r="F326" s="84"/>
      <c r="G326" s="194"/>
    </row>
    <row r="327" spans="1:7" x14ac:dyDescent="0.15">
      <c r="A327" s="34" t="s">
        <v>11</v>
      </c>
      <c r="B327" s="204">
        <v>42696</v>
      </c>
      <c r="C327" s="207"/>
      <c r="D327" s="54"/>
      <c r="E327" s="83"/>
      <c r="F327" s="84"/>
      <c r="G327" s="195"/>
    </row>
    <row r="328" spans="1:7" ht="14" thickBot="1" x14ac:dyDescent="0.2">
      <c r="A328" s="168">
        <f>SUM(E326:E332)</f>
        <v>10.5</v>
      </c>
      <c r="B328" s="204">
        <v>42697</v>
      </c>
      <c r="C328" s="207"/>
      <c r="D328" s="54"/>
      <c r="E328" s="83"/>
      <c r="F328" s="84"/>
      <c r="G328" s="195"/>
    </row>
    <row r="329" spans="1:7" x14ac:dyDescent="0.15">
      <c r="A329" s="2"/>
      <c r="B329" s="204">
        <v>42698</v>
      </c>
      <c r="C329" s="207"/>
      <c r="D329" s="54"/>
      <c r="E329" s="83"/>
      <c r="F329" s="84"/>
      <c r="G329" s="195"/>
    </row>
    <row r="330" spans="1:7" x14ac:dyDescent="0.15">
      <c r="A330" s="2"/>
      <c r="B330" s="204">
        <v>42699</v>
      </c>
      <c r="C330" s="207" t="s">
        <v>14</v>
      </c>
      <c r="D330" s="54">
        <v>3.9571759259259258E-2</v>
      </c>
      <c r="E330" s="83">
        <v>10.5</v>
      </c>
      <c r="F330" s="84">
        <f>D330/E330</f>
        <v>3.7687389770723104E-3</v>
      </c>
      <c r="G330" s="195" t="s">
        <v>483</v>
      </c>
    </row>
    <row r="331" spans="1:7" x14ac:dyDescent="0.15">
      <c r="B331" s="204">
        <v>42700</v>
      </c>
      <c r="C331" s="207"/>
      <c r="D331" s="54"/>
      <c r="E331" s="83"/>
      <c r="F331" s="84"/>
      <c r="G331" s="195"/>
    </row>
    <row r="332" spans="1:7" ht="14" thickBot="1" x14ac:dyDescent="0.2">
      <c r="B332" s="205">
        <v>42701</v>
      </c>
      <c r="C332" s="208"/>
      <c r="D332" s="199"/>
      <c r="E332" s="200"/>
      <c r="F332" s="185"/>
      <c r="G332" s="201"/>
    </row>
    <row r="333" spans="1:7" ht="14" thickBot="1" x14ac:dyDescent="0.2">
      <c r="A333" s="3">
        <f>A326+1</f>
        <v>48</v>
      </c>
      <c r="B333" s="203">
        <v>42702</v>
      </c>
      <c r="C333" s="206"/>
      <c r="D333" s="177"/>
      <c r="E333" s="178"/>
      <c r="F333" s="84"/>
      <c r="G333" s="194"/>
    </row>
    <row r="334" spans="1:7" x14ac:dyDescent="0.15">
      <c r="A334" s="34" t="s">
        <v>11</v>
      </c>
      <c r="B334" s="204">
        <v>42703</v>
      </c>
      <c r="C334" s="207"/>
      <c r="D334" s="54"/>
      <c r="E334" s="83"/>
      <c r="F334" s="84"/>
      <c r="G334" s="195"/>
    </row>
    <row r="335" spans="1:7" ht="14" thickBot="1" x14ac:dyDescent="0.2">
      <c r="A335" s="168">
        <f>SUM(E333:E339)</f>
        <v>0</v>
      </c>
      <c r="B335" s="204">
        <v>42704</v>
      </c>
      <c r="C335" s="207"/>
      <c r="D335" s="54"/>
      <c r="E335" s="83"/>
      <c r="F335" s="84"/>
      <c r="G335" s="195"/>
    </row>
    <row r="336" spans="1:7" x14ac:dyDescent="0.15">
      <c r="A336" s="2"/>
      <c r="B336" s="204">
        <v>42705</v>
      </c>
      <c r="C336" s="207"/>
      <c r="D336" s="54"/>
      <c r="E336" s="83"/>
      <c r="F336" s="84"/>
      <c r="G336" s="195"/>
    </row>
    <row r="337" spans="1:7" x14ac:dyDescent="0.15">
      <c r="A337" s="2"/>
      <c r="B337" s="204">
        <v>42706</v>
      </c>
      <c r="C337" s="207"/>
      <c r="D337" s="54"/>
      <c r="E337" s="83"/>
      <c r="F337" s="84"/>
      <c r="G337" s="195"/>
    </row>
    <row r="338" spans="1:7" x14ac:dyDescent="0.15">
      <c r="B338" s="204">
        <v>42707</v>
      </c>
      <c r="C338" s="207"/>
      <c r="D338" s="54"/>
      <c r="E338" s="83"/>
      <c r="F338" s="84"/>
      <c r="G338" s="195"/>
    </row>
    <row r="339" spans="1:7" ht="14" thickBot="1" x14ac:dyDescent="0.2">
      <c r="B339" s="205">
        <v>42708</v>
      </c>
      <c r="C339" s="208"/>
      <c r="D339" s="199"/>
      <c r="E339" s="200"/>
      <c r="F339" s="185"/>
      <c r="G339" s="201"/>
    </row>
    <row r="340" spans="1:7" ht="14" thickBot="1" x14ac:dyDescent="0.2">
      <c r="A340" s="3">
        <f>A333+1</f>
        <v>49</v>
      </c>
      <c r="B340" s="203">
        <v>42709</v>
      </c>
      <c r="C340" s="206"/>
      <c r="D340" s="177"/>
      <c r="E340" s="178"/>
      <c r="F340" s="84"/>
      <c r="G340" s="194"/>
    </row>
    <row r="341" spans="1:7" x14ac:dyDescent="0.15">
      <c r="A341" s="34" t="s">
        <v>11</v>
      </c>
      <c r="B341" s="204">
        <v>42710</v>
      </c>
      <c r="C341" s="207"/>
      <c r="D341" s="54"/>
      <c r="E341" s="83"/>
      <c r="F341" s="84"/>
      <c r="G341" s="195"/>
    </row>
    <row r="342" spans="1:7" ht="14" thickBot="1" x14ac:dyDescent="0.2">
      <c r="A342" s="168">
        <f>SUM(E340:E346)</f>
        <v>0</v>
      </c>
      <c r="B342" s="204">
        <v>42711</v>
      </c>
      <c r="C342" s="207"/>
      <c r="D342" s="54"/>
      <c r="E342" s="83"/>
      <c r="F342" s="84"/>
      <c r="G342" s="195"/>
    </row>
    <row r="343" spans="1:7" x14ac:dyDescent="0.15">
      <c r="A343" s="2"/>
      <c r="B343" s="204">
        <v>42712</v>
      </c>
      <c r="C343" s="207"/>
      <c r="D343" s="54"/>
      <c r="E343" s="83"/>
      <c r="F343" s="84"/>
      <c r="G343" s="195"/>
    </row>
    <row r="344" spans="1:7" x14ac:dyDescent="0.15">
      <c r="A344" s="2"/>
      <c r="B344" s="204">
        <v>42713</v>
      </c>
      <c r="C344" s="207"/>
      <c r="D344" s="54"/>
      <c r="E344" s="83"/>
      <c r="F344" s="84"/>
      <c r="G344" s="195"/>
    </row>
    <row r="345" spans="1:7" x14ac:dyDescent="0.15">
      <c r="B345" s="204">
        <v>42714</v>
      </c>
      <c r="C345" s="207"/>
      <c r="D345" s="54"/>
      <c r="E345" s="83"/>
      <c r="F345" s="84"/>
      <c r="G345" s="195"/>
    </row>
    <row r="346" spans="1:7" ht="14" thickBot="1" x14ac:dyDescent="0.2">
      <c r="B346" s="205">
        <v>42715</v>
      </c>
      <c r="C346" s="208"/>
      <c r="D346" s="199"/>
      <c r="E346" s="200"/>
      <c r="F346" s="185"/>
      <c r="G346" s="201"/>
    </row>
    <row r="347" spans="1:7" ht="14" thickBot="1" x14ac:dyDescent="0.2">
      <c r="A347" s="3">
        <f>A340+1</f>
        <v>50</v>
      </c>
      <c r="B347" s="203">
        <v>42716</v>
      </c>
      <c r="C347" s="206"/>
      <c r="D347" s="177"/>
      <c r="E347" s="178"/>
      <c r="F347" s="84"/>
      <c r="G347" s="194"/>
    </row>
    <row r="348" spans="1:7" x14ac:dyDescent="0.15">
      <c r="A348" s="34" t="s">
        <v>11</v>
      </c>
      <c r="B348" s="204">
        <v>42717</v>
      </c>
      <c r="C348" s="207"/>
      <c r="D348" s="54"/>
      <c r="E348" s="83"/>
      <c r="F348" s="84"/>
      <c r="G348" s="195"/>
    </row>
    <row r="349" spans="1:7" ht="14" thickBot="1" x14ac:dyDescent="0.2">
      <c r="A349" s="168">
        <f>SUM(E347:E353)</f>
        <v>0</v>
      </c>
      <c r="B349" s="204">
        <v>42718</v>
      </c>
      <c r="C349" s="207"/>
      <c r="D349" s="54"/>
      <c r="E349" s="83"/>
      <c r="F349" s="84"/>
      <c r="G349" s="195"/>
    </row>
    <row r="350" spans="1:7" x14ac:dyDescent="0.15">
      <c r="A350" s="2"/>
      <c r="B350" s="204">
        <v>42719</v>
      </c>
      <c r="C350" s="207"/>
      <c r="D350" s="54"/>
      <c r="E350" s="83"/>
      <c r="F350" s="84"/>
      <c r="G350" s="195"/>
    </row>
    <row r="351" spans="1:7" x14ac:dyDescent="0.15">
      <c r="A351" s="2"/>
      <c r="B351" s="204">
        <v>42720</v>
      </c>
      <c r="C351" s="207"/>
      <c r="D351" s="54"/>
      <c r="E351" s="83"/>
      <c r="F351" s="84"/>
      <c r="G351" s="195"/>
    </row>
    <row r="352" spans="1:7" x14ac:dyDescent="0.15">
      <c r="B352" s="204">
        <v>42721</v>
      </c>
      <c r="C352" s="207"/>
      <c r="D352" s="54"/>
      <c r="E352" s="83"/>
      <c r="F352" s="84"/>
      <c r="G352" s="195"/>
    </row>
    <row r="353" spans="1:7" ht="14" thickBot="1" x14ac:dyDescent="0.2">
      <c r="B353" s="205">
        <v>42722</v>
      </c>
      <c r="C353" s="208"/>
      <c r="D353" s="199"/>
      <c r="E353" s="200"/>
      <c r="F353" s="185"/>
      <c r="G353" s="201"/>
    </row>
    <row r="354" spans="1:7" ht="14" thickBot="1" x14ac:dyDescent="0.2">
      <c r="A354" s="3">
        <f>A347+1</f>
        <v>51</v>
      </c>
      <c r="B354" s="203">
        <v>42723</v>
      </c>
      <c r="C354" s="206"/>
      <c r="D354" s="177"/>
      <c r="E354" s="178"/>
      <c r="F354" s="84"/>
      <c r="G354" s="194"/>
    </row>
    <row r="355" spans="1:7" x14ac:dyDescent="0.15">
      <c r="A355" s="34" t="s">
        <v>11</v>
      </c>
      <c r="B355" s="204">
        <v>42724</v>
      </c>
      <c r="C355" s="207"/>
      <c r="D355" s="54"/>
      <c r="E355" s="83"/>
      <c r="F355" s="84"/>
      <c r="G355" s="195"/>
    </row>
    <row r="356" spans="1:7" ht="14" thickBot="1" x14ac:dyDescent="0.2">
      <c r="A356" s="168">
        <f>SUM(E354:E360)</f>
        <v>0</v>
      </c>
      <c r="B356" s="204">
        <v>42725</v>
      </c>
      <c r="C356" s="207"/>
      <c r="D356" s="54"/>
      <c r="E356" s="83"/>
      <c r="F356" s="84"/>
      <c r="G356" s="195"/>
    </row>
    <row r="357" spans="1:7" x14ac:dyDescent="0.15">
      <c r="A357" s="2"/>
      <c r="B357" s="204">
        <v>42726</v>
      </c>
      <c r="C357" s="207"/>
      <c r="D357" s="54"/>
      <c r="E357" s="83"/>
      <c r="F357" s="84"/>
      <c r="G357" s="195"/>
    </row>
    <row r="358" spans="1:7" x14ac:dyDescent="0.15">
      <c r="A358" s="2"/>
      <c r="B358" s="204">
        <v>42727</v>
      </c>
      <c r="C358" s="207"/>
      <c r="D358" s="54"/>
      <c r="E358" s="83"/>
      <c r="F358" s="84"/>
      <c r="G358" s="195"/>
    </row>
    <row r="359" spans="1:7" x14ac:dyDescent="0.15">
      <c r="B359" s="204">
        <v>42728</v>
      </c>
      <c r="C359" s="207"/>
      <c r="D359" s="54"/>
      <c r="E359" s="83"/>
      <c r="F359" s="84"/>
      <c r="G359" s="195"/>
    </row>
    <row r="360" spans="1:7" ht="14" thickBot="1" x14ac:dyDescent="0.2">
      <c r="B360" s="205">
        <v>42729</v>
      </c>
      <c r="C360" s="208"/>
      <c r="D360" s="199"/>
      <c r="E360" s="200"/>
      <c r="F360" s="185"/>
      <c r="G360" s="201"/>
    </row>
    <row r="361" spans="1:7" ht="14" thickBot="1" x14ac:dyDescent="0.2">
      <c r="A361" s="3">
        <f>A354+1</f>
        <v>52</v>
      </c>
      <c r="B361" s="203">
        <v>42730</v>
      </c>
      <c r="C361" s="206"/>
      <c r="D361" s="177"/>
      <c r="E361" s="178"/>
      <c r="F361" s="84"/>
      <c r="G361" s="194"/>
    </row>
    <row r="362" spans="1:7" x14ac:dyDescent="0.15">
      <c r="A362" s="34" t="s">
        <v>11</v>
      </c>
      <c r="B362" s="204">
        <v>42731</v>
      </c>
      <c r="C362" s="207"/>
      <c r="D362" s="54"/>
      <c r="E362" s="83"/>
      <c r="F362" s="84"/>
      <c r="G362" s="195"/>
    </row>
    <row r="363" spans="1:7" ht="14" thickBot="1" x14ac:dyDescent="0.2">
      <c r="A363" s="168">
        <f>SUM(E361:E367)</f>
        <v>10.7</v>
      </c>
      <c r="B363" s="204">
        <v>42732</v>
      </c>
      <c r="C363" s="207"/>
      <c r="D363" s="54"/>
      <c r="E363" s="83"/>
      <c r="F363" s="84"/>
      <c r="G363" s="195"/>
    </row>
    <row r="364" spans="1:7" x14ac:dyDescent="0.15">
      <c r="A364" s="2"/>
      <c r="B364" s="204">
        <v>42733</v>
      </c>
      <c r="C364" s="207"/>
      <c r="D364" s="54"/>
      <c r="E364" s="83"/>
      <c r="F364" s="84"/>
      <c r="G364" s="195"/>
    </row>
    <row r="365" spans="1:7" x14ac:dyDescent="0.15">
      <c r="A365" s="2"/>
      <c r="B365" s="204">
        <v>42734</v>
      </c>
      <c r="C365" s="207"/>
      <c r="D365" s="54"/>
      <c r="E365" s="83"/>
      <c r="F365" s="84"/>
      <c r="G365" s="195"/>
    </row>
    <row r="366" spans="1:7" x14ac:dyDescent="0.15">
      <c r="B366" s="204">
        <v>42735</v>
      </c>
      <c r="C366" s="207" t="s">
        <v>14</v>
      </c>
      <c r="D366" s="54">
        <v>4.0833333333333333E-2</v>
      </c>
      <c r="E366" s="83">
        <v>10.7</v>
      </c>
      <c r="F366" s="84">
        <f>D366/E366</f>
        <v>3.8161993769470406E-3</v>
      </c>
      <c r="G366" s="195" t="s">
        <v>475</v>
      </c>
    </row>
    <row r="367" spans="1:7" ht="14" thickBot="1" x14ac:dyDescent="0.2">
      <c r="B367" s="205">
        <v>42736</v>
      </c>
      <c r="C367" s="208"/>
      <c r="D367" s="199"/>
      <c r="E367" s="200"/>
      <c r="F367" s="185"/>
      <c r="G367" s="201"/>
    </row>
    <row r="368" spans="1:7" ht="14" thickBot="1" x14ac:dyDescent="0.2">
      <c r="A368" s="3">
        <f>A361+1</f>
        <v>53</v>
      </c>
      <c r="B368" s="203">
        <v>42737</v>
      </c>
      <c r="C368" s="206"/>
      <c r="D368" s="177"/>
      <c r="E368" s="178"/>
      <c r="F368" s="84"/>
      <c r="G368" s="194"/>
    </row>
    <row r="369" spans="1:7" x14ac:dyDescent="0.15">
      <c r="A369" s="34" t="s">
        <v>11</v>
      </c>
      <c r="B369" s="204">
        <v>42738</v>
      </c>
      <c r="C369" s="207"/>
      <c r="D369" s="54"/>
      <c r="E369" s="83"/>
      <c r="F369" s="84"/>
      <c r="G369" s="195"/>
    </row>
    <row r="370" spans="1:7" ht="14" thickBot="1" x14ac:dyDescent="0.2">
      <c r="A370" s="168">
        <f>SUM(E368:E374)</f>
        <v>0</v>
      </c>
      <c r="B370" s="204">
        <v>42739</v>
      </c>
      <c r="C370" s="207"/>
      <c r="D370" s="54"/>
      <c r="E370" s="83"/>
      <c r="F370" s="84"/>
      <c r="G370" s="195"/>
    </row>
    <row r="371" spans="1:7" x14ac:dyDescent="0.15">
      <c r="A371" s="2"/>
      <c r="B371" s="204">
        <v>42740</v>
      </c>
      <c r="C371" s="207"/>
      <c r="D371" s="54"/>
      <c r="E371" s="83"/>
      <c r="F371" s="84"/>
      <c r="G371" s="195"/>
    </row>
    <row r="372" spans="1:7" ht="14" thickBot="1" x14ac:dyDescent="0.2">
      <c r="B372" s="204">
        <v>42741</v>
      </c>
      <c r="C372" s="207"/>
      <c r="D372" s="54"/>
      <c r="E372" s="83"/>
      <c r="F372" s="84"/>
      <c r="G372" s="195"/>
    </row>
    <row r="373" spans="1:7" ht="14" thickBot="1" x14ac:dyDescent="0.2">
      <c r="A373" s="3" t="s">
        <v>438</v>
      </c>
      <c r="B373" s="204">
        <v>42742</v>
      </c>
      <c r="C373" s="207"/>
      <c r="D373" s="54"/>
      <c r="E373" s="83"/>
      <c r="F373" s="84"/>
      <c r="G373" s="195"/>
    </row>
    <row r="374" spans="1:7" ht="14" thickBot="1" x14ac:dyDescent="0.2">
      <c r="A374" s="169">
        <f>A370+A363+A356+A349+A342+A335+A328+A321+A314+A307+A300+A293+A286+A279+A272+A265+A258+A251+A244+A237+A230+A223+A216+A209+A202+A195+A188+A181+A174+A167+A160+A153+A146+A139+A132+A125+A118+A111+A104+A97+A90+A83+A76+A69+A62+A55+A48+A41+A34+A27+A20+A13+A6</f>
        <v>728.34999999999991</v>
      </c>
      <c r="B374" s="205">
        <v>42743</v>
      </c>
      <c r="C374" s="208"/>
      <c r="D374" s="199"/>
      <c r="E374" s="200"/>
      <c r="F374" s="185"/>
      <c r="G374" s="201"/>
    </row>
    <row r="375" spans="1:7" x14ac:dyDescent="0.15">
      <c r="A375" s="65">
        <f>A374/52</f>
        <v>14.006730769230767</v>
      </c>
      <c r="B375"/>
      <c r="D375" s="43">
        <f>AVERAGE(D4:D374)</f>
        <v>3.7968419312169301E-2</v>
      </c>
      <c r="E375" s="65">
        <f>AVERAGE(E4:E374)</f>
        <v>10.404999999999999</v>
      </c>
      <c r="F375" s="45">
        <f>AVERAGE(F4:F374)</f>
        <v>3.6497237979987076E-3</v>
      </c>
    </row>
    <row r="376" spans="1:7" x14ac:dyDescent="0.15">
      <c r="B376"/>
      <c r="D376" s="158"/>
    </row>
    <row r="377" spans="1:7" x14ac:dyDescent="0.15">
      <c r="B377"/>
    </row>
    <row r="378" spans="1:7" x14ac:dyDescent="0.15">
      <c r="B378"/>
    </row>
    <row r="379" spans="1:7" x14ac:dyDescent="0.15">
      <c r="B379"/>
    </row>
    <row r="380" spans="1:7" x14ac:dyDescent="0.15">
      <c r="B380"/>
    </row>
    <row r="381" spans="1:7" x14ac:dyDescent="0.15">
      <c r="B381"/>
    </row>
    <row r="382" spans="1:7" x14ac:dyDescent="0.15">
      <c r="B382"/>
    </row>
    <row r="383" spans="1:7" x14ac:dyDescent="0.15">
      <c r="B383"/>
    </row>
    <row r="384" spans="1:7" x14ac:dyDescent="0.15">
      <c r="B384"/>
    </row>
    <row r="385" spans="2:2" x14ac:dyDescent="0.15">
      <c r="B385"/>
    </row>
    <row r="386" spans="2:2" x14ac:dyDescent="0.15">
      <c r="B386"/>
    </row>
    <row r="387" spans="2:2" x14ac:dyDescent="0.15">
      <c r="B387"/>
    </row>
    <row r="388" spans="2:2" x14ac:dyDescent="0.15">
      <c r="B388"/>
    </row>
    <row r="389" spans="2:2" x14ac:dyDescent="0.15">
      <c r="B389"/>
    </row>
    <row r="390" spans="2:2" x14ac:dyDescent="0.15">
      <c r="B390"/>
    </row>
    <row r="391" spans="2:2" x14ac:dyDescent="0.15">
      <c r="B391"/>
    </row>
    <row r="392" spans="2:2" x14ac:dyDescent="0.15">
      <c r="B392"/>
    </row>
    <row r="393" spans="2:2" x14ac:dyDescent="0.15">
      <c r="B393"/>
    </row>
    <row r="394" spans="2:2" x14ac:dyDescent="0.15">
      <c r="B394"/>
    </row>
    <row r="395" spans="2:2" x14ac:dyDescent="0.15">
      <c r="B395"/>
    </row>
    <row r="396" spans="2:2" x14ac:dyDescent="0.15">
      <c r="B396"/>
    </row>
    <row r="397" spans="2:2" x14ac:dyDescent="0.15">
      <c r="B397"/>
    </row>
    <row r="398" spans="2:2" x14ac:dyDescent="0.15">
      <c r="B398"/>
    </row>
    <row r="399" spans="2:2" x14ac:dyDescent="0.15">
      <c r="B399"/>
    </row>
    <row r="400" spans="2:2" x14ac:dyDescent="0.15">
      <c r="B400"/>
    </row>
    <row r="401" spans="2:2" x14ac:dyDescent="0.15">
      <c r="B401"/>
    </row>
    <row r="402" spans="2:2" x14ac:dyDescent="0.15">
      <c r="B402"/>
    </row>
    <row r="403" spans="2:2" x14ac:dyDescent="0.15">
      <c r="B403"/>
    </row>
    <row r="404" spans="2:2" x14ac:dyDescent="0.15">
      <c r="B404"/>
    </row>
    <row r="405" spans="2:2" x14ac:dyDescent="0.15">
      <c r="B405"/>
    </row>
    <row r="406" spans="2:2" x14ac:dyDescent="0.15">
      <c r="B406"/>
    </row>
    <row r="407" spans="2:2" x14ac:dyDescent="0.15">
      <c r="B407"/>
    </row>
    <row r="408" spans="2:2" x14ac:dyDescent="0.15">
      <c r="B408"/>
    </row>
    <row r="409" spans="2:2" x14ac:dyDescent="0.15">
      <c r="B409"/>
    </row>
  </sheetData>
  <sheetProtection selectLockedCells="1" selectUnlockedCells="1"/>
  <mergeCells count="8">
    <mergeCell ref="J19:Q19"/>
    <mergeCell ref="J20:Q20"/>
    <mergeCell ref="A1:G1"/>
    <mergeCell ref="J7:L7"/>
    <mergeCell ref="M7:O7"/>
    <mergeCell ref="J13:L13"/>
    <mergeCell ref="M13:O13"/>
    <mergeCell ref="J18:Q18"/>
  </mergeCells>
  <phoneticPr fontId="26" type="noConversion"/>
  <dataValidations count="3">
    <dataValidation type="list" operator="equal" allowBlank="1" showDropDown="1" sqref="A1:F32676" xr:uid="{00000000-0002-0000-0900-000000000000}">
      <formula1>"ASICS GEL 11-50,ASICS GT 21-40,ASICS GT 21-60"</formula1>
      <formula2>0</formula2>
    </dataValidation>
    <dataValidation type="list" operator="equal" allowBlank="1" sqref="H3:P17 Q11:Q12 H18:K18 M18:P18 H19:P129 H130:H136 H137:P152 H153:H161 H162:P174 I175:P175 H176:P184 I185:P185 H186:P258 I259:P259 H260:P269 I270:P272 H271:P274 I275:P275 H276:P287 I288:P288 H289:P375" xr:uid="{00000000-0002-0000-0900-000001000000}">
      <formula1>"ASICS GEL 11-50,ASICS GT 21-40,ASICS GT 21-60"</formula1>
      <formula2>0</formula2>
    </dataValidation>
    <dataValidation type="list" operator="equal" allowBlank="1" sqref="G1:G1048576" xr:uid="{00000000-0002-0000-0900-000002000000}">
      <formula1>#REF!</formula1>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autoPageBreaks="0"/>
  </sheetPr>
  <dimension ref="A1:S413"/>
  <sheetViews>
    <sheetView workbookViewId="0">
      <pane ySplit="3" topLeftCell="A356" activePane="bottomLeft" state="frozen"/>
      <selection pane="bottomLeft" activeCell="L308" sqref="L308"/>
    </sheetView>
  </sheetViews>
  <sheetFormatPr baseColWidth="10" defaultColWidth="11.5" defaultRowHeight="13" x14ac:dyDescent="0.15"/>
  <cols>
    <col min="1" max="1" width="10.5" style="220" bestFit="1" customWidth="1"/>
    <col min="2" max="2" width="10" style="222" bestFit="1" customWidth="1"/>
    <col min="3" max="3" width="4.83203125" style="220" bestFit="1" customWidth="1"/>
    <col min="4" max="4" width="8.5" style="293" bestFit="1" customWidth="1"/>
    <col min="5" max="5" width="6.5" style="291" bestFit="1" customWidth="1"/>
    <col min="6" max="6" width="7.5" style="290" bestFit="1" customWidth="1"/>
    <col min="7" max="7" width="6.83203125" style="292" bestFit="1" customWidth="1"/>
    <col min="8" max="8" width="5.1640625" style="292" bestFit="1" customWidth="1"/>
    <col min="9" max="9" width="20.5" style="290" bestFit="1" customWidth="1"/>
    <col min="10" max="10" width="11.5" style="219" bestFit="1" customWidth="1"/>
    <col min="11" max="11" width="12.83203125" style="220" customWidth="1"/>
    <col min="12" max="12" width="7.83203125" style="220" bestFit="1" customWidth="1"/>
    <col min="13" max="13" width="2.1640625" style="220" customWidth="1"/>
    <col min="14" max="14" width="5.1640625" style="220" customWidth="1"/>
    <col min="15" max="15" width="4.5" style="220" customWidth="1"/>
    <col min="16" max="16" width="2.1640625" style="220" customWidth="1"/>
    <col min="17" max="17" width="4.5" style="220" customWidth="1"/>
    <col min="18" max="18" width="13" style="220" customWidth="1"/>
    <col min="19" max="19" width="10.6640625" style="220" bestFit="1" customWidth="1"/>
    <col min="20" max="16384" width="11.5" style="220"/>
  </cols>
  <sheetData>
    <row r="1" spans="1:19" ht="19" x14ac:dyDescent="0.15">
      <c r="A1" s="3427" t="s">
        <v>484</v>
      </c>
      <c r="B1" s="3427"/>
      <c r="C1" s="3427"/>
      <c r="D1" s="3427"/>
      <c r="E1" s="3427"/>
      <c r="F1" s="3427"/>
      <c r="G1" s="3427"/>
      <c r="H1" s="3427"/>
      <c r="I1" s="3427"/>
    </row>
    <row r="2" spans="1:19" ht="14" thickBot="1" x14ac:dyDescent="0.2">
      <c r="A2" s="221"/>
      <c r="C2" s="221"/>
      <c r="D2" s="223"/>
      <c r="E2" s="224"/>
      <c r="F2" s="225"/>
      <c r="G2" s="226"/>
      <c r="H2" s="226"/>
      <c r="I2" s="225"/>
    </row>
    <row r="3" spans="1:19" ht="14" thickBot="1" x14ac:dyDescent="0.2">
      <c r="A3" s="227" t="s">
        <v>1</v>
      </c>
      <c r="B3" s="228" t="s">
        <v>3</v>
      </c>
      <c r="C3" s="313" t="s">
        <v>4</v>
      </c>
      <c r="D3" s="314" t="s">
        <v>5</v>
      </c>
      <c r="E3" s="315" t="s">
        <v>429</v>
      </c>
      <c r="F3" s="316" t="s">
        <v>485</v>
      </c>
      <c r="G3" s="317" t="s">
        <v>486</v>
      </c>
      <c r="H3" s="318" t="s">
        <v>628</v>
      </c>
      <c r="I3" s="319" t="s">
        <v>431</v>
      </c>
    </row>
    <row r="4" spans="1:19" ht="14" thickBot="1" x14ac:dyDescent="0.2">
      <c r="A4" s="309">
        <v>1</v>
      </c>
      <c r="B4" s="229">
        <v>42737</v>
      </c>
      <c r="C4" s="312"/>
      <c r="D4" s="286"/>
      <c r="E4" s="287"/>
      <c r="F4" s="233"/>
      <c r="G4" s="234"/>
      <c r="H4" s="234"/>
      <c r="I4" s="288"/>
    </row>
    <row r="5" spans="1:19" x14ac:dyDescent="0.15">
      <c r="A5" s="307" t="s">
        <v>11</v>
      </c>
      <c r="B5" s="236">
        <v>42738</v>
      </c>
      <c r="C5" s="237"/>
      <c r="D5" s="238"/>
      <c r="E5" s="239"/>
      <c r="F5" s="240"/>
      <c r="G5" s="241"/>
      <c r="H5" s="241"/>
      <c r="I5" s="242"/>
      <c r="L5" s="243"/>
      <c r="M5" s="243"/>
    </row>
    <row r="6" spans="1:19" ht="14" thickBot="1" x14ac:dyDescent="0.2">
      <c r="A6" s="310">
        <f>SUM(E4:E10)</f>
        <v>10.31</v>
      </c>
      <c r="B6" s="236">
        <v>42739</v>
      </c>
      <c r="C6" s="237"/>
      <c r="D6" s="238"/>
      <c r="E6" s="239"/>
      <c r="F6" s="240"/>
      <c r="G6" s="241"/>
      <c r="H6" s="241"/>
      <c r="I6" s="242"/>
      <c r="L6" s="221"/>
      <c r="M6" s="221"/>
    </row>
    <row r="7" spans="1:19" ht="14" thickBot="1" x14ac:dyDescent="0.2">
      <c r="A7" s="308" t="s">
        <v>492</v>
      </c>
      <c r="B7" s="236">
        <v>42740</v>
      </c>
      <c r="C7" s="237"/>
      <c r="D7" s="238"/>
      <c r="E7" s="239"/>
      <c r="F7" s="240"/>
      <c r="G7" s="241"/>
      <c r="H7" s="241"/>
      <c r="I7" s="242"/>
      <c r="K7" s="245"/>
      <c r="L7" s="3428" t="s">
        <v>441</v>
      </c>
      <c r="M7" s="3428"/>
      <c r="N7" s="3428"/>
      <c r="O7" s="3429" t="s">
        <v>442</v>
      </c>
      <c r="P7" s="3429"/>
      <c r="Q7" s="3430"/>
      <c r="R7" s="246" t="s">
        <v>443</v>
      </c>
    </row>
    <row r="8" spans="1:19" ht="14" thickBot="1" x14ac:dyDescent="0.2">
      <c r="A8" s="306">
        <f>SUM(H4:H10)</f>
        <v>55</v>
      </c>
      <c r="B8" s="236">
        <v>42741</v>
      </c>
      <c r="C8" s="237"/>
      <c r="D8" s="238"/>
      <c r="E8" s="239"/>
      <c r="F8" s="240"/>
      <c r="G8" s="241"/>
      <c r="H8" s="241"/>
      <c r="I8" s="242"/>
      <c r="K8" s="247" t="s">
        <v>468</v>
      </c>
      <c r="L8" s="248">
        <v>0.65</v>
      </c>
      <c r="M8" s="249" t="s">
        <v>437</v>
      </c>
      <c r="N8" s="250">
        <v>0.75</v>
      </c>
      <c r="O8" s="251">
        <f>L8*$O$13</f>
        <v>120.9</v>
      </c>
      <c r="P8" s="252" t="s">
        <v>437</v>
      </c>
      <c r="Q8" s="253">
        <f>N8*$O$13</f>
        <v>139.5</v>
      </c>
      <c r="R8" s="254">
        <v>3.472222222222222E-3</v>
      </c>
      <c r="S8" s="219" t="s">
        <v>488</v>
      </c>
    </row>
    <row r="9" spans="1:19" x14ac:dyDescent="0.15">
      <c r="A9" s="244"/>
      <c r="B9" s="236">
        <v>42742</v>
      </c>
      <c r="C9" s="237" t="s">
        <v>14</v>
      </c>
      <c r="D9" s="238">
        <v>4.0046296296296295E-2</v>
      </c>
      <c r="E9" s="239">
        <v>10.31</v>
      </c>
      <c r="F9" s="240">
        <f>D9/E9</f>
        <v>3.8842188454215609E-3</v>
      </c>
      <c r="G9" s="241">
        <v>142</v>
      </c>
      <c r="H9" s="241">
        <v>55</v>
      </c>
      <c r="I9" s="242" t="s">
        <v>472</v>
      </c>
      <c r="K9" s="247" t="s">
        <v>469</v>
      </c>
      <c r="L9" s="248">
        <v>0.75</v>
      </c>
      <c r="M9" s="249" t="s">
        <v>437</v>
      </c>
      <c r="N9" s="250">
        <v>0.8</v>
      </c>
      <c r="O9" s="251">
        <f>L9*$O$13</f>
        <v>139.5</v>
      </c>
      <c r="P9" s="252" t="s">
        <v>437</v>
      </c>
      <c r="Q9" s="253">
        <f>N9*$O$13</f>
        <v>148.80000000000001</v>
      </c>
      <c r="R9" s="254">
        <v>3.1944444444444442E-3</v>
      </c>
      <c r="S9" s="219" t="s">
        <v>489</v>
      </c>
    </row>
    <row r="10" spans="1:19" ht="14" thickBot="1" x14ac:dyDescent="0.2">
      <c r="A10" s="255"/>
      <c r="B10" s="256">
        <v>42743</v>
      </c>
      <c r="C10" s="257"/>
      <c r="D10" s="258"/>
      <c r="E10" s="259"/>
      <c r="F10" s="260"/>
      <c r="G10" s="261"/>
      <c r="H10" s="261"/>
      <c r="I10" s="262"/>
      <c r="K10" s="263" t="s">
        <v>49</v>
      </c>
      <c r="L10" s="248">
        <v>0.9</v>
      </c>
      <c r="M10" s="249" t="s">
        <v>437</v>
      </c>
      <c r="N10" s="250">
        <v>0.95</v>
      </c>
      <c r="O10" s="251">
        <f>L10*$O$13</f>
        <v>167.4</v>
      </c>
      <c r="P10" s="252" t="s">
        <v>437</v>
      </c>
      <c r="Q10" s="253">
        <f>N10*$O$13</f>
        <v>176.7</v>
      </c>
      <c r="R10" s="254">
        <v>2.7777777777777779E-3</v>
      </c>
      <c r="S10" s="219" t="s">
        <v>490</v>
      </c>
    </row>
    <row r="11" spans="1:19" ht="14" thickBot="1" x14ac:dyDescent="0.2">
      <c r="A11" s="309">
        <f>A4+1</f>
        <v>2</v>
      </c>
      <c r="B11" s="229">
        <v>42744</v>
      </c>
      <c r="C11" s="230"/>
      <c r="D11" s="231"/>
      <c r="E11" s="232"/>
      <c r="F11" s="233"/>
      <c r="G11" s="234"/>
      <c r="H11" s="234"/>
      <c r="I11" s="235"/>
      <c r="K11" s="263" t="s">
        <v>447</v>
      </c>
      <c r="L11" s="248">
        <v>0.8</v>
      </c>
      <c r="M11" s="249" t="s">
        <v>437</v>
      </c>
      <c r="N11" s="250">
        <v>0.85</v>
      </c>
      <c r="O11" s="251">
        <f>L11*$O$13</f>
        <v>148.80000000000001</v>
      </c>
      <c r="P11" s="252" t="s">
        <v>437</v>
      </c>
      <c r="Q11" s="253">
        <f>N11*$O$13</f>
        <v>158.1</v>
      </c>
      <c r="R11" s="254">
        <f>S11/42.195</f>
        <v>3.2090317002628887E-3</v>
      </c>
      <c r="S11" s="223">
        <v>0.13540509259259259</v>
      </c>
    </row>
    <row r="12" spans="1:19" ht="14" thickBot="1" x14ac:dyDescent="0.2">
      <c r="A12" s="307" t="s">
        <v>11</v>
      </c>
      <c r="B12" s="236">
        <v>42745</v>
      </c>
      <c r="C12" s="237"/>
      <c r="D12" s="238"/>
      <c r="E12" s="239"/>
      <c r="F12" s="240"/>
      <c r="G12" s="241"/>
      <c r="H12" s="241"/>
      <c r="I12" s="242"/>
      <c r="K12" s="264" t="s">
        <v>448</v>
      </c>
      <c r="L12" s="265">
        <v>0.85</v>
      </c>
      <c r="M12" s="266" t="s">
        <v>437</v>
      </c>
      <c r="N12" s="267">
        <v>0.9</v>
      </c>
      <c r="O12" s="268">
        <f>L12*$O$13</f>
        <v>158.1</v>
      </c>
      <c r="P12" s="269" t="s">
        <v>437</v>
      </c>
      <c r="Q12" s="270">
        <f>N12*$O$13</f>
        <v>167.4</v>
      </c>
      <c r="R12" s="271">
        <f>S12/(42.195/2)</f>
        <v>2.7973079134354165E-3</v>
      </c>
      <c r="S12" s="223">
        <v>5.9016203703703703E-2</v>
      </c>
    </row>
    <row r="13" spans="1:19" ht="14" thickBot="1" x14ac:dyDescent="0.2">
      <c r="A13" s="310">
        <f>SUM(E11:E17)</f>
        <v>11.31</v>
      </c>
      <c r="B13" s="236">
        <v>42746</v>
      </c>
      <c r="C13" s="237"/>
      <c r="D13" s="238"/>
      <c r="E13" s="239"/>
      <c r="F13" s="240"/>
      <c r="G13" s="241"/>
      <c r="H13" s="241"/>
      <c r="I13" s="242"/>
      <c r="K13" s="272" t="s">
        <v>449</v>
      </c>
      <c r="L13" s="3431">
        <v>1</v>
      </c>
      <c r="M13" s="3431"/>
      <c r="N13" s="3431"/>
      <c r="O13" s="3432">
        <v>186</v>
      </c>
      <c r="P13" s="3432"/>
      <c r="Q13" s="3433"/>
      <c r="R13" s="221"/>
    </row>
    <row r="14" spans="1:19" x14ac:dyDescent="0.15">
      <c r="A14" s="308" t="s">
        <v>492</v>
      </c>
      <c r="B14" s="236">
        <v>42747</v>
      </c>
      <c r="C14" s="237"/>
      <c r="D14" s="238"/>
      <c r="E14" s="239"/>
      <c r="F14" s="240"/>
      <c r="G14" s="241"/>
      <c r="H14" s="241"/>
      <c r="I14" s="242"/>
      <c r="N14" s="243"/>
    </row>
    <row r="15" spans="1:19" ht="14" thickBot="1" x14ac:dyDescent="0.2">
      <c r="A15" s="306">
        <f>SUM(H11:H17)</f>
        <v>61</v>
      </c>
      <c r="B15" s="236">
        <v>42748</v>
      </c>
      <c r="C15" s="237"/>
      <c r="D15" s="238"/>
      <c r="E15" s="239"/>
      <c r="F15" s="240"/>
      <c r="G15" s="241"/>
      <c r="H15" s="241"/>
      <c r="I15" s="242"/>
      <c r="N15" s="221"/>
    </row>
    <row r="16" spans="1:19" x14ac:dyDescent="0.15">
      <c r="A16" s="221"/>
      <c r="B16" s="236">
        <v>42749</v>
      </c>
      <c r="C16" s="237"/>
      <c r="D16" s="238"/>
      <c r="E16" s="239"/>
      <c r="F16" s="240"/>
      <c r="G16" s="241"/>
      <c r="H16" s="241"/>
      <c r="I16" s="242"/>
      <c r="K16" s="273" t="s">
        <v>458</v>
      </c>
      <c r="N16" s="221"/>
    </row>
    <row r="17" spans="1:19" ht="14" thickBot="1" x14ac:dyDescent="0.2">
      <c r="A17" s="221"/>
      <c r="B17" s="256">
        <v>42750</v>
      </c>
      <c r="C17" s="257" t="s">
        <v>14</v>
      </c>
      <c r="D17" s="258">
        <v>4.4409722222222225E-2</v>
      </c>
      <c r="E17" s="259">
        <v>11.31</v>
      </c>
      <c r="F17" s="260">
        <f>D17/E17</f>
        <v>3.9265890558994009E-3</v>
      </c>
      <c r="G17" s="261"/>
      <c r="H17" s="261">
        <v>61</v>
      </c>
      <c r="I17" s="262" t="s">
        <v>475</v>
      </c>
      <c r="K17" s="274" t="s">
        <v>14</v>
      </c>
      <c r="L17" s="3426" t="s">
        <v>459</v>
      </c>
      <c r="M17" s="3426"/>
      <c r="N17" s="3426"/>
      <c r="O17" s="3426"/>
      <c r="P17" s="3426"/>
      <c r="Q17" s="3426"/>
      <c r="R17" s="3426"/>
      <c r="S17" s="3426"/>
    </row>
    <row r="18" spans="1:19" ht="14" thickBot="1" x14ac:dyDescent="0.2">
      <c r="A18" s="309">
        <f>A11+1</f>
        <v>3</v>
      </c>
      <c r="B18" s="229">
        <v>42751</v>
      </c>
      <c r="C18" s="230"/>
      <c r="D18" s="231"/>
      <c r="E18" s="232"/>
      <c r="F18" s="233"/>
      <c r="G18" s="234"/>
      <c r="H18" s="234"/>
      <c r="I18" s="235"/>
      <c r="K18" s="274" t="s">
        <v>460</v>
      </c>
      <c r="L18" s="3426" t="s">
        <v>461</v>
      </c>
      <c r="M18" s="3426"/>
      <c r="N18" s="3426"/>
      <c r="O18" s="3426"/>
      <c r="P18" s="3426"/>
      <c r="Q18" s="3426"/>
      <c r="R18" s="3426"/>
      <c r="S18" s="3426"/>
    </row>
    <row r="19" spans="1:19" x14ac:dyDescent="0.15">
      <c r="A19" s="307" t="s">
        <v>11</v>
      </c>
      <c r="B19" s="236">
        <v>42752</v>
      </c>
      <c r="C19" s="237"/>
      <c r="D19" s="238"/>
      <c r="E19" s="239"/>
      <c r="F19" s="240"/>
      <c r="G19" s="241"/>
      <c r="H19" s="241"/>
      <c r="I19" s="242"/>
      <c r="K19" s="274" t="s">
        <v>462</v>
      </c>
      <c r="L19" s="3426" t="s">
        <v>463</v>
      </c>
      <c r="M19" s="3426"/>
      <c r="N19" s="3426"/>
      <c r="O19" s="3426"/>
      <c r="P19" s="3426"/>
      <c r="Q19" s="3426"/>
      <c r="R19" s="3426"/>
      <c r="S19" s="3426"/>
    </row>
    <row r="20" spans="1:19" ht="14" thickBot="1" x14ac:dyDescent="0.2">
      <c r="A20" s="310">
        <f>SUM(E18:E24)</f>
        <v>25.25</v>
      </c>
      <c r="B20" s="236">
        <v>42753</v>
      </c>
      <c r="C20" s="237" t="s">
        <v>14</v>
      </c>
      <c r="D20" s="238">
        <v>4.4166666666666667E-2</v>
      </c>
      <c r="E20" s="239">
        <v>11.2</v>
      </c>
      <c r="F20" s="240">
        <f>D20/E20</f>
        <v>3.9434523809523808E-3</v>
      </c>
      <c r="G20" s="241">
        <v>149</v>
      </c>
      <c r="H20" s="241">
        <v>63</v>
      </c>
      <c r="I20" s="242" t="s">
        <v>475</v>
      </c>
      <c r="K20" s="275"/>
      <c r="L20" s="276"/>
      <c r="M20" s="276"/>
      <c r="N20" s="276"/>
      <c r="O20" s="276"/>
      <c r="P20" s="276"/>
      <c r="Q20" s="276"/>
      <c r="R20" s="276"/>
      <c r="S20" s="276"/>
    </row>
    <row r="21" spans="1:19" x14ac:dyDescent="0.15">
      <c r="A21" s="308" t="s">
        <v>492</v>
      </c>
      <c r="B21" s="236">
        <v>42754</v>
      </c>
      <c r="C21" s="237"/>
      <c r="D21" s="238"/>
      <c r="E21" s="239"/>
      <c r="F21" s="240"/>
      <c r="G21" s="241"/>
      <c r="H21" s="241"/>
      <c r="I21" s="242"/>
    </row>
    <row r="22" spans="1:19" ht="14" thickBot="1" x14ac:dyDescent="0.2">
      <c r="A22" s="306">
        <f>SUM(H18:H24)</f>
        <v>143</v>
      </c>
      <c r="B22" s="236">
        <v>42755</v>
      </c>
      <c r="C22" s="237"/>
      <c r="D22" s="238"/>
      <c r="E22" s="239"/>
      <c r="F22" s="240"/>
      <c r="G22" s="241"/>
      <c r="H22" s="241"/>
      <c r="I22" s="242"/>
    </row>
    <row r="23" spans="1:19" x14ac:dyDescent="0.15">
      <c r="A23" s="221"/>
      <c r="B23" s="236">
        <v>42756</v>
      </c>
      <c r="C23" s="237" t="s">
        <v>14</v>
      </c>
      <c r="D23" s="238">
        <v>5.4386574074074073E-2</v>
      </c>
      <c r="E23" s="239">
        <v>14.05</v>
      </c>
      <c r="F23" s="240">
        <f>D23/E23</f>
        <v>3.8709305390800049E-3</v>
      </c>
      <c r="G23" s="241">
        <v>147</v>
      </c>
      <c r="H23" s="241">
        <v>80</v>
      </c>
      <c r="I23" s="242" t="s">
        <v>475</v>
      </c>
    </row>
    <row r="24" spans="1:19" ht="14" thickBot="1" x14ac:dyDescent="0.2">
      <c r="A24" s="221"/>
      <c r="B24" s="256">
        <v>42757</v>
      </c>
      <c r="C24" s="257"/>
      <c r="D24" s="258"/>
      <c r="E24" s="259"/>
      <c r="F24" s="260"/>
      <c r="G24" s="261"/>
      <c r="H24" s="261"/>
      <c r="I24" s="262"/>
    </row>
    <row r="25" spans="1:19" ht="14" thickBot="1" x14ac:dyDescent="0.2">
      <c r="A25" s="309">
        <f>A18+1</f>
        <v>4</v>
      </c>
      <c r="B25" s="229">
        <v>42758</v>
      </c>
      <c r="C25" s="230"/>
      <c r="D25" s="231"/>
      <c r="E25" s="232"/>
      <c r="F25" s="233"/>
      <c r="G25" s="234"/>
      <c r="H25" s="234"/>
      <c r="I25" s="235"/>
    </row>
    <row r="26" spans="1:19" x14ac:dyDescent="0.15">
      <c r="A26" s="307" t="s">
        <v>11</v>
      </c>
      <c r="B26" s="236">
        <v>42759</v>
      </c>
      <c r="C26" s="237"/>
      <c r="D26" s="238"/>
      <c r="E26" s="239"/>
      <c r="F26" s="240"/>
      <c r="G26" s="241"/>
      <c r="H26" s="241"/>
      <c r="I26" s="242"/>
    </row>
    <row r="27" spans="1:19" ht="14" thickBot="1" x14ac:dyDescent="0.2">
      <c r="A27" s="310">
        <f>SUM(E25:E31)</f>
        <v>20.979999999999997</v>
      </c>
      <c r="B27" s="236">
        <v>42760</v>
      </c>
      <c r="C27" s="237" t="s">
        <v>14</v>
      </c>
      <c r="D27" s="238">
        <v>4.1874999999999996E-2</v>
      </c>
      <c r="E27" s="239">
        <v>11.2</v>
      </c>
      <c r="F27" s="240">
        <f>D27/E27</f>
        <v>3.7388392857142854E-3</v>
      </c>
      <c r="G27" s="241">
        <v>150</v>
      </c>
      <c r="H27" s="241">
        <v>63</v>
      </c>
      <c r="I27" s="242" t="s">
        <v>475</v>
      </c>
    </row>
    <row r="28" spans="1:19" x14ac:dyDescent="0.15">
      <c r="A28" s="308" t="s">
        <v>492</v>
      </c>
      <c r="B28" s="236">
        <v>42761</v>
      </c>
      <c r="C28" s="237"/>
      <c r="D28" s="238"/>
      <c r="E28" s="239"/>
      <c r="F28" s="240"/>
      <c r="G28" s="241"/>
      <c r="H28" s="241"/>
      <c r="I28" s="242"/>
    </row>
    <row r="29" spans="1:19" ht="14" thickBot="1" x14ac:dyDescent="0.2">
      <c r="A29" s="306">
        <f>SUM(H25:H31)</f>
        <v>122</v>
      </c>
      <c r="B29" s="236">
        <v>42762</v>
      </c>
      <c r="C29" s="237"/>
      <c r="D29" s="238"/>
      <c r="E29" s="239"/>
      <c r="F29" s="240"/>
      <c r="G29" s="241"/>
      <c r="H29" s="241"/>
      <c r="I29" s="242"/>
    </row>
    <row r="30" spans="1:19" x14ac:dyDescent="0.15">
      <c r="A30" s="221"/>
      <c r="B30" s="236">
        <v>42763</v>
      </c>
      <c r="C30" s="237"/>
      <c r="D30" s="238"/>
      <c r="E30" s="239"/>
      <c r="F30" s="240"/>
      <c r="G30" s="241"/>
      <c r="H30" s="241"/>
      <c r="I30" s="242"/>
    </row>
    <row r="31" spans="1:19" ht="14" thickBot="1" x14ac:dyDescent="0.2">
      <c r="A31" s="221"/>
      <c r="B31" s="256">
        <v>42764</v>
      </c>
      <c r="C31" s="257" t="s">
        <v>14</v>
      </c>
      <c r="D31" s="258">
        <v>3.5416666666666666E-2</v>
      </c>
      <c r="E31" s="259">
        <v>9.7799999999999994</v>
      </c>
      <c r="F31" s="260">
        <f>D31/E31</f>
        <v>3.6213360599863667E-3</v>
      </c>
      <c r="G31" s="261">
        <v>157</v>
      </c>
      <c r="H31" s="261">
        <v>59</v>
      </c>
      <c r="I31" s="262" t="s">
        <v>472</v>
      </c>
    </row>
    <row r="32" spans="1:19" ht="14" thickBot="1" x14ac:dyDescent="0.2">
      <c r="A32" s="309">
        <f>A25+1</f>
        <v>5</v>
      </c>
      <c r="B32" s="229">
        <v>42765</v>
      </c>
      <c r="C32" s="230"/>
      <c r="D32" s="231"/>
      <c r="E32" s="232"/>
      <c r="F32" s="233"/>
      <c r="G32" s="234"/>
      <c r="H32" s="234"/>
      <c r="I32" s="235"/>
    </row>
    <row r="33" spans="1:9" x14ac:dyDescent="0.15">
      <c r="A33" s="307" t="s">
        <v>11</v>
      </c>
      <c r="B33" s="236">
        <v>42766</v>
      </c>
      <c r="C33" s="237"/>
      <c r="D33" s="238"/>
      <c r="E33" s="239"/>
      <c r="F33" s="240"/>
      <c r="G33" s="241"/>
      <c r="H33" s="241"/>
      <c r="I33" s="242"/>
    </row>
    <row r="34" spans="1:9" ht="14" thickBot="1" x14ac:dyDescent="0.2">
      <c r="A34" s="310">
        <f>SUM(E32:E38)</f>
        <v>11.19</v>
      </c>
      <c r="B34" s="236">
        <v>42767</v>
      </c>
      <c r="C34" s="237"/>
      <c r="D34" s="238"/>
      <c r="E34" s="239"/>
      <c r="F34" s="240"/>
      <c r="G34" s="241"/>
      <c r="H34" s="241"/>
      <c r="I34" s="242"/>
    </row>
    <row r="35" spans="1:9" x14ac:dyDescent="0.15">
      <c r="A35" s="308" t="s">
        <v>492</v>
      </c>
      <c r="B35" s="236">
        <v>42768</v>
      </c>
      <c r="C35" s="237"/>
      <c r="D35" s="238"/>
      <c r="E35" s="239"/>
      <c r="F35" s="240"/>
      <c r="G35" s="241"/>
      <c r="H35" s="241"/>
      <c r="I35" s="242"/>
    </row>
    <row r="36" spans="1:9" ht="14" thickBot="1" x14ac:dyDescent="0.2">
      <c r="A36" s="306">
        <f>SUM(H32:H38)</f>
        <v>63</v>
      </c>
      <c r="B36" s="236">
        <v>42769</v>
      </c>
      <c r="C36" s="237"/>
      <c r="D36" s="238"/>
      <c r="E36" s="239"/>
      <c r="F36" s="240"/>
      <c r="G36" s="241"/>
      <c r="H36" s="241"/>
      <c r="I36" s="242"/>
    </row>
    <row r="37" spans="1:9" x14ac:dyDescent="0.15">
      <c r="A37" s="221"/>
      <c r="B37" s="236">
        <v>42770</v>
      </c>
      <c r="C37" s="237" t="s">
        <v>14</v>
      </c>
      <c r="D37" s="238">
        <v>4.0682870370370376E-2</v>
      </c>
      <c r="E37" s="239">
        <v>11.19</v>
      </c>
      <c r="F37" s="240">
        <f>D37/E37</f>
        <v>3.6356452520438227E-3</v>
      </c>
      <c r="G37" s="241">
        <v>152</v>
      </c>
      <c r="H37" s="241">
        <v>63</v>
      </c>
      <c r="I37" s="242" t="s">
        <v>475</v>
      </c>
    </row>
    <row r="38" spans="1:9" ht="14" thickBot="1" x14ac:dyDescent="0.2">
      <c r="A38" s="221"/>
      <c r="B38" s="256">
        <v>42771</v>
      </c>
      <c r="C38" s="257"/>
      <c r="D38" s="258"/>
      <c r="E38" s="259"/>
      <c r="F38" s="260"/>
      <c r="G38" s="261"/>
      <c r="H38" s="261"/>
      <c r="I38" s="262"/>
    </row>
    <row r="39" spans="1:9" ht="14" thickBot="1" x14ac:dyDescent="0.2">
      <c r="A39" s="309">
        <f>A32+1</f>
        <v>6</v>
      </c>
      <c r="B39" s="229">
        <v>42772</v>
      </c>
      <c r="C39" s="230"/>
      <c r="D39" s="231"/>
      <c r="E39" s="232"/>
      <c r="F39" s="233"/>
      <c r="G39" s="234"/>
      <c r="H39" s="234"/>
      <c r="I39" s="235"/>
    </row>
    <row r="40" spans="1:9" x14ac:dyDescent="0.15">
      <c r="A40" s="307" t="s">
        <v>11</v>
      </c>
      <c r="B40" s="236">
        <v>42773</v>
      </c>
      <c r="C40" s="237"/>
      <c r="D40" s="238"/>
      <c r="E40" s="239"/>
      <c r="F40" s="240"/>
      <c r="G40" s="241"/>
      <c r="H40" s="241"/>
      <c r="I40" s="242"/>
    </row>
    <row r="41" spans="1:9" ht="14" thickBot="1" x14ac:dyDescent="0.2">
      <c r="A41" s="310">
        <f>SUM(E39:E45)</f>
        <v>11.33</v>
      </c>
      <c r="B41" s="236">
        <v>42774</v>
      </c>
      <c r="C41" s="237"/>
      <c r="D41" s="238"/>
      <c r="E41" s="239"/>
      <c r="F41" s="240"/>
      <c r="G41" s="241"/>
      <c r="H41" s="241"/>
      <c r="I41" s="242"/>
    </row>
    <row r="42" spans="1:9" x14ac:dyDescent="0.15">
      <c r="A42" s="308" t="s">
        <v>492</v>
      </c>
      <c r="B42" s="236">
        <v>42775</v>
      </c>
      <c r="C42" s="237"/>
      <c r="D42" s="238"/>
      <c r="E42" s="239"/>
      <c r="F42" s="240"/>
      <c r="G42" s="241"/>
      <c r="H42" s="241"/>
      <c r="I42" s="242"/>
    </row>
    <row r="43" spans="1:9" ht="14" thickBot="1" x14ac:dyDescent="0.2">
      <c r="A43" s="306">
        <f>SUM(H39:H45)</f>
        <v>64</v>
      </c>
      <c r="B43" s="236">
        <v>42776</v>
      </c>
      <c r="C43" s="237"/>
      <c r="D43" s="238"/>
      <c r="E43" s="239"/>
      <c r="F43" s="240"/>
      <c r="G43" s="241"/>
      <c r="H43" s="241"/>
      <c r="I43" s="242"/>
    </row>
    <row r="44" spans="1:9" x14ac:dyDescent="0.15">
      <c r="A44" s="221"/>
      <c r="B44" s="236">
        <v>42777</v>
      </c>
      <c r="C44" s="237" t="s">
        <v>14</v>
      </c>
      <c r="D44" s="238">
        <v>4.2141203703703702E-2</v>
      </c>
      <c r="E44" s="239">
        <v>11.33</v>
      </c>
      <c r="F44" s="240">
        <f>D44/E44</f>
        <v>3.7194354548723478E-3</v>
      </c>
      <c r="G44" s="241">
        <v>153</v>
      </c>
      <c r="H44" s="241">
        <v>64</v>
      </c>
      <c r="I44" s="242" t="s">
        <v>472</v>
      </c>
    </row>
    <row r="45" spans="1:9" ht="14" thickBot="1" x14ac:dyDescent="0.2">
      <c r="A45" s="221"/>
      <c r="B45" s="256">
        <v>42778</v>
      </c>
      <c r="C45" s="257"/>
      <c r="D45" s="258"/>
      <c r="E45" s="259"/>
      <c r="F45" s="260"/>
      <c r="G45" s="261"/>
      <c r="H45" s="261"/>
      <c r="I45" s="262"/>
    </row>
    <row r="46" spans="1:9" ht="14" thickBot="1" x14ac:dyDescent="0.2">
      <c r="A46" s="309">
        <f>A39+1</f>
        <v>7</v>
      </c>
      <c r="B46" s="229">
        <v>42779</v>
      </c>
      <c r="C46" s="230"/>
      <c r="D46" s="231"/>
      <c r="E46" s="232"/>
      <c r="F46" s="233"/>
      <c r="G46" s="234"/>
      <c r="H46" s="234"/>
      <c r="I46" s="235"/>
    </row>
    <row r="47" spans="1:9" x14ac:dyDescent="0.15">
      <c r="A47" s="307" t="s">
        <v>11</v>
      </c>
      <c r="B47" s="236">
        <v>42780</v>
      </c>
      <c r="C47" s="237"/>
      <c r="D47" s="238"/>
      <c r="E47" s="239"/>
      <c r="F47" s="240"/>
      <c r="G47" s="241"/>
      <c r="H47" s="241"/>
      <c r="I47" s="242"/>
    </row>
    <row r="48" spans="1:9" ht="14" thickBot="1" x14ac:dyDescent="0.2">
      <c r="A48" s="310">
        <f>SUM(E46:E52)</f>
        <v>24.49</v>
      </c>
      <c r="B48" s="236">
        <v>42781</v>
      </c>
      <c r="C48" s="237"/>
      <c r="D48" s="238"/>
      <c r="E48" s="239"/>
      <c r="F48" s="240"/>
      <c r="G48" s="241"/>
      <c r="H48" s="241"/>
      <c r="I48" s="242"/>
    </row>
    <row r="49" spans="1:9" x14ac:dyDescent="0.15">
      <c r="A49" s="308" t="s">
        <v>492</v>
      </c>
      <c r="B49" s="236">
        <v>42782</v>
      </c>
      <c r="C49" s="237" t="s">
        <v>14</v>
      </c>
      <c r="D49" s="238">
        <v>4.0555555555555553E-2</v>
      </c>
      <c r="E49" s="239">
        <v>11.2</v>
      </c>
      <c r="F49" s="240">
        <f>D49/E49</f>
        <v>3.6210317460317462E-3</v>
      </c>
      <c r="G49" s="241">
        <v>156</v>
      </c>
      <c r="H49" s="241">
        <v>87</v>
      </c>
      <c r="I49" s="242" t="s">
        <v>472</v>
      </c>
    </row>
    <row r="50" spans="1:9" ht="14" thickBot="1" x14ac:dyDescent="0.2">
      <c r="A50" s="306">
        <f>SUM(H46:H52)</f>
        <v>167</v>
      </c>
      <c r="B50" s="236">
        <v>42783</v>
      </c>
      <c r="C50" s="237"/>
      <c r="D50" s="238"/>
      <c r="E50" s="239"/>
      <c r="F50" s="240"/>
      <c r="G50" s="241"/>
      <c r="H50" s="241"/>
      <c r="I50" s="242"/>
    </row>
    <row r="51" spans="1:9" x14ac:dyDescent="0.15">
      <c r="A51" s="221"/>
      <c r="B51" s="236">
        <v>42784</v>
      </c>
      <c r="C51" s="237"/>
      <c r="D51" s="238"/>
      <c r="E51" s="239"/>
      <c r="F51" s="240"/>
      <c r="G51" s="241"/>
      <c r="H51" s="241"/>
      <c r="I51" s="242"/>
    </row>
    <row r="52" spans="1:9" ht="14" thickBot="1" x14ac:dyDescent="0.2">
      <c r="A52" s="221"/>
      <c r="B52" s="256">
        <v>42785</v>
      </c>
      <c r="C52" s="257" t="s">
        <v>14</v>
      </c>
      <c r="D52" s="258">
        <v>4.7326388888888883E-2</v>
      </c>
      <c r="E52" s="259">
        <v>13.29</v>
      </c>
      <c r="F52" s="260">
        <f>D52/E52</f>
        <v>3.5610525875762896E-3</v>
      </c>
      <c r="G52" s="261"/>
      <c r="H52" s="261">
        <v>80</v>
      </c>
      <c r="I52" s="262" t="s">
        <v>472</v>
      </c>
    </row>
    <row r="53" spans="1:9" ht="14" thickBot="1" x14ac:dyDescent="0.2">
      <c r="A53" s="309">
        <f>A46+1</f>
        <v>8</v>
      </c>
      <c r="B53" s="229">
        <v>42786</v>
      </c>
      <c r="C53" s="230"/>
      <c r="D53" s="231"/>
      <c r="E53" s="232"/>
      <c r="F53" s="233"/>
      <c r="G53" s="234"/>
      <c r="H53" s="234"/>
      <c r="I53" s="235"/>
    </row>
    <row r="54" spans="1:9" x14ac:dyDescent="0.15">
      <c r="A54" s="307" t="s">
        <v>11</v>
      </c>
      <c r="B54" s="236">
        <v>42787</v>
      </c>
      <c r="C54" s="237"/>
      <c r="D54" s="238"/>
      <c r="E54" s="239"/>
      <c r="F54" s="240"/>
      <c r="G54" s="241"/>
      <c r="H54" s="241"/>
      <c r="I54" s="242"/>
    </row>
    <row r="55" spans="1:9" ht="14" thickBot="1" x14ac:dyDescent="0.2">
      <c r="A55" s="310">
        <f>SUM(E53:E59)</f>
        <v>24.9</v>
      </c>
      <c r="B55" s="236">
        <v>42788</v>
      </c>
      <c r="C55" s="237"/>
      <c r="D55" s="238"/>
      <c r="E55" s="239"/>
      <c r="F55" s="240"/>
      <c r="G55" s="241"/>
      <c r="H55" s="241"/>
      <c r="I55" s="242"/>
    </row>
    <row r="56" spans="1:9" x14ac:dyDescent="0.15">
      <c r="A56" s="308" t="s">
        <v>492</v>
      </c>
      <c r="B56" s="236">
        <v>42789</v>
      </c>
      <c r="C56" s="237" t="s">
        <v>14</v>
      </c>
      <c r="D56" s="238">
        <v>4.0034722222222222E-2</v>
      </c>
      <c r="E56" s="239">
        <v>11.2</v>
      </c>
      <c r="F56" s="240">
        <f>D56/E56</f>
        <v>3.5745287698412702E-3</v>
      </c>
      <c r="G56" s="241">
        <v>152</v>
      </c>
      <c r="H56" s="241">
        <v>66</v>
      </c>
      <c r="I56" s="242" t="s">
        <v>483</v>
      </c>
    </row>
    <row r="57" spans="1:9" ht="14" thickBot="1" x14ac:dyDescent="0.2">
      <c r="A57" s="306">
        <f>SUM(H53:H59)</f>
        <v>154</v>
      </c>
      <c r="B57" s="236">
        <v>42790</v>
      </c>
      <c r="C57" s="237"/>
      <c r="D57" s="238"/>
      <c r="E57" s="239"/>
      <c r="F57" s="240"/>
      <c r="G57" s="241"/>
      <c r="H57" s="241"/>
      <c r="I57" s="242"/>
    </row>
    <row r="58" spans="1:9" x14ac:dyDescent="0.15">
      <c r="A58" s="221"/>
      <c r="B58" s="236">
        <v>42791</v>
      </c>
      <c r="C58" s="237"/>
      <c r="D58" s="238"/>
      <c r="E58" s="239"/>
      <c r="F58" s="240"/>
      <c r="G58" s="241"/>
      <c r="H58" s="241"/>
      <c r="I58" s="242"/>
    </row>
    <row r="59" spans="1:9" ht="14" thickBot="1" x14ac:dyDescent="0.2">
      <c r="A59" s="221"/>
      <c r="B59" s="256">
        <v>42792</v>
      </c>
      <c r="C59" s="257" t="s">
        <v>14</v>
      </c>
      <c r="D59" s="258">
        <v>4.8449074074074082E-2</v>
      </c>
      <c r="E59" s="259">
        <v>13.7</v>
      </c>
      <c r="F59" s="260">
        <f>D59/E59</f>
        <v>3.5364287645309549E-3</v>
      </c>
      <c r="G59" s="261">
        <v>152</v>
      </c>
      <c r="H59" s="261">
        <v>88</v>
      </c>
      <c r="I59" s="262" t="s">
        <v>472</v>
      </c>
    </row>
    <row r="60" spans="1:9" ht="14" thickBot="1" x14ac:dyDescent="0.2">
      <c r="A60" s="309">
        <f>A53+1</f>
        <v>9</v>
      </c>
      <c r="B60" s="229">
        <v>42793</v>
      </c>
      <c r="C60" s="230"/>
      <c r="D60" s="231"/>
      <c r="E60" s="232"/>
      <c r="F60" s="233"/>
      <c r="G60" s="234"/>
      <c r="H60" s="234"/>
      <c r="I60" s="235"/>
    </row>
    <row r="61" spans="1:9" x14ac:dyDescent="0.15">
      <c r="A61" s="307" t="s">
        <v>11</v>
      </c>
      <c r="B61" s="236">
        <v>42794</v>
      </c>
      <c r="C61" s="237"/>
      <c r="D61" s="238"/>
      <c r="E61" s="239"/>
      <c r="F61" s="240"/>
      <c r="G61" s="241"/>
      <c r="H61" s="241"/>
      <c r="I61" s="242"/>
    </row>
    <row r="62" spans="1:9" ht="14" thickBot="1" x14ac:dyDescent="0.2">
      <c r="A62" s="310">
        <f>SUM(E60:E66)</f>
        <v>31.1</v>
      </c>
      <c r="B62" s="236">
        <v>42795</v>
      </c>
      <c r="C62" s="237" t="s">
        <v>14</v>
      </c>
      <c r="D62" s="238">
        <v>3.7893518518518521E-2</v>
      </c>
      <c r="E62" s="239">
        <v>10.4</v>
      </c>
      <c r="F62" s="240">
        <f>D62/E62</f>
        <v>3.6436075498575498E-3</v>
      </c>
      <c r="G62" s="241">
        <v>153</v>
      </c>
      <c r="H62" s="241">
        <v>61</v>
      </c>
      <c r="I62" s="242" t="s">
        <v>472</v>
      </c>
    </row>
    <row r="63" spans="1:9" x14ac:dyDescent="0.15">
      <c r="A63" s="308" t="s">
        <v>492</v>
      </c>
      <c r="B63" s="236">
        <v>42796</v>
      </c>
      <c r="C63" s="237"/>
      <c r="D63" s="238"/>
      <c r="E63" s="239"/>
      <c r="F63" s="240"/>
      <c r="G63" s="241"/>
      <c r="H63" s="241"/>
      <c r="I63" s="242"/>
    </row>
    <row r="64" spans="1:9" ht="14" thickBot="1" x14ac:dyDescent="0.2">
      <c r="A64" s="306">
        <f>SUM(H60:H66)</f>
        <v>185</v>
      </c>
      <c r="B64" s="236">
        <v>42797</v>
      </c>
      <c r="C64" s="237" t="s">
        <v>14</v>
      </c>
      <c r="D64" s="238">
        <v>3.3773148148148149E-2</v>
      </c>
      <c r="E64" s="239">
        <v>9.6</v>
      </c>
      <c r="F64" s="240">
        <f>D64/E64</f>
        <v>3.518036265432099E-3</v>
      </c>
      <c r="G64" s="241">
        <v>150</v>
      </c>
      <c r="H64" s="241">
        <v>56</v>
      </c>
      <c r="I64" s="242" t="s">
        <v>483</v>
      </c>
    </row>
    <row r="65" spans="1:9" x14ac:dyDescent="0.15">
      <c r="A65" s="221"/>
      <c r="B65" s="236">
        <v>42798</v>
      </c>
      <c r="C65" s="237" t="s">
        <v>14</v>
      </c>
      <c r="D65" s="238">
        <v>3.9097222222222221E-2</v>
      </c>
      <c r="E65" s="239">
        <v>11.1</v>
      </c>
      <c r="F65" s="240">
        <f>D65/E65</f>
        <v>3.5222722722722723E-3</v>
      </c>
      <c r="G65" s="241">
        <v>156</v>
      </c>
      <c r="H65" s="241">
        <v>68</v>
      </c>
      <c r="I65" s="242" t="s">
        <v>472</v>
      </c>
    </row>
    <row r="66" spans="1:9" ht="14" thickBot="1" x14ac:dyDescent="0.2">
      <c r="A66" s="221"/>
      <c r="B66" s="256">
        <v>42799</v>
      </c>
      <c r="C66" s="257"/>
      <c r="D66" s="258"/>
      <c r="E66" s="259"/>
      <c r="F66" s="260"/>
      <c r="G66" s="261"/>
      <c r="H66" s="261"/>
      <c r="I66" s="262"/>
    </row>
    <row r="67" spans="1:9" ht="14" thickBot="1" x14ac:dyDescent="0.2">
      <c r="A67" s="309">
        <f>A60+1</f>
        <v>10</v>
      </c>
      <c r="B67" s="229">
        <v>42800</v>
      </c>
      <c r="C67" s="230"/>
      <c r="D67" s="231"/>
      <c r="E67" s="232"/>
      <c r="F67" s="233"/>
      <c r="G67" s="234"/>
      <c r="H67" s="234"/>
      <c r="I67" s="235"/>
    </row>
    <row r="68" spans="1:9" x14ac:dyDescent="0.15">
      <c r="A68" s="307" t="s">
        <v>11</v>
      </c>
      <c r="B68" s="236">
        <v>42801</v>
      </c>
      <c r="C68" s="237"/>
      <c r="D68" s="238"/>
      <c r="E68" s="239"/>
      <c r="F68" s="240"/>
      <c r="G68" s="241"/>
      <c r="H68" s="241"/>
      <c r="I68" s="242"/>
    </row>
    <row r="69" spans="1:9" ht="14" thickBot="1" x14ac:dyDescent="0.2">
      <c r="A69" s="310">
        <f>SUM(E67:E73)</f>
        <v>22.369999999999997</v>
      </c>
      <c r="B69" s="236">
        <v>42802</v>
      </c>
      <c r="C69" s="237"/>
      <c r="D69" s="238"/>
      <c r="E69" s="239"/>
      <c r="F69" s="240"/>
      <c r="G69" s="241"/>
      <c r="H69" s="241"/>
      <c r="I69" s="242"/>
    </row>
    <row r="70" spans="1:9" x14ac:dyDescent="0.15">
      <c r="A70" s="308" t="s">
        <v>492</v>
      </c>
      <c r="B70" s="236">
        <v>42803</v>
      </c>
      <c r="C70" s="237"/>
      <c r="D70" s="238"/>
      <c r="E70" s="239"/>
      <c r="F70" s="240"/>
      <c r="G70" s="241"/>
      <c r="H70" s="241"/>
      <c r="I70" s="242"/>
    </row>
    <row r="71" spans="1:9" ht="14" thickBot="1" x14ac:dyDescent="0.2">
      <c r="A71" s="306">
        <f>SUM(H67:H73)</f>
        <v>139</v>
      </c>
      <c r="B71" s="236">
        <v>42804</v>
      </c>
      <c r="C71" s="237" t="s">
        <v>14</v>
      </c>
      <c r="D71" s="238">
        <v>3.8796296296296294E-2</v>
      </c>
      <c r="E71" s="239">
        <v>11.17</v>
      </c>
      <c r="F71" s="240">
        <f>D71/E71</f>
        <v>3.4732583971617092E-3</v>
      </c>
      <c r="G71" s="241">
        <v>150</v>
      </c>
      <c r="H71" s="241">
        <v>68</v>
      </c>
      <c r="I71" s="242" t="s">
        <v>472</v>
      </c>
    </row>
    <row r="72" spans="1:9" x14ac:dyDescent="0.15">
      <c r="A72" s="221"/>
      <c r="B72" s="236">
        <v>42805</v>
      </c>
      <c r="C72" s="237"/>
      <c r="D72" s="238"/>
      <c r="E72" s="239"/>
      <c r="F72" s="240"/>
      <c r="G72" s="241"/>
      <c r="H72" s="241"/>
      <c r="I72" s="242"/>
    </row>
    <row r="73" spans="1:9" ht="14" thickBot="1" x14ac:dyDescent="0.2">
      <c r="A73" s="221"/>
      <c r="B73" s="256">
        <v>42806</v>
      </c>
      <c r="C73" s="257" t="s">
        <v>14</v>
      </c>
      <c r="D73" s="258">
        <v>3.8738425925925926E-2</v>
      </c>
      <c r="E73" s="259">
        <v>11.2</v>
      </c>
      <c r="F73" s="260">
        <f>D73/E73</f>
        <v>3.4587880291005292E-3</v>
      </c>
      <c r="G73" s="261">
        <v>153</v>
      </c>
      <c r="H73" s="261">
        <v>71</v>
      </c>
      <c r="I73" s="262" t="s">
        <v>475</v>
      </c>
    </row>
    <row r="74" spans="1:9" ht="14" thickBot="1" x14ac:dyDescent="0.2">
      <c r="A74" s="309">
        <f>A67+1</f>
        <v>11</v>
      </c>
      <c r="B74" s="229">
        <v>42807</v>
      </c>
      <c r="C74" s="230" t="s">
        <v>14</v>
      </c>
      <c r="D74" s="231">
        <v>5.6631944444444443E-2</v>
      </c>
      <c r="E74" s="232">
        <v>15.79</v>
      </c>
      <c r="F74" s="240">
        <f>D74/E74</f>
        <v>3.5865702624727326E-3</v>
      </c>
      <c r="G74" s="234">
        <v>147</v>
      </c>
      <c r="H74" s="234">
        <v>109</v>
      </c>
      <c r="I74" s="235" t="s">
        <v>483</v>
      </c>
    </row>
    <row r="75" spans="1:9" x14ac:dyDescent="0.15">
      <c r="A75" s="307" t="s">
        <v>11</v>
      </c>
      <c r="B75" s="236">
        <v>42808</v>
      </c>
      <c r="C75" s="237" t="s">
        <v>14</v>
      </c>
      <c r="D75" s="238">
        <v>3.5370370370370365E-2</v>
      </c>
      <c r="E75" s="239">
        <v>9.8000000000000007</v>
      </c>
      <c r="F75" s="240">
        <f>D75/E75</f>
        <v>3.6092214663643227E-3</v>
      </c>
      <c r="G75" s="241">
        <v>148</v>
      </c>
      <c r="H75" s="241">
        <v>59</v>
      </c>
      <c r="I75" s="242" t="s">
        <v>475</v>
      </c>
    </row>
    <row r="76" spans="1:9" ht="14" thickBot="1" x14ac:dyDescent="0.2">
      <c r="A76" s="310">
        <f>SUM(E74:E80)</f>
        <v>52.49</v>
      </c>
      <c r="B76" s="236">
        <v>42809</v>
      </c>
      <c r="C76" s="237"/>
      <c r="D76" s="238"/>
      <c r="E76" s="239"/>
      <c r="F76" s="240"/>
      <c r="G76" s="241"/>
      <c r="H76" s="241"/>
      <c r="I76" s="242"/>
    </row>
    <row r="77" spans="1:9" x14ac:dyDescent="0.15">
      <c r="A77" s="308" t="s">
        <v>492</v>
      </c>
      <c r="B77" s="236">
        <v>42810</v>
      </c>
      <c r="C77" s="237"/>
      <c r="D77" s="238"/>
      <c r="E77" s="239"/>
      <c r="F77" s="240"/>
      <c r="G77" s="241"/>
      <c r="H77" s="241"/>
      <c r="I77" s="242"/>
    </row>
    <row r="78" spans="1:9" ht="14" thickBot="1" x14ac:dyDescent="0.2">
      <c r="A78" s="306">
        <f>SUM(H74:H80)</f>
        <v>333</v>
      </c>
      <c r="B78" s="236">
        <v>42811</v>
      </c>
      <c r="C78" s="237" t="s">
        <v>14</v>
      </c>
      <c r="D78" s="238">
        <v>3.876157407407408E-2</v>
      </c>
      <c r="E78" s="239">
        <v>11.23</v>
      </c>
      <c r="F78" s="240">
        <f>D78/E78</f>
        <v>3.4516094455987602E-3</v>
      </c>
      <c r="G78" s="241">
        <v>149</v>
      </c>
      <c r="H78" s="241">
        <v>69</v>
      </c>
      <c r="I78" s="242" t="s">
        <v>483</v>
      </c>
    </row>
    <row r="79" spans="1:9" x14ac:dyDescent="0.15">
      <c r="A79" s="221"/>
      <c r="B79" s="236">
        <v>42812</v>
      </c>
      <c r="C79" s="237"/>
      <c r="D79" s="238"/>
      <c r="E79" s="239"/>
      <c r="F79" s="240"/>
      <c r="G79" s="241"/>
      <c r="H79" s="241"/>
      <c r="I79" s="242"/>
    </row>
    <row r="80" spans="1:9" ht="14" thickBot="1" x14ac:dyDescent="0.2">
      <c r="A80" s="221"/>
      <c r="B80" s="256">
        <v>42813</v>
      </c>
      <c r="C80" s="257" t="s">
        <v>14</v>
      </c>
      <c r="D80" s="258">
        <v>5.4583333333333338E-2</v>
      </c>
      <c r="E80" s="259">
        <v>15.67</v>
      </c>
      <c r="F80" s="260">
        <f>D80/E80</f>
        <v>3.483301425228675E-3</v>
      </c>
      <c r="G80" s="261">
        <v>151</v>
      </c>
      <c r="H80" s="261">
        <v>96</v>
      </c>
      <c r="I80" s="262" t="s">
        <v>472</v>
      </c>
    </row>
    <row r="81" spans="1:9" ht="14" thickBot="1" x14ac:dyDescent="0.2">
      <c r="A81" s="309">
        <f>A74+1</f>
        <v>12</v>
      </c>
      <c r="B81" s="229">
        <v>42814</v>
      </c>
      <c r="C81" s="230"/>
      <c r="D81" s="231"/>
      <c r="E81" s="232"/>
      <c r="F81" s="240"/>
      <c r="G81" s="234"/>
      <c r="H81" s="234"/>
      <c r="I81" s="235"/>
    </row>
    <row r="82" spans="1:9" x14ac:dyDescent="0.15">
      <c r="A82" s="307" t="s">
        <v>11</v>
      </c>
      <c r="B82" s="236">
        <v>42815</v>
      </c>
      <c r="C82" s="237" t="s">
        <v>14</v>
      </c>
      <c r="D82" s="238">
        <v>3.9421296296296295E-2</v>
      </c>
      <c r="E82" s="239">
        <v>11.1</v>
      </c>
      <c r="F82" s="240">
        <f>D82/E82</f>
        <v>3.5514681348014681E-3</v>
      </c>
      <c r="G82" s="241">
        <v>153</v>
      </c>
      <c r="H82" s="241">
        <v>67</v>
      </c>
      <c r="I82" s="242" t="s">
        <v>475</v>
      </c>
    </row>
    <row r="83" spans="1:9" ht="14" thickBot="1" x14ac:dyDescent="0.2">
      <c r="A83" s="310">
        <f>SUM(E81:E87)</f>
        <v>41.769999999999996</v>
      </c>
      <c r="B83" s="236">
        <v>42816</v>
      </c>
      <c r="C83" s="237"/>
      <c r="D83" s="238"/>
      <c r="E83" s="239"/>
      <c r="F83" s="240"/>
      <c r="G83" s="241"/>
      <c r="H83" s="241"/>
      <c r="I83" s="242"/>
    </row>
    <row r="84" spans="1:9" x14ac:dyDescent="0.15">
      <c r="A84" s="308" t="s">
        <v>492</v>
      </c>
      <c r="B84" s="236">
        <v>42817</v>
      </c>
      <c r="C84" s="237" t="s">
        <v>464</v>
      </c>
      <c r="D84" s="238">
        <v>4.1006944444444443E-2</v>
      </c>
      <c r="E84" s="239">
        <v>11.2</v>
      </c>
      <c r="F84" s="240">
        <f>D84/E84</f>
        <v>3.6613343253968254E-3</v>
      </c>
      <c r="G84" s="241">
        <v>143</v>
      </c>
      <c r="H84" s="241">
        <v>71</v>
      </c>
      <c r="I84" s="242" t="s">
        <v>483</v>
      </c>
    </row>
    <row r="85" spans="1:9" ht="14" thickBot="1" x14ac:dyDescent="0.2">
      <c r="A85" s="306">
        <f>SUM(H81:H87)</f>
        <v>258</v>
      </c>
      <c r="B85" s="236">
        <v>42818</v>
      </c>
      <c r="C85" s="237"/>
      <c r="D85" s="238"/>
      <c r="E85" s="239"/>
      <c r="F85" s="240"/>
      <c r="G85" s="241"/>
      <c r="H85" s="241"/>
      <c r="I85" s="242"/>
    </row>
    <row r="86" spans="1:9" x14ac:dyDescent="0.15">
      <c r="A86" s="221"/>
      <c r="B86" s="236">
        <v>42819</v>
      </c>
      <c r="C86" s="237"/>
      <c r="D86" s="238"/>
      <c r="E86" s="239"/>
      <c r="F86" s="240"/>
      <c r="G86" s="241"/>
      <c r="H86" s="241"/>
      <c r="I86" s="242"/>
    </row>
    <row r="87" spans="1:9" ht="14" thickBot="1" x14ac:dyDescent="0.2">
      <c r="A87" s="221"/>
      <c r="B87" s="256">
        <v>42820</v>
      </c>
      <c r="C87" s="257" t="s">
        <v>14</v>
      </c>
      <c r="D87" s="258">
        <v>6.8553240740740748E-2</v>
      </c>
      <c r="E87" s="259">
        <v>19.47</v>
      </c>
      <c r="F87" s="260">
        <f>D87/E87</f>
        <v>3.5209676805722009E-3</v>
      </c>
      <c r="G87" s="261">
        <v>148</v>
      </c>
      <c r="H87" s="261">
        <v>120</v>
      </c>
      <c r="I87" s="262" t="s">
        <v>475</v>
      </c>
    </row>
    <row r="88" spans="1:9" ht="14" thickBot="1" x14ac:dyDescent="0.2">
      <c r="A88" s="309">
        <f>A81+1</f>
        <v>13</v>
      </c>
      <c r="B88" s="229">
        <v>42821</v>
      </c>
      <c r="C88" s="230"/>
      <c r="D88" s="231"/>
      <c r="E88" s="232"/>
      <c r="F88" s="233"/>
      <c r="G88" s="234"/>
      <c r="H88" s="234"/>
      <c r="I88" s="235"/>
    </row>
    <row r="89" spans="1:9" x14ac:dyDescent="0.15">
      <c r="A89" s="307" t="s">
        <v>11</v>
      </c>
      <c r="B89" s="236">
        <v>42822</v>
      </c>
      <c r="C89" s="237" t="s">
        <v>14</v>
      </c>
      <c r="D89" s="238">
        <v>5.1585648148148144E-2</v>
      </c>
      <c r="E89" s="239">
        <v>14.45</v>
      </c>
      <c r="F89" s="240">
        <f>D89/E89</f>
        <v>3.5699410483147507E-3</v>
      </c>
      <c r="G89" s="241">
        <v>146</v>
      </c>
      <c r="H89" s="241">
        <v>85</v>
      </c>
      <c r="I89" s="242" t="s">
        <v>471</v>
      </c>
    </row>
    <row r="90" spans="1:9" ht="14" thickBot="1" x14ac:dyDescent="0.2">
      <c r="A90" s="310">
        <f>SUM(E88:E94)</f>
        <v>46.62</v>
      </c>
      <c r="B90" s="236">
        <v>42823</v>
      </c>
      <c r="C90" s="237" t="s">
        <v>464</v>
      </c>
      <c r="D90" s="238">
        <v>3.9259259259259258E-2</v>
      </c>
      <c r="E90" s="239">
        <v>11.12</v>
      </c>
      <c r="F90" s="240">
        <f>D90/E90</f>
        <v>3.5305089261923796E-3</v>
      </c>
      <c r="G90" s="241">
        <v>140</v>
      </c>
      <c r="H90" s="241">
        <v>69</v>
      </c>
      <c r="I90" s="242" t="s">
        <v>483</v>
      </c>
    </row>
    <row r="91" spans="1:9" x14ac:dyDescent="0.15">
      <c r="A91" s="308" t="s">
        <v>492</v>
      </c>
      <c r="B91" s="236">
        <v>42824</v>
      </c>
      <c r="C91" s="237"/>
      <c r="D91" s="238"/>
      <c r="E91" s="239"/>
      <c r="F91" s="240"/>
      <c r="G91" s="241"/>
      <c r="H91" s="241"/>
      <c r="I91" s="242"/>
    </row>
    <row r="92" spans="1:9" ht="14" thickBot="1" x14ac:dyDescent="0.2">
      <c r="A92" s="306">
        <f>SUM(H88:H94)</f>
        <v>282</v>
      </c>
      <c r="B92" s="236">
        <v>42825</v>
      </c>
      <c r="C92" s="237" t="s">
        <v>14</v>
      </c>
      <c r="D92" s="238">
        <v>3.3645833333333333E-2</v>
      </c>
      <c r="E92" s="239">
        <v>9.9</v>
      </c>
      <c r="F92" s="240">
        <f>D92/E92</f>
        <v>3.3985690235690236E-3</v>
      </c>
      <c r="G92" s="241">
        <v>152</v>
      </c>
      <c r="H92" s="241">
        <v>59</v>
      </c>
      <c r="I92" s="242" t="s">
        <v>483</v>
      </c>
    </row>
    <row r="93" spans="1:9" x14ac:dyDescent="0.15">
      <c r="A93" s="221"/>
      <c r="B93" s="236">
        <v>42826</v>
      </c>
      <c r="C93" s="237"/>
      <c r="D93" s="238"/>
      <c r="E93" s="239"/>
      <c r="F93" s="240"/>
      <c r="G93" s="241"/>
      <c r="H93" s="241"/>
      <c r="I93" s="242"/>
    </row>
    <row r="94" spans="1:9" ht="14" thickBot="1" x14ac:dyDescent="0.2">
      <c r="A94" s="221"/>
      <c r="B94" s="256">
        <v>42827</v>
      </c>
      <c r="C94" s="257" t="s">
        <v>49</v>
      </c>
      <c r="D94" s="258">
        <v>3.7870370370370367E-2</v>
      </c>
      <c r="E94" s="259">
        <v>11.15</v>
      </c>
      <c r="F94" s="260">
        <f>D94/E94</f>
        <v>3.3964457731273869E-3</v>
      </c>
      <c r="G94" s="261">
        <v>153</v>
      </c>
      <c r="H94" s="261">
        <v>69</v>
      </c>
      <c r="I94" s="262" t="s">
        <v>472</v>
      </c>
    </row>
    <row r="95" spans="1:9" ht="14" thickBot="1" x14ac:dyDescent="0.2">
      <c r="A95" s="309">
        <f>A88+1</f>
        <v>14</v>
      </c>
      <c r="B95" s="229">
        <v>42828</v>
      </c>
      <c r="C95" s="230"/>
      <c r="D95" s="231"/>
      <c r="E95" s="232"/>
      <c r="F95" s="233"/>
      <c r="G95" s="234"/>
      <c r="H95" s="234"/>
      <c r="I95" s="235"/>
    </row>
    <row r="96" spans="1:9" x14ac:dyDescent="0.15">
      <c r="A96" s="307" t="s">
        <v>11</v>
      </c>
      <c r="B96" s="236">
        <v>42829</v>
      </c>
      <c r="C96" s="237" t="s">
        <v>14</v>
      </c>
      <c r="D96" s="238">
        <v>5.3611111111111109E-2</v>
      </c>
      <c r="E96" s="239">
        <v>15.07</v>
      </c>
      <c r="F96" s="240">
        <f t="shared" ref="F96:F101" si="0">D96/E96</f>
        <v>3.5574725355747251E-3</v>
      </c>
      <c r="G96" s="241">
        <v>142</v>
      </c>
      <c r="H96" s="241">
        <v>89</v>
      </c>
      <c r="I96" s="242" t="s">
        <v>475</v>
      </c>
    </row>
    <row r="97" spans="1:9" ht="14" thickBot="1" x14ac:dyDescent="0.2">
      <c r="A97" s="310">
        <f>SUM(E95:E101)</f>
        <v>88</v>
      </c>
      <c r="B97" s="236">
        <v>42830</v>
      </c>
      <c r="C97" s="237" t="s">
        <v>14</v>
      </c>
      <c r="D97" s="238">
        <v>4.0347222222222222E-2</v>
      </c>
      <c r="E97" s="239">
        <v>11.84</v>
      </c>
      <c r="F97" s="240">
        <f t="shared" si="0"/>
        <v>3.4077045795795798E-3</v>
      </c>
      <c r="G97" s="241">
        <v>146</v>
      </c>
      <c r="H97" s="241">
        <v>73</v>
      </c>
      <c r="I97" s="242" t="s">
        <v>472</v>
      </c>
    </row>
    <row r="98" spans="1:9" x14ac:dyDescent="0.15">
      <c r="A98" s="308" t="s">
        <v>492</v>
      </c>
      <c r="B98" s="236">
        <v>42831</v>
      </c>
      <c r="C98" s="207" t="s">
        <v>14</v>
      </c>
      <c r="D98" s="238">
        <v>5.6597222222222222E-2</v>
      </c>
      <c r="E98" s="239">
        <v>15.8</v>
      </c>
      <c r="F98" s="240">
        <f t="shared" si="0"/>
        <v>3.5821026722925456E-3</v>
      </c>
      <c r="G98" s="241">
        <v>148</v>
      </c>
      <c r="H98" s="241">
        <v>91</v>
      </c>
      <c r="I98" s="242" t="s">
        <v>475</v>
      </c>
    </row>
    <row r="99" spans="1:9" ht="14" thickBot="1" x14ac:dyDescent="0.2">
      <c r="A99" s="306">
        <f>SUM(H95:H101)</f>
        <v>528</v>
      </c>
      <c r="B99" s="236">
        <v>42832</v>
      </c>
      <c r="C99" s="237" t="s">
        <v>464</v>
      </c>
      <c r="D99" s="238">
        <v>3.8506944444444448E-2</v>
      </c>
      <c r="E99" s="239">
        <v>11.11</v>
      </c>
      <c r="F99" s="240">
        <f t="shared" si="0"/>
        <v>3.4659715971597166E-3</v>
      </c>
      <c r="G99" s="241">
        <v>149</v>
      </c>
      <c r="H99" s="241">
        <v>69</v>
      </c>
      <c r="I99" s="242" t="s">
        <v>483</v>
      </c>
    </row>
    <row r="100" spans="1:9" x14ac:dyDescent="0.15">
      <c r="A100" s="221"/>
      <c r="B100" s="236">
        <v>42833</v>
      </c>
      <c r="C100" s="237" t="s">
        <v>14</v>
      </c>
      <c r="D100" s="238">
        <v>4.9849537037037039E-2</v>
      </c>
      <c r="E100" s="239">
        <v>13.62</v>
      </c>
      <c r="F100" s="240">
        <f t="shared" si="0"/>
        <v>3.6600247457442762E-3</v>
      </c>
      <c r="G100" s="241">
        <v>145</v>
      </c>
      <c r="H100" s="241">
        <v>80</v>
      </c>
      <c r="I100" s="242" t="s">
        <v>471</v>
      </c>
    </row>
    <row r="101" spans="1:9" ht="14" thickBot="1" x14ac:dyDescent="0.2">
      <c r="A101" s="221"/>
      <c r="B101" s="256">
        <v>42834</v>
      </c>
      <c r="C101" s="257" t="s">
        <v>14</v>
      </c>
      <c r="D101" s="258">
        <v>7.5833333333333336E-2</v>
      </c>
      <c r="E101" s="259">
        <v>20.56</v>
      </c>
      <c r="F101" s="260">
        <f t="shared" si="0"/>
        <v>3.6883916990920885E-3</v>
      </c>
      <c r="G101" s="261">
        <v>139</v>
      </c>
      <c r="H101" s="261">
        <v>126</v>
      </c>
      <c r="I101" s="262" t="s">
        <v>475</v>
      </c>
    </row>
    <row r="102" spans="1:9" ht="14" thickBot="1" x14ac:dyDescent="0.2">
      <c r="A102" s="309">
        <f>A95+1</f>
        <v>15</v>
      </c>
      <c r="B102" s="229">
        <v>42835</v>
      </c>
      <c r="C102" s="230"/>
      <c r="D102" s="231"/>
      <c r="E102" s="232"/>
      <c r="F102" s="233"/>
      <c r="G102" s="234"/>
      <c r="H102" s="234"/>
      <c r="I102" s="235"/>
    </row>
    <row r="103" spans="1:9" x14ac:dyDescent="0.15">
      <c r="A103" s="307" t="s">
        <v>11</v>
      </c>
      <c r="B103" s="236">
        <v>42836</v>
      </c>
      <c r="C103" s="237" t="s">
        <v>14</v>
      </c>
      <c r="D103" s="238">
        <v>4.0428240740740744E-2</v>
      </c>
      <c r="E103" s="239">
        <v>11.13</v>
      </c>
      <c r="F103" s="240">
        <f>D103/E103</f>
        <v>3.6323666433729328E-3</v>
      </c>
      <c r="G103" s="241">
        <v>133</v>
      </c>
      <c r="H103" s="241">
        <v>66</v>
      </c>
      <c r="I103" s="242" t="s">
        <v>483</v>
      </c>
    </row>
    <row r="104" spans="1:9" ht="14" thickBot="1" x14ac:dyDescent="0.2">
      <c r="A104" s="310">
        <f>SUM(E102:E108)</f>
        <v>32.21</v>
      </c>
      <c r="B104" s="236">
        <v>42837</v>
      </c>
      <c r="C104" s="237"/>
      <c r="D104" s="238"/>
      <c r="E104" s="239"/>
      <c r="F104" s="240"/>
      <c r="G104" s="241"/>
      <c r="H104" s="241"/>
      <c r="I104" s="242"/>
    </row>
    <row r="105" spans="1:9" x14ac:dyDescent="0.15">
      <c r="A105" s="308" t="s">
        <v>492</v>
      </c>
      <c r="B105" s="236">
        <v>42838</v>
      </c>
      <c r="C105" s="237" t="s">
        <v>14</v>
      </c>
      <c r="D105" s="238">
        <v>3.9918981481481479E-2</v>
      </c>
      <c r="E105" s="239">
        <v>11.06</v>
      </c>
      <c r="F105" s="240">
        <f>D105/E105</f>
        <v>3.6093111646909111E-3</v>
      </c>
      <c r="G105" s="241">
        <v>145</v>
      </c>
      <c r="H105" s="241">
        <v>60</v>
      </c>
      <c r="I105" s="242" t="s">
        <v>472</v>
      </c>
    </row>
    <row r="106" spans="1:9" ht="14" thickBot="1" x14ac:dyDescent="0.2">
      <c r="A106" s="306">
        <f>SUM(H102:H108)</f>
        <v>193</v>
      </c>
      <c r="B106" s="236">
        <v>42839</v>
      </c>
      <c r="C106" s="237"/>
      <c r="D106" s="238"/>
      <c r="E106" s="239"/>
      <c r="F106" s="240"/>
      <c r="G106" s="241"/>
      <c r="H106" s="241"/>
      <c r="I106" s="242"/>
    </row>
    <row r="107" spans="1:9" x14ac:dyDescent="0.15">
      <c r="A107" s="221"/>
      <c r="B107" s="236">
        <v>42840</v>
      </c>
      <c r="C107" s="237" t="s">
        <v>158</v>
      </c>
      <c r="D107" s="238">
        <v>3.0740740740740739E-2</v>
      </c>
      <c r="E107" s="239">
        <v>10.02</v>
      </c>
      <c r="F107" s="240">
        <f>D107/E107</f>
        <v>3.0679381976787164E-3</v>
      </c>
      <c r="G107" s="241">
        <v>159</v>
      </c>
      <c r="H107" s="241">
        <v>67</v>
      </c>
      <c r="I107" s="242" t="s">
        <v>483</v>
      </c>
    </row>
    <row r="108" spans="1:9" ht="14" thickBot="1" x14ac:dyDescent="0.2">
      <c r="A108" s="221"/>
      <c r="B108" s="256">
        <v>42841</v>
      </c>
      <c r="C108" s="257"/>
      <c r="D108" s="258"/>
      <c r="E108" s="259"/>
      <c r="F108" s="260"/>
      <c r="G108" s="261"/>
      <c r="H108" s="261"/>
      <c r="I108" s="262"/>
    </row>
    <row r="109" spans="1:9" ht="14" thickBot="1" x14ac:dyDescent="0.2">
      <c r="A109" s="309">
        <f>A102+1</f>
        <v>16</v>
      </c>
      <c r="B109" s="229">
        <v>42842</v>
      </c>
      <c r="C109" s="230" t="s">
        <v>14</v>
      </c>
      <c r="D109" s="231">
        <v>5.4479166666666669E-2</v>
      </c>
      <c r="E109" s="232">
        <v>14.89</v>
      </c>
      <c r="F109" s="240">
        <f>D109/E109</f>
        <v>3.6587754645175732E-3</v>
      </c>
      <c r="G109" s="234">
        <v>136</v>
      </c>
      <c r="H109" s="234">
        <v>87</v>
      </c>
      <c r="I109" s="235" t="s">
        <v>475</v>
      </c>
    </row>
    <row r="110" spans="1:9" x14ac:dyDescent="0.15">
      <c r="A110" s="307" t="s">
        <v>11</v>
      </c>
      <c r="B110" s="236">
        <v>42843</v>
      </c>
      <c r="C110" s="237"/>
      <c r="D110" s="238"/>
      <c r="E110" s="239"/>
      <c r="F110" s="240"/>
      <c r="G110" s="241"/>
      <c r="H110" s="241"/>
      <c r="I110" s="242"/>
    </row>
    <row r="111" spans="1:9" ht="14" thickBot="1" x14ac:dyDescent="0.2">
      <c r="A111" s="310">
        <f>SUM(E109:E115)</f>
        <v>67.13000000000001</v>
      </c>
      <c r="B111" s="236">
        <v>42844</v>
      </c>
      <c r="C111" s="237" t="s">
        <v>14</v>
      </c>
      <c r="D111" s="238">
        <v>3.8217592592592588E-2</v>
      </c>
      <c r="E111" s="239">
        <v>10.99</v>
      </c>
      <c r="F111" s="240">
        <f>D111/E111</f>
        <v>3.4774879520102445E-3</v>
      </c>
      <c r="G111" s="241">
        <v>146</v>
      </c>
      <c r="H111" s="241">
        <v>65</v>
      </c>
      <c r="I111" s="242" t="s">
        <v>483</v>
      </c>
    </row>
    <row r="112" spans="1:9" x14ac:dyDescent="0.15">
      <c r="A112" s="308" t="s">
        <v>492</v>
      </c>
      <c r="B112" s="236">
        <v>42845</v>
      </c>
      <c r="C112" s="237" t="s">
        <v>14</v>
      </c>
      <c r="D112" s="238">
        <v>3.2893518518518523E-2</v>
      </c>
      <c r="E112" s="239">
        <v>9.26</v>
      </c>
      <c r="F112" s="240">
        <f>D112/E112</f>
        <v>3.5522158227341821E-3</v>
      </c>
      <c r="G112" s="241">
        <v>151</v>
      </c>
      <c r="H112" s="241">
        <v>55</v>
      </c>
      <c r="I112" s="242" t="s">
        <v>471</v>
      </c>
    </row>
    <row r="113" spans="1:9" ht="14" thickBot="1" x14ac:dyDescent="0.2">
      <c r="A113" s="306">
        <f>SUM(H109:H115)</f>
        <v>392</v>
      </c>
      <c r="B113" s="236">
        <v>42846</v>
      </c>
      <c r="C113" s="237"/>
      <c r="D113" s="238"/>
      <c r="E113" s="239"/>
      <c r="F113" s="240"/>
      <c r="G113" s="241"/>
      <c r="H113" s="241"/>
      <c r="I113" s="242"/>
    </row>
    <row r="114" spans="1:9" x14ac:dyDescent="0.15">
      <c r="A114" s="221"/>
      <c r="B114" s="236">
        <v>42847</v>
      </c>
      <c r="C114" s="237" t="s">
        <v>14</v>
      </c>
      <c r="D114" s="238">
        <v>4.4907407407407403E-2</v>
      </c>
      <c r="E114" s="239">
        <v>11.98</v>
      </c>
      <c r="F114" s="240">
        <f>D114/E114</f>
        <v>3.7485315031224875E-3</v>
      </c>
      <c r="G114" s="241">
        <v>138</v>
      </c>
      <c r="H114" s="241">
        <v>68</v>
      </c>
      <c r="I114" s="242" t="s">
        <v>472</v>
      </c>
    </row>
    <row r="115" spans="1:9" ht="14" thickBot="1" x14ac:dyDescent="0.2">
      <c r="A115" s="221"/>
      <c r="B115" s="256">
        <v>42848</v>
      </c>
      <c r="C115" s="257" t="s">
        <v>14</v>
      </c>
      <c r="D115" s="258">
        <v>7.2673611111111105E-2</v>
      </c>
      <c r="E115" s="259">
        <v>20.010000000000002</v>
      </c>
      <c r="F115" s="260">
        <f>D115/E115</f>
        <v>3.6318646232439329E-3</v>
      </c>
      <c r="G115" s="261">
        <v>138</v>
      </c>
      <c r="H115" s="261">
        <v>117</v>
      </c>
      <c r="I115" s="262" t="s">
        <v>475</v>
      </c>
    </row>
    <row r="116" spans="1:9" ht="14" thickBot="1" x14ac:dyDescent="0.2">
      <c r="A116" s="309">
        <f>A109+1</f>
        <v>17</v>
      </c>
      <c r="B116" s="229">
        <v>42849</v>
      </c>
      <c r="C116" s="230"/>
      <c r="D116" s="231"/>
      <c r="E116" s="232"/>
      <c r="F116" s="233"/>
      <c r="G116" s="234"/>
      <c r="H116" s="234"/>
      <c r="I116" s="235"/>
    </row>
    <row r="117" spans="1:9" x14ac:dyDescent="0.15">
      <c r="A117" s="307" t="s">
        <v>11</v>
      </c>
      <c r="B117" s="236">
        <v>42850</v>
      </c>
      <c r="C117" s="237" t="s">
        <v>14</v>
      </c>
      <c r="D117" s="238">
        <v>4.130787037037037E-2</v>
      </c>
      <c r="E117" s="239">
        <v>11.05</v>
      </c>
      <c r="F117" s="240">
        <f>D117/E117</f>
        <v>3.7382688117982231E-3</v>
      </c>
      <c r="G117" s="241">
        <v>139</v>
      </c>
      <c r="H117" s="241">
        <v>63</v>
      </c>
      <c r="I117" s="242" t="s">
        <v>471</v>
      </c>
    </row>
    <row r="118" spans="1:9" ht="14" thickBot="1" x14ac:dyDescent="0.2">
      <c r="A118" s="310">
        <f>SUM(E116:E122)</f>
        <v>31.619999999999997</v>
      </c>
      <c r="B118" s="236">
        <v>42851</v>
      </c>
      <c r="C118" s="237"/>
      <c r="D118" s="238"/>
      <c r="E118" s="239"/>
      <c r="F118" s="240"/>
      <c r="G118" s="241"/>
      <c r="H118" s="241"/>
      <c r="I118" s="242"/>
    </row>
    <row r="119" spans="1:9" x14ac:dyDescent="0.15">
      <c r="A119" s="308" t="s">
        <v>492</v>
      </c>
      <c r="B119" s="236">
        <v>42852</v>
      </c>
      <c r="C119" s="237"/>
      <c r="D119" s="238"/>
      <c r="E119" s="239"/>
      <c r="F119" s="240"/>
      <c r="G119" s="241"/>
      <c r="H119" s="241"/>
      <c r="I119" s="242"/>
    </row>
    <row r="120" spans="1:9" ht="14" thickBot="1" x14ac:dyDescent="0.2">
      <c r="A120" s="306">
        <f>SUM(H116:H122)</f>
        <v>181</v>
      </c>
      <c r="B120" s="236">
        <v>42853</v>
      </c>
      <c r="C120" s="237" t="s">
        <v>14</v>
      </c>
      <c r="D120" s="238">
        <v>3.7800925925925925E-2</v>
      </c>
      <c r="E120" s="239">
        <v>10.29</v>
      </c>
      <c r="F120" s="240">
        <f>D120/E120</f>
        <v>3.6735593708382827E-3</v>
      </c>
      <c r="G120" s="241">
        <v>140</v>
      </c>
      <c r="H120" s="241">
        <v>59</v>
      </c>
      <c r="I120" s="242" t="s">
        <v>483</v>
      </c>
    </row>
    <row r="121" spans="1:9" x14ac:dyDescent="0.15">
      <c r="A121" s="221"/>
      <c r="B121" s="236">
        <v>42854</v>
      </c>
      <c r="C121" s="237" t="s">
        <v>14</v>
      </c>
      <c r="D121" s="238">
        <v>3.6597222222222225E-2</v>
      </c>
      <c r="E121" s="239">
        <v>10.28</v>
      </c>
      <c r="F121" s="240">
        <f>D121/E121</f>
        <v>3.5600410722006056E-3</v>
      </c>
      <c r="G121" s="241">
        <v>140</v>
      </c>
      <c r="H121" s="241">
        <v>59</v>
      </c>
      <c r="I121" s="242" t="s">
        <v>472</v>
      </c>
    </row>
    <row r="122" spans="1:9" ht="14" thickBot="1" x14ac:dyDescent="0.2">
      <c r="A122" s="221"/>
      <c r="B122" s="256">
        <v>42855</v>
      </c>
      <c r="C122" s="257"/>
      <c r="D122" s="258"/>
      <c r="E122" s="259"/>
      <c r="F122" s="260"/>
      <c r="G122" s="261"/>
      <c r="H122" s="261"/>
      <c r="I122" s="262"/>
    </row>
    <row r="123" spans="1:9" ht="14" thickBot="1" x14ac:dyDescent="0.2">
      <c r="A123" s="309">
        <f>A116+1</f>
        <v>18</v>
      </c>
      <c r="B123" s="229">
        <v>42856</v>
      </c>
      <c r="C123" s="230" t="s">
        <v>14</v>
      </c>
      <c r="D123" s="231">
        <v>7.6273148148148159E-2</v>
      </c>
      <c r="E123" s="232">
        <v>22.12</v>
      </c>
      <c r="F123" s="240">
        <f>D123/E123</f>
        <v>3.4481531712544375E-3</v>
      </c>
      <c r="G123" s="234">
        <v>154</v>
      </c>
      <c r="H123" s="234">
        <v>140</v>
      </c>
      <c r="I123" s="235" t="s">
        <v>475</v>
      </c>
    </row>
    <row r="124" spans="1:9" x14ac:dyDescent="0.15">
      <c r="A124" s="307" t="s">
        <v>11</v>
      </c>
      <c r="B124" s="236">
        <v>42857</v>
      </c>
      <c r="C124" s="237"/>
      <c r="D124" s="238"/>
      <c r="E124" s="239"/>
      <c r="F124" s="240"/>
      <c r="G124" s="241"/>
      <c r="H124" s="241"/>
      <c r="I124" s="242"/>
    </row>
    <row r="125" spans="1:9" ht="14" thickBot="1" x14ac:dyDescent="0.2">
      <c r="A125" s="310">
        <f>SUM(E123:E129)</f>
        <v>74.19</v>
      </c>
      <c r="B125" s="236">
        <v>42858</v>
      </c>
      <c r="C125" s="237" t="s">
        <v>447</v>
      </c>
      <c r="D125" s="238">
        <v>3.5636574074074077E-2</v>
      </c>
      <c r="E125" s="239">
        <v>11.06</v>
      </c>
      <c r="F125" s="240">
        <f>D125/E125</f>
        <v>3.2221133882526288E-3</v>
      </c>
      <c r="G125" s="241">
        <v>154</v>
      </c>
      <c r="H125" s="241">
        <v>74</v>
      </c>
      <c r="I125" s="242" t="s">
        <v>483</v>
      </c>
    </row>
    <row r="126" spans="1:9" x14ac:dyDescent="0.15">
      <c r="A126" s="308" t="s">
        <v>492</v>
      </c>
      <c r="B126" s="236">
        <v>42859</v>
      </c>
      <c r="C126" s="237" t="s">
        <v>14</v>
      </c>
      <c r="D126" s="238">
        <v>3.9166666666666662E-2</v>
      </c>
      <c r="E126" s="239">
        <v>11.15</v>
      </c>
      <c r="F126" s="240">
        <f>D126/E126</f>
        <v>3.5127055306427499E-3</v>
      </c>
      <c r="G126" s="241">
        <v>151</v>
      </c>
      <c r="H126" s="241">
        <v>66</v>
      </c>
      <c r="I126" s="242" t="s">
        <v>471</v>
      </c>
    </row>
    <row r="127" spans="1:9" ht="14" thickBot="1" x14ac:dyDescent="0.2">
      <c r="A127" s="306">
        <f>SUM(H123:H129)</f>
        <v>455</v>
      </c>
      <c r="B127" s="236">
        <v>42860</v>
      </c>
      <c r="C127" s="237"/>
      <c r="D127" s="238"/>
      <c r="E127" s="239"/>
      <c r="F127" s="240"/>
      <c r="G127" s="241"/>
      <c r="H127" s="241"/>
      <c r="I127" s="242"/>
    </row>
    <row r="128" spans="1:9" x14ac:dyDescent="0.15">
      <c r="A128" s="221"/>
      <c r="B128" s="236">
        <v>42861</v>
      </c>
      <c r="C128" s="237" t="s">
        <v>464</v>
      </c>
      <c r="D128" s="238">
        <v>3.5416666666666666E-2</v>
      </c>
      <c r="E128" s="239">
        <v>10.43</v>
      </c>
      <c r="F128" s="240">
        <f>D128/E128</f>
        <v>3.3956535634387984E-3</v>
      </c>
      <c r="G128" s="241">
        <v>147</v>
      </c>
      <c r="H128" s="241">
        <v>66</v>
      </c>
      <c r="I128" s="242" t="s">
        <v>483</v>
      </c>
    </row>
    <row r="129" spans="1:9" ht="14" thickBot="1" x14ac:dyDescent="0.2">
      <c r="A129" s="221"/>
      <c r="B129" s="256">
        <v>42862</v>
      </c>
      <c r="C129" s="257" t="s">
        <v>14</v>
      </c>
      <c r="D129" s="258">
        <v>7.3101851851851848E-2</v>
      </c>
      <c r="E129" s="259">
        <v>19.43</v>
      </c>
      <c r="F129" s="260">
        <f>D129/E129</f>
        <v>3.7623186748251079E-3</v>
      </c>
      <c r="G129" s="261">
        <v>136</v>
      </c>
      <c r="H129" s="261">
        <v>109</v>
      </c>
      <c r="I129" s="262" t="s">
        <v>475</v>
      </c>
    </row>
    <row r="130" spans="1:9" ht="14" thickBot="1" x14ac:dyDescent="0.2">
      <c r="A130" s="309">
        <f>A123+1</f>
        <v>19</v>
      </c>
      <c r="B130" s="229">
        <v>42863</v>
      </c>
      <c r="C130" s="230"/>
      <c r="D130" s="231"/>
      <c r="E130" s="232"/>
      <c r="F130" s="233"/>
      <c r="G130" s="234"/>
      <c r="H130" s="234"/>
      <c r="I130" s="235"/>
    </row>
    <row r="131" spans="1:9" x14ac:dyDescent="0.15">
      <c r="A131" s="307" t="s">
        <v>11</v>
      </c>
      <c r="B131" s="236">
        <v>42864</v>
      </c>
      <c r="C131" s="237" t="s">
        <v>464</v>
      </c>
      <c r="D131" s="238">
        <v>3.6319444444444439E-2</v>
      </c>
      <c r="E131" s="239">
        <v>10.43</v>
      </c>
      <c r="F131" s="240">
        <f>D131/E131</f>
        <v>3.482209438585277E-3</v>
      </c>
      <c r="G131" s="241">
        <v>149</v>
      </c>
      <c r="H131" s="241">
        <v>61</v>
      </c>
      <c r="I131" s="242" t="s">
        <v>487</v>
      </c>
    </row>
    <row r="132" spans="1:9" ht="14" thickBot="1" x14ac:dyDescent="0.2">
      <c r="A132" s="310">
        <f>SUM(E130:E136)</f>
        <v>47.28</v>
      </c>
      <c r="B132" s="236">
        <v>42865</v>
      </c>
      <c r="C132" s="237" t="s">
        <v>468</v>
      </c>
      <c r="D132" s="238">
        <v>4.3252314814814813E-2</v>
      </c>
      <c r="E132" s="239">
        <v>11.95</v>
      </c>
      <c r="F132" s="240">
        <f>D132/E132</f>
        <v>3.6194405702773902E-3</v>
      </c>
      <c r="G132" s="241">
        <v>136</v>
      </c>
      <c r="H132" s="241">
        <v>70</v>
      </c>
      <c r="I132" s="242" t="s">
        <v>471</v>
      </c>
    </row>
    <row r="133" spans="1:9" x14ac:dyDescent="0.15">
      <c r="A133" s="308" t="s">
        <v>492</v>
      </c>
      <c r="B133" s="236">
        <v>42866</v>
      </c>
      <c r="C133" s="237" t="s">
        <v>14</v>
      </c>
      <c r="D133" s="238">
        <v>5.0057870370370371E-2</v>
      </c>
      <c r="E133" s="239">
        <v>14.43</v>
      </c>
      <c r="F133" s="240">
        <f>D133/E133</f>
        <v>3.4690138856805523E-3</v>
      </c>
      <c r="G133" s="241">
        <v>148</v>
      </c>
      <c r="H133" s="241">
        <v>88</v>
      </c>
      <c r="I133" s="242" t="s">
        <v>472</v>
      </c>
    </row>
    <row r="134" spans="1:9" ht="14" thickBot="1" x14ac:dyDescent="0.2">
      <c r="A134" s="306">
        <f>SUM(H130:H136)</f>
        <v>285</v>
      </c>
      <c r="B134" s="236">
        <v>42867</v>
      </c>
      <c r="C134" s="237"/>
      <c r="D134" s="238"/>
      <c r="E134" s="239"/>
      <c r="F134" s="240"/>
      <c r="G134" s="241"/>
      <c r="H134" s="241"/>
      <c r="I134" s="242"/>
    </row>
    <row r="135" spans="1:9" x14ac:dyDescent="0.15">
      <c r="A135" s="221"/>
      <c r="B135" s="236">
        <v>42868</v>
      </c>
      <c r="C135" s="237" t="s">
        <v>49</v>
      </c>
      <c r="D135" s="238">
        <v>3.6006944444444446E-2</v>
      </c>
      <c r="E135" s="239">
        <v>10.47</v>
      </c>
      <c r="F135" s="240">
        <f>D135/E135</f>
        <v>3.4390586861933565E-3</v>
      </c>
      <c r="G135" s="241">
        <v>149</v>
      </c>
      <c r="H135" s="241">
        <v>66</v>
      </c>
      <c r="I135" s="242" t="s">
        <v>483</v>
      </c>
    </row>
    <row r="136" spans="1:9" ht="14" thickBot="1" x14ac:dyDescent="0.2">
      <c r="A136" s="221"/>
      <c r="B136" s="256">
        <v>42869</v>
      </c>
      <c r="C136" s="257"/>
      <c r="D136" s="258"/>
      <c r="E136" s="259"/>
      <c r="F136" s="260"/>
      <c r="G136" s="261"/>
      <c r="H136" s="261"/>
      <c r="I136" s="262"/>
    </row>
    <row r="137" spans="1:9" ht="14" thickBot="1" x14ac:dyDescent="0.2">
      <c r="A137" s="309">
        <f>A130+1</f>
        <v>20</v>
      </c>
      <c r="B137" s="229">
        <v>42870</v>
      </c>
      <c r="C137" s="230"/>
      <c r="D137" s="231"/>
      <c r="E137" s="232"/>
      <c r="F137" s="233"/>
      <c r="G137" s="234"/>
      <c r="H137" s="234"/>
      <c r="I137" s="235"/>
    </row>
    <row r="138" spans="1:9" x14ac:dyDescent="0.15">
      <c r="A138" s="307" t="s">
        <v>11</v>
      </c>
      <c r="B138" s="236">
        <v>42871</v>
      </c>
      <c r="C138" s="237" t="s">
        <v>14</v>
      </c>
      <c r="D138" s="238">
        <v>6.5428240740740731E-2</v>
      </c>
      <c r="E138" s="239">
        <v>18.100000000000001</v>
      </c>
      <c r="F138" s="240">
        <f>D138/E138</f>
        <v>3.6148199304276646E-3</v>
      </c>
      <c r="G138" s="241">
        <v>144</v>
      </c>
      <c r="H138" s="241">
        <v>109</v>
      </c>
      <c r="I138" s="242" t="s">
        <v>487</v>
      </c>
    </row>
    <row r="139" spans="1:9" ht="14" thickBot="1" x14ac:dyDescent="0.2">
      <c r="A139" s="310">
        <f>SUM(E137:E143)</f>
        <v>28.5</v>
      </c>
      <c r="B139" s="236">
        <v>42872</v>
      </c>
      <c r="C139" s="237"/>
      <c r="D139" s="238"/>
      <c r="E139" s="239"/>
      <c r="F139" s="240"/>
      <c r="G139" s="241"/>
      <c r="H139" s="241"/>
      <c r="I139" s="242"/>
    </row>
    <row r="140" spans="1:9" x14ac:dyDescent="0.15">
      <c r="A140" s="308" t="s">
        <v>492</v>
      </c>
      <c r="B140" s="236">
        <v>42873</v>
      </c>
      <c r="C140" s="237"/>
      <c r="D140" s="238"/>
      <c r="E140" s="239"/>
      <c r="F140" s="240"/>
      <c r="G140" s="241"/>
      <c r="H140" s="241"/>
      <c r="I140" s="242"/>
    </row>
    <row r="141" spans="1:9" ht="14" thickBot="1" x14ac:dyDescent="0.2">
      <c r="A141" s="306">
        <f>SUM(H137:H143)</f>
        <v>171</v>
      </c>
      <c r="B141" s="236">
        <v>42874</v>
      </c>
      <c r="C141" s="237"/>
      <c r="D141" s="238"/>
      <c r="E141" s="239"/>
      <c r="F141" s="240"/>
      <c r="G141" s="241"/>
      <c r="H141" s="241"/>
      <c r="I141" s="242"/>
    </row>
    <row r="142" spans="1:9" x14ac:dyDescent="0.15">
      <c r="A142" s="221"/>
      <c r="B142" s="236">
        <v>42875</v>
      </c>
      <c r="C142" s="237"/>
      <c r="D142" s="238"/>
      <c r="E142" s="239"/>
      <c r="F142" s="240"/>
      <c r="G142" s="241"/>
      <c r="H142" s="241"/>
      <c r="I142" s="242"/>
    </row>
    <row r="143" spans="1:9" ht="14" thickBot="1" x14ac:dyDescent="0.2">
      <c r="A143" s="221"/>
      <c r="B143" s="256">
        <v>42876</v>
      </c>
      <c r="C143" s="257" t="s">
        <v>464</v>
      </c>
      <c r="D143" s="258">
        <v>3.6122685185185181E-2</v>
      </c>
      <c r="E143" s="259">
        <v>10.4</v>
      </c>
      <c r="F143" s="260">
        <f>D143/E143</f>
        <v>3.4733351139601136E-3</v>
      </c>
      <c r="G143" s="261">
        <v>142</v>
      </c>
      <c r="H143" s="261">
        <v>62</v>
      </c>
      <c r="I143" s="262" t="s">
        <v>483</v>
      </c>
    </row>
    <row r="144" spans="1:9" ht="14" thickBot="1" x14ac:dyDescent="0.2">
      <c r="A144" s="309">
        <f>A137+1</f>
        <v>21</v>
      </c>
      <c r="B144" s="229">
        <v>42877</v>
      </c>
      <c r="C144" s="230"/>
      <c r="D144" s="231"/>
      <c r="E144" s="232"/>
      <c r="F144" s="233"/>
      <c r="G144" s="234"/>
      <c r="H144" s="234"/>
      <c r="I144" s="235"/>
    </row>
    <row r="145" spans="1:10" x14ac:dyDescent="0.15">
      <c r="A145" s="307" t="s">
        <v>11</v>
      </c>
      <c r="B145" s="236">
        <v>42878</v>
      </c>
      <c r="C145" s="237" t="s">
        <v>447</v>
      </c>
      <c r="D145" s="238">
        <v>1.3923611111111111E-2</v>
      </c>
      <c r="E145" s="239">
        <v>4.49</v>
      </c>
      <c r="F145" s="240">
        <f>D145/E145</f>
        <v>3.1010269735214052E-3</v>
      </c>
      <c r="G145" s="241">
        <v>144</v>
      </c>
      <c r="H145" s="241">
        <v>30</v>
      </c>
      <c r="I145" s="242" t="s">
        <v>487</v>
      </c>
    </row>
    <row r="146" spans="1:10" ht="14" thickBot="1" x14ac:dyDescent="0.2">
      <c r="A146" s="310">
        <f>SUM(E144:E150)</f>
        <v>38.89</v>
      </c>
      <c r="B146" s="236">
        <v>42879</v>
      </c>
      <c r="C146" s="237"/>
      <c r="D146" s="238"/>
      <c r="E146" s="239"/>
      <c r="F146" s="240"/>
      <c r="G146" s="241"/>
      <c r="H146" s="241"/>
      <c r="I146" s="242"/>
    </row>
    <row r="147" spans="1:10" x14ac:dyDescent="0.15">
      <c r="A147" s="308" t="s">
        <v>492</v>
      </c>
      <c r="B147" s="236">
        <v>42880</v>
      </c>
      <c r="C147" s="237" t="s">
        <v>14</v>
      </c>
      <c r="D147" s="238">
        <v>2.3842592592592596E-2</v>
      </c>
      <c r="E147" s="239">
        <v>7.02</v>
      </c>
      <c r="F147" s="240">
        <f>D147/E147</f>
        <v>3.3963807111955266E-3</v>
      </c>
      <c r="G147" s="241">
        <v>157</v>
      </c>
      <c r="H147" s="241">
        <v>43</v>
      </c>
      <c r="I147" s="242" t="s">
        <v>487</v>
      </c>
    </row>
    <row r="148" spans="1:10" ht="14" thickBot="1" x14ac:dyDescent="0.2">
      <c r="A148" s="306">
        <f>SUM(H144:H150)</f>
        <v>243</v>
      </c>
      <c r="B148" s="236">
        <v>42881</v>
      </c>
      <c r="C148" s="237"/>
      <c r="D148" s="238"/>
      <c r="E148" s="239"/>
      <c r="F148" s="240"/>
      <c r="G148" s="241"/>
      <c r="H148" s="241"/>
      <c r="I148" s="242"/>
    </row>
    <row r="149" spans="1:10" x14ac:dyDescent="0.15">
      <c r="A149" s="221"/>
      <c r="B149" s="236">
        <v>42882</v>
      </c>
      <c r="C149" s="237" t="s">
        <v>14</v>
      </c>
      <c r="D149" s="238">
        <v>2.1944444444444447E-2</v>
      </c>
      <c r="E149" s="239">
        <v>6.24</v>
      </c>
      <c r="F149" s="240">
        <f>D149/E149</f>
        <v>3.5167378917378921E-3</v>
      </c>
      <c r="G149" s="241">
        <v>145</v>
      </c>
      <c r="H149" s="241">
        <v>38</v>
      </c>
      <c r="I149" s="242" t="s">
        <v>487</v>
      </c>
    </row>
    <row r="150" spans="1:10" ht="14" thickBot="1" x14ac:dyDescent="0.2">
      <c r="A150" s="221"/>
      <c r="B150" s="256">
        <v>42883</v>
      </c>
      <c r="C150" s="277" t="s">
        <v>158</v>
      </c>
      <c r="D150" s="278">
        <v>6.3668981481481479E-2</v>
      </c>
      <c r="E150" s="279">
        <v>21.14</v>
      </c>
      <c r="F150" s="260">
        <f>D150/E150</f>
        <v>3.0117777427380076E-3</v>
      </c>
      <c r="G150" s="261">
        <v>162</v>
      </c>
      <c r="H150" s="261">
        <v>132</v>
      </c>
      <c r="I150" s="262" t="s">
        <v>483</v>
      </c>
    </row>
    <row r="151" spans="1:10" ht="14" thickBot="1" x14ac:dyDescent="0.2">
      <c r="A151" s="309">
        <f>A144+1</f>
        <v>22</v>
      </c>
      <c r="B151" s="229">
        <v>42884</v>
      </c>
      <c r="C151" s="230"/>
      <c r="D151" s="231"/>
      <c r="E151" s="232"/>
      <c r="F151" s="233"/>
      <c r="G151" s="234"/>
      <c r="H151" s="234"/>
      <c r="I151" s="235"/>
      <c r="J151" s="280"/>
    </row>
    <row r="152" spans="1:10" x14ac:dyDescent="0.15">
      <c r="A152" s="307" t="s">
        <v>11</v>
      </c>
      <c r="B152" s="236">
        <v>42885</v>
      </c>
      <c r="C152" s="237"/>
      <c r="D152" s="238"/>
      <c r="E152" s="239"/>
      <c r="F152" s="240"/>
      <c r="G152" s="241"/>
      <c r="H152" s="241"/>
      <c r="I152" s="242"/>
      <c r="J152" s="280"/>
    </row>
    <row r="153" spans="1:10" ht="14" thickBot="1" x14ac:dyDescent="0.2">
      <c r="A153" s="310">
        <f>SUM(E151:E157)</f>
        <v>0</v>
      </c>
      <c r="B153" s="236">
        <v>42886</v>
      </c>
      <c r="C153" s="237"/>
      <c r="D153" s="238"/>
      <c r="E153" s="239"/>
      <c r="F153" s="240"/>
      <c r="G153" s="241"/>
      <c r="H153" s="241"/>
      <c r="I153" s="242"/>
      <c r="J153" s="280"/>
    </row>
    <row r="154" spans="1:10" x14ac:dyDescent="0.15">
      <c r="A154" s="308" t="s">
        <v>492</v>
      </c>
      <c r="B154" s="236">
        <v>42887</v>
      </c>
      <c r="C154" s="237"/>
      <c r="D154" s="238"/>
      <c r="E154" s="239"/>
      <c r="F154" s="240"/>
      <c r="G154" s="241"/>
      <c r="H154" s="241"/>
      <c r="I154" s="242"/>
      <c r="J154" s="280"/>
    </row>
    <row r="155" spans="1:10" ht="14" thickBot="1" x14ac:dyDescent="0.2">
      <c r="A155" s="306">
        <f>SUM(H151:H157)</f>
        <v>0</v>
      </c>
      <c r="B155" s="236">
        <v>42888</v>
      </c>
      <c r="C155" s="237"/>
      <c r="D155" s="238"/>
      <c r="E155" s="239"/>
      <c r="F155" s="240"/>
      <c r="G155" s="241"/>
      <c r="H155" s="241"/>
      <c r="I155" s="242"/>
      <c r="J155" s="280"/>
    </row>
    <row r="156" spans="1:10" x14ac:dyDescent="0.15">
      <c r="A156" s="221"/>
      <c r="B156" s="236">
        <v>42889</v>
      </c>
      <c r="C156" s="237"/>
      <c r="D156" s="238"/>
      <c r="E156" s="239"/>
      <c r="F156" s="240"/>
      <c r="G156" s="241"/>
      <c r="H156" s="241"/>
      <c r="I156" s="242"/>
      <c r="J156" s="280"/>
    </row>
    <row r="157" spans="1:10" ht="14" thickBot="1" x14ac:dyDescent="0.2">
      <c r="A157" s="221"/>
      <c r="B157" s="256">
        <v>42890</v>
      </c>
      <c r="C157" s="257"/>
      <c r="D157" s="258"/>
      <c r="E157" s="259"/>
      <c r="F157" s="260"/>
      <c r="G157" s="261"/>
      <c r="H157" s="261"/>
      <c r="I157" s="262"/>
      <c r="J157" s="280"/>
    </row>
    <row r="158" spans="1:10" ht="14" thickBot="1" x14ac:dyDescent="0.2">
      <c r="A158" s="309">
        <f>A151+1</f>
        <v>23</v>
      </c>
      <c r="B158" s="229">
        <v>42891</v>
      </c>
      <c r="C158" s="230" t="s">
        <v>468</v>
      </c>
      <c r="D158" s="231">
        <v>3.9884259259259258E-2</v>
      </c>
      <c r="E158" s="232">
        <v>11.17</v>
      </c>
      <c r="F158" s="240">
        <f>D158/E158</f>
        <v>3.5706588414735237E-3</v>
      </c>
      <c r="G158" s="234">
        <v>145</v>
      </c>
      <c r="H158" s="234">
        <v>70</v>
      </c>
      <c r="I158" s="235" t="s">
        <v>487</v>
      </c>
      <c r="J158" s="280"/>
    </row>
    <row r="159" spans="1:10" x14ac:dyDescent="0.15">
      <c r="A159" s="307" t="s">
        <v>11</v>
      </c>
      <c r="B159" s="236">
        <v>42892</v>
      </c>
      <c r="C159" s="237"/>
      <c r="D159" s="238"/>
      <c r="E159" s="239"/>
      <c r="F159" s="240"/>
      <c r="G159" s="241"/>
      <c r="H159" s="241"/>
      <c r="I159" s="242"/>
      <c r="J159" s="280"/>
    </row>
    <row r="160" spans="1:10" ht="14" thickBot="1" x14ac:dyDescent="0.2">
      <c r="A160" s="310">
        <f>SUM(E158:E164)</f>
        <v>33.58</v>
      </c>
      <c r="B160" s="236">
        <v>42893</v>
      </c>
      <c r="C160" s="237"/>
      <c r="D160" s="238"/>
      <c r="E160" s="239"/>
      <c r="F160" s="240"/>
      <c r="G160" s="241"/>
      <c r="H160" s="241"/>
      <c r="I160" s="242"/>
      <c r="J160" s="280"/>
    </row>
    <row r="161" spans="1:10" x14ac:dyDescent="0.15">
      <c r="A161" s="308" t="s">
        <v>492</v>
      </c>
      <c r="B161" s="236">
        <v>42894</v>
      </c>
      <c r="C161" s="237" t="s">
        <v>469</v>
      </c>
      <c r="D161" s="238">
        <v>4.1122685185185186E-2</v>
      </c>
      <c r="E161" s="239">
        <v>11.18</v>
      </c>
      <c r="F161" s="240">
        <f>D161/E161</f>
        <v>3.6782365997482277E-3</v>
      </c>
      <c r="G161" s="241">
        <v>137</v>
      </c>
      <c r="H161" s="241">
        <v>66</v>
      </c>
      <c r="I161" s="242" t="s">
        <v>475</v>
      </c>
      <c r="J161" s="280"/>
    </row>
    <row r="162" spans="1:10" ht="14" thickBot="1" x14ac:dyDescent="0.2">
      <c r="A162" s="306">
        <f>SUM(H158:H164)</f>
        <v>201</v>
      </c>
      <c r="B162" s="236">
        <v>42895</v>
      </c>
      <c r="C162" s="237"/>
      <c r="D162" s="238"/>
      <c r="E162" s="239"/>
      <c r="F162" s="240"/>
      <c r="G162" s="241"/>
      <c r="H162" s="241"/>
      <c r="I162" s="242"/>
      <c r="J162" s="280"/>
    </row>
    <row r="163" spans="1:10" x14ac:dyDescent="0.15">
      <c r="A163" s="221"/>
      <c r="B163" s="236">
        <v>42896</v>
      </c>
      <c r="C163" s="237" t="s">
        <v>468</v>
      </c>
      <c r="D163" s="238">
        <v>4.0729166666666664E-2</v>
      </c>
      <c r="E163" s="239">
        <v>11.23</v>
      </c>
      <c r="F163" s="240">
        <f>D163/E163</f>
        <v>3.6268180468981889E-3</v>
      </c>
      <c r="G163" s="241">
        <v>140</v>
      </c>
      <c r="H163" s="241">
        <v>65</v>
      </c>
      <c r="I163" s="242" t="s">
        <v>487</v>
      </c>
      <c r="J163" s="280"/>
    </row>
    <row r="164" spans="1:10" ht="14" thickBot="1" x14ac:dyDescent="0.2">
      <c r="A164" s="221"/>
      <c r="B164" s="256">
        <v>42897</v>
      </c>
      <c r="C164" s="257"/>
      <c r="D164" s="258"/>
      <c r="E164" s="259"/>
      <c r="F164" s="260"/>
      <c r="G164" s="261"/>
      <c r="H164" s="261"/>
      <c r="I164" s="262"/>
      <c r="J164" s="280"/>
    </row>
    <row r="165" spans="1:10" ht="14" thickBot="1" x14ac:dyDescent="0.2">
      <c r="A165" s="309">
        <f>A158+1</f>
        <v>24</v>
      </c>
      <c r="B165" s="229">
        <v>42898</v>
      </c>
      <c r="C165" s="230"/>
      <c r="D165" s="231"/>
      <c r="E165" s="232"/>
      <c r="F165" s="233"/>
      <c r="G165" s="234"/>
      <c r="H165" s="234"/>
      <c r="I165" s="235"/>
      <c r="J165" s="280"/>
    </row>
    <row r="166" spans="1:10" x14ac:dyDescent="0.15">
      <c r="A166" s="307" t="s">
        <v>11</v>
      </c>
      <c r="B166" s="236">
        <v>42899</v>
      </c>
      <c r="C166" s="237" t="s">
        <v>469</v>
      </c>
      <c r="D166" s="238">
        <v>3.1863425925925927E-2</v>
      </c>
      <c r="E166" s="239">
        <v>8.61</v>
      </c>
      <c r="F166" s="240">
        <f>D166/E166</f>
        <v>3.7007463328601544E-3</v>
      </c>
      <c r="G166" s="241">
        <v>139</v>
      </c>
      <c r="H166" s="241">
        <v>49</v>
      </c>
      <c r="I166" s="242" t="s">
        <v>483</v>
      </c>
      <c r="J166" s="280"/>
    </row>
    <row r="167" spans="1:10" ht="14" thickBot="1" x14ac:dyDescent="0.2">
      <c r="A167" s="310">
        <f>SUM(E165:E171)</f>
        <v>17.32</v>
      </c>
      <c r="B167" s="236">
        <v>42900</v>
      </c>
      <c r="C167" s="237"/>
      <c r="D167" s="238"/>
      <c r="E167" s="239"/>
      <c r="F167" s="240"/>
      <c r="G167" s="241"/>
      <c r="H167" s="241"/>
      <c r="I167" s="242"/>
      <c r="J167" s="280"/>
    </row>
    <row r="168" spans="1:10" x14ac:dyDescent="0.15">
      <c r="A168" s="308" t="s">
        <v>492</v>
      </c>
      <c r="B168" s="236">
        <v>42901</v>
      </c>
      <c r="C168" s="237"/>
      <c r="D168" s="238"/>
      <c r="E168" s="239"/>
      <c r="F168" s="240"/>
      <c r="G168" s="241"/>
      <c r="H168" s="241"/>
      <c r="I168" s="242"/>
      <c r="J168" s="280"/>
    </row>
    <row r="169" spans="1:10" ht="14" thickBot="1" x14ac:dyDescent="0.2">
      <c r="A169" s="306">
        <f>SUM(H165:H171)</f>
        <v>100</v>
      </c>
      <c r="B169" s="236">
        <v>42902</v>
      </c>
      <c r="C169" s="237"/>
      <c r="D169" s="238"/>
      <c r="E169" s="239"/>
      <c r="F169" s="240"/>
      <c r="G169" s="241"/>
      <c r="H169" s="241"/>
      <c r="I169" s="242"/>
      <c r="J169" s="280"/>
    </row>
    <row r="170" spans="1:10" x14ac:dyDescent="0.15">
      <c r="A170" s="221"/>
      <c r="B170" s="236">
        <v>42903</v>
      </c>
      <c r="C170" s="237"/>
      <c r="D170" s="238"/>
      <c r="E170" s="239"/>
      <c r="F170" s="240"/>
      <c r="G170" s="241"/>
      <c r="H170" s="241"/>
      <c r="I170" s="242"/>
      <c r="J170" s="280"/>
    </row>
    <row r="171" spans="1:10" ht="14" thickBot="1" x14ac:dyDescent="0.2">
      <c r="A171" s="221"/>
      <c r="B171" s="256">
        <v>42904</v>
      </c>
      <c r="C171" s="257" t="s">
        <v>468</v>
      </c>
      <c r="D171" s="258">
        <v>3.1689814814814816E-2</v>
      </c>
      <c r="E171" s="259">
        <v>8.7100000000000009</v>
      </c>
      <c r="F171" s="260">
        <f>D171/E171</f>
        <v>3.6383254666836756E-3</v>
      </c>
      <c r="G171" s="261">
        <v>138</v>
      </c>
      <c r="H171" s="261">
        <v>51</v>
      </c>
      <c r="I171" s="262" t="s">
        <v>487</v>
      </c>
      <c r="J171" s="280"/>
    </row>
    <row r="172" spans="1:10" ht="14" thickBot="1" x14ac:dyDescent="0.2">
      <c r="A172" s="309">
        <f>A165+1</f>
        <v>25</v>
      </c>
      <c r="B172" s="229">
        <v>42905</v>
      </c>
      <c r="C172" s="230"/>
      <c r="D172" s="231"/>
      <c r="E172" s="232"/>
      <c r="F172" s="233"/>
      <c r="G172" s="241"/>
      <c r="H172" s="234"/>
      <c r="I172" s="235"/>
      <c r="J172" s="280"/>
    </row>
    <row r="173" spans="1:10" x14ac:dyDescent="0.15">
      <c r="A173" s="307" t="s">
        <v>11</v>
      </c>
      <c r="B173" s="236">
        <v>42906</v>
      </c>
      <c r="C173" s="237"/>
      <c r="D173" s="238"/>
      <c r="E173" s="239"/>
      <c r="F173" s="240"/>
      <c r="G173" s="241"/>
      <c r="H173" s="241"/>
      <c r="I173" s="242"/>
      <c r="J173" s="280"/>
    </row>
    <row r="174" spans="1:10" ht="14" thickBot="1" x14ac:dyDescent="0.2">
      <c r="A174" s="310">
        <f>SUM(E172:E178)</f>
        <v>0</v>
      </c>
      <c r="B174" s="236">
        <v>42907</v>
      </c>
      <c r="C174" s="237"/>
      <c r="D174" s="238"/>
      <c r="E174" s="239"/>
      <c r="F174" s="240"/>
      <c r="G174" s="241"/>
      <c r="H174" s="241"/>
      <c r="I174" s="242"/>
      <c r="J174" s="280"/>
    </row>
    <row r="175" spans="1:10" x14ac:dyDescent="0.15">
      <c r="A175" s="308" t="s">
        <v>492</v>
      </c>
      <c r="B175" s="236">
        <v>42908</v>
      </c>
      <c r="C175" s="237"/>
      <c r="D175" s="238"/>
      <c r="E175" s="239"/>
      <c r="F175" s="240"/>
      <c r="G175" s="241"/>
      <c r="H175" s="241"/>
      <c r="I175" s="242"/>
      <c r="J175" s="280"/>
    </row>
    <row r="176" spans="1:10" ht="14" thickBot="1" x14ac:dyDescent="0.2">
      <c r="A176" s="306">
        <f>SUM(H172:H178)</f>
        <v>0</v>
      </c>
      <c r="B176" s="236">
        <v>42909</v>
      </c>
      <c r="C176" s="237"/>
      <c r="D176" s="238"/>
      <c r="E176" s="239"/>
      <c r="F176" s="240"/>
      <c r="G176" s="241"/>
      <c r="H176" s="241"/>
      <c r="I176" s="242"/>
      <c r="J176" s="280"/>
    </row>
    <row r="177" spans="1:10" x14ac:dyDescent="0.15">
      <c r="A177" s="221"/>
      <c r="B177" s="236">
        <v>42910</v>
      </c>
      <c r="C177" s="237"/>
      <c r="D177" s="238"/>
      <c r="E177" s="239"/>
      <c r="F177" s="240"/>
      <c r="G177" s="241"/>
      <c r="H177" s="241"/>
      <c r="I177" s="242"/>
      <c r="J177" s="280"/>
    </row>
    <row r="178" spans="1:10" ht="14" thickBot="1" x14ac:dyDescent="0.2">
      <c r="A178" s="243"/>
      <c r="B178" s="256">
        <v>42911</v>
      </c>
      <c r="C178" s="257"/>
      <c r="D178" s="258"/>
      <c r="E178" s="259"/>
      <c r="F178" s="260"/>
      <c r="G178" s="261"/>
      <c r="H178" s="261"/>
      <c r="I178" s="262"/>
      <c r="J178" s="280"/>
    </row>
    <row r="179" spans="1:10" ht="14" thickBot="1" x14ac:dyDescent="0.2">
      <c r="A179" s="309">
        <f>A172+1</f>
        <v>26</v>
      </c>
      <c r="B179" s="229">
        <v>42912</v>
      </c>
      <c r="C179" s="230"/>
      <c r="D179" s="231"/>
      <c r="E179" s="232"/>
      <c r="F179" s="240"/>
      <c r="G179" s="241"/>
      <c r="H179" s="234"/>
      <c r="I179" s="235"/>
      <c r="J179" s="280"/>
    </row>
    <row r="180" spans="1:10" x14ac:dyDescent="0.15">
      <c r="A180" s="307" t="s">
        <v>11</v>
      </c>
      <c r="B180" s="236">
        <v>42913</v>
      </c>
      <c r="C180" s="237"/>
      <c r="D180" s="238"/>
      <c r="E180" s="239"/>
      <c r="F180" s="240"/>
      <c r="G180" s="241"/>
      <c r="H180" s="241"/>
      <c r="I180" s="242"/>
      <c r="J180" s="280"/>
    </row>
    <row r="181" spans="1:10" ht="14" thickBot="1" x14ac:dyDescent="0.2">
      <c r="A181" s="310">
        <f>SUM(E179:E185)</f>
        <v>0</v>
      </c>
      <c r="B181" s="236">
        <v>42914</v>
      </c>
      <c r="C181" s="237"/>
      <c r="D181" s="238"/>
      <c r="E181" s="239"/>
      <c r="F181" s="240"/>
      <c r="G181" s="241"/>
      <c r="H181" s="241"/>
      <c r="I181" s="242"/>
      <c r="J181" s="280"/>
    </row>
    <row r="182" spans="1:10" x14ac:dyDescent="0.15">
      <c r="A182" s="308" t="s">
        <v>492</v>
      </c>
      <c r="B182" s="236">
        <v>42915</v>
      </c>
      <c r="C182" s="237"/>
      <c r="D182" s="238"/>
      <c r="E182" s="239"/>
      <c r="F182" s="240"/>
      <c r="G182" s="241"/>
      <c r="H182" s="241"/>
      <c r="I182" s="242"/>
      <c r="J182" s="280"/>
    </row>
    <row r="183" spans="1:10" ht="14" thickBot="1" x14ac:dyDescent="0.2">
      <c r="A183" s="306">
        <f>SUM(H179:H185)</f>
        <v>0</v>
      </c>
      <c r="B183" s="236">
        <v>42916</v>
      </c>
      <c r="C183" s="237"/>
      <c r="D183" s="238"/>
      <c r="E183" s="239"/>
      <c r="F183" s="240"/>
      <c r="G183" s="241"/>
      <c r="H183" s="241"/>
      <c r="I183" s="242"/>
      <c r="J183" s="280"/>
    </row>
    <row r="184" spans="1:10" x14ac:dyDescent="0.15">
      <c r="A184" s="221"/>
      <c r="B184" s="236">
        <v>42917</v>
      </c>
      <c r="C184" s="237"/>
      <c r="D184" s="238"/>
      <c r="E184" s="239"/>
      <c r="F184" s="240"/>
      <c r="G184" s="241"/>
      <c r="H184" s="241"/>
      <c r="I184" s="242"/>
      <c r="J184" s="280"/>
    </row>
    <row r="185" spans="1:10" ht="14" thickBot="1" x14ac:dyDescent="0.2">
      <c r="A185" s="221"/>
      <c r="B185" s="256">
        <v>42918</v>
      </c>
      <c r="C185" s="257"/>
      <c r="D185" s="258"/>
      <c r="E185" s="259"/>
      <c r="F185" s="260"/>
      <c r="G185" s="261"/>
      <c r="H185" s="261"/>
      <c r="I185" s="262"/>
      <c r="J185" s="280"/>
    </row>
    <row r="186" spans="1:10" ht="14" thickBot="1" x14ac:dyDescent="0.2">
      <c r="A186" s="309">
        <f>A179+1</f>
        <v>27</v>
      </c>
      <c r="B186" s="229">
        <v>42919</v>
      </c>
      <c r="C186" s="230"/>
      <c r="D186" s="231"/>
      <c r="E186" s="232"/>
      <c r="F186" s="240"/>
      <c r="G186" s="241"/>
      <c r="H186" s="234"/>
      <c r="I186" s="235"/>
      <c r="J186" s="280"/>
    </row>
    <row r="187" spans="1:10" x14ac:dyDescent="0.15">
      <c r="A187" s="307" t="s">
        <v>11</v>
      </c>
      <c r="B187" s="236">
        <v>42920</v>
      </c>
      <c r="C187" s="237" t="s">
        <v>468</v>
      </c>
      <c r="D187" s="238">
        <v>3.1898148148148148E-2</v>
      </c>
      <c r="E187" s="239">
        <v>8.67</v>
      </c>
      <c r="F187" s="240">
        <f>D187/E187</f>
        <v>3.6791405015165106E-3</v>
      </c>
      <c r="G187" s="241">
        <v>138</v>
      </c>
      <c r="H187" s="241">
        <v>71</v>
      </c>
      <c r="I187" s="242" t="s">
        <v>483</v>
      </c>
      <c r="J187" s="280"/>
    </row>
    <row r="188" spans="1:10" ht="14" thickBot="1" x14ac:dyDescent="0.2">
      <c r="A188" s="310">
        <f>SUM(E186:E192)</f>
        <v>28.479999999999997</v>
      </c>
      <c r="B188" s="236">
        <v>42921</v>
      </c>
      <c r="C188" s="237"/>
      <c r="D188" s="238"/>
      <c r="E188" s="239"/>
      <c r="F188" s="240"/>
      <c r="G188" s="241"/>
      <c r="H188" s="241"/>
      <c r="I188" s="242"/>
      <c r="J188" s="280"/>
    </row>
    <row r="189" spans="1:10" x14ac:dyDescent="0.15">
      <c r="A189" s="308" t="s">
        <v>492</v>
      </c>
      <c r="B189" s="236">
        <v>42922</v>
      </c>
      <c r="C189" s="237"/>
      <c r="D189" s="238"/>
      <c r="E189" s="239"/>
      <c r="F189" s="240"/>
      <c r="G189" s="241"/>
      <c r="H189" s="241"/>
      <c r="I189" s="242"/>
      <c r="J189" s="280"/>
    </row>
    <row r="190" spans="1:10" ht="14" thickBot="1" x14ac:dyDescent="0.2">
      <c r="A190" s="306">
        <f>SUM(H186:H192)</f>
        <v>192</v>
      </c>
      <c r="B190" s="236">
        <v>42923</v>
      </c>
      <c r="C190" s="237" t="s">
        <v>468</v>
      </c>
      <c r="D190" s="238">
        <v>3.125E-2</v>
      </c>
      <c r="E190" s="239">
        <v>8.69</v>
      </c>
      <c r="F190" s="240">
        <f>D190/E190</f>
        <v>3.5960874568469509E-3</v>
      </c>
      <c r="G190" s="241">
        <v>142</v>
      </c>
      <c r="H190" s="241">
        <v>51</v>
      </c>
      <c r="I190" s="242" t="s">
        <v>487</v>
      </c>
      <c r="J190" s="280"/>
    </row>
    <row r="191" spans="1:10" x14ac:dyDescent="0.15">
      <c r="A191" s="221"/>
      <c r="B191" s="236">
        <v>42924</v>
      </c>
      <c r="C191" s="237"/>
      <c r="D191" s="238"/>
      <c r="E191" s="239"/>
      <c r="F191" s="240"/>
      <c r="G191" s="241"/>
      <c r="H191" s="241"/>
      <c r="I191" s="242"/>
      <c r="J191" s="280"/>
    </row>
    <row r="192" spans="1:10" ht="14" thickBot="1" x14ac:dyDescent="0.2">
      <c r="A192" s="221"/>
      <c r="B192" s="256">
        <v>42925</v>
      </c>
      <c r="C192" s="257" t="s">
        <v>468</v>
      </c>
      <c r="D192" s="258">
        <v>3.8912037037037037E-2</v>
      </c>
      <c r="E192" s="259">
        <v>11.12</v>
      </c>
      <c r="F192" s="260">
        <f>D192/E192</f>
        <v>3.4992839062083668E-3</v>
      </c>
      <c r="G192" s="261">
        <v>152</v>
      </c>
      <c r="H192" s="261">
        <v>70</v>
      </c>
      <c r="I192" s="262" t="s">
        <v>487</v>
      </c>
      <c r="J192" s="280"/>
    </row>
    <row r="193" spans="1:10" ht="14" thickBot="1" x14ac:dyDescent="0.2">
      <c r="A193" s="309">
        <f>A186+1</f>
        <v>28</v>
      </c>
      <c r="B193" s="229">
        <v>42926</v>
      </c>
      <c r="C193" s="230"/>
      <c r="D193" s="231"/>
      <c r="E193" s="232"/>
      <c r="F193" s="240"/>
      <c r="G193" s="241"/>
      <c r="H193" s="234"/>
      <c r="I193" s="235"/>
      <c r="J193" s="280"/>
    </row>
    <row r="194" spans="1:10" x14ac:dyDescent="0.15">
      <c r="A194" s="307" t="s">
        <v>11</v>
      </c>
      <c r="B194" s="236">
        <v>42927</v>
      </c>
      <c r="C194" s="237"/>
      <c r="D194" s="238"/>
      <c r="E194" s="239"/>
      <c r="F194" s="240"/>
      <c r="G194" s="241"/>
      <c r="H194" s="241"/>
      <c r="I194" s="242"/>
      <c r="J194" s="280"/>
    </row>
    <row r="195" spans="1:10" ht="14" thickBot="1" x14ac:dyDescent="0.2">
      <c r="A195" s="310">
        <f>SUM(E193:E199)</f>
        <v>22.82</v>
      </c>
      <c r="B195" s="236">
        <v>42928</v>
      </c>
      <c r="C195" s="237"/>
      <c r="D195" s="238"/>
      <c r="E195" s="239"/>
      <c r="F195" s="240"/>
      <c r="G195" s="241"/>
      <c r="H195" s="241"/>
      <c r="I195" s="242"/>
      <c r="J195" s="280"/>
    </row>
    <row r="196" spans="1:10" x14ac:dyDescent="0.15">
      <c r="A196" s="308" t="s">
        <v>492</v>
      </c>
      <c r="B196" s="236">
        <v>42929</v>
      </c>
      <c r="C196" s="237" t="s">
        <v>468</v>
      </c>
      <c r="D196" s="238">
        <v>3.1041666666666665E-2</v>
      </c>
      <c r="E196" s="239">
        <v>8.69</v>
      </c>
      <c r="F196" s="240">
        <f>D196/E196</f>
        <v>3.5721135404679707E-3</v>
      </c>
      <c r="G196" s="241">
        <v>142</v>
      </c>
      <c r="H196" s="241">
        <v>53</v>
      </c>
      <c r="I196" s="242" t="s">
        <v>483</v>
      </c>
      <c r="J196" s="280"/>
    </row>
    <row r="197" spans="1:10" ht="14" thickBot="1" x14ac:dyDescent="0.2">
      <c r="A197" s="306">
        <f>SUM(H193:H199)</f>
        <v>134</v>
      </c>
      <c r="B197" s="236">
        <v>42930</v>
      </c>
      <c r="C197" s="237"/>
      <c r="D197" s="238"/>
      <c r="E197" s="239"/>
      <c r="F197" s="240"/>
      <c r="G197" s="241"/>
      <c r="H197" s="241"/>
      <c r="I197" s="242"/>
      <c r="J197" s="280"/>
    </row>
    <row r="198" spans="1:10" x14ac:dyDescent="0.15">
      <c r="A198" s="221"/>
      <c r="B198" s="236">
        <v>42931</v>
      </c>
      <c r="C198" s="237"/>
      <c r="D198" s="238"/>
      <c r="E198" s="239"/>
      <c r="F198" s="240"/>
      <c r="G198" s="241"/>
      <c r="H198" s="241"/>
      <c r="I198" s="242"/>
      <c r="J198" s="280"/>
    </row>
    <row r="199" spans="1:10" ht="14" thickBot="1" x14ac:dyDescent="0.2">
      <c r="A199" s="221"/>
      <c r="B199" s="256">
        <v>42932</v>
      </c>
      <c r="C199" s="257" t="s">
        <v>469</v>
      </c>
      <c r="D199" s="258">
        <v>5.2662037037037035E-2</v>
      </c>
      <c r="E199" s="259">
        <v>14.13</v>
      </c>
      <c r="F199" s="260">
        <f>D199/E199</f>
        <v>3.726966527745013E-3</v>
      </c>
      <c r="G199" s="261">
        <v>149</v>
      </c>
      <c r="H199" s="261">
        <v>81</v>
      </c>
      <c r="I199" s="262" t="s">
        <v>487</v>
      </c>
      <c r="J199" s="280"/>
    </row>
    <row r="200" spans="1:10" ht="14" thickBot="1" x14ac:dyDescent="0.2">
      <c r="A200" s="309">
        <f>A193+1</f>
        <v>29</v>
      </c>
      <c r="B200" s="229">
        <v>42933</v>
      </c>
      <c r="C200" s="230"/>
      <c r="D200" s="231"/>
      <c r="E200" s="232"/>
      <c r="F200" s="240"/>
      <c r="G200" s="241"/>
      <c r="H200" s="234"/>
      <c r="I200" s="235"/>
      <c r="J200" s="280"/>
    </row>
    <row r="201" spans="1:10" x14ac:dyDescent="0.15">
      <c r="A201" s="307" t="s">
        <v>11</v>
      </c>
      <c r="B201" s="236">
        <v>42934</v>
      </c>
      <c r="C201" s="237"/>
      <c r="D201" s="238"/>
      <c r="E201" s="239"/>
      <c r="F201" s="240"/>
      <c r="G201" s="241"/>
      <c r="H201" s="241"/>
      <c r="I201" s="242"/>
      <c r="J201" s="280"/>
    </row>
    <row r="202" spans="1:10" ht="14" thickBot="1" x14ac:dyDescent="0.2">
      <c r="A202" s="310">
        <f>SUM(E200:E206)</f>
        <v>17.240000000000002</v>
      </c>
      <c r="B202" s="236">
        <v>42935</v>
      </c>
      <c r="C202" s="237" t="s">
        <v>468</v>
      </c>
      <c r="D202" s="238">
        <v>3.1782407407407405E-2</v>
      </c>
      <c r="E202" s="239">
        <v>8.67</v>
      </c>
      <c r="F202" s="240">
        <f>D202/E202</f>
        <v>3.6657909351104274E-3</v>
      </c>
      <c r="G202" s="241">
        <v>133</v>
      </c>
      <c r="H202" s="241">
        <v>48</v>
      </c>
      <c r="I202" s="242" t="s">
        <v>483</v>
      </c>
      <c r="J202" s="280"/>
    </row>
    <row r="203" spans="1:10" x14ac:dyDescent="0.15">
      <c r="A203" s="308" t="s">
        <v>492</v>
      </c>
      <c r="B203" s="236">
        <v>42936</v>
      </c>
      <c r="C203" s="237"/>
      <c r="D203" s="238"/>
      <c r="E203" s="239"/>
      <c r="F203" s="240"/>
      <c r="G203" s="241"/>
      <c r="H203" s="241"/>
      <c r="I203" s="242"/>
      <c r="J203" s="280"/>
    </row>
    <row r="204" spans="1:10" ht="14" thickBot="1" x14ac:dyDescent="0.2">
      <c r="A204" s="306">
        <f>SUM(H200:H206)</f>
        <v>96</v>
      </c>
      <c r="B204" s="236">
        <v>42937</v>
      </c>
      <c r="C204" s="237"/>
      <c r="D204" s="238"/>
      <c r="E204" s="239"/>
      <c r="F204" s="240"/>
      <c r="G204" s="241"/>
      <c r="H204" s="241"/>
      <c r="I204" s="242"/>
      <c r="J204" s="280"/>
    </row>
    <row r="205" spans="1:10" x14ac:dyDescent="0.15">
      <c r="A205" s="221"/>
      <c r="B205" s="236">
        <v>42938</v>
      </c>
      <c r="C205" s="237" t="s">
        <v>469</v>
      </c>
      <c r="D205" s="238">
        <v>3.0937499999999996E-2</v>
      </c>
      <c r="E205" s="239">
        <v>8.57</v>
      </c>
      <c r="F205" s="240">
        <f>D205/E205</f>
        <v>3.6099766627771292E-3</v>
      </c>
      <c r="G205" s="241">
        <v>144</v>
      </c>
      <c r="H205" s="241">
        <v>48</v>
      </c>
      <c r="I205" s="242" t="s">
        <v>487</v>
      </c>
      <c r="J205" s="280"/>
    </row>
    <row r="206" spans="1:10" ht="14" thickBot="1" x14ac:dyDescent="0.2">
      <c r="A206" s="221"/>
      <c r="B206" s="256">
        <v>42939</v>
      </c>
      <c r="C206" s="257"/>
      <c r="D206" s="258"/>
      <c r="E206" s="259"/>
      <c r="F206" s="260"/>
      <c r="G206" s="261"/>
      <c r="H206" s="261"/>
      <c r="I206" s="262"/>
      <c r="J206" s="280"/>
    </row>
    <row r="207" spans="1:10" ht="14" thickBot="1" x14ac:dyDescent="0.2">
      <c r="A207" s="309">
        <f>A200+1</f>
        <v>30</v>
      </c>
      <c r="B207" s="229">
        <v>42940</v>
      </c>
      <c r="C207" s="230"/>
      <c r="D207" s="231"/>
      <c r="E207" s="232"/>
      <c r="F207" s="240"/>
      <c r="G207" s="241"/>
      <c r="H207" s="234"/>
      <c r="I207" s="235"/>
      <c r="J207" s="280"/>
    </row>
    <row r="208" spans="1:10" x14ac:dyDescent="0.15">
      <c r="A208" s="307" t="s">
        <v>11</v>
      </c>
      <c r="B208" s="236">
        <v>42941</v>
      </c>
      <c r="C208" s="237"/>
      <c r="D208" s="238"/>
      <c r="E208" s="239"/>
      <c r="F208" s="240"/>
      <c r="G208" s="241"/>
      <c r="H208" s="241"/>
      <c r="I208" s="242"/>
      <c r="J208" s="280"/>
    </row>
    <row r="209" spans="1:10" ht="14" thickBot="1" x14ac:dyDescent="0.2">
      <c r="A209" s="310">
        <f>SUM(E207:E213)</f>
        <v>19.850000000000001</v>
      </c>
      <c r="B209" s="236">
        <v>42942</v>
      </c>
      <c r="C209" s="237"/>
      <c r="D209" s="238"/>
      <c r="E209" s="239"/>
      <c r="F209" s="240"/>
      <c r="G209" s="241"/>
      <c r="H209" s="241"/>
      <c r="I209" s="242"/>
      <c r="J209" s="280"/>
    </row>
    <row r="210" spans="1:10" x14ac:dyDescent="0.15">
      <c r="A210" s="308" t="s">
        <v>492</v>
      </c>
      <c r="B210" s="236">
        <v>42943</v>
      </c>
      <c r="C210" s="237" t="s">
        <v>468</v>
      </c>
      <c r="D210" s="238">
        <v>3.0949074074074077E-2</v>
      </c>
      <c r="E210" s="239">
        <v>8.59</v>
      </c>
      <c r="F210" s="240">
        <f>D210/E210</f>
        <v>3.6029189841762605E-3</v>
      </c>
      <c r="G210" s="241">
        <v>151</v>
      </c>
      <c r="H210" s="241">
        <v>51</v>
      </c>
      <c r="I210" s="242" t="s">
        <v>487</v>
      </c>
      <c r="J210" s="280"/>
    </row>
    <row r="211" spans="1:10" ht="14" thickBot="1" x14ac:dyDescent="0.2">
      <c r="A211" s="306">
        <f>SUM(H207:H213)</f>
        <v>111</v>
      </c>
      <c r="B211" s="236">
        <v>42944</v>
      </c>
      <c r="C211" s="237"/>
      <c r="D211" s="238"/>
      <c r="E211" s="239"/>
      <c r="F211" s="240"/>
      <c r="G211" s="241"/>
      <c r="H211" s="241"/>
      <c r="I211" s="242"/>
      <c r="J211" s="280"/>
    </row>
    <row r="212" spans="1:10" x14ac:dyDescent="0.15">
      <c r="A212" s="221"/>
      <c r="B212" s="236">
        <v>42945</v>
      </c>
      <c r="C212" s="237" t="s">
        <v>469</v>
      </c>
      <c r="D212" s="238">
        <v>4.1666666666666664E-2</v>
      </c>
      <c r="E212" s="239">
        <v>11.26</v>
      </c>
      <c r="F212" s="240">
        <f>D212/E212</f>
        <v>3.7004144464179989E-3</v>
      </c>
      <c r="G212" s="241">
        <v>156</v>
      </c>
      <c r="H212" s="241">
        <v>60</v>
      </c>
      <c r="I212" s="242" t="s">
        <v>487</v>
      </c>
      <c r="J212" s="280"/>
    </row>
    <row r="213" spans="1:10" ht="14" thickBot="1" x14ac:dyDescent="0.2">
      <c r="A213" s="221"/>
      <c r="B213" s="256">
        <v>42946</v>
      </c>
      <c r="C213" s="257"/>
      <c r="D213" s="258"/>
      <c r="E213" s="259"/>
      <c r="F213" s="260"/>
      <c r="G213" s="261"/>
      <c r="H213" s="261"/>
      <c r="I213" s="262"/>
      <c r="J213" s="280"/>
    </row>
    <row r="214" spans="1:10" ht="14" thickBot="1" x14ac:dyDescent="0.2">
      <c r="A214" s="309">
        <f>A207+1</f>
        <v>31</v>
      </c>
      <c r="B214" s="229">
        <v>42947</v>
      </c>
      <c r="C214" s="230"/>
      <c r="D214" s="231"/>
      <c r="E214" s="232"/>
      <c r="F214" s="240"/>
      <c r="G214" s="241"/>
      <c r="H214" s="234"/>
      <c r="I214" s="235"/>
      <c r="J214" s="280"/>
    </row>
    <row r="215" spans="1:10" x14ac:dyDescent="0.15">
      <c r="A215" s="307" t="s">
        <v>11</v>
      </c>
      <c r="B215" s="236">
        <v>42948</v>
      </c>
      <c r="C215" s="237"/>
      <c r="D215" s="238"/>
      <c r="E215" s="239"/>
      <c r="F215" s="240"/>
      <c r="G215" s="241"/>
      <c r="H215" s="241"/>
      <c r="I215" s="242"/>
      <c r="J215" s="280"/>
    </row>
    <row r="216" spans="1:10" ht="14" thickBot="1" x14ac:dyDescent="0.2">
      <c r="A216" s="310">
        <f>SUM(E214:E220)</f>
        <v>19.84</v>
      </c>
      <c r="B216" s="236">
        <v>42949</v>
      </c>
      <c r="C216" s="237"/>
      <c r="D216" s="238"/>
      <c r="E216" s="239"/>
      <c r="F216" s="240"/>
      <c r="G216" s="241"/>
      <c r="H216" s="241"/>
      <c r="I216" s="242"/>
      <c r="J216" s="280"/>
    </row>
    <row r="217" spans="1:10" x14ac:dyDescent="0.15">
      <c r="A217" s="308" t="s">
        <v>492</v>
      </c>
      <c r="B217" s="236">
        <v>42950</v>
      </c>
      <c r="C217" s="237" t="s">
        <v>468</v>
      </c>
      <c r="D217" s="238">
        <v>3.1168981481481482E-2</v>
      </c>
      <c r="E217" s="239">
        <v>8.65</v>
      </c>
      <c r="F217" s="240">
        <f>D217/E217</f>
        <v>3.6033504602868763E-3</v>
      </c>
      <c r="G217" s="241">
        <v>138</v>
      </c>
      <c r="H217" s="241">
        <v>51</v>
      </c>
      <c r="I217" s="242" t="s">
        <v>483</v>
      </c>
      <c r="J217" s="280"/>
    </row>
    <row r="218" spans="1:10" ht="14" thickBot="1" x14ac:dyDescent="0.2">
      <c r="A218" s="306">
        <f>SUM(H214:H220)</f>
        <v>116</v>
      </c>
      <c r="B218" s="236">
        <v>42951</v>
      </c>
      <c r="C218" s="237"/>
      <c r="D218" s="238"/>
      <c r="E218" s="239"/>
      <c r="F218" s="240"/>
      <c r="G218" s="241"/>
      <c r="H218" s="241"/>
      <c r="I218" s="242"/>
      <c r="J218" s="280"/>
    </row>
    <row r="219" spans="1:10" x14ac:dyDescent="0.15">
      <c r="A219" s="221"/>
      <c r="B219" s="236">
        <v>42952</v>
      </c>
      <c r="C219" s="237"/>
      <c r="D219" s="238"/>
      <c r="E219" s="239"/>
      <c r="F219" s="240"/>
      <c r="G219" s="241"/>
      <c r="H219" s="241"/>
      <c r="I219" s="242"/>
      <c r="J219" s="280"/>
    </row>
    <row r="220" spans="1:10" ht="14" thickBot="1" x14ac:dyDescent="0.2">
      <c r="A220" s="221"/>
      <c r="B220" s="256">
        <v>42953</v>
      </c>
      <c r="C220" s="257" t="s">
        <v>469</v>
      </c>
      <c r="D220" s="258">
        <v>3.9918981481481479E-2</v>
      </c>
      <c r="E220" s="259">
        <v>11.19</v>
      </c>
      <c r="F220" s="260">
        <f>D220/E220</f>
        <v>3.5673799357892298E-3</v>
      </c>
      <c r="G220" s="261">
        <v>144</v>
      </c>
      <c r="H220" s="261">
        <v>65</v>
      </c>
      <c r="I220" s="262" t="s">
        <v>483</v>
      </c>
      <c r="J220" s="280"/>
    </row>
    <row r="221" spans="1:10" ht="14" thickBot="1" x14ac:dyDescent="0.2">
      <c r="A221" s="309">
        <f>A214+1</f>
        <v>32</v>
      </c>
      <c r="B221" s="229">
        <v>42954</v>
      </c>
      <c r="C221" s="230"/>
      <c r="D221" s="231"/>
      <c r="E221" s="232"/>
      <c r="F221" s="240"/>
      <c r="G221" s="241"/>
      <c r="H221" s="234"/>
      <c r="I221" s="235"/>
      <c r="J221" s="280"/>
    </row>
    <row r="222" spans="1:10" x14ac:dyDescent="0.15">
      <c r="A222" s="307" t="s">
        <v>11</v>
      </c>
      <c r="B222" s="236">
        <v>42955</v>
      </c>
      <c r="C222" s="237"/>
      <c r="D222" s="238"/>
      <c r="E222" s="239"/>
      <c r="F222" s="240"/>
      <c r="G222" s="241"/>
      <c r="H222" s="241"/>
      <c r="I222" s="242"/>
      <c r="J222" s="280"/>
    </row>
    <row r="223" spans="1:10" ht="14" thickBot="1" x14ac:dyDescent="0.2">
      <c r="A223" s="310">
        <f>SUM(E221:E227)</f>
        <v>19.82</v>
      </c>
      <c r="B223" s="236">
        <v>42956</v>
      </c>
      <c r="C223" s="237" t="s">
        <v>468</v>
      </c>
      <c r="D223" s="238">
        <v>3.0810185185185187E-2</v>
      </c>
      <c r="E223" s="239">
        <v>8.6199999999999992</v>
      </c>
      <c r="F223" s="240">
        <f>D223/E223</f>
        <v>3.5742674228753119E-3</v>
      </c>
      <c r="G223" s="241">
        <v>143</v>
      </c>
      <c r="H223" s="241">
        <v>50</v>
      </c>
      <c r="I223" s="242" t="s">
        <v>487</v>
      </c>
      <c r="J223" s="280"/>
    </row>
    <row r="224" spans="1:10" x14ac:dyDescent="0.15">
      <c r="A224" s="308" t="s">
        <v>492</v>
      </c>
      <c r="B224" s="236">
        <v>42957</v>
      </c>
      <c r="C224" s="237"/>
      <c r="D224" s="238"/>
      <c r="E224" s="239"/>
      <c r="F224" s="240"/>
      <c r="G224" s="241"/>
      <c r="H224" s="241"/>
      <c r="I224" s="242"/>
      <c r="J224" s="280"/>
    </row>
    <row r="225" spans="1:10" ht="14" thickBot="1" x14ac:dyDescent="0.2">
      <c r="A225" s="306">
        <f>SUM(H221:H227)</f>
        <v>117</v>
      </c>
      <c r="B225" s="236">
        <v>42958</v>
      </c>
      <c r="C225" s="237"/>
      <c r="D225" s="238"/>
      <c r="E225" s="239"/>
      <c r="F225" s="240"/>
      <c r="G225" s="241"/>
      <c r="H225" s="241"/>
      <c r="I225" s="242"/>
      <c r="J225" s="280"/>
    </row>
    <row r="226" spans="1:10" x14ac:dyDescent="0.15">
      <c r="A226" s="221"/>
      <c r="B226" s="236">
        <v>42959</v>
      </c>
      <c r="C226" s="237"/>
      <c r="D226" s="238"/>
      <c r="E226" s="239"/>
      <c r="F226" s="240"/>
      <c r="G226" s="241"/>
      <c r="H226" s="241"/>
      <c r="I226" s="242"/>
      <c r="J226" s="280"/>
    </row>
    <row r="227" spans="1:10" ht="14" thickBot="1" x14ac:dyDescent="0.2">
      <c r="A227" s="221"/>
      <c r="B227" s="256">
        <v>42960</v>
      </c>
      <c r="C227" s="257" t="s">
        <v>469</v>
      </c>
      <c r="D227" s="258">
        <v>3.9965277777777773E-2</v>
      </c>
      <c r="E227" s="259">
        <v>11.2</v>
      </c>
      <c r="F227" s="260">
        <f>D227/E227</f>
        <v>3.5683283730158729E-3</v>
      </c>
      <c r="G227" s="261">
        <v>147</v>
      </c>
      <c r="H227" s="261">
        <v>67</v>
      </c>
      <c r="I227" s="262" t="s">
        <v>487</v>
      </c>
      <c r="J227" s="280"/>
    </row>
    <row r="228" spans="1:10" ht="14" thickBot="1" x14ac:dyDescent="0.2">
      <c r="A228" s="309">
        <f>A221+1</f>
        <v>33</v>
      </c>
      <c r="B228" s="229">
        <v>42961</v>
      </c>
      <c r="C228" s="230"/>
      <c r="D228" s="231"/>
      <c r="E228" s="232"/>
      <c r="F228" s="240"/>
      <c r="G228" s="241"/>
      <c r="H228" s="234"/>
      <c r="I228" s="235"/>
      <c r="J228" s="280"/>
    </row>
    <row r="229" spans="1:10" x14ac:dyDescent="0.15">
      <c r="A229" s="307" t="s">
        <v>11</v>
      </c>
      <c r="B229" s="236">
        <v>42962</v>
      </c>
      <c r="C229" s="237" t="s">
        <v>468</v>
      </c>
      <c r="D229" s="238">
        <v>3.108796296296296E-2</v>
      </c>
      <c r="E229" s="239">
        <v>8.61</v>
      </c>
      <c r="F229" s="240">
        <f>D229/E229</f>
        <v>3.6106809480793219E-3</v>
      </c>
      <c r="G229" s="241">
        <v>146</v>
      </c>
      <c r="H229" s="241">
        <v>50</v>
      </c>
      <c r="I229" s="242" t="s">
        <v>475</v>
      </c>
      <c r="J229" s="280"/>
    </row>
    <row r="230" spans="1:10" ht="14" thickBot="1" x14ac:dyDescent="0.2">
      <c r="A230" s="310">
        <f>SUM(E228:E234)</f>
        <v>25.82</v>
      </c>
      <c r="B230" s="236">
        <v>42963</v>
      </c>
      <c r="C230" s="237"/>
      <c r="D230" s="238"/>
      <c r="E230" s="239"/>
      <c r="F230" s="240"/>
      <c r="G230" s="241"/>
      <c r="H230" s="241"/>
      <c r="I230" s="242"/>
      <c r="J230" s="280"/>
    </row>
    <row r="231" spans="1:10" x14ac:dyDescent="0.15">
      <c r="A231" s="308" t="s">
        <v>492</v>
      </c>
      <c r="B231" s="236">
        <v>42964</v>
      </c>
      <c r="C231" s="237"/>
      <c r="D231" s="238"/>
      <c r="E231" s="239"/>
      <c r="F231" s="240"/>
      <c r="G231" s="241"/>
      <c r="H231" s="241"/>
      <c r="I231" s="242"/>
      <c r="J231" s="280"/>
    </row>
    <row r="232" spans="1:10" ht="14" thickBot="1" x14ac:dyDescent="0.2">
      <c r="A232" s="306">
        <f>SUM(H228:H234)</f>
        <v>151</v>
      </c>
      <c r="B232" s="236">
        <v>42965</v>
      </c>
      <c r="C232" s="237" t="s">
        <v>468</v>
      </c>
      <c r="D232" s="238">
        <v>3.3148148148148149E-2</v>
      </c>
      <c r="E232" s="239">
        <v>8.6</v>
      </c>
      <c r="F232" s="240">
        <f>D232/E232</f>
        <v>3.8544358311800174E-3</v>
      </c>
      <c r="G232" s="241" t="s">
        <v>437</v>
      </c>
      <c r="H232" s="241">
        <v>50</v>
      </c>
      <c r="I232" s="242" t="s">
        <v>483</v>
      </c>
      <c r="J232" s="280"/>
    </row>
    <row r="233" spans="1:10" x14ac:dyDescent="0.15">
      <c r="A233" s="221"/>
      <c r="B233" s="236">
        <v>42966</v>
      </c>
      <c r="C233" s="237"/>
      <c r="D233" s="238"/>
      <c r="E233" s="239"/>
      <c r="F233" s="240"/>
      <c r="G233" s="241"/>
      <c r="H233" s="241"/>
      <c r="I233" s="242"/>
      <c r="J233" s="280"/>
    </row>
    <row r="234" spans="1:10" ht="14" thickBot="1" x14ac:dyDescent="0.2">
      <c r="A234" s="221"/>
      <c r="B234" s="256">
        <v>42967</v>
      </c>
      <c r="C234" s="257" t="s">
        <v>469</v>
      </c>
      <c r="D234" s="258">
        <v>3.1134259259259261E-2</v>
      </c>
      <c r="E234" s="259">
        <v>8.61</v>
      </c>
      <c r="F234" s="260">
        <f>D234/E234</f>
        <v>3.6160579859766855E-3</v>
      </c>
      <c r="G234" s="261">
        <v>146</v>
      </c>
      <c r="H234" s="261">
        <v>51</v>
      </c>
      <c r="I234" s="262" t="s">
        <v>487</v>
      </c>
      <c r="J234" s="280"/>
    </row>
    <row r="235" spans="1:10" ht="14" thickBot="1" x14ac:dyDescent="0.2">
      <c r="A235" s="309">
        <f>A228+1</f>
        <v>34</v>
      </c>
      <c r="B235" s="229">
        <v>42968</v>
      </c>
      <c r="C235" s="230"/>
      <c r="D235" s="231"/>
      <c r="E235" s="232"/>
      <c r="F235" s="240"/>
      <c r="G235" s="241"/>
      <c r="H235" s="234"/>
      <c r="I235" s="235"/>
      <c r="J235" s="280"/>
    </row>
    <row r="236" spans="1:10" x14ac:dyDescent="0.15">
      <c r="A236" s="307" t="s">
        <v>11</v>
      </c>
      <c r="B236" s="236">
        <v>42969</v>
      </c>
      <c r="C236" s="237"/>
      <c r="D236" s="238"/>
      <c r="E236" s="239"/>
      <c r="F236" s="240"/>
      <c r="G236" s="241"/>
      <c r="H236" s="241"/>
      <c r="I236" s="242"/>
      <c r="J236" s="280"/>
    </row>
    <row r="237" spans="1:10" ht="14" thickBot="1" x14ac:dyDescent="0.2">
      <c r="A237" s="310">
        <f>SUM(E235:E241)</f>
        <v>21.509999999999998</v>
      </c>
      <c r="B237" s="236">
        <v>42970</v>
      </c>
      <c r="C237" s="237"/>
      <c r="D237" s="238"/>
      <c r="E237" s="239"/>
      <c r="F237" s="240"/>
      <c r="G237" s="241"/>
      <c r="H237" s="241"/>
      <c r="I237" s="242"/>
      <c r="J237" s="280"/>
    </row>
    <row r="238" spans="1:10" x14ac:dyDescent="0.15">
      <c r="A238" s="308" t="s">
        <v>492</v>
      </c>
      <c r="B238" s="236">
        <v>42971</v>
      </c>
      <c r="C238" s="237" t="s">
        <v>469</v>
      </c>
      <c r="D238" s="238">
        <v>2.9560185185185189E-2</v>
      </c>
      <c r="E238" s="239">
        <v>8.66</v>
      </c>
      <c r="F238" s="240">
        <f>D238/E238</f>
        <v>3.4134163031391673E-3</v>
      </c>
      <c r="G238" s="241">
        <v>151</v>
      </c>
      <c r="H238" s="241">
        <v>52</v>
      </c>
      <c r="I238" s="242" t="s">
        <v>487</v>
      </c>
      <c r="J238" s="280"/>
    </row>
    <row r="239" spans="1:10" ht="14" thickBot="1" x14ac:dyDescent="0.2">
      <c r="A239" s="306">
        <f>SUM(H235:H241)</f>
        <v>129</v>
      </c>
      <c r="B239" s="236">
        <v>42972</v>
      </c>
      <c r="C239" s="237"/>
      <c r="D239" s="238"/>
      <c r="E239" s="239"/>
      <c r="F239" s="240"/>
      <c r="G239" s="241"/>
      <c r="H239" s="241"/>
      <c r="I239" s="242"/>
      <c r="J239" s="280"/>
    </row>
    <row r="240" spans="1:10" x14ac:dyDescent="0.15">
      <c r="A240" s="221"/>
      <c r="B240" s="236">
        <v>42973</v>
      </c>
      <c r="C240" s="237"/>
      <c r="D240" s="238"/>
      <c r="E240" s="239"/>
      <c r="F240" s="240"/>
      <c r="G240" s="241"/>
      <c r="H240" s="241"/>
      <c r="I240" s="242"/>
      <c r="J240" s="280"/>
    </row>
    <row r="241" spans="1:10" ht="14" thickBot="1" x14ac:dyDescent="0.2">
      <c r="A241" s="221"/>
      <c r="B241" s="256">
        <v>42974</v>
      </c>
      <c r="C241" s="257" t="s">
        <v>469</v>
      </c>
      <c r="D241" s="258">
        <v>4.4965277777777778E-2</v>
      </c>
      <c r="E241" s="259">
        <v>12.85</v>
      </c>
      <c r="F241" s="260">
        <f>D241/E241</f>
        <v>3.4992434068309556E-3</v>
      </c>
      <c r="G241" s="261">
        <v>150</v>
      </c>
      <c r="H241" s="261">
        <v>77</v>
      </c>
      <c r="I241" s="262" t="s">
        <v>475</v>
      </c>
      <c r="J241" s="280"/>
    </row>
    <row r="242" spans="1:10" ht="14" thickBot="1" x14ac:dyDescent="0.2">
      <c r="A242" s="309">
        <f>A235+1</f>
        <v>35</v>
      </c>
      <c r="B242" s="229">
        <v>42975</v>
      </c>
      <c r="C242" s="230"/>
      <c r="D242" s="231"/>
      <c r="E242" s="232"/>
      <c r="F242" s="240"/>
      <c r="G242" s="241"/>
      <c r="H242" s="234"/>
      <c r="I242" s="235"/>
      <c r="J242" s="280"/>
    </row>
    <row r="243" spans="1:10" x14ac:dyDescent="0.15">
      <c r="A243" s="307" t="s">
        <v>11</v>
      </c>
      <c r="B243" s="236">
        <v>42976</v>
      </c>
      <c r="C243" s="237"/>
      <c r="D243" s="238"/>
      <c r="E243" s="239"/>
      <c r="F243" s="240"/>
      <c r="G243" s="241"/>
      <c r="H243" s="241"/>
      <c r="I243" s="242"/>
      <c r="J243" s="280"/>
    </row>
    <row r="244" spans="1:10" ht="14" thickBot="1" x14ac:dyDescent="0.2">
      <c r="A244" s="310">
        <f>SUM(E242:E248)</f>
        <v>13.01</v>
      </c>
      <c r="B244" s="236">
        <v>42977</v>
      </c>
      <c r="C244" s="237"/>
      <c r="D244" s="238"/>
      <c r="E244" s="239"/>
      <c r="F244" s="240"/>
      <c r="G244" s="241"/>
      <c r="H244" s="241"/>
      <c r="I244" s="242"/>
      <c r="J244" s="280"/>
    </row>
    <row r="245" spans="1:10" x14ac:dyDescent="0.15">
      <c r="A245" s="308" t="s">
        <v>492</v>
      </c>
      <c r="B245" s="236">
        <v>42978</v>
      </c>
      <c r="C245" s="237"/>
      <c r="D245" s="238"/>
      <c r="E245" s="239"/>
      <c r="F245" s="240"/>
      <c r="G245" s="241"/>
      <c r="H245" s="241"/>
      <c r="I245" s="242"/>
      <c r="J245" s="280"/>
    </row>
    <row r="246" spans="1:10" ht="14" thickBot="1" x14ac:dyDescent="0.2">
      <c r="A246" s="306">
        <f>SUM(H242:H248)</f>
        <v>78</v>
      </c>
      <c r="B246" s="236">
        <v>42979</v>
      </c>
      <c r="C246" s="237"/>
      <c r="D246" s="238"/>
      <c r="E246" s="239"/>
      <c r="F246" s="240"/>
      <c r="G246" s="241"/>
      <c r="H246" s="241"/>
      <c r="I246" s="242"/>
      <c r="J246" s="280"/>
    </row>
    <row r="247" spans="1:10" x14ac:dyDescent="0.15">
      <c r="A247" s="221"/>
      <c r="B247" s="236">
        <v>42980</v>
      </c>
      <c r="C247" s="237"/>
      <c r="D247" s="238"/>
      <c r="E247" s="239"/>
      <c r="F247" s="240"/>
      <c r="G247" s="241"/>
      <c r="H247" s="241"/>
      <c r="I247" s="242"/>
      <c r="J247" s="280"/>
    </row>
    <row r="248" spans="1:10" ht="14" thickBot="1" x14ac:dyDescent="0.2">
      <c r="A248" s="221"/>
      <c r="B248" s="256">
        <v>42981</v>
      </c>
      <c r="C248" s="257" t="s">
        <v>469</v>
      </c>
      <c r="D248" s="258">
        <v>4.6516203703703705E-2</v>
      </c>
      <c r="E248" s="259">
        <v>13.01</v>
      </c>
      <c r="F248" s="260">
        <f>D248/E248</f>
        <v>3.5754191932131979E-3</v>
      </c>
      <c r="G248" s="261">
        <v>149</v>
      </c>
      <c r="H248" s="261">
        <v>78</v>
      </c>
      <c r="I248" s="262" t="s">
        <v>483</v>
      </c>
      <c r="J248" s="280"/>
    </row>
    <row r="249" spans="1:10" ht="14" thickBot="1" x14ac:dyDescent="0.2">
      <c r="A249" s="309">
        <f>A242+1</f>
        <v>36</v>
      </c>
      <c r="B249" s="229">
        <v>42982</v>
      </c>
      <c r="C249" s="230"/>
      <c r="D249" s="231"/>
      <c r="E249" s="232"/>
      <c r="F249" s="240"/>
      <c r="G249" s="241"/>
      <c r="H249" s="234"/>
      <c r="I249" s="235"/>
      <c r="J249" s="280"/>
    </row>
    <row r="250" spans="1:10" x14ac:dyDescent="0.15">
      <c r="A250" s="307" t="s">
        <v>11</v>
      </c>
      <c r="B250" s="236">
        <v>42983</v>
      </c>
      <c r="C250" s="237" t="s">
        <v>468</v>
      </c>
      <c r="D250" s="238">
        <v>3.0914351851851849E-2</v>
      </c>
      <c r="E250" s="239">
        <v>8.5399999999999991</v>
      </c>
      <c r="F250" s="240">
        <f>D250/E250</f>
        <v>3.6199475236360482E-3</v>
      </c>
      <c r="G250" s="241">
        <v>137</v>
      </c>
      <c r="H250" s="241">
        <v>51</v>
      </c>
      <c r="I250" s="242" t="s">
        <v>487</v>
      </c>
      <c r="J250" s="280"/>
    </row>
    <row r="251" spans="1:10" ht="14" thickBot="1" x14ac:dyDescent="0.2">
      <c r="A251" s="310">
        <f>SUM(E249:E255)</f>
        <v>17.170000000000002</v>
      </c>
      <c r="B251" s="236">
        <v>42984</v>
      </c>
      <c r="C251" s="237"/>
      <c r="D251" s="238"/>
      <c r="E251" s="239"/>
      <c r="F251" s="240"/>
      <c r="G251" s="241"/>
      <c r="H251" s="241"/>
      <c r="I251" s="242"/>
      <c r="J251" s="280"/>
    </row>
    <row r="252" spans="1:10" x14ac:dyDescent="0.15">
      <c r="A252" s="308" t="s">
        <v>492</v>
      </c>
      <c r="B252" s="236">
        <v>42985</v>
      </c>
      <c r="C252" s="237"/>
      <c r="D252" s="238"/>
      <c r="E252" s="239"/>
      <c r="F252" s="240"/>
      <c r="G252" s="241"/>
      <c r="H252" s="241"/>
      <c r="I252" s="242"/>
      <c r="J252" s="280"/>
    </row>
    <row r="253" spans="1:10" ht="14" thickBot="1" x14ac:dyDescent="0.2">
      <c r="A253" s="306">
        <f>SUM(H249:H255)</f>
        <v>103</v>
      </c>
      <c r="B253" s="236">
        <v>42986</v>
      </c>
      <c r="C253" s="237"/>
      <c r="D253" s="238"/>
      <c r="E253" s="239"/>
      <c r="F253" s="240"/>
      <c r="G253" s="241"/>
      <c r="H253" s="241"/>
      <c r="I253" s="242"/>
      <c r="J253" s="280"/>
    </row>
    <row r="254" spans="1:10" x14ac:dyDescent="0.15">
      <c r="A254" s="221"/>
      <c r="B254" s="236">
        <v>42987</v>
      </c>
      <c r="C254" s="237"/>
      <c r="D254" s="238"/>
      <c r="E254" s="239"/>
      <c r="F254" s="240"/>
      <c r="G254" s="241"/>
      <c r="H254" s="241"/>
      <c r="I254" s="242"/>
      <c r="J254" s="280"/>
    </row>
    <row r="255" spans="1:10" ht="14" thickBot="1" x14ac:dyDescent="0.2">
      <c r="A255" s="221"/>
      <c r="B255" s="256">
        <v>42988</v>
      </c>
      <c r="C255" s="257" t="s">
        <v>468</v>
      </c>
      <c r="D255" s="258">
        <v>3.096064814814815E-2</v>
      </c>
      <c r="E255" s="259">
        <v>8.6300000000000008</v>
      </c>
      <c r="F255" s="260">
        <f>D255/E255</f>
        <v>3.5875606197158919E-3</v>
      </c>
      <c r="G255" s="261">
        <v>150</v>
      </c>
      <c r="H255" s="261">
        <v>52</v>
      </c>
      <c r="I255" s="262" t="s">
        <v>487</v>
      </c>
      <c r="J255" s="280"/>
    </row>
    <row r="256" spans="1:10" ht="14" thickBot="1" x14ac:dyDescent="0.2">
      <c r="A256" s="309">
        <f>A249+1</f>
        <v>37</v>
      </c>
      <c r="B256" s="229">
        <v>42989</v>
      </c>
      <c r="C256" s="230"/>
      <c r="D256" s="231"/>
      <c r="E256" s="232"/>
      <c r="F256" s="240"/>
      <c r="G256" s="241"/>
      <c r="H256" s="234"/>
      <c r="I256" s="235"/>
      <c r="J256" s="280"/>
    </row>
    <row r="257" spans="1:10" x14ac:dyDescent="0.15">
      <c r="A257" s="307" t="s">
        <v>11</v>
      </c>
      <c r="B257" s="236">
        <v>42990</v>
      </c>
      <c r="C257" s="237"/>
      <c r="D257" s="238"/>
      <c r="E257" s="239"/>
      <c r="F257" s="240"/>
      <c r="G257" s="241"/>
      <c r="H257" s="241"/>
      <c r="I257" s="242"/>
      <c r="J257" s="280"/>
    </row>
    <row r="258" spans="1:10" ht="14" thickBot="1" x14ac:dyDescent="0.2">
      <c r="A258" s="310">
        <f>SUM(E256:E262)</f>
        <v>16.43</v>
      </c>
      <c r="B258" s="236">
        <v>42991</v>
      </c>
      <c r="C258" s="237"/>
      <c r="D258" s="238"/>
      <c r="E258" s="239"/>
      <c r="F258" s="240"/>
      <c r="G258" s="241"/>
      <c r="H258" s="241"/>
      <c r="I258" s="242"/>
      <c r="J258" s="280"/>
    </row>
    <row r="259" spans="1:10" x14ac:dyDescent="0.15">
      <c r="A259" s="308" t="s">
        <v>492</v>
      </c>
      <c r="B259" s="236">
        <v>42992</v>
      </c>
      <c r="C259" s="237"/>
      <c r="D259" s="238"/>
      <c r="E259" s="239"/>
      <c r="F259" s="240"/>
      <c r="G259" s="241"/>
      <c r="H259" s="241"/>
      <c r="I259" s="242"/>
      <c r="J259" s="280"/>
    </row>
    <row r="260" spans="1:10" ht="14" thickBot="1" x14ac:dyDescent="0.2">
      <c r="A260" s="306">
        <f>SUM(H256:H262)</f>
        <v>95</v>
      </c>
      <c r="B260" s="236">
        <v>42993</v>
      </c>
      <c r="C260" s="237"/>
      <c r="D260" s="238"/>
      <c r="E260" s="239"/>
      <c r="F260" s="240"/>
      <c r="G260" s="241"/>
      <c r="H260" s="241"/>
      <c r="I260" s="242"/>
      <c r="J260" s="280"/>
    </row>
    <row r="261" spans="1:10" x14ac:dyDescent="0.15">
      <c r="A261" s="221"/>
      <c r="B261" s="236">
        <v>42994</v>
      </c>
      <c r="C261" s="237" t="s">
        <v>468</v>
      </c>
      <c r="D261" s="238">
        <v>4.010416666666667E-2</v>
      </c>
      <c r="E261" s="239">
        <v>11.14</v>
      </c>
      <c r="F261" s="240">
        <f>D261/E261</f>
        <v>3.6000149611011369E-3</v>
      </c>
      <c r="G261" s="241">
        <v>147</v>
      </c>
      <c r="H261" s="241">
        <v>66</v>
      </c>
      <c r="I261" s="242" t="s">
        <v>487</v>
      </c>
      <c r="J261" s="280"/>
    </row>
    <row r="262" spans="1:10" ht="14" thickBot="1" x14ac:dyDescent="0.2">
      <c r="A262" s="221"/>
      <c r="B262" s="256">
        <v>42995</v>
      </c>
      <c r="C262" s="257" t="s">
        <v>468</v>
      </c>
      <c r="D262" s="258">
        <v>1.8842592592592591E-2</v>
      </c>
      <c r="E262" s="259">
        <v>5.29</v>
      </c>
      <c r="F262" s="260">
        <f>D262/E262</f>
        <v>3.5619267660855561E-3</v>
      </c>
      <c r="G262" s="261">
        <v>148</v>
      </c>
      <c r="H262" s="261">
        <v>29</v>
      </c>
      <c r="I262" s="262" t="s">
        <v>483</v>
      </c>
      <c r="J262" s="280"/>
    </row>
    <row r="263" spans="1:10" ht="14" thickBot="1" x14ac:dyDescent="0.2">
      <c r="A263" s="309">
        <f>A256+1</f>
        <v>38</v>
      </c>
      <c r="B263" s="229">
        <v>42996</v>
      </c>
      <c r="C263" s="230"/>
      <c r="D263" s="231"/>
      <c r="E263" s="232"/>
      <c r="F263" s="240"/>
      <c r="G263" s="241"/>
      <c r="H263" s="234"/>
      <c r="I263" s="235"/>
      <c r="J263" s="280"/>
    </row>
    <row r="264" spans="1:10" x14ac:dyDescent="0.15">
      <c r="A264" s="307" t="s">
        <v>11</v>
      </c>
      <c r="B264" s="236">
        <v>42997</v>
      </c>
      <c r="C264" s="237" t="s">
        <v>469</v>
      </c>
      <c r="D264" s="238">
        <v>2.9803240740740741E-2</v>
      </c>
      <c r="E264" s="239">
        <v>8.67</v>
      </c>
      <c r="F264" s="240">
        <f>D264/E264</f>
        <v>3.4375133495664063E-3</v>
      </c>
      <c r="G264" s="241">
        <v>150</v>
      </c>
      <c r="H264" s="241">
        <v>52</v>
      </c>
      <c r="I264" s="242" t="s">
        <v>475</v>
      </c>
      <c r="J264" s="280"/>
    </row>
    <row r="265" spans="1:10" ht="14" thickBot="1" x14ac:dyDescent="0.2">
      <c r="A265" s="310">
        <f>SUM(E263:E269)</f>
        <v>23.4</v>
      </c>
      <c r="B265" s="236">
        <v>42998</v>
      </c>
      <c r="C265" s="237"/>
      <c r="D265" s="238"/>
      <c r="E265" s="239"/>
      <c r="F265" s="240"/>
      <c r="G265" s="241"/>
      <c r="H265" s="241"/>
      <c r="I265" s="242"/>
      <c r="J265" s="280"/>
    </row>
    <row r="266" spans="1:10" x14ac:dyDescent="0.15">
      <c r="A266" s="308" t="s">
        <v>492</v>
      </c>
      <c r="B266" s="236">
        <v>42999</v>
      </c>
      <c r="C266" s="237" t="s">
        <v>468</v>
      </c>
      <c r="D266" s="238">
        <v>2.6631944444444444E-2</v>
      </c>
      <c r="E266" s="239">
        <v>8.0500000000000007</v>
      </c>
      <c r="F266" s="240">
        <f>D266/E266</f>
        <v>3.3083160800552102E-3</v>
      </c>
      <c r="G266" s="241">
        <v>151</v>
      </c>
      <c r="H266" s="241">
        <v>50</v>
      </c>
      <c r="I266" s="242" t="s">
        <v>483</v>
      </c>
      <c r="J266" s="280"/>
    </row>
    <row r="267" spans="1:10" ht="14" thickBot="1" x14ac:dyDescent="0.2">
      <c r="A267" s="306">
        <f>SUM(H263:H269)</f>
        <v>139</v>
      </c>
      <c r="B267" s="236">
        <v>43000</v>
      </c>
      <c r="C267" s="237"/>
      <c r="D267" s="238"/>
      <c r="E267" s="239"/>
      <c r="F267" s="240"/>
      <c r="G267" s="241"/>
      <c r="H267" s="241"/>
      <c r="I267" s="242"/>
      <c r="J267" s="280"/>
    </row>
    <row r="268" spans="1:10" x14ac:dyDescent="0.15">
      <c r="A268" s="221"/>
      <c r="B268" s="236">
        <v>43001</v>
      </c>
      <c r="C268" s="237" t="s">
        <v>468</v>
      </c>
      <c r="D268" s="238">
        <v>2.4479166666666666E-2</v>
      </c>
      <c r="E268" s="239">
        <v>6.68</v>
      </c>
      <c r="F268" s="240">
        <f>D268/E268</f>
        <v>3.6645459081836329E-3</v>
      </c>
      <c r="G268" s="241">
        <v>137</v>
      </c>
      <c r="H268" s="241">
        <v>37</v>
      </c>
      <c r="I268" s="242" t="s">
        <v>487</v>
      </c>
      <c r="J268" s="280"/>
    </row>
    <row r="269" spans="1:10" ht="14" thickBot="1" x14ac:dyDescent="0.2">
      <c r="A269" s="221"/>
      <c r="B269" s="256">
        <v>43002</v>
      </c>
      <c r="C269" s="257"/>
      <c r="D269" s="258"/>
      <c r="E269" s="259"/>
      <c r="F269" s="260"/>
      <c r="G269" s="261"/>
      <c r="H269" s="261"/>
      <c r="I269" s="262"/>
      <c r="J269" s="280"/>
    </row>
    <row r="270" spans="1:10" ht="14" thickBot="1" x14ac:dyDescent="0.2">
      <c r="A270" s="309">
        <f>A263+1</f>
        <v>39</v>
      </c>
      <c r="B270" s="229">
        <v>43003</v>
      </c>
      <c r="C270" s="237" t="s">
        <v>469</v>
      </c>
      <c r="D270" s="238">
        <v>3.6562499999999998E-2</v>
      </c>
      <c r="E270" s="239">
        <v>10.47</v>
      </c>
      <c r="F270" s="240">
        <f>D270/E270</f>
        <v>3.4921203438395411E-3</v>
      </c>
      <c r="G270" s="241">
        <v>148</v>
      </c>
      <c r="H270" s="241">
        <v>66</v>
      </c>
      <c r="I270" s="242" t="s">
        <v>475</v>
      </c>
      <c r="J270" s="280"/>
    </row>
    <row r="271" spans="1:10" x14ac:dyDescent="0.15">
      <c r="A271" s="307" t="s">
        <v>11</v>
      </c>
      <c r="B271" s="236">
        <v>43004</v>
      </c>
      <c r="C271" s="237"/>
      <c r="D271" s="238"/>
      <c r="E271" s="239"/>
      <c r="F271" s="240"/>
      <c r="G271" s="241"/>
      <c r="H271" s="241"/>
      <c r="I271" s="242"/>
      <c r="J271" s="280"/>
    </row>
    <row r="272" spans="1:10" ht="14" thickBot="1" x14ac:dyDescent="0.2">
      <c r="A272" s="310">
        <f>SUM(E270:E276)</f>
        <v>42.300000000000004</v>
      </c>
      <c r="B272" s="236">
        <v>43005</v>
      </c>
      <c r="C272" s="237" t="s">
        <v>468</v>
      </c>
      <c r="D272" s="238">
        <v>3.1678240740740743E-2</v>
      </c>
      <c r="E272" s="239">
        <v>8.8000000000000007</v>
      </c>
      <c r="F272" s="240">
        <f>D272/E272</f>
        <v>3.5998000841750842E-3</v>
      </c>
      <c r="G272" s="241">
        <v>135</v>
      </c>
      <c r="H272" s="241">
        <v>50</v>
      </c>
      <c r="I272" s="242" t="s">
        <v>483</v>
      </c>
      <c r="J272" s="280"/>
    </row>
    <row r="273" spans="1:10" x14ac:dyDescent="0.15">
      <c r="A273" s="308" t="s">
        <v>492</v>
      </c>
      <c r="B273" s="236">
        <v>43006</v>
      </c>
      <c r="C273" s="237"/>
      <c r="D273" s="238"/>
      <c r="E273" s="239"/>
      <c r="F273" s="240"/>
      <c r="G273" s="241"/>
      <c r="H273" s="241"/>
      <c r="I273" s="242"/>
      <c r="J273" s="280"/>
    </row>
    <row r="274" spans="1:10" ht="14" thickBot="1" x14ac:dyDescent="0.2">
      <c r="A274" s="306">
        <f>SUM(H270:H276)</f>
        <v>250</v>
      </c>
      <c r="B274" s="236">
        <v>43007</v>
      </c>
      <c r="C274" s="237" t="s">
        <v>469</v>
      </c>
      <c r="D274" s="238">
        <v>4.1030092592592597E-2</v>
      </c>
      <c r="E274" s="239">
        <v>11.11</v>
      </c>
      <c r="F274" s="240">
        <f>D274/E274</f>
        <v>3.6930776410974437E-3</v>
      </c>
      <c r="G274" s="241">
        <v>147</v>
      </c>
      <c r="H274" s="241">
        <v>63</v>
      </c>
      <c r="I274" s="242" t="s">
        <v>487</v>
      </c>
      <c r="J274" s="280"/>
    </row>
    <row r="275" spans="1:10" x14ac:dyDescent="0.15">
      <c r="A275" s="221"/>
      <c r="B275" s="236">
        <v>43008</v>
      </c>
      <c r="C275" s="237"/>
      <c r="D275" s="238"/>
      <c r="E275" s="239"/>
      <c r="F275" s="240"/>
      <c r="G275" s="241"/>
      <c r="H275" s="241"/>
      <c r="I275" s="242"/>
      <c r="J275" s="280"/>
    </row>
    <row r="276" spans="1:10" ht="14" thickBot="1" x14ac:dyDescent="0.2">
      <c r="A276" s="221"/>
      <c r="B276" s="256">
        <v>43009</v>
      </c>
      <c r="C276" s="257" t="s">
        <v>468</v>
      </c>
      <c r="D276" s="258">
        <v>4.3645833333333335E-2</v>
      </c>
      <c r="E276" s="259">
        <v>11.92</v>
      </c>
      <c r="F276" s="260">
        <f>D276/E276</f>
        <v>3.6615631991051456E-3</v>
      </c>
      <c r="G276" s="261">
        <v>142</v>
      </c>
      <c r="H276" s="261">
        <v>71</v>
      </c>
      <c r="I276" s="262" t="s">
        <v>483</v>
      </c>
      <c r="J276" s="280"/>
    </row>
    <row r="277" spans="1:10" ht="14" thickBot="1" x14ac:dyDescent="0.2">
      <c r="A277" s="309">
        <f>A270+1</f>
        <v>40</v>
      </c>
      <c r="B277" s="229">
        <v>43010</v>
      </c>
      <c r="C277" s="230"/>
      <c r="D277" s="231"/>
      <c r="E277" s="232"/>
      <c r="F277" s="240"/>
      <c r="G277" s="241"/>
      <c r="H277" s="234"/>
      <c r="I277" s="235"/>
      <c r="J277" s="280"/>
    </row>
    <row r="278" spans="1:10" x14ac:dyDescent="0.15">
      <c r="A278" s="307" t="s">
        <v>11</v>
      </c>
      <c r="B278" s="236">
        <v>43011</v>
      </c>
      <c r="C278" s="237" t="s">
        <v>469</v>
      </c>
      <c r="D278" s="238">
        <v>3.005787037037037E-2</v>
      </c>
      <c r="E278" s="239">
        <v>8.6300000000000008</v>
      </c>
      <c r="F278" s="240">
        <f>D278/E278</f>
        <v>3.4829513754774471E-3</v>
      </c>
      <c r="G278" s="241">
        <v>148</v>
      </c>
      <c r="H278" s="241">
        <v>52</v>
      </c>
      <c r="I278" s="242" t="s">
        <v>487</v>
      </c>
      <c r="J278" s="280"/>
    </row>
    <row r="279" spans="1:10" ht="14" thickBot="1" x14ac:dyDescent="0.2">
      <c r="A279" s="310">
        <f>SUM(E277:E283)</f>
        <v>25.870000000000005</v>
      </c>
      <c r="B279" s="236">
        <v>43012</v>
      </c>
      <c r="C279" s="237"/>
      <c r="D279" s="238"/>
      <c r="E279" s="239"/>
      <c r="F279" s="240"/>
      <c r="G279" s="241"/>
      <c r="H279" s="241"/>
      <c r="I279" s="242"/>
      <c r="J279" s="280"/>
    </row>
    <row r="280" spans="1:10" x14ac:dyDescent="0.15">
      <c r="A280" s="308" t="s">
        <v>492</v>
      </c>
      <c r="B280" s="236">
        <v>43013</v>
      </c>
      <c r="C280" s="237"/>
      <c r="D280" s="238"/>
      <c r="E280" s="239"/>
      <c r="F280" s="240"/>
      <c r="G280" s="241"/>
      <c r="H280" s="241"/>
      <c r="I280" s="242"/>
      <c r="J280" s="280"/>
    </row>
    <row r="281" spans="1:10" ht="14" thickBot="1" x14ac:dyDescent="0.2">
      <c r="A281" s="306">
        <f>SUM(H277:H283)</f>
        <v>153</v>
      </c>
      <c r="B281" s="236">
        <v>43014</v>
      </c>
      <c r="C281" s="237" t="s">
        <v>468</v>
      </c>
      <c r="D281" s="238">
        <v>3.0428240740740742E-2</v>
      </c>
      <c r="E281" s="239">
        <v>8.57</v>
      </c>
      <c r="F281" s="240">
        <f>D281/E281</f>
        <v>3.5505531786161892E-3</v>
      </c>
      <c r="G281" s="241">
        <v>141</v>
      </c>
      <c r="H281" s="241">
        <v>50</v>
      </c>
      <c r="I281" s="242" t="s">
        <v>487</v>
      </c>
      <c r="J281" s="280"/>
    </row>
    <row r="282" spans="1:10" x14ac:dyDescent="0.15">
      <c r="A282" s="221"/>
      <c r="B282" s="236">
        <v>43015</v>
      </c>
      <c r="C282" s="237"/>
      <c r="D282" s="238"/>
      <c r="E282" s="239"/>
      <c r="F282" s="240"/>
      <c r="G282" s="241"/>
      <c r="H282" s="241"/>
      <c r="I282" s="242"/>
      <c r="J282" s="280"/>
    </row>
    <row r="283" spans="1:10" ht="14" thickBot="1" x14ac:dyDescent="0.2">
      <c r="A283" s="221"/>
      <c r="B283" s="256">
        <v>43016</v>
      </c>
      <c r="C283" s="257" t="s">
        <v>469</v>
      </c>
      <c r="D283" s="258">
        <v>3.0949074074074077E-2</v>
      </c>
      <c r="E283" s="259">
        <v>8.67</v>
      </c>
      <c r="F283" s="260">
        <f>D283/E283</f>
        <v>3.5696740569866295E-3</v>
      </c>
      <c r="G283" s="261">
        <v>155</v>
      </c>
      <c r="H283" s="261">
        <v>51</v>
      </c>
      <c r="I283" s="262" t="s">
        <v>483</v>
      </c>
      <c r="J283" s="280"/>
    </row>
    <row r="284" spans="1:10" ht="14" thickBot="1" x14ac:dyDescent="0.2">
      <c r="A284" s="309">
        <f>A277+1</f>
        <v>41</v>
      </c>
      <c r="B284" s="229">
        <v>43017</v>
      </c>
      <c r="C284" s="230"/>
      <c r="D284" s="231"/>
      <c r="E284" s="232"/>
      <c r="F284" s="240"/>
      <c r="G284" s="241"/>
      <c r="H284" s="234"/>
      <c r="I284" s="235"/>
      <c r="J284" s="280"/>
    </row>
    <row r="285" spans="1:10" x14ac:dyDescent="0.15">
      <c r="A285" s="307" t="s">
        <v>11</v>
      </c>
      <c r="B285" s="236">
        <v>43018</v>
      </c>
      <c r="C285" s="237"/>
      <c r="D285" s="238"/>
      <c r="E285" s="239"/>
      <c r="F285" s="240"/>
      <c r="G285" s="241"/>
      <c r="H285" s="241"/>
      <c r="I285" s="242"/>
      <c r="J285" s="280"/>
    </row>
    <row r="286" spans="1:10" ht="14" thickBot="1" x14ac:dyDescent="0.2">
      <c r="A286" s="310">
        <f>SUM(E284:E290)</f>
        <v>25.89</v>
      </c>
      <c r="B286" s="236">
        <v>43019</v>
      </c>
      <c r="C286" s="237" t="s">
        <v>469</v>
      </c>
      <c r="D286" s="238">
        <v>2.8449074074074075E-2</v>
      </c>
      <c r="E286" s="239">
        <v>8.6199999999999992</v>
      </c>
      <c r="F286" s="240">
        <f>D286/E286</f>
        <v>3.3003566211222829E-3</v>
      </c>
      <c r="G286" s="241">
        <v>155</v>
      </c>
      <c r="H286" s="241">
        <v>54</v>
      </c>
      <c r="I286" s="242" t="s">
        <v>483</v>
      </c>
      <c r="J286" s="280"/>
    </row>
    <row r="287" spans="1:10" x14ac:dyDescent="0.15">
      <c r="A287" s="308" t="s">
        <v>492</v>
      </c>
      <c r="B287" s="236">
        <v>43020</v>
      </c>
      <c r="C287" s="237"/>
      <c r="D287" s="238"/>
      <c r="E287" s="239"/>
      <c r="F287" s="240"/>
      <c r="G287" s="241"/>
      <c r="H287" s="241"/>
      <c r="I287" s="242"/>
      <c r="J287" s="280"/>
    </row>
    <row r="288" spans="1:10" ht="14" thickBot="1" x14ac:dyDescent="0.2">
      <c r="A288" s="306">
        <f>SUM(H284:H290)</f>
        <v>154</v>
      </c>
      <c r="B288" s="236">
        <v>43021</v>
      </c>
      <c r="C288" s="237" t="s">
        <v>469</v>
      </c>
      <c r="D288" s="238">
        <v>2.9826388888888892E-2</v>
      </c>
      <c r="E288" s="239">
        <v>8.6199999999999992</v>
      </c>
      <c r="F288" s="240">
        <f>D288/E288</f>
        <v>3.4601379221448833E-3</v>
      </c>
      <c r="G288" s="241">
        <v>152</v>
      </c>
      <c r="H288" s="241">
        <v>50</v>
      </c>
      <c r="I288" s="242" t="s">
        <v>487</v>
      </c>
      <c r="J288" s="280"/>
    </row>
    <row r="289" spans="1:10" x14ac:dyDescent="0.15">
      <c r="A289" s="221"/>
      <c r="B289" s="236">
        <v>43022</v>
      </c>
      <c r="C289" s="237"/>
      <c r="D289" s="238"/>
      <c r="E289" s="239"/>
      <c r="F289" s="240"/>
      <c r="G289" s="241"/>
      <c r="H289" s="241"/>
      <c r="I289" s="242"/>
      <c r="J289" s="280"/>
    </row>
    <row r="290" spans="1:10" ht="14" thickBot="1" x14ac:dyDescent="0.2">
      <c r="A290" s="221"/>
      <c r="B290" s="256">
        <v>43023</v>
      </c>
      <c r="C290" s="257" t="s">
        <v>469</v>
      </c>
      <c r="D290" s="258">
        <v>3.0636574074074076E-2</v>
      </c>
      <c r="E290" s="259">
        <v>8.65</v>
      </c>
      <c r="F290" s="260">
        <f>D290/E290</f>
        <v>3.5418004709912225E-3</v>
      </c>
      <c r="G290" s="261">
        <v>150</v>
      </c>
      <c r="H290" s="261">
        <v>50</v>
      </c>
      <c r="I290" s="262" t="s">
        <v>483</v>
      </c>
      <c r="J290" s="280"/>
    </row>
    <row r="291" spans="1:10" ht="14" thickBot="1" x14ac:dyDescent="0.2">
      <c r="A291" s="309">
        <f>A284+1</f>
        <v>42</v>
      </c>
      <c r="B291" s="229">
        <v>43024</v>
      </c>
      <c r="C291" s="230"/>
      <c r="D291" s="231"/>
      <c r="E291" s="232"/>
      <c r="F291" s="240"/>
      <c r="G291" s="241"/>
      <c r="H291" s="234"/>
      <c r="I291" s="235"/>
      <c r="J291" s="280"/>
    </row>
    <row r="292" spans="1:10" x14ac:dyDescent="0.15">
      <c r="A292" s="307" t="s">
        <v>11</v>
      </c>
      <c r="B292" s="236">
        <v>43025</v>
      </c>
      <c r="C292" s="237"/>
      <c r="D292" s="238"/>
      <c r="E292" s="239"/>
      <c r="F292" s="240"/>
      <c r="G292" s="241"/>
      <c r="H292" s="241"/>
      <c r="I292" s="242"/>
      <c r="J292" s="280"/>
    </row>
    <row r="293" spans="1:10" ht="14" thickBot="1" x14ac:dyDescent="0.2">
      <c r="A293" s="310">
        <f>SUM(E291:E297)</f>
        <v>28.48</v>
      </c>
      <c r="B293" s="236">
        <v>43026</v>
      </c>
      <c r="C293" s="237" t="s">
        <v>468</v>
      </c>
      <c r="D293" s="238">
        <v>3.0543981481481481E-2</v>
      </c>
      <c r="E293" s="239">
        <v>8.65</v>
      </c>
      <c r="F293" s="240">
        <f>D293/E293</f>
        <v>3.5310961250267607E-3</v>
      </c>
      <c r="G293" s="241">
        <v>152</v>
      </c>
      <c r="H293" s="241">
        <v>52</v>
      </c>
      <c r="I293" s="242" t="s">
        <v>487</v>
      </c>
      <c r="J293" s="280"/>
    </row>
    <row r="294" spans="1:10" x14ac:dyDescent="0.15">
      <c r="A294" s="308" t="s">
        <v>492</v>
      </c>
      <c r="B294" s="236">
        <v>43027</v>
      </c>
      <c r="C294" s="237"/>
      <c r="D294" s="238"/>
      <c r="E294" s="239"/>
      <c r="F294" s="240"/>
      <c r="G294" s="241"/>
      <c r="H294" s="241"/>
      <c r="I294" s="242"/>
      <c r="J294" s="280"/>
    </row>
    <row r="295" spans="1:10" ht="14" thickBot="1" x14ac:dyDescent="0.2">
      <c r="A295" s="306">
        <f>SUM(H291:H297)</f>
        <v>169</v>
      </c>
      <c r="B295" s="236">
        <v>43028</v>
      </c>
      <c r="C295" s="207" t="s">
        <v>468</v>
      </c>
      <c r="D295" s="238">
        <v>3.9155092592592596E-2</v>
      </c>
      <c r="E295" s="239">
        <v>11.22</v>
      </c>
      <c r="F295" s="240">
        <f>D295/E295</f>
        <v>3.4897586980920316E-3</v>
      </c>
      <c r="G295" s="241">
        <v>146</v>
      </c>
      <c r="H295" s="241">
        <v>68</v>
      </c>
      <c r="I295" s="242" t="s">
        <v>483</v>
      </c>
      <c r="J295" s="280"/>
    </row>
    <row r="296" spans="1:10" x14ac:dyDescent="0.15">
      <c r="A296" s="221"/>
      <c r="B296" s="236">
        <v>43029</v>
      </c>
      <c r="C296" s="207" t="s">
        <v>468</v>
      </c>
      <c r="D296" s="238">
        <v>3.1631944444444442E-2</v>
      </c>
      <c r="E296" s="239">
        <v>8.61</v>
      </c>
      <c r="F296" s="240">
        <f>D296/E296</f>
        <v>3.6738611433733384E-3</v>
      </c>
      <c r="G296" s="241">
        <v>135</v>
      </c>
      <c r="H296" s="241">
        <v>49</v>
      </c>
      <c r="I296" s="242" t="s">
        <v>487</v>
      </c>
      <c r="J296" s="280"/>
    </row>
    <row r="297" spans="1:10" ht="14" thickBot="1" x14ac:dyDescent="0.2">
      <c r="A297" s="221"/>
      <c r="B297" s="256">
        <v>43030</v>
      </c>
      <c r="C297" s="257"/>
      <c r="D297" s="258"/>
      <c r="E297" s="259"/>
      <c r="F297" s="260"/>
      <c r="G297" s="261"/>
      <c r="H297" s="261"/>
      <c r="I297" s="262"/>
      <c r="J297" s="280"/>
    </row>
    <row r="298" spans="1:10" ht="14" thickBot="1" x14ac:dyDescent="0.2">
      <c r="A298" s="309">
        <f>A291+1</f>
        <v>43</v>
      </c>
      <c r="B298" s="229">
        <v>43031</v>
      </c>
      <c r="C298" s="230"/>
      <c r="D298" s="231"/>
      <c r="E298" s="232"/>
      <c r="F298" s="240"/>
      <c r="G298" s="241"/>
      <c r="H298" s="234"/>
      <c r="I298" s="235"/>
      <c r="J298" s="280"/>
    </row>
    <row r="299" spans="1:10" x14ac:dyDescent="0.15">
      <c r="A299" s="307" t="s">
        <v>11</v>
      </c>
      <c r="B299" s="236">
        <v>43032</v>
      </c>
      <c r="C299" s="207" t="s">
        <v>469</v>
      </c>
      <c r="D299" s="238">
        <v>3.6030092592592593E-2</v>
      </c>
      <c r="E299" s="239">
        <v>10.19</v>
      </c>
      <c r="F299" s="240">
        <f>D299/E299</f>
        <v>3.5358285174281251E-3</v>
      </c>
      <c r="G299" s="241">
        <v>140</v>
      </c>
      <c r="H299" s="241">
        <v>61</v>
      </c>
      <c r="I299" s="242" t="s">
        <v>483</v>
      </c>
      <c r="J299" s="280"/>
    </row>
    <row r="300" spans="1:10" ht="14" thickBot="1" x14ac:dyDescent="0.2">
      <c r="A300" s="310">
        <f>SUM(E298:E304)</f>
        <v>30.74</v>
      </c>
      <c r="B300" s="236">
        <v>43033</v>
      </c>
      <c r="C300" s="237"/>
      <c r="D300" s="238"/>
      <c r="E300" s="239"/>
      <c r="F300" s="240"/>
      <c r="G300" s="241"/>
      <c r="H300" s="241"/>
      <c r="I300" s="242"/>
      <c r="J300" s="280"/>
    </row>
    <row r="301" spans="1:10" x14ac:dyDescent="0.15">
      <c r="A301" s="308" t="s">
        <v>492</v>
      </c>
      <c r="B301" s="236">
        <v>43034</v>
      </c>
      <c r="C301" s="207" t="s">
        <v>468</v>
      </c>
      <c r="D301" s="238">
        <v>3.0671296296296294E-2</v>
      </c>
      <c r="E301" s="239">
        <v>8.6</v>
      </c>
      <c r="F301" s="240">
        <f>D301/E301</f>
        <v>3.566429801894918E-3</v>
      </c>
      <c r="G301" s="241">
        <v>151</v>
      </c>
      <c r="H301" s="241">
        <v>58</v>
      </c>
      <c r="I301" s="242" t="s">
        <v>487</v>
      </c>
      <c r="J301" s="280"/>
    </row>
    <row r="302" spans="1:10" ht="14" thickBot="1" x14ac:dyDescent="0.2">
      <c r="A302" s="306">
        <f>SUM(H298:H304)</f>
        <v>189</v>
      </c>
      <c r="B302" s="236">
        <v>43035</v>
      </c>
      <c r="C302" s="237"/>
      <c r="D302" s="238"/>
      <c r="E302" s="239"/>
      <c r="F302" s="240"/>
      <c r="G302" s="241"/>
      <c r="H302" s="241"/>
      <c r="I302" s="242"/>
      <c r="J302" s="280"/>
    </row>
    <row r="303" spans="1:10" x14ac:dyDescent="0.15">
      <c r="A303" s="221"/>
      <c r="B303" s="236">
        <v>43036</v>
      </c>
      <c r="C303" s="207" t="s">
        <v>468</v>
      </c>
      <c r="D303" s="238">
        <v>4.3090277777777776E-2</v>
      </c>
      <c r="E303" s="239">
        <v>11.95</v>
      </c>
      <c r="F303" s="240">
        <f>D303/E303</f>
        <v>3.6058809855880987E-3</v>
      </c>
      <c r="G303" s="241">
        <v>143</v>
      </c>
      <c r="H303" s="241">
        <v>70</v>
      </c>
      <c r="I303" s="242" t="s">
        <v>483</v>
      </c>
      <c r="J303" s="280"/>
    </row>
    <row r="304" spans="1:10" ht="14" thickBot="1" x14ac:dyDescent="0.2">
      <c r="A304" s="221"/>
      <c r="B304" s="256">
        <v>43037</v>
      </c>
      <c r="C304" s="257"/>
      <c r="D304" s="258"/>
      <c r="E304" s="259"/>
      <c r="F304" s="260"/>
      <c r="G304" s="261"/>
      <c r="H304" s="261"/>
      <c r="I304" s="262"/>
      <c r="J304" s="280"/>
    </row>
    <row r="305" spans="1:10" ht="14" thickBot="1" x14ac:dyDescent="0.2">
      <c r="A305" s="309">
        <f>A298+1</f>
        <v>44</v>
      </c>
      <c r="B305" s="229">
        <v>43038</v>
      </c>
      <c r="C305" s="206" t="s">
        <v>468</v>
      </c>
      <c r="D305" s="231">
        <v>3.050925925925926E-2</v>
      </c>
      <c r="E305" s="232">
        <v>8.6300000000000008</v>
      </c>
      <c r="F305" s="240">
        <f>D305/E305</f>
        <v>3.5352559975966695E-3</v>
      </c>
      <c r="G305" s="241">
        <v>144</v>
      </c>
      <c r="H305" s="234">
        <v>51</v>
      </c>
      <c r="I305" s="235" t="s">
        <v>487</v>
      </c>
      <c r="J305" s="280"/>
    </row>
    <row r="306" spans="1:10" x14ac:dyDescent="0.15">
      <c r="A306" s="307" t="s">
        <v>11</v>
      </c>
      <c r="B306" s="236">
        <v>43039</v>
      </c>
      <c r="C306" s="237"/>
      <c r="D306" s="238"/>
      <c r="E306" s="239"/>
      <c r="F306" s="240"/>
      <c r="G306" s="241"/>
      <c r="H306" s="241"/>
      <c r="I306" s="242"/>
      <c r="J306" s="280"/>
    </row>
    <row r="307" spans="1:10" ht="14" thickBot="1" x14ac:dyDescent="0.2">
      <c r="A307" s="310">
        <f>SUM(E305:E311)</f>
        <v>27.47</v>
      </c>
      <c r="B307" s="236">
        <v>43040</v>
      </c>
      <c r="C307" s="237"/>
      <c r="D307" s="238"/>
      <c r="E307" s="239"/>
      <c r="F307" s="240"/>
      <c r="G307" s="241"/>
      <c r="H307" s="241"/>
      <c r="I307" s="242"/>
      <c r="J307" s="280"/>
    </row>
    <row r="308" spans="1:10" x14ac:dyDescent="0.15">
      <c r="A308" s="308" t="s">
        <v>492</v>
      </c>
      <c r="B308" s="236">
        <v>43041</v>
      </c>
      <c r="C308" s="237"/>
      <c r="D308" s="238"/>
      <c r="E308" s="239"/>
      <c r="F308" s="240"/>
      <c r="G308" s="241"/>
      <c r="H308" s="241"/>
      <c r="I308" s="242"/>
      <c r="J308" s="280"/>
    </row>
    <row r="309" spans="1:10" ht="14" thickBot="1" x14ac:dyDescent="0.2">
      <c r="A309" s="306">
        <f>SUM(H305:H311)</f>
        <v>160</v>
      </c>
      <c r="B309" s="236">
        <v>43042</v>
      </c>
      <c r="C309" s="207" t="s">
        <v>468</v>
      </c>
      <c r="D309" s="238">
        <v>3.7523148148148146E-2</v>
      </c>
      <c r="E309" s="239">
        <v>10.19</v>
      </c>
      <c r="F309" s="240">
        <f>D309/E309</f>
        <v>3.682350161741722E-3</v>
      </c>
      <c r="G309" s="241">
        <v>146</v>
      </c>
      <c r="H309" s="241">
        <v>58</v>
      </c>
      <c r="I309" s="242" t="s">
        <v>487</v>
      </c>
      <c r="J309" s="280"/>
    </row>
    <row r="310" spans="1:10" x14ac:dyDescent="0.15">
      <c r="A310" s="221"/>
      <c r="B310" s="236">
        <v>43043</v>
      </c>
      <c r="C310" s="207" t="s">
        <v>468</v>
      </c>
      <c r="D310" s="238">
        <v>3.1226851851851853E-2</v>
      </c>
      <c r="E310" s="239">
        <v>8.65</v>
      </c>
      <c r="F310" s="240">
        <f>D310/E310</f>
        <v>3.6100406765146647E-3</v>
      </c>
      <c r="G310" s="241">
        <v>145</v>
      </c>
      <c r="H310" s="241">
        <v>51</v>
      </c>
      <c r="I310" s="242" t="s">
        <v>483</v>
      </c>
      <c r="J310" s="280"/>
    </row>
    <row r="311" spans="1:10" ht="14" thickBot="1" x14ac:dyDescent="0.2">
      <c r="A311" s="221"/>
      <c r="B311" s="256">
        <v>43044</v>
      </c>
      <c r="C311" s="257"/>
      <c r="D311" s="258"/>
      <c r="E311" s="259"/>
      <c r="F311" s="260"/>
      <c r="G311" s="261"/>
      <c r="H311" s="261"/>
      <c r="I311" s="262"/>
      <c r="J311" s="280"/>
    </row>
    <row r="312" spans="1:10" ht="14" thickBot="1" x14ac:dyDescent="0.2">
      <c r="A312" s="309">
        <f>A305+1</f>
        <v>45</v>
      </c>
      <c r="B312" s="229">
        <v>43045</v>
      </c>
      <c r="C312" s="206" t="s">
        <v>468</v>
      </c>
      <c r="D312" s="231">
        <v>2.9062500000000002E-2</v>
      </c>
      <c r="E312" s="232">
        <v>8.23</v>
      </c>
      <c r="F312" s="240">
        <f>D312/E312</f>
        <v>3.5312879708383959E-3</v>
      </c>
      <c r="G312" s="241">
        <v>138</v>
      </c>
      <c r="H312" s="234">
        <v>49</v>
      </c>
      <c r="I312" s="235" t="s">
        <v>487</v>
      </c>
      <c r="J312" s="280"/>
    </row>
    <row r="313" spans="1:10" x14ac:dyDescent="0.15">
      <c r="A313" s="307" t="s">
        <v>11</v>
      </c>
      <c r="B313" s="236">
        <v>43046</v>
      </c>
      <c r="C313" s="237"/>
      <c r="D313" s="238"/>
      <c r="E313" s="239"/>
      <c r="F313" s="240"/>
      <c r="G313" s="241"/>
      <c r="H313" s="241"/>
      <c r="I313" s="242"/>
      <c r="J313" s="280"/>
    </row>
    <row r="314" spans="1:10" ht="14" thickBot="1" x14ac:dyDescent="0.2">
      <c r="A314" s="310">
        <f>SUM(E312:E318)</f>
        <v>28.740000000000002</v>
      </c>
      <c r="B314" s="236">
        <v>43047</v>
      </c>
      <c r="C314" s="237"/>
      <c r="D314" s="238"/>
      <c r="E314" s="239"/>
      <c r="F314" s="240"/>
      <c r="G314" s="241"/>
      <c r="H314" s="241"/>
      <c r="I314" s="242"/>
      <c r="J314" s="280"/>
    </row>
    <row r="315" spans="1:10" x14ac:dyDescent="0.15">
      <c r="A315" s="308" t="s">
        <v>492</v>
      </c>
      <c r="B315" s="236">
        <v>43048</v>
      </c>
      <c r="C315" s="207" t="s">
        <v>468</v>
      </c>
      <c r="D315" s="238">
        <v>3.7256944444444447E-2</v>
      </c>
      <c r="E315" s="239">
        <v>10.19</v>
      </c>
      <c r="F315" s="240">
        <f>D315/E315</f>
        <v>3.6562261476392982E-3</v>
      </c>
      <c r="G315" s="241">
        <v>146</v>
      </c>
      <c r="H315" s="241">
        <v>60</v>
      </c>
      <c r="I315" s="242" t="s">
        <v>487</v>
      </c>
      <c r="J315" s="280"/>
    </row>
    <row r="316" spans="1:10" ht="14" thickBot="1" x14ac:dyDescent="0.2">
      <c r="A316" s="306">
        <f>SUM(H312:H318)</f>
        <v>171</v>
      </c>
      <c r="B316" s="236">
        <v>43049</v>
      </c>
      <c r="C316" s="237"/>
      <c r="D316" s="238"/>
      <c r="E316" s="239"/>
      <c r="F316" s="240"/>
      <c r="G316" s="241"/>
      <c r="H316" s="241"/>
      <c r="I316" s="242"/>
      <c r="J316" s="280"/>
    </row>
    <row r="317" spans="1:10" x14ac:dyDescent="0.15">
      <c r="B317" s="236">
        <v>43050</v>
      </c>
      <c r="C317" s="207" t="s">
        <v>469</v>
      </c>
      <c r="D317" s="238">
        <v>3.6608796296296299E-2</v>
      </c>
      <c r="E317" s="239">
        <v>10.32</v>
      </c>
      <c r="F317" s="240">
        <f>D317/E317</f>
        <v>3.5473639821992538E-3</v>
      </c>
      <c r="G317" s="241">
        <v>141</v>
      </c>
      <c r="H317" s="241">
        <v>62</v>
      </c>
      <c r="I317" s="242" t="s">
        <v>487</v>
      </c>
      <c r="J317" s="280"/>
    </row>
    <row r="318" spans="1:10" ht="14" thickBot="1" x14ac:dyDescent="0.2">
      <c r="B318" s="256">
        <v>43051</v>
      </c>
      <c r="C318" s="208"/>
      <c r="D318" s="258"/>
      <c r="E318" s="259"/>
      <c r="F318" s="260"/>
      <c r="G318" s="261"/>
      <c r="H318" s="261"/>
      <c r="I318" s="262"/>
      <c r="J318" s="280"/>
    </row>
    <row r="319" spans="1:10" ht="14" thickBot="1" x14ac:dyDescent="0.2">
      <c r="A319" s="309">
        <f>A312+1</f>
        <v>46</v>
      </c>
      <c r="B319" s="229">
        <v>43052</v>
      </c>
      <c r="C319" s="230"/>
      <c r="D319" s="281"/>
      <c r="E319" s="282"/>
      <c r="F319" s="283"/>
      <c r="G319" s="284"/>
      <c r="H319" s="311"/>
      <c r="I319" s="285"/>
      <c r="J319" s="280"/>
    </row>
    <row r="320" spans="1:10" x14ac:dyDescent="0.15">
      <c r="A320" s="307" t="s">
        <v>11</v>
      </c>
      <c r="B320" s="236">
        <v>43053</v>
      </c>
      <c r="C320" s="207" t="s">
        <v>468</v>
      </c>
      <c r="D320" s="238">
        <v>3.0729166666666669E-2</v>
      </c>
      <c r="E320" s="301">
        <v>8.6300000000000008</v>
      </c>
      <c r="F320" s="240">
        <f>D320/E320</f>
        <v>3.5607377365778291E-3</v>
      </c>
      <c r="G320" s="241">
        <v>144</v>
      </c>
      <c r="H320" s="241">
        <v>47</v>
      </c>
      <c r="I320" s="242" t="s">
        <v>483</v>
      </c>
      <c r="J320" s="280"/>
    </row>
    <row r="321" spans="1:10" ht="14" thickBot="1" x14ac:dyDescent="0.2">
      <c r="A321" s="310">
        <f>SUM(E319:E325)</f>
        <v>28.840000000000003</v>
      </c>
      <c r="B321" s="236">
        <v>43054</v>
      </c>
      <c r="C321" s="237"/>
      <c r="D321" s="238"/>
      <c r="E321" s="239"/>
      <c r="F321" s="240"/>
      <c r="G321" s="241"/>
      <c r="H321" s="241"/>
      <c r="I321" s="242"/>
      <c r="J321" s="280"/>
    </row>
    <row r="322" spans="1:10" x14ac:dyDescent="0.15">
      <c r="A322" s="308" t="s">
        <v>492</v>
      </c>
      <c r="B322" s="236">
        <v>43055</v>
      </c>
      <c r="C322" s="237"/>
      <c r="D322" s="238"/>
      <c r="E322" s="239"/>
      <c r="F322" s="240"/>
      <c r="G322" s="241"/>
      <c r="H322" s="241"/>
      <c r="I322" s="242"/>
      <c r="J322" s="280"/>
    </row>
    <row r="323" spans="1:10" ht="14" thickBot="1" x14ac:dyDescent="0.2">
      <c r="A323" s="306">
        <f>SUM(H319:H325)</f>
        <v>164</v>
      </c>
      <c r="B323" s="236">
        <v>43056</v>
      </c>
      <c r="C323" s="237"/>
      <c r="D323" s="238"/>
      <c r="E323" s="239"/>
      <c r="F323" s="240"/>
      <c r="G323" s="241"/>
      <c r="H323" s="241"/>
      <c r="I323" s="242"/>
      <c r="J323" s="280"/>
    </row>
    <row r="324" spans="1:10" x14ac:dyDescent="0.15">
      <c r="B324" s="236">
        <v>43057</v>
      </c>
      <c r="C324" s="207" t="s">
        <v>468</v>
      </c>
      <c r="D324" s="238">
        <v>3.2106481481481479E-2</v>
      </c>
      <c r="E324" s="239">
        <v>9.06</v>
      </c>
      <c r="F324" s="240">
        <f>D324/E324</f>
        <v>3.5437617529229005E-3</v>
      </c>
      <c r="G324" s="241">
        <v>143</v>
      </c>
      <c r="H324" s="241">
        <v>53</v>
      </c>
      <c r="I324" s="242" t="s">
        <v>487</v>
      </c>
      <c r="J324" s="280"/>
    </row>
    <row r="325" spans="1:10" ht="14" thickBot="1" x14ac:dyDescent="0.2">
      <c r="B325" s="256">
        <v>43058</v>
      </c>
      <c r="C325" s="208" t="s">
        <v>469</v>
      </c>
      <c r="D325" s="54">
        <v>4.1701388888888885E-2</v>
      </c>
      <c r="E325" s="239">
        <v>11.15</v>
      </c>
      <c r="F325" s="260">
        <f>D325/E325</f>
        <v>3.7400348779272541E-3</v>
      </c>
      <c r="G325" s="241">
        <v>140</v>
      </c>
      <c r="H325" s="241">
        <v>64</v>
      </c>
      <c r="I325" s="242" t="s">
        <v>483</v>
      </c>
      <c r="J325" s="280"/>
    </row>
    <row r="326" spans="1:10" ht="14" thickBot="1" x14ac:dyDescent="0.2">
      <c r="A326" s="309">
        <f>A319+1</f>
        <v>47</v>
      </c>
      <c r="B326" s="229">
        <v>43059</v>
      </c>
      <c r="C326" s="230"/>
      <c r="D326" s="281"/>
      <c r="E326" s="282"/>
      <c r="F326" s="283"/>
      <c r="G326" s="284"/>
      <c r="H326" s="311"/>
      <c r="I326" s="285"/>
      <c r="J326" s="280"/>
    </row>
    <row r="327" spans="1:10" x14ac:dyDescent="0.15">
      <c r="A327" s="307" t="s">
        <v>11</v>
      </c>
      <c r="B327" s="236">
        <v>43060</v>
      </c>
      <c r="C327" s="237"/>
      <c r="D327" s="238"/>
      <c r="E327" s="239"/>
      <c r="F327" s="240"/>
      <c r="G327" s="241"/>
      <c r="H327" s="241"/>
      <c r="I327" s="242"/>
      <c r="J327" s="280"/>
    </row>
    <row r="328" spans="1:10" ht="14" thickBot="1" x14ac:dyDescent="0.2">
      <c r="A328" s="310">
        <f>SUM(E326:E332)</f>
        <v>19.420000000000002</v>
      </c>
      <c r="B328" s="236">
        <v>43061</v>
      </c>
      <c r="C328" s="207" t="s">
        <v>468</v>
      </c>
      <c r="D328" s="238">
        <v>2.9872685185185183E-2</v>
      </c>
      <c r="E328" s="239">
        <v>8.27</v>
      </c>
      <c r="F328" s="240">
        <f>D328/E328</f>
        <v>3.6121747503246896E-3</v>
      </c>
      <c r="G328" s="241">
        <v>143</v>
      </c>
      <c r="H328" s="241">
        <v>49</v>
      </c>
      <c r="I328" s="242" t="s">
        <v>483</v>
      </c>
      <c r="J328" s="280"/>
    </row>
    <row r="329" spans="1:10" x14ac:dyDescent="0.15">
      <c r="A329" s="308" t="s">
        <v>492</v>
      </c>
      <c r="B329" s="236">
        <v>43062</v>
      </c>
      <c r="C329" s="237"/>
      <c r="D329" s="238"/>
      <c r="E329" s="239"/>
      <c r="F329" s="240"/>
      <c r="G329" s="241"/>
      <c r="H329" s="241"/>
      <c r="I329" s="242"/>
      <c r="J329" s="280"/>
    </row>
    <row r="330" spans="1:10" ht="14" thickBot="1" x14ac:dyDescent="0.2">
      <c r="A330" s="306">
        <f>SUM(H326:H332)</f>
        <v>111</v>
      </c>
      <c r="B330" s="236">
        <v>43063</v>
      </c>
      <c r="C330" s="237"/>
      <c r="D330" s="238"/>
      <c r="E330" s="239"/>
      <c r="F330" s="240"/>
      <c r="G330" s="241"/>
      <c r="H330" s="241"/>
      <c r="I330" s="242"/>
      <c r="J330" s="280"/>
    </row>
    <row r="331" spans="1:10" x14ac:dyDescent="0.15">
      <c r="B331" s="236">
        <v>43064</v>
      </c>
      <c r="C331" s="207" t="s">
        <v>468</v>
      </c>
      <c r="D331" s="238">
        <v>4.2187499999999996E-2</v>
      </c>
      <c r="E331" s="239">
        <v>11.15</v>
      </c>
      <c r="F331" s="240">
        <f>D331/E331</f>
        <v>3.7836322869955153E-3</v>
      </c>
      <c r="G331" s="241">
        <v>144</v>
      </c>
      <c r="H331" s="241">
        <v>62</v>
      </c>
      <c r="I331" s="242" t="s">
        <v>483</v>
      </c>
      <c r="J331" s="280"/>
    </row>
    <row r="332" spans="1:10" ht="14" thickBot="1" x14ac:dyDescent="0.2">
      <c r="B332" s="256">
        <v>43065</v>
      </c>
      <c r="C332" s="257"/>
      <c r="D332" s="238"/>
      <c r="E332" s="239"/>
      <c r="F332" s="240"/>
      <c r="G332" s="241"/>
      <c r="H332" s="241"/>
      <c r="I332" s="242"/>
      <c r="J332" s="280"/>
    </row>
    <row r="333" spans="1:10" ht="14" thickBot="1" x14ac:dyDescent="0.2">
      <c r="A333" s="309">
        <f>A326+1</f>
        <v>48</v>
      </c>
      <c r="B333" s="229">
        <v>43066</v>
      </c>
      <c r="C333" s="230"/>
      <c r="D333" s="281"/>
      <c r="E333" s="282"/>
      <c r="F333" s="283"/>
      <c r="G333" s="284"/>
      <c r="H333" s="311"/>
      <c r="I333" s="285"/>
      <c r="J333" s="280"/>
    </row>
    <row r="334" spans="1:10" x14ac:dyDescent="0.15">
      <c r="A334" s="307" t="s">
        <v>11</v>
      </c>
      <c r="B334" s="236">
        <v>43067</v>
      </c>
      <c r="C334" s="237"/>
      <c r="D334" s="238"/>
      <c r="E334" s="239"/>
      <c r="F334" s="240"/>
      <c r="G334" s="241"/>
      <c r="H334" s="241"/>
      <c r="I334" s="242"/>
      <c r="J334" s="280"/>
    </row>
    <row r="335" spans="1:10" ht="14" thickBot="1" x14ac:dyDescent="0.2">
      <c r="A335" s="310">
        <f>SUM(E333:E342)</f>
        <v>33.589999999999996</v>
      </c>
      <c r="B335" s="236">
        <v>43068</v>
      </c>
      <c r="C335" s="207" t="s">
        <v>491</v>
      </c>
      <c r="D335" s="238">
        <v>1.2118055555555556E-2</v>
      </c>
      <c r="E335" s="239">
        <v>2.25</v>
      </c>
      <c r="F335" s="84" t="s">
        <v>437</v>
      </c>
      <c r="G335" s="302" t="s">
        <v>437</v>
      </c>
      <c r="H335" s="302"/>
      <c r="I335" s="242" t="s">
        <v>483</v>
      </c>
      <c r="J335" s="280"/>
    </row>
    <row r="336" spans="1:10" x14ac:dyDescent="0.15">
      <c r="A336" s="308" t="s">
        <v>492</v>
      </c>
      <c r="B336" s="236">
        <v>43068</v>
      </c>
      <c r="C336" s="207" t="s">
        <v>469</v>
      </c>
      <c r="D336" s="238">
        <v>2.6562499999999999E-2</v>
      </c>
      <c r="E336" s="239">
        <v>8.18</v>
      </c>
      <c r="F336" s="240">
        <f>D336/E336</f>
        <v>3.2472493887530565E-3</v>
      </c>
      <c r="G336" s="241">
        <v>150</v>
      </c>
      <c r="H336" s="241">
        <v>52</v>
      </c>
      <c r="I336" s="242" t="s">
        <v>483</v>
      </c>
      <c r="J336" s="280"/>
    </row>
    <row r="337" spans="1:10" ht="14" thickBot="1" x14ac:dyDescent="0.2">
      <c r="A337" s="306">
        <f>SUM(H333:H342)</f>
        <v>153</v>
      </c>
      <c r="B337" s="236">
        <v>43069</v>
      </c>
      <c r="C337" s="207"/>
      <c r="D337" s="238"/>
      <c r="E337" s="239"/>
      <c r="F337" s="240"/>
      <c r="G337" s="241"/>
      <c r="H337" s="241"/>
      <c r="I337" s="242"/>
      <c r="J337" s="280"/>
    </row>
    <row r="338" spans="1:10" x14ac:dyDescent="0.15">
      <c r="B338" s="236">
        <v>43070</v>
      </c>
      <c r="C338" s="207" t="s">
        <v>491</v>
      </c>
      <c r="D338" s="238">
        <v>1.3738425925925926E-2</v>
      </c>
      <c r="E338" s="239">
        <v>2.7</v>
      </c>
      <c r="F338" s="84" t="s">
        <v>437</v>
      </c>
      <c r="G338" s="302" t="s">
        <v>437</v>
      </c>
      <c r="H338" s="302"/>
      <c r="I338" s="242" t="s">
        <v>487</v>
      </c>
      <c r="J338" s="280"/>
    </row>
    <row r="339" spans="1:10" x14ac:dyDescent="0.15">
      <c r="B339" s="236">
        <v>43070</v>
      </c>
      <c r="C339" s="207" t="s">
        <v>468</v>
      </c>
      <c r="D339" s="238">
        <v>3.7187499999999998E-2</v>
      </c>
      <c r="E339" s="239">
        <v>10.16</v>
      </c>
      <c r="F339" s="240">
        <f>D339/E339</f>
        <v>3.6601870078740153E-3</v>
      </c>
      <c r="G339" s="241">
        <v>158</v>
      </c>
      <c r="H339" s="241">
        <v>57</v>
      </c>
      <c r="I339" s="242" t="s">
        <v>487</v>
      </c>
      <c r="J339" s="280"/>
    </row>
    <row r="340" spans="1:10" x14ac:dyDescent="0.15">
      <c r="B340" s="236">
        <v>43071</v>
      </c>
      <c r="C340" s="237"/>
      <c r="D340" s="238"/>
      <c r="E340" s="239"/>
      <c r="F340" s="240"/>
      <c r="G340" s="241"/>
      <c r="H340" s="241"/>
      <c r="I340" s="242"/>
      <c r="J340" s="280"/>
    </row>
    <row r="341" spans="1:10" x14ac:dyDescent="0.15">
      <c r="B341" s="236">
        <v>43072</v>
      </c>
      <c r="C341" s="303" t="s">
        <v>491</v>
      </c>
      <c r="D341" s="238">
        <v>1.1898148148148149E-2</v>
      </c>
      <c r="E341" s="239">
        <v>2.31</v>
      </c>
      <c r="F341" s="84" t="s">
        <v>437</v>
      </c>
      <c r="G341" s="302" t="s">
        <v>437</v>
      </c>
      <c r="H341" s="302"/>
      <c r="I341" s="242" t="s">
        <v>487</v>
      </c>
      <c r="J341" s="280"/>
    </row>
    <row r="342" spans="1:10" ht="14" thickBot="1" x14ac:dyDescent="0.2">
      <c r="B342" s="256">
        <v>43072</v>
      </c>
      <c r="C342" s="208" t="s">
        <v>468</v>
      </c>
      <c r="D342" s="238">
        <v>3.0081018518518521E-2</v>
      </c>
      <c r="E342" s="239">
        <v>7.99</v>
      </c>
      <c r="F342" s="260">
        <f>D342/E342</f>
        <v>3.7648333565104531E-3</v>
      </c>
      <c r="G342" s="241">
        <v>140</v>
      </c>
      <c r="H342" s="241">
        <v>44</v>
      </c>
      <c r="I342" s="242" t="s">
        <v>487</v>
      </c>
      <c r="J342" s="280"/>
    </row>
    <row r="343" spans="1:10" ht="14" thickBot="1" x14ac:dyDescent="0.2">
      <c r="A343" s="309">
        <f>A333+1</f>
        <v>49</v>
      </c>
      <c r="B343" s="229">
        <v>43073</v>
      </c>
      <c r="C343" s="230"/>
      <c r="D343" s="281"/>
      <c r="E343" s="282"/>
      <c r="F343" s="283"/>
      <c r="G343" s="284"/>
      <c r="H343" s="311"/>
      <c r="I343" s="304"/>
      <c r="J343" s="280"/>
    </row>
    <row r="344" spans="1:10" x14ac:dyDescent="0.15">
      <c r="A344" s="307" t="s">
        <v>11</v>
      </c>
      <c r="B344" s="236">
        <v>43074</v>
      </c>
      <c r="C344" s="207" t="s">
        <v>491</v>
      </c>
      <c r="D344" s="238">
        <v>1.6747685185185185E-2</v>
      </c>
      <c r="E344" s="239">
        <v>2.94</v>
      </c>
      <c r="F344" s="84" t="s">
        <v>437</v>
      </c>
      <c r="G344" s="302" t="s">
        <v>437</v>
      </c>
      <c r="H344" s="302" t="s">
        <v>437</v>
      </c>
      <c r="I344" s="305" t="s">
        <v>487</v>
      </c>
      <c r="J344" s="280"/>
    </row>
    <row r="345" spans="1:10" ht="14" thickBot="1" x14ac:dyDescent="0.2">
      <c r="A345" s="310">
        <f>SUM(E343:E350)</f>
        <v>25.63</v>
      </c>
      <c r="B345" s="236">
        <v>43075</v>
      </c>
      <c r="C345" s="237"/>
      <c r="D345" s="238"/>
      <c r="E345" s="239"/>
      <c r="F345" s="240"/>
      <c r="G345" s="241"/>
      <c r="H345" s="241"/>
      <c r="I345" s="305"/>
      <c r="J345" s="280"/>
    </row>
    <row r="346" spans="1:10" x14ac:dyDescent="0.15">
      <c r="A346" s="308" t="s">
        <v>492</v>
      </c>
      <c r="B346" s="236">
        <v>43076</v>
      </c>
      <c r="C346" s="207" t="s">
        <v>491</v>
      </c>
      <c r="D346" s="238">
        <v>1.5960648148148151E-2</v>
      </c>
      <c r="E346" s="239">
        <v>2.78</v>
      </c>
      <c r="F346" s="84" t="s">
        <v>437</v>
      </c>
      <c r="G346" s="302" t="s">
        <v>437</v>
      </c>
      <c r="H346" s="302" t="s">
        <v>437</v>
      </c>
      <c r="I346" s="305" t="s">
        <v>487</v>
      </c>
      <c r="J346" s="280"/>
    </row>
    <row r="347" spans="1:10" ht="14" thickBot="1" x14ac:dyDescent="0.2">
      <c r="A347" s="306">
        <f>SUM(H343:H350)</f>
        <v>94</v>
      </c>
      <c r="B347" s="236">
        <v>43077</v>
      </c>
      <c r="C347" s="207" t="s">
        <v>468</v>
      </c>
      <c r="D347" s="238">
        <v>3.3252314814814811E-2</v>
      </c>
      <c r="E347" s="239">
        <v>9.27</v>
      </c>
      <c r="F347" s="240">
        <f>D347/E347</f>
        <v>3.5870889767869269E-3</v>
      </c>
      <c r="G347" s="302" t="s">
        <v>437</v>
      </c>
      <c r="H347" s="302">
        <v>54</v>
      </c>
      <c r="I347" s="305" t="s">
        <v>487</v>
      </c>
      <c r="J347" s="280"/>
    </row>
    <row r="348" spans="1:10" x14ac:dyDescent="0.15">
      <c r="B348" s="236">
        <v>43078</v>
      </c>
      <c r="C348" s="237"/>
      <c r="D348" s="238"/>
      <c r="E348" s="239"/>
      <c r="F348" s="240"/>
      <c r="G348" s="241"/>
      <c r="H348" s="241"/>
      <c r="I348" s="305"/>
      <c r="J348" s="280"/>
    </row>
    <row r="349" spans="1:10" x14ac:dyDescent="0.15">
      <c r="B349" s="294">
        <v>43079</v>
      </c>
      <c r="C349" s="303" t="s">
        <v>491</v>
      </c>
      <c r="D349" s="238">
        <v>1.5266203703703705E-2</v>
      </c>
      <c r="E349" s="239">
        <v>2.62</v>
      </c>
      <c r="F349" s="84" t="s">
        <v>437</v>
      </c>
      <c r="G349" s="302" t="s">
        <v>437</v>
      </c>
      <c r="H349" s="302" t="s">
        <v>437</v>
      </c>
      <c r="I349" s="305" t="s">
        <v>487</v>
      </c>
      <c r="J349" s="280"/>
    </row>
    <row r="350" spans="1:10" ht="14" thickBot="1" x14ac:dyDescent="0.2">
      <c r="B350" s="256">
        <v>43079</v>
      </c>
      <c r="C350" s="208" t="s">
        <v>468</v>
      </c>
      <c r="D350" s="238">
        <v>3.2256944444444442E-2</v>
      </c>
      <c r="E350" s="239">
        <v>8.02</v>
      </c>
      <c r="F350" s="260">
        <f>D350/E350</f>
        <v>4.0220628983097815E-3</v>
      </c>
      <c r="G350" s="241">
        <v>162</v>
      </c>
      <c r="H350" s="241">
        <v>40</v>
      </c>
      <c r="I350" s="305" t="s">
        <v>487</v>
      </c>
      <c r="J350" s="280"/>
    </row>
    <row r="351" spans="1:10" ht="14" thickBot="1" x14ac:dyDescent="0.2">
      <c r="A351" s="309">
        <f>A343+1</f>
        <v>50</v>
      </c>
      <c r="B351" s="229">
        <v>43080</v>
      </c>
      <c r="C351" s="206"/>
      <c r="D351" s="52"/>
      <c r="E351" s="320"/>
      <c r="F351" s="81"/>
      <c r="G351" s="321"/>
      <c r="H351" s="322"/>
      <c r="I351" s="304"/>
      <c r="J351" s="280"/>
    </row>
    <row r="352" spans="1:10" x14ac:dyDescent="0.15">
      <c r="A352" s="307" t="s">
        <v>11</v>
      </c>
      <c r="B352" s="236">
        <v>43081</v>
      </c>
      <c r="C352" s="303" t="s">
        <v>491</v>
      </c>
      <c r="D352" s="54">
        <v>1.5625E-2</v>
      </c>
      <c r="E352" s="301">
        <v>3.0150000000000001</v>
      </c>
      <c r="F352" s="84" t="s">
        <v>437</v>
      </c>
      <c r="G352" s="302" t="s">
        <v>437</v>
      </c>
      <c r="H352" s="302" t="s">
        <v>437</v>
      </c>
      <c r="I352" s="305" t="s">
        <v>483</v>
      </c>
      <c r="J352" s="280"/>
    </row>
    <row r="353" spans="1:10" ht="14" thickBot="1" x14ac:dyDescent="0.2">
      <c r="A353" s="310">
        <f>SUM(E351:E357)</f>
        <v>6.0150000000000006</v>
      </c>
      <c r="B353" s="236">
        <v>43082</v>
      </c>
      <c r="C353" s="207"/>
      <c r="D353" s="54"/>
      <c r="E353" s="301"/>
      <c r="F353" s="84"/>
      <c r="G353" s="302"/>
      <c r="H353" s="302"/>
      <c r="I353" s="305"/>
      <c r="J353" s="280"/>
    </row>
    <row r="354" spans="1:10" x14ac:dyDescent="0.15">
      <c r="A354" s="308" t="s">
        <v>492</v>
      </c>
      <c r="B354" s="236">
        <v>43083</v>
      </c>
      <c r="C354" s="207"/>
      <c r="D354" s="54"/>
      <c r="E354" s="301"/>
      <c r="F354" s="84"/>
      <c r="G354" s="302"/>
      <c r="H354" s="302"/>
      <c r="I354" s="305"/>
      <c r="J354" s="280"/>
    </row>
    <row r="355" spans="1:10" ht="14" thickBot="1" x14ac:dyDescent="0.2">
      <c r="A355" s="306">
        <f>SUM(H351:H357)</f>
        <v>0</v>
      </c>
      <c r="B355" s="236">
        <v>43084</v>
      </c>
      <c r="C355" s="323"/>
      <c r="D355" s="187"/>
      <c r="E355" s="324"/>
      <c r="F355" s="325"/>
      <c r="G355" s="326"/>
      <c r="H355" s="326"/>
      <c r="I355" s="305"/>
      <c r="J355" s="280"/>
    </row>
    <row r="356" spans="1:10" x14ac:dyDescent="0.15">
      <c r="B356" s="236">
        <v>43085</v>
      </c>
      <c r="C356" s="323"/>
      <c r="D356" s="187"/>
      <c r="E356" s="324"/>
      <c r="F356" s="325"/>
      <c r="G356" s="326"/>
      <c r="H356" s="326"/>
      <c r="I356" s="305"/>
      <c r="J356" s="280"/>
    </row>
    <row r="357" spans="1:10" ht="14" thickBot="1" x14ac:dyDescent="0.2">
      <c r="B357" s="294">
        <v>43086</v>
      </c>
      <c r="C357" s="327" t="s">
        <v>491</v>
      </c>
      <c r="D357" s="187">
        <v>1.462962962962963E-2</v>
      </c>
      <c r="E357" s="324">
        <v>3</v>
      </c>
      <c r="F357" s="328" t="s">
        <v>437</v>
      </c>
      <c r="G357" s="326" t="s">
        <v>437</v>
      </c>
      <c r="H357" s="326" t="s">
        <v>437</v>
      </c>
      <c r="I357" s="305" t="s">
        <v>487</v>
      </c>
      <c r="J357" s="280"/>
    </row>
    <row r="358" spans="1:10" ht="14" thickBot="1" x14ac:dyDescent="0.2">
      <c r="A358" s="309">
        <f>A351+1</f>
        <v>51</v>
      </c>
      <c r="B358" s="295">
        <v>43087</v>
      </c>
      <c r="C358" s="329"/>
      <c r="D358" s="190"/>
      <c r="E358" s="330"/>
      <c r="F358" s="331"/>
      <c r="G358" s="332"/>
      <c r="H358" s="333"/>
      <c r="I358" s="304"/>
      <c r="J358" s="280"/>
    </row>
    <row r="359" spans="1:10" x14ac:dyDescent="0.15">
      <c r="A359" s="307" t="s">
        <v>11</v>
      </c>
      <c r="B359" s="296">
        <v>43088</v>
      </c>
      <c r="C359" s="334"/>
      <c r="D359" s="187"/>
      <c r="E359" s="324"/>
      <c r="F359" s="325"/>
      <c r="G359" s="326"/>
      <c r="H359" s="326"/>
      <c r="I359" s="305"/>
      <c r="J359" s="280"/>
    </row>
    <row r="360" spans="1:10" ht="14" thickBot="1" x14ac:dyDescent="0.2">
      <c r="A360" s="310">
        <f>SUM(E358:E364)</f>
        <v>0</v>
      </c>
      <c r="B360" s="296">
        <v>43089</v>
      </c>
      <c r="C360" s="334"/>
      <c r="D360" s="187"/>
      <c r="E360" s="324"/>
      <c r="F360" s="325"/>
      <c r="G360" s="326"/>
      <c r="H360" s="326"/>
      <c r="I360" s="305"/>
      <c r="J360" s="280"/>
    </row>
    <row r="361" spans="1:10" x14ac:dyDescent="0.15">
      <c r="A361" s="308" t="s">
        <v>492</v>
      </c>
      <c r="B361" s="296">
        <v>43090</v>
      </c>
      <c r="C361" s="334"/>
      <c r="D361" s="187"/>
      <c r="E361" s="324"/>
      <c r="F361" s="325"/>
      <c r="G361" s="326"/>
      <c r="H361" s="326"/>
      <c r="I361" s="305"/>
      <c r="J361" s="280"/>
    </row>
    <row r="362" spans="1:10" ht="14" thickBot="1" x14ac:dyDescent="0.2">
      <c r="A362" s="306">
        <f>SUM(H358:H364)</f>
        <v>0</v>
      </c>
      <c r="B362" s="296">
        <v>43091</v>
      </c>
      <c r="C362" s="334"/>
      <c r="D362" s="187"/>
      <c r="E362" s="324"/>
      <c r="F362" s="325"/>
      <c r="G362" s="326"/>
      <c r="H362" s="326"/>
      <c r="I362" s="305"/>
      <c r="J362" s="280"/>
    </row>
    <row r="363" spans="1:10" x14ac:dyDescent="0.15">
      <c r="B363" s="296">
        <v>43092</v>
      </c>
      <c r="C363" s="334"/>
      <c r="D363" s="187"/>
      <c r="E363" s="324"/>
      <c r="F363" s="325"/>
      <c r="G363" s="326"/>
      <c r="H363" s="326"/>
      <c r="I363" s="305"/>
      <c r="J363" s="280"/>
    </row>
    <row r="364" spans="1:10" ht="14" thickBot="1" x14ac:dyDescent="0.2">
      <c r="B364" s="296">
        <v>43093</v>
      </c>
      <c r="C364" s="335"/>
      <c r="D364" s="336"/>
      <c r="E364" s="337"/>
      <c r="F364" s="338"/>
      <c r="G364" s="339"/>
      <c r="H364" s="339"/>
      <c r="I364" s="340"/>
      <c r="J364" s="280"/>
    </row>
    <row r="365" spans="1:10" ht="14" thickBot="1" x14ac:dyDescent="0.2">
      <c r="A365" s="309">
        <f>A358+1</f>
        <v>52</v>
      </c>
      <c r="B365" s="295">
        <v>43094</v>
      </c>
      <c r="C365" s="329"/>
      <c r="D365" s="341"/>
      <c r="E365" s="342"/>
      <c r="F365" s="343"/>
      <c r="G365" s="344"/>
      <c r="H365" s="345"/>
      <c r="I365" s="346"/>
      <c r="J365" s="280"/>
    </row>
    <row r="366" spans="1:10" x14ac:dyDescent="0.15">
      <c r="A366" s="307" t="s">
        <v>11</v>
      </c>
      <c r="B366" s="296">
        <v>43095</v>
      </c>
      <c r="C366" s="334"/>
      <c r="D366" s="187"/>
      <c r="E366" s="324"/>
      <c r="F366" s="325"/>
      <c r="G366" s="326"/>
      <c r="H366" s="326"/>
      <c r="I366" s="305"/>
      <c r="J366" s="280"/>
    </row>
    <row r="367" spans="1:10" ht="14" thickBot="1" x14ac:dyDescent="0.2">
      <c r="A367" s="310">
        <f>SUM(E365:E371)</f>
        <v>19.73</v>
      </c>
      <c r="B367" s="296">
        <v>43096</v>
      </c>
      <c r="C367" s="334" t="s">
        <v>491</v>
      </c>
      <c r="D367" s="187">
        <v>1.1550925925925925E-2</v>
      </c>
      <c r="E367" s="324">
        <v>2.21</v>
      </c>
      <c r="F367" s="325" t="s">
        <v>437</v>
      </c>
      <c r="G367" s="326" t="s">
        <v>437</v>
      </c>
      <c r="H367" s="326" t="s">
        <v>437</v>
      </c>
      <c r="I367" s="305" t="s">
        <v>487</v>
      </c>
      <c r="J367" s="280"/>
    </row>
    <row r="368" spans="1:10" x14ac:dyDescent="0.15">
      <c r="A368" s="308" t="s">
        <v>492</v>
      </c>
      <c r="B368" s="296">
        <v>43097</v>
      </c>
      <c r="C368" s="334" t="s">
        <v>468</v>
      </c>
      <c r="D368" s="187">
        <v>1.2083333333333333E-2</v>
      </c>
      <c r="E368" s="324">
        <v>3.34</v>
      </c>
      <c r="F368" s="240">
        <f>D368/E368</f>
        <v>3.6177644710578844E-3</v>
      </c>
      <c r="G368" s="326">
        <v>150</v>
      </c>
      <c r="H368" s="326" t="s">
        <v>437</v>
      </c>
      <c r="I368" s="305" t="s">
        <v>487</v>
      </c>
    </row>
    <row r="369" spans="1:9" ht="14" thickBot="1" x14ac:dyDescent="0.2">
      <c r="A369" s="306">
        <f>SUM(H365:H371)</f>
        <v>90</v>
      </c>
      <c r="B369" s="296">
        <v>43098</v>
      </c>
      <c r="C369" s="334" t="s">
        <v>491</v>
      </c>
      <c r="D369" s="187">
        <v>1.6458333333333332E-2</v>
      </c>
      <c r="E369" s="324">
        <v>3.28</v>
      </c>
      <c r="F369" s="325" t="s">
        <v>437</v>
      </c>
      <c r="G369" s="326" t="s">
        <v>437</v>
      </c>
      <c r="H369" s="326" t="s">
        <v>437</v>
      </c>
      <c r="I369" s="305" t="s">
        <v>487</v>
      </c>
    </row>
    <row r="370" spans="1:9" x14ac:dyDescent="0.15">
      <c r="B370" s="296">
        <v>43099</v>
      </c>
      <c r="C370" s="334"/>
      <c r="D370" s="187"/>
      <c r="E370" s="324"/>
      <c r="F370" s="325"/>
      <c r="G370" s="326"/>
      <c r="H370" s="326"/>
      <c r="I370" s="305"/>
    </row>
    <row r="371" spans="1:9" ht="14" thickBot="1" x14ac:dyDescent="0.2">
      <c r="B371" s="296">
        <v>43100</v>
      </c>
      <c r="C371" s="347" t="s">
        <v>469</v>
      </c>
      <c r="D371" s="348">
        <v>3.8993055555555552E-2</v>
      </c>
      <c r="E371" s="349">
        <v>10.9</v>
      </c>
      <c r="F371" s="260">
        <f>D371/E371</f>
        <v>3.5773445463812433E-3</v>
      </c>
      <c r="G371" s="350">
        <v>159</v>
      </c>
      <c r="H371" s="350">
        <v>90</v>
      </c>
      <c r="I371" s="351" t="s">
        <v>487</v>
      </c>
    </row>
    <row r="372" spans="1:9" ht="14" thickBot="1" x14ac:dyDescent="0.2">
      <c r="A372" s="309">
        <f>A365+1</f>
        <v>53</v>
      </c>
      <c r="B372" s="295">
        <v>43101</v>
      </c>
      <c r="C372" s="352"/>
      <c r="D372" s="353"/>
      <c r="E372" s="354"/>
      <c r="F372" s="355"/>
      <c r="G372" s="356"/>
      <c r="H372" s="356"/>
      <c r="I372" s="357" t="s">
        <v>475</v>
      </c>
    </row>
    <row r="373" spans="1:9" x14ac:dyDescent="0.15">
      <c r="A373" s="307" t="s">
        <v>11</v>
      </c>
      <c r="B373" s="296">
        <v>43102</v>
      </c>
      <c r="C373" s="334"/>
      <c r="D373" s="187"/>
      <c r="E373" s="324"/>
      <c r="F373" s="325"/>
      <c r="G373" s="326"/>
      <c r="H373" s="326"/>
      <c r="I373" s="305" t="s">
        <v>471</v>
      </c>
    </row>
    <row r="374" spans="1:9" ht="14" thickBot="1" x14ac:dyDescent="0.2">
      <c r="A374" s="310">
        <f>SUM(E372:E378)</f>
        <v>0</v>
      </c>
      <c r="B374" s="296">
        <v>43103</v>
      </c>
      <c r="C374" s="334"/>
      <c r="D374" s="187"/>
      <c r="E374" s="324"/>
      <c r="F374" s="325"/>
      <c r="G374" s="326"/>
      <c r="H374" s="326"/>
      <c r="I374" s="305" t="s">
        <v>455</v>
      </c>
    </row>
    <row r="375" spans="1:9" x14ac:dyDescent="0.15">
      <c r="A375" s="308"/>
      <c r="B375" s="296">
        <v>43104</v>
      </c>
      <c r="C375" s="334"/>
      <c r="D375" s="187"/>
      <c r="E375" s="324"/>
      <c r="F375" s="325"/>
      <c r="G375" s="326"/>
      <c r="H375" s="326"/>
      <c r="I375" s="305" t="s">
        <v>483</v>
      </c>
    </row>
    <row r="376" spans="1:9" ht="14" thickBot="1" x14ac:dyDescent="0.2">
      <c r="A376" s="306"/>
      <c r="B376" s="296">
        <v>43105</v>
      </c>
      <c r="C376" s="334"/>
      <c r="D376" s="187"/>
      <c r="E376" s="324"/>
      <c r="F376" s="325"/>
      <c r="G376" s="326"/>
      <c r="H376" s="326"/>
      <c r="I376" s="305" t="s">
        <v>472</v>
      </c>
    </row>
    <row r="377" spans="1:9" x14ac:dyDescent="0.15">
      <c r="A377" s="299" t="s">
        <v>438</v>
      </c>
      <c r="B377" s="296">
        <v>43106</v>
      </c>
      <c r="C377" s="334"/>
      <c r="D377" s="187"/>
      <c r="E377" s="324"/>
      <c r="F377" s="325"/>
      <c r="G377" s="326"/>
      <c r="H377" s="326"/>
      <c r="I377" s="305" t="s">
        <v>487</v>
      </c>
    </row>
    <row r="378" spans="1:9" ht="14" thickBot="1" x14ac:dyDescent="0.2">
      <c r="A378" s="300">
        <f>A374+A367+A360+A353+A345+A335+A328+A321+A314+A307+A300+A293+A286+A279+A272+A265+A258+A251+A244+A237+A230+A223+A216+A209+A202+A195+A188+A181+A174+A167+A160+A153+A146+A139+A132+A125+A118+A111+A104+A97+A90+A83+A76+A69+A62+A55+A48+A41+A34+A27+A20+A13+A6</f>
        <v>1380.9349999999997</v>
      </c>
      <c r="B378" s="297">
        <v>43107</v>
      </c>
      <c r="C378" s="298"/>
      <c r="D378" s="258"/>
      <c r="E378" s="259"/>
      <c r="F378" s="260"/>
      <c r="G378" s="261"/>
      <c r="H378" s="261"/>
      <c r="I378" s="262"/>
    </row>
    <row r="379" spans="1:9" x14ac:dyDescent="0.15">
      <c r="A379" s="289">
        <f>A378/52</f>
        <v>26.556442307692301</v>
      </c>
      <c r="B379" s="221"/>
      <c r="D379" s="223">
        <f>AVERAGE(D4:D378)</f>
        <v>3.6913580246913574E-2</v>
      </c>
      <c r="E379" s="224">
        <f>AVERAGE(E4:E378)</f>
        <v>10.229148148148152</v>
      </c>
      <c r="F379" s="225">
        <f>AVERAGE(F4:F378)</f>
        <v>3.5740026637229327E-3</v>
      </c>
      <c r="G379" s="226">
        <f>AVERAGE(G4:G378)</f>
        <v>146.50413223140495</v>
      </c>
      <c r="H379" s="226">
        <f>AVERAGE(H4:H378)</f>
        <v>65.274193548387103</v>
      </c>
    </row>
    <row r="380" spans="1:9" x14ac:dyDescent="0.15">
      <c r="B380" s="221"/>
      <c r="D380" s="223"/>
      <c r="E380" s="224"/>
      <c r="F380" s="225"/>
      <c r="G380" s="226"/>
      <c r="H380" s="226">
        <f>SUM(H4:H378)</f>
        <v>8094</v>
      </c>
    </row>
    <row r="381" spans="1:9" x14ac:dyDescent="0.15">
      <c r="B381" s="221"/>
    </row>
    <row r="382" spans="1:9" x14ac:dyDescent="0.15">
      <c r="B382" s="221"/>
    </row>
    <row r="383" spans="1:9" x14ac:dyDescent="0.15">
      <c r="B383" s="221"/>
    </row>
    <row r="384" spans="1:9" x14ac:dyDescent="0.15">
      <c r="B384" s="221"/>
    </row>
    <row r="385" spans="2:9" x14ac:dyDescent="0.15">
      <c r="B385" s="221"/>
    </row>
    <row r="386" spans="2:9" x14ac:dyDescent="0.15">
      <c r="B386" s="221"/>
    </row>
    <row r="387" spans="2:9" x14ac:dyDescent="0.15">
      <c r="B387" s="221"/>
    </row>
    <row r="388" spans="2:9" x14ac:dyDescent="0.15">
      <c r="B388" s="221"/>
    </row>
    <row r="389" spans="2:9" x14ac:dyDescent="0.15">
      <c r="B389" s="221"/>
      <c r="D389" s="220"/>
      <c r="F389" s="220"/>
      <c r="I389" s="220"/>
    </row>
    <row r="390" spans="2:9" x14ac:dyDescent="0.15">
      <c r="B390" s="221"/>
      <c r="D390" s="220"/>
      <c r="F390" s="220"/>
      <c r="I390" s="220"/>
    </row>
    <row r="391" spans="2:9" x14ac:dyDescent="0.15">
      <c r="B391" s="221"/>
      <c r="D391" s="220"/>
      <c r="F391" s="220"/>
      <c r="I391" s="220"/>
    </row>
    <row r="392" spans="2:9" x14ac:dyDescent="0.15">
      <c r="B392" s="221"/>
      <c r="D392" s="220"/>
      <c r="F392" s="220"/>
      <c r="I392" s="220"/>
    </row>
    <row r="393" spans="2:9" x14ac:dyDescent="0.15">
      <c r="B393" s="221"/>
      <c r="D393" s="220"/>
      <c r="F393" s="220"/>
      <c r="I393" s="220"/>
    </row>
    <row r="394" spans="2:9" x14ac:dyDescent="0.15">
      <c r="B394" s="221"/>
      <c r="D394" s="220"/>
      <c r="F394" s="220"/>
      <c r="I394" s="220"/>
    </row>
    <row r="395" spans="2:9" x14ac:dyDescent="0.15">
      <c r="B395" s="221"/>
      <c r="D395" s="220"/>
      <c r="F395" s="220"/>
      <c r="I395" s="220"/>
    </row>
    <row r="396" spans="2:9" x14ac:dyDescent="0.15">
      <c r="B396" s="221"/>
      <c r="D396" s="220"/>
      <c r="F396" s="220"/>
      <c r="I396" s="220"/>
    </row>
    <row r="397" spans="2:9" x14ac:dyDescent="0.15">
      <c r="B397" s="221"/>
      <c r="D397" s="220"/>
      <c r="F397" s="220"/>
      <c r="I397" s="220"/>
    </row>
    <row r="398" spans="2:9" x14ac:dyDescent="0.15">
      <c r="B398" s="221"/>
      <c r="D398" s="220"/>
      <c r="F398" s="220"/>
      <c r="I398" s="220"/>
    </row>
    <row r="399" spans="2:9" x14ac:dyDescent="0.15">
      <c r="B399" s="221"/>
      <c r="D399" s="220"/>
      <c r="F399" s="220"/>
      <c r="I399" s="220"/>
    </row>
    <row r="400" spans="2:9" x14ac:dyDescent="0.15">
      <c r="B400" s="221"/>
      <c r="D400" s="220"/>
      <c r="F400" s="220"/>
      <c r="I400" s="220"/>
    </row>
    <row r="401" spans="2:9" x14ac:dyDescent="0.15">
      <c r="B401" s="221"/>
      <c r="D401" s="220"/>
      <c r="F401" s="220"/>
      <c r="I401" s="220"/>
    </row>
    <row r="402" spans="2:9" x14ac:dyDescent="0.15">
      <c r="B402" s="221"/>
      <c r="D402" s="220"/>
      <c r="F402" s="220"/>
      <c r="I402" s="220"/>
    </row>
    <row r="403" spans="2:9" x14ac:dyDescent="0.15">
      <c r="B403" s="221"/>
      <c r="D403" s="220"/>
      <c r="F403" s="220"/>
      <c r="I403" s="220"/>
    </row>
    <row r="404" spans="2:9" x14ac:dyDescent="0.15">
      <c r="B404" s="221"/>
      <c r="D404" s="220"/>
      <c r="F404" s="220"/>
      <c r="I404" s="220"/>
    </row>
    <row r="405" spans="2:9" x14ac:dyDescent="0.15">
      <c r="B405" s="221"/>
      <c r="D405" s="220"/>
      <c r="F405" s="220"/>
      <c r="I405" s="220"/>
    </row>
    <row r="406" spans="2:9" x14ac:dyDescent="0.15">
      <c r="B406" s="221"/>
      <c r="D406" s="220"/>
      <c r="F406" s="220"/>
      <c r="I406" s="220"/>
    </row>
    <row r="407" spans="2:9" x14ac:dyDescent="0.15">
      <c r="B407" s="221"/>
      <c r="D407" s="220"/>
      <c r="F407" s="220"/>
      <c r="I407" s="220"/>
    </row>
    <row r="408" spans="2:9" x14ac:dyDescent="0.15">
      <c r="B408" s="221"/>
      <c r="D408" s="220"/>
      <c r="F408" s="220"/>
      <c r="I408" s="220"/>
    </row>
    <row r="409" spans="2:9" x14ac:dyDescent="0.15">
      <c r="B409" s="221"/>
      <c r="D409" s="220"/>
      <c r="F409" s="220"/>
      <c r="I409" s="220"/>
    </row>
    <row r="410" spans="2:9" x14ac:dyDescent="0.15">
      <c r="B410" s="221"/>
      <c r="D410" s="220"/>
      <c r="F410" s="220"/>
      <c r="I410" s="220"/>
    </row>
    <row r="411" spans="2:9" x14ac:dyDescent="0.15">
      <c r="B411" s="221"/>
      <c r="D411" s="220"/>
      <c r="F411" s="220"/>
      <c r="I411" s="220"/>
    </row>
    <row r="412" spans="2:9" x14ac:dyDescent="0.15">
      <c r="B412" s="221"/>
      <c r="D412" s="220"/>
      <c r="F412" s="220"/>
      <c r="I412" s="220"/>
    </row>
    <row r="413" spans="2:9" x14ac:dyDescent="0.15">
      <c r="B413" s="221"/>
      <c r="D413" s="220"/>
      <c r="F413" s="220"/>
      <c r="I413" s="220"/>
    </row>
  </sheetData>
  <sheetProtection selectLockedCells="1" selectUnlockedCells="1"/>
  <mergeCells count="8">
    <mergeCell ref="L17:S17"/>
    <mergeCell ref="L19:S19"/>
    <mergeCell ref="L18:S18"/>
    <mergeCell ref="A1:I1"/>
    <mergeCell ref="L7:N7"/>
    <mergeCell ref="O7:Q7"/>
    <mergeCell ref="L13:N13"/>
    <mergeCell ref="O13:Q13"/>
  </mergeCells>
  <phoneticPr fontId="26" type="noConversion"/>
  <conditionalFormatting sqref="A6">
    <cfRule type="cellIs" dxfId="4306" priority="55" operator="greaterThan">
      <formula>65</formula>
    </cfRule>
  </conditionalFormatting>
  <conditionalFormatting sqref="A13">
    <cfRule type="cellIs" dxfId="4305" priority="54" operator="greaterThan">
      <formula>65</formula>
    </cfRule>
  </conditionalFormatting>
  <conditionalFormatting sqref="A20">
    <cfRule type="cellIs" dxfId="4304" priority="53" operator="greaterThan">
      <formula>65</formula>
    </cfRule>
  </conditionalFormatting>
  <conditionalFormatting sqref="A27">
    <cfRule type="cellIs" dxfId="4303" priority="52" operator="greaterThan">
      <formula>65</formula>
    </cfRule>
  </conditionalFormatting>
  <conditionalFormatting sqref="A34">
    <cfRule type="cellIs" dxfId="4302" priority="51" operator="greaterThan">
      <formula>65</formula>
    </cfRule>
  </conditionalFormatting>
  <conditionalFormatting sqref="A41">
    <cfRule type="cellIs" dxfId="4301" priority="50" operator="greaterThan">
      <formula>65</formula>
    </cfRule>
  </conditionalFormatting>
  <conditionalFormatting sqref="A48">
    <cfRule type="cellIs" dxfId="4300" priority="49" operator="greaterThan">
      <formula>65</formula>
    </cfRule>
  </conditionalFormatting>
  <conditionalFormatting sqref="A55">
    <cfRule type="cellIs" dxfId="4299" priority="48" operator="greaterThan">
      <formula>65</formula>
    </cfRule>
  </conditionalFormatting>
  <conditionalFormatting sqref="A62">
    <cfRule type="cellIs" dxfId="4298" priority="47" operator="greaterThan">
      <formula>65</formula>
    </cfRule>
  </conditionalFormatting>
  <conditionalFormatting sqref="A69">
    <cfRule type="cellIs" dxfId="4297" priority="46" operator="greaterThan">
      <formula>65</formula>
    </cfRule>
  </conditionalFormatting>
  <conditionalFormatting sqref="A76">
    <cfRule type="cellIs" dxfId="4296" priority="45" operator="greaterThan">
      <formula>65</formula>
    </cfRule>
  </conditionalFormatting>
  <conditionalFormatting sqref="A83">
    <cfRule type="cellIs" dxfId="4295" priority="44" operator="greaterThan">
      <formula>65</formula>
    </cfRule>
  </conditionalFormatting>
  <conditionalFormatting sqref="A90">
    <cfRule type="cellIs" dxfId="4294" priority="43" operator="greaterThan">
      <formula>65</formula>
    </cfRule>
  </conditionalFormatting>
  <conditionalFormatting sqref="A97">
    <cfRule type="cellIs" dxfId="4293" priority="42" operator="greaterThan">
      <formula>65</formula>
    </cfRule>
  </conditionalFormatting>
  <conditionalFormatting sqref="A104">
    <cfRule type="cellIs" dxfId="4292" priority="41" operator="greaterThan">
      <formula>65</formula>
    </cfRule>
  </conditionalFormatting>
  <conditionalFormatting sqref="A111">
    <cfRule type="cellIs" dxfId="4291" priority="40" operator="greaterThan">
      <formula>65</formula>
    </cfRule>
  </conditionalFormatting>
  <conditionalFormatting sqref="A118">
    <cfRule type="cellIs" dxfId="4290" priority="39" operator="greaterThan">
      <formula>65</formula>
    </cfRule>
  </conditionalFormatting>
  <conditionalFormatting sqref="A125">
    <cfRule type="cellIs" dxfId="4289" priority="38" operator="greaterThan">
      <formula>65</formula>
    </cfRule>
  </conditionalFormatting>
  <conditionalFormatting sqref="A132">
    <cfRule type="cellIs" dxfId="4288" priority="37" operator="greaterThan">
      <formula>65</formula>
    </cfRule>
  </conditionalFormatting>
  <conditionalFormatting sqref="A139">
    <cfRule type="cellIs" dxfId="4287" priority="36" operator="greaterThan">
      <formula>65</formula>
    </cfRule>
  </conditionalFormatting>
  <conditionalFormatting sqref="A146">
    <cfRule type="cellIs" dxfId="4286" priority="35" operator="greaterThan">
      <formula>65</formula>
    </cfRule>
  </conditionalFormatting>
  <conditionalFormatting sqref="A153">
    <cfRule type="cellIs" dxfId="4285" priority="34" operator="greaterThan">
      <formula>65</formula>
    </cfRule>
  </conditionalFormatting>
  <conditionalFormatting sqref="A160">
    <cfRule type="cellIs" dxfId="4284" priority="33" operator="greaterThan">
      <formula>65</formula>
    </cfRule>
  </conditionalFormatting>
  <conditionalFormatting sqref="A167">
    <cfRule type="cellIs" dxfId="4283" priority="32" operator="greaterThan">
      <formula>65</formula>
    </cfRule>
  </conditionalFormatting>
  <conditionalFormatting sqref="A174">
    <cfRule type="cellIs" dxfId="4282" priority="31" operator="greaterThan">
      <formula>65</formula>
    </cfRule>
  </conditionalFormatting>
  <conditionalFormatting sqref="A181">
    <cfRule type="cellIs" dxfId="4281" priority="30" operator="greaterThan">
      <formula>65</formula>
    </cfRule>
  </conditionalFormatting>
  <conditionalFormatting sqref="A188">
    <cfRule type="cellIs" dxfId="4280" priority="29" operator="greaterThan">
      <formula>65</formula>
    </cfRule>
  </conditionalFormatting>
  <conditionalFormatting sqref="A195">
    <cfRule type="cellIs" dxfId="4279" priority="28" operator="greaterThan">
      <formula>65</formula>
    </cfRule>
  </conditionalFormatting>
  <conditionalFormatting sqref="A202">
    <cfRule type="cellIs" dxfId="4278" priority="27" operator="greaterThan">
      <formula>65</formula>
    </cfRule>
  </conditionalFormatting>
  <conditionalFormatting sqref="A209">
    <cfRule type="cellIs" dxfId="4277" priority="26" operator="greaterThan">
      <formula>65</formula>
    </cfRule>
  </conditionalFormatting>
  <conditionalFormatting sqref="A216">
    <cfRule type="cellIs" dxfId="4276" priority="25" operator="greaterThan">
      <formula>65</formula>
    </cfRule>
  </conditionalFormatting>
  <conditionalFormatting sqref="A223">
    <cfRule type="cellIs" dxfId="4275" priority="24" operator="greaterThan">
      <formula>65</formula>
    </cfRule>
  </conditionalFormatting>
  <conditionalFormatting sqref="A230">
    <cfRule type="cellIs" dxfId="4274" priority="23" operator="greaterThan">
      <formula>65</formula>
    </cfRule>
  </conditionalFormatting>
  <conditionalFormatting sqref="A237">
    <cfRule type="cellIs" dxfId="4273" priority="22" operator="greaterThan">
      <formula>65</formula>
    </cfRule>
  </conditionalFormatting>
  <conditionalFormatting sqref="A244">
    <cfRule type="cellIs" dxfId="4272" priority="21" operator="greaterThan">
      <formula>65</formula>
    </cfRule>
  </conditionalFormatting>
  <conditionalFormatting sqref="A251">
    <cfRule type="cellIs" dxfId="4271" priority="20" operator="greaterThan">
      <formula>65</formula>
    </cfRule>
  </conditionalFormatting>
  <conditionalFormatting sqref="A258">
    <cfRule type="cellIs" dxfId="4270" priority="19" operator="greaterThan">
      <formula>65</formula>
    </cfRule>
  </conditionalFormatting>
  <conditionalFormatting sqref="A265">
    <cfRule type="cellIs" dxfId="4269" priority="18" operator="greaterThan">
      <formula>65</formula>
    </cfRule>
  </conditionalFormatting>
  <conditionalFormatting sqref="A272">
    <cfRule type="cellIs" dxfId="4268" priority="17" operator="greaterThan">
      <formula>65</formula>
    </cfRule>
  </conditionalFormatting>
  <conditionalFormatting sqref="A279">
    <cfRule type="cellIs" dxfId="4267" priority="16" operator="greaterThan">
      <formula>65</formula>
    </cfRule>
  </conditionalFormatting>
  <conditionalFormatting sqref="A286">
    <cfRule type="cellIs" dxfId="4266" priority="15" operator="greaterThan">
      <formula>65</formula>
    </cfRule>
  </conditionalFormatting>
  <conditionalFormatting sqref="A293">
    <cfRule type="cellIs" dxfId="4265" priority="14" operator="greaterThan">
      <formula>65</formula>
    </cfRule>
  </conditionalFormatting>
  <conditionalFormatting sqref="A300">
    <cfRule type="cellIs" dxfId="4264" priority="13" operator="greaterThan">
      <formula>65</formula>
    </cfRule>
  </conditionalFormatting>
  <conditionalFormatting sqref="A307">
    <cfRule type="cellIs" dxfId="4263" priority="12" operator="greaterThan">
      <formula>65</formula>
    </cfRule>
  </conditionalFormatting>
  <conditionalFormatting sqref="A314">
    <cfRule type="cellIs" dxfId="4262" priority="11" operator="greaterThan">
      <formula>65</formula>
    </cfRule>
  </conditionalFormatting>
  <conditionalFormatting sqref="A321">
    <cfRule type="cellIs" dxfId="4261" priority="10" operator="greaterThan">
      <formula>65</formula>
    </cfRule>
  </conditionalFormatting>
  <conditionalFormatting sqref="A328">
    <cfRule type="cellIs" dxfId="4260" priority="9" operator="greaterThan">
      <formula>65</formula>
    </cfRule>
  </conditionalFormatting>
  <conditionalFormatting sqref="A335">
    <cfRule type="cellIs" dxfId="4259" priority="8" operator="greaterThan">
      <formula>65</formula>
    </cfRule>
  </conditionalFormatting>
  <conditionalFormatting sqref="A345">
    <cfRule type="cellIs" dxfId="4258" priority="7" operator="greaterThan">
      <formula>65</formula>
    </cfRule>
  </conditionalFormatting>
  <conditionalFormatting sqref="A353">
    <cfRule type="cellIs" dxfId="4257" priority="6" operator="greaterThan">
      <formula>65</formula>
    </cfRule>
  </conditionalFormatting>
  <conditionalFormatting sqref="A360">
    <cfRule type="cellIs" dxfId="4256" priority="5" operator="greaterThan">
      <formula>65</formula>
    </cfRule>
  </conditionalFormatting>
  <conditionalFormatting sqref="A367">
    <cfRule type="cellIs" dxfId="4255" priority="4" operator="greaterThan">
      <formula>65</formula>
    </cfRule>
  </conditionalFormatting>
  <conditionalFormatting sqref="A374">
    <cfRule type="cellIs" dxfId="4254" priority="3" operator="greaterThan">
      <formula>65</formula>
    </cfRule>
  </conditionalFormatting>
  <conditionalFormatting sqref="F1:F1048576">
    <cfRule type="colorScale" priority="57">
      <colorScale>
        <cfvo type="min"/>
        <cfvo type="percentile" val="50"/>
        <cfvo type="max"/>
        <color rgb="FFF8696B"/>
        <color rgb="FFFFEB84"/>
        <color rgb="FF63BE7B"/>
      </colorScale>
    </cfRule>
  </conditionalFormatting>
  <conditionalFormatting sqref="G4:G378">
    <cfRule type="colorScale" priority="2">
      <colorScale>
        <cfvo type="min"/>
        <cfvo type="percentile" val="50"/>
        <cfvo type="max"/>
        <color rgb="FF63BE7B"/>
        <color rgb="FFFFEB84"/>
        <color rgb="FFF8696B"/>
      </colorScale>
    </cfRule>
  </conditionalFormatting>
  <conditionalFormatting sqref="H4:H378">
    <cfRule type="colorScale" priority="1">
      <colorScale>
        <cfvo type="min"/>
        <cfvo type="percentile" val="50"/>
        <cfvo type="max"/>
        <color rgb="FF63BE7B"/>
        <color rgb="FFFFEB84"/>
        <color rgb="FFF8696B"/>
      </colorScale>
    </cfRule>
  </conditionalFormatting>
  <dataValidations count="3">
    <dataValidation type="list" operator="equal" allowBlank="1" sqref="S11:S12 M137:R152 K20:R129 K3:R15 J68:J139 K137:K375 L137:L156 L162:R375 J3:J66 J141:J375" xr:uid="{00000000-0002-0000-0A00-000000000000}">
      <formula1>"ASICS GEL 11-50,ASICS GT 21-40,ASICS GT 21-60"</formula1>
      <formula2>0</formula2>
    </dataValidation>
    <dataValidation type="list" operator="equal" allowBlank="1" showDropDown="1" sqref="F150 C1:E47 C69:E69 C84:F84 C78:E79 C49:E67 C71:E75 C81:E82 G1:H149 F1:F83 C86:E90 C99:E121 C92:E94 C96:E97 C143:F143 C125:E126 C123:F123 A343:A32678 C128:E139 C141:E141 F124:F141 D144:F149 D151:H269 C144:C269 F85:F122 A1:B334 A335:A339 B335:B32680 C270:H32680" xr:uid="{00000000-0002-0000-0A00-000001000000}">
      <formula1>"ASICS GEL 11-50,ASICS GT 21-40,ASICS GT 21-60"</formula1>
      <formula2>0</formula2>
    </dataValidation>
    <dataValidation type="list" allowBlank="1" showInputMessage="1" showErrorMessage="1" sqref="I1:I1048576" xr:uid="{00000000-0002-0000-0A00-000002000000}">
      <formula1>#REF!</formula1>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autoPageBreaks="0" fitToPage="1"/>
  </sheetPr>
  <dimension ref="A1:AF2565"/>
  <sheetViews>
    <sheetView tabSelected="1" zoomScaleNormal="100" workbookViewId="0">
      <pane ySplit="1" topLeftCell="A2201" activePane="bottomLeft" state="frozen"/>
      <selection activeCell="B1" sqref="B1"/>
      <selection pane="bottomLeft" activeCell="AE2204" sqref="AE2204"/>
    </sheetView>
  </sheetViews>
  <sheetFormatPr baseColWidth="10" defaultColWidth="11.5" defaultRowHeight="15" x14ac:dyDescent="0.2"/>
  <cols>
    <col min="1" max="1" width="5.6640625" style="140" bestFit="1" customWidth="1"/>
    <col min="2" max="2" width="6" style="3007" customWidth="1"/>
    <col min="3" max="3" width="9.5" style="222" bestFit="1" customWidth="1"/>
    <col min="4" max="4" width="4.1640625" style="226" bestFit="1" customWidth="1"/>
    <col min="5" max="5" width="2" style="377" bestFit="1" customWidth="1"/>
    <col min="6" max="6" width="9" style="156" bestFit="1" customWidth="1"/>
    <col min="7" max="7" width="8.1640625" style="223" bestFit="1" customWidth="1"/>
    <col min="8" max="8" width="4.6640625" style="224" bestFit="1" customWidth="1"/>
    <col min="9" max="9" width="5.6640625" style="225" bestFit="1" customWidth="1"/>
    <col min="10" max="10" width="4.5" style="226" bestFit="1" customWidth="1"/>
    <col min="11" max="11" width="4.1640625" style="360" bestFit="1" customWidth="1"/>
    <col min="12" max="12" width="5.1640625" style="226" bestFit="1" customWidth="1"/>
    <col min="13" max="13" width="5.1640625" style="2842" bestFit="1" customWidth="1"/>
    <col min="14" max="14" width="5.6640625" style="226" bestFit="1" customWidth="1"/>
    <col min="15" max="15" width="18.1640625" style="358" bestFit="1" customWidth="1"/>
    <col min="16" max="16" width="4" style="221" customWidth="1"/>
    <col min="17" max="17" width="1.5" style="221" bestFit="1" customWidth="1"/>
    <col min="18" max="18" width="4.1640625" style="221" bestFit="1" customWidth="1"/>
    <col min="19" max="19" width="6.83203125" style="2" bestFit="1" customWidth="1"/>
    <col min="20" max="20" width="4" style="220" bestFit="1" customWidth="1"/>
    <col min="21" max="22" width="3.83203125" style="220" bestFit="1" customWidth="1"/>
    <col min="23" max="23" width="7.33203125" style="220" bestFit="1" customWidth="1"/>
    <col min="24" max="24" width="3.83203125" style="221" bestFit="1" customWidth="1"/>
    <col min="25" max="25" width="7.1640625" style="289" bestFit="1" customWidth="1"/>
    <col min="26" max="26" width="4.33203125" style="2597" bestFit="1" customWidth="1"/>
    <col min="27" max="27" width="4.33203125" style="221" bestFit="1" customWidth="1"/>
    <col min="28" max="28" width="7.5" style="3284" bestFit="1" customWidth="1"/>
    <col min="29" max="30" width="7.5" style="3644" customWidth="1"/>
    <col min="31" max="31" width="16.6640625" style="367" bestFit="1" customWidth="1"/>
    <col min="33" max="16384" width="11.5" style="220"/>
  </cols>
  <sheetData>
    <row r="1" spans="1:31" s="140" customFormat="1" ht="16" thickBot="1" x14ac:dyDescent="0.25">
      <c r="A1" s="3439" t="s">
        <v>690</v>
      </c>
      <c r="B1" s="3440"/>
      <c r="C1" s="2960" t="s">
        <v>3</v>
      </c>
      <c r="D1" s="2961" t="s">
        <v>664</v>
      </c>
      <c r="E1" s="2962" t="s">
        <v>837</v>
      </c>
      <c r="F1" s="2963" t="s">
        <v>4</v>
      </c>
      <c r="G1" s="2964" t="s">
        <v>5</v>
      </c>
      <c r="H1" s="2965" t="s">
        <v>429</v>
      </c>
      <c r="I1" s="2966" t="s">
        <v>658</v>
      </c>
      <c r="J1" s="2967" t="s">
        <v>499</v>
      </c>
      <c r="K1" s="2968" t="s">
        <v>628</v>
      </c>
      <c r="L1" s="2799" t="s">
        <v>493</v>
      </c>
      <c r="M1" s="2967" t="s">
        <v>183</v>
      </c>
      <c r="N1" s="2968" t="s">
        <v>753</v>
      </c>
      <c r="O1" s="2969" t="s">
        <v>431</v>
      </c>
      <c r="P1" s="2967" t="s">
        <v>506</v>
      </c>
      <c r="Q1" s="2799" t="s">
        <v>437</v>
      </c>
      <c r="R1" s="2927" t="s">
        <v>506</v>
      </c>
      <c r="S1" s="2970" t="s">
        <v>834</v>
      </c>
      <c r="T1" s="2971" t="s">
        <v>1526</v>
      </c>
      <c r="U1" s="2970" t="s">
        <v>1525</v>
      </c>
      <c r="V1" s="2972" t="s">
        <v>746</v>
      </c>
      <c r="W1" s="2971" t="s">
        <v>1507</v>
      </c>
      <c r="X1" s="2971" t="s">
        <v>1504</v>
      </c>
      <c r="Y1" s="3331" t="s">
        <v>1506</v>
      </c>
      <c r="Z1" s="3333" t="s">
        <v>1527</v>
      </c>
      <c r="AA1" s="3332" t="s">
        <v>1528</v>
      </c>
      <c r="AB1" s="3334" t="s">
        <v>1505</v>
      </c>
      <c r="AC1" s="3643" t="s">
        <v>494</v>
      </c>
      <c r="AD1" s="3643" t="s">
        <v>627</v>
      </c>
      <c r="AE1" s="3335"/>
    </row>
    <row r="2" spans="1:31" ht="16" thickBot="1" x14ac:dyDescent="0.25">
      <c r="B2" s="2976"/>
      <c r="C2" s="2945">
        <v>43100</v>
      </c>
      <c r="D2" s="1650"/>
      <c r="E2" s="2946"/>
      <c r="F2" s="2947" t="s">
        <v>469</v>
      </c>
      <c r="G2" s="2948">
        <v>3.8993055555555552E-2</v>
      </c>
      <c r="H2" s="2949">
        <v>10.9</v>
      </c>
      <c r="I2" s="2950">
        <f>G2/H2</f>
        <v>3.5773445463812433E-3</v>
      </c>
      <c r="J2" s="2951">
        <v>159</v>
      </c>
      <c r="K2" s="2952"/>
      <c r="L2" s="2953">
        <v>231</v>
      </c>
      <c r="M2" s="1651"/>
      <c r="N2" s="2954">
        <f t="shared" ref="N2:N33" si="0">IFERROR((L2/68)/(1/(I2*24)/3.6),"")</f>
        <v>1.0499716675661088</v>
      </c>
      <c r="O2" s="2955"/>
      <c r="P2" s="2956"/>
      <c r="Q2" s="2957"/>
      <c r="R2" s="2958"/>
      <c r="S2" s="2390">
        <f t="shared" ref="S2:S33" si="1">IFERROR(L2/J2,"")</f>
        <v>1.4528301886792452</v>
      </c>
      <c r="T2" s="1651">
        <v>12</v>
      </c>
      <c r="U2" s="2959">
        <v>15</v>
      </c>
      <c r="V2" s="2953">
        <v>0</v>
      </c>
      <c r="W2" s="3282"/>
      <c r="X2" s="3298"/>
      <c r="Y2" s="3315"/>
      <c r="AA2" s="3299"/>
      <c r="AB2" s="2595"/>
      <c r="AE2" s="1056"/>
    </row>
    <row r="3" spans="1:31" ht="16" thickBot="1" x14ac:dyDescent="0.25">
      <c r="B3" s="2977">
        <v>1</v>
      </c>
      <c r="C3" s="1057">
        <v>43101</v>
      </c>
      <c r="D3" s="1058"/>
      <c r="E3" s="1059"/>
      <c r="F3" s="2615"/>
      <c r="G3" s="1060"/>
      <c r="H3" s="1061"/>
      <c r="I3" s="1062"/>
      <c r="J3" s="1063"/>
      <c r="K3" s="1064"/>
      <c r="L3" s="2800"/>
      <c r="M3" s="2822"/>
      <c r="N3" s="1065" t="str">
        <f t="shared" si="0"/>
        <v/>
      </c>
      <c r="O3" s="1066"/>
      <c r="P3" s="1067"/>
      <c r="Q3" s="1068"/>
      <c r="R3" s="1069"/>
      <c r="S3" s="1070" t="str">
        <f t="shared" si="1"/>
        <v/>
      </c>
      <c r="T3" s="1071">
        <f>T2+($K$3-T2)/7</f>
        <v>10.285714285714286</v>
      </c>
      <c r="U3" s="1072">
        <f t="shared" ref="U3:U66" si="2">U2+(K3-U2)/42</f>
        <v>14.642857142857142</v>
      </c>
      <c r="V3" s="1073">
        <f>U2-T2</f>
        <v>3</v>
      </c>
      <c r="W3" s="3283"/>
      <c r="X3" s="3300"/>
      <c r="Y3" s="3316"/>
      <c r="AA3" s="3301"/>
      <c r="AB3" s="3409"/>
      <c r="AE3" s="1056"/>
    </row>
    <row r="4" spans="1:31" x14ac:dyDescent="0.2">
      <c r="B4" s="2978" t="s">
        <v>626</v>
      </c>
      <c r="C4" s="1074">
        <v>43102</v>
      </c>
      <c r="D4" s="1075"/>
      <c r="E4" s="1076"/>
      <c r="F4" s="2616"/>
      <c r="G4" s="1077"/>
      <c r="H4" s="1078"/>
      <c r="I4" s="1079"/>
      <c r="J4" s="1080"/>
      <c r="K4" s="1081"/>
      <c r="L4" s="2801"/>
      <c r="M4" s="2823"/>
      <c r="N4" s="1082" t="str">
        <f t="shared" si="0"/>
        <v/>
      </c>
      <c r="O4" s="1083"/>
      <c r="P4" s="1084"/>
      <c r="Q4" s="1085"/>
      <c r="R4" s="1086"/>
      <c r="S4" s="1087" t="str">
        <f t="shared" si="1"/>
        <v/>
      </c>
      <c r="T4" s="1088">
        <f t="shared" ref="T4:T67" si="3">T3+(K4-T3)/7</f>
        <v>8.8163265306122458</v>
      </c>
      <c r="U4" s="1089">
        <f t="shared" si="2"/>
        <v>14.294217687074829</v>
      </c>
      <c r="V4" s="1090">
        <f t="shared" ref="V4:V67" si="4">U3-T3</f>
        <v>4.3571428571428559</v>
      </c>
      <c r="W4" s="3284"/>
      <c r="X4" s="3300"/>
      <c r="Y4" s="3316"/>
      <c r="AA4" s="3301"/>
      <c r="AB4" s="3409"/>
      <c r="AE4" s="1056"/>
    </row>
    <row r="5" spans="1:31" ht="16" thickBot="1" x14ac:dyDescent="0.25">
      <c r="B5" s="2979">
        <f>SUM(H3:H9)</f>
        <v>7.18</v>
      </c>
      <c r="C5" s="1074">
        <v>43103</v>
      </c>
      <c r="D5" s="1091"/>
      <c r="E5" s="1092"/>
      <c r="F5" s="2616"/>
      <c r="G5" s="1077"/>
      <c r="H5" s="1078"/>
      <c r="I5" s="1079"/>
      <c r="J5" s="1080"/>
      <c r="K5" s="1081"/>
      <c r="L5" s="2801"/>
      <c r="M5" s="2823"/>
      <c r="N5" s="1082" t="str">
        <f t="shared" si="0"/>
        <v/>
      </c>
      <c r="O5" s="1083"/>
      <c r="P5" s="1084"/>
      <c r="Q5" s="1085"/>
      <c r="R5" s="1086"/>
      <c r="S5" s="1087" t="str">
        <f t="shared" si="1"/>
        <v/>
      </c>
      <c r="T5" s="1088">
        <f t="shared" si="3"/>
        <v>7.5568513119533538</v>
      </c>
      <c r="U5" s="1089">
        <f t="shared" si="2"/>
        <v>13.953879170715904</v>
      </c>
      <c r="V5" s="1090">
        <f t="shared" si="4"/>
        <v>5.477891156462583</v>
      </c>
      <c r="W5" s="3284"/>
      <c r="X5" s="3300"/>
      <c r="Y5" s="3316"/>
      <c r="AA5" s="3301"/>
      <c r="AB5" s="3409"/>
      <c r="AE5" s="1056"/>
    </row>
    <row r="6" spans="1:31" x14ac:dyDescent="0.2">
      <c r="B6" s="2980" t="s">
        <v>628</v>
      </c>
      <c r="C6" s="1074">
        <v>43104</v>
      </c>
      <c r="D6" s="1091"/>
      <c r="E6" s="1092"/>
      <c r="F6" s="2616"/>
      <c r="G6" s="1077"/>
      <c r="H6" s="1078"/>
      <c r="I6" s="1079"/>
      <c r="J6" s="1080"/>
      <c r="K6" s="1081"/>
      <c r="L6" s="2801"/>
      <c r="M6" s="2823"/>
      <c r="N6" s="1082" t="str">
        <f t="shared" si="0"/>
        <v/>
      </c>
      <c r="O6" s="1083"/>
      <c r="P6" s="1084"/>
      <c r="Q6" s="1085"/>
      <c r="R6" s="1086"/>
      <c r="S6" s="1087" t="str">
        <f t="shared" si="1"/>
        <v/>
      </c>
      <c r="T6" s="1088">
        <f t="shared" si="3"/>
        <v>6.4773011245314462</v>
      </c>
      <c r="U6" s="1089">
        <f t="shared" si="2"/>
        <v>13.621643952365526</v>
      </c>
      <c r="V6" s="1090">
        <f t="shared" si="4"/>
        <v>6.3970278587625504</v>
      </c>
      <c r="W6" s="3284"/>
      <c r="X6" s="3300"/>
      <c r="Y6" s="3316"/>
      <c r="AA6" s="3301"/>
      <c r="AB6" s="3409"/>
      <c r="AE6" s="1056"/>
    </row>
    <row r="7" spans="1:31" ht="16" thickBot="1" x14ac:dyDescent="0.25">
      <c r="B7" s="2981">
        <f>SUM(K3:K9)</f>
        <v>42</v>
      </c>
      <c r="C7" s="1074">
        <v>43105</v>
      </c>
      <c r="D7" s="1091"/>
      <c r="E7" s="1092"/>
      <c r="F7" s="2616"/>
      <c r="G7" s="1077"/>
      <c r="H7" s="1078"/>
      <c r="I7" s="1079"/>
      <c r="J7" s="1080"/>
      <c r="K7" s="1081"/>
      <c r="L7" s="2801"/>
      <c r="M7" s="2823"/>
      <c r="N7" s="1082" t="str">
        <f t="shared" si="0"/>
        <v/>
      </c>
      <c r="O7" s="1083"/>
      <c r="P7" s="1084"/>
      <c r="Q7" s="1085"/>
      <c r="R7" s="1086"/>
      <c r="S7" s="1087" t="str">
        <f t="shared" si="1"/>
        <v/>
      </c>
      <c r="T7" s="1088">
        <f t="shared" si="3"/>
        <v>5.5519723924555251</v>
      </c>
      <c r="U7" s="1089">
        <f t="shared" si="2"/>
        <v>13.297319096356823</v>
      </c>
      <c r="V7" s="1090">
        <f t="shared" si="4"/>
        <v>7.1443428278340795</v>
      </c>
      <c r="W7" s="3284"/>
      <c r="X7" s="3300"/>
      <c r="Y7" s="3316"/>
      <c r="AA7" s="3301"/>
      <c r="AB7" s="3409"/>
      <c r="AE7" s="1056"/>
    </row>
    <row r="8" spans="1:31" x14ac:dyDescent="0.2">
      <c r="B8" s="2982" t="s">
        <v>761</v>
      </c>
      <c r="C8" s="1074">
        <v>43106</v>
      </c>
      <c r="D8" s="1091" t="s">
        <v>502</v>
      </c>
      <c r="E8" s="1092"/>
      <c r="F8" s="2616" t="s">
        <v>468</v>
      </c>
      <c r="G8" s="1077">
        <v>2.8310185185185185E-2</v>
      </c>
      <c r="H8" s="1078">
        <v>7.18</v>
      </c>
      <c r="I8" s="1079">
        <f>G8/H8</f>
        <v>3.9429227277416696E-3</v>
      </c>
      <c r="J8" s="1080">
        <v>140</v>
      </c>
      <c r="K8" s="1081">
        <v>42</v>
      </c>
      <c r="L8" s="2801">
        <v>210</v>
      </c>
      <c r="M8" s="2823"/>
      <c r="N8" s="1082">
        <f t="shared" si="0"/>
        <v>1.0520645584138948</v>
      </c>
      <c r="O8" s="1083" t="s">
        <v>483</v>
      </c>
      <c r="P8" s="1084"/>
      <c r="Q8" s="1085"/>
      <c r="R8" s="1086"/>
      <c r="S8" s="1087">
        <f t="shared" si="1"/>
        <v>1.5</v>
      </c>
      <c r="T8" s="1088">
        <f t="shared" si="3"/>
        <v>10.758833479247592</v>
      </c>
      <c r="U8" s="1089">
        <f t="shared" si="2"/>
        <v>13.980716260729279</v>
      </c>
      <c r="V8" s="1090">
        <f t="shared" si="4"/>
        <v>7.7453467039012978</v>
      </c>
      <c r="W8" s="3284"/>
      <c r="X8" s="3300"/>
      <c r="Y8" s="3316"/>
      <c r="AA8" s="3301"/>
      <c r="AB8" s="3409"/>
      <c r="AE8" s="1056"/>
    </row>
    <row r="9" spans="1:31" ht="16" thickBot="1" x14ac:dyDescent="0.25">
      <c r="B9" s="2983"/>
      <c r="C9" s="1093">
        <v>43107</v>
      </c>
      <c r="D9" s="1094"/>
      <c r="E9" s="1095"/>
      <c r="F9" s="2617"/>
      <c r="G9" s="1096"/>
      <c r="H9" s="1097"/>
      <c r="I9" s="1098"/>
      <c r="J9" s="1099"/>
      <c r="K9" s="1100"/>
      <c r="L9" s="2802"/>
      <c r="M9" s="2824"/>
      <c r="N9" s="1101" t="str">
        <f t="shared" si="0"/>
        <v/>
      </c>
      <c r="O9" s="1102"/>
      <c r="P9" s="1103"/>
      <c r="Q9" s="1104"/>
      <c r="R9" s="1105"/>
      <c r="S9" s="1106" t="str">
        <f t="shared" si="1"/>
        <v/>
      </c>
      <c r="T9" s="1107">
        <f t="shared" si="3"/>
        <v>9.2218572679265076</v>
      </c>
      <c r="U9" s="1108">
        <f t="shared" si="2"/>
        <v>13.647842064045248</v>
      </c>
      <c r="V9" s="1109">
        <f t="shared" si="4"/>
        <v>3.2218827814816873</v>
      </c>
      <c r="W9" s="3285"/>
      <c r="X9" s="3300"/>
      <c r="Y9" s="3316"/>
      <c r="AA9" s="3301"/>
      <c r="AB9" s="3409"/>
      <c r="AE9" s="1056"/>
    </row>
    <row r="10" spans="1:31" ht="16" thickBot="1" x14ac:dyDescent="0.25">
      <c r="B10" s="2977">
        <f>B3+1</f>
        <v>2</v>
      </c>
      <c r="C10" s="1110">
        <v>43108</v>
      </c>
      <c r="D10" s="1111" t="s">
        <v>503</v>
      </c>
      <c r="E10" s="1112"/>
      <c r="F10" s="2618" t="s">
        <v>468</v>
      </c>
      <c r="G10" s="1113">
        <v>3.0162037037037032E-2</v>
      </c>
      <c r="H10" s="1114">
        <v>7.72</v>
      </c>
      <c r="I10" s="1115">
        <f>G10/H10</f>
        <v>3.9069996161965066E-3</v>
      </c>
      <c r="J10" s="1116">
        <v>141</v>
      </c>
      <c r="K10" s="1117">
        <v>46</v>
      </c>
      <c r="L10" s="1118">
        <v>215</v>
      </c>
      <c r="M10" s="2825"/>
      <c r="N10" s="1119">
        <f t="shared" si="0"/>
        <v>1.0673003657421514</v>
      </c>
      <c r="O10" s="1120" t="s">
        <v>483</v>
      </c>
      <c r="P10" s="1121"/>
      <c r="Q10" s="1122"/>
      <c r="R10" s="1122"/>
      <c r="S10" s="1070">
        <f t="shared" si="1"/>
        <v>1.5248226950354611</v>
      </c>
      <c r="T10" s="1123">
        <f t="shared" si="3"/>
        <v>14.475877658222721</v>
      </c>
      <c r="U10" s="1111">
        <f t="shared" si="2"/>
        <v>14.418131538710837</v>
      </c>
      <c r="V10" s="1124">
        <f t="shared" si="4"/>
        <v>4.4259847961187404</v>
      </c>
      <c r="W10" s="3286"/>
      <c r="X10" s="3300"/>
      <c r="Y10" s="3316"/>
      <c r="AA10" s="3301"/>
      <c r="AB10" s="3409"/>
      <c r="AE10" s="1056"/>
    </row>
    <row r="11" spans="1:31" x14ac:dyDescent="0.2">
      <c r="B11" s="2978" t="s">
        <v>626</v>
      </c>
      <c r="C11" s="1126">
        <v>43109</v>
      </c>
      <c r="D11" s="1127"/>
      <c r="E11" s="1128"/>
      <c r="F11" s="2619"/>
      <c r="G11" s="1129"/>
      <c r="H11" s="1130"/>
      <c r="I11" s="1131"/>
      <c r="J11" s="1132"/>
      <c r="K11" s="1133"/>
      <c r="L11" s="2801"/>
      <c r="M11" s="2823"/>
      <c r="N11" s="1134" t="str">
        <f t="shared" si="0"/>
        <v/>
      </c>
      <c r="O11" s="1135"/>
      <c r="P11" s="1136"/>
      <c r="Q11" s="1137"/>
      <c r="R11" s="1086"/>
      <c r="S11" s="1087" t="str">
        <f t="shared" si="1"/>
        <v/>
      </c>
      <c r="T11" s="1088">
        <f t="shared" si="3"/>
        <v>12.407895135619476</v>
      </c>
      <c r="U11" s="1089">
        <f t="shared" si="2"/>
        <v>14.074842692551055</v>
      </c>
      <c r="V11" s="1090">
        <f t="shared" si="4"/>
        <v>-5.7746119511884686E-2</v>
      </c>
      <c r="W11" s="3284"/>
      <c r="X11" s="3300"/>
      <c r="Y11" s="3316"/>
      <c r="AA11" s="3301"/>
      <c r="AB11" s="3409"/>
      <c r="AE11" s="1056"/>
    </row>
    <row r="12" spans="1:31" ht="16" thickBot="1" x14ac:dyDescent="0.25">
      <c r="B12" s="2979">
        <f>SUM(H10:H16)</f>
        <v>32.89</v>
      </c>
      <c r="C12" s="1126">
        <v>43110</v>
      </c>
      <c r="D12" s="1127"/>
      <c r="E12" s="1128"/>
      <c r="F12" s="2619"/>
      <c r="G12" s="1129"/>
      <c r="H12" s="1130"/>
      <c r="I12" s="1131"/>
      <c r="J12" s="1132"/>
      <c r="K12" s="1133"/>
      <c r="L12" s="2801"/>
      <c r="M12" s="2823"/>
      <c r="N12" s="1134" t="str">
        <f t="shared" si="0"/>
        <v/>
      </c>
      <c r="O12" s="1135"/>
      <c r="P12" s="1136"/>
      <c r="Q12" s="1137"/>
      <c r="R12" s="1086"/>
      <c r="S12" s="1087" t="str">
        <f t="shared" si="1"/>
        <v/>
      </c>
      <c r="T12" s="1088">
        <f t="shared" si="3"/>
        <v>10.635338687673837</v>
      </c>
      <c r="U12" s="1089">
        <f t="shared" si="2"/>
        <v>13.739727390347458</v>
      </c>
      <c r="V12" s="1090">
        <f t="shared" si="4"/>
        <v>1.6669475569315786</v>
      </c>
      <c r="W12" s="3284"/>
      <c r="X12" s="3300"/>
      <c r="Y12" s="3316"/>
      <c r="AA12" s="3301"/>
      <c r="AB12" s="3409"/>
      <c r="AE12" s="1056"/>
    </row>
    <row r="13" spans="1:31" x14ac:dyDescent="0.2">
      <c r="B13" s="2980" t="s">
        <v>628</v>
      </c>
      <c r="C13" s="1126">
        <v>43111</v>
      </c>
      <c r="D13" s="1127"/>
      <c r="E13" s="1128"/>
      <c r="F13" s="2619"/>
      <c r="G13" s="1129"/>
      <c r="H13" s="1130"/>
      <c r="I13" s="1131"/>
      <c r="J13" s="1132"/>
      <c r="K13" s="1133"/>
      <c r="L13" s="2801"/>
      <c r="M13" s="2823"/>
      <c r="N13" s="1134" t="str">
        <f t="shared" si="0"/>
        <v/>
      </c>
      <c r="O13" s="1135"/>
      <c r="P13" s="1136"/>
      <c r="Q13" s="1137"/>
      <c r="R13" s="1086"/>
      <c r="S13" s="1087" t="str">
        <f t="shared" si="1"/>
        <v/>
      </c>
      <c r="T13" s="1088">
        <f t="shared" si="3"/>
        <v>9.1160045894347181</v>
      </c>
      <c r="U13" s="1089">
        <f t="shared" si="2"/>
        <v>13.412591023910613</v>
      </c>
      <c r="V13" s="1090">
        <f t="shared" si="4"/>
        <v>3.1043887026736208</v>
      </c>
      <c r="W13" s="3284"/>
      <c r="X13" s="3300"/>
      <c r="Y13" s="3316"/>
      <c r="AA13" s="3301"/>
      <c r="AB13" s="3409"/>
      <c r="AE13" s="1056"/>
    </row>
    <row r="14" spans="1:31" ht="16" thickBot="1" x14ac:dyDescent="0.25">
      <c r="B14" s="2981">
        <f>SUM(K10:K16)</f>
        <v>203</v>
      </c>
      <c r="C14" s="1126">
        <v>43112</v>
      </c>
      <c r="D14" s="1127"/>
      <c r="E14" s="1128"/>
      <c r="F14" s="2619"/>
      <c r="G14" s="1129"/>
      <c r="H14" s="1130"/>
      <c r="I14" s="1131"/>
      <c r="J14" s="1132"/>
      <c r="K14" s="1133"/>
      <c r="L14" s="2801"/>
      <c r="M14" s="2823"/>
      <c r="N14" s="1134" t="str">
        <f t="shared" si="0"/>
        <v/>
      </c>
      <c r="O14" s="1135"/>
      <c r="P14" s="1136"/>
      <c r="Q14" s="1137"/>
      <c r="R14" s="1086"/>
      <c r="S14" s="1087" t="str">
        <f t="shared" si="1"/>
        <v/>
      </c>
      <c r="T14" s="1088">
        <f t="shared" si="3"/>
        <v>7.8137182195154722</v>
      </c>
      <c r="U14" s="1089">
        <f t="shared" si="2"/>
        <v>13.093243618579407</v>
      </c>
      <c r="V14" s="1090">
        <f t="shared" si="4"/>
        <v>4.2965864344758948</v>
      </c>
      <c r="W14" s="3284"/>
      <c r="X14" s="3300"/>
      <c r="Y14" s="3316"/>
      <c r="AA14" s="3301"/>
      <c r="AB14" s="3409"/>
      <c r="AE14" s="1056"/>
    </row>
    <row r="15" spans="1:31" x14ac:dyDescent="0.2">
      <c r="B15" s="2982" t="s">
        <v>761</v>
      </c>
      <c r="C15" s="1126">
        <v>43113</v>
      </c>
      <c r="D15" s="1127" t="s">
        <v>504</v>
      </c>
      <c r="E15" s="1128"/>
      <c r="F15" s="2619" t="s">
        <v>469</v>
      </c>
      <c r="G15" s="1129">
        <v>3.5902777777777777E-2</v>
      </c>
      <c r="H15" s="1130">
        <v>10.02</v>
      </c>
      <c r="I15" s="1131">
        <f>G15/H15</f>
        <v>3.5831115546684409E-3</v>
      </c>
      <c r="J15" s="1132">
        <v>152</v>
      </c>
      <c r="K15" s="1133">
        <v>66</v>
      </c>
      <c r="L15" s="2801">
        <v>235</v>
      </c>
      <c r="M15" s="2823"/>
      <c r="N15" s="1134">
        <f t="shared" si="0"/>
        <v>1.0698749559704122</v>
      </c>
      <c r="O15" s="1135" t="s">
        <v>487</v>
      </c>
      <c r="P15" s="1136"/>
      <c r="Q15" s="1137"/>
      <c r="R15" s="1086"/>
      <c r="S15" s="1087">
        <f t="shared" si="1"/>
        <v>1.5460526315789473</v>
      </c>
      <c r="T15" s="1088">
        <f t="shared" si="3"/>
        <v>16.126044188156119</v>
      </c>
      <c r="U15" s="1089">
        <f t="shared" si="2"/>
        <v>14.352928294327517</v>
      </c>
      <c r="V15" s="1090">
        <f t="shared" si="4"/>
        <v>5.2795253990639353</v>
      </c>
      <c r="W15" s="3284"/>
      <c r="X15" s="3300"/>
      <c r="Y15" s="3316"/>
      <c r="AA15" s="3301"/>
      <c r="AB15" s="3409"/>
      <c r="AE15" s="1056"/>
    </row>
    <row r="16" spans="1:31" ht="16" thickBot="1" x14ac:dyDescent="0.25">
      <c r="B16" s="2983"/>
      <c r="C16" s="1138">
        <v>43114</v>
      </c>
      <c r="D16" s="1139" t="s">
        <v>505</v>
      </c>
      <c r="E16" s="1140"/>
      <c r="F16" s="2620" t="s">
        <v>468</v>
      </c>
      <c r="G16" s="1141">
        <v>6.010416666666666E-2</v>
      </c>
      <c r="H16" s="1142">
        <v>15.15</v>
      </c>
      <c r="I16" s="1143">
        <f>G16/H16</f>
        <v>3.9672717271727167E-3</v>
      </c>
      <c r="J16" s="1144">
        <v>141</v>
      </c>
      <c r="K16" s="1145">
        <v>91</v>
      </c>
      <c r="L16" s="2803">
        <v>213</v>
      </c>
      <c r="M16" s="2826"/>
      <c r="N16" s="1147">
        <f t="shared" si="0"/>
        <v>1.0736837507280139</v>
      </c>
      <c r="O16" s="1148" t="s">
        <v>487</v>
      </c>
      <c r="P16" s="1149"/>
      <c r="Q16" s="1150"/>
      <c r="R16" s="1151"/>
      <c r="S16" s="1106">
        <f t="shared" si="1"/>
        <v>1.5106382978723405</v>
      </c>
      <c r="T16" s="1152">
        <f t="shared" si="3"/>
        <v>26.822323589848104</v>
      </c>
      <c r="U16" s="1153">
        <f t="shared" si="2"/>
        <v>16.177858573034005</v>
      </c>
      <c r="V16" s="1154">
        <f t="shared" si="4"/>
        <v>-1.7731158938286011</v>
      </c>
      <c r="W16" s="3287"/>
      <c r="X16" s="3300"/>
      <c r="Y16" s="3316"/>
      <c r="AA16" s="3301"/>
      <c r="AB16" s="3409"/>
      <c r="AE16" s="1056"/>
    </row>
    <row r="17" spans="1:31" ht="16" thickBot="1" x14ac:dyDescent="0.25">
      <c r="B17" s="2977">
        <f>B10+1</f>
        <v>3</v>
      </c>
      <c r="C17" s="1057">
        <v>43115</v>
      </c>
      <c r="D17" s="1155"/>
      <c r="E17" s="1156"/>
      <c r="F17" s="2615"/>
      <c r="G17" s="1060"/>
      <c r="H17" s="1061"/>
      <c r="I17" s="1062"/>
      <c r="J17" s="1063"/>
      <c r="K17" s="1064"/>
      <c r="L17" s="2800"/>
      <c r="M17" s="2822"/>
      <c r="N17" s="1065" t="str">
        <f t="shared" si="0"/>
        <v/>
      </c>
      <c r="O17" s="1066"/>
      <c r="P17" s="1067"/>
      <c r="Q17" s="1068"/>
      <c r="R17" s="1069"/>
      <c r="S17" s="1070" t="str">
        <f t="shared" si="1"/>
        <v/>
      </c>
      <c r="T17" s="1071">
        <f t="shared" si="3"/>
        <v>22.990563077012659</v>
      </c>
      <c r="U17" s="1072">
        <f t="shared" si="2"/>
        <v>15.792671464152242</v>
      </c>
      <c r="V17" s="1073">
        <f t="shared" si="4"/>
        <v>-10.644465016814099</v>
      </c>
      <c r="W17" s="3283"/>
      <c r="X17" s="3300"/>
      <c r="Y17" s="3316"/>
      <c r="AA17" s="3301"/>
      <c r="AB17" s="3409"/>
      <c r="AE17" s="1056"/>
    </row>
    <row r="18" spans="1:31" x14ac:dyDescent="0.2">
      <c r="B18" s="2978" t="s">
        <v>626</v>
      </c>
      <c r="C18" s="1074">
        <v>43116</v>
      </c>
      <c r="D18" s="1091" t="s">
        <v>507</v>
      </c>
      <c r="E18" s="1092"/>
      <c r="F18" s="2621" t="s">
        <v>468</v>
      </c>
      <c r="G18" s="1157">
        <v>4.2928240740740746E-2</v>
      </c>
      <c r="H18" s="1158">
        <v>9.9</v>
      </c>
      <c r="I18" s="1159">
        <f>G18/H18</f>
        <v>4.3361859334081557E-3</v>
      </c>
      <c r="J18" s="1160">
        <v>134</v>
      </c>
      <c r="K18" s="1161">
        <v>56</v>
      </c>
      <c r="L18" s="2801">
        <v>195</v>
      </c>
      <c r="M18" s="2823"/>
      <c r="N18" s="1082">
        <f t="shared" si="0"/>
        <v>1.0743538324420676</v>
      </c>
      <c r="O18" s="1162" t="s">
        <v>487</v>
      </c>
      <c r="P18" s="1084"/>
      <c r="Q18" s="1085"/>
      <c r="R18" s="1086"/>
      <c r="S18" s="1087">
        <f t="shared" si="1"/>
        <v>1.455223880597015</v>
      </c>
      <c r="T18" s="1088">
        <f t="shared" si="3"/>
        <v>27.706196923153708</v>
      </c>
      <c r="U18" s="1089">
        <f t="shared" si="2"/>
        <v>16.749988810243856</v>
      </c>
      <c r="V18" s="1090">
        <f t="shared" si="4"/>
        <v>-7.1978916128604169</v>
      </c>
      <c r="W18" s="3284"/>
      <c r="X18" s="3300"/>
      <c r="Y18" s="3316"/>
      <c r="AA18" s="3301"/>
      <c r="AB18" s="3409"/>
      <c r="AE18" s="1056"/>
    </row>
    <row r="19" spans="1:31" ht="16" thickBot="1" x14ac:dyDescent="0.25">
      <c r="B19" s="2979">
        <f>SUM(H17:H23)</f>
        <v>42.980000000000004</v>
      </c>
      <c r="C19" s="1163">
        <v>43117</v>
      </c>
      <c r="D19" s="1164"/>
      <c r="E19" s="1165"/>
      <c r="F19" s="2622"/>
      <c r="G19" s="1166"/>
      <c r="H19" s="1167"/>
      <c r="I19" s="1168"/>
      <c r="J19" s="1169"/>
      <c r="K19" s="1170"/>
      <c r="L19" s="2801"/>
      <c r="M19" s="2823"/>
      <c r="N19" s="1171" t="str">
        <f t="shared" si="0"/>
        <v/>
      </c>
      <c r="O19" s="1172"/>
      <c r="P19" s="1173"/>
      <c r="Q19" s="1085"/>
      <c r="R19" s="1086"/>
      <c r="S19" s="1087" t="str">
        <f t="shared" si="1"/>
        <v/>
      </c>
      <c r="T19" s="1088">
        <f t="shared" si="3"/>
        <v>23.748168791274608</v>
      </c>
      <c r="U19" s="1089">
        <f t="shared" si="2"/>
        <v>16.351179552857097</v>
      </c>
      <c r="V19" s="1090">
        <f t="shared" si="4"/>
        <v>-10.956208112909852</v>
      </c>
      <c r="W19" s="3284"/>
      <c r="X19" s="3300"/>
      <c r="Y19" s="3316"/>
      <c r="AA19" s="3301"/>
      <c r="AB19" s="3409"/>
      <c r="AE19" s="1056"/>
    </row>
    <row r="20" spans="1:31" x14ac:dyDescent="0.2">
      <c r="B20" s="2980" t="s">
        <v>628</v>
      </c>
      <c r="C20" s="1163">
        <v>43118</v>
      </c>
      <c r="D20" s="1174" t="s">
        <v>509</v>
      </c>
      <c r="E20" s="1175"/>
      <c r="F20" s="2622" t="s">
        <v>792</v>
      </c>
      <c r="G20" s="1166">
        <v>4.1840277777777775E-2</v>
      </c>
      <c r="H20" s="1167">
        <v>10.88</v>
      </c>
      <c r="I20" s="1168">
        <f>G20/H20</f>
        <v>3.8456137663398686E-3</v>
      </c>
      <c r="J20" s="1169">
        <v>147</v>
      </c>
      <c r="K20" s="1170">
        <v>71</v>
      </c>
      <c r="L20" s="2801">
        <v>214</v>
      </c>
      <c r="M20" s="2823"/>
      <c r="N20" s="1171">
        <f t="shared" si="0"/>
        <v>1.0456450043252594</v>
      </c>
      <c r="O20" s="1172" t="s">
        <v>483</v>
      </c>
      <c r="P20" s="1173"/>
      <c r="Q20" s="1085"/>
      <c r="R20" s="1086"/>
      <c r="S20" s="1087">
        <f t="shared" si="1"/>
        <v>1.4557823129251701</v>
      </c>
      <c r="T20" s="1088">
        <f t="shared" si="3"/>
        <v>30.498430392521094</v>
      </c>
      <c r="U20" s="1089">
        <f t="shared" si="2"/>
        <v>17.652341944455738</v>
      </c>
      <c r="V20" s="1090">
        <f t="shared" si="4"/>
        <v>-7.3969892384175111</v>
      </c>
      <c r="W20" s="3284"/>
      <c r="X20" s="3300"/>
      <c r="Y20" s="3316"/>
      <c r="AA20" s="3301"/>
      <c r="AB20" s="3409"/>
      <c r="AE20" s="1056"/>
    </row>
    <row r="21" spans="1:31" ht="16" thickBot="1" x14ac:dyDescent="0.25">
      <c r="B21" s="2981">
        <f>SUM(K17:K23)</f>
        <v>263</v>
      </c>
      <c r="C21" s="1163">
        <v>43119</v>
      </c>
      <c r="D21" s="1174" t="s">
        <v>510</v>
      </c>
      <c r="E21" s="1175"/>
      <c r="F21" s="2622" t="s">
        <v>468</v>
      </c>
      <c r="G21" s="1166">
        <v>4.7951388888888891E-2</v>
      </c>
      <c r="H21" s="1167">
        <v>12.2</v>
      </c>
      <c r="I21" s="1168">
        <f>G21/H21</f>
        <v>3.9304417122040074E-3</v>
      </c>
      <c r="J21" s="1169">
        <v>137</v>
      </c>
      <c r="K21" s="1170">
        <v>70</v>
      </c>
      <c r="L21" s="2801">
        <v>210</v>
      </c>
      <c r="M21" s="2823"/>
      <c r="N21" s="1171">
        <f t="shared" si="0"/>
        <v>1.0487343297974927</v>
      </c>
      <c r="O21" s="1172" t="s">
        <v>487</v>
      </c>
      <c r="P21" s="1173"/>
      <c r="Q21" s="1085"/>
      <c r="R21" s="1086"/>
      <c r="S21" s="1087">
        <f t="shared" si="1"/>
        <v>1.5328467153284671</v>
      </c>
      <c r="T21" s="1088">
        <f t="shared" si="3"/>
        <v>36.14151176501808</v>
      </c>
      <c r="U21" s="1089">
        <f t="shared" si="2"/>
        <v>18.898714755302031</v>
      </c>
      <c r="V21" s="1090">
        <f t="shared" si="4"/>
        <v>-12.846088448065355</v>
      </c>
      <c r="W21" s="3284"/>
      <c r="X21" s="3300"/>
      <c r="Y21" s="3316"/>
      <c r="AA21" s="3301"/>
      <c r="AB21" s="3409"/>
      <c r="AE21" s="1056"/>
    </row>
    <row r="22" spans="1:31" x14ac:dyDescent="0.2">
      <c r="B22" s="2982" t="s">
        <v>761</v>
      </c>
      <c r="C22" s="1163">
        <v>43120</v>
      </c>
      <c r="D22" s="1174"/>
      <c r="E22" s="1175"/>
      <c r="F22" s="2622"/>
      <c r="G22" s="1166"/>
      <c r="H22" s="1167"/>
      <c r="I22" s="1168"/>
      <c r="J22" s="1169"/>
      <c r="K22" s="1170"/>
      <c r="L22" s="2801"/>
      <c r="M22" s="2823"/>
      <c r="N22" s="1171" t="str">
        <f t="shared" si="0"/>
        <v/>
      </c>
      <c r="O22" s="1172"/>
      <c r="P22" s="1173"/>
      <c r="Q22" s="1085"/>
      <c r="R22" s="1086"/>
      <c r="S22" s="1087" t="str">
        <f t="shared" si="1"/>
        <v/>
      </c>
      <c r="T22" s="1088">
        <f t="shared" si="3"/>
        <v>30.978438655729782</v>
      </c>
      <c r="U22" s="1089">
        <f t="shared" si="2"/>
        <v>18.448745356366267</v>
      </c>
      <c r="V22" s="1090">
        <f t="shared" si="4"/>
        <v>-17.24279700971605</v>
      </c>
      <c r="W22" s="3284"/>
      <c r="X22" s="3300"/>
      <c r="Y22" s="3316"/>
      <c r="AA22" s="3301"/>
      <c r="AB22" s="3409"/>
      <c r="AE22" s="1056"/>
    </row>
    <row r="23" spans="1:31" customFormat="1" ht="16" thickBot="1" x14ac:dyDescent="0.25">
      <c r="A23" s="140"/>
      <c r="B23" s="2983"/>
      <c r="C23" s="1176">
        <v>43121</v>
      </c>
      <c r="D23" s="1177" t="s">
        <v>511</v>
      </c>
      <c r="E23" s="1178" t="s">
        <v>836</v>
      </c>
      <c r="F23" s="2623" t="s">
        <v>158</v>
      </c>
      <c r="G23" s="1179">
        <v>3.0717592592592591E-2</v>
      </c>
      <c r="H23" s="1180">
        <v>10</v>
      </c>
      <c r="I23" s="1181">
        <f>G23/H23</f>
        <v>3.0717592592592593E-3</v>
      </c>
      <c r="J23" s="1182">
        <v>161</v>
      </c>
      <c r="K23" s="1183">
        <v>66</v>
      </c>
      <c r="L23" s="2804">
        <v>255</v>
      </c>
      <c r="M23" s="2827"/>
      <c r="N23" s="1184">
        <f t="shared" si="0"/>
        <v>0.99524999999999986</v>
      </c>
      <c r="O23" s="1185" t="s">
        <v>483</v>
      </c>
      <c r="P23" s="1186"/>
      <c r="Q23" s="1187"/>
      <c r="R23" s="1105"/>
      <c r="S23" s="1106">
        <f t="shared" si="1"/>
        <v>1.5838509316770186</v>
      </c>
      <c r="T23" s="1107">
        <f t="shared" si="3"/>
        <v>35.981518847768385</v>
      </c>
      <c r="U23" s="1108">
        <f t="shared" si="2"/>
        <v>19.580918085976595</v>
      </c>
      <c r="V23" s="1109">
        <f t="shared" si="4"/>
        <v>-12.529693299363515</v>
      </c>
      <c r="W23" s="3285"/>
      <c r="X23" s="3302"/>
      <c r="Y23" s="3317"/>
      <c r="Z23" s="2597"/>
      <c r="AA23" s="3303"/>
      <c r="AB23" s="3409"/>
      <c r="AC23" s="3644"/>
      <c r="AD23" s="3644"/>
      <c r="AE23" s="1056"/>
    </row>
    <row r="24" spans="1:31" ht="16" thickBot="1" x14ac:dyDescent="0.25">
      <c r="B24" s="2977">
        <f>B17+1</f>
        <v>4</v>
      </c>
      <c r="C24" s="1110">
        <v>43122</v>
      </c>
      <c r="D24" s="1111"/>
      <c r="E24" s="1112"/>
      <c r="F24" s="2624"/>
      <c r="G24" s="1113"/>
      <c r="H24" s="1114"/>
      <c r="I24" s="1115"/>
      <c r="J24" s="1116"/>
      <c r="K24" s="1117"/>
      <c r="L24" s="1118"/>
      <c r="M24" s="2825"/>
      <c r="N24" s="1119" t="str">
        <f t="shared" si="0"/>
        <v/>
      </c>
      <c r="O24" s="1120"/>
      <c r="P24" s="1121"/>
      <c r="Q24" s="1122"/>
      <c r="R24" s="1122"/>
      <c r="S24" s="1070" t="str">
        <f t="shared" si="1"/>
        <v/>
      </c>
      <c r="T24" s="1123">
        <f t="shared" si="3"/>
        <v>30.84130186951576</v>
      </c>
      <c r="U24" s="1111">
        <f t="shared" si="2"/>
        <v>19.114705750596201</v>
      </c>
      <c r="V24" s="1124">
        <f t="shared" si="4"/>
        <v>-16.400600761791789</v>
      </c>
      <c r="W24" s="3286"/>
      <c r="X24" s="3300"/>
      <c r="Y24" s="3316"/>
      <c r="AA24" s="3301"/>
      <c r="AB24" s="3409"/>
      <c r="AE24" s="1056"/>
    </row>
    <row r="25" spans="1:31" x14ac:dyDescent="0.2">
      <c r="B25" s="2978" t="s">
        <v>626</v>
      </c>
      <c r="C25" s="1126">
        <v>43123</v>
      </c>
      <c r="D25" s="1127" t="s">
        <v>512</v>
      </c>
      <c r="E25" s="1128"/>
      <c r="F25" s="2625" t="s">
        <v>468</v>
      </c>
      <c r="G25" s="1129">
        <v>5.9432870370370372E-2</v>
      </c>
      <c r="H25" s="1130">
        <v>15.01</v>
      </c>
      <c r="I25" s="1131">
        <f>G25/H25</f>
        <v>3.9595516569200778E-3</v>
      </c>
      <c r="J25" s="1132">
        <v>137</v>
      </c>
      <c r="K25" s="1133">
        <v>84</v>
      </c>
      <c r="L25" s="2801">
        <v>208</v>
      </c>
      <c r="M25" s="2823"/>
      <c r="N25" s="1188">
        <f t="shared" si="0"/>
        <v>1.0464396284829722</v>
      </c>
      <c r="O25" s="1135" t="s">
        <v>487</v>
      </c>
      <c r="P25" s="1136"/>
      <c r="Q25" s="1137"/>
      <c r="R25" s="1086"/>
      <c r="S25" s="1087">
        <f t="shared" si="1"/>
        <v>1.5182481751824817</v>
      </c>
      <c r="T25" s="1088">
        <f t="shared" si="3"/>
        <v>38.435401602442077</v>
      </c>
      <c r="U25" s="1089">
        <f t="shared" si="2"/>
        <v>20.659593708915338</v>
      </c>
      <c r="V25" s="1090">
        <f t="shared" si="4"/>
        <v>-11.726596118919559</v>
      </c>
      <c r="W25" s="3284"/>
      <c r="X25" s="3300"/>
      <c r="Y25" s="3316"/>
      <c r="AA25" s="3301"/>
      <c r="AB25" s="3409"/>
      <c r="AE25" s="1056"/>
    </row>
    <row r="26" spans="1:31" ht="16" thickBot="1" x14ac:dyDescent="0.25">
      <c r="B26" s="2979">
        <f>SUM(H24:H30)</f>
        <v>60.78</v>
      </c>
      <c r="C26" s="1126">
        <v>43124</v>
      </c>
      <c r="D26" s="1127" t="s">
        <v>513</v>
      </c>
      <c r="E26" s="1128"/>
      <c r="F26" s="2625" t="s">
        <v>498</v>
      </c>
      <c r="G26" s="1129">
        <v>4.1539351851851855E-2</v>
      </c>
      <c r="H26" s="1130">
        <v>11.57</v>
      </c>
      <c r="I26" s="1131">
        <f>G26/H26</f>
        <v>3.5902637728480427E-3</v>
      </c>
      <c r="J26" s="1132">
        <v>153</v>
      </c>
      <c r="K26" s="1133">
        <v>74</v>
      </c>
      <c r="L26" s="2801">
        <v>223</v>
      </c>
      <c r="M26" s="2823"/>
      <c r="N26" s="1188">
        <f t="shared" si="0"/>
        <v>1.0172695612384972</v>
      </c>
      <c r="O26" s="1135" t="s">
        <v>483</v>
      </c>
      <c r="P26" s="1136"/>
      <c r="Q26" s="1137"/>
      <c r="R26" s="1086"/>
      <c r="S26" s="1087">
        <f t="shared" si="1"/>
        <v>1.457516339869281</v>
      </c>
      <c r="T26" s="1088">
        <f t="shared" si="3"/>
        <v>43.516058516378926</v>
      </c>
      <c r="U26" s="1089">
        <f t="shared" si="2"/>
        <v>21.929603382512592</v>
      </c>
      <c r="V26" s="1090">
        <f t="shared" si="4"/>
        <v>-17.775807893526739</v>
      </c>
      <c r="W26" s="3284"/>
      <c r="X26" s="3300"/>
      <c r="Y26" s="3316"/>
      <c r="AA26" s="3301"/>
      <c r="AB26" s="3409"/>
      <c r="AE26" s="1056"/>
    </row>
    <row r="27" spans="1:31" x14ac:dyDescent="0.2">
      <c r="B27" s="2980" t="s">
        <v>628</v>
      </c>
      <c r="C27" s="1126">
        <v>43125</v>
      </c>
      <c r="D27" s="1127" t="s">
        <v>514</v>
      </c>
      <c r="E27" s="1128"/>
      <c r="F27" s="2625" t="s">
        <v>469</v>
      </c>
      <c r="G27" s="1129">
        <v>4.445601851851852E-2</v>
      </c>
      <c r="H27" s="1130">
        <v>12.07</v>
      </c>
      <c r="I27" s="1131">
        <f>G27/H27</f>
        <v>3.6831829758507471E-3</v>
      </c>
      <c r="J27" s="1132">
        <v>145</v>
      </c>
      <c r="K27" s="1133">
        <v>73</v>
      </c>
      <c r="L27" s="2801">
        <v>223</v>
      </c>
      <c r="M27" s="2823"/>
      <c r="N27" s="1188">
        <f t="shared" si="0"/>
        <v>1.0435973975339929</v>
      </c>
      <c r="O27" s="1135" t="s">
        <v>471</v>
      </c>
      <c r="P27" s="1136"/>
      <c r="Q27" s="1137"/>
      <c r="R27" s="1086"/>
      <c r="S27" s="1087">
        <f t="shared" si="1"/>
        <v>1.5379310344827586</v>
      </c>
      <c r="T27" s="1088">
        <f t="shared" si="3"/>
        <v>47.728050156896224</v>
      </c>
      <c r="U27" s="1089">
        <f t="shared" si="2"/>
        <v>23.145565206738482</v>
      </c>
      <c r="V27" s="1090">
        <f t="shared" si="4"/>
        <v>-21.586455133866334</v>
      </c>
      <c r="W27" s="3284"/>
      <c r="X27" s="3300"/>
      <c r="Y27" s="3316"/>
      <c r="AA27" s="3301"/>
      <c r="AB27" s="3409"/>
      <c r="AE27" s="1056"/>
    </row>
    <row r="28" spans="1:31" ht="16" thickBot="1" x14ac:dyDescent="0.25">
      <c r="B28" s="2981">
        <f>SUM(K24:K30)</f>
        <v>360</v>
      </c>
      <c r="C28" s="1126">
        <v>43126</v>
      </c>
      <c r="D28" s="1127"/>
      <c r="E28" s="1128"/>
      <c r="F28" s="2625"/>
      <c r="G28" s="1129"/>
      <c r="H28" s="1130"/>
      <c r="I28" s="1131"/>
      <c r="J28" s="1132"/>
      <c r="K28" s="1133"/>
      <c r="L28" s="2801"/>
      <c r="M28" s="2823"/>
      <c r="N28" s="1188" t="str">
        <f t="shared" si="0"/>
        <v/>
      </c>
      <c r="O28" s="1135"/>
      <c r="P28" s="1136"/>
      <c r="Q28" s="1137"/>
      <c r="R28" s="1086"/>
      <c r="S28" s="1087" t="str">
        <f t="shared" si="1"/>
        <v/>
      </c>
      <c r="T28" s="1088">
        <f t="shared" si="3"/>
        <v>40.909757277339622</v>
      </c>
      <c r="U28" s="1089">
        <f t="shared" si="2"/>
        <v>22.594480320863756</v>
      </c>
      <c r="V28" s="1090">
        <f t="shared" si="4"/>
        <v>-24.582484950157742</v>
      </c>
      <c r="W28" s="3284"/>
      <c r="X28" s="3300"/>
      <c r="Y28" s="3316"/>
      <c r="AA28" s="3301"/>
      <c r="AB28" s="3409"/>
      <c r="AE28" s="1056"/>
    </row>
    <row r="29" spans="1:31" x14ac:dyDescent="0.2">
      <c r="B29" s="2982" t="s">
        <v>761</v>
      </c>
      <c r="C29" s="1126">
        <v>43127</v>
      </c>
      <c r="D29" s="1127" t="s">
        <v>515</v>
      </c>
      <c r="E29" s="1128"/>
      <c r="F29" s="2625" t="s">
        <v>49</v>
      </c>
      <c r="G29" s="1129">
        <v>3.2268518518518523E-2</v>
      </c>
      <c r="H29" s="1130">
        <v>10.07</v>
      </c>
      <c r="I29" s="1131">
        <f>G29/H29</f>
        <v>3.2044209055132594E-3</v>
      </c>
      <c r="J29" s="1132">
        <v>151</v>
      </c>
      <c r="K29" s="1133">
        <v>64</v>
      </c>
      <c r="L29" s="2801">
        <v>247</v>
      </c>
      <c r="M29" s="2823"/>
      <c r="N29" s="1188">
        <f t="shared" si="0"/>
        <v>1.0056603773584907</v>
      </c>
      <c r="O29" s="1135" t="s">
        <v>483</v>
      </c>
      <c r="P29" s="1136"/>
      <c r="Q29" s="1137"/>
      <c r="R29" s="1086"/>
      <c r="S29" s="1087">
        <f t="shared" si="1"/>
        <v>1.6357615894039734</v>
      </c>
      <c r="T29" s="1088">
        <f t="shared" si="3"/>
        <v>44.20836338057682</v>
      </c>
      <c r="U29" s="1089">
        <f t="shared" si="2"/>
        <v>23.580326027509859</v>
      </c>
      <c r="V29" s="1090">
        <f t="shared" si="4"/>
        <v>-18.315276956475866</v>
      </c>
      <c r="W29" s="3284"/>
      <c r="X29" s="3300"/>
      <c r="Y29" s="3316"/>
      <c r="AA29" s="3301"/>
      <c r="AB29" s="3409"/>
      <c r="AE29" s="1056"/>
    </row>
    <row r="30" spans="1:31" ht="16" thickBot="1" x14ac:dyDescent="0.25">
      <c r="B30" s="2983">
        <f>AVERAGE(W24:W30)</f>
        <v>1.9204437097870322</v>
      </c>
      <c r="C30" s="1189">
        <v>43128</v>
      </c>
      <c r="D30" s="1139" t="s">
        <v>516</v>
      </c>
      <c r="E30" s="1140"/>
      <c r="F30" s="2626" t="s">
        <v>468</v>
      </c>
      <c r="G30" s="1141">
        <v>5.1168981481481489E-2</v>
      </c>
      <c r="H30" s="1142">
        <v>12.06</v>
      </c>
      <c r="I30" s="1143">
        <f>G30/H30</f>
        <v>4.2428674528591616E-3</v>
      </c>
      <c r="J30" s="1144">
        <v>123</v>
      </c>
      <c r="K30" s="1145">
        <v>65</v>
      </c>
      <c r="L30" s="2803">
        <v>193</v>
      </c>
      <c r="M30" s="2826"/>
      <c r="N30" s="1147">
        <f t="shared" si="0"/>
        <v>1.0404509316164279</v>
      </c>
      <c r="O30" s="1148" t="s">
        <v>487</v>
      </c>
      <c r="P30" s="1149"/>
      <c r="Q30" s="1150"/>
      <c r="R30" s="1151"/>
      <c r="S30" s="1106">
        <f t="shared" si="1"/>
        <v>1.5691056910569106</v>
      </c>
      <c r="T30" s="1152">
        <f t="shared" si="3"/>
        <v>47.178597183351563</v>
      </c>
      <c r="U30" s="1153">
        <f t="shared" si="2"/>
        <v>24.566508741140577</v>
      </c>
      <c r="V30" s="1154">
        <f t="shared" si="4"/>
        <v>-20.628037353066961</v>
      </c>
      <c r="W30" s="3287">
        <f>T30/U30</f>
        <v>1.9204437097870322</v>
      </c>
      <c r="X30" s="3300"/>
      <c r="Y30" s="3316"/>
      <c r="AA30" s="3301"/>
      <c r="AB30" s="3409"/>
      <c r="AE30" s="1056"/>
    </row>
    <row r="31" spans="1:31" ht="16" thickBot="1" x14ac:dyDescent="0.25">
      <c r="B31" s="2977">
        <f>B24+1</f>
        <v>5</v>
      </c>
      <c r="C31" s="1190">
        <v>43129</v>
      </c>
      <c r="D31" s="1191"/>
      <c r="E31" s="1192"/>
      <c r="F31" s="2627"/>
      <c r="G31" s="1193"/>
      <c r="H31" s="1194"/>
      <c r="I31" s="1195"/>
      <c r="J31" s="1196"/>
      <c r="K31" s="1197"/>
      <c r="L31" s="2800"/>
      <c r="M31" s="2822"/>
      <c r="N31" s="1199" t="str">
        <f t="shared" si="0"/>
        <v/>
      </c>
      <c r="O31" s="1200"/>
      <c r="P31" s="1201"/>
      <c r="Q31" s="1202"/>
      <c r="R31" s="1069"/>
      <c r="S31" s="1070" t="str">
        <f t="shared" si="1"/>
        <v/>
      </c>
      <c r="T31" s="1203">
        <f t="shared" si="3"/>
        <v>40.438797585729908</v>
      </c>
      <c r="U31" s="1191">
        <f t="shared" si="2"/>
        <v>23.981591866351515</v>
      </c>
      <c r="V31" s="1073">
        <f t="shared" si="4"/>
        <v>-22.612088442210986</v>
      </c>
      <c r="W31" s="3283">
        <f t="shared" ref="W31:W94" si="5">T31/U31</f>
        <v>1.6862432573739794</v>
      </c>
      <c r="X31" s="3300"/>
      <c r="Y31" s="3316"/>
      <c r="AA31" s="3301"/>
      <c r="AB31" s="3409"/>
      <c r="AE31" s="1056"/>
    </row>
    <row r="32" spans="1:31" x14ac:dyDescent="0.2">
      <c r="B32" s="2978" t="s">
        <v>626</v>
      </c>
      <c r="C32" s="1204">
        <v>43130</v>
      </c>
      <c r="D32" s="1089" t="s">
        <v>518</v>
      </c>
      <c r="E32" s="1205"/>
      <c r="F32" s="2628" t="s">
        <v>468</v>
      </c>
      <c r="G32" s="1166">
        <v>5.8726851851851856E-2</v>
      </c>
      <c r="H32" s="1167">
        <v>15.21</v>
      </c>
      <c r="I32" s="1168">
        <f>G32/H32</f>
        <v>3.8610684978206346E-3</v>
      </c>
      <c r="J32" s="1169">
        <v>138</v>
      </c>
      <c r="K32" s="1206">
        <v>87</v>
      </c>
      <c r="L32" s="2801">
        <v>212</v>
      </c>
      <c r="M32" s="2823"/>
      <c r="N32" s="1208">
        <f t="shared" si="0"/>
        <v>1.0400355803070735</v>
      </c>
      <c r="O32" s="1209" t="s">
        <v>487</v>
      </c>
      <c r="P32" s="1136"/>
      <c r="Q32" s="1137"/>
      <c r="R32" s="1086"/>
      <c r="S32" s="1087">
        <f t="shared" si="1"/>
        <v>1.536231884057971</v>
      </c>
      <c r="T32" s="1210">
        <f t="shared" si="3"/>
        <v>47.090397930625635</v>
      </c>
      <c r="U32" s="1089">
        <f t="shared" si="2"/>
        <v>25.482030155247909</v>
      </c>
      <c r="V32" s="1090">
        <f t="shared" si="4"/>
        <v>-16.457205719378393</v>
      </c>
      <c r="W32" s="3284">
        <f t="shared" si="5"/>
        <v>1.8479845461185744</v>
      </c>
      <c r="X32" s="3300"/>
      <c r="Y32" s="3316"/>
      <c r="AA32" s="3301"/>
      <c r="AB32" s="3409"/>
      <c r="AE32" s="1056"/>
    </row>
    <row r="33" spans="2:31" ht="16" thickBot="1" x14ac:dyDescent="0.25">
      <c r="B33" s="2979">
        <f>SUM(H31:H37)</f>
        <v>70.040000000000006</v>
      </c>
      <c r="C33" s="1204">
        <v>43131</v>
      </c>
      <c r="D33" s="1089" t="s">
        <v>519</v>
      </c>
      <c r="E33" s="1205"/>
      <c r="F33" s="2628" t="s">
        <v>469</v>
      </c>
      <c r="G33" s="1166">
        <v>4.1701388888888885E-2</v>
      </c>
      <c r="H33" s="1167">
        <v>11.45</v>
      </c>
      <c r="I33" s="1168">
        <f>G33/H33</f>
        <v>3.6420426977195534E-3</v>
      </c>
      <c r="J33" s="1169">
        <v>146</v>
      </c>
      <c r="K33" s="1206">
        <v>72</v>
      </c>
      <c r="L33" s="2801">
        <v>230</v>
      </c>
      <c r="M33" s="2823"/>
      <c r="N33" s="1208">
        <f t="shared" si="0"/>
        <v>1.0643334189571023</v>
      </c>
      <c r="O33" s="1209" t="s">
        <v>471</v>
      </c>
      <c r="P33" s="1136"/>
      <c r="Q33" s="1137"/>
      <c r="R33" s="1086"/>
      <c r="S33" s="1087">
        <f t="shared" si="1"/>
        <v>1.5753424657534247</v>
      </c>
      <c r="T33" s="1210">
        <f t="shared" si="3"/>
        <v>50.648912511964831</v>
      </c>
      <c r="U33" s="1089">
        <f t="shared" si="2"/>
        <v>26.589600865837244</v>
      </c>
      <c r="V33" s="1090">
        <f t="shared" si="4"/>
        <v>-21.608367775377726</v>
      </c>
      <c r="W33" s="3284">
        <f t="shared" si="5"/>
        <v>1.9048391424724012</v>
      </c>
      <c r="X33" s="3300"/>
      <c r="Y33" s="3316"/>
      <c r="AA33" s="3301"/>
      <c r="AB33" s="3409"/>
      <c r="AE33" s="1056"/>
    </row>
    <row r="34" spans="2:31" x14ac:dyDescent="0.2">
      <c r="B34" s="2980" t="s">
        <v>628</v>
      </c>
      <c r="C34" s="1211">
        <v>43132</v>
      </c>
      <c r="D34" s="1212"/>
      <c r="E34" s="1213"/>
      <c r="F34" s="2628"/>
      <c r="G34" s="1166"/>
      <c r="H34" s="1167"/>
      <c r="I34" s="1168"/>
      <c r="J34" s="1169"/>
      <c r="K34" s="1206"/>
      <c r="L34" s="2801"/>
      <c r="M34" s="2823"/>
      <c r="N34" s="1208" t="str">
        <f t="shared" ref="N34:N65" si="6">IFERROR((L34/68)/(1/(I34*24)/3.6),"")</f>
        <v/>
      </c>
      <c r="O34" s="1209"/>
      <c r="P34" s="1136"/>
      <c r="Q34" s="1137"/>
      <c r="R34" s="1086"/>
      <c r="S34" s="1087" t="str">
        <f t="shared" ref="S34:S65" si="7">IFERROR(L34/J34,"")</f>
        <v/>
      </c>
      <c r="T34" s="1210">
        <f t="shared" si="3"/>
        <v>43.413353581684142</v>
      </c>
      <c r="U34" s="1089">
        <f t="shared" si="2"/>
        <v>25.956515130936356</v>
      </c>
      <c r="V34" s="1090">
        <f t="shared" si="4"/>
        <v>-24.059311646127586</v>
      </c>
      <c r="W34" s="3284">
        <f t="shared" si="5"/>
        <v>1.672541686073328</v>
      </c>
      <c r="X34" s="3300"/>
      <c r="Y34" s="3316"/>
      <c r="AA34" s="3301"/>
      <c r="AB34" s="3409"/>
      <c r="AE34" s="1056"/>
    </row>
    <row r="35" spans="2:31" ht="16" thickBot="1" x14ac:dyDescent="0.25">
      <c r="B35" s="2981">
        <f>SUM(K31:K37)</f>
        <v>398</v>
      </c>
      <c r="C35" s="1211">
        <v>43133</v>
      </c>
      <c r="D35" s="1212" t="s">
        <v>520</v>
      </c>
      <c r="E35" s="1213"/>
      <c r="F35" s="2628" t="s">
        <v>469</v>
      </c>
      <c r="G35" s="1166">
        <v>4.5335648148148146E-2</v>
      </c>
      <c r="H35" s="1167">
        <v>13.3</v>
      </c>
      <c r="I35" s="1168">
        <f>G35/H35</f>
        <v>3.4086953494848228E-3</v>
      </c>
      <c r="J35" s="1169">
        <v>148</v>
      </c>
      <c r="K35" s="1206">
        <v>83</v>
      </c>
      <c r="L35" s="2801">
        <v>236</v>
      </c>
      <c r="M35" s="2823"/>
      <c r="N35" s="1208">
        <f t="shared" si="6"/>
        <v>1.0221273772666961</v>
      </c>
      <c r="O35" s="1209" t="s">
        <v>471</v>
      </c>
      <c r="P35" s="1136"/>
      <c r="Q35" s="1137"/>
      <c r="R35" s="1086"/>
      <c r="S35" s="1087">
        <f t="shared" si="7"/>
        <v>1.5945945945945945</v>
      </c>
      <c r="T35" s="1210">
        <f t="shared" si="3"/>
        <v>49.068588784300694</v>
      </c>
      <c r="U35" s="1089">
        <f t="shared" si="2"/>
        <v>27.31469334210454</v>
      </c>
      <c r="V35" s="1090">
        <f t="shared" si="4"/>
        <v>-17.456838450747785</v>
      </c>
      <c r="W35" s="3284">
        <f t="shared" si="5"/>
        <v>1.7964173410163593</v>
      </c>
      <c r="X35" s="3300"/>
      <c r="Y35" s="3316"/>
      <c r="AA35" s="3301"/>
      <c r="AB35" s="3409"/>
      <c r="AE35" s="1056"/>
    </row>
    <row r="36" spans="2:31" x14ac:dyDescent="0.2">
      <c r="B36" s="2982" t="s">
        <v>761</v>
      </c>
      <c r="C36" s="1211">
        <v>43134</v>
      </c>
      <c r="D36" s="1212" t="s">
        <v>521</v>
      </c>
      <c r="E36" s="1213"/>
      <c r="F36" s="2628" t="s">
        <v>468</v>
      </c>
      <c r="G36" s="1166">
        <v>8.8993055555555547E-2</v>
      </c>
      <c r="H36" s="1167">
        <v>22.07</v>
      </c>
      <c r="I36" s="1168">
        <f>G36/H36</f>
        <v>4.0323088153853895E-3</v>
      </c>
      <c r="J36" s="1169">
        <v>130</v>
      </c>
      <c r="K36" s="1206">
        <v>123</v>
      </c>
      <c r="L36" s="2801">
        <v>202</v>
      </c>
      <c r="M36" s="2823"/>
      <c r="N36" s="1208">
        <f t="shared" si="6"/>
        <v>1.03492763666409</v>
      </c>
      <c r="O36" s="1209" t="s">
        <v>487</v>
      </c>
      <c r="P36" s="1136"/>
      <c r="Q36" s="1137"/>
      <c r="R36" s="1086"/>
      <c r="S36" s="1087">
        <f t="shared" si="7"/>
        <v>1.5538461538461539</v>
      </c>
      <c r="T36" s="1210">
        <f t="shared" si="3"/>
        <v>59.630218957972026</v>
      </c>
      <c r="U36" s="1089">
        <f t="shared" si="2"/>
        <v>29.592914929197288</v>
      </c>
      <c r="V36" s="1090">
        <f t="shared" si="4"/>
        <v>-21.753895442196153</v>
      </c>
      <c r="W36" s="3284">
        <f t="shared" si="5"/>
        <v>2.0150167396703123</v>
      </c>
      <c r="X36" s="3300"/>
      <c r="Y36" s="3316"/>
      <c r="AA36" s="3301"/>
      <c r="AB36" s="3409"/>
      <c r="AE36" s="1056"/>
    </row>
    <row r="37" spans="2:31" ht="16" thickBot="1" x14ac:dyDescent="0.25">
      <c r="B37" s="2983">
        <f>AVERAGE(W31:W37)</f>
        <v>1.8291924806230557</v>
      </c>
      <c r="C37" s="1214">
        <v>43135</v>
      </c>
      <c r="D37" s="1215" t="s">
        <v>522</v>
      </c>
      <c r="E37" s="1216"/>
      <c r="F37" s="2629" t="s">
        <v>468</v>
      </c>
      <c r="G37" s="1217">
        <v>4.2951388888888886E-2</v>
      </c>
      <c r="H37" s="1218">
        <v>8.01</v>
      </c>
      <c r="I37" s="1219">
        <f>G37/H37</f>
        <v>5.3622208350672766E-3</v>
      </c>
      <c r="J37" s="1220">
        <v>108</v>
      </c>
      <c r="K37" s="1221">
        <v>33</v>
      </c>
      <c r="L37" s="2802">
        <v>153</v>
      </c>
      <c r="M37" s="2824"/>
      <c r="N37" s="1223">
        <f t="shared" si="6"/>
        <v>1.0424157303370787</v>
      </c>
      <c r="O37" s="1224" t="s">
        <v>487</v>
      </c>
      <c r="P37" s="1225"/>
      <c r="Q37" s="1226"/>
      <c r="R37" s="1105"/>
      <c r="S37" s="1106">
        <f t="shared" si="7"/>
        <v>1.4166666666666667</v>
      </c>
      <c r="T37" s="1227">
        <f t="shared" si="3"/>
        <v>55.825901963976023</v>
      </c>
      <c r="U37" s="1108">
        <f t="shared" si="2"/>
        <v>29.674036002311638</v>
      </c>
      <c r="V37" s="1228">
        <f t="shared" si="4"/>
        <v>-30.037304028774738</v>
      </c>
      <c r="W37" s="3285">
        <f t="shared" si="5"/>
        <v>1.8813046516364382</v>
      </c>
      <c r="X37" s="3300"/>
      <c r="Y37" s="3316"/>
      <c r="AA37" s="3301"/>
      <c r="AB37" s="3409"/>
      <c r="AE37" s="1056"/>
    </row>
    <row r="38" spans="2:31" ht="16" thickBot="1" x14ac:dyDescent="0.25">
      <c r="B38" s="2977">
        <f>B31+1</f>
        <v>6</v>
      </c>
      <c r="C38" s="1110">
        <v>43136</v>
      </c>
      <c r="D38" s="1111" t="s">
        <v>523</v>
      </c>
      <c r="E38" s="1112"/>
      <c r="F38" s="2630" t="s">
        <v>627</v>
      </c>
      <c r="G38" s="1113">
        <v>3.4768518518518525E-2</v>
      </c>
      <c r="H38" s="1229">
        <v>9.1999999999999993</v>
      </c>
      <c r="I38" s="1230">
        <f>G38/H38</f>
        <v>3.7791867954911442E-3</v>
      </c>
      <c r="J38" s="1231">
        <v>139</v>
      </c>
      <c r="K38" s="1117">
        <v>61</v>
      </c>
      <c r="L38" s="1118">
        <v>206</v>
      </c>
      <c r="M38" s="2825"/>
      <c r="N38" s="1119">
        <f t="shared" si="6"/>
        <v>0.98916879795396451</v>
      </c>
      <c r="O38" s="1120" t="s">
        <v>483</v>
      </c>
      <c r="P38" s="1121"/>
      <c r="Q38" s="1122"/>
      <c r="R38" s="1122"/>
      <c r="S38" s="1070">
        <f t="shared" si="7"/>
        <v>1.4820143884892085</v>
      </c>
      <c r="T38" s="1123">
        <f t="shared" si="3"/>
        <v>56.565058826265165</v>
      </c>
      <c r="U38" s="1111">
        <f t="shared" si="2"/>
        <v>30.419892287970885</v>
      </c>
      <c r="V38" s="1124">
        <f t="shared" si="4"/>
        <v>-26.151865961664384</v>
      </c>
      <c r="W38" s="3286">
        <f t="shared" si="5"/>
        <v>1.8594759735106956</v>
      </c>
      <c r="X38" s="3300"/>
      <c r="Y38" s="3316"/>
      <c r="AA38" s="3301"/>
      <c r="AB38" s="3409"/>
      <c r="AE38" s="1056"/>
    </row>
    <row r="39" spans="2:31" x14ac:dyDescent="0.2">
      <c r="B39" s="2978" t="s">
        <v>626</v>
      </c>
      <c r="C39" s="1126">
        <v>43137</v>
      </c>
      <c r="D39" s="1127"/>
      <c r="E39" s="1128"/>
      <c r="F39" s="2625"/>
      <c r="G39" s="1129"/>
      <c r="H39" s="1130"/>
      <c r="I39" s="1131"/>
      <c r="J39" s="1132"/>
      <c r="K39" s="1133"/>
      <c r="L39" s="2801"/>
      <c r="M39" s="2823"/>
      <c r="N39" s="1188" t="str">
        <f t="shared" si="6"/>
        <v/>
      </c>
      <c r="O39" s="1135"/>
      <c r="P39" s="1136"/>
      <c r="Q39" s="1137"/>
      <c r="R39" s="1086"/>
      <c r="S39" s="1087" t="str">
        <f t="shared" si="7"/>
        <v/>
      </c>
      <c r="T39" s="1088">
        <f t="shared" si="3"/>
        <v>48.484336136798717</v>
      </c>
      <c r="U39" s="1089">
        <f t="shared" si="2"/>
        <v>29.695609138257293</v>
      </c>
      <c r="V39" s="1090">
        <f t="shared" si="4"/>
        <v>-26.14516653829428</v>
      </c>
      <c r="W39" s="3284">
        <f t="shared" si="5"/>
        <v>1.6327106108874403</v>
      </c>
      <c r="X39" s="3300"/>
      <c r="Y39" s="3316"/>
      <c r="AA39" s="3301"/>
      <c r="AB39" s="3409"/>
      <c r="AE39" s="1056"/>
    </row>
    <row r="40" spans="2:31" ht="16" thickBot="1" x14ac:dyDescent="0.25">
      <c r="B40" s="2979">
        <f>SUM(H38:H44)</f>
        <v>41.37</v>
      </c>
      <c r="C40" s="1126">
        <v>43138</v>
      </c>
      <c r="D40" s="1127" t="s">
        <v>524</v>
      </c>
      <c r="E40" s="1128"/>
      <c r="F40" s="2625" t="s">
        <v>468</v>
      </c>
      <c r="G40" s="1129">
        <v>3.8993055555555552E-2</v>
      </c>
      <c r="H40" s="1130">
        <v>10.06</v>
      </c>
      <c r="I40" s="1131">
        <f>G40/H40</f>
        <v>3.8760492599955814E-3</v>
      </c>
      <c r="J40" s="1132">
        <v>135</v>
      </c>
      <c r="K40" s="1133">
        <v>57</v>
      </c>
      <c r="L40" s="2801">
        <v>211</v>
      </c>
      <c r="M40" s="2823"/>
      <c r="N40" s="1188">
        <f t="shared" si="6"/>
        <v>1.0391460063150506</v>
      </c>
      <c r="O40" s="1135" t="s">
        <v>487</v>
      </c>
      <c r="P40" s="1136"/>
      <c r="Q40" s="1137"/>
      <c r="R40" s="1086"/>
      <c r="S40" s="1087">
        <f t="shared" si="7"/>
        <v>1.5629629629629629</v>
      </c>
      <c r="T40" s="1088">
        <f t="shared" si="3"/>
        <v>49.70085954582747</v>
      </c>
      <c r="U40" s="1089">
        <f t="shared" si="2"/>
        <v>30.345713682584499</v>
      </c>
      <c r="V40" s="1090">
        <f t="shared" si="4"/>
        <v>-18.788726998541424</v>
      </c>
      <c r="W40" s="3284">
        <f t="shared" si="5"/>
        <v>1.6378214091682723</v>
      </c>
      <c r="X40" s="3300"/>
      <c r="Y40" s="3316"/>
      <c r="AA40" s="3301"/>
      <c r="AB40" s="3409"/>
      <c r="AE40" s="1056"/>
    </row>
    <row r="41" spans="2:31" x14ac:dyDescent="0.2">
      <c r="B41" s="2980" t="s">
        <v>628</v>
      </c>
      <c r="C41" s="1126">
        <v>43139</v>
      </c>
      <c r="D41" s="1127" t="s">
        <v>525</v>
      </c>
      <c r="E41" s="1128"/>
      <c r="F41" s="2625" t="s">
        <v>469</v>
      </c>
      <c r="G41" s="1129">
        <v>4.6851851851851846E-2</v>
      </c>
      <c r="H41" s="1130">
        <v>11.91</v>
      </c>
      <c r="I41" s="1131">
        <f>G41/H41</f>
        <v>3.9338246726995669E-3</v>
      </c>
      <c r="J41" s="1132">
        <v>135</v>
      </c>
      <c r="K41" s="1133">
        <v>74</v>
      </c>
      <c r="L41" s="2801">
        <v>212</v>
      </c>
      <c r="M41" s="2823"/>
      <c r="N41" s="1188">
        <f t="shared" si="6"/>
        <v>1.0596335259544623</v>
      </c>
      <c r="O41" s="1135" t="s">
        <v>471</v>
      </c>
      <c r="P41" s="1136"/>
      <c r="Q41" s="1137"/>
      <c r="R41" s="1086"/>
      <c r="S41" s="1087">
        <f t="shared" si="7"/>
        <v>1.5703703703703704</v>
      </c>
      <c r="T41" s="1088">
        <f t="shared" si="3"/>
        <v>53.172165324994971</v>
      </c>
      <c r="U41" s="1089">
        <f t="shared" si="2"/>
        <v>31.385101452046772</v>
      </c>
      <c r="V41" s="1090">
        <f t="shared" si="4"/>
        <v>-19.355145863242971</v>
      </c>
      <c r="W41" s="3284">
        <f t="shared" si="5"/>
        <v>1.694184911469431</v>
      </c>
      <c r="X41" s="3300"/>
      <c r="Y41" s="3316"/>
      <c r="AA41" s="3301"/>
      <c r="AB41" s="3409"/>
      <c r="AE41" s="1056"/>
    </row>
    <row r="42" spans="2:31" ht="16" thickBot="1" x14ac:dyDescent="0.25">
      <c r="B42" s="2981">
        <f>SUM(K38:K44)</f>
        <v>260</v>
      </c>
      <c r="C42" s="1126">
        <v>43140</v>
      </c>
      <c r="D42" s="1127"/>
      <c r="E42" s="1128"/>
      <c r="F42" s="2625"/>
      <c r="G42" s="1129"/>
      <c r="H42" s="1130"/>
      <c r="I42" s="1131"/>
      <c r="J42" s="1132"/>
      <c r="K42" s="1133"/>
      <c r="L42" s="2801"/>
      <c r="M42" s="2823"/>
      <c r="N42" s="1188" t="str">
        <f t="shared" si="6"/>
        <v/>
      </c>
      <c r="O42" s="1135"/>
      <c r="P42" s="1136"/>
      <c r="Q42" s="1137"/>
      <c r="R42" s="1086"/>
      <c r="S42" s="1087" t="str">
        <f t="shared" si="7"/>
        <v/>
      </c>
      <c r="T42" s="1088">
        <f t="shared" si="3"/>
        <v>45.576141707138547</v>
      </c>
      <c r="U42" s="1089">
        <f t="shared" si="2"/>
        <v>30.637837131759944</v>
      </c>
      <c r="V42" s="1090">
        <f t="shared" si="4"/>
        <v>-21.787063872948199</v>
      </c>
      <c r="W42" s="3284">
        <f t="shared" si="5"/>
        <v>1.4875769954365736</v>
      </c>
      <c r="X42" s="3300"/>
      <c r="Y42" s="3316"/>
      <c r="AA42" s="3301"/>
      <c r="AB42" s="3409"/>
      <c r="AE42" s="1056"/>
    </row>
    <row r="43" spans="2:31" x14ac:dyDescent="0.2">
      <c r="B43" s="2982" t="s">
        <v>761</v>
      </c>
      <c r="C43" s="1126">
        <v>43141</v>
      </c>
      <c r="D43" s="1127" t="s">
        <v>526</v>
      </c>
      <c r="E43" s="1128"/>
      <c r="F43" s="2625" t="s">
        <v>49</v>
      </c>
      <c r="G43" s="1129">
        <v>3.0902777777777779E-2</v>
      </c>
      <c r="H43" s="1130">
        <v>10.199999999999999</v>
      </c>
      <c r="I43" s="1131">
        <f>G43/H43</f>
        <v>3.0296840958605668E-3</v>
      </c>
      <c r="J43" s="1132">
        <v>159</v>
      </c>
      <c r="K43" s="1133">
        <v>68</v>
      </c>
      <c r="L43" s="2801">
        <v>259</v>
      </c>
      <c r="M43" s="2823"/>
      <c r="N43" s="1188">
        <f t="shared" si="6"/>
        <v>0.99701557093425597</v>
      </c>
      <c r="O43" s="1135" t="s">
        <v>483</v>
      </c>
      <c r="P43" s="1136"/>
      <c r="Q43" s="1137"/>
      <c r="R43" s="1086"/>
      <c r="S43" s="1087">
        <f t="shared" si="7"/>
        <v>1.628930817610063</v>
      </c>
      <c r="T43" s="1088">
        <f t="shared" si="3"/>
        <v>48.779550034690182</v>
      </c>
      <c r="U43" s="1089">
        <f t="shared" si="2"/>
        <v>31.527412438146612</v>
      </c>
      <c r="V43" s="1090">
        <f t="shared" si="4"/>
        <v>-14.938304575378602</v>
      </c>
      <c r="W43" s="3284">
        <f t="shared" si="5"/>
        <v>1.5472107052994091</v>
      </c>
      <c r="X43" s="3300"/>
      <c r="Y43" s="3316"/>
      <c r="AA43" s="3301"/>
      <c r="AB43" s="3409"/>
      <c r="AE43" s="1056"/>
    </row>
    <row r="44" spans="2:31" ht="16" thickBot="1" x14ac:dyDescent="0.25">
      <c r="B44" s="2983">
        <f>AVERAGE(W38:W44)</f>
        <v>1.6025010112453779</v>
      </c>
      <c r="C44" s="1189">
        <v>43142</v>
      </c>
      <c r="D44" s="1232"/>
      <c r="E44" s="1233"/>
      <c r="F44" s="2626"/>
      <c r="G44" s="1141"/>
      <c r="H44" s="1234"/>
      <c r="I44" s="1235"/>
      <c r="J44" s="1236"/>
      <c r="K44" s="1237"/>
      <c r="L44" s="2803"/>
      <c r="M44" s="2826"/>
      <c r="N44" s="1238" t="str">
        <f t="shared" si="6"/>
        <v/>
      </c>
      <c r="O44" s="1148"/>
      <c r="P44" s="1149"/>
      <c r="Q44" s="1151"/>
      <c r="R44" s="1151"/>
      <c r="S44" s="1106" t="str">
        <f t="shared" si="7"/>
        <v/>
      </c>
      <c r="T44" s="1239">
        <f t="shared" si="3"/>
        <v>41.811042886877296</v>
      </c>
      <c r="U44" s="1232">
        <f t="shared" si="2"/>
        <v>30.776759761047884</v>
      </c>
      <c r="V44" s="1240">
        <f t="shared" si="4"/>
        <v>-17.252137596543569</v>
      </c>
      <c r="W44" s="3287">
        <f t="shared" si="5"/>
        <v>1.3585264729458224</v>
      </c>
      <c r="X44" s="3300"/>
      <c r="Y44" s="3316"/>
      <c r="AA44" s="3301"/>
      <c r="AB44" s="3409"/>
      <c r="AE44" s="1056"/>
    </row>
    <row r="45" spans="2:31" ht="16" thickBot="1" x14ac:dyDescent="0.25">
      <c r="B45" s="2977">
        <f>B38+1</f>
        <v>7</v>
      </c>
      <c r="C45" s="1241">
        <v>43143</v>
      </c>
      <c r="D45" s="1242" t="s">
        <v>527</v>
      </c>
      <c r="E45" s="1243"/>
      <c r="F45" s="2627" t="s">
        <v>469</v>
      </c>
      <c r="G45" s="1193">
        <v>5.8622685185185187E-2</v>
      </c>
      <c r="H45" s="1194">
        <v>16.2</v>
      </c>
      <c r="I45" s="1195">
        <f>G45/H45</f>
        <v>3.6186842706904436E-3</v>
      </c>
      <c r="J45" s="1196">
        <v>142</v>
      </c>
      <c r="K45" s="1197">
        <v>104</v>
      </c>
      <c r="L45" s="2800">
        <v>232</v>
      </c>
      <c r="M45" s="2822"/>
      <c r="N45" s="1199">
        <f t="shared" si="6"/>
        <v>1.0667029774872914</v>
      </c>
      <c r="O45" s="1200" t="s">
        <v>471</v>
      </c>
      <c r="P45" s="1201"/>
      <c r="Q45" s="1202"/>
      <c r="R45" s="1069"/>
      <c r="S45" s="1070">
        <f t="shared" si="7"/>
        <v>1.6338028169014085</v>
      </c>
      <c r="T45" s="1203">
        <f t="shared" si="3"/>
        <v>50.695179617323397</v>
      </c>
      <c r="U45" s="1191">
        <f t="shared" si="2"/>
        <v>32.520170242927698</v>
      </c>
      <c r="V45" s="1244">
        <f t="shared" si="4"/>
        <v>-11.034283125829411</v>
      </c>
      <c r="W45" s="3283">
        <f t="shared" si="5"/>
        <v>1.5588842013626389</v>
      </c>
      <c r="X45" s="3300"/>
      <c r="Y45" s="3316"/>
      <c r="AA45" s="3301"/>
      <c r="AB45" s="3409"/>
      <c r="AE45" s="1056"/>
    </row>
    <row r="46" spans="2:31" x14ac:dyDescent="0.2">
      <c r="B46" s="2978" t="s">
        <v>626</v>
      </c>
      <c r="C46" s="1211">
        <v>43144</v>
      </c>
      <c r="D46" s="1212"/>
      <c r="E46" s="1213"/>
      <c r="F46" s="2628"/>
      <c r="G46" s="1166"/>
      <c r="H46" s="1167"/>
      <c r="I46" s="1168"/>
      <c r="J46" s="1169"/>
      <c r="K46" s="1206"/>
      <c r="L46" s="2801"/>
      <c r="M46" s="2823"/>
      <c r="N46" s="1208" t="str">
        <f t="shared" si="6"/>
        <v/>
      </c>
      <c r="O46" s="1209"/>
      <c r="P46" s="1136"/>
      <c r="Q46" s="1137"/>
      <c r="R46" s="1086"/>
      <c r="S46" s="1087" t="str">
        <f t="shared" si="7"/>
        <v/>
      </c>
      <c r="T46" s="1210">
        <f t="shared" si="3"/>
        <v>43.453011100562911</v>
      </c>
      <c r="U46" s="1089">
        <f t="shared" si="2"/>
        <v>31.745880475238945</v>
      </c>
      <c r="V46" s="1090">
        <f t="shared" si="4"/>
        <v>-18.1750093743957</v>
      </c>
      <c r="W46" s="3284">
        <f t="shared" si="5"/>
        <v>1.3687763719281707</v>
      </c>
      <c r="X46" s="3300"/>
      <c r="Y46" s="3316"/>
      <c r="AA46" s="3301"/>
      <c r="AB46" s="3409"/>
      <c r="AE46" s="1056"/>
    </row>
    <row r="47" spans="2:31" ht="16" thickBot="1" x14ac:dyDescent="0.25">
      <c r="B47" s="2979">
        <f>SUM(H45:H51)</f>
        <v>76.11</v>
      </c>
      <c r="C47" s="1204">
        <v>43145</v>
      </c>
      <c r="D47" s="1089" t="s">
        <v>528</v>
      </c>
      <c r="E47" s="1205"/>
      <c r="F47" s="2628" t="s">
        <v>792</v>
      </c>
      <c r="G47" s="1166">
        <v>5.752314814814815E-2</v>
      </c>
      <c r="H47" s="1167">
        <v>15.23</v>
      </c>
      <c r="I47" s="1168">
        <f>G47/H47</f>
        <v>3.7769631088738114E-3</v>
      </c>
      <c r="J47" s="1169">
        <v>143</v>
      </c>
      <c r="K47" s="1206">
        <v>98</v>
      </c>
      <c r="L47" s="2801">
        <v>206</v>
      </c>
      <c r="M47" s="2823"/>
      <c r="N47" s="1208">
        <f t="shared" si="6"/>
        <v>0.98858676760264197</v>
      </c>
      <c r="O47" s="1209" t="s">
        <v>483</v>
      </c>
      <c r="P47" s="1136"/>
      <c r="Q47" s="1137"/>
      <c r="R47" s="1086"/>
      <c r="S47" s="1087">
        <f t="shared" si="7"/>
        <v>1.4405594405594406</v>
      </c>
      <c r="T47" s="1210">
        <f t="shared" si="3"/>
        <v>51.245438086196778</v>
      </c>
      <c r="U47" s="1089">
        <f t="shared" si="2"/>
        <v>33.323359511542776</v>
      </c>
      <c r="V47" s="1090">
        <f t="shared" si="4"/>
        <v>-11.707130625323966</v>
      </c>
      <c r="W47" s="3284">
        <f t="shared" si="5"/>
        <v>1.5378232818466586</v>
      </c>
      <c r="X47" s="3300"/>
      <c r="Y47" s="3316"/>
      <c r="AA47" s="3301"/>
      <c r="AB47" s="3409"/>
      <c r="AE47" s="1056"/>
    </row>
    <row r="48" spans="2:31" x14ac:dyDescent="0.2">
      <c r="B48" s="2980" t="s">
        <v>628</v>
      </c>
      <c r="C48" s="1211">
        <v>43146</v>
      </c>
      <c r="D48" s="1212" t="s">
        <v>529</v>
      </c>
      <c r="E48" s="1213"/>
      <c r="F48" s="2628" t="s">
        <v>468</v>
      </c>
      <c r="G48" s="1166">
        <v>4.2743055555555555E-2</v>
      </c>
      <c r="H48" s="1167">
        <v>9.77</v>
      </c>
      <c r="I48" s="1168">
        <f>G48/H48</f>
        <v>4.3749289207324011E-3</v>
      </c>
      <c r="J48" s="1169">
        <v>125</v>
      </c>
      <c r="K48" s="1206">
        <v>53</v>
      </c>
      <c r="L48" s="2801">
        <v>192</v>
      </c>
      <c r="M48" s="2823"/>
      <c r="N48" s="1208">
        <f t="shared" si="6"/>
        <v>1.0672767776506715</v>
      </c>
      <c r="O48" s="1209" t="s">
        <v>487</v>
      </c>
      <c r="P48" s="1136"/>
      <c r="Q48" s="1137"/>
      <c r="R48" s="1086"/>
      <c r="S48" s="1087">
        <f t="shared" si="7"/>
        <v>1.536</v>
      </c>
      <c r="T48" s="1210">
        <f t="shared" si="3"/>
        <v>51.496089788168668</v>
      </c>
      <c r="U48" s="1089">
        <f t="shared" si="2"/>
        <v>33.791850951744138</v>
      </c>
      <c r="V48" s="1090">
        <f t="shared" si="4"/>
        <v>-17.922078574654002</v>
      </c>
      <c r="W48" s="3284">
        <f t="shared" si="5"/>
        <v>1.5239203635724707</v>
      </c>
      <c r="X48" s="3300"/>
      <c r="Y48" s="3316"/>
      <c r="AA48" s="3301"/>
      <c r="AB48" s="3409"/>
      <c r="AE48" s="1056"/>
    </row>
    <row r="49" spans="1:31" ht="16" thickBot="1" x14ac:dyDescent="0.25">
      <c r="B49" s="2981">
        <f>SUM(K45:K51)</f>
        <v>464</v>
      </c>
      <c r="C49" s="1211">
        <v>43147</v>
      </c>
      <c r="D49" s="1212"/>
      <c r="E49" s="1213"/>
      <c r="F49" s="2628"/>
      <c r="G49" s="1166"/>
      <c r="H49" s="1167"/>
      <c r="I49" s="1168"/>
      <c r="J49" s="1169"/>
      <c r="K49" s="1206"/>
      <c r="L49" s="2801"/>
      <c r="M49" s="2823"/>
      <c r="N49" s="1208" t="str">
        <f t="shared" si="6"/>
        <v/>
      </c>
      <c r="O49" s="1209"/>
      <c r="P49" s="1136"/>
      <c r="Q49" s="1137"/>
      <c r="R49" s="1086"/>
      <c r="S49" s="1087" t="str">
        <f t="shared" si="7"/>
        <v/>
      </c>
      <c r="T49" s="1210">
        <f t="shared" si="3"/>
        <v>44.139505532716001</v>
      </c>
      <c r="U49" s="1089">
        <f t="shared" si="2"/>
        <v>32.987283071940709</v>
      </c>
      <c r="V49" s="1090">
        <f t="shared" si="4"/>
        <v>-17.70423883642453</v>
      </c>
      <c r="W49" s="3284">
        <f t="shared" si="5"/>
        <v>1.3380764167953401</v>
      </c>
      <c r="X49" s="3300"/>
      <c r="Y49" s="3316"/>
      <c r="AA49" s="3301"/>
      <c r="AB49" s="3409"/>
      <c r="AE49" s="1056"/>
    </row>
    <row r="50" spans="1:31" x14ac:dyDescent="0.2">
      <c r="B50" s="2982" t="s">
        <v>761</v>
      </c>
      <c r="C50" s="1211">
        <v>43148</v>
      </c>
      <c r="D50" s="1212" t="s">
        <v>530</v>
      </c>
      <c r="E50" s="1213"/>
      <c r="F50" s="2628" t="s">
        <v>469</v>
      </c>
      <c r="G50" s="1166">
        <v>4.4780092592592587E-2</v>
      </c>
      <c r="H50" s="1167">
        <v>12.1</v>
      </c>
      <c r="I50" s="1168">
        <f>G50/H50</f>
        <v>3.7008340985613709E-3</v>
      </c>
      <c r="J50" s="1169">
        <v>138</v>
      </c>
      <c r="K50" s="1206">
        <v>75</v>
      </c>
      <c r="L50" s="2801">
        <v>225</v>
      </c>
      <c r="M50" s="2823"/>
      <c r="N50" s="1208">
        <f t="shared" si="6"/>
        <v>1.0580031599416626</v>
      </c>
      <c r="O50" s="1209" t="s">
        <v>471</v>
      </c>
      <c r="P50" s="1136"/>
      <c r="Q50" s="1137"/>
      <c r="R50" s="1086"/>
      <c r="S50" s="1087">
        <f t="shared" si="7"/>
        <v>1.6304347826086956</v>
      </c>
      <c r="T50" s="1210">
        <f t="shared" si="3"/>
        <v>48.548147599470859</v>
      </c>
      <c r="U50" s="1089">
        <f t="shared" si="2"/>
        <v>33.987585855942122</v>
      </c>
      <c r="V50" s="1090">
        <f t="shared" si="4"/>
        <v>-11.152222460775292</v>
      </c>
      <c r="W50" s="3284">
        <f t="shared" si="5"/>
        <v>1.4284082372088538</v>
      </c>
      <c r="X50" s="3300"/>
      <c r="Y50" s="3316"/>
      <c r="AA50" s="3301"/>
      <c r="AB50" s="3409"/>
      <c r="AE50" s="1056"/>
    </row>
    <row r="51" spans="1:31" ht="16" thickBot="1" x14ac:dyDescent="0.25">
      <c r="B51" s="2983">
        <f>AVERAGE(W45:W51)</f>
        <v>1.4894896953879411</v>
      </c>
      <c r="C51" s="1214">
        <v>43149</v>
      </c>
      <c r="D51" s="1215" t="s">
        <v>531</v>
      </c>
      <c r="E51" s="1216"/>
      <c r="F51" s="2629" t="s">
        <v>468</v>
      </c>
      <c r="G51" s="1217">
        <v>8.9872685185185194E-2</v>
      </c>
      <c r="H51" s="1218">
        <v>22.81</v>
      </c>
      <c r="I51" s="1219">
        <f>G51/H51</f>
        <v>3.9400563430594124E-3</v>
      </c>
      <c r="J51" s="1220">
        <v>134</v>
      </c>
      <c r="K51" s="1221">
        <v>134</v>
      </c>
      <c r="L51" s="2802">
        <v>209</v>
      </c>
      <c r="M51" s="2824"/>
      <c r="N51" s="1223">
        <f t="shared" si="6"/>
        <v>1.046293550300436</v>
      </c>
      <c r="O51" s="1224" t="s">
        <v>487</v>
      </c>
      <c r="P51" s="1225"/>
      <c r="Q51" s="1226"/>
      <c r="R51" s="1105"/>
      <c r="S51" s="1106">
        <f t="shared" si="7"/>
        <v>1.5597014925373134</v>
      </c>
      <c r="T51" s="1227">
        <f t="shared" si="3"/>
        <v>60.755555085260738</v>
      </c>
      <c r="U51" s="1108">
        <f t="shared" si="2"/>
        <v>36.368833811753021</v>
      </c>
      <c r="V51" s="1109">
        <f t="shared" si="4"/>
        <v>-14.560561743528737</v>
      </c>
      <c r="W51" s="3285">
        <f t="shared" si="5"/>
        <v>1.6705389950014526</v>
      </c>
      <c r="X51" s="3300"/>
      <c r="Y51" s="3316"/>
      <c r="AA51" s="3301"/>
      <c r="AB51" s="3409"/>
      <c r="AE51" s="1056"/>
    </row>
    <row r="52" spans="1:31" ht="16" thickBot="1" x14ac:dyDescent="0.25">
      <c r="B52" s="2977">
        <f>B45+1</f>
        <v>8</v>
      </c>
      <c r="C52" s="1245">
        <v>43150</v>
      </c>
      <c r="D52" s="1246" t="s">
        <v>532</v>
      </c>
      <c r="E52" s="1247"/>
      <c r="F52" s="2630" t="s">
        <v>468</v>
      </c>
      <c r="G52" s="1113">
        <v>3.9918981481481479E-2</v>
      </c>
      <c r="H52" s="1229">
        <v>9.92</v>
      </c>
      <c r="I52" s="1230">
        <f>G52/H52</f>
        <v>4.0240908751493429E-3</v>
      </c>
      <c r="J52" s="1231">
        <v>128</v>
      </c>
      <c r="K52" s="1117">
        <v>57</v>
      </c>
      <c r="L52" s="1118">
        <v>208</v>
      </c>
      <c r="M52" s="2825"/>
      <c r="N52" s="1119">
        <f t="shared" si="6"/>
        <v>1.0634962049335861</v>
      </c>
      <c r="O52" s="1120" t="s">
        <v>487</v>
      </c>
      <c r="P52" s="1121"/>
      <c r="Q52" s="1122"/>
      <c r="R52" s="1122"/>
      <c r="S52" s="1070">
        <f t="shared" si="7"/>
        <v>1.625</v>
      </c>
      <c r="T52" s="1123">
        <f t="shared" si="3"/>
        <v>60.219047215937778</v>
      </c>
      <c r="U52" s="1111">
        <f t="shared" si="2"/>
        <v>36.860052054330332</v>
      </c>
      <c r="V52" s="1124">
        <f t="shared" si="4"/>
        <v>-24.386721273507717</v>
      </c>
      <c r="W52" s="3286">
        <f t="shared" si="5"/>
        <v>1.6337211658620874</v>
      </c>
      <c r="X52" s="3300"/>
      <c r="Y52" s="3316"/>
      <c r="AA52" s="3301"/>
      <c r="AB52" s="3409"/>
      <c r="AE52" s="1056"/>
    </row>
    <row r="53" spans="1:31" x14ac:dyDescent="0.2">
      <c r="B53" s="2978" t="s">
        <v>626</v>
      </c>
      <c r="C53" s="1126">
        <v>43151</v>
      </c>
      <c r="D53" s="1127"/>
      <c r="E53" s="1128"/>
      <c r="F53" s="2625"/>
      <c r="G53" s="1129"/>
      <c r="H53" s="1130"/>
      <c r="I53" s="1131"/>
      <c r="J53" s="1132"/>
      <c r="K53" s="1133"/>
      <c r="L53" s="2801"/>
      <c r="M53" s="2823"/>
      <c r="N53" s="1188" t="str">
        <f t="shared" si="6"/>
        <v/>
      </c>
      <c r="O53" s="1135"/>
      <c r="P53" s="1136"/>
      <c r="Q53" s="1137"/>
      <c r="R53" s="1086"/>
      <c r="S53" s="1087" t="str">
        <f t="shared" si="7"/>
        <v/>
      </c>
      <c r="T53" s="1088">
        <f t="shared" si="3"/>
        <v>51.61632618508952</v>
      </c>
      <c r="U53" s="1089">
        <f t="shared" si="2"/>
        <v>35.982431767322467</v>
      </c>
      <c r="V53" s="1090">
        <f t="shared" si="4"/>
        <v>-23.358995161607446</v>
      </c>
      <c r="W53" s="3284">
        <f t="shared" si="5"/>
        <v>1.4344868773423205</v>
      </c>
      <c r="X53" s="3300"/>
      <c r="Y53" s="3316"/>
      <c r="AA53" s="3301"/>
      <c r="AB53" s="3409"/>
      <c r="AE53" s="1056"/>
    </row>
    <row r="54" spans="1:31" ht="16" thickBot="1" x14ac:dyDescent="0.25">
      <c r="B54" s="2979">
        <f>SUM(H52:H58)</f>
        <v>43.96</v>
      </c>
      <c r="C54" s="1126">
        <v>43152</v>
      </c>
      <c r="D54" s="1127"/>
      <c r="E54" s="1128"/>
      <c r="F54" s="2625"/>
      <c r="G54" s="1129"/>
      <c r="H54" s="1130"/>
      <c r="I54" s="1131"/>
      <c r="J54" s="1132"/>
      <c r="K54" s="1133"/>
      <c r="L54" s="2801"/>
      <c r="M54" s="2823"/>
      <c r="N54" s="1188" t="str">
        <f t="shared" si="6"/>
        <v/>
      </c>
      <c r="O54" s="1135"/>
      <c r="P54" s="1136"/>
      <c r="Q54" s="1137"/>
      <c r="R54" s="1086"/>
      <c r="S54" s="1087" t="str">
        <f t="shared" si="7"/>
        <v/>
      </c>
      <c r="T54" s="1088">
        <f t="shared" si="3"/>
        <v>44.242565301505302</v>
      </c>
      <c r="U54" s="1089">
        <f t="shared" si="2"/>
        <v>35.125707201433833</v>
      </c>
      <c r="V54" s="1090">
        <f t="shared" si="4"/>
        <v>-15.633894417767053</v>
      </c>
      <c r="W54" s="3284">
        <f t="shared" si="5"/>
        <v>1.259549453276184</v>
      </c>
      <c r="X54" s="3300"/>
      <c r="Y54" s="3316"/>
      <c r="AA54" s="3301"/>
      <c r="AB54" s="3409"/>
      <c r="AE54" s="1056"/>
    </row>
    <row r="55" spans="1:31" x14ac:dyDescent="0.2">
      <c r="B55" s="2980" t="s">
        <v>628</v>
      </c>
      <c r="C55" s="1126">
        <v>43153</v>
      </c>
      <c r="D55" s="1127" t="s">
        <v>533</v>
      </c>
      <c r="E55" s="1128"/>
      <c r="F55" s="2625" t="s">
        <v>498</v>
      </c>
      <c r="G55" s="1129">
        <v>4.0787037037037038E-2</v>
      </c>
      <c r="H55" s="1130">
        <v>11.3</v>
      </c>
      <c r="I55" s="1131">
        <f>G55/H55</f>
        <v>3.6094723041625696E-3</v>
      </c>
      <c r="J55" s="1132">
        <v>146</v>
      </c>
      <c r="K55" s="1133">
        <v>75</v>
      </c>
      <c r="L55" s="2801">
        <v>231</v>
      </c>
      <c r="M55" s="2823"/>
      <c r="N55" s="1188">
        <f t="shared" si="6"/>
        <v>1.0594013534617386</v>
      </c>
      <c r="O55" s="1135" t="s">
        <v>471</v>
      </c>
      <c r="P55" s="1136"/>
      <c r="Q55" s="1137"/>
      <c r="R55" s="1086"/>
      <c r="S55" s="1087">
        <f t="shared" si="7"/>
        <v>1.5821917808219179</v>
      </c>
      <c r="T55" s="1088">
        <f t="shared" si="3"/>
        <v>48.6364845441474</v>
      </c>
      <c r="U55" s="1089">
        <f t="shared" si="2"/>
        <v>36.075095125209216</v>
      </c>
      <c r="V55" s="1090">
        <f t="shared" si="4"/>
        <v>-9.1168581000714681</v>
      </c>
      <c r="W55" s="3284">
        <f t="shared" si="5"/>
        <v>1.3482011447326803</v>
      </c>
      <c r="X55" s="3300"/>
      <c r="Y55" s="3316"/>
      <c r="AA55" s="3301"/>
      <c r="AB55" s="3409"/>
      <c r="AE55" s="1056"/>
    </row>
    <row r="56" spans="1:31" ht="16" thickBot="1" x14ac:dyDescent="0.25">
      <c r="B56" s="2981">
        <f>SUM(K52:K58)</f>
        <v>284</v>
      </c>
      <c r="C56" s="1126">
        <v>43154</v>
      </c>
      <c r="D56" s="1127" t="s">
        <v>534</v>
      </c>
      <c r="E56" s="1128"/>
      <c r="F56" s="2625" t="s">
        <v>468</v>
      </c>
      <c r="G56" s="1129">
        <v>3.712962962962963E-2</v>
      </c>
      <c r="H56" s="1130">
        <v>9.1300000000000008</v>
      </c>
      <c r="I56" s="1131">
        <f>G56/H56</f>
        <v>4.0667721390612952E-3</v>
      </c>
      <c r="J56" s="1132">
        <v>127</v>
      </c>
      <c r="K56" s="1133">
        <v>54</v>
      </c>
      <c r="L56" s="2801">
        <v>206</v>
      </c>
      <c r="M56" s="2823"/>
      <c r="N56" s="1188">
        <f t="shared" si="6"/>
        <v>1.064441724115714</v>
      </c>
      <c r="O56" s="1135" t="s">
        <v>487</v>
      </c>
      <c r="P56" s="1136"/>
      <c r="Q56" s="1137"/>
      <c r="R56" s="1086"/>
      <c r="S56" s="1087">
        <f t="shared" si="7"/>
        <v>1.6220472440944882</v>
      </c>
      <c r="T56" s="1088">
        <f t="shared" si="3"/>
        <v>49.402701037840629</v>
      </c>
      <c r="U56" s="1089">
        <f t="shared" si="2"/>
        <v>36.501878574608995</v>
      </c>
      <c r="V56" s="1090">
        <f t="shared" si="4"/>
        <v>-12.561389418938184</v>
      </c>
      <c r="W56" s="3284">
        <f t="shared" si="5"/>
        <v>1.3534290005612355</v>
      </c>
      <c r="X56" s="3300"/>
      <c r="Y56" s="3316"/>
      <c r="AA56" s="3301"/>
      <c r="AB56" s="3409"/>
      <c r="AE56" s="1056"/>
    </row>
    <row r="57" spans="1:31" x14ac:dyDescent="0.2">
      <c r="B57" s="2982" t="s">
        <v>761</v>
      </c>
      <c r="C57" s="1126">
        <v>43155</v>
      </c>
      <c r="D57" s="1127"/>
      <c r="E57" s="1128"/>
      <c r="F57" s="2625"/>
      <c r="G57" s="1129"/>
      <c r="H57" s="1130"/>
      <c r="I57" s="1131"/>
      <c r="J57" s="1132"/>
      <c r="K57" s="1133"/>
      <c r="L57" s="2801"/>
      <c r="M57" s="2823"/>
      <c r="N57" s="1188" t="str">
        <f t="shared" si="6"/>
        <v/>
      </c>
      <c r="O57" s="1135"/>
      <c r="P57" s="1136"/>
      <c r="Q57" s="1137"/>
      <c r="R57" s="1086"/>
      <c r="S57" s="1087" t="str">
        <f t="shared" si="7"/>
        <v/>
      </c>
      <c r="T57" s="1088">
        <f t="shared" si="3"/>
        <v>42.34517231814911</v>
      </c>
      <c r="U57" s="1089">
        <f t="shared" si="2"/>
        <v>35.632786227594494</v>
      </c>
      <c r="V57" s="1090">
        <f t="shared" si="4"/>
        <v>-12.900822463231634</v>
      </c>
      <c r="W57" s="3284">
        <f t="shared" si="5"/>
        <v>1.1883766834196214</v>
      </c>
      <c r="X57" s="3300"/>
      <c r="Y57" s="3316"/>
      <c r="AA57" s="3301"/>
      <c r="AB57" s="3409"/>
      <c r="AE57" s="1056"/>
    </row>
    <row r="58" spans="1:31" customFormat="1" ht="16" thickBot="1" x14ac:dyDescent="0.25">
      <c r="A58" s="140"/>
      <c r="B58" s="2983">
        <f>AVERAGE(W52:W58)</f>
        <v>1.3675429624839659</v>
      </c>
      <c r="C58" s="1248">
        <v>43156</v>
      </c>
      <c r="D58" s="1249" t="s">
        <v>535</v>
      </c>
      <c r="E58" s="1250" t="s">
        <v>836</v>
      </c>
      <c r="F58" s="2631" t="s">
        <v>158</v>
      </c>
      <c r="G58" s="1251">
        <v>4.0949074074074075E-2</v>
      </c>
      <c r="H58" s="1252">
        <v>13.61</v>
      </c>
      <c r="I58" s="1253">
        <f>G58/H58</f>
        <v>3.0087490135249136E-3</v>
      </c>
      <c r="J58" s="1254">
        <v>164</v>
      </c>
      <c r="K58" s="1255">
        <v>98</v>
      </c>
      <c r="L58" s="2805">
        <v>266</v>
      </c>
      <c r="M58" s="2828"/>
      <c r="N58" s="1256">
        <f t="shared" si="6"/>
        <v>1.0168863724769848</v>
      </c>
      <c r="O58" s="1257" t="s">
        <v>483</v>
      </c>
      <c r="P58" s="1149"/>
      <c r="Q58" s="1151"/>
      <c r="R58" s="1151"/>
      <c r="S58" s="1106">
        <f t="shared" si="7"/>
        <v>1.6219512195121952</v>
      </c>
      <c r="T58" s="1239">
        <f t="shared" si="3"/>
        <v>50.295861986984953</v>
      </c>
      <c r="U58" s="1258">
        <f t="shared" si="2"/>
        <v>37.117719888842245</v>
      </c>
      <c r="V58" s="1154">
        <f t="shared" si="4"/>
        <v>-6.7123860905546167</v>
      </c>
      <c r="W58" s="3287">
        <f t="shared" si="5"/>
        <v>1.3550364121936305</v>
      </c>
      <c r="X58" s="3302"/>
      <c r="Y58" s="3317"/>
      <c r="Z58" s="2597"/>
      <c r="AA58" s="3303"/>
      <c r="AB58" s="3409"/>
      <c r="AC58" s="3644"/>
      <c r="AD58" s="3644"/>
      <c r="AE58" s="1056"/>
    </row>
    <row r="59" spans="1:31" ht="16" thickBot="1" x14ac:dyDescent="0.25">
      <c r="B59" s="2977">
        <f>B52+1</f>
        <v>9</v>
      </c>
      <c r="C59" s="1190">
        <v>43157</v>
      </c>
      <c r="D59" s="1191"/>
      <c r="E59" s="1192"/>
      <c r="F59" s="2627"/>
      <c r="G59" s="1193"/>
      <c r="H59" s="1194"/>
      <c r="I59" s="1195"/>
      <c r="J59" s="1196"/>
      <c r="K59" s="1197"/>
      <c r="L59" s="2800"/>
      <c r="M59" s="2822"/>
      <c r="N59" s="1199" t="str">
        <f t="shared" si="6"/>
        <v/>
      </c>
      <c r="O59" s="1200"/>
      <c r="P59" s="1201"/>
      <c r="Q59" s="1202"/>
      <c r="R59" s="1069"/>
      <c r="S59" s="1070" t="str">
        <f t="shared" si="7"/>
        <v/>
      </c>
      <c r="T59" s="1203">
        <f t="shared" si="3"/>
        <v>43.1107388459871</v>
      </c>
      <c r="U59" s="1191">
        <f t="shared" si="2"/>
        <v>36.23396465339362</v>
      </c>
      <c r="V59" s="1073">
        <f t="shared" si="4"/>
        <v>-13.178142098142708</v>
      </c>
      <c r="W59" s="3283">
        <f t="shared" si="5"/>
        <v>1.1897880692431877</v>
      </c>
      <c r="X59" s="3300"/>
      <c r="Y59" s="3316"/>
      <c r="AA59" s="3301"/>
      <c r="AB59" s="3409"/>
      <c r="AE59" s="1056"/>
    </row>
    <row r="60" spans="1:31" x14ac:dyDescent="0.2">
      <c r="B60" s="2978" t="s">
        <v>626</v>
      </c>
      <c r="C60" s="1204">
        <v>43158</v>
      </c>
      <c r="D60" s="1089" t="s">
        <v>536</v>
      </c>
      <c r="E60" s="1205"/>
      <c r="F60" s="2628" t="s">
        <v>468</v>
      </c>
      <c r="G60" s="1166">
        <v>3.8414351851851852E-2</v>
      </c>
      <c r="H60" s="1167">
        <v>9.6199999999999992</v>
      </c>
      <c r="I60" s="1168">
        <f t="shared" ref="I60:I71" si="8">G60/H60</f>
        <v>3.9931758681758687E-3</v>
      </c>
      <c r="J60" s="1169">
        <v>129</v>
      </c>
      <c r="K60" s="1206">
        <v>55</v>
      </c>
      <c r="L60" s="2801">
        <v>210</v>
      </c>
      <c r="M60" s="2823"/>
      <c r="N60" s="1208">
        <f t="shared" si="6"/>
        <v>1.065473278708573</v>
      </c>
      <c r="O60" s="1209" t="s">
        <v>487</v>
      </c>
      <c r="P60" s="1136"/>
      <c r="Q60" s="1137"/>
      <c r="R60" s="1086"/>
      <c r="S60" s="1087">
        <f t="shared" si="7"/>
        <v>1.6279069767441861</v>
      </c>
      <c r="T60" s="1210">
        <f t="shared" si="3"/>
        <v>44.809204725131799</v>
      </c>
      <c r="U60" s="1089">
        <f t="shared" si="2"/>
        <v>36.680775018789014</v>
      </c>
      <c r="V60" s="1259">
        <f t="shared" si="4"/>
        <v>-6.87677419259348</v>
      </c>
      <c r="W60" s="3284">
        <f t="shared" si="5"/>
        <v>1.2215991811017939</v>
      </c>
      <c r="X60" s="3300"/>
      <c r="Y60" s="3316"/>
      <c r="AA60" s="3301"/>
      <c r="AB60" s="3409"/>
      <c r="AE60" s="1056"/>
    </row>
    <row r="61" spans="1:31" ht="16" thickBot="1" x14ac:dyDescent="0.25">
      <c r="B61" s="2979">
        <f>SUM(H59:H65)</f>
        <v>75.150000000000006</v>
      </c>
      <c r="C61" s="1211">
        <v>43159</v>
      </c>
      <c r="D61" s="1089" t="s">
        <v>537</v>
      </c>
      <c r="E61" s="1205"/>
      <c r="F61" s="2628" t="s">
        <v>448</v>
      </c>
      <c r="G61" s="1166">
        <v>2.7534722222222221E-2</v>
      </c>
      <c r="H61" s="1167">
        <v>8.14</v>
      </c>
      <c r="I61" s="1168">
        <f t="shared" si="8"/>
        <v>3.3826440076440071E-3</v>
      </c>
      <c r="J61" s="1169">
        <v>145</v>
      </c>
      <c r="K61" s="1206">
        <v>56</v>
      </c>
      <c r="L61" s="2801">
        <v>231</v>
      </c>
      <c r="M61" s="2823"/>
      <c r="N61" s="1208">
        <f t="shared" si="6"/>
        <v>0.99282591414944332</v>
      </c>
      <c r="O61" s="1209" t="s">
        <v>483</v>
      </c>
      <c r="P61" s="1136"/>
      <c r="Q61" s="1137"/>
      <c r="R61" s="1086"/>
      <c r="S61" s="1087">
        <f t="shared" si="7"/>
        <v>1.5931034482758621</v>
      </c>
      <c r="T61" s="1210">
        <f t="shared" si="3"/>
        <v>46.407889764398682</v>
      </c>
      <c r="U61" s="1089">
        <f t="shared" si="2"/>
        <v>37.1407565659607</v>
      </c>
      <c r="V61" s="1259">
        <f t="shared" si="4"/>
        <v>-8.1284297063427857</v>
      </c>
      <c r="W61" s="3284">
        <f t="shared" si="5"/>
        <v>1.2495138509626176</v>
      </c>
      <c r="X61" s="3300"/>
      <c r="Y61" s="3316"/>
      <c r="AA61" s="3301"/>
      <c r="AB61" s="3409"/>
      <c r="AE61" s="1056"/>
    </row>
    <row r="62" spans="1:31" x14ac:dyDescent="0.2">
      <c r="B62" s="2980" t="s">
        <v>628</v>
      </c>
      <c r="C62" s="1211">
        <v>43160</v>
      </c>
      <c r="D62" s="1089" t="s">
        <v>538</v>
      </c>
      <c r="E62" s="1205"/>
      <c r="F62" s="2628" t="s">
        <v>468</v>
      </c>
      <c r="G62" s="1166">
        <v>4.6851851851851846E-2</v>
      </c>
      <c r="H62" s="1167">
        <v>11.6</v>
      </c>
      <c r="I62" s="1168">
        <f t="shared" si="8"/>
        <v>4.0389527458492974E-3</v>
      </c>
      <c r="J62" s="1169">
        <v>128</v>
      </c>
      <c r="K62" s="1206">
        <v>70</v>
      </c>
      <c r="L62" s="2801">
        <v>213</v>
      </c>
      <c r="M62" s="2823"/>
      <c r="N62" s="1208">
        <f t="shared" si="6"/>
        <v>1.0930831643002028</v>
      </c>
      <c r="O62" s="1209" t="s">
        <v>471</v>
      </c>
      <c r="P62" s="1136"/>
      <c r="Q62" s="1137"/>
      <c r="R62" s="1086"/>
      <c r="S62" s="1087">
        <f t="shared" si="7"/>
        <v>1.6640625</v>
      </c>
      <c r="T62" s="1210">
        <f t="shared" si="3"/>
        <v>49.778191226627442</v>
      </c>
      <c r="U62" s="1089">
        <f t="shared" si="2"/>
        <v>37.923119504866399</v>
      </c>
      <c r="V62" s="1259">
        <f t="shared" si="4"/>
        <v>-9.2671331984379819</v>
      </c>
      <c r="W62" s="3284">
        <f t="shared" si="5"/>
        <v>1.312608031104608</v>
      </c>
      <c r="X62" s="3300"/>
      <c r="Y62" s="3316"/>
      <c r="AA62" s="3301"/>
      <c r="AB62" s="3409"/>
      <c r="AE62" s="1056"/>
    </row>
    <row r="63" spans="1:31" ht="16" thickBot="1" x14ac:dyDescent="0.25">
      <c r="B63" s="2981">
        <f>SUM(K59:K65)</f>
        <v>453</v>
      </c>
      <c r="C63" s="1211">
        <v>43161</v>
      </c>
      <c r="D63" s="1089" t="s">
        <v>539</v>
      </c>
      <c r="E63" s="1205"/>
      <c r="F63" s="2628" t="s">
        <v>498</v>
      </c>
      <c r="G63" s="1166">
        <v>4.4016203703703703E-2</v>
      </c>
      <c r="H63" s="1167">
        <v>13.8</v>
      </c>
      <c r="I63" s="1168">
        <f t="shared" si="8"/>
        <v>3.1895799785292538E-3</v>
      </c>
      <c r="J63" s="1169">
        <v>152</v>
      </c>
      <c r="K63" s="1206">
        <v>92</v>
      </c>
      <c r="L63" s="2801">
        <v>245</v>
      </c>
      <c r="M63" s="2823"/>
      <c r="N63" s="1208">
        <f t="shared" si="6"/>
        <v>0.99289748508098896</v>
      </c>
      <c r="O63" s="1209" t="s">
        <v>483</v>
      </c>
      <c r="P63" s="1136"/>
      <c r="Q63" s="1137"/>
      <c r="R63" s="1086"/>
      <c r="S63" s="1087">
        <f t="shared" si="7"/>
        <v>1.611842105263158</v>
      </c>
      <c r="T63" s="1210">
        <f t="shared" si="3"/>
        <v>55.809878194252093</v>
      </c>
      <c r="U63" s="1089">
        <f t="shared" si="2"/>
        <v>39.21066427856006</v>
      </c>
      <c r="V63" s="1259">
        <f t="shared" si="4"/>
        <v>-11.855071721761043</v>
      </c>
      <c r="W63" s="3284">
        <f t="shared" si="5"/>
        <v>1.423334167403236</v>
      </c>
      <c r="X63" s="3300"/>
      <c r="Y63" s="3316"/>
      <c r="AA63" s="3301"/>
      <c r="AB63" s="3409"/>
      <c r="AE63" s="1056"/>
    </row>
    <row r="64" spans="1:31" x14ac:dyDescent="0.2">
      <c r="B64" s="2982" t="s">
        <v>761</v>
      </c>
      <c r="C64" s="1211">
        <v>43162</v>
      </c>
      <c r="D64" s="1089" t="s">
        <v>540</v>
      </c>
      <c r="E64" s="1205"/>
      <c r="F64" s="2628" t="s">
        <v>468</v>
      </c>
      <c r="G64" s="1166">
        <v>3.24537037037037E-2</v>
      </c>
      <c r="H64" s="1167">
        <v>8.32</v>
      </c>
      <c r="I64" s="1168">
        <f t="shared" si="8"/>
        <v>3.9006855413105408E-3</v>
      </c>
      <c r="J64" s="1169">
        <v>131</v>
      </c>
      <c r="K64" s="1206">
        <v>48</v>
      </c>
      <c r="L64" s="2801">
        <v>214</v>
      </c>
      <c r="M64" s="2823"/>
      <c r="N64" s="1208">
        <f t="shared" si="6"/>
        <v>1.0606193438914024</v>
      </c>
      <c r="O64" s="1209" t="s">
        <v>471</v>
      </c>
      <c r="P64" s="1136"/>
      <c r="Q64" s="1137"/>
      <c r="R64" s="1086"/>
      <c r="S64" s="1087">
        <f t="shared" si="7"/>
        <v>1.633587786259542</v>
      </c>
      <c r="T64" s="1210">
        <f t="shared" si="3"/>
        <v>54.694181309358939</v>
      </c>
      <c r="U64" s="1089">
        <f t="shared" si="2"/>
        <v>39.41993417668958</v>
      </c>
      <c r="V64" s="1259">
        <f t="shared" si="4"/>
        <v>-16.599213915692033</v>
      </c>
      <c r="W64" s="3284">
        <f t="shared" si="5"/>
        <v>1.3874752064325253</v>
      </c>
      <c r="X64" s="3300"/>
      <c r="Y64" s="3316"/>
      <c r="AA64" s="3301"/>
      <c r="AB64" s="3409"/>
      <c r="AE64" s="1056"/>
    </row>
    <row r="65" spans="2:31" ht="16" thickBot="1" x14ac:dyDescent="0.25">
      <c r="B65" s="2983">
        <f>AVERAGE(W59:W65)</f>
        <v>1.3376623151648481</v>
      </c>
      <c r="C65" s="1260">
        <v>43163</v>
      </c>
      <c r="D65" s="1108" t="s">
        <v>541</v>
      </c>
      <c r="E65" s="1261"/>
      <c r="F65" s="2629" t="s">
        <v>468</v>
      </c>
      <c r="G65" s="1217">
        <v>9.8425925925925917E-2</v>
      </c>
      <c r="H65" s="1218">
        <v>23.67</v>
      </c>
      <c r="I65" s="1219">
        <f t="shared" si="8"/>
        <v>4.1582562706348079E-3</v>
      </c>
      <c r="J65" s="1220">
        <v>136</v>
      </c>
      <c r="K65" s="1221">
        <v>132</v>
      </c>
      <c r="L65" s="2802">
        <v>200</v>
      </c>
      <c r="M65" s="2824"/>
      <c r="N65" s="1223">
        <f t="shared" si="6"/>
        <v>1.056686299361316</v>
      </c>
      <c r="O65" s="1224" t="s">
        <v>487</v>
      </c>
      <c r="P65" s="1225"/>
      <c r="Q65" s="1226"/>
      <c r="R65" s="1105"/>
      <c r="S65" s="1106">
        <f t="shared" si="7"/>
        <v>1.4705882352941178</v>
      </c>
      <c r="T65" s="1227">
        <f t="shared" si="3"/>
        <v>65.737869693736229</v>
      </c>
      <c r="U65" s="1108">
        <f t="shared" si="2"/>
        <v>41.624221458196971</v>
      </c>
      <c r="V65" s="1228">
        <f t="shared" si="4"/>
        <v>-15.274247132669359</v>
      </c>
      <c r="W65" s="3285">
        <f t="shared" si="5"/>
        <v>1.5793176999059668</v>
      </c>
      <c r="X65" s="3300"/>
      <c r="Y65" s="3316"/>
      <c r="AA65" s="3301"/>
      <c r="AB65" s="3409"/>
      <c r="AE65" s="1056"/>
    </row>
    <row r="66" spans="2:31" ht="16" thickBot="1" x14ac:dyDescent="0.25">
      <c r="B66" s="2977">
        <f>B59+1</f>
        <v>10</v>
      </c>
      <c r="C66" s="1245">
        <v>43164</v>
      </c>
      <c r="D66" s="1246"/>
      <c r="E66" s="1247"/>
      <c r="F66" s="2630"/>
      <c r="G66" s="1113"/>
      <c r="H66" s="1229"/>
      <c r="I66" s="1230"/>
      <c r="J66" s="1231"/>
      <c r="K66" s="1117"/>
      <c r="L66" s="1118"/>
      <c r="M66" s="2825"/>
      <c r="N66" s="1119" t="str">
        <f t="shared" ref="N66:N97" si="9">IFERROR((L66/68)/(1/(I66*24)/3.6),"")</f>
        <v/>
      </c>
      <c r="O66" s="1120"/>
      <c r="P66" s="1121"/>
      <c r="Q66" s="1122"/>
      <c r="R66" s="1122"/>
      <c r="S66" s="1070" t="str">
        <f t="shared" ref="S66:S99" si="10">IFERROR(L66/J66,"")</f>
        <v/>
      </c>
      <c r="T66" s="1123">
        <f t="shared" si="3"/>
        <v>56.346745451773913</v>
      </c>
      <c r="U66" s="1111">
        <f t="shared" si="2"/>
        <v>40.633168566335137</v>
      </c>
      <c r="V66" s="1124">
        <f t="shared" si="4"/>
        <v>-24.113648235539259</v>
      </c>
      <c r="W66" s="3286">
        <f t="shared" si="5"/>
        <v>1.3867179804052392</v>
      </c>
      <c r="X66" s="3300"/>
      <c r="Y66" s="3316"/>
      <c r="AA66" s="3301"/>
      <c r="AB66" s="3409"/>
      <c r="AE66" s="1056"/>
    </row>
    <row r="67" spans="2:31" x14ac:dyDescent="0.2">
      <c r="B67" s="2978" t="s">
        <v>626</v>
      </c>
      <c r="C67" s="1126">
        <v>43165</v>
      </c>
      <c r="D67" s="1127" t="s">
        <v>542</v>
      </c>
      <c r="E67" s="1128"/>
      <c r="F67" s="2625" t="s">
        <v>653</v>
      </c>
      <c r="G67" s="1129">
        <v>3.923611111111111E-2</v>
      </c>
      <c r="H67" s="1130">
        <v>12.6</v>
      </c>
      <c r="I67" s="1131">
        <f t="shared" si="8"/>
        <v>3.1139770723104055E-3</v>
      </c>
      <c r="J67" s="1132">
        <v>155</v>
      </c>
      <c r="K67" s="1133">
        <v>87</v>
      </c>
      <c r="L67" s="2801">
        <v>252</v>
      </c>
      <c r="M67" s="2823"/>
      <c r="N67" s="1188">
        <f t="shared" si="9"/>
        <v>0.99705882352941189</v>
      </c>
      <c r="O67" s="1135" t="s">
        <v>483</v>
      </c>
      <c r="P67" s="1136"/>
      <c r="Q67" s="1137"/>
      <c r="R67" s="1086"/>
      <c r="S67" s="1087">
        <f t="shared" si="10"/>
        <v>1.6258064516129032</v>
      </c>
      <c r="T67" s="1088">
        <f t="shared" si="3"/>
        <v>60.725781815806208</v>
      </c>
      <c r="U67" s="1089">
        <f t="shared" ref="U67:U130" si="11">U66+(K67-U66)/42</f>
        <v>41.73714074332716</v>
      </c>
      <c r="V67" s="1090">
        <f t="shared" si="4"/>
        <v>-15.713576885438776</v>
      </c>
      <c r="W67" s="3284">
        <f t="shared" si="5"/>
        <v>1.4549578800630925</v>
      </c>
      <c r="X67" s="3300"/>
      <c r="Y67" s="3316"/>
      <c r="AA67" s="3301"/>
      <c r="AB67" s="3409"/>
      <c r="AE67" s="1056"/>
    </row>
    <row r="68" spans="2:31" ht="16" thickBot="1" x14ac:dyDescent="0.25">
      <c r="B68" s="2979">
        <f>SUM(H66:H72)</f>
        <v>50.510000000000005</v>
      </c>
      <c r="C68" s="1126">
        <v>43166</v>
      </c>
      <c r="D68" s="1127" t="s">
        <v>543</v>
      </c>
      <c r="E68" s="1128"/>
      <c r="F68" s="2625" t="s">
        <v>468</v>
      </c>
      <c r="G68" s="1129">
        <v>4.494212962962963E-2</v>
      </c>
      <c r="H68" s="1130">
        <v>11.42</v>
      </c>
      <c r="I68" s="1131">
        <f t="shared" si="8"/>
        <v>3.9353878835052215E-3</v>
      </c>
      <c r="J68" s="1132">
        <v>134</v>
      </c>
      <c r="K68" s="1133">
        <v>67</v>
      </c>
      <c r="L68" s="2801">
        <v>216</v>
      </c>
      <c r="M68" s="2823"/>
      <c r="N68" s="1188">
        <f t="shared" si="9"/>
        <v>1.0800556299577622</v>
      </c>
      <c r="O68" s="1135" t="s">
        <v>487</v>
      </c>
      <c r="P68" s="1136"/>
      <c r="Q68" s="1137"/>
      <c r="R68" s="1086"/>
      <c r="S68" s="1087">
        <f t="shared" si="10"/>
        <v>1.6119402985074627</v>
      </c>
      <c r="T68" s="1088">
        <f t="shared" ref="T68:T131" si="12">T67+(K68-T67)/7</f>
        <v>61.622098699262466</v>
      </c>
      <c r="U68" s="1089">
        <f t="shared" si="11"/>
        <v>42.33863739229556</v>
      </c>
      <c r="V68" s="1090">
        <f t="shared" ref="V68:V131" si="13">U67-T67</f>
        <v>-18.988641072479048</v>
      </c>
      <c r="W68" s="3284">
        <f t="shared" si="5"/>
        <v>1.4554577684749948</v>
      </c>
      <c r="X68" s="3300"/>
      <c r="Y68" s="3316"/>
      <c r="AA68" s="3301"/>
      <c r="AB68" s="3409"/>
      <c r="AE68" s="1056"/>
    </row>
    <row r="69" spans="2:31" x14ac:dyDescent="0.2">
      <c r="B69" s="2980" t="s">
        <v>628</v>
      </c>
      <c r="C69" s="1126">
        <v>43167</v>
      </c>
      <c r="D69" s="1127" t="s">
        <v>544</v>
      </c>
      <c r="E69" s="1128"/>
      <c r="F69" s="2625" t="s">
        <v>469</v>
      </c>
      <c r="G69" s="1129">
        <v>4.5810185185185183E-2</v>
      </c>
      <c r="H69" s="1130">
        <v>12.46</v>
      </c>
      <c r="I69" s="1131">
        <f t="shared" si="8"/>
        <v>3.6765798704000946E-3</v>
      </c>
      <c r="J69" s="1132">
        <v>135</v>
      </c>
      <c r="K69" s="1133">
        <v>80</v>
      </c>
      <c r="L69" s="2801">
        <v>232</v>
      </c>
      <c r="M69" s="2823"/>
      <c r="N69" s="1188">
        <f t="shared" si="9"/>
        <v>1.0837692380322914</v>
      </c>
      <c r="O69" s="1135" t="s">
        <v>471</v>
      </c>
      <c r="P69" s="1136"/>
      <c r="Q69" s="1137"/>
      <c r="R69" s="1086"/>
      <c r="S69" s="1087">
        <f t="shared" si="10"/>
        <v>1.7185185185185186</v>
      </c>
      <c r="T69" s="1088">
        <f t="shared" si="12"/>
        <v>64.247513170796395</v>
      </c>
      <c r="U69" s="1089">
        <f t="shared" si="11"/>
        <v>43.235336502002809</v>
      </c>
      <c r="V69" s="1090">
        <f t="shared" si="13"/>
        <v>-19.283461306966906</v>
      </c>
      <c r="W69" s="3284">
        <f t="shared" si="5"/>
        <v>1.485995446521394</v>
      </c>
      <c r="X69" s="3300"/>
      <c r="Y69" s="3316"/>
      <c r="AA69" s="3301"/>
      <c r="AB69" s="3409"/>
      <c r="AE69" s="1056"/>
    </row>
    <row r="70" spans="2:31" ht="16" thickBot="1" x14ac:dyDescent="0.25">
      <c r="B70" s="2981">
        <f>SUM(K66:K72)</f>
        <v>330</v>
      </c>
      <c r="C70" s="1126">
        <v>43168</v>
      </c>
      <c r="D70" s="1127"/>
      <c r="E70" s="1128"/>
      <c r="F70" s="2625"/>
      <c r="G70" s="1129"/>
      <c r="H70" s="1130"/>
      <c r="I70" s="1131"/>
      <c r="J70" s="1132"/>
      <c r="K70" s="1133"/>
      <c r="L70" s="2801"/>
      <c r="M70" s="2823"/>
      <c r="N70" s="1188" t="str">
        <f t="shared" si="9"/>
        <v/>
      </c>
      <c r="O70" s="1135"/>
      <c r="P70" s="1136"/>
      <c r="Q70" s="1137"/>
      <c r="R70" s="1086"/>
      <c r="S70" s="1087" t="str">
        <f t="shared" si="10"/>
        <v/>
      </c>
      <c r="T70" s="1088">
        <f t="shared" si="12"/>
        <v>55.069297003539766</v>
      </c>
      <c r="U70" s="1089">
        <f t="shared" si="11"/>
        <v>42.205923728145599</v>
      </c>
      <c r="V70" s="1090">
        <f t="shared" si="13"/>
        <v>-21.012176668793586</v>
      </c>
      <c r="W70" s="3284">
        <f t="shared" si="5"/>
        <v>1.3047764896285412</v>
      </c>
      <c r="X70" s="3300"/>
      <c r="Y70" s="3316"/>
      <c r="AA70" s="3301"/>
      <c r="AB70" s="3409"/>
      <c r="AE70" s="1056"/>
    </row>
    <row r="71" spans="2:31" x14ac:dyDescent="0.2">
      <c r="B71" s="2982" t="s">
        <v>761</v>
      </c>
      <c r="C71" s="1126">
        <v>43169</v>
      </c>
      <c r="D71" s="1127" t="s">
        <v>545</v>
      </c>
      <c r="E71" s="1128"/>
      <c r="F71" s="2625" t="s">
        <v>49</v>
      </c>
      <c r="G71" s="1129">
        <v>4.2002314814814812E-2</v>
      </c>
      <c r="H71" s="1130">
        <v>14.03</v>
      </c>
      <c r="I71" s="1131">
        <f t="shared" si="8"/>
        <v>2.9937501649903646E-3</v>
      </c>
      <c r="J71" s="1132">
        <v>159</v>
      </c>
      <c r="K71" s="1133">
        <v>96</v>
      </c>
      <c r="L71" s="2801">
        <v>267</v>
      </c>
      <c r="M71" s="2823"/>
      <c r="N71" s="1188">
        <f t="shared" si="9"/>
        <v>1.0156209383254369</v>
      </c>
      <c r="O71" s="1135" t="s">
        <v>483</v>
      </c>
      <c r="P71" s="1136"/>
      <c r="Q71" s="1137"/>
      <c r="R71" s="1086"/>
      <c r="S71" s="1087">
        <f t="shared" si="10"/>
        <v>1.679245283018868</v>
      </c>
      <c r="T71" s="1088">
        <f t="shared" si="12"/>
        <v>60.916540288748372</v>
      </c>
      <c r="U71" s="1089">
        <f t="shared" si="11"/>
        <v>43.486735067951656</v>
      </c>
      <c r="V71" s="1090">
        <f t="shared" si="13"/>
        <v>-12.863373275394167</v>
      </c>
      <c r="W71" s="3284">
        <f t="shared" si="5"/>
        <v>1.4008074000855937</v>
      </c>
      <c r="X71" s="3300"/>
      <c r="Y71" s="3316"/>
      <c r="AA71" s="3301"/>
      <c r="AB71" s="3409"/>
      <c r="AE71" s="1056"/>
    </row>
    <row r="72" spans="2:31" ht="16" thickBot="1" x14ac:dyDescent="0.25">
      <c r="B72" s="2983">
        <f>AVERAGE(W66:W72)</f>
        <v>1.3883843135031861</v>
      </c>
      <c r="C72" s="1189">
        <v>43170</v>
      </c>
      <c r="D72" s="1232"/>
      <c r="E72" s="1233"/>
      <c r="F72" s="2626"/>
      <c r="G72" s="1141"/>
      <c r="H72" s="1234"/>
      <c r="I72" s="1235"/>
      <c r="J72" s="1236"/>
      <c r="K72" s="1237"/>
      <c r="L72" s="2803"/>
      <c r="M72" s="2826"/>
      <c r="N72" s="1238" t="str">
        <f t="shared" si="9"/>
        <v/>
      </c>
      <c r="O72" s="1148"/>
      <c r="P72" s="1149"/>
      <c r="Q72" s="1151"/>
      <c r="R72" s="1151"/>
      <c r="S72" s="1106" t="str">
        <f t="shared" si="10"/>
        <v/>
      </c>
      <c r="T72" s="1239">
        <f t="shared" si="12"/>
        <v>52.214177390355744</v>
      </c>
      <c r="U72" s="1258">
        <f t="shared" si="11"/>
        <v>42.451336613952805</v>
      </c>
      <c r="V72" s="1262">
        <f t="shared" si="13"/>
        <v>-17.429805220796716</v>
      </c>
      <c r="W72" s="3287">
        <f t="shared" si="5"/>
        <v>1.2299772293434481</v>
      </c>
      <c r="X72" s="3300"/>
      <c r="Y72" s="3316"/>
      <c r="AA72" s="3301"/>
      <c r="AB72" s="3409"/>
      <c r="AE72" s="1056"/>
    </row>
    <row r="73" spans="2:31" ht="16" thickBot="1" x14ac:dyDescent="0.25">
      <c r="B73" s="2977">
        <f>B66+1</f>
        <v>11</v>
      </c>
      <c r="C73" s="1190">
        <v>43171</v>
      </c>
      <c r="D73" s="1191" t="s">
        <v>546</v>
      </c>
      <c r="E73" s="1192"/>
      <c r="F73" s="2627" t="s">
        <v>644</v>
      </c>
      <c r="G73" s="1263">
        <v>8.2071759259259261E-2</v>
      </c>
      <c r="H73" s="1264">
        <v>20.91</v>
      </c>
      <c r="I73" s="1265">
        <f>G73/H73</f>
        <v>3.925000442814886E-3</v>
      </c>
      <c r="J73" s="1266">
        <v>137</v>
      </c>
      <c r="K73" s="1197">
        <v>120</v>
      </c>
      <c r="L73" s="2800">
        <v>213</v>
      </c>
      <c r="M73" s="2822"/>
      <c r="N73" s="1199">
        <f t="shared" si="9"/>
        <v>1.0622436492531016</v>
      </c>
      <c r="O73" s="1200" t="s">
        <v>487</v>
      </c>
      <c r="P73" s="1267" t="str">
        <f>IFERROR(VLOOKUP(F73,Trainingsarten!$A$9:$N$84,12,FALSE),"")</f>
        <v/>
      </c>
      <c r="Q73" s="1202" t="s">
        <v>437</v>
      </c>
      <c r="R73" s="1069" t="str">
        <f>IFERROR(VLOOKUP(F73,Trainingsarten!$A$9:$N$84,14,FALSE),"")</f>
        <v/>
      </c>
      <c r="S73" s="1070">
        <f t="shared" si="10"/>
        <v>1.5547445255474452</v>
      </c>
      <c r="T73" s="1268">
        <f>T72+(K73-T72)/7</f>
        <v>61.897866334590638</v>
      </c>
      <c r="U73" s="1191">
        <f t="shared" si="11"/>
        <v>44.297733361239644</v>
      </c>
      <c r="V73" s="1244">
        <f t="shared" si="13"/>
        <v>-9.762840776402939</v>
      </c>
      <c r="W73" s="3283">
        <f t="shared" si="5"/>
        <v>1.3973145269042377</v>
      </c>
      <c r="X73" s="3300"/>
      <c r="Y73" s="3316"/>
      <c r="AA73" s="3301"/>
      <c r="AB73" s="3409"/>
      <c r="AE73" s="1056"/>
    </row>
    <row r="74" spans="2:31" x14ac:dyDescent="0.2">
      <c r="B74" s="2978" t="s">
        <v>626</v>
      </c>
      <c r="C74" s="1204">
        <v>43172</v>
      </c>
      <c r="D74" s="1089"/>
      <c r="E74" s="1205"/>
      <c r="F74" s="2628"/>
      <c r="G74" s="1269"/>
      <c r="H74" s="1270" t="str">
        <f>IFERROR(VLOOKUP(F74,Trainingsarten!$A$9:$K$72,10,FALSE),"")</f>
        <v/>
      </c>
      <c r="I74" s="1271"/>
      <c r="J74" s="1272"/>
      <c r="K74" s="1206"/>
      <c r="L74" s="2801"/>
      <c r="M74" s="2823"/>
      <c r="N74" s="1208" t="str">
        <f t="shared" si="9"/>
        <v/>
      </c>
      <c r="O74" s="1209"/>
      <c r="P74" s="1136" t="str">
        <f>IFERROR(VLOOKUP(F74,Trainingsarten!$A$9:$N$84,12,FALSE),"")</f>
        <v/>
      </c>
      <c r="Q74" s="1137" t="s">
        <v>437</v>
      </c>
      <c r="R74" s="1086" t="str">
        <f>IFERROR(VLOOKUP(F74,Trainingsarten!$A$9:$N$84,14,FALSE),"")</f>
        <v/>
      </c>
      <c r="S74" s="1087" t="str">
        <f t="shared" si="10"/>
        <v/>
      </c>
      <c r="T74" s="1210">
        <f t="shared" si="12"/>
        <v>53.05531400107769</v>
      </c>
      <c r="U74" s="1089">
        <f t="shared" si="11"/>
        <v>43.24302542406727</v>
      </c>
      <c r="V74" s="1090">
        <f t="shared" si="13"/>
        <v>-17.600132973350995</v>
      </c>
      <c r="W74" s="3284">
        <f t="shared" si="5"/>
        <v>1.2269103163061599</v>
      </c>
      <c r="X74" s="3300"/>
      <c r="Y74" s="3316"/>
      <c r="AA74" s="3301"/>
      <c r="AB74" s="3409"/>
      <c r="AE74" s="1056"/>
    </row>
    <row r="75" spans="2:31" ht="16" thickBot="1" x14ac:dyDescent="0.25">
      <c r="B75" s="2979">
        <f>SUM(H73:H79)</f>
        <v>43.800000000000004</v>
      </c>
      <c r="C75" s="1204">
        <v>43173</v>
      </c>
      <c r="D75" s="1089" t="s">
        <v>547</v>
      </c>
      <c r="E75" s="1205"/>
      <c r="F75" s="2628" t="s">
        <v>638</v>
      </c>
      <c r="G75" s="1269">
        <v>2.9374999999999998E-2</v>
      </c>
      <c r="H75" s="1270">
        <v>7.46</v>
      </c>
      <c r="I75" s="1271">
        <f t="shared" ref="I75:I77" si="14">G75/H75</f>
        <v>3.9376675603217158E-3</v>
      </c>
      <c r="J75" s="1272">
        <v>128</v>
      </c>
      <c r="K75" s="1206">
        <v>42</v>
      </c>
      <c r="L75" s="2801">
        <v>210</v>
      </c>
      <c r="M75" s="2823"/>
      <c r="N75" s="1208">
        <f t="shared" si="9"/>
        <v>1.0506623560952533</v>
      </c>
      <c r="O75" s="1209" t="s">
        <v>471</v>
      </c>
      <c r="P75" s="1136" t="str">
        <f>IFERROR(VLOOKUP(F75,Trainingsarten!$A$9:$N$84,12,FALSE),"")</f>
        <v/>
      </c>
      <c r="Q75" s="1137" t="s">
        <v>437</v>
      </c>
      <c r="R75" s="1086" t="str">
        <f>IFERROR(VLOOKUP(F75,Trainingsarten!$A$9:$N$84,14,FALSE),"")</f>
        <v/>
      </c>
      <c r="S75" s="1087">
        <f t="shared" si="10"/>
        <v>1.640625</v>
      </c>
      <c r="T75" s="1210">
        <f t="shared" si="12"/>
        <v>51.475983429495166</v>
      </c>
      <c r="U75" s="1089">
        <f t="shared" si="11"/>
        <v>43.213429580637097</v>
      </c>
      <c r="V75" s="1090">
        <f t="shared" si="13"/>
        <v>-9.8122885770104205</v>
      </c>
      <c r="W75" s="3284">
        <f t="shared" si="5"/>
        <v>1.1912033811951903</v>
      </c>
      <c r="X75" s="3300"/>
      <c r="Y75" s="3316"/>
      <c r="AA75" s="3301"/>
      <c r="AB75" s="3409"/>
      <c r="AE75" s="1056"/>
    </row>
    <row r="76" spans="2:31" x14ac:dyDescent="0.2">
      <c r="B76" s="2980" t="s">
        <v>628</v>
      </c>
      <c r="C76" s="1211">
        <v>43174</v>
      </c>
      <c r="D76" s="1089"/>
      <c r="E76" s="1205"/>
      <c r="F76" s="2628"/>
      <c r="G76" s="1269"/>
      <c r="H76" s="1270" t="str">
        <f>IFERROR(VLOOKUP(F76,Trainingsarten!$A$9:$K$72,10,FALSE),"")</f>
        <v/>
      </c>
      <c r="I76" s="1271"/>
      <c r="J76" s="1272"/>
      <c r="K76" s="1206"/>
      <c r="L76" s="2801"/>
      <c r="M76" s="2823"/>
      <c r="N76" s="1208" t="str">
        <f t="shared" si="9"/>
        <v/>
      </c>
      <c r="O76" s="1209"/>
      <c r="P76" s="1136" t="str">
        <f>IFERROR(VLOOKUP(F76,Trainingsarten!$A$9:$N$84,12,FALSE),"")</f>
        <v/>
      </c>
      <c r="Q76" s="1137" t="s">
        <v>437</v>
      </c>
      <c r="R76" s="1086" t="str">
        <f>IFERROR(VLOOKUP(F76,Trainingsarten!$A$9:$N$84,14,FALSE),"")</f>
        <v/>
      </c>
      <c r="S76" s="1087" t="str">
        <f t="shared" si="10"/>
        <v/>
      </c>
      <c r="T76" s="1210">
        <f t="shared" si="12"/>
        <v>44.122271510995859</v>
      </c>
      <c r="U76" s="1089">
        <f t="shared" si="11"/>
        <v>42.18453840014574</v>
      </c>
      <c r="V76" s="1090">
        <f t="shared" si="13"/>
        <v>-8.2625538488580688</v>
      </c>
      <c r="W76" s="3284">
        <f t="shared" si="5"/>
        <v>1.0459346761713866</v>
      </c>
      <c r="X76" s="3300"/>
      <c r="Y76" s="3316"/>
      <c r="AA76" s="3301"/>
      <c r="AB76" s="3409"/>
      <c r="AE76" s="1056"/>
    </row>
    <row r="77" spans="2:31" ht="16" thickBot="1" x14ac:dyDescent="0.25">
      <c r="B77" s="2981">
        <f>SUM(K73:K79)</f>
        <v>264</v>
      </c>
      <c r="C77" s="1211">
        <v>43175</v>
      </c>
      <c r="D77" s="1089" t="s">
        <v>548</v>
      </c>
      <c r="E77" s="1205"/>
      <c r="F77" s="2628" t="s">
        <v>656</v>
      </c>
      <c r="G77" s="1269">
        <v>2.9560185185185189E-2</v>
      </c>
      <c r="H77" s="1167">
        <v>8.15</v>
      </c>
      <c r="I77" s="1273">
        <f t="shared" si="14"/>
        <v>3.6270165871392867E-3</v>
      </c>
      <c r="J77" s="1274">
        <v>140</v>
      </c>
      <c r="K77" s="1206">
        <v>56</v>
      </c>
      <c r="L77" s="2801">
        <v>223</v>
      </c>
      <c r="M77" s="2823"/>
      <c r="N77" s="1208">
        <f t="shared" si="9"/>
        <v>1.0276831468783831</v>
      </c>
      <c r="O77" s="1209" t="s">
        <v>483</v>
      </c>
      <c r="P77" s="1136">
        <f>IFERROR(VLOOKUP(F77,Trainingsarten!$A$9:$N$84,12,FALSE),"")</f>
        <v>230.89999999999998</v>
      </c>
      <c r="Q77" s="1137" t="s">
        <v>437</v>
      </c>
      <c r="R77" s="1086">
        <f>IFERROR(VLOOKUP(F77,Trainingsarten!$A$9:$N$84,14,FALSE),"")</f>
        <v>254.10000000000002</v>
      </c>
      <c r="S77" s="1087">
        <f t="shared" si="10"/>
        <v>1.5928571428571427</v>
      </c>
      <c r="T77" s="1210">
        <f t="shared" si="12"/>
        <v>45.819089866567879</v>
      </c>
      <c r="U77" s="1089">
        <f t="shared" si="11"/>
        <v>42.513477962047034</v>
      </c>
      <c r="V77" s="1090">
        <f t="shared" si="13"/>
        <v>-1.9377331108501181</v>
      </c>
      <c r="W77" s="3284">
        <f t="shared" si="5"/>
        <v>1.0777544454836618</v>
      </c>
      <c r="X77" s="3300"/>
      <c r="Y77" s="3316"/>
      <c r="AA77" s="3301"/>
      <c r="AB77" s="3409"/>
      <c r="AE77" s="1056"/>
    </row>
    <row r="78" spans="2:31" x14ac:dyDescent="0.2">
      <c r="B78" s="2982" t="s">
        <v>761</v>
      </c>
      <c r="C78" s="1211">
        <v>43176</v>
      </c>
      <c r="D78" s="1089"/>
      <c r="E78" s="1205"/>
      <c r="F78" s="2628"/>
      <c r="G78" s="1269"/>
      <c r="H78" s="1167" t="str">
        <f>IFERROR(VLOOKUP(F78,Trainingsarten!$A$9:$K$78,10,FALSE),"")</f>
        <v/>
      </c>
      <c r="I78" s="1273"/>
      <c r="J78" s="1274"/>
      <c r="K78" s="1206"/>
      <c r="L78" s="2801"/>
      <c r="M78" s="2823"/>
      <c r="N78" s="1208" t="str">
        <f t="shared" si="9"/>
        <v/>
      </c>
      <c r="O78" s="1209"/>
      <c r="P78" s="1136" t="str">
        <f>IFERROR(VLOOKUP(F78,Trainingsarten!$A$9:$N$84,12,FALSE),"")</f>
        <v/>
      </c>
      <c r="Q78" s="1137" t="s">
        <v>437</v>
      </c>
      <c r="R78" s="1086" t="str">
        <f>IFERROR(VLOOKUP(F78,Trainingsarten!$A$9:$N$84,14,FALSE),"")</f>
        <v/>
      </c>
      <c r="S78" s="1087" t="str">
        <f t="shared" si="10"/>
        <v/>
      </c>
      <c r="T78" s="1210">
        <f t="shared" si="12"/>
        <v>39.273505599915325</v>
      </c>
      <c r="U78" s="1089">
        <f t="shared" si="11"/>
        <v>41.501252296284008</v>
      </c>
      <c r="V78" s="1090">
        <f t="shared" si="13"/>
        <v>-3.3056119045208447</v>
      </c>
      <c r="W78" s="3284">
        <f t="shared" si="5"/>
        <v>0.94632097652223968</v>
      </c>
      <c r="X78" s="3300"/>
      <c r="Y78" s="3316"/>
      <c r="AA78" s="3301"/>
      <c r="AB78" s="3409"/>
      <c r="AE78" s="1056"/>
    </row>
    <row r="79" spans="2:31" ht="16" thickBot="1" x14ac:dyDescent="0.25">
      <c r="B79" s="2983">
        <f>AVERAGE(W73:W79)</f>
        <v>1.1217739645678264</v>
      </c>
      <c r="C79" s="1260">
        <v>43177</v>
      </c>
      <c r="D79" s="1108" t="s">
        <v>549</v>
      </c>
      <c r="E79" s="1261"/>
      <c r="F79" s="2629" t="s">
        <v>793</v>
      </c>
      <c r="G79" s="1275">
        <v>2.7627314814814813E-2</v>
      </c>
      <c r="H79" s="1218">
        <v>7.28</v>
      </c>
      <c r="I79" s="1219">
        <f t="shared" ref="I79" si="15">G79/H79</f>
        <v>3.7949608262108259E-3</v>
      </c>
      <c r="J79" s="1276">
        <v>135</v>
      </c>
      <c r="K79" s="1221">
        <v>46</v>
      </c>
      <c r="L79" s="2802">
        <v>219</v>
      </c>
      <c r="M79" s="2824"/>
      <c r="N79" s="1223">
        <f t="shared" si="9"/>
        <v>1.0559813348416289</v>
      </c>
      <c r="O79" s="1224" t="s">
        <v>471</v>
      </c>
      <c r="P79" s="1225" t="str">
        <f>IFERROR(VLOOKUP(F79,Trainingsarten!$A$9:$N$84,12,FALSE),"")</f>
        <v/>
      </c>
      <c r="Q79" s="1226" t="s">
        <v>437</v>
      </c>
      <c r="R79" s="1105" t="str">
        <f>IFERROR(VLOOKUP(F79,Trainingsarten!$A$9:$N$84,14,FALSE),"")</f>
        <v/>
      </c>
      <c r="S79" s="1106">
        <f t="shared" si="10"/>
        <v>1.6222222222222222</v>
      </c>
      <c r="T79" s="1227">
        <f>T78+(K79-T78)/7</f>
        <v>40.234433371355991</v>
      </c>
      <c r="U79" s="1108">
        <f t="shared" si="11"/>
        <v>41.608365336848678</v>
      </c>
      <c r="V79" s="1228">
        <f t="shared" si="13"/>
        <v>2.2277466963686834</v>
      </c>
      <c r="W79" s="3285">
        <f t="shared" si="5"/>
        <v>0.96697942939190829</v>
      </c>
      <c r="X79" s="3300"/>
      <c r="Y79" s="3316"/>
      <c r="AA79" s="3301"/>
      <c r="AB79" s="3409"/>
      <c r="AE79" s="1056"/>
    </row>
    <row r="80" spans="2:31" ht="16" thickBot="1" x14ac:dyDescent="0.25">
      <c r="B80" s="2977">
        <f>B73+1</f>
        <v>12</v>
      </c>
      <c r="C80" s="1245">
        <v>43178</v>
      </c>
      <c r="D80" s="1111"/>
      <c r="E80" s="1112"/>
      <c r="F80" s="2618"/>
      <c r="G80" s="1113"/>
      <c r="H80" s="1229" t="str">
        <f>IFERROR(VLOOKUP(F80,Trainingsarten!$A$9:$K$78,10,FALSE),"")</f>
        <v/>
      </c>
      <c r="I80" s="1230"/>
      <c r="J80" s="1231"/>
      <c r="K80" s="1117"/>
      <c r="L80" s="1118"/>
      <c r="M80" s="2825"/>
      <c r="N80" s="1119" t="str">
        <f t="shared" si="9"/>
        <v/>
      </c>
      <c r="O80" s="1120"/>
      <c r="P80" s="1277" t="str">
        <f>IFERROR(VLOOKUP(F80,Trainingsarten!$A$9:$N$84,12,FALSE),"")</f>
        <v/>
      </c>
      <c r="Q80" s="1122" t="s">
        <v>437</v>
      </c>
      <c r="R80" s="1122" t="str">
        <f>IFERROR(VLOOKUP(F80,Trainingsarten!$A$9:$N$84,14,FALSE),"")</f>
        <v/>
      </c>
      <c r="S80" s="1070" t="str">
        <f t="shared" si="10"/>
        <v/>
      </c>
      <c r="T80" s="1278">
        <f t="shared" si="12"/>
        <v>34.486657175447995</v>
      </c>
      <c r="U80" s="1111">
        <f t="shared" si="11"/>
        <v>40.617689971685614</v>
      </c>
      <c r="V80" s="1124">
        <f t="shared" si="13"/>
        <v>1.3739319654926874</v>
      </c>
      <c r="W80" s="3286">
        <f t="shared" si="5"/>
        <v>0.84905510873435852</v>
      </c>
      <c r="X80" s="3300"/>
      <c r="Y80" s="3316"/>
      <c r="AA80" s="3301"/>
      <c r="AB80" s="3409"/>
      <c r="AE80" s="1056"/>
    </row>
    <row r="81" spans="1:31" x14ac:dyDescent="0.2">
      <c r="B81" s="2978" t="s">
        <v>626</v>
      </c>
      <c r="C81" s="1126">
        <v>43179</v>
      </c>
      <c r="D81" s="1212" t="s">
        <v>550</v>
      </c>
      <c r="E81" s="1213"/>
      <c r="F81" s="2632" t="s">
        <v>656</v>
      </c>
      <c r="G81" s="1279">
        <v>2.8784722222222225E-2</v>
      </c>
      <c r="H81" s="1280">
        <v>8.1300000000000008</v>
      </c>
      <c r="I81" s="1281">
        <f t="shared" ref="I81:I88" si="16">G81/H81</f>
        <v>3.5405562388957225E-3</v>
      </c>
      <c r="J81" s="1132">
        <v>143</v>
      </c>
      <c r="K81" s="1133">
        <v>52</v>
      </c>
      <c r="L81" s="2801">
        <v>232</v>
      </c>
      <c r="M81" s="2823"/>
      <c r="N81" s="1188">
        <f t="shared" si="9"/>
        <v>1.0436726720208378</v>
      </c>
      <c r="O81" s="1135" t="s">
        <v>471</v>
      </c>
      <c r="P81" s="1282">
        <f>IFERROR(VLOOKUP(F81,Trainingsarten!$A$9:$N$84,12,FALSE),"")</f>
        <v>230.89999999999998</v>
      </c>
      <c r="Q81" s="1283" t="s">
        <v>437</v>
      </c>
      <c r="R81" s="1086">
        <f>IFERROR(VLOOKUP(F81,Trainingsarten!$A$9:$N$84,14,FALSE),"")</f>
        <v>254.10000000000002</v>
      </c>
      <c r="S81" s="1087">
        <f t="shared" si="10"/>
        <v>1.6223776223776223</v>
      </c>
      <c r="T81" s="1088">
        <f t="shared" si="12"/>
        <v>36.988563293241135</v>
      </c>
      <c r="U81" s="1089">
        <f t="shared" si="11"/>
        <v>40.888697353312146</v>
      </c>
      <c r="V81" s="1090">
        <f t="shared" si="13"/>
        <v>6.1310327962376192</v>
      </c>
      <c r="W81" s="3284">
        <f t="shared" si="5"/>
        <v>0.90461583976690119</v>
      </c>
      <c r="X81" s="3300"/>
      <c r="Y81" s="3316"/>
      <c r="AA81" s="3301"/>
      <c r="AB81" s="3409"/>
      <c r="AE81" s="1056"/>
    </row>
    <row r="82" spans="1:31" ht="16" thickBot="1" x14ac:dyDescent="0.25">
      <c r="B82" s="2979">
        <f>SUM(H80:H86)</f>
        <v>40.394999999999996</v>
      </c>
      <c r="C82" s="1126">
        <v>43180</v>
      </c>
      <c r="D82" s="1212"/>
      <c r="E82" s="1213"/>
      <c r="F82" s="2632"/>
      <c r="G82" s="1279"/>
      <c r="H82" s="1280" t="str">
        <f>IFERROR(VLOOKUP(F82,Trainingsarten!$A$9:$K$78,10,FALSE),"")</f>
        <v/>
      </c>
      <c r="I82" s="1284"/>
      <c r="J82" s="1132"/>
      <c r="K82" s="1133"/>
      <c r="L82" s="2801"/>
      <c r="M82" s="2823"/>
      <c r="N82" s="1188" t="str">
        <f t="shared" si="9"/>
        <v/>
      </c>
      <c r="O82" s="1135"/>
      <c r="P82" s="1282" t="str">
        <f>IFERROR(VLOOKUP(F82,Trainingsarten!$A$9:$N$84,12,FALSE),"")</f>
        <v/>
      </c>
      <c r="Q82" s="1283" t="s">
        <v>437</v>
      </c>
      <c r="R82" s="1086" t="str">
        <f>IFERROR(VLOOKUP(F82,Trainingsarten!$A$9:$N$84,14,FALSE),"")</f>
        <v/>
      </c>
      <c r="S82" s="1087" t="str">
        <f t="shared" si="10"/>
        <v/>
      </c>
      <c r="T82" s="1088">
        <f t="shared" si="12"/>
        <v>31.704482822778118</v>
      </c>
      <c r="U82" s="1089">
        <f t="shared" si="11"/>
        <v>39.915156940138047</v>
      </c>
      <c r="V82" s="1090">
        <f t="shared" si="13"/>
        <v>3.9001340600710108</v>
      </c>
      <c r="W82" s="3284">
        <f t="shared" si="5"/>
        <v>0.79429683491727909</v>
      </c>
      <c r="X82" s="3300"/>
      <c r="Y82" s="3316"/>
      <c r="AA82" s="3301"/>
      <c r="AB82" s="3409"/>
      <c r="AE82" s="1056"/>
    </row>
    <row r="83" spans="1:31" x14ac:dyDescent="0.2">
      <c r="B83" s="2980" t="s">
        <v>628</v>
      </c>
      <c r="C83" s="1126">
        <v>43181</v>
      </c>
      <c r="D83" s="1212" t="s">
        <v>551</v>
      </c>
      <c r="E83" s="1213"/>
      <c r="F83" s="2632" t="s">
        <v>637</v>
      </c>
      <c r="G83" s="1279">
        <v>2.6875E-2</v>
      </c>
      <c r="H83" s="1280">
        <v>6.66</v>
      </c>
      <c r="I83" s="1281">
        <f t="shared" si="16"/>
        <v>4.0352852852852854E-3</v>
      </c>
      <c r="J83" s="1132">
        <v>124</v>
      </c>
      <c r="K83" s="1133">
        <v>38</v>
      </c>
      <c r="L83" s="2801">
        <v>209</v>
      </c>
      <c r="M83" s="2823"/>
      <c r="N83" s="1188">
        <f t="shared" si="9"/>
        <v>1.0715818759936409</v>
      </c>
      <c r="O83" s="1135" t="s">
        <v>471</v>
      </c>
      <c r="P83" s="1282" t="str">
        <f>IFERROR(VLOOKUP(F83,Trainingsarten!$A$9:$N$84,12,FALSE),"")</f>
        <v/>
      </c>
      <c r="Q83" s="1283" t="s">
        <v>437</v>
      </c>
      <c r="R83" s="1086" t="str">
        <f>IFERROR(VLOOKUP(F83,Trainingsarten!$A$9:$N$84,14,FALSE),"")</f>
        <v/>
      </c>
      <c r="S83" s="1087">
        <f t="shared" si="10"/>
        <v>1.685483870967742</v>
      </c>
      <c r="T83" s="1088">
        <f t="shared" si="12"/>
        <v>32.603842419524099</v>
      </c>
      <c r="U83" s="1089">
        <f t="shared" si="11"/>
        <v>39.869557965372856</v>
      </c>
      <c r="V83" s="1090">
        <f t="shared" si="13"/>
        <v>8.2106741173599289</v>
      </c>
      <c r="W83" s="3284">
        <f t="shared" si="5"/>
        <v>0.81776282666190803</v>
      </c>
      <c r="X83" s="3300"/>
      <c r="Y83" s="3316"/>
      <c r="AA83" s="3301"/>
      <c r="AB83" s="3409"/>
      <c r="AE83" s="1056"/>
    </row>
    <row r="84" spans="1:31" ht="16" thickBot="1" x14ac:dyDescent="0.25">
      <c r="B84" s="2981">
        <f>SUM(K80:K86)</f>
        <v>259</v>
      </c>
      <c r="C84" s="1126">
        <v>43182</v>
      </c>
      <c r="D84" s="1212"/>
      <c r="E84" s="1213"/>
      <c r="F84" s="2632"/>
      <c r="G84" s="1279"/>
      <c r="H84" s="1280" t="str">
        <f>IFERROR(VLOOKUP(F84,Trainingsarten!$A$9:$K$78,10,FALSE),"")</f>
        <v/>
      </c>
      <c r="I84" s="1284"/>
      <c r="J84" s="1132"/>
      <c r="K84" s="1133"/>
      <c r="L84" s="2801"/>
      <c r="M84" s="2823"/>
      <c r="N84" s="1188" t="str">
        <f t="shared" si="9"/>
        <v/>
      </c>
      <c r="O84" s="1135"/>
      <c r="P84" s="1282" t="str">
        <f>IFERROR(VLOOKUP(F84,Trainingsarten!$A$9:$N$84,12,FALSE),"")</f>
        <v/>
      </c>
      <c r="Q84" s="1283" t="s">
        <v>437</v>
      </c>
      <c r="R84" s="1086" t="str">
        <f>IFERROR(VLOOKUP(F84,Trainingsarten!$A$9:$N$84,14,FALSE),"")</f>
        <v/>
      </c>
      <c r="S84" s="1087" t="str">
        <f t="shared" si="10"/>
        <v/>
      </c>
      <c r="T84" s="1088">
        <f t="shared" si="12"/>
        <v>27.946150645306371</v>
      </c>
      <c r="U84" s="1089">
        <f t="shared" si="11"/>
        <v>38.92028277572112</v>
      </c>
      <c r="V84" s="1090">
        <f t="shared" si="13"/>
        <v>7.2657155458487566</v>
      </c>
      <c r="W84" s="3284">
        <f t="shared" si="5"/>
        <v>0.71803565267874858</v>
      </c>
      <c r="X84" s="3300"/>
      <c r="Y84" s="3316"/>
      <c r="AA84" s="3301"/>
      <c r="AB84" s="3409"/>
      <c r="AE84" s="1056"/>
    </row>
    <row r="85" spans="1:31" x14ac:dyDescent="0.2">
      <c r="B85" s="2982" t="s">
        <v>761</v>
      </c>
      <c r="C85" s="1126">
        <v>43183</v>
      </c>
      <c r="D85" s="1212" t="s">
        <v>552</v>
      </c>
      <c r="E85" s="1213"/>
      <c r="F85" s="2632" t="s">
        <v>636</v>
      </c>
      <c r="G85" s="1279">
        <v>2.3101851851851849E-2</v>
      </c>
      <c r="H85" s="1280">
        <v>4.51</v>
      </c>
      <c r="I85" s="1281">
        <f t="shared" si="16"/>
        <v>5.1223618296789026E-3</v>
      </c>
      <c r="J85" s="1132">
        <v>113</v>
      </c>
      <c r="K85" s="1133">
        <v>20</v>
      </c>
      <c r="L85" s="2801">
        <v>161</v>
      </c>
      <c r="M85" s="2823"/>
      <c r="N85" s="1188">
        <f t="shared" si="9"/>
        <v>1.047854441111256</v>
      </c>
      <c r="O85" s="1135" t="s">
        <v>471</v>
      </c>
      <c r="P85" s="1282" t="str">
        <f>IFERROR(VLOOKUP(F85,Trainingsarten!$A$9:$N$84,12,FALSE),"")</f>
        <v/>
      </c>
      <c r="Q85" s="1283" t="s">
        <v>437</v>
      </c>
      <c r="R85" s="1086" t="str">
        <f>IFERROR(VLOOKUP(F85,Trainingsarten!$A$9:$N$84,14,FALSE),"")</f>
        <v/>
      </c>
      <c r="S85" s="1087">
        <f t="shared" si="10"/>
        <v>1.4247787610619469</v>
      </c>
      <c r="T85" s="1088">
        <f t="shared" si="12"/>
        <v>26.810986267405461</v>
      </c>
      <c r="U85" s="1089">
        <f t="shared" si="11"/>
        <v>38.469799852489665</v>
      </c>
      <c r="V85" s="1090">
        <f t="shared" si="13"/>
        <v>10.974132130414748</v>
      </c>
      <c r="W85" s="3284">
        <f t="shared" si="5"/>
        <v>0.69693594378475365</v>
      </c>
      <c r="X85" s="3300"/>
      <c r="Y85" s="3316"/>
      <c r="AA85" s="3301"/>
      <c r="AB85" s="3409"/>
      <c r="AE85" s="1056"/>
    </row>
    <row r="86" spans="1:31" customFormat="1" ht="16" thickBot="1" x14ac:dyDescent="0.25">
      <c r="A86" s="140"/>
      <c r="B86" s="2983">
        <f>AVERAGE(W80:W86)</f>
        <v>0.83681555705039978</v>
      </c>
      <c r="C86" s="1248">
        <v>43184</v>
      </c>
      <c r="D86" s="1249" t="s">
        <v>553</v>
      </c>
      <c r="E86" s="1250" t="s">
        <v>836</v>
      </c>
      <c r="F86" s="2633" t="s">
        <v>158</v>
      </c>
      <c r="G86" s="1251">
        <v>6.4328703703703707E-2</v>
      </c>
      <c r="H86" s="1252">
        <v>21.094999999999999</v>
      </c>
      <c r="I86" s="1253">
        <f t="shared" si="16"/>
        <v>3.0494763547619678E-3</v>
      </c>
      <c r="J86" s="1254">
        <v>157</v>
      </c>
      <c r="K86" s="1255">
        <v>149</v>
      </c>
      <c r="L86" s="2805">
        <v>267</v>
      </c>
      <c r="M86" s="2828"/>
      <c r="N86" s="1256">
        <f t="shared" si="9"/>
        <v>1.0345258843048952</v>
      </c>
      <c r="O86" s="1257" t="s">
        <v>483</v>
      </c>
      <c r="P86" s="1285" t="str">
        <f>IFERROR(VLOOKUP(F86,Trainingsarten!$A$9:$N$84,12,FALSE),"")</f>
        <v/>
      </c>
      <c r="Q86" s="1286" t="s">
        <v>437</v>
      </c>
      <c r="R86" s="1286" t="str">
        <f>IFERROR(VLOOKUP(F86,Trainingsarten!$A$9:$N$84,14,FALSE),"")</f>
        <v/>
      </c>
      <c r="S86" s="1106">
        <f t="shared" si="10"/>
        <v>1.7006369426751593</v>
      </c>
      <c r="T86" s="1239">
        <f t="shared" si="12"/>
        <v>44.266559657776114</v>
      </c>
      <c r="U86" s="1258">
        <f t="shared" si="11"/>
        <v>41.101471284573243</v>
      </c>
      <c r="V86" s="1154">
        <f t="shared" si="13"/>
        <v>11.658813585084204</v>
      </c>
      <c r="W86" s="3287">
        <f t="shared" si="5"/>
        <v>1.0770066928088493</v>
      </c>
      <c r="X86" s="3302"/>
      <c r="Y86" s="3317"/>
      <c r="Z86" s="2597"/>
      <c r="AA86" s="3303"/>
      <c r="AB86" s="3409"/>
      <c r="AC86" s="3644"/>
      <c r="AD86" s="3644"/>
      <c r="AE86" s="1056"/>
    </row>
    <row r="87" spans="1:31" ht="16" thickBot="1" x14ac:dyDescent="0.25">
      <c r="B87" s="2977">
        <f>B80+1</f>
        <v>13</v>
      </c>
      <c r="C87" s="1241">
        <v>43185</v>
      </c>
      <c r="D87" s="1191"/>
      <c r="E87" s="1192"/>
      <c r="F87" s="2634"/>
      <c r="G87" s="1263"/>
      <c r="H87" s="1287" t="str">
        <f>IFERROR(VLOOKUP(F87,Trainingsarten!$A$9:$K$78,10,FALSE),"")</f>
        <v/>
      </c>
      <c r="I87" s="1288"/>
      <c r="J87" s="1289"/>
      <c r="K87" s="1197"/>
      <c r="L87" s="2800"/>
      <c r="M87" s="2822"/>
      <c r="N87" s="1199" t="str">
        <f t="shared" si="9"/>
        <v/>
      </c>
      <c r="O87" s="1200"/>
      <c r="P87" s="1267" t="str">
        <f>IFERROR(VLOOKUP(F87,Trainingsarten!$A$9:$N$84,12,FALSE),"")</f>
        <v/>
      </c>
      <c r="Q87" s="1202" t="s">
        <v>437</v>
      </c>
      <c r="R87" s="1069" t="str">
        <f>IFERROR(VLOOKUP(F87,Trainingsarten!$A$9:$N$84,14,FALSE),"")</f>
        <v/>
      </c>
      <c r="S87" s="1070" t="str">
        <f t="shared" si="10"/>
        <v/>
      </c>
      <c r="T87" s="1268">
        <f>T86+(K87-T86)/7</f>
        <v>37.942765420950956</v>
      </c>
      <c r="U87" s="1191">
        <f t="shared" si="11"/>
        <v>40.122864825416741</v>
      </c>
      <c r="V87" s="1073">
        <f t="shared" si="13"/>
        <v>-3.1650883732028703</v>
      </c>
      <c r="W87" s="3283">
        <f t="shared" si="5"/>
        <v>0.94566441319801386</v>
      </c>
      <c r="X87" s="3300"/>
      <c r="Y87" s="3316"/>
      <c r="AA87" s="3301"/>
      <c r="AB87" s="3409"/>
      <c r="AE87" s="1056"/>
    </row>
    <row r="88" spans="1:31" x14ac:dyDescent="0.2">
      <c r="B88" s="2978" t="s">
        <v>626</v>
      </c>
      <c r="C88" s="1211">
        <v>43186</v>
      </c>
      <c r="D88" s="1089" t="s">
        <v>554</v>
      </c>
      <c r="E88" s="1205"/>
      <c r="F88" s="2622" t="s">
        <v>636</v>
      </c>
      <c r="G88" s="1269">
        <v>2.0474537037037038E-2</v>
      </c>
      <c r="H88" s="1167">
        <v>4.7</v>
      </c>
      <c r="I88" s="1273">
        <f t="shared" si="16"/>
        <v>4.3562844759653272E-3</v>
      </c>
      <c r="J88" s="1169"/>
      <c r="K88" s="1206">
        <v>17</v>
      </c>
      <c r="L88" s="2801">
        <v>192</v>
      </c>
      <c r="M88" s="2823"/>
      <c r="N88" s="1290">
        <f t="shared" si="9"/>
        <v>1.0627284105131416</v>
      </c>
      <c r="O88" s="1209" t="s">
        <v>471</v>
      </c>
      <c r="P88" s="1136" t="str">
        <f>IFERROR(VLOOKUP(F88,Trainingsarten!$A$9:$N$84,12,FALSE),"")</f>
        <v/>
      </c>
      <c r="Q88" s="1137" t="s">
        <v>437</v>
      </c>
      <c r="R88" s="1086" t="str">
        <f>IFERROR(VLOOKUP(F88,Trainingsarten!$A$9:$N$84,14,FALSE),"")</f>
        <v/>
      </c>
      <c r="S88" s="1087" t="str">
        <f t="shared" si="10"/>
        <v/>
      </c>
      <c r="T88" s="1210">
        <f t="shared" si="12"/>
        <v>34.950941789386533</v>
      </c>
      <c r="U88" s="1212">
        <f t="shared" si="11"/>
        <v>39.572320424811579</v>
      </c>
      <c r="V88" s="1259">
        <f t="shared" si="13"/>
        <v>2.1800994044657855</v>
      </c>
      <c r="W88" s="3284">
        <f t="shared" si="5"/>
        <v>0.88321689034622608</v>
      </c>
      <c r="X88" s="3300"/>
      <c r="Y88" s="3316"/>
      <c r="AA88" s="3301"/>
      <c r="AB88" s="3409"/>
      <c r="AE88" s="1056"/>
    </row>
    <row r="89" spans="1:31" ht="16" thickBot="1" x14ac:dyDescent="0.25">
      <c r="B89" s="2979">
        <f>SUM(H87:H93)</f>
        <v>26.77</v>
      </c>
      <c r="C89" s="1211">
        <v>43187</v>
      </c>
      <c r="D89" s="1212"/>
      <c r="E89" s="1213"/>
      <c r="F89" s="2622"/>
      <c r="G89" s="1269"/>
      <c r="H89" s="1167"/>
      <c r="I89" s="1168"/>
      <c r="J89" s="1169"/>
      <c r="K89" s="1206"/>
      <c r="L89" s="2801"/>
      <c r="M89" s="2823"/>
      <c r="N89" s="1290" t="str">
        <f t="shared" si="9"/>
        <v/>
      </c>
      <c r="O89" s="1209"/>
      <c r="P89" s="1136" t="str">
        <f>IFERROR(VLOOKUP(F89,Trainingsarten!$A$9:$N$84,12,FALSE),"")</f>
        <v/>
      </c>
      <c r="Q89" s="1137" t="s">
        <v>437</v>
      </c>
      <c r="R89" s="1086" t="str">
        <f>IFERROR(VLOOKUP(F89,Trainingsarten!$A$9:$N$84,14,FALSE),"")</f>
        <v/>
      </c>
      <c r="S89" s="1087" t="str">
        <f t="shared" si="10"/>
        <v/>
      </c>
      <c r="T89" s="1210">
        <f t="shared" si="12"/>
        <v>29.957950105188459</v>
      </c>
      <c r="U89" s="1212">
        <f t="shared" si="11"/>
        <v>38.63012231945892</v>
      </c>
      <c r="V89" s="1259">
        <f t="shared" si="13"/>
        <v>4.6213786354250459</v>
      </c>
      <c r="W89" s="3284">
        <f t="shared" si="5"/>
        <v>0.77550751347473523</v>
      </c>
      <c r="X89" s="3300"/>
      <c r="Y89" s="3316"/>
      <c r="AA89" s="3301"/>
      <c r="AB89" s="3409"/>
      <c r="AE89" s="1056"/>
    </row>
    <row r="90" spans="1:31" x14ac:dyDescent="0.2">
      <c r="B90" s="2980" t="s">
        <v>628</v>
      </c>
      <c r="C90" s="1211">
        <v>43188</v>
      </c>
      <c r="D90" s="1212"/>
      <c r="E90" s="1213"/>
      <c r="F90" s="2622"/>
      <c r="G90" s="1269"/>
      <c r="H90" s="1167" t="str">
        <f>IFERROR(VLOOKUP(F90,Trainingsarten!$A$9:$K$78,10,FALSE),"")</f>
        <v/>
      </c>
      <c r="I90" s="1168"/>
      <c r="J90" s="1169"/>
      <c r="K90" s="1206"/>
      <c r="L90" s="2801"/>
      <c r="M90" s="2823"/>
      <c r="N90" s="1290" t="str">
        <f t="shared" si="9"/>
        <v/>
      </c>
      <c r="O90" s="1209"/>
      <c r="P90" s="1136" t="str">
        <f>IFERROR(VLOOKUP(F90,Trainingsarten!$A$9:$N$84,12,FALSE),"")</f>
        <v/>
      </c>
      <c r="Q90" s="1137" t="s">
        <v>437</v>
      </c>
      <c r="R90" s="1086" t="str">
        <f>IFERROR(VLOOKUP(F90,Trainingsarten!$A$9:$N$84,14,FALSE),"")</f>
        <v/>
      </c>
      <c r="S90" s="1087" t="str">
        <f t="shared" si="10"/>
        <v/>
      </c>
      <c r="T90" s="1210">
        <f t="shared" si="12"/>
        <v>25.678242947304394</v>
      </c>
      <c r="U90" s="1212">
        <f t="shared" si="11"/>
        <v>37.710357502328947</v>
      </c>
      <c r="V90" s="1259">
        <f t="shared" si="13"/>
        <v>8.6721722142704607</v>
      </c>
      <c r="W90" s="3284">
        <f t="shared" si="5"/>
        <v>0.68093342646562116</v>
      </c>
      <c r="X90" s="3300"/>
      <c r="Y90" s="3316"/>
      <c r="AA90" s="3301"/>
      <c r="AB90" s="3409"/>
      <c r="AE90" s="1056"/>
    </row>
    <row r="91" spans="1:31" ht="16" thickBot="1" x14ac:dyDescent="0.25">
      <c r="B91" s="2981">
        <f>SUM(K87:K93)</f>
        <v>147</v>
      </c>
      <c r="C91" s="1211">
        <v>43189</v>
      </c>
      <c r="D91" s="1212" t="s">
        <v>555</v>
      </c>
      <c r="E91" s="1213"/>
      <c r="F91" s="2622" t="s">
        <v>469</v>
      </c>
      <c r="G91" s="1269">
        <v>4.6458333333333331E-2</v>
      </c>
      <c r="H91" s="1167">
        <v>12.3</v>
      </c>
      <c r="I91" s="1273">
        <f t="shared" ref="I91:I92" si="17">G91/H91</f>
        <v>3.7771002710027097E-3</v>
      </c>
      <c r="J91" s="1169"/>
      <c r="K91" s="1206">
        <v>74</v>
      </c>
      <c r="L91" s="2801">
        <v>222</v>
      </c>
      <c r="M91" s="2823"/>
      <c r="N91" s="1290">
        <f t="shared" si="9"/>
        <v>1.065408895265423</v>
      </c>
      <c r="O91" s="1209" t="s">
        <v>471</v>
      </c>
      <c r="P91" s="1136"/>
      <c r="Q91" s="1137" t="s">
        <v>437</v>
      </c>
      <c r="R91" s="1086"/>
      <c r="S91" s="1087" t="str">
        <f t="shared" si="10"/>
        <v/>
      </c>
      <c r="T91" s="1210">
        <f t="shared" si="12"/>
        <v>32.581351097689478</v>
      </c>
      <c r="U91" s="1212">
        <f t="shared" si="11"/>
        <v>38.574396609416354</v>
      </c>
      <c r="V91" s="1259">
        <f t="shared" si="13"/>
        <v>12.032114555024553</v>
      </c>
      <c r="W91" s="3284">
        <f t="shared" si="5"/>
        <v>0.84463670106342192</v>
      </c>
      <c r="X91" s="3300"/>
      <c r="Y91" s="3316"/>
      <c r="AA91" s="3301"/>
      <c r="AB91" s="3409"/>
      <c r="AE91" s="1056"/>
    </row>
    <row r="92" spans="1:31" x14ac:dyDescent="0.2">
      <c r="B92" s="2982" t="s">
        <v>761</v>
      </c>
      <c r="C92" s="1211">
        <v>43190</v>
      </c>
      <c r="D92" s="1212" t="s">
        <v>556</v>
      </c>
      <c r="E92" s="1213"/>
      <c r="F92" s="2622" t="s">
        <v>665</v>
      </c>
      <c r="G92" s="1269">
        <v>3.5949074074074071E-2</v>
      </c>
      <c r="H92" s="1167">
        <v>9.77</v>
      </c>
      <c r="I92" s="1273">
        <f t="shared" si="17"/>
        <v>3.6795367527199664E-3</v>
      </c>
      <c r="J92" s="1169"/>
      <c r="K92" s="1206">
        <v>56</v>
      </c>
      <c r="L92" s="2801">
        <v>221</v>
      </c>
      <c r="M92" s="2823"/>
      <c r="N92" s="1290">
        <f t="shared" si="9"/>
        <v>1.0332139201637665</v>
      </c>
      <c r="O92" s="1209" t="s">
        <v>471</v>
      </c>
      <c r="P92" s="1136" t="str">
        <f>IFERROR(VLOOKUP(F92,Trainingsarten!$A$9:$N$84,12,FALSE),"")</f>
        <v/>
      </c>
      <c r="Q92" s="1137" t="s">
        <v>437</v>
      </c>
      <c r="R92" s="1086" t="str">
        <f>IFERROR(VLOOKUP(F92,Trainingsarten!$A$9:$N$84,14,FALSE),"")</f>
        <v/>
      </c>
      <c r="S92" s="1087" t="str">
        <f t="shared" si="10"/>
        <v/>
      </c>
      <c r="T92" s="1210">
        <f t="shared" si="12"/>
        <v>35.926872369448127</v>
      </c>
      <c r="U92" s="1212">
        <f t="shared" si="11"/>
        <v>38.989291928239773</v>
      </c>
      <c r="V92" s="1259">
        <f t="shared" si="13"/>
        <v>5.9930455117268764</v>
      </c>
      <c r="W92" s="3284">
        <f t="shared" si="5"/>
        <v>0.92145485574787911</v>
      </c>
      <c r="X92" s="3300"/>
      <c r="Y92" s="3316"/>
      <c r="AA92" s="3301"/>
      <c r="AB92" s="3409"/>
      <c r="AE92" s="1056"/>
    </row>
    <row r="93" spans="1:31" ht="16" thickBot="1" x14ac:dyDescent="0.25">
      <c r="B93" s="2983">
        <f>AVERAGE(W87:W93)</f>
        <v>0.83721373037998426</v>
      </c>
      <c r="C93" s="1214">
        <v>43191</v>
      </c>
      <c r="D93" s="1215"/>
      <c r="E93" s="1216"/>
      <c r="F93" s="2635"/>
      <c r="G93" s="1275"/>
      <c r="H93" s="1218"/>
      <c r="I93" s="1219"/>
      <c r="J93" s="1220"/>
      <c r="K93" s="1221"/>
      <c r="L93" s="2802"/>
      <c r="M93" s="2824"/>
      <c r="N93" s="1223" t="str">
        <f t="shared" si="9"/>
        <v/>
      </c>
      <c r="O93" s="1224"/>
      <c r="P93" s="1225" t="str">
        <f>IFERROR(VLOOKUP(F93,Trainingsarten!$A$9:$N$84,12,FALSE),"")</f>
        <v/>
      </c>
      <c r="Q93" s="1226" t="s">
        <v>437</v>
      </c>
      <c r="R93" s="1105" t="str">
        <f>IFERROR(VLOOKUP(F93,Trainingsarten!$A$9:$N$84,14,FALSE),"")</f>
        <v/>
      </c>
      <c r="S93" s="1106" t="str">
        <f t="shared" si="10"/>
        <v/>
      </c>
      <c r="T93" s="1227">
        <f t="shared" si="12"/>
        <v>30.794462030955536</v>
      </c>
      <c r="U93" s="1108">
        <f t="shared" si="11"/>
        <v>38.060975453757877</v>
      </c>
      <c r="V93" s="1228">
        <f t="shared" si="13"/>
        <v>3.0624195587916461</v>
      </c>
      <c r="W93" s="3285">
        <f t="shared" si="5"/>
        <v>0.80908231236399131</v>
      </c>
      <c r="X93" s="3300"/>
      <c r="Y93" s="3316"/>
      <c r="AA93" s="3301"/>
      <c r="AB93" s="3409"/>
      <c r="AE93" s="1056"/>
    </row>
    <row r="94" spans="1:31" ht="16" thickBot="1" x14ac:dyDescent="0.25">
      <c r="B94" s="2977">
        <f>B87+1</f>
        <v>14</v>
      </c>
      <c r="C94" s="1110">
        <v>43192</v>
      </c>
      <c r="D94" s="1111" t="s">
        <v>557</v>
      </c>
      <c r="E94" s="1112"/>
      <c r="F94" s="2618" t="s">
        <v>469</v>
      </c>
      <c r="G94" s="1113">
        <v>3.7592592592592594E-2</v>
      </c>
      <c r="H94" s="1229">
        <v>10.4</v>
      </c>
      <c r="I94" s="1291">
        <f>G94/H94</f>
        <v>3.6146723646723646E-3</v>
      </c>
      <c r="J94" s="1231"/>
      <c r="K94" s="1117">
        <v>63</v>
      </c>
      <c r="L94" s="1118">
        <v>230</v>
      </c>
      <c r="M94" s="2825"/>
      <c r="N94" s="1119">
        <f t="shared" si="9"/>
        <v>1.0563348416289593</v>
      </c>
      <c r="O94" s="1120" t="s">
        <v>471</v>
      </c>
      <c r="P94" s="1277"/>
      <c r="Q94" s="1122" t="s">
        <v>437</v>
      </c>
      <c r="R94" s="1122"/>
      <c r="S94" s="1070" t="str">
        <f t="shared" si="10"/>
        <v/>
      </c>
      <c r="T94" s="1278">
        <f t="shared" si="12"/>
        <v>35.395253169390458</v>
      </c>
      <c r="U94" s="1111">
        <f t="shared" si="11"/>
        <v>38.654761752477924</v>
      </c>
      <c r="V94" s="1124">
        <f t="shared" si="13"/>
        <v>7.2665134228023405</v>
      </c>
      <c r="W94" s="3286">
        <f t="shared" si="5"/>
        <v>0.91567640219956814</v>
      </c>
      <c r="X94" s="3300"/>
      <c r="Y94" s="3316"/>
      <c r="AA94" s="3301"/>
      <c r="AB94" s="3409"/>
      <c r="AE94" s="1056"/>
    </row>
    <row r="95" spans="1:31" x14ac:dyDescent="0.2">
      <c r="B95" s="2978" t="s">
        <v>626</v>
      </c>
      <c r="C95" s="1126">
        <v>43193</v>
      </c>
      <c r="D95" s="1212" t="s">
        <v>558</v>
      </c>
      <c r="E95" s="1213"/>
      <c r="F95" s="2632" t="s">
        <v>636</v>
      </c>
      <c r="G95" s="1279">
        <v>2.0486111111111111E-2</v>
      </c>
      <c r="H95" s="1280">
        <v>3.97</v>
      </c>
      <c r="I95" s="1281">
        <f t="shared" ref="I95:I96" si="18">G95/H95</f>
        <v>5.1602294990204306E-3</v>
      </c>
      <c r="J95" s="1132">
        <v>113</v>
      </c>
      <c r="K95" s="1133">
        <v>17</v>
      </c>
      <c r="L95" s="2801">
        <v>161</v>
      </c>
      <c r="M95" s="2823"/>
      <c r="N95" s="1188">
        <f t="shared" si="9"/>
        <v>1.0556008297525556</v>
      </c>
      <c r="O95" s="1135" t="s">
        <v>471</v>
      </c>
      <c r="P95" s="1282" t="str">
        <f>IFERROR(VLOOKUP(F95,Trainingsarten!$A$9:$N$84,12,FALSE),"")</f>
        <v/>
      </c>
      <c r="Q95" s="1283" t="s">
        <v>437</v>
      </c>
      <c r="R95" s="1086" t="str">
        <f>IFERROR(VLOOKUP(F95,Trainingsarten!$A$9:$N$84,14,FALSE),"")</f>
        <v/>
      </c>
      <c r="S95" s="1087">
        <f t="shared" si="10"/>
        <v>1.4247787610619469</v>
      </c>
      <c r="T95" s="1088">
        <f t="shared" si="12"/>
        <v>32.767359859477537</v>
      </c>
      <c r="U95" s="1089">
        <f t="shared" si="11"/>
        <v>38.139172186942737</v>
      </c>
      <c r="V95" s="1090">
        <f t="shared" si="13"/>
        <v>3.2595085830874666</v>
      </c>
      <c r="W95" s="3284">
        <f t="shared" ref="W95:W158" si="19">T95/U95</f>
        <v>0.85915236174674281</v>
      </c>
      <c r="X95" s="3300"/>
      <c r="Y95" s="3316"/>
      <c r="AA95" s="3301"/>
      <c r="AB95" s="3409"/>
      <c r="AE95" s="1056"/>
    </row>
    <row r="96" spans="1:31" ht="16" thickBot="1" x14ac:dyDescent="0.25">
      <c r="B96" s="2979">
        <f>SUM(H94:H100)</f>
        <v>44.34</v>
      </c>
      <c r="C96" s="1126">
        <v>43194</v>
      </c>
      <c r="D96" s="1212" t="s">
        <v>559</v>
      </c>
      <c r="E96" s="1213"/>
      <c r="F96" s="2632" t="s">
        <v>665</v>
      </c>
      <c r="G96" s="1279">
        <v>3.1296296296296301E-2</v>
      </c>
      <c r="H96" s="1280">
        <v>8.27</v>
      </c>
      <c r="I96" s="1281">
        <f t="shared" si="18"/>
        <v>3.784316359890726E-3</v>
      </c>
      <c r="J96" s="1132">
        <v>136</v>
      </c>
      <c r="K96" s="1133">
        <v>48</v>
      </c>
      <c r="L96" s="2801">
        <v>219</v>
      </c>
      <c r="M96" s="2823"/>
      <c r="N96" s="1188">
        <f t="shared" si="9"/>
        <v>1.0530194181662995</v>
      </c>
      <c r="O96" s="1135" t="s">
        <v>471</v>
      </c>
      <c r="P96" s="1282" t="str">
        <f>IFERROR(VLOOKUP(F96,Trainingsarten!$A$9:$N$84,12,FALSE),"")</f>
        <v/>
      </c>
      <c r="Q96" s="1283" t="s">
        <v>437</v>
      </c>
      <c r="R96" s="1086" t="str">
        <f>IFERROR(VLOOKUP(F96,Trainingsarten!$A$9:$N$84,14,FALSE),"")</f>
        <v/>
      </c>
      <c r="S96" s="1087">
        <f t="shared" si="10"/>
        <v>1.6102941176470589</v>
      </c>
      <c r="T96" s="1088">
        <f t="shared" si="12"/>
        <v>34.943451308123606</v>
      </c>
      <c r="U96" s="1089">
        <f t="shared" si="11"/>
        <v>38.373953801539336</v>
      </c>
      <c r="V96" s="1090">
        <f t="shared" si="13"/>
        <v>5.3718123274652001</v>
      </c>
      <c r="W96" s="3284">
        <f t="shared" si="19"/>
        <v>0.91060336104125605</v>
      </c>
      <c r="X96" s="3300"/>
      <c r="Y96" s="3316"/>
      <c r="AA96" s="3301"/>
      <c r="AB96" s="3409"/>
      <c r="AE96" s="1056"/>
    </row>
    <row r="97" spans="1:31" x14ac:dyDescent="0.2">
      <c r="B97" s="2980" t="s">
        <v>628</v>
      </c>
      <c r="C97" s="1126">
        <v>43195</v>
      </c>
      <c r="D97" s="1212"/>
      <c r="E97" s="1213"/>
      <c r="F97" s="2632"/>
      <c r="G97" s="1279"/>
      <c r="H97" s="1280" t="str">
        <f>IFERROR(VLOOKUP(F97,Trainingsarten!$A$9:$K$78,10,FALSE),"")</f>
        <v/>
      </c>
      <c r="I97" s="1284"/>
      <c r="J97" s="1132"/>
      <c r="K97" s="1133"/>
      <c r="L97" s="2801"/>
      <c r="M97" s="2823"/>
      <c r="N97" s="1188" t="str">
        <f t="shared" si="9"/>
        <v/>
      </c>
      <c r="O97" s="1135"/>
      <c r="P97" s="1282" t="str">
        <f>IFERROR(VLOOKUP(F97,Trainingsarten!$A$9:$N$84,12,FALSE),"")</f>
        <v/>
      </c>
      <c r="Q97" s="1283" t="s">
        <v>437</v>
      </c>
      <c r="R97" s="1086" t="str">
        <f>IFERROR(VLOOKUP(F97,Trainingsarten!$A$9:$N$84,14,FALSE),"")</f>
        <v/>
      </c>
      <c r="S97" s="1087" t="str">
        <f t="shared" si="10"/>
        <v/>
      </c>
      <c r="T97" s="1088">
        <f t="shared" si="12"/>
        <v>29.951529692677376</v>
      </c>
      <c r="U97" s="1089">
        <f t="shared" si="11"/>
        <v>37.460288234836021</v>
      </c>
      <c r="V97" s="1090">
        <f t="shared" si="13"/>
        <v>3.4305024934157302</v>
      </c>
      <c r="W97" s="3284">
        <f t="shared" si="19"/>
        <v>0.79955417067037116</v>
      </c>
      <c r="X97" s="3300"/>
      <c r="Y97" s="3316"/>
      <c r="AA97" s="3301"/>
      <c r="AB97" s="3409"/>
      <c r="AE97" s="1056"/>
    </row>
    <row r="98" spans="1:31" ht="16" thickBot="1" x14ac:dyDescent="0.25">
      <c r="B98" s="2981">
        <f>SUM(K94:K100)</f>
        <v>256</v>
      </c>
      <c r="C98" s="1126">
        <v>43196</v>
      </c>
      <c r="D98" s="1212"/>
      <c r="E98" s="1213"/>
      <c r="F98" s="2632"/>
      <c r="G98" s="1279"/>
      <c r="H98" s="1280" t="str">
        <f>IFERROR(VLOOKUP(F98,Trainingsarten!$A$9:$K$78,10,FALSE),"")</f>
        <v/>
      </c>
      <c r="I98" s="1284"/>
      <c r="J98" s="1132"/>
      <c r="K98" s="1133"/>
      <c r="L98" s="2801"/>
      <c r="M98" s="2823"/>
      <c r="N98" s="1188" t="str">
        <f t="shared" ref="N98:N99" si="20">IFERROR((L98/68)/(1/(I98*24)/3.6),"")</f>
        <v/>
      </c>
      <c r="O98" s="1135"/>
      <c r="P98" s="1282" t="str">
        <f>IFERROR(VLOOKUP(F98,Trainingsarten!$A$9:$N$84,12,FALSE),"")</f>
        <v/>
      </c>
      <c r="Q98" s="1283" t="s">
        <v>437</v>
      </c>
      <c r="R98" s="1086" t="str">
        <f>IFERROR(VLOOKUP(F98,Trainingsarten!$A$9:$N$84,14,FALSE),"")</f>
        <v/>
      </c>
      <c r="S98" s="1087" t="str">
        <f t="shared" si="10"/>
        <v/>
      </c>
      <c r="T98" s="1088">
        <f t="shared" si="12"/>
        <v>25.67273973658061</v>
      </c>
      <c r="U98" s="1089">
        <f t="shared" si="11"/>
        <v>36.56837661019707</v>
      </c>
      <c r="V98" s="1090">
        <f t="shared" si="13"/>
        <v>7.5087585421586454</v>
      </c>
      <c r="W98" s="3284">
        <f t="shared" si="19"/>
        <v>0.70204756449105754</v>
      </c>
      <c r="X98" s="3300"/>
      <c r="Y98" s="3316"/>
      <c r="AA98" s="3301"/>
      <c r="AB98" s="3409"/>
      <c r="AE98" s="1056"/>
    </row>
    <row r="99" spans="1:31" x14ac:dyDescent="0.2">
      <c r="B99" s="2982" t="s">
        <v>761</v>
      </c>
      <c r="C99" s="1126">
        <v>43197</v>
      </c>
      <c r="D99" s="1212" t="s">
        <v>560</v>
      </c>
      <c r="E99" s="1213"/>
      <c r="F99" s="2632" t="s">
        <v>469</v>
      </c>
      <c r="G99" s="1279">
        <v>4.1921296296296297E-2</v>
      </c>
      <c r="H99" s="1280">
        <v>11.4</v>
      </c>
      <c r="I99" s="1281">
        <f t="shared" ref="I99:I107" si="21">G99/H99</f>
        <v>3.6773066926575697E-3</v>
      </c>
      <c r="J99" s="1132">
        <v>141</v>
      </c>
      <c r="K99" s="1133">
        <v>72</v>
      </c>
      <c r="L99" s="2801">
        <v>229</v>
      </c>
      <c r="M99" s="2823"/>
      <c r="N99" s="1188">
        <f t="shared" si="20"/>
        <v>1.0699664602683179</v>
      </c>
      <c r="O99" s="1135" t="s">
        <v>471</v>
      </c>
      <c r="P99" s="1282"/>
      <c r="Q99" s="1283" t="s">
        <v>437</v>
      </c>
      <c r="R99" s="1086"/>
      <c r="S99" s="1087">
        <f t="shared" si="10"/>
        <v>1.624113475177305</v>
      </c>
      <c r="T99" s="1088">
        <f t="shared" si="12"/>
        <v>32.29091977421195</v>
      </c>
      <c r="U99" s="1089">
        <f t="shared" si="11"/>
        <v>37.411986690906666</v>
      </c>
      <c r="V99" s="1090">
        <f t="shared" si="13"/>
        <v>10.895636873616461</v>
      </c>
      <c r="W99" s="3284">
        <f t="shared" si="19"/>
        <v>0.86311694807858363</v>
      </c>
      <c r="X99" s="3300"/>
      <c r="Y99" s="3316"/>
      <c r="AA99" s="3301"/>
      <c r="AB99" s="3409"/>
      <c r="AE99" s="1056"/>
    </row>
    <row r="100" spans="1:31" customFormat="1" ht="16" thickBot="1" x14ac:dyDescent="0.25">
      <c r="A100" s="140"/>
      <c r="B100" s="2983">
        <f>AVERAGE(W94:W100)</f>
        <v>0.85609300999807125</v>
      </c>
      <c r="C100" s="1189">
        <v>43198</v>
      </c>
      <c r="D100" s="1232" t="s">
        <v>561</v>
      </c>
      <c r="E100" s="1233"/>
      <c r="F100" s="2620" t="s">
        <v>665</v>
      </c>
      <c r="G100" s="1141">
        <v>4.3923611111111115E-2</v>
      </c>
      <c r="H100" s="1234">
        <v>10.3</v>
      </c>
      <c r="I100" s="1235">
        <f t="shared" si="21"/>
        <v>4.2644282632146712E-3</v>
      </c>
      <c r="J100" s="1236">
        <v>127</v>
      </c>
      <c r="K100" s="1237">
        <v>56</v>
      </c>
      <c r="L100" s="2803"/>
      <c r="M100" s="2826"/>
      <c r="N100" s="1238"/>
      <c r="O100" s="1148" t="s">
        <v>471</v>
      </c>
      <c r="P100" s="1149" t="str">
        <f>IFERROR(VLOOKUP(F100,Trainingsarten!$A$9:$N$84,12,FALSE),"")</f>
        <v/>
      </c>
      <c r="Q100" s="1151" t="s">
        <v>437</v>
      </c>
      <c r="R100" s="1151" t="str">
        <f>IFERROR(VLOOKUP(F100,Trainingsarten!$A$9:$N$84,14,FALSE),"")</f>
        <v/>
      </c>
      <c r="S100" s="1106"/>
      <c r="T100" s="1239">
        <f t="shared" si="12"/>
        <v>35.677931235038812</v>
      </c>
      <c r="U100" s="1258">
        <f t="shared" si="11"/>
        <v>37.854558436361266</v>
      </c>
      <c r="V100" s="1262">
        <f t="shared" si="13"/>
        <v>5.1210669166947156</v>
      </c>
      <c r="W100" s="3287">
        <f t="shared" si="19"/>
        <v>0.94250026175891966</v>
      </c>
      <c r="X100" s="3302"/>
      <c r="Y100" s="3317"/>
      <c r="Z100" s="2597"/>
      <c r="AA100" s="3303"/>
      <c r="AB100" s="3409"/>
      <c r="AC100" s="3644"/>
      <c r="AD100" s="3644"/>
      <c r="AE100" s="1056"/>
    </row>
    <row r="101" spans="1:31" ht="16" thickBot="1" x14ac:dyDescent="0.25">
      <c r="B101" s="2977">
        <f>B94+1</f>
        <v>15</v>
      </c>
      <c r="C101" s="1190">
        <v>43199</v>
      </c>
      <c r="D101" s="1191"/>
      <c r="E101" s="1192"/>
      <c r="F101" s="2627"/>
      <c r="G101" s="1193"/>
      <c r="H101" s="1194" t="str">
        <f>IFERROR(VLOOKUP(F101,Trainingsarten!$A$9:$K$78,10,FALSE),"")</f>
        <v/>
      </c>
      <c r="I101" s="1195"/>
      <c r="J101" s="1196"/>
      <c r="K101" s="1197"/>
      <c r="L101" s="2800"/>
      <c r="M101" s="2822"/>
      <c r="N101" s="1199" t="str">
        <f t="shared" ref="N101:N110" si="22">IFERROR((L101/68)/(1/(I101*24)/3.6),"")</f>
        <v/>
      </c>
      <c r="O101" s="1200"/>
      <c r="P101" s="1267" t="str">
        <f>IFERROR(VLOOKUP(F101,Trainingsarten!$A$9:$N$84,12,FALSE),"")</f>
        <v/>
      </c>
      <c r="Q101" s="1202" t="s">
        <v>437</v>
      </c>
      <c r="R101" s="1069" t="str">
        <f>IFERROR(VLOOKUP(F101,Trainingsarten!$A$9:$N$84,14,FALSE),"")</f>
        <v/>
      </c>
      <c r="S101" s="1070" t="str">
        <f t="shared" ref="S101:S110" si="23">IFERROR(L101/J101,"")</f>
        <v/>
      </c>
      <c r="T101" s="1268">
        <f t="shared" si="12"/>
        <v>30.581083915747556</v>
      </c>
      <c r="U101" s="1191">
        <f t="shared" si="11"/>
        <v>36.953259425971709</v>
      </c>
      <c r="V101" s="1073">
        <f t="shared" si="13"/>
        <v>2.1766272013224537</v>
      </c>
      <c r="W101" s="3283">
        <f t="shared" si="19"/>
        <v>0.82756120544685641</v>
      </c>
      <c r="X101" s="3300"/>
      <c r="Y101" s="3316"/>
      <c r="AA101" s="3301"/>
      <c r="AB101" s="3409"/>
      <c r="AE101" s="1056"/>
    </row>
    <row r="102" spans="1:31" x14ac:dyDescent="0.2">
      <c r="B102" s="2978" t="s">
        <v>626</v>
      </c>
      <c r="C102" s="1204">
        <v>43200</v>
      </c>
      <c r="D102" s="1089" t="s">
        <v>562</v>
      </c>
      <c r="E102" s="1205"/>
      <c r="F102" s="2636" t="s">
        <v>665</v>
      </c>
      <c r="G102" s="1166">
        <v>4.3449074074074077E-2</v>
      </c>
      <c r="H102" s="1292">
        <v>10.199999999999999</v>
      </c>
      <c r="I102" s="1293">
        <f t="shared" si="21"/>
        <v>4.2597131445170668E-3</v>
      </c>
      <c r="J102" s="1294">
        <v>124</v>
      </c>
      <c r="K102" s="1206">
        <v>56</v>
      </c>
      <c r="L102" s="2801">
        <v>194</v>
      </c>
      <c r="M102" s="2823"/>
      <c r="N102" s="1208">
        <f t="shared" si="22"/>
        <v>1.0499942329873129</v>
      </c>
      <c r="O102" s="1209" t="s">
        <v>471</v>
      </c>
      <c r="P102" s="1136" t="str">
        <f>IFERROR(VLOOKUP(F102,Trainingsarten!$A$9:$N$84,12,FALSE),"")</f>
        <v/>
      </c>
      <c r="Q102" s="1137" t="s">
        <v>437</v>
      </c>
      <c r="R102" s="1086" t="str">
        <f>IFERROR(VLOOKUP(F102,Trainingsarten!$A$9:$N$84,14,FALSE),"")</f>
        <v/>
      </c>
      <c r="S102" s="1087">
        <f t="shared" si="23"/>
        <v>1.564516129032258</v>
      </c>
      <c r="T102" s="1210">
        <f t="shared" si="12"/>
        <v>34.212357642069335</v>
      </c>
      <c r="U102" s="1089">
        <f t="shared" si="11"/>
        <v>37.406753249162861</v>
      </c>
      <c r="V102" s="1090">
        <f t="shared" si="13"/>
        <v>6.3721755102241531</v>
      </c>
      <c r="W102" s="3284">
        <f t="shared" si="19"/>
        <v>0.91460377259111592</v>
      </c>
      <c r="X102" s="3300"/>
      <c r="Y102" s="3316"/>
      <c r="AA102" s="3301"/>
      <c r="AB102" s="3409"/>
      <c r="AE102" s="1056"/>
    </row>
    <row r="103" spans="1:31" ht="16" thickBot="1" x14ac:dyDescent="0.25">
      <c r="B103" s="2979">
        <f>SUM(H101:H107)</f>
        <v>38.200000000000003</v>
      </c>
      <c r="C103" s="1204">
        <v>43201</v>
      </c>
      <c r="D103" s="1089" t="s">
        <v>563</v>
      </c>
      <c r="E103" s="1205"/>
      <c r="F103" s="2636" t="s">
        <v>469</v>
      </c>
      <c r="G103" s="1166">
        <v>2.6493055555555558E-2</v>
      </c>
      <c r="H103" s="1292">
        <v>7.22</v>
      </c>
      <c r="I103" s="1293">
        <f t="shared" si="21"/>
        <v>3.6693982763927368E-3</v>
      </c>
      <c r="J103" s="1294">
        <v>139</v>
      </c>
      <c r="K103" s="1206">
        <v>45</v>
      </c>
      <c r="L103" s="2801">
        <v>225</v>
      </c>
      <c r="M103" s="2823"/>
      <c r="N103" s="1208">
        <f t="shared" si="22"/>
        <v>1.0490162131334531</v>
      </c>
      <c r="O103" s="1209" t="s">
        <v>471</v>
      </c>
      <c r="P103" s="1136"/>
      <c r="Q103" s="1137" t="s">
        <v>437</v>
      </c>
      <c r="R103" s="1086"/>
      <c r="S103" s="1087">
        <f t="shared" si="23"/>
        <v>1.6187050359712229</v>
      </c>
      <c r="T103" s="1210">
        <f t="shared" si="12"/>
        <v>35.753449407487999</v>
      </c>
      <c r="U103" s="1089">
        <f t="shared" si="11"/>
        <v>37.58754483846851</v>
      </c>
      <c r="V103" s="1090">
        <f t="shared" si="13"/>
        <v>3.1943956070935258</v>
      </c>
      <c r="W103" s="3284">
        <f t="shared" si="19"/>
        <v>0.95120470254541789</v>
      </c>
      <c r="X103" s="3300"/>
      <c r="Y103" s="3316"/>
      <c r="AA103" s="3301"/>
      <c r="AB103" s="3409"/>
      <c r="AE103" s="1056"/>
    </row>
    <row r="104" spans="1:31" x14ac:dyDescent="0.2">
      <c r="B104" s="2980" t="s">
        <v>628</v>
      </c>
      <c r="C104" s="1211">
        <v>43202</v>
      </c>
      <c r="D104" s="1212"/>
      <c r="E104" s="1213"/>
      <c r="F104" s="2636"/>
      <c r="G104" s="1166"/>
      <c r="H104" s="1292" t="str">
        <f>IFERROR(VLOOKUP(F104,Trainingsarten!$A$9:$K$78,10,FALSE),"")</f>
        <v/>
      </c>
      <c r="I104" s="1295"/>
      <c r="J104" s="1294"/>
      <c r="K104" s="1206"/>
      <c r="L104" s="2801"/>
      <c r="M104" s="2823"/>
      <c r="N104" s="1208" t="str">
        <f t="shared" si="22"/>
        <v/>
      </c>
      <c r="O104" s="1209"/>
      <c r="P104" s="1136" t="str">
        <f>IFERROR(VLOOKUP(F104,Trainingsarten!$A$9:$N$84,12,FALSE),"")</f>
        <v/>
      </c>
      <c r="Q104" s="1137" t="s">
        <v>437</v>
      </c>
      <c r="R104" s="1086" t="str">
        <f>IFERROR(VLOOKUP(F104,Trainingsarten!$A$9:$N$84,14,FALSE),"")</f>
        <v/>
      </c>
      <c r="S104" s="1087" t="str">
        <f t="shared" si="23"/>
        <v/>
      </c>
      <c r="T104" s="1210">
        <f t="shared" si="12"/>
        <v>30.645813777846854</v>
      </c>
      <c r="U104" s="1089">
        <f t="shared" si="11"/>
        <v>36.692603294695452</v>
      </c>
      <c r="V104" s="1090">
        <f t="shared" si="13"/>
        <v>1.8340954309805113</v>
      </c>
      <c r="W104" s="3284">
        <f t="shared" si="19"/>
        <v>0.83520412906426933</v>
      </c>
      <c r="X104" s="3300"/>
      <c r="Y104" s="3316"/>
      <c r="AA104" s="3301"/>
      <c r="AB104" s="3409"/>
      <c r="AE104" s="1056"/>
    </row>
    <row r="105" spans="1:31" ht="16" thickBot="1" x14ac:dyDescent="0.25">
      <c r="B105" s="2981">
        <f>SUM(K101:K107)</f>
        <v>215</v>
      </c>
      <c r="C105" s="1211">
        <v>43203</v>
      </c>
      <c r="D105" s="1089" t="s">
        <v>564</v>
      </c>
      <c r="E105" s="1205"/>
      <c r="F105" s="2636" t="s">
        <v>665</v>
      </c>
      <c r="G105" s="1166">
        <v>4.4722222222222219E-2</v>
      </c>
      <c r="H105" s="1292">
        <v>11.39</v>
      </c>
      <c r="I105" s="1293">
        <f t="shared" si="21"/>
        <v>3.926446200370695E-3</v>
      </c>
      <c r="J105" s="1294">
        <v>129</v>
      </c>
      <c r="K105" s="1206">
        <v>65</v>
      </c>
      <c r="L105" s="2801">
        <v>213</v>
      </c>
      <c r="M105" s="2823"/>
      <c r="N105" s="1208">
        <f t="shared" si="22"/>
        <v>1.0626349222744409</v>
      </c>
      <c r="O105" s="1209" t="s">
        <v>471</v>
      </c>
      <c r="P105" s="1136" t="str">
        <f>IFERROR(VLOOKUP(F105,Trainingsarten!$A$9:$N$84,12,FALSE),"")</f>
        <v/>
      </c>
      <c r="Q105" s="1137" t="s">
        <v>437</v>
      </c>
      <c r="R105" s="1086" t="str">
        <f>IFERROR(VLOOKUP(F105,Trainingsarten!$A$9:$N$84,14,FALSE),"")</f>
        <v/>
      </c>
      <c r="S105" s="1087">
        <f t="shared" si="23"/>
        <v>1.6511627906976745</v>
      </c>
      <c r="T105" s="1210">
        <f t="shared" si="12"/>
        <v>35.553554666725873</v>
      </c>
      <c r="U105" s="1089">
        <f t="shared" si="11"/>
        <v>37.366588930536039</v>
      </c>
      <c r="V105" s="1090">
        <f t="shared" si="13"/>
        <v>6.0467895168485981</v>
      </c>
      <c r="W105" s="3284">
        <f t="shared" si="19"/>
        <v>0.95147980279440081</v>
      </c>
      <c r="X105" s="3300"/>
      <c r="Y105" s="3316"/>
      <c r="AA105" s="3301"/>
      <c r="AB105" s="3409"/>
      <c r="AE105" s="1056"/>
    </row>
    <row r="106" spans="1:31" x14ac:dyDescent="0.2">
      <c r="B106" s="2982" t="s">
        <v>761</v>
      </c>
      <c r="C106" s="1211">
        <v>43204</v>
      </c>
      <c r="D106" s="1089"/>
      <c r="E106" s="1205"/>
      <c r="F106" s="2636"/>
      <c r="G106" s="1166"/>
      <c r="H106" s="1292" t="str">
        <f>IFERROR(VLOOKUP(F106,Trainingsarten!$A$9:$K$78,10,FALSE),"")</f>
        <v/>
      </c>
      <c r="I106" s="1295"/>
      <c r="J106" s="1294"/>
      <c r="K106" s="1206"/>
      <c r="L106" s="2801"/>
      <c r="M106" s="2823"/>
      <c r="N106" s="1208" t="str">
        <f t="shared" si="22"/>
        <v/>
      </c>
      <c r="O106" s="1209"/>
      <c r="P106" s="1136" t="str">
        <f>IFERROR(VLOOKUP(F106,Trainingsarten!$A$9:$N$84,12,FALSE),"")</f>
        <v/>
      </c>
      <c r="Q106" s="1137" t="s">
        <v>437</v>
      </c>
      <c r="R106" s="1086" t="str">
        <f>IFERROR(VLOOKUP(F106,Trainingsarten!$A$9:$N$84,14,FALSE),"")</f>
        <v/>
      </c>
      <c r="S106" s="1087" t="str">
        <f t="shared" si="23"/>
        <v/>
      </c>
      <c r="T106" s="1210">
        <f t="shared" si="12"/>
        <v>30.474475428622178</v>
      </c>
      <c r="U106" s="1089">
        <f t="shared" si="11"/>
        <v>36.476908241713751</v>
      </c>
      <c r="V106" s="1090">
        <f t="shared" si="13"/>
        <v>1.8130342638101666</v>
      </c>
      <c r="W106" s="3284">
        <f t="shared" si="19"/>
        <v>0.83544568050240087</v>
      </c>
      <c r="X106" s="3300"/>
      <c r="Y106" s="3316"/>
      <c r="AA106" s="3301"/>
      <c r="AB106" s="3409"/>
      <c r="AE106" s="1056"/>
    </row>
    <row r="107" spans="1:31" ht="16" thickBot="1" x14ac:dyDescent="0.25">
      <c r="B107" s="2983">
        <f>AVERAGE(W101:W107)</f>
        <v>0.88801940760992826</v>
      </c>
      <c r="C107" s="1260">
        <v>43205</v>
      </c>
      <c r="D107" s="1108" t="s">
        <v>565</v>
      </c>
      <c r="E107" s="1261"/>
      <c r="F107" s="2629" t="s">
        <v>640</v>
      </c>
      <c r="G107" s="1217">
        <v>4.1643518518518517E-2</v>
      </c>
      <c r="H107" s="1218">
        <v>9.39</v>
      </c>
      <c r="I107" s="1219">
        <f t="shared" si="21"/>
        <v>4.4348795014396711E-3</v>
      </c>
      <c r="J107" s="1220">
        <v>135</v>
      </c>
      <c r="K107" s="1221">
        <v>49</v>
      </c>
      <c r="L107" s="2802">
        <v>189</v>
      </c>
      <c r="M107" s="2824"/>
      <c r="N107" s="1223">
        <f t="shared" si="22"/>
        <v>1.0649971809810186</v>
      </c>
      <c r="O107" s="1224" t="s">
        <v>471</v>
      </c>
      <c r="P107" s="1225" t="str">
        <f>IFERROR(VLOOKUP(F107,Trainingsarten!$A$9:$N$84,12,FALSE),"")</f>
        <v/>
      </c>
      <c r="Q107" s="1226" t="s">
        <v>437</v>
      </c>
      <c r="R107" s="1105" t="str">
        <f>IFERROR(VLOOKUP(F107,Trainingsarten!$A$9:$N$84,14,FALSE),"")</f>
        <v/>
      </c>
      <c r="S107" s="1106">
        <f t="shared" si="23"/>
        <v>1.4</v>
      </c>
      <c r="T107" s="1227">
        <f t="shared" si="12"/>
        <v>33.120978938819007</v>
      </c>
      <c r="U107" s="1108">
        <f t="shared" si="11"/>
        <v>36.775077093101515</v>
      </c>
      <c r="V107" s="1228">
        <f t="shared" si="13"/>
        <v>6.0024328130915734</v>
      </c>
      <c r="W107" s="3285">
        <f t="shared" si="19"/>
        <v>0.90063656032503692</v>
      </c>
      <c r="X107" s="3300"/>
      <c r="Y107" s="3316"/>
      <c r="AA107" s="3301"/>
      <c r="AB107" s="3409"/>
      <c r="AE107" s="1056"/>
    </row>
    <row r="108" spans="1:31" ht="16" thickBot="1" x14ac:dyDescent="0.25">
      <c r="B108" s="2977">
        <f>B101+1</f>
        <v>16</v>
      </c>
      <c r="C108" s="1110">
        <v>43206</v>
      </c>
      <c r="D108" s="1111"/>
      <c r="E108" s="1112"/>
      <c r="F108" s="2630"/>
      <c r="G108" s="1113"/>
      <c r="H108" s="1229" t="str">
        <f>IFERROR(VLOOKUP(F108,Trainingsarten!$A$9:$K$78,10,FALSE),"")</f>
        <v/>
      </c>
      <c r="I108" s="1230"/>
      <c r="J108" s="1231"/>
      <c r="K108" s="1117"/>
      <c r="L108" s="1118"/>
      <c r="M108" s="2825"/>
      <c r="N108" s="1119" t="str">
        <f t="shared" si="22"/>
        <v/>
      </c>
      <c r="O108" s="1120"/>
      <c r="P108" s="1277" t="str">
        <f>IFERROR(VLOOKUP(F108,Trainingsarten!$A$9:$N$84,12,FALSE),"")</f>
        <v/>
      </c>
      <c r="Q108" s="1122" t="s">
        <v>437</v>
      </c>
      <c r="R108" s="1122" t="str">
        <f>IFERROR(VLOOKUP(F108,Trainingsarten!$A$9:$N$84,14,FALSE),"")</f>
        <v/>
      </c>
      <c r="S108" s="1070" t="str">
        <f t="shared" si="23"/>
        <v/>
      </c>
      <c r="T108" s="1278">
        <f t="shared" si="12"/>
        <v>28.38941051898772</v>
      </c>
      <c r="U108" s="1111">
        <f t="shared" si="11"/>
        <v>35.899480019456242</v>
      </c>
      <c r="V108" s="1296">
        <f t="shared" si="13"/>
        <v>3.6540981542825079</v>
      </c>
      <c r="W108" s="3286">
        <f t="shared" si="19"/>
        <v>0.79080283345613001</v>
      </c>
      <c r="X108" s="3300"/>
      <c r="Y108" s="3316"/>
      <c r="AA108" s="3301"/>
      <c r="AB108" s="3409"/>
      <c r="AE108" s="1056"/>
    </row>
    <row r="109" spans="1:31" x14ac:dyDescent="0.2">
      <c r="B109" s="2978" t="s">
        <v>626</v>
      </c>
      <c r="C109" s="1126">
        <v>43207</v>
      </c>
      <c r="D109" s="1212"/>
      <c r="E109" s="1213"/>
      <c r="F109" s="2625"/>
      <c r="G109" s="1279"/>
      <c r="H109" s="1280" t="str">
        <f>IFERROR(VLOOKUP(F109,Trainingsarten!$A$9:$K$78,10,FALSE),"")</f>
        <v/>
      </c>
      <c r="I109" s="1284"/>
      <c r="J109" s="1132"/>
      <c r="K109" s="1133"/>
      <c r="L109" s="2801"/>
      <c r="M109" s="2823"/>
      <c r="N109" s="1188" t="str">
        <f t="shared" si="22"/>
        <v/>
      </c>
      <c r="O109" s="1135"/>
      <c r="P109" s="1282" t="str">
        <f>IFERROR(VLOOKUP(F109,Trainingsarten!$A$9:$N$84,12,FALSE),"")</f>
        <v/>
      </c>
      <c r="Q109" s="1283" t="s">
        <v>437</v>
      </c>
      <c r="R109" s="1086" t="str">
        <f>IFERROR(VLOOKUP(F109,Trainingsarten!$A$9:$N$84,14,FALSE),"")</f>
        <v/>
      </c>
      <c r="S109" s="1087" t="str">
        <f t="shared" si="23"/>
        <v/>
      </c>
      <c r="T109" s="1088">
        <f t="shared" si="12"/>
        <v>24.333780444846617</v>
      </c>
      <c r="U109" s="1089">
        <f t="shared" si="11"/>
        <v>35.044730495183472</v>
      </c>
      <c r="V109" s="1090">
        <f t="shared" si="13"/>
        <v>7.5100695004685214</v>
      </c>
      <c r="W109" s="3284">
        <f t="shared" si="19"/>
        <v>0.69436346352245559</v>
      </c>
      <c r="X109" s="3300"/>
      <c r="Y109" s="3316"/>
      <c r="AA109" s="3301"/>
      <c r="AB109" s="3409"/>
      <c r="AE109" s="1056"/>
    </row>
    <row r="110" spans="1:31" ht="16" thickBot="1" x14ac:dyDescent="0.25">
      <c r="B110" s="2979">
        <f>SUM(H108:H114)</f>
        <v>28.369999999999997</v>
      </c>
      <c r="C110" s="1126">
        <v>43208</v>
      </c>
      <c r="D110" s="1212" t="s">
        <v>566</v>
      </c>
      <c r="E110" s="1213"/>
      <c r="F110" s="2625" t="s">
        <v>640</v>
      </c>
      <c r="G110" s="1279">
        <v>4.6412037037037036E-2</v>
      </c>
      <c r="H110" s="1280">
        <v>11.92</v>
      </c>
      <c r="I110" s="1297">
        <f t="shared" ref="I110:I111" si="24">G110/H110</f>
        <v>3.8936272682078051E-3</v>
      </c>
      <c r="J110" s="1132">
        <v>133</v>
      </c>
      <c r="K110" s="1133">
        <v>67</v>
      </c>
      <c r="L110" s="2801">
        <v>213</v>
      </c>
      <c r="M110" s="2823"/>
      <c r="N110" s="1188">
        <f t="shared" si="22"/>
        <v>1.0537529609159102</v>
      </c>
      <c r="O110" s="1135" t="s">
        <v>668</v>
      </c>
      <c r="P110" s="1282" t="str">
        <f>IFERROR(VLOOKUP(F110,Trainingsarten!$A$9:$N$84,12,FALSE),"")</f>
        <v/>
      </c>
      <c r="Q110" s="1283" t="s">
        <v>437</v>
      </c>
      <c r="R110" s="1086" t="str">
        <f>IFERROR(VLOOKUP(F110,Trainingsarten!$A$9:$N$84,14,FALSE),"")</f>
        <v/>
      </c>
      <c r="S110" s="1087">
        <f t="shared" si="23"/>
        <v>1.6015037593984962</v>
      </c>
      <c r="T110" s="1088">
        <f t="shared" si="12"/>
        <v>30.428954667011386</v>
      </c>
      <c r="U110" s="1089">
        <f t="shared" si="11"/>
        <v>35.805570245298149</v>
      </c>
      <c r="V110" s="1090">
        <f t="shared" si="13"/>
        <v>10.710950050336855</v>
      </c>
      <c r="W110" s="3284">
        <f t="shared" si="19"/>
        <v>0.84983857144426289</v>
      </c>
      <c r="X110" s="3300"/>
      <c r="Y110" s="3316"/>
      <c r="AA110" s="3301"/>
      <c r="AB110" s="3409"/>
      <c r="AE110" s="1056"/>
    </row>
    <row r="111" spans="1:31" x14ac:dyDescent="0.2">
      <c r="B111" s="2980" t="s">
        <v>628</v>
      </c>
      <c r="C111" s="1126">
        <v>43209</v>
      </c>
      <c r="D111" s="1212" t="s">
        <v>567</v>
      </c>
      <c r="E111" s="1213"/>
      <c r="F111" s="2625" t="s">
        <v>637</v>
      </c>
      <c r="G111" s="1279">
        <v>2.6377314814814815E-2</v>
      </c>
      <c r="H111" s="1280">
        <v>6.01</v>
      </c>
      <c r="I111" s="1297">
        <f t="shared" si="24"/>
        <v>4.3889042953102857E-3</v>
      </c>
      <c r="J111" s="1132">
        <v>122</v>
      </c>
      <c r="K111" s="1133">
        <v>30</v>
      </c>
      <c r="L111" s="2801"/>
      <c r="M111" s="2823"/>
      <c r="N111" s="1188"/>
      <c r="O111" s="1135" t="s">
        <v>668</v>
      </c>
      <c r="P111" s="1282" t="str">
        <f>IFERROR(VLOOKUP(F111,Trainingsarten!$A$9:$N$84,12,FALSE),"")</f>
        <v/>
      </c>
      <c r="Q111" s="1283" t="s">
        <v>437</v>
      </c>
      <c r="R111" s="1086" t="str">
        <f>IFERROR(VLOOKUP(F111,Trainingsarten!$A$9:$N$84,14,FALSE),"")</f>
        <v/>
      </c>
      <c r="S111" s="1087"/>
      <c r="T111" s="1088">
        <f t="shared" si="12"/>
        <v>30.367675428866903</v>
      </c>
      <c r="U111" s="1089">
        <f t="shared" si="11"/>
        <v>35.667342382314857</v>
      </c>
      <c r="V111" s="1090">
        <f t="shared" si="13"/>
        <v>5.3766155782867635</v>
      </c>
      <c r="W111" s="3284">
        <f t="shared" si="19"/>
        <v>0.85141402191838889</v>
      </c>
      <c r="X111" s="3300"/>
      <c r="Y111" s="3316"/>
      <c r="AA111" s="3301"/>
      <c r="AB111" s="3409"/>
      <c r="AE111" s="1056"/>
    </row>
    <row r="112" spans="1:31" ht="16" thickBot="1" x14ac:dyDescent="0.25">
      <c r="B112" s="2981">
        <f>SUM(K108:K114)</f>
        <v>159</v>
      </c>
      <c r="C112" s="1126">
        <v>43210</v>
      </c>
      <c r="D112" s="1212"/>
      <c r="E112" s="1213"/>
      <c r="F112" s="2625"/>
      <c r="G112" s="1279"/>
      <c r="H112" s="1280" t="str">
        <f>IFERROR(VLOOKUP(F112,Trainingsarten!$A$9:$K$78,10,FALSE),"")</f>
        <v/>
      </c>
      <c r="I112" s="1284"/>
      <c r="J112" s="1132"/>
      <c r="K112" s="1133"/>
      <c r="L112" s="2801"/>
      <c r="M112" s="2823"/>
      <c r="N112" s="1188" t="str">
        <f>IFERROR((L112/68)/(1/(I112*24)/3.6),"")</f>
        <v/>
      </c>
      <c r="O112" s="1135"/>
      <c r="P112" s="1282" t="str">
        <f>IFERROR(VLOOKUP(F112,Trainingsarten!$A$9:$N$84,12,FALSE),"")</f>
        <v/>
      </c>
      <c r="Q112" s="1283" t="s">
        <v>437</v>
      </c>
      <c r="R112" s="1086" t="str">
        <f>IFERROR(VLOOKUP(F112,Trainingsarten!$A$9:$N$84,14,FALSE),"")</f>
        <v/>
      </c>
      <c r="S112" s="1087" t="str">
        <f>IFERROR(L112/J112,"")</f>
        <v/>
      </c>
      <c r="T112" s="1088">
        <f t="shared" si="12"/>
        <v>26.029436081885919</v>
      </c>
      <c r="U112" s="1089">
        <f t="shared" si="11"/>
        <v>34.818119944640692</v>
      </c>
      <c r="V112" s="1090">
        <f t="shared" si="13"/>
        <v>5.2996669534479537</v>
      </c>
      <c r="W112" s="3284">
        <f t="shared" si="19"/>
        <v>0.74758304363565864</v>
      </c>
      <c r="X112" s="3300"/>
      <c r="Y112" s="3316"/>
      <c r="AA112" s="3301"/>
      <c r="AB112" s="3409"/>
      <c r="AE112" s="1056"/>
    </row>
    <row r="113" spans="2:31" x14ac:dyDescent="0.2">
      <c r="B113" s="2982" t="s">
        <v>761</v>
      </c>
      <c r="C113" s="1126">
        <v>43211</v>
      </c>
      <c r="D113" s="1212"/>
      <c r="E113" s="1213"/>
      <c r="F113" s="2625"/>
      <c r="G113" s="1279"/>
      <c r="H113" s="1280" t="str">
        <f>IFERROR(VLOOKUP(F113,Trainingsarten!$A$9:$K$78,10,FALSE),"")</f>
        <v/>
      </c>
      <c r="I113" s="1284"/>
      <c r="J113" s="1132"/>
      <c r="K113" s="1133"/>
      <c r="L113" s="2801"/>
      <c r="M113" s="2823"/>
      <c r="N113" s="1188" t="str">
        <f>IFERROR((L113/68)/(1/(I113*24)/3.6),"")</f>
        <v/>
      </c>
      <c r="O113" s="1135"/>
      <c r="P113" s="1282" t="str">
        <f>IFERROR(VLOOKUP(F113,Trainingsarten!$A$9:$N$84,12,FALSE),"")</f>
        <v/>
      </c>
      <c r="Q113" s="1283" t="s">
        <v>437</v>
      </c>
      <c r="R113" s="1086" t="str">
        <f>IFERROR(VLOOKUP(F113,Trainingsarten!$A$9:$N$84,14,FALSE),"")</f>
        <v/>
      </c>
      <c r="S113" s="1087" t="str">
        <f>IFERROR(L113/J113,"")</f>
        <v/>
      </c>
      <c r="T113" s="1088">
        <f t="shared" si="12"/>
        <v>22.310945213045073</v>
      </c>
      <c r="U113" s="1089">
        <f t="shared" si="11"/>
        <v>33.989117088815917</v>
      </c>
      <c r="V113" s="1090">
        <f t="shared" si="13"/>
        <v>8.7886838627547732</v>
      </c>
      <c r="W113" s="3284">
        <f t="shared" si="19"/>
        <v>0.65641437977765138</v>
      </c>
      <c r="X113" s="3300"/>
      <c r="Y113" s="3316"/>
      <c r="AA113" s="3301"/>
      <c r="AB113" s="3409"/>
      <c r="AE113" s="1056"/>
    </row>
    <row r="114" spans="2:31" ht="16" thickBot="1" x14ac:dyDescent="0.25">
      <c r="B114" s="2983">
        <f>AVERAGE(W108:W114)</f>
        <v>0.77111464243458872</v>
      </c>
      <c r="C114" s="1189">
        <v>43212</v>
      </c>
      <c r="D114" s="1232" t="s">
        <v>568</v>
      </c>
      <c r="E114" s="1233"/>
      <c r="F114" s="2626" t="s">
        <v>665</v>
      </c>
      <c r="G114" s="1141">
        <v>3.8807870370370375E-2</v>
      </c>
      <c r="H114" s="1234">
        <v>10.44</v>
      </c>
      <c r="I114" s="1235">
        <f t="shared" ref="I114" si="25">G114/H114</f>
        <v>3.7172289626791546E-3</v>
      </c>
      <c r="J114" s="1236">
        <v>146</v>
      </c>
      <c r="K114" s="1237">
        <v>62</v>
      </c>
      <c r="L114" s="2803"/>
      <c r="M114" s="2826"/>
      <c r="N114" s="1238"/>
      <c r="O114" s="1148" t="s">
        <v>471</v>
      </c>
      <c r="P114" s="1149" t="str">
        <f>IFERROR(VLOOKUP(F114,Trainingsarten!$A$9:$N$84,12,FALSE),"")</f>
        <v/>
      </c>
      <c r="Q114" s="1151" t="s">
        <v>437</v>
      </c>
      <c r="R114" s="1151" t="str">
        <f>IFERROR(VLOOKUP(F114,Trainingsarten!$A$9:$N$84,14,FALSE),"")</f>
        <v/>
      </c>
      <c r="S114" s="1106"/>
      <c r="T114" s="1239">
        <f t="shared" si="12"/>
        <v>27.980810182610064</v>
      </c>
      <c r="U114" s="1258">
        <f t="shared" si="11"/>
        <v>34.65604287241554</v>
      </c>
      <c r="V114" s="1262">
        <f t="shared" si="13"/>
        <v>11.678171875770843</v>
      </c>
      <c r="W114" s="3287">
        <f t="shared" si="19"/>
        <v>0.8073861832875725</v>
      </c>
      <c r="X114" s="3300"/>
      <c r="Y114" s="3316"/>
      <c r="AA114" s="3301"/>
      <c r="AB114" s="3409"/>
      <c r="AE114" s="1056"/>
    </row>
    <row r="115" spans="2:31" ht="16" thickBot="1" x14ac:dyDescent="0.25">
      <c r="B115" s="2977">
        <f>B108+1</f>
        <v>17</v>
      </c>
      <c r="C115" s="1190">
        <v>43213</v>
      </c>
      <c r="D115" s="1191"/>
      <c r="E115" s="1192"/>
      <c r="F115" s="2627"/>
      <c r="G115" s="1193"/>
      <c r="H115" s="1194" t="str">
        <f>IFERROR(VLOOKUP(F115,Trainingsarten!$A$9:$K$78,10,FALSE),"")</f>
        <v/>
      </c>
      <c r="I115" s="1195"/>
      <c r="J115" s="1196"/>
      <c r="K115" s="1197"/>
      <c r="L115" s="2800"/>
      <c r="M115" s="2822"/>
      <c r="N115" s="1199" t="str">
        <f t="shared" ref="N115:N125" si="26">IFERROR((L115/68)/(1/(I115*24)/3.6),"")</f>
        <v/>
      </c>
      <c r="O115" s="1200"/>
      <c r="P115" s="1267" t="str">
        <f>IFERROR(VLOOKUP(F115,Trainingsarten!$A$9:$N$84,12,FALSE),"")</f>
        <v/>
      </c>
      <c r="Q115" s="1202" t="s">
        <v>437</v>
      </c>
      <c r="R115" s="1069" t="str">
        <f>IFERROR(VLOOKUP(F115,Trainingsarten!$A$9:$N$84,14,FALSE),"")</f>
        <v/>
      </c>
      <c r="S115" s="1070" t="str">
        <f t="shared" ref="S115:S125" si="27">IFERROR(L115/J115,"")</f>
        <v/>
      </c>
      <c r="T115" s="1268">
        <f t="shared" si="12"/>
        <v>23.983551585094339</v>
      </c>
      <c r="U115" s="1191">
        <f t="shared" si="11"/>
        <v>33.830898994500885</v>
      </c>
      <c r="V115" s="1073">
        <f t="shared" si="13"/>
        <v>6.6752326898054761</v>
      </c>
      <c r="W115" s="3283">
        <f t="shared" si="19"/>
        <v>0.70892445361835632</v>
      </c>
      <c r="X115" s="3300"/>
      <c r="Y115" s="3316"/>
      <c r="AA115" s="3301"/>
      <c r="AB115" s="3409"/>
      <c r="AE115" s="1056"/>
    </row>
    <row r="116" spans="2:31" x14ac:dyDescent="0.2">
      <c r="B116" s="2978" t="s">
        <v>626</v>
      </c>
      <c r="C116" s="1204">
        <v>43214</v>
      </c>
      <c r="D116" s="1089"/>
      <c r="E116" s="1205"/>
      <c r="F116" s="2636"/>
      <c r="G116" s="1166"/>
      <c r="H116" s="1292" t="str">
        <f>IFERROR(VLOOKUP(F116,Trainingsarten!$A$9:$K$78,10,FALSE),"")</f>
        <v/>
      </c>
      <c r="I116" s="1295"/>
      <c r="J116" s="1294"/>
      <c r="K116" s="1206"/>
      <c r="L116" s="2801"/>
      <c r="M116" s="2823"/>
      <c r="N116" s="1208" t="str">
        <f t="shared" si="26"/>
        <v/>
      </c>
      <c r="O116" s="1209"/>
      <c r="P116" s="1136" t="str">
        <f>IFERROR(VLOOKUP(F116,Trainingsarten!$A$9:$N$84,12,FALSE),"")</f>
        <v/>
      </c>
      <c r="Q116" s="1137" t="s">
        <v>437</v>
      </c>
      <c r="R116" s="1086" t="str">
        <f>IFERROR(VLOOKUP(F116,Trainingsarten!$A$9:$N$84,14,FALSE),"")</f>
        <v/>
      </c>
      <c r="S116" s="1087" t="str">
        <f t="shared" si="27"/>
        <v/>
      </c>
      <c r="T116" s="1210">
        <f t="shared" si="12"/>
        <v>20.557329930080861</v>
      </c>
      <c r="U116" s="1089">
        <f t="shared" si="11"/>
        <v>33.025401399393722</v>
      </c>
      <c r="V116" s="1090">
        <f t="shared" si="13"/>
        <v>9.8473474094065452</v>
      </c>
      <c r="W116" s="3284">
        <f t="shared" si="19"/>
        <v>0.6224702519575811</v>
      </c>
      <c r="X116" s="3300"/>
      <c r="Y116" s="3316"/>
      <c r="AA116" s="3301"/>
      <c r="AB116" s="3409"/>
      <c r="AE116" s="1056"/>
    </row>
    <row r="117" spans="2:31" ht="16" thickBot="1" x14ac:dyDescent="0.25">
      <c r="B117" s="2979">
        <f>SUM(H115:H121)</f>
        <v>34.479999999999997</v>
      </c>
      <c r="C117" s="1204">
        <v>43215</v>
      </c>
      <c r="D117" s="1089" t="s">
        <v>569</v>
      </c>
      <c r="E117" s="1205"/>
      <c r="F117" s="2636" t="s">
        <v>665</v>
      </c>
      <c r="G117" s="1166">
        <v>4.3437499999999997E-2</v>
      </c>
      <c r="H117" s="1292">
        <v>11.46</v>
      </c>
      <c r="I117" s="1298">
        <f t="shared" ref="I117:I120" si="28">G117/H117</f>
        <v>3.7903577661431058E-3</v>
      </c>
      <c r="J117" s="1294">
        <v>134</v>
      </c>
      <c r="K117" s="1206">
        <v>65</v>
      </c>
      <c r="L117" s="2801">
        <v>216</v>
      </c>
      <c r="M117" s="2823"/>
      <c r="N117" s="1208">
        <f t="shared" si="26"/>
        <v>1.0402525408068986</v>
      </c>
      <c r="O117" s="1209" t="s">
        <v>471</v>
      </c>
      <c r="P117" s="1136" t="str">
        <f>IFERROR(VLOOKUP(F117,Trainingsarten!$A$9:$N$84,12,FALSE),"")</f>
        <v/>
      </c>
      <c r="Q117" s="1137" t="s">
        <v>437</v>
      </c>
      <c r="R117" s="1086" t="str">
        <f>IFERROR(VLOOKUP(F117,Trainingsarten!$A$9:$N$84,14,FALSE),"")</f>
        <v/>
      </c>
      <c r="S117" s="1087">
        <f t="shared" si="27"/>
        <v>1.6119402985074627</v>
      </c>
      <c r="T117" s="1210">
        <f t="shared" si="12"/>
        <v>26.906282797212167</v>
      </c>
      <c r="U117" s="1089">
        <f t="shared" si="11"/>
        <v>33.786701366074823</v>
      </c>
      <c r="V117" s="1090">
        <f t="shared" si="13"/>
        <v>12.468071469312861</v>
      </c>
      <c r="W117" s="3284">
        <f t="shared" si="19"/>
        <v>0.79635719704287933</v>
      </c>
      <c r="X117" s="3300"/>
      <c r="Y117" s="3316"/>
      <c r="AA117" s="3301"/>
      <c r="AB117" s="3409"/>
      <c r="AE117" s="1056"/>
    </row>
    <row r="118" spans="2:31" x14ac:dyDescent="0.2">
      <c r="B118" s="2980" t="s">
        <v>628</v>
      </c>
      <c r="C118" s="1211">
        <v>43216</v>
      </c>
      <c r="D118" s="1089" t="s">
        <v>570</v>
      </c>
      <c r="E118" s="1205"/>
      <c r="F118" s="2636" t="s">
        <v>637</v>
      </c>
      <c r="G118" s="1166">
        <v>1.5208333333333332E-2</v>
      </c>
      <c r="H118" s="1292">
        <v>4.01</v>
      </c>
      <c r="I118" s="1298">
        <f t="shared" si="28"/>
        <v>3.7926018287614298E-3</v>
      </c>
      <c r="J118" s="1294">
        <v>124</v>
      </c>
      <c r="K118" s="1206">
        <v>23</v>
      </c>
      <c r="L118" s="2801">
        <v>218</v>
      </c>
      <c r="M118" s="2823"/>
      <c r="N118" s="1208">
        <f t="shared" si="26"/>
        <v>1.0505060877218717</v>
      </c>
      <c r="O118" s="1209" t="s">
        <v>471</v>
      </c>
      <c r="P118" s="1136" t="str">
        <f>IFERROR(VLOOKUP(F118,Trainingsarten!$A$9:$N$84,12,FALSE),"")</f>
        <v/>
      </c>
      <c r="Q118" s="1137" t="s">
        <v>437</v>
      </c>
      <c r="R118" s="1086" t="str">
        <f>IFERROR(VLOOKUP(F118,Trainingsarten!$A$9:$N$84,14,FALSE),"")</f>
        <v/>
      </c>
      <c r="S118" s="1087">
        <f t="shared" si="27"/>
        <v>1.7580645161290323</v>
      </c>
      <c r="T118" s="1210">
        <f t="shared" si="12"/>
        <v>26.348242397610431</v>
      </c>
      <c r="U118" s="1089">
        <f t="shared" si="11"/>
        <v>33.529875143073042</v>
      </c>
      <c r="V118" s="1090">
        <f t="shared" si="13"/>
        <v>6.8804185688626553</v>
      </c>
      <c r="W118" s="3284">
        <f t="shared" si="19"/>
        <v>0.78581391326933503</v>
      </c>
      <c r="X118" s="3300"/>
      <c r="Y118" s="3316"/>
      <c r="AA118" s="3301"/>
      <c r="AB118" s="3409"/>
      <c r="AE118" s="1056"/>
    </row>
    <row r="119" spans="2:31" ht="16" thickBot="1" x14ac:dyDescent="0.25">
      <c r="B119" s="2981">
        <f>SUM(K115:K121)</f>
        <v>206</v>
      </c>
      <c r="C119" s="1211">
        <v>43217</v>
      </c>
      <c r="D119" s="1089" t="s">
        <v>571</v>
      </c>
      <c r="E119" s="1205"/>
      <c r="F119" s="2636" t="s">
        <v>649</v>
      </c>
      <c r="G119" s="1166">
        <v>2.6956018518518522E-2</v>
      </c>
      <c r="H119" s="1292">
        <v>9.18</v>
      </c>
      <c r="I119" s="1298">
        <f t="shared" si="28"/>
        <v>2.9363854595336079E-3</v>
      </c>
      <c r="J119" s="1294">
        <v>163</v>
      </c>
      <c r="K119" s="1206">
        <v>63</v>
      </c>
      <c r="L119" s="2801">
        <v>279</v>
      </c>
      <c r="M119" s="2823"/>
      <c r="N119" s="1208">
        <f t="shared" si="26"/>
        <v>1.0409313725490197</v>
      </c>
      <c r="O119" s="1209" t="s">
        <v>471</v>
      </c>
      <c r="P119" s="1136" t="str">
        <f>IFERROR(VLOOKUP(F119,Trainingsarten!$A$9:$N$84,12,FALSE),"")</f>
        <v/>
      </c>
      <c r="Q119" s="1137" t="s">
        <v>437</v>
      </c>
      <c r="R119" s="1086" t="str">
        <f>IFERROR(VLOOKUP(F119,Trainingsarten!$A$9:$N$84,14,FALSE),"")</f>
        <v/>
      </c>
      <c r="S119" s="1087">
        <f t="shared" si="27"/>
        <v>1.7116564417177915</v>
      </c>
      <c r="T119" s="1210">
        <f t="shared" si="12"/>
        <v>31.58420776938037</v>
      </c>
      <c r="U119" s="1089">
        <f t="shared" si="11"/>
        <v>34.231544782523684</v>
      </c>
      <c r="V119" s="1090">
        <f t="shared" si="13"/>
        <v>7.1816327454626112</v>
      </c>
      <c r="W119" s="3284">
        <f t="shared" si="19"/>
        <v>0.92266381695707567</v>
      </c>
      <c r="X119" s="3300"/>
      <c r="Y119" s="3316"/>
      <c r="AA119" s="3301"/>
      <c r="AB119" s="3409"/>
      <c r="AE119" s="1056"/>
    </row>
    <row r="120" spans="2:31" x14ac:dyDescent="0.2">
      <c r="B120" s="2982" t="s">
        <v>761</v>
      </c>
      <c r="C120" s="1211">
        <v>43218</v>
      </c>
      <c r="D120" s="1089" t="s">
        <v>572</v>
      </c>
      <c r="E120" s="1205"/>
      <c r="F120" s="2636" t="s">
        <v>665</v>
      </c>
      <c r="G120" s="1166">
        <v>3.9270833333333331E-2</v>
      </c>
      <c r="H120" s="1292">
        <v>9.83</v>
      </c>
      <c r="I120" s="1298">
        <f t="shared" si="28"/>
        <v>3.9949983045100028E-3</v>
      </c>
      <c r="J120" s="1294">
        <v>127</v>
      </c>
      <c r="K120" s="1206">
        <v>55</v>
      </c>
      <c r="L120" s="2801">
        <v>209</v>
      </c>
      <c r="M120" s="2823"/>
      <c r="N120" s="1208">
        <f t="shared" si="26"/>
        <v>1.0608835497576445</v>
      </c>
      <c r="O120" s="1209" t="s">
        <v>471</v>
      </c>
      <c r="P120" s="1136" t="str">
        <f>IFERROR(VLOOKUP(F120,Trainingsarten!$A$9:$N$84,12,FALSE),"")</f>
        <v/>
      </c>
      <c r="Q120" s="1137" t="s">
        <v>437</v>
      </c>
      <c r="R120" s="1086" t="str">
        <f>IFERROR(VLOOKUP(F120,Trainingsarten!$A$9:$N$84,14,FALSE),"")</f>
        <v/>
      </c>
      <c r="S120" s="1087">
        <f t="shared" si="27"/>
        <v>1.6456692913385826</v>
      </c>
      <c r="T120" s="1210">
        <f t="shared" si="12"/>
        <v>34.929320945183171</v>
      </c>
      <c r="U120" s="1089">
        <f t="shared" si="11"/>
        <v>34.726031811511213</v>
      </c>
      <c r="V120" s="1090">
        <f t="shared" si="13"/>
        <v>2.6473370131433143</v>
      </c>
      <c r="W120" s="3284">
        <f t="shared" si="19"/>
        <v>1.0058540847619846</v>
      </c>
      <c r="X120" s="3300"/>
      <c r="Y120" s="3316"/>
      <c r="AA120" s="3301"/>
      <c r="AB120" s="3409"/>
      <c r="AE120" s="1056"/>
    </row>
    <row r="121" spans="2:31" ht="16" thickBot="1" x14ac:dyDescent="0.25">
      <c r="B121" s="2983">
        <f>AVERAGE(W115:W121)</f>
        <v>0.81789609572587862</v>
      </c>
      <c r="C121" s="1260">
        <v>43219</v>
      </c>
      <c r="D121" s="1108"/>
      <c r="E121" s="1261"/>
      <c r="F121" s="2629"/>
      <c r="G121" s="1217"/>
      <c r="H121" s="1218" t="str">
        <f>IFERROR(VLOOKUP(F121,Trainingsarten!$A$9:$K$78,10,FALSE),"")</f>
        <v/>
      </c>
      <c r="I121" s="1219"/>
      <c r="J121" s="1220"/>
      <c r="K121" s="1221"/>
      <c r="L121" s="2802"/>
      <c r="M121" s="2824"/>
      <c r="N121" s="1223" t="str">
        <f t="shared" si="26"/>
        <v/>
      </c>
      <c r="O121" s="1224"/>
      <c r="P121" s="1225" t="str">
        <f>IFERROR(VLOOKUP(F121,Trainingsarten!$A$9:$N$84,12,FALSE),"")</f>
        <v/>
      </c>
      <c r="Q121" s="1226" t="s">
        <v>437</v>
      </c>
      <c r="R121" s="1105" t="str">
        <f>IFERROR(VLOOKUP(F121,Trainingsarten!$A$9:$N$84,14,FALSE),"")</f>
        <v/>
      </c>
      <c r="S121" s="1106" t="str">
        <f t="shared" si="27"/>
        <v/>
      </c>
      <c r="T121" s="1227">
        <f t="shared" si="12"/>
        <v>29.939417953014146</v>
      </c>
      <c r="U121" s="1108">
        <f t="shared" si="11"/>
        <v>33.899221530284755</v>
      </c>
      <c r="V121" s="1228">
        <f t="shared" si="13"/>
        <v>-0.20328913367195867</v>
      </c>
      <c r="W121" s="3285">
        <f t="shared" si="19"/>
        <v>0.88318895247393758</v>
      </c>
      <c r="X121" s="3300"/>
      <c r="Y121" s="3316"/>
      <c r="AA121" s="3301"/>
      <c r="AB121" s="3409"/>
      <c r="AE121" s="1056"/>
    </row>
    <row r="122" spans="2:31" ht="16" thickBot="1" x14ac:dyDescent="0.25">
      <c r="B122" s="2977">
        <f>B115+1</f>
        <v>18</v>
      </c>
      <c r="C122" s="1245">
        <v>43220</v>
      </c>
      <c r="D122" s="1111"/>
      <c r="E122" s="1112"/>
      <c r="F122" s="2630"/>
      <c r="G122" s="1113"/>
      <c r="H122" s="1229" t="str">
        <f>IFERROR(VLOOKUP(F122,Trainingsarten!$A$9:$K$78,10,FALSE),"")</f>
        <v/>
      </c>
      <c r="I122" s="1230"/>
      <c r="J122" s="1231"/>
      <c r="K122" s="1117"/>
      <c r="L122" s="1118"/>
      <c r="M122" s="2825"/>
      <c r="N122" s="1119" t="str">
        <f t="shared" si="26"/>
        <v/>
      </c>
      <c r="O122" s="1120"/>
      <c r="P122" s="1277" t="str">
        <f>IFERROR(VLOOKUP(F122,Trainingsarten!$A$9:$N$84,12,FALSE),"")</f>
        <v/>
      </c>
      <c r="Q122" s="1122" t="s">
        <v>437</v>
      </c>
      <c r="R122" s="1122" t="str">
        <f>IFERROR(VLOOKUP(F122,Trainingsarten!$A$9:$N$84,14,FALSE),"")</f>
        <v/>
      </c>
      <c r="S122" s="1070" t="str">
        <f t="shared" si="27"/>
        <v/>
      </c>
      <c r="T122" s="1278">
        <f t="shared" si="12"/>
        <v>25.662358245440696</v>
      </c>
      <c r="U122" s="1111">
        <f t="shared" si="11"/>
        <v>33.092097208135115</v>
      </c>
      <c r="V122" s="1124">
        <f t="shared" si="13"/>
        <v>3.9598035772706091</v>
      </c>
      <c r="W122" s="3286">
        <f t="shared" si="19"/>
        <v>0.7754829826600429</v>
      </c>
      <c r="X122" s="3300"/>
      <c r="Y122" s="3316"/>
      <c r="AA122" s="3301"/>
      <c r="AB122" s="3409"/>
      <c r="AE122" s="1056"/>
    </row>
    <row r="123" spans="2:31" x14ac:dyDescent="0.2">
      <c r="B123" s="2978" t="s">
        <v>626</v>
      </c>
      <c r="C123" s="1126">
        <v>43221</v>
      </c>
      <c r="D123" s="1212" t="s">
        <v>573</v>
      </c>
      <c r="E123" s="1213"/>
      <c r="F123" s="2637" t="s">
        <v>665</v>
      </c>
      <c r="G123" s="1279">
        <v>4.4120370370370372E-2</v>
      </c>
      <c r="H123" s="1280">
        <v>11.4</v>
      </c>
      <c r="I123" s="1297">
        <f t="shared" ref="I123:I126" si="29">G123/H123</f>
        <v>3.870207927225471E-3</v>
      </c>
      <c r="J123" s="1132">
        <v>129</v>
      </c>
      <c r="K123" s="1133">
        <v>66</v>
      </c>
      <c r="L123" s="2801">
        <v>216</v>
      </c>
      <c r="M123" s="2823"/>
      <c r="N123" s="1134">
        <f t="shared" si="26"/>
        <v>1.0621671826625385</v>
      </c>
      <c r="O123" s="1135" t="s">
        <v>668</v>
      </c>
      <c r="P123" s="1282" t="str">
        <f>IFERROR(VLOOKUP(F123,Trainingsarten!$A$9:$N$84,12,FALSE),"")</f>
        <v/>
      </c>
      <c r="Q123" s="1283" t="s">
        <v>437</v>
      </c>
      <c r="R123" s="1086" t="str">
        <f>IFERROR(VLOOKUP(F123,Trainingsarten!$A$9:$N$84,14,FALSE),"")</f>
        <v/>
      </c>
      <c r="S123" s="1087">
        <f t="shared" si="27"/>
        <v>1.6744186046511629</v>
      </c>
      <c r="T123" s="1088">
        <f t="shared" si="12"/>
        <v>31.424878496092024</v>
      </c>
      <c r="U123" s="1089">
        <f t="shared" si="11"/>
        <v>33.875618703179519</v>
      </c>
      <c r="V123" s="1090">
        <f t="shared" si="13"/>
        <v>7.4297389626944188</v>
      </c>
      <c r="W123" s="3284">
        <f t="shared" si="19"/>
        <v>0.92765474695647487</v>
      </c>
      <c r="X123" s="3300"/>
      <c r="Y123" s="3316"/>
      <c r="AA123" s="3301"/>
      <c r="AB123" s="3409"/>
      <c r="AE123" s="1056"/>
    </row>
    <row r="124" spans="2:31" ht="16" thickBot="1" x14ac:dyDescent="0.25">
      <c r="B124" s="2979">
        <f>SUM(H122:H128)</f>
        <v>41.81</v>
      </c>
      <c r="C124" s="1126">
        <v>43222</v>
      </c>
      <c r="D124" s="1212" t="s">
        <v>574</v>
      </c>
      <c r="E124" s="1213"/>
      <c r="F124" s="2637" t="s">
        <v>665</v>
      </c>
      <c r="G124" s="1279">
        <v>3.5868055555555556E-2</v>
      </c>
      <c r="H124" s="1280">
        <v>8.91</v>
      </c>
      <c r="I124" s="1297">
        <f t="shared" si="29"/>
        <v>4.0255954607806461E-3</v>
      </c>
      <c r="J124" s="1132">
        <v>127</v>
      </c>
      <c r="K124" s="1133">
        <v>51</v>
      </c>
      <c r="L124" s="2801">
        <v>211</v>
      </c>
      <c r="M124" s="2823"/>
      <c r="N124" s="1134">
        <f t="shared" si="26"/>
        <v>1.0792384630619927</v>
      </c>
      <c r="O124" s="1135" t="s">
        <v>471</v>
      </c>
      <c r="P124" s="1282" t="str">
        <f>IFERROR(VLOOKUP(F124,Trainingsarten!$A$9:$N$84,12,FALSE),"")</f>
        <v/>
      </c>
      <c r="Q124" s="1283" t="s">
        <v>437</v>
      </c>
      <c r="R124" s="1086" t="str">
        <f>IFERROR(VLOOKUP(F124,Trainingsarten!$A$9:$N$84,14,FALSE),"")</f>
        <v/>
      </c>
      <c r="S124" s="1087">
        <f t="shared" si="27"/>
        <v>1.6614173228346456</v>
      </c>
      <c r="T124" s="1088">
        <f t="shared" si="12"/>
        <v>34.221324425221738</v>
      </c>
      <c r="U124" s="1089">
        <f t="shared" si="11"/>
        <v>34.283342067389533</v>
      </c>
      <c r="V124" s="1090">
        <f t="shared" si="13"/>
        <v>2.4507402070874953</v>
      </c>
      <c r="W124" s="3284">
        <f t="shared" si="19"/>
        <v>0.99819102694113404</v>
      </c>
      <c r="X124" s="3300"/>
      <c r="Y124" s="3316"/>
      <c r="AA124" s="3301"/>
      <c r="AB124" s="3409"/>
      <c r="AE124" s="1056"/>
    </row>
    <row r="125" spans="2:31" x14ac:dyDescent="0.2">
      <c r="B125" s="2980" t="s">
        <v>628</v>
      </c>
      <c r="C125" s="1126">
        <v>43223</v>
      </c>
      <c r="D125" s="1212"/>
      <c r="E125" s="1213"/>
      <c r="F125" s="2637"/>
      <c r="G125" s="1279"/>
      <c r="H125" s="1280" t="str">
        <f>IFERROR(VLOOKUP(F125,Trainingsarten!$A$9:$K$78,10,FALSE),"")</f>
        <v/>
      </c>
      <c r="I125" s="1284"/>
      <c r="J125" s="1132"/>
      <c r="K125" s="1133"/>
      <c r="L125" s="2801"/>
      <c r="M125" s="2823"/>
      <c r="N125" s="1134" t="str">
        <f t="shared" si="26"/>
        <v/>
      </c>
      <c r="O125" s="1135"/>
      <c r="P125" s="1282" t="str">
        <f>IFERROR(VLOOKUP(F125,Trainingsarten!$A$9:$N$84,12,FALSE),"")</f>
        <v/>
      </c>
      <c r="Q125" s="1283" t="s">
        <v>437</v>
      </c>
      <c r="R125" s="1086" t="str">
        <f>IFERROR(VLOOKUP(F125,Trainingsarten!$A$9:$N$84,14,FALSE),"")</f>
        <v/>
      </c>
      <c r="S125" s="1087" t="str">
        <f t="shared" si="27"/>
        <v/>
      </c>
      <c r="T125" s="1088">
        <f t="shared" si="12"/>
        <v>29.332563793047203</v>
      </c>
      <c r="U125" s="1089">
        <f t="shared" si="11"/>
        <v>33.467072018165972</v>
      </c>
      <c r="V125" s="1090">
        <f t="shared" si="13"/>
        <v>6.2017642167795373E-2</v>
      </c>
      <c r="W125" s="3284">
        <f t="shared" si="19"/>
        <v>0.87646041389953233</v>
      </c>
      <c r="X125" s="3300"/>
      <c r="Y125" s="3316"/>
      <c r="AA125" s="3301"/>
      <c r="AB125" s="3409"/>
      <c r="AE125" s="1056"/>
    </row>
    <row r="126" spans="2:31" ht="16" thickBot="1" x14ac:dyDescent="0.25">
      <c r="B126" s="2981">
        <f>SUM(K122:K128)</f>
        <v>255</v>
      </c>
      <c r="C126" s="1126">
        <v>43224</v>
      </c>
      <c r="D126" s="1212" t="s">
        <v>575</v>
      </c>
      <c r="E126" s="1213"/>
      <c r="F126" s="2637" t="s">
        <v>665</v>
      </c>
      <c r="G126" s="1279">
        <v>4.3298611111111107E-2</v>
      </c>
      <c r="H126" s="1280">
        <v>11.2</v>
      </c>
      <c r="I126" s="1297">
        <f t="shared" si="29"/>
        <v>3.8659474206349203E-3</v>
      </c>
      <c r="J126" s="1132">
        <v>135</v>
      </c>
      <c r="K126" s="1133">
        <v>72</v>
      </c>
      <c r="L126" s="2801"/>
      <c r="M126" s="2823"/>
      <c r="N126" s="1134"/>
      <c r="O126" s="1135" t="s">
        <v>471</v>
      </c>
      <c r="P126" s="1282" t="str">
        <f>IFERROR(VLOOKUP(F126,Trainingsarten!$A$9:$N$84,12,FALSE),"")</f>
        <v/>
      </c>
      <c r="Q126" s="1283" t="s">
        <v>437</v>
      </c>
      <c r="R126" s="1086" t="str">
        <f>IFERROR(VLOOKUP(F126,Trainingsarten!$A$9:$N$84,14,FALSE),"")</f>
        <v/>
      </c>
      <c r="S126" s="1087"/>
      <c r="T126" s="1088">
        <f t="shared" si="12"/>
        <v>35.42791182261189</v>
      </c>
      <c r="U126" s="1089">
        <f t="shared" si="11"/>
        <v>34.384522684400117</v>
      </c>
      <c r="V126" s="1090">
        <f t="shared" si="13"/>
        <v>4.1345082251187684</v>
      </c>
      <c r="W126" s="3284">
        <f t="shared" si="19"/>
        <v>1.0303447323607939</v>
      </c>
      <c r="X126" s="3300"/>
      <c r="Y126" s="3316"/>
      <c r="AA126" s="3301"/>
      <c r="AB126" s="3409"/>
      <c r="AE126" s="1056"/>
    </row>
    <row r="127" spans="2:31" x14ac:dyDescent="0.2">
      <c r="B127" s="2982" t="s">
        <v>761</v>
      </c>
      <c r="C127" s="1126">
        <v>43225</v>
      </c>
      <c r="D127" s="1212"/>
      <c r="E127" s="1213"/>
      <c r="F127" s="2637"/>
      <c r="G127" s="1279"/>
      <c r="H127" s="1280" t="str">
        <f>IFERROR(VLOOKUP(F127,Trainingsarten!$A$9:$K$78,10,FALSE),"")</f>
        <v/>
      </c>
      <c r="I127" s="1284"/>
      <c r="J127" s="1132"/>
      <c r="K127" s="1133"/>
      <c r="L127" s="2801"/>
      <c r="M127" s="2823"/>
      <c r="N127" s="1134" t="str">
        <f t="shared" ref="N127:N135" si="30">IFERROR((L127/68)/(1/(I127*24)/3.6),"")</f>
        <v/>
      </c>
      <c r="O127" s="1135"/>
      <c r="P127" s="1282" t="str">
        <f>IFERROR(VLOOKUP(F127,Trainingsarten!$A$9:$N$84,12,FALSE),"")</f>
        <v/>
      </c>
      <c r="Q127" s="1283" t="s">
        <v>437</v>
      </c>
      <c r="R127" s="1086" t="str">
        <f>IFERROR(VLOOKUP(F127,Trainingsarten!$A$9:$N$84,14,FALSE),"")</f>
        <v/>
      </c>
      <c r="S127" s="1087" t="str">
        <f t="shared" ref="S127:S135" si="31">IFERROR(L127/J127,"")</f>
        <v/>
      </c>
      <c r="T127" s="1088">
        <f t="shared" si="12"/>
        <v>30.366781562238764</v>
      </c>
      <c r="U127" s="1089">
        <f t="shared" si="11"/>
        <v>33.565843572866783</v>
      </c>
      <c r="V127" s="1090">
        <f t="shared" si="13"/>
        <v>-1.0433891382117721</v>
      </c>
      <c r="W127" s="3284">
        <f t="shared" si="19"/>
        <v>0.90469293573142884</v>
      </c>
      <c r="X127" s="3300"/>
      <c r="Y127" s="3316"/>
      <c r="AA127" s="3301"/>
      <c r="AB127" s="3409"/>
      <c r="AE127" s="1056"/>
    </row>
    <row r="128" spans="2:31" ht="16" thickBot="1" x14ac:dyDescent="0.25">
      <c r="B128" s="2983">
        <f>AVERAGE(W122:W128)</f>
        <v>0.93505987180164429</v>
      </c>
      <c r="C128" s="1189">
        <v>43226</v>
      </c>
      <c r="D128" s="1232" t="s">
        <v>576</v>
      </c>
      <c r="E128" s="1233"/>
      <c r="F128" s="2626" t="s">
        <v>642</v>
      </c>
      <c r="G128" s="1141">
        <v>3.7800925925925925E-2</v>
      </c>
      <c r="H128" s="1234">
        <v>10.3</v>
      </c>
      <c r="I128" s="1235">
        <f t="shared" ref="I128" si="32">G128/H128</f>
        <v>3.6699928083423227E-3</v>
      </c>
      <c r="J128" s="1236">
        <v>140</v>
      </c>
      <c r="K128" s="1237">
        <v>66</v>
      </c>
      <c r="L128" s="2803">
        <v>226</v>
      </c>
      <c r="M128" s="2826"/>
      <c r="N128" s="1238">
        <f t="shared" si="30"/>
        <v>1.0538492290119932</v>
      </c>
      <c r="O128" s="1148" t="s">
        <v>668</v>
      </c>
      <c r="P128" s="1149" t="str">
        <f>IFERROR(VLOOKUP(F128,Trainingsarten!$A$9:$N$84,12,FALSE),"")</f>
        <v/>
      </c>
      <c r="Q128" s="1151" t="s">
        <v>437</v>
      </c>
      <c r="R128" s="1151" t="str">
        <f>IFERROR(VLOOKUP(F128,Trainingsarten!$A$9:$N$84,14,FALSE),"")</f>
        <v/>
      </c>
      <c r="S128" s="1106">
        <f t="shared" si="31"/>
        <v>1.6142857142857143</v>
      </c>
      <c r="T128" s="1239">
        <f t="shared" si="12"/>
        <v>35.457241339061795</v>
      </c>
      <c r="U128" s="1232">
        <f t="shared" si="11"/>
        <v>34.33808539256043</v>
      </c>
      <c r="V128" s="1262">
        <f t="shared" si="13"/>
        <v>3.199062010628019</v>
      </c>
      <c r="W128" s="3287">
        <f t="shared" si="19"/>
        <v>1.0325922640621028</v>
      </c>
      <c r="X128" s="3300"/>
      <c r="Y128" s="3316"/>
      <c r="AA128" s="3301"/>
      <c r="AB128" s="3409"/>
      <c r="AE128" s="1056"/>
    </row>
    <row r="129" spans="1:31" ht="16" thickBot="1" x14ac:dyDescent="0.25">
      <c r="B129" s="2977">
        <f>B122+1</f>
        <v>19</v>
      </c>
      <c r="C129" s="1190">
        <v>43227</v>
      </c>
      <c r="D129" s="1191"/>
      <c r="E129" s="1192"/>
      <c r="F129" s="2627"/>
      <c r="G129" s="1193"/>
      <c r="H129" s="1194" t="str">
        <f>IFERROR(VLOOKUP(F129,Trainingsarten!$A$9:$K$78,10,FALSE),"")</f>
        <v/>
      </c>
      <c r="I129" s="1195"/>
      <c r="J129" s="1196"/>
      <c r="K129" s="1197"/>
      <c r="L129" s="2800"/>
      <c r="M129" s="2822"/>
      <c r="N129" s="1199" t="str">
        <f t="shared" si="30"/>
        <v/>
      </c>
      <c r="O129" s="1200"/>
      <c r="P129" s="1267" t="str">
        <f>IFERROR(VLOOKUP(F129,Trainingsarten!$A$9:$N$84,12,FALSE),"")</f>
        <v/>
      </c>
      <c r="Q129" s="1202" t="s">
        <v>437</v>
      </c>
      <c r="R129" s="1069" t="str">
        <f>IFERROR(VLOOKUP(F129,Trainingsarten!$A$9:$N$84,14,FALSE),"")</f>
        <v/>
      </c>
      <c r="S129" s="1070" t="str">
        <f t="shared" si="31"/>
        <v/>
      </c>
      <c r="T129" s="1268">
        <f t="shared" si="12"/>
        <v>30.391921147767253</v>
      </c>
      <c r="U129" s="1191">
        <f t="shared" si="11"/>
        <v>33.520511930832804</v>
      </c>
      <c r="V129" s="1244">
        <f t="shared" si="13"/>
        <v>-1.1191559465013654</v>
      </c>
      <c r="W129" s="3283">
        <f t="shared" si="19"/>
        <v>0.9066663782008707</v>
      </c>
      <c r="X129" s="3300"/>
      <c r="Y129" s="3316"/>
      <c r="AA129" s="3301"/>
      <c r="AB129" s="3409"/>
      <c r="AE129" s="1056"/>
    </row>
    <row r="130" spans="1:31" x14ac:dyDescent="0.2">
      <c r="B130" s="2978" t="s">
        <v>626</v>
      </c>
      <c r="C130" s="1211">
        <v>43228</v>
      </c>
      <c r="D130" s="1089" t="s">
        <v>577</v>
      </c>
      <c r="E130" s="1205"/>
      <c r="F130" s="2636" t="s">
        <v>665</v>
      </c>
      <c r="G130" s="1166">
        <v>5.7719907407407407E-2</v>
      </c>
      <c r="H130" s="1292">
        <v>14.9</v>
      </c>
      <c r="I130" s="1298">
        <f t="shared" ref="I130:I133" si="33">G130/H130</f>
        <v>3.8738192890877452E-3</v>
      </c>
      <c r="J130" s="1294">
        <v>140</v>
      </c>
      <c r="K130" s="1206">
        <v>87</v>
      </c>
      <c r="L130" s="2801">
        <v>217</v>
      </c>
      <c r="M130" s="2823"/>
      <c r="N130" s="1208">
        <f t="shared" si="30"/>
        <v>1.0680803395183578</v>
      </c>
      <c r="O130" s="1209" t="s">
        <v>471</v>
      </c>
      <c r="P130" s="1136" t="str">
        <f>IFERROR(VLOOKUP(F130,Trainingsarten!$A$9:$N$84,12,FALSE),"")</f>
        <v/>
      </c>
      <c r="Q130" s="1137" t="s">
        <v>437</v>
      </c>
      <c r="R130" s="1086" t="str">
        <f>IFERROR(VLOOKUP(F130,Trainingsarten!$A$9:$N$84,14,FALSE),"")</f>
        <v/>
      </c>
      <c r="S130" s="1087">
        <f t="shared" si="31"/>
        <v>1.55</v>
      </c>
      <c r="T130" s="1210">
        <f t="shared" si="12"/>
        <v>38.478789555229071</v>
      </c>
      <c r="U130" s="1089">
        <f t="shared" si="11"/>
        <v>34.793833075336785</v>
      </c>
      <c r="V130" s="1259">
        <f t="shared" si="13"/>
        <v>3.1285907830655511</v>
      </c>
      <c r="W130" s="3284">
        <f t="shared" si="19"/>
        <v>1.1059083220843617</v>
      </c>
      <c r="X130" s="3300"/>
      <c r="Y130" s="3316"/>
      <c r="AA130" s="3301"/>
      <c r="AB130" s="3409"/>
      <c r="AE130" s="1056"/>
    </row>
    <row r="131" spans="1:31" ht="16" thickBot="1" x14ac:dyDescent="0.25">
      <c r="B131" s="2979">
        <f>SUM(H129:H135)</f>
        <v>30.82</v>
      </c>
      <c r="C131" s="1211">
        <v>43229</v>
      </c>
      <c r="D131" s="1089" t="s">
        <v>578</v>
      </c>
      <c r="E131" s="1205"/>
      <c r="F131" s="2636" t="s">
        <v>665</v>
      </c>
      <c r="G131" s="1166">
        <v>2.9664351851851855E-2</v>
      </c>
      <c r="H131" s="1292">
        <v>7.54</v>
      </c>
      <c r="I131" s="1298">
        <f t="shared" si="33"/>
        <v>3.9342641713331376E-3</v>
      </c>
      <c r="J131" s="1294">
        <v>138</v>
      </c>
      <c r="K131" s="1206">
        <v>43</v>
      </c>
      <c r="L131" s="2801">
        <v>212</v>
      </c>
      <c r="M131" s="2823"/>
      <c r="N131" s="1208">
        <f t="shared" si="30"/>
        <v>1.0597519113746297</v>
      </c>
      <c r="O131" s="1209" t="s">
        <v>471</v>
      </c>
      <c r="P131" s="1136" t="str">
        <f>IFERROR(VLOOKUP(F131,Trainingsarten!$A$9:$N$84,12,FALSE),"")</f>
        <v/>
      </c>
      <c r="Q131" s="1137" t="s">
        <v>437</v>
      </c>
      <c r="R131" s="1086" t="str">
        <f>IFERROR(VLOOKUP(F131,Trainingsarten!$A$9:$N$84,14,FALSE),"")</f>
        <v/>
      </c>
      <c r="S131" s="1087">
        <f t="shared" si="31"/>
        <v>1.536231884057971</v>
      </c>
      <c r="T131" s="1210">
        <f t="shared" si="12"/>
        <v>39.124676761624919</v>
      </c>
      <c r="U131" s="1089">
        <f t="shared" ref="U131:U194" si="34">U130+(K131-U130)/42</f>
        <v>34.989218002114484</v>
      </c>
      <c r="V131" s="1259">
        <f t="shared" si="13"/>
        <v>-3.6849564798922856</v>
      </c>
      <c r="W131" s="3284">
        <f t="shared" si="19"/>
        <v>1.1181923745555136</v>
      </c>
      <c r="X131" s="3300"/>
      <c r="Y131" s="3316"/>
      <c r="AA131" s="3301"/>
      <c r="AB131" s="3409"/>
      <c r="AE131" s="1056"/>
    </row>
    <row r="132" spans="1:31" x14ac:dyDescent="0.2">
      <c r="B132" s="2980" t="s">
        <v>628</v>
      </c>
      <c r="C132" s="1211">
        <v>43230</v>
      </c>
      <c r="D132" s="1089"/>
      <c r="E132" s="1205"/>
      <c r="F132" s="2636"/>
      <c r="G132" s="1166"/>
      <c r="H132" s="1292" t="str">
        <f>IFERROR(VLOOKUP(F132,Trainingsarten!$A$9:$K$78,10,FALSE),"")</f>
        <v/>
      </c>
      <c r="I132" s="1295"/>
      <c r="J132" s="1294"/>
      <c r="K132" s="1206"/>
      <c r="L132" s="2801"/>
      <c r="M132" s="2823"/>
      <c r="N132" s="1208" t="str">
        <f t="shared" si="30"/>
        <v/>
      </c>
      <c r="O132" s="1209"/>
      <c r="P132" s="1136" t="str">
        <f>IFERROR(VLOOKUP(F132,Trainingsarten!$A$9:$N$84,12,FALSE),"")</f>
        <v/>
      </c>
      <c r="Q132" s="1137" t="s">
        <v>437</v>
      </c>
      <c r="R132" s="1086" t="str">
        <f>IFERROR(VLOOKUP(F132,Trainingsarten!$A$9:$N$84,14,FALSE),"")</f>
        <v/>
      </c>
      <c r="S132" s="1087" t="str">
        <f t="shared" si="31"/>
        <v/>
      </c>
      <c r="T132" s="1210">
        <f t="shared" ref="T132:T195" si="35">T131+(K132-T131)/7</f>
        <v>33.535437224249932</v>
      </c>
      <c r="U132" s="1089">
        <f t="shared" si="34"/>
        <v>34.156141383016518</v>
      </c>
      <c r="V132" s="1259">
        <f t="shared" ref="V132:V195" si="36">U131-T131</f>
        <v>-4.1354587595104348</v>
      </c>
      <c r="W132" s="3284">
        <f t="shared" si="19"/>
        <v>0.98182745082923162</v>
      </c>
      <c r="X132" s="3300"/>
      <c r="Y132" s="3316"/>
      <c r="AA132" s="3301"/>
      <c r="AB132" s="3409"/>
      <c r="AE132" s="1056"/>
    </row>
    <row r="133" spans="1:31" ht="16" thickBot="1" x14ac:dyDescent="0.25">
      <c r="B133" s="2981">
        <f>SUM(K129:K135)</f>
        <v>179</v>
      </c>
      <c r="C133" s="1299">
        <v>43231</v>
      </c>
      <c r="D133" s="1300" t="s">
        <v>579</v>
      </c>
      <c r="E133" s="1301"/>
      <c r="F133" s="2638" t="s">
        <v>665</v>
      </c>
      <c r="G133" s="1302">
        <v>3.3437500000000002E-2</v>
      </c>
      <c r="H133" s="1303">
        <v>8.3800000000000008</v>
      </c>
      <c r="I133" s="1298">
        <f t="shared" si="33"/>
        <v>3.990155131264916E-3</v>
      </c>
      <c r="J133" s="1304">
        <v>134</v>
      </c>
      <c r="K133" s="1305">
        <v>49</v>
      </c>
      <c r="L133" s="2806">
        <v>212</v>
      </c>
      <c r="M133" s="2829"/>
      <c r="N133" s="1208">
        <f t="shared" si="30"/>
        <v>1.0748069633581356</v>
      </c>
      <c r="O133" s="1307" t="s">
        <v>471</v>
      </c>
      <c r="P133" s="1136" t="str">
        <f>IFERROR(VLOOKUP(F133,Trainingsarten!$A$9:$N$84,12,FALSE),"")</f>
        <v/>
      </c>
      <c r="Q133" s="1137" t="s">
        <v>437</v>
      </c>
      <c r="R133" s="1086" t="str">
        <f>IFERROR(VLOOKUP(F133,Trainingsarten!$A$9:$N$84,14,FALSE),"")</f>
        <v/>
      </c>
      <c r="S133" s="1087">
        <f t="shared" si="31"/>
        <v>1.5820895522388059</v>
      </c>
      <c r="T133" s="1210">
        <f t="shared" si="35"/>
        <v>35.744660477928512</v>
      </c>
      <c r="U133" s="1089">
        <f t="shared" si="34"/>
        <v>34.509566588182793</v>
      </c>
      <c r="V133" s="1259">
        <f t="shared" si="36"/>
        <v>0.62070415876658558</v>
      </c>
      <c r="W133" s="3284">
        <f t="shared" si="19"/>
        <v>1.035789898623898</v>
      </c>
      <c r="X133" s="3300"/>
      <c r="Y133" s="3316"/>
      <c r="AA133" s="3301"/>
      <c r="AB133" s="3409"/>
      <c r="AE133" s="1056"/>
    </row>
    <row r="134" spans="1:31" x14ac:dyDescent="0.2">
      <c r="B134" s="2982" t="s">
        <v>761</v>
      </c>
      <c r="C134" s="1299">
        <v>43232</v>
      </c>
      <c r="D134" s="1300"/>
      <c r="E134" s="1301"/>
      <c r="F134" s="2638"/>
      <c r="G134" s="1302"/>
      <c r="H134" s="1303" t="str">
        <f>IFERROR(VLOOKUP(F134,Trainingsarten!$A$9:$K$78,10,FALSE),"")</f>
        <v/>
      </c>
      <c r="I134" s="1308"/>
      <c r="J134" s="1304"/>
      <c r="K134" s="1305"/>
      <c r="L134" s="2806"/>
      <c r="M134" s="2829"/>
      <c r="N134" s="1208" t="str">
        <f t="shared" si="30"/>
        <v/>
      </c>
      <c r="O134" s="1307"/>
      <c r="P134" s="1136" t="str">
        <f>IFERROR(VLOOKUP(F134,Trainingsarten!$A$9:$N$84,12,FALSE),"")</f>
        <v/>
      </c>
      <c r="Q134" s="1137" t="s">
        <v>437</v>
      </c>
      <c r="R134" s="1086" t="str">
        <f>IFERROR(VLOOKUP(F134,Trainingsarten!$A$9:$N$84,14,FALSE),"")</f>
        <v/>
      </c>
      <c r="S134" s="1087" t="str">
        <f t="shared" si="31"/>
        <v/>
      </c>
      <c r="T134" s="1210">
        <f t="shared" si="35"/>
        <v>30.63828040965301</v>
      </c>
      <c r="U134" s="1089">
        <f t="shared" si="34"/>
        <v>33.687910240845106</v>
      </c>
      <c r="V134" s="1259">
        <f t="shared" si="36"/>
        <v>-1.2350938897457198</v>
      </c>
      <c r="W134" s="3284">
        <f t="shared" si="19"/>
        <v>0.90947405732830067</v>
      </c>
      <c r="X134" s="3300"/>
      <c r="Y134" s="3316"/>
      <c r="AA134" s="3301"/>
      <c r="AB134" s="3409"/>
      <c r="AE134" s="1056"/>
    </row>
    <row r="135" spans="1:31" customFormat="1" ht="16" thickBot="1" x14ac:dyDescent="0.25">
      <c r="A135" s="140"/>
      <c r="B135" s="2983">
        <f>AVERAGE(W129:W135)</f>
        <v>0.97948872407779819</v>
      </c>
      <c r="C135" s="1309">
        <v>43233</v>
      </c>
      <c r="D135" s="1310"/>
      <c r="E135" s="1311"/>
      <c r="F135" s="2639"/>
      <c r="G135" s="1312"/>
      <c r="H135" s="1313" t="str">
        <f>IFERROR(VLOOKUP(F135,Trainingsarten!$A$9:$K$78,10,FALSE),"")</f>
        <v/>
      </c>
      <c r="I135" s="1314"/>
      <c r="J135" s="1315"/>
      <c r="K135" s="1316"/>
      <c r="L135" s="2807"/>
      <c r="M135" s="2830"/>
      <c r="N135" s="1223" t="str">
        <f t="shared" si="30"/>
        <v/>
      </c>
      <c r="O135" s="1318"/>
      <c r="P135" s="1225" t="str">
        <f>IFERROR(VLOOKUP(F135,Trainingsarten!$A$9:$N$84,12,FALSE),"")</f>
        <v/>
      </c>
      <c r="Q135" s="1226" t="s">
        <v>437</v>
      </c>
      <c r="R135" s="1105" t="str">
        <f>IFERROR(VLOOKUP(F135,Trainingsarten!$A$9:$N$84,14,FALSE),"")</f>
        <v/>
      </c>
      <c r="S135" s="1106" t="str">
        <f t="shared" si="31"/>
        <v/>
      </c>
      <c r="T135" s="1227">
        <f t="shared" si="35"/>
        <v>26.261383208274008</v>
      </c>
      <c r="U135" s="1108">
        <f t="shared" si="34"/>
        <v>32.8858171398726</v>
      </c>
      <c r="V135" s="1228">
        <f t="shared" si="36"/>
        <v>3.049629831192096</v>
      </c>
      <c r="W135" s="3285">
        <f t="shared" si="19"/>
        <v>0.79856258692241044</v>
      </c>
      <c r="X135" s="3302"/>
      <c r="Y135" s="3317"/>
      <c r="Z135" s="2597"/>
      <c r="AA135" s="3303"/>
      <c r="AB135" s="3409"/>
      <c r="AC135" s="3644"/>
      <c r="AD135" s="3644"/>
      <c r="AE135" s="1056"/>
    </row>
    <row r="136" spans="1:31" ht="16" thickBot="1" x14ac:dyDescent="0.25">
      <c r="B136" s="2977">
        <f>B129+1</f>
        <v>20</v>
      </c>
      <c r="C136" s="1319">
        <v>43234</v>
      </c>
      <c r="D136" s="1320" t="s">
        <v>580</v>
      </c>
      <c r="E136" s="1321"/>
      <c r="F136" s="2640" t="s">
        <v>665</v>
      </c>
      <c r="G136" s="1322">
        <v>3.1898148148148148E-2</v>
      </c>
      <c r="H136" s="1323">
        <v>8.4</v>
      </c>
      <c r="I136" s="1291">
        <f>G136/H136</f>
        <v>3.7973985890652553E-3</v>
      </c>
      <c r="J136" s="1324">
        <v>137</v>
      </c>
      <c r="K136" s="1325">
        <v>52</v>
      </c>
      <c r="L136" s="1326"/>
      <c r="M136" s="2831"/>
      <c r="N136" s="1119"/>
      <c r="O136" s="1327" t="s">
        <v>471</v>
      </c>
      <c r="P136" s="1277" t="str">
        <f>IFERROR(VLOOKUP(F136,Trainingsarten!$A$9:$N$84,12,FALSE),"")</f>
        <v/>
      </c>
      <c r="Q136" s="1122" t="s">
        <v>437</v>
      </c>
      <c r="R136" s="1122" t="str">
        <f>IFERROR(VLOOKUP(F136,Trainingsarten!$A$9:$N$84,14,FALSE),"")</f>
        <v/>
      </c>
      <c r="S136" s="1070"/>
      <c r="T136" s="1278">
        <f t="shared" si="35"/>
        <v>29.938328464234864</v>
      </c>
      <c r="U136" s="1111">
        <f t="shared" si="34"/>
        <v>33.340916731780396</v>
      </c>
      <c r="V136" s="1124">
        <f t="shared" si="36"/>
        <v>6.6244339315985918</v>
      </c>
      <c r="W136" s="3286">
        <f t="shared" si="19"/>
        <v>0.89794556955591442</v>
      </c>
      <c r="X136" s="3300"/>
      <c r="Y136" s="3316"/>
      <c r="AA136" s="3301"/>
      <c r="AB136" s="3409"/>
      <c r="AE136" s="1056"/>
    </row>
    <row r="137" spans="1:31" x14ac:dyDescent="0.2">
      <c r="B137" s="2978" t="s">
        <v>626</v>
      </c>
      <c r="C137" s="1328">
        <v>43235</v>
      </c>
      <c r="D137" s="1329"/>
      <c r="E137" s="1330"/>
      <c r="F137" s="2641"/>
      <c r="G137" s="1331"/>
      <c r="H137" s="1332" t="str">
        <f>IFERROR(VLOOKUP(F137,Trainingsarten!$A$9:$K$78,10,FALSE),"")</f>
        <v/>
      </c>
      <c r="I137" s="1333"/>
      <c r="J137" s="1334"/>
      <c r="K137" s="1335"/>
      <c r="L137" s="2806"/>
      <c r="M137" s="2829"/>
      <c r="N137" s="1188"/>
      <c r="O137" s="1336"/>
      <c r="P137" s="1282" t="str">
        <f>IFERROR(VLOOKUP(F137,Trainingsarten!$A$9:$N$84,12,FALSE),"")</f>
        <v/>
      </c>
      <c r="Q137" s="1283" t="s">
        <v>437</v>
      </c>
      <c r="R137" s="1086" t="str">
        <f>IFERROR(VLOOKUP(F137,Trainingsarten!$A$9:$N$84,14,FALSE),"")</f>
        <v/>
      </c>
      <c r="S137" s="1087" t="str">
        <f>IFERROR(L137/J137,"")</f>
        <v/>
      </c>
      <c r="T137" s="1088">
        <f t="shared" si="35"/>
        <v>25.661424397915596</v>
      </c>
      <c r="U137" s="1089">
        <f t="shared" si="34"/>
        <v>32.54708538102372</v>
      </c>
      <c r="V137" s="1090">
        <f t="shared" si="36"/>
        <v>3.4025882675455321</v>
      </c>
      <c r="W137" s="3284">
        <f t="shared" si="19"/>
        <v>0.78844001229299798</v>
      </c>
      <c r="X137" s="3300"/>
      <c r="Y137" s="3316"/>
      <c r="AA137" s="3301"/>
      <c r="AB137" s="3409"/>
      <c r="AE137" s="1056"/>
    </row>
    <row r="138" spans="1:31" ht="16" thickBot="1" x14ac:dyDescent="0.25">
      <c r="B138" s="2979">
        <f>SUM(H136:H142)</f>
        <v>18.100000000000001</v>
      </c>
      <c r="C138" s="1328">
        <v>43236</v>
      </c>
      <c r="D138" s="1329" t="s">
        <v>581</v>
      </c>
      <c r="E138" s="1330"/>
      <c r="F138" s="2641" t="s">
        <v>665</v>
      </c>
      <c r="G138" s="1331">
        <v>3.7476851851851851E-2</v>
      </c>
      <c r="H138" s="1332">
        <v>9.6999999999999993</v>
      </c>
      <c r="I138" s="1298">
        <f t="shared" ref="I138" si="37">G138/H138</f>
        <v>3.863592974417717E-3</v>
      </c>
      <c r="J138" s="1334">
        <v>151</v>
      </c>
      <c r="K138" s="1335">
        <v>63</v>
      </c>
      <c r="L138" s="2806"/>
      <c r="M138" s="2829"/>
      <c r="N138" s="1188"/>
      <c r="O138" s="1336" t="s">
        <v>471</v>
      </c>
      <c r="P138" s="1282" t="str">
        <f>IFERROR(VLOOKUP(F138,Trainingsarten!$A$9:$N$84,12,FALSE),"")</f>
        <v/>
      </c>
      <c r="Q138" s="1283" t="s">
        <v>437</v>
      </c>
      <c r="R138" s="1086" t="str">
        <f>IFERROR(VLOOKUP(F138,Trainingsarten!$A$9:$N$84,14,FALSE),"")</f>
        <v/>
      </c>
      <c r="S138" s="1087"/>
      <c r="T138" s="1088">
        <f t="shared" si="35"/>
        <v>30.995506626784795</v>
      </c>
      <c r="U138" s="1089">
        <f t="shared" si="34"/>
        <v>33.272154776713634</v>
      </c>
      <c r="V138" s="1090">
        <f t="shared" si="36"/>
        <v>6.8856609831081244</v>
      </c>
      <c r="W138" s="3284">
        <f t="shared" si="19"/>
        <v>0.93157497116711507</v>
      </c>
      <c r="X138" s="3300"/>
      <c r="Y138" s="3316"/>
      <c r="AA138" s="3301"/>
      <c r="AB138" s="3409"/>
      <c r="AE138" s="1056"/>
    </row>
    <row r="139" spans="1:31" x14ac:dyDescent="0.2">
      <c r="B139" s="2980" t="s">
        <v>628</v>
      </c>
      <c r="C139" s="1328">
        <v>43237</v>
      </c>
      <c r="D139" s="1329"/>
      <c r="E139" s="1330"/>
      <c r="F139" s="2641"/>
      <c r="G139" s="1331"/>
      <c r="H139" s="1332" t="str">
        <f>IFERROR(VLOOKUP(F139,Trainingsarten!$A$9:$K$78,10,FALSE),"")</f>
        <v/>
      </c>
      <c r="I139" s="1333"/>
      <c r="J139" s="1334"/>
      <c r="K139" s="1335"/>
      <c r="L139" s="2806"/>
      <c r="M139" s="2829"/>
      <c r="N139" s="1188" t="str">
        <f t="shared" ref="N139:N170" si="38">IFERROR((L139/68)/(1/(I139*24)/3.6),"")</f>
        <v/>
      </c>
      <c r="O139" s="1336"/>
      <c r="P139" s="1282" t="str">
        <f>IFERROR(VLOOKUP(F139,Trainingsarten!$A$9:$N$84,12,FALSE),"")</f>
        <v/>
      </c>
      <c r="Q139" s="1283" t="s">
        <v>437</v>
      </c>
      <c r="R139" s="1086" t="str">
        <f>IFERROR(VLOOKUP(F139,Trainingsarten!$A$9:$N$84,14,FALSE),"")</f>
        <v/>
      </c>
      <c r="S139" s="1087" t="str">
        <f t="shared" ref="S139:S170" si="39">IFERROR(L139/J139,"")</f>
        <v/>
      </c>
      <c r="T139" s="1088">
        <f t="shared" si="35"/>
        <v>26.56757710867268</v>
      </c>
      <c r="U139" s="1089">
        <f t="shared" si="34"/>
        <v>32.479960615363311</v>
      </c>
      <c r="V139" s="1090">
        <f t="shared" si="36"/>
        <v>2.2766481499288389</v>
      </c>
      <c r="W139" s="3284">
        <f t="shared" si="19"/>
        <v>0.81796826736624728</v>
      </c>
      <c r="X139" s="3300"/>
      <c r="Y139" s="3316"/>
      <c r="AA139" s="3301"/>
      <c r="AB139" s="3409"/>
      <c r="AE139" s="1056"/>
    </row>
    <row r="140" spans="1:31" ht="16" thickBot="1" x14ac:dyDescent="0.25">
      <c r="B140" s="2981">
        <f>SUM(K136:K142)</f>
        <v>115</v>
      </c>
      <c r="C140" s="1328">
        <v>43238</v>
      </c>
      <c r="D140" s="1329"/>
      <c r="E140" s="1330"/>
      <c r="F140" s="2641"/>
      <c r="G140" s="1331"/>
      <c r="H140" s="1332" t="str">
        <f>IFERROR(VLOOKUP(F140,Trainingsarten!$A$9:$K$78,10,FALSE),"")</f>
        <v/>
      </c>
      <c r="I140" s="1333"/>
      <c r="J140" s="1334"/>
      <c r="K140" s="1335"/>
      <c r="L140" s="2806"/>
      <c r="M140" s="2829"/>
      <c r="N140" s="1188" t="str">
        <f t="shared" si="38"/>
        <v/>
      </c>
      <c r="O140" s="1336"/>
      <c r="P140" s="1282" t="str">
        <f>IFERROR(VLOOKUP(F140,Trainingsarten!$A$9:$N$84,12,FALSE),"")</f>
        <v/>
      </c>
      <c r="Q140" s="1283" t="s">
        <v>437</v>
      </c>
      <c r="R140" s="1086" t="str">
        <f>IFERROR(VLOOKUP(F140,Trainingsarten!$A$9:$N$84,14,FALSE),"")</f>
        <v/>
      </c>
      <c r="S140" s="1087" t="str">
        <f t="shared" si="39"/>
        <v/>
      </c>
      <c r="T140" s="1088">
        <f t="shared" si="35"/>
        <v>22.772208950290867</v>
      </c>
      <c r="U140" s="1089">
        <f t="shared" si="34"/>
        <v>31.706628219759423</v>
      </c>
      <c r="V140" s="1090">
        <f t="shared" si="36"/>
        <v>5.912383506690631</v>
      </c>
      <c r="W140" s="3284">
        <f t="shared" si="19"/>
        <v>0.7182160396386561</v>
      </c>
      <c r="X140" s="3300"/>
      <c r="Y140" s="3316"/>
      <c r="AA140" s="3301"/>
      <c r="AB140" s="3409"/>
      <c r="AE140" s="1056"/>
    </row>
    <row r="141" spans="1:31" x14ac:dyDescent="0.2">
      <c r="B141" s="2982" t="s">
        <v>761</v>
      </c>
      <c r="C141" s="1328">
        <v>43239</v>
      </c>
      <c r="D141" s="1329"/>
      <c r="E141" s="1330"/>
      <c r="F141" s="2641"/>
      <c r="G141" s="1331"/>
      <c r="H141" s="1332" t="str">
        <f>IFERROR(VLOOKUP(F141,Trainingsarten!$A$9:$K$78,10,FALSE),"")</f>
        <v/>
      </c>
      <c r="I141" s="1333"/>
      <c r="J141" s="1334"/>
      <c r="K141" s="1335"/>
      <c r="L141" s="2806"/>
      <c r="M141" s="2829"/>
      <c r="N141" s="1188" t="str">
        <f t="shared" si="38"/>
        <v/>
      </c>
      <c r="O141" s="1336"/>
      <c r="P141" s="1282" t="str">
        <f>IFERROR(VLOOKUP(F141,Trainingsarten!$A$9:$N$84,12,FALSE),"")</f>
        <v/>
      </c>
      <c r="Q141" s="1283" t="s">
        <v>437</v>
      </c>
      <c r="R141" s="1086" t="str">
        <f>IFERROR(VLOOKUP(F141,Trainingsarten!$A$9:$N$84,14,FALSE),"")</f>
        <v/>
      </c>
      <c r="S141" s="1087" t="str">
        <f t="shared" si="39"/>
        <v/>
      </c>
      <c r="T141" s="1088">
        <f t="shared" si="35"/>
        <v>19.519036243106459</v>
      </c>
      <c r="U141" s="1089">
        <f t="shared" si="34"/>
        <v>30.951708500241342</v>
      </c>
      <c r="V141" s="1090">
        <f t="shared" si="36"/>
        <v>8.934419269468556</v>
      </c>
      <c r="W141" s="3284">
        <f t="shared" si="19"/>
        <v>0.63062871773150297</v>
      </c>
      <c r="X141" s="3300"/>
      <c r="Y141" s="3316"/>
      <c r="AA141" s="3301"/>
      <c r="AB141" s="3409"/>
      <c r="AE141" s="1056"/>
    </row>
    <row r="142" spans="1:31" ht="16" thickBot="1" x14ac:dyDescent="0.25">
      <c r="B142" s="2983">
        <f>AVERAGE(W136:W142)</f>
        <v>0.76264233632816691</v>
      </c>
      <c r="C142" s="1337">
        <v>43240</v>
      </c>
      <c r="D142" s="1338"/>
      <c r="E142" s="1339"/>
      <c r="F142" s="2642"/>
      <c r="G142" s="1340"/>
      <c r="H142" s="1341" t="str">
        <f>IFERROR(VLOOKUP(F142,Trainingsarten!$A$9:$K$78,10,FALSE),"")</f>
        <v/>
      </c>
      <c r="I142" s="1342"/>
      <c r="J142" s="1343"/>
      <c r="K142" s="1344"/>
      <c r="L142" s="2808"/>
      <c r="M142" s="2832"/>
      <c r="N142" s="1238" t="str">
        <f t="shared" si="38"/>
        <v/>
      </c>
      <c r="O142" s="1345"/>
      <c r="P142" s="1149" t="str">
        <f>IFERROR(VLOOKUP(F142,Trainingsarten!$A$9:$N$84,12,FALSE),"")</f>
        <v/>
      </c>
      <c r="Q142" s="1151" t="s">
        <v>437</v>
      </c>
      <c r="R142" s="1151" t="str">
        <f>IFERROR(VLOOKUP(F142,Trainingsarten!$A$9:$N$84,14,FALSE),"")</f>
        <v/>
      </c>
      <c r="S142" s="1106" t="str">
        <f t="shared" si="39"/>
        <v/>
      </c>
      <c r="T142" s="1239">
        <f t="shared" si="35"/>
        <v>16.730602494091251</v>
      </c>
      <c r="U142" s="1258">
        <f t="shared" si="34"/>
        <v>30.214763059759406</v>
      </c>
      <c r="V142" s="1262">
        <f t="shared" si="36"/>
        <v>11.432672257134882</v>
      </c>
      <c r="W142" s="3287">
        <f t="shared" si="19"/>
        <v>0.55372277654473434</v>
      </c>
      <c r="X142" s="3300"/>
      <c r="Y142" s="3316"/>
      <c r="AA142" s="3301"/>
      <c r="AB142" s="3409"/>
      <c r="AE142" s="1056"/>
    </row>
    <row r="143" spans="1:31" ht="16" thickBot="1" x14ac:dyDescent="0.25">
      <c r="B143" s="2977">
        <f>B136+1</f>
        <v>21</v>
      </c>
      <c r="C143" s="1346">
        <v>43241</v>
      </c>
      <c r="D143" s="1347"/>
      <c r="E143" s="1348"/>
      <c r="F143" s="2643"/>
      <c r="G143" s="1349"/>
      <c r="H143" s="1350" t="str">
        <f>IFERROR(VLOOKUP(F143,Trainingsarten!$A$9:$K$78,10,FALSE),"")</f>
        <v/>
      </c>
      <c r="I143" s="1351"/>
      <c r="J143" s="1352"/>
      <c r="K143" s="1353"/>
      <c r="L143" s="1915"/>
      <c r="M143" s="2833"/>
      <c r="N143" s="1199" t="str">
        <f t="shared" si="38"/>
        <v/>
      </c>
      <c r="O143" s="1355"/>
      <c r="P143" s="1267" t="str">
        <f>IFERROR(VLOOKUP(F143,Trainingsarten!$A$9:$N$84,12,FALSE),"")</f>
        <v/>
      </c>
      <c r="Q143" s="1202" t="s">
        <v>437</v>
      </c>
      <c r="R143" s="1069" t="str">
        <f>IFERROR(VLOOKUP(F143,Trainingsarten!$A$9:$N$84,14,FALSE),"")</f>
        <v/>
      </c>
      <c r="S143" s="1070" t="str">
        <f t="shared" si="39"/>
        <v/>
      </c>
      <c r="T143" s="1268">
        <f t="shared" si="35"/>
        <v>14.340516423506786</v>
      </c>
      <c r="U143" s="1191">
        <f t="shared" si="34"/>
        <v>29.495363939288943</v>
      </c>
      <c r="V143" s="1073">
        <f t="shared" si="36"/>
        <v>13.484160565668155</v>
      </c>
      <c r="W143" s="3283">
        <f t="shared" si="19"/>
        <v>0.48619560867342526</v>
      </c>
      <c r="X143" s="3300"/>
      <c r="Y143" s="3316"/>
      <c r="AA143" s="3301"/>
      <c r="AB143" s="3409"/>
      <c r="AE143" s="1056"/>
    </row>
    <row r="144" spans="1:31" x14ac:dyDescent="0.2">
      <c r="B144" s="2978" t="s">
        <v>626</v>
      </c>
      <c r="C144" s="1356">
        <v>43242</v>
      </c>
      <c r="D144" s="1300"/>
      <c r="E144" s="1301"/>
      <c r="F144" s="2638"/>
      <c r="G144" s="1357"/>
      <c r="H144" s="1358" t="str">
        <f>IFERROR(VLOOKUP(F144,Trainingsarten!$A$9:$K$78,10,FALSE),"")</f>
        <v/>
      </c>
      <c r="I144" s="1359"/>
      <c r="J144" s="1360"/>
      <c r="K144" s="1305"/>
      <c r="L144" s="2806"/>
      <c r="M144" s="2829"/>
      <c r="N144" s="1208" t="str">
        <f t="shared" si="38"/>
        <v/>
      </c>
      <c r="O144" s="1307"/>
      <c r="P144" s="1136" t="str">
        <f>IFERROR(VLOOKUP(F144,Trainingsarten!$A$9:$N$84,12,FALSE),"")</f>
        <v/>
      </c>
      <c r="Q144" s="1137" t="s">
        <v>437</v>
      </c>
      <c r="R144" s="1086" t="str">
        <f>IFERROR(VLOOKUP(F144,Trainingsarten!$A$9:$N$84,14,FALSE),"")</f>
        <v/>
      </c>
      <c r="S144" s="1087" t="str">
        <f t="shared" si="39"/>
        <v/>
      </c>
      <c r="T144" s="1210">
        <f t="shared" si="35"/>
        <v>12.291871220148675</v>
      </c>
      <c r="U144" s="1089">
        <f t="shared" si="34"/>
        <v>28.793093369305872</v>
      </c>
      <c r="V144" s="1259">
        <f t="shared" si="36"/>
        <v>15.154847515782157</v>
      </c>
      <c r="W144" s="3284">
        <f t="shared" si="19"/>
        <v>0.42690346127422713</v>
      </c>
      <c r="X144" s="3300"/>
      <c r="Y144" s="3316"/>
      <c r="AA144" s="3301"/>
      <c r="AB144" s="3409"/>
      <c r="AE144" s="1056"/>
    </row>
    <row r="145" spans="1:31" ht="16" thickBot="1" x14ac:dyDescent="0.25">
      <c r="B145" s="2979">
        <f>SUM(H143:H149)</f>
        <v>18.63</v>
      </c>
      <c r="C145" s="1299">
        <v>43243</v>
      </c>
      <c r="D145" s="1300"/>
      <c r="E145" s="1301"/>
      <c r="F145" s="2638"/>
      <c r="G145" s="1357"/>
      <c r="H145" s="1358" t="str">
        <f>IFERROR(VLOOKUP(F145,Trainingsarten!$A$9:$K$78,10,FALSE),"")</f>
        <v/>
      </c>
      <c r="I145" s="1359"/>
      <c r="J145" s="1360"/>
      <c r="K145" s="1305"/>
      <c r="L145" s="2806"/>
      <c r="M145" s="2829"/>
      <c r="N145" s="1208" t="str">
        <f t="shared" si="38"/>
        <v/>
      </c>
      <c r="O145" s="1307"/>
      <c r="P145" s="1136" t="str">
        <f>IFERROR(VLOOKUP(F145,Trainingsarten!$A$9:$N$84,12,FALSE),"")</f>
        <v/>
      </c>
      <c r="Q145" s="1137" t="s">
        <v>437</v>
      </c>
      <c r="R145" s="1086" t="str">
        <f>IFERROR(VLOOKUP(F145,Trainingsarten!$A$9:$N$84,14,FALSE),"")</f>
        <v/>
      </c>
      <c r="S145" s="1087" t="str">
        <f t="shared" si="39"/>
        <v/>
      </c>
      <c r="T145" s="1210">
        <f t="shared" si="35"/>
        <v>10.535889617270293</v>
      </c>
      <c r="U145" s="1089">
        <f t="shared" si="34"/>
        <v>28.107543527179541</v>
      </c>
      <c r="V145" s="1259">
        <f t="shared" si="36"/>
        <v>16.501222149157197</v>
      </c>
      <c r="W145" s="3284">
        <f t="shared" si="19"/>
        <v>0.37484206355785799</v>
      </c>
      <c r="X145" s="3300"/>
      <c r="Y145" s="3316"/>
      <c r="AA145" s="3301"/>
      <c r="AB145" s="3409"/>
      <c r="AE145" s="1056"/>
    </row>
    <row r="146" spans="1:31" x14ac:dyDescent="0.2">
      <c r="B146" s="2980" t="s">
        <v>628</v>
      </c>
      <c r="C146" s="1299">
        <v>43244</v>
      </c>
      <c r="D146" s="1329"/>
      <c r="E146" s="1330"/>
      <c r="F146" s="2638"/>
      <c r="G146" s="1357"/>
      <c r="H146" s="1358" t="str">
        <f>IFERROR(VLOOKUP(F146,Trainingsarten!$A$9:$K$78,10,FALSE),"")</f>
        <v/>
      </c>
      <c r="I146" s="1359"/>
      <c r="J146" s="1360"/>
      <c r="K146" s="1305"/>
      <c r="L146" s="2806"/>
      <c r="M146" s="2829"/>
      <c r="N146" s="1208" t="str">
        <f t="shared" si="38"/>
        <v/>
      </c>
      <c r="O146" s="1307"/>
      <c r="P146" s="1136" t="str">
        <f>IFERROR(VLOOKUP(F146,Trainingsarten!$A$9:$N$84,12,FALSE),"")</f>
        <v/>
      </c>
      <c r="Q146" s="1137" t="s">
        <v>437</v>
      </c>
      <c r="R146" s="1086" t="str">
        <f>IFERROR(VLOOKUP(F146,Trainingsarten!$A$9:$N$84,14,FALSE),"")</f>
        <v/>
      </c>
      <c r="S146" s="1087" t="str">
        <f t="shared" si="39"/>
        <v/>
      </c>
      <c r="T146" s="1210">
        <f t="shared" si="35"/>
        <v>9.0307625290888218</v>
      </c>
      <c r="U146" s="1089">
        <f t="shared" si="34"/>
        <v>27.438316300341931</v>
      </c>
      <c r="V146" s="1259">
        <f t="shared" si="36"/>
        <v>17.571653909909248</v>
      </c>
      <c r="W146" s="3284">
        <f t="shared" si="19"/>
        <v>0.32912961678250946</v>
      </c>
      <c r="X146" s="3300"/>
      <c r="Y146" s="3316"/>
      <c r="AA146" s="3301"/>
      <c r="AB146" s="3409"/>
      <c r="AE146" s="1056"/>
    </row>
    <row r="147" spans="1:31" ht="16" thickBot="1" x14ac:dyDescent="0.25">
      <c r="B147" s="2981">
        <f>SUM(K143:K149)</f>
        <v>107</v>
      </c>
      <c r="C147" s="1299">
        <v>43245</v>
      </c>
      <c r="D147" s="1300" t="s">
        <v>582</v>
      </c>
      <c r="E147" s="1301"/>
      <c r="F147" s="2638" t="s">
        <v>638</v>
      </c>
      <c r="G147" s="1357">
        <v>3.4155092592592591E-2</v>
      </c>
      <c r="H147" s="1358">
        <v>8.43</v>
      </c>
      <c r="I147" s="1298">
        <f t="shared" ref="I147" si="40">G147/H147</f>
        <v>4.0516124071877336E-3</v>
      </c>
      <c r="J147" s="1360">
        <v>136</v>
      </c>
      <c r="K147" s="1305">
        <v>48</v>
      </c>
      <c r="L147" s="2806">
        <v>211</v>
      </c>
      <c r="M147" s="2829"/>
      <c r="N147" s="1208">
        <f t="shared" si="38"/>
        <v>1.0862134533528716</v>
      </c>
      <c r="O147" s="1307" t="s">
        <v>471</v>
      </c>
      <c r="P147" s="1136" t="str">
        <f>IFERROR(VLOOKUP(F147,Trainingsarten!$A$9:$N$84,12,FALSE),"")</f>
        <v/>
      </c>
      <c r="Q147" s="1137" t="s">
        <v>437</v>
      </c>
      <c r="R147" s="1086" t="str">
        <f>IFERROR(VLOOKUP(F147,Trainingsarten!$A$9:$N$84,14,FALSE),"")</f>
        <v/>
      </c>
      <c r="S147" s="1087">
        <f t="shared" si="39"/>
        <v>1.5514705882352942</v>
      </c>
      <c r="T147" s="1210">
        <f t="shared" si="35"/>
        <v>14.597796453504705</v>
      </c>
      <c r="U147" s="1089">
        <f t="shared" si="34"/>
        <v>27.927880197952838</v>
      </c>
      <c r="V147" s="1259">
        <f t="shared" si="36"/>
        <v>18.407553771253109</v>
      </c>
      <c r="W147" s="3284">
        <f t="shared" si="19"/>
        <v>0.5226961856766611</v>
      </c>
      <c r="X147" s="3300"/>
      <c r="Y147" s="3316"/>
      <c r="AA147" s="3301"/>
      <c r="AB147" s="3409"/>
      <c r="AE147" s="1056"/>
    </row>
    <row r="148" spans="1:31" x14ac:dyDescent="0.2">
      <c r="B148" s="2982" t="s">
        <v>761</v>
      </c>
      <c r="C148" s="1299">
        <v>43246</v>
      </c>
      <c r="D148" s="1300"/>
      <c r="E148" s="1301"/>
      <c r="F148" s="2638"/>
      <c r="G148" s="1357"/>
      <c r="H148" s="1358" t="str">
        <f>IFERROR(VLOOKUP(F148,Trainingsarten!$A$9:$K$78,10,FALSE),"")</f>
        <v/>
      </c>
      <c r="I148" s="1359"/>
      <c r="J148" s="1360"/>
      <c r="K148" s="1305"/>
      <c r="L148" s="2806"/>
      <c r="M148" s="2829"/>
      <c r="N148" s="1208" t="str">
        <f t="shared" si="38"/>
        <v/>
      </c>
      <c r="O148" s="1307"/>
      <c r="P148" s="1136" t="str">
        <f>IFERROR(VLOOKUP(F148,Trainingsarten!$A$9:$N$84,12,FALSE),"")</f>
        <v/>
      </c>
      <c r="Q148" s="1137" t="s">
        <v>437</v>
      </c>
      <c r="R148" s="1086" t="str">
        <f>IFERROR(VLOOKUP(F148,Trainingsarten!$A$9:$N$84,14,FALSE),"")</f>
        <v/>
      </c>
      <c r="S148" s="1087" t="str">
        <f t="shared" si="39"/>
        <v/>
      </c>
      <c r="T148" s="1210">
        <f t="shared" si="35"/>
        <v>12.512396960146891</v>
      </c>
      <c r="U148" s="1089">
        <f t="shared" si="34"/>
        <v>27.262930669430151</v>
      </c>
      <c r="V148" s="1259">
        <f t="shared" si="36"/>
        <v>13.330083744448133</v>
      </c>
      <c r="W148" s="3284">
        <f t="shared" si="19"/>
        <v>0.45895274839901956</v>
      </c>
      <c r="X148" s="3300"/>
      <c r="Y148" s="3316"/>
      <c r="AA148" s="3301"/>
      <c r="AB148" s="3409"/>
      <c r="AE148" s="1056"/>
    </row>
    <row r="149" spans="1:31" customFormat="1" ht="16" thickBot="1" x14ac:dyDescent="0.25">
      <c r="A149" s="140"/>
      <c r="B149" s="2983">
        <f>AVERAGE(W143:W149)</f>
        <v>0.46890273617114586</v>
      </c>
      <c r="C149" s="1309">
        <v>43247</v>
      </c>
      <c r="D149" s="1310" t="s">
        <v>583</v>
      </c>
      <c r="E149" s="1311"/>
      <c r="F149" s="2639" t="s">
        <v>665</v>
      </c>
      <c r="G149" s="1361">
        <v>4.0358796296296295E-2</v>
      </c>
      <c r="H149" s="1362">
        <v>10.199999999999999</v>
      </c>
      <c r="I149" s="1363">
        <f t="shared" ref="I149" si="41">G149/H149</f>
        <v>3.95674473493101E-3</v>
      </c>
      <c r="J149" s="1364">
        <v>144</v>
      </c>
      <c r="K149" s="1316">
        <v>59</v>
      </c>
      <c r="L149" s="2807">
        <v>215</v>
      </c>
      <c r="M149" s="2830"/>
      <c r="N149" s="1223">
        <f t="shared" si="38"/>
        <v>1.080889561707036</v>
      </c>
      <c r="O149" s="1318" t="s">
        <v>471</v>
      </c>
      <c r="P149" s="1225" t="str">
        <f>IFERROR(VLOOKUP(F149,Trainingsarten!$A$9:$N$84,12,FALSE),"")</f>
        <v/>
      </c>
      <c r="Q149" s="1226" t="s">
        <v>437</v>
      </c>
      <c r="R149" s="1105" t="str">
        <f>IFERROR(VLOOKUP(F149,Trainingsarten!$A$9:$N$84,14,FALSE),"")</f>
        <v/>
      </c>
      <c r="S149" s="1106">
        <f t="shared" si="39"/>
        <v>1.4930555555555556</v>
      </c>
      <c r="T149" s="1227">
        <f t="shared" si="35"/>
        <v>19.153483108697337</v>
      </c>
      <c r="U149" s="1108">
        <f t="shared" si="34"/>
        <v>28.01857517730086</v>
      </c>
      <c r="V149" s="1109">
        <f t="shared" si="36"/>
        <v>14.75053370928326</v>
      </c>
      <c r="W149" s="3285">
        <f t="shared" si="19"/>
        <v>0.68359946883432021</v>
      </c>
      <c r="X149" s="3302"/>
      <c r="Y149" s="3317"/>
      <c r="Z149" s="2597"/>
      <c r="AA149" s="3303"/>
      <c r="AB149" s="3409"/>
      <c r="AC149" s="3644"/>
      <c r="AD149" s="3644"/>
      <c r="AE149" s="1056"/>
    </row>
    <row r="150" spans="1:31" ht="16" thickBot="1" x14ac:dyDescent="0.25">
      <c r="B150" s="2977">
        <f>B143+1</f>
        <v>22</v>
      </c>
      <c r="C150" s="1110">
        <v>43248</v>
      </c>
      <c r="D150" s="1111"/>
      <c r="E150" s="1112"/>
      <c r="F150" s="2644"/>
      <c r="G150" s="1113"/>
      <c r="H150" s="1229" t="str">
        <f>IFERROR(VLOOKUP(F150,Trainingsarten!$A$9:$K$78,10,FALSE),"")</f>
        <v/>
      </c>
      <c r="I150" s="1230"/>
      <c r="J150" s="1231"/>
      <c r="K150" s="1117"/>
      <c r="L150" s="1118"/>
      <c r="M150" s="2825"/>
      <c r="N150" s="1119" t="str">
        <f t="shared" si="38"/>
        <v/>
      </c>
      <c r="O150" s="1120"/>
      <c r="P150" s="1277" t="str">
        <f>IFERROR(VLOOKUP(F150,Trainingsarten!$A$9:$N$84,12,FALSE),"")</f>
        <v/>
      </c>
      <c r="Q150" s="1122" t="s">
        <v>437</v>
      </c>
      <c r="R150" s="1122" t="str">
        <f>IFERROR(VLOOKUP(F150,Trainingsarten!$A$9:$N$84,14,FALSE),"")</f>
        <v/>
      </c>
      <c r="S150" s="1070" t="str">
        <f t="shared" si="39"/>
        <v/>
      </c>
      <c r="T150" s="1278">
        <f t="shared" si="35"/>
        <v>16.417271236026288</v>
      </c>
      <c r="U150" s="1111">
        <f t="shared" si="34"/>
        <v>27.351466244507982</v>
      </c>
      <c r="V150" s="1124">
        <f t="shared" si="36"/>
        <v>8.8650920686035235</v>
      </c>
      <c r="W150" s="3286">
        <f t="shared" si="19"/>
        <v>0.60023367995208599</v>
      </c>
      <c r="X150" s="3300"/>
      <c r="Y150" s="3316"/>
      <c r="AA150" s="3301"/>
      <c r="AB150" s="3409"/>
      <c r="AE150" s="1056"/>
    </row>
    <row r="151" spans="1:31" x14ac:dyDescent="0.2">
      <c r="B151" s="2978" t="s">
        <v>626</v>
      </c>
      <c r="C151" s="1126">
        <v>43249</v>
      </c>
      <c r="D151" s="1212" t="s">
        <v>584</v>
      </c>
      <c r="E151" s="1213"/>
      <c r="F151" s="2637" t="s">
        <v>665</v>
      </c>
      <c r="G151" s="1279">
        <v>4.4270833333333336E-2</v>
      </c>
      <c r="H151" s="1280">
        <v>11.4</v>
      </c>
      <c r="I151" s="1297">
        <f t="shared" ref="I151:I154" si="42">G151/H151</f>
        <v>3.8834064327485382E-3</v>
      </c>
      <c r="J151" s="1132">
        <v>130</v>
      </c>
      <c r="K151" s="1133">
        <v>67</v>
      </c>
      <c r="L151" s="2801">
        <v>217</v>
      </c>
      <c r="M151" s="2823"/>
      <c r="N151" s="1188">
        <f t="shared" si="38"/>
        <v>1.0707236842105265</v>
      </c>
      <c r="O151" s="1135" t="s">
        <v>668</v>
      </c>
      <c r="P151" s="1282" t="str">
        <f>IFERROR(VLOOKUP(F151,Trainingsarten!$A$9:$N$84,12,FALSE),"")</f>
        <v/>
      </c>
      <c r="Q151" s="1283" t="s">
        <v>437</v>
      </c>
      <c r="R151" s="1086" t="str">
        <f>IFERROR(VLOOKUP(F151,Trainingsarten!$A$9:$N$84,14,FALSE),"")</f>
        <v/>
      </c>
      <c r="S151" s="1087">
        <f t="shared" si="39"/>
        <v>1.6692307692307693</v>
      </c>
      <c r="T151" s="1088">
        <f t="shared" si="35"/>
        <v>23.643375345165389</v>
      </c>
      <c r="U151" s="1089">
        <f t="shared" si="34"/>
        <v>28.295478952972079</v>
      </c>
      <c r="V151" s="1090">
        <f t="shared" si="36"/>
        <v>10.934195008481694</v>
      </c>
      <c r="W151" s="3284">
        <f t="shared" si="19"/>
        <v>0.8355884480507072</v>
      </c>
      <c r="X151" s="3300"/>
      <c r="Y151" s="3316"/>
      <c r="AA151" s="3301"/>
      <c r="AB151" s="3409"/>
      <c r="AE151" s="1056"/>
    </row>
    <row r="152" spans="1:31" ht="16" thickBot="1" x14ac:dyDescent="0.25">
      <c r="B152" s="2979">
        <f>SUM(H150:H156)</f>
        <v>34.08</v>
      </c>
      <c r="C152" s="1126">
        <v>43250</v>
      </c>
      <c r="D152" s="1212" t="s">
        <v>585</v>
      </c>
      <c r="E152" s="1213"/>
      <c r="F152" s="2637" t="s">
        <v>665</v>
      </c>
      <c r="G152" s="1279">
        <v>4.3495370370370372E-2</v>
      </c>
      <c r="H152" s="1280">
        <v>11.4</v>
      </c>
      <c r="I152" s="1297">
        <f t="shared" si="42"/>
        <v>3.8153833658219624E-3</v>
      </c>
      <c r="J152" s="1132">
        <v>139</v>
      </c>
      <c r="K152" s="1133">
        <v>67</v>
      </c>
      <c r="L152" s="2801">
        <v>218</v>
      </c>
      <c r="M152" s="2823"/>
      <c r="N152" s="1188">
        <f t="shared" si="38"/>
        <v>1.0568163054695563</v>
      </c>
      <c r="O152" s="1135" t="s">
        <v>668</v>
      </c>
      <c r="P152" s="1282" t="str">
        <f>IFERROR(VLOOKUP(F152,Trainingsarten!$A$9:$N$84,12,FALSE),"")</f>
        <v/>
      </c>
      <c r="Q152" s="1283" t="s">
        <v>437</v>
      </c>
      <c r="R152" s="1086" t="str">
        <f>IFERROR(VLOOKUP(F152,Trainingsarten!$A$9:$N$84,14,FALSE),"")</f>
        <v/>
      </c>
      <c r="S152" s="1087">
        <f t="shared" si="39"/>
        <v>1.5683453237410072</v>
      </c>
      <c r="T152" s="1088">
        <f t="shared" si="35"/>
        <v>29.837178867284621</v>
      </c>
      <c r="U152" s="1089">
        <f t="shared" si="34"/>
        <v>29.217015168377507</v>
      </c>
      <c r="V152" s="1090">
        <f t="shared" si="36"/>
        <v>4.6521036078066906</v>
      </c>
      <c r="W152" s="3284">
        <f t="shared" si="19"/>
        <v>1.0212261141438683</v>
      </c>
      <c r="X152" s="3300"/>
      <c r="Y152" s="3316"/>
      <c r="AA152" s="3301"/>
      <c r="AB152" s="3409"/>
      <c r="AE152" s="1056"/>
    </row>
    <row r="153" spans="1:31" x14ac:dyDescent="0.2">
      <c r="B153" s="2980" t="s">
        <v>628</v>
      </c>
      <c r="C153" s="1126">
        <v>43251</v>
      </c>
      <c r="D153" s="1212"/>
      <c r="E153" s="1213"/>
      <c r="F153" s="2637"/>
      <c r="G153" s="1279"/>
      <c r="H153" s="1280" t="str">
        <f>IFERROR(VLOOKUP(F153,Trainingsarten!$A$9:$K$78,10,FALSE),"")</f>
        <v/>
      </c>
      <c r="I153" s="1284"/>
      <c r="J153" s="1132"/>
      <c r="K153" s="1133"/>
      <c r="L153" s="2801"/>
      <c r="M153" s="2823"/>
      <c r="N153" s="1188" t="str">
        <f t="shared" si="38"/>
        <v/>
      </c>
      <c r="O153" s="1135"/>
      <c r="P153" s="1282" t="str">
        <f>IFERROR(VLOOKUP(F153,Trainingsarten!$A$9:$N$84,12,FALSE),"")</f>
        <v/>
      </c>
      <c r="Q153" s="1283" t="s">
        <v>437</v>
      </c>
      <c r="R153" s="1086" t="str">
        <f>IFERROR(VLOOKUP(F153,Trainingsarten!$A$9:$N$84,14,FALSE),"")</f>
        <v/>
      </c>
      <c r="S153" s="1087" t="str">
        <f t="shared" si="39"/>
        <v/>
      </c>
      <c r="T153" s="1088">
        <f t="shared" si="35"/>
        <v>25.574724743386817</v>
      </c>
      <c r="U153" s="1089">
        <f t="shared" si="34"/>
        <v>28.521371950082806</v>
      </c>
      <c r="V153" s="1090">
        <f t="shared" si="36"/>
        <v>-0.62016369890711331</v>
      </c>
      <c r="W153" s="3284">
        <f t="shared" si="19"/>
        <v>0.89668634412632331</v>
      </c>
      <c r="X153" s="3300"/>
      <c r="Y153" s="3316"/>
      <c r="AA153" s="3301"/>
      <c r="AB153" s="3409"/>
      <c r="AE153" s="1056"/>
    </row>
    <row r="154" spans="1:31" ht="16" thickBot="1" x14ac:dyDescent="0.25">
      <c r="B154" s="2981">
        <f>SUM(K150:K156)</f>
        <v>200</v>
      </c>
      <c r="C154" s="1126">
        <v>43252</v>
      </c>
      <c r="D154" s="1212" t="s">
        <v>586</v>
      </c>
      <c r="E154" s="1213"/>
      <c r="F154" s="2637" t="s">
        <v>665</v>
      </c>
      <c r="G154" s="1279">
        <v>4.4780092592592587E-2</v>
      </c>
      <c r="H154" s="1280">
        <v>11.28</v>
      </c>
      <c r="I154" s="1297">
        <f t="shared" si="42"/>
        <v>3.9698663645915417E-3</v>
      </c>
      <c r="J154" s="1132">
        <v>136</v>
      </c>
      <c r="K154" s="1133">
        <v>66</v>
      </c>
      <c r="L154" s="2801">
        <v>214</v>
      </c>
      <c r="M154" s="2823"/>
      <c r="N154" s="1188">
        <f t="shared" si="38"/>
        <v>1.0794300166875259</v>
      </c>
      <c r="O154" s="1135" t="s">
        <v>668</v>
      </c>
      <c r="P154" s="1282" t="str">
        <f>IFERROR(VLOOKUP(F154,Trainingsarten!$A$9:$N$84,12,FALSE),"")</f>
        <v/>
      </c>
      <c r="Q154" s="1283" t="s">
        <v>437</v>
      </c>
      <c r="R154" s="1086" t="str">
        <f>IFERROR(VLOOKUP(F154,Trainingsarten!$A$9:$N$84,14,FALSE),"")</f>
        <v/>
      </c>
      <c r="S154" s="1087">
        <f t="shared" si="39"/>
        <v>1.5735294117647058</v>
      </c>
      <c r="T154" s="1088">
        <f t="shared" si="35"/>
        <v>31.349764065760127</v>
      </c>
      <c r="U154" s="1089">
        <f t="shared" si="34"/>
        <v>29.413720236985597</v>
      </c>
      <c r="V154" s="1090">
        <f t="shared" si="36"/>
        <v>2.9466472066959888</v>
      </c>
      <c r="W154" s="3284">
        <f t="shared" si="19"/>
        <v>1.0658211138603302</v>
      </c>
      <c r="X154" s="3300"/>
      <c r="Y154" s="3316"/>
      <c r="AA154" s="3301"/>
      <c r="AB154" s="3409"/>
      <c r="AE154" s="1056"/>
    </row>
    <row r="155" spans="1:31" x14ac:dyDescent="0.2">
      <c r="B155" s="2982" t="s">
        <v>761</v>
      </c>
      <c r="C155" s="1126">
        <v>43253</v>
      </c>
      <c r="D155" s="1212"/>
      <c r="E155" s="1213"/>
      <c r="F155" s="2637"/>
      <c r="G155" s="1279"/>
      <c r="H155" s="1280" t="str">
        <f>IFERROR(VLOOKUP(F155,Trainingsarten!$A$9:$K$78,10,FALSE),"")</f>
        <v/>
      </c>
      <c r="I155" s="1284"/>
      <c r="J155" s="1132"/>
      <c r="K155" s="1133"/>
      <c r="L155" s="2801"/>
      <c r="M155" s="2823"/>
      <c r="N155" s="1188" t="str">
        <f t="shared" si="38"/>
        <v/>
      </c>
      <c r="O155" s="1135"/>
      <c r="P155" s="1282" t="str">
        <f>IFERROR(VLOOKUP(F155,Trainingsarten!$A$9:$N$84,12,FALSE),"")</f>
        <v/>
      </c>
      <c r="Q155" s="1283" t="s">
        <v>437</v>
      </c>
      <c r="R155" s="1086" t="str">
        <f>IFERROR(VLOOKUP(F155,Trainingsarten!$A$9:$N$84,14,FALSE),"")</f>
        <v/>
      </c>
      <c r="S155" s="1087" t="str">
        <f t="shared" si="39"/>
        <v/>
      </c>
      <c r="T155" s="1088">
        <f t="shared" si="35"/>
        <v>26.871226342080107</v>
      </c>
      <c r="U155" s="1089">
        <f t="shared" si="34"/>
        <v>28.713393564676416</v>
      </c>
      <c r="V155" s="1090">
        <f t="shared" si="36"/>
        <v>-1.9360438287745296</v>
      </c>
      <c r="W155" s="3284">
        <f t="shared" si="19"/>
        <v>0.93584292924321677</v>
      </c>
      <c r="X155" s="3300"/>
      <c r="Y155" s="3316"/>
      <c r="AA155" s="3301"/>
      <c r="AB155" s="3409"/>
      <c r="AE155" s="1056"/>
    </row>
    <row r="156" spans="1:31" ht="16" thickBot="1" x14ac:dyDescent="0.25">
      <c r="B156" s="2983">
        <f>AVERAGE(W150:W156)</f>
        <v>0.88244491030381045</v>
      </c>
      <c r="C156" s="1189">
        <v>43254</v>
      </c>
      <c r="D156" s="1258"/>
      <c r="E156" s="1365"/>
      <c r="F156" s="2626"/>
      <c r="G156" s="1141"/>
      <c r="H156" s="1234" t="str">
        <f>IFERROR(VLOOKUP(F156,Trainingsarten!$A$9:$K$78,10,FALSE),"")</f>
        <v/>
      </c>
      <c r="I156" s="1235"/>
      <c r="J156" s="1236"/>
      <c r="K156" s="1237"/>
      <c r="L156" s="2803"/>
      <c r="M156" s="2826"/>
      <c r="N156" s="1238" t="str">
        <f t="shared" si="38"/>
        <v/>
      </c>
      <c r="O156" s="1148"/>
      <c r="P156" s="1149" t="str">
        <f>IFERROR(VLOOKUP(F156,Trainingsarten!$A$9:$N$84,12,FALSE),"")</f>
        <v/>
      </c>
      <c r="Q156" s="1151" t="s">
        <v>437</v>
      </c>
      <c r="R156" s="1151" t="str">
        <f>IFERROR(VLOOKUP(F156,Trainingsarten!$A$9:$N$84,14,FALSE),"")</f>
        <v/>
      </c>
      <c r="S156" s="1106" t="str">
        <f t="shared" si="39"/>
        <v/>
      </c>
      <c r="T156" s="1239">
        <f t="shared" si="35"/>
        <v>23.032479721782948</v>
      </c>
      <c r="U156" s="1258">
        <f t="shared" si="34"/>
        <v>28.029741336946024</v>
      </c>
      <c r="V156" s="1154">
        <f t="shared" si="36"/>
        <v>1.8421672225963093</v>
      </c>
      <c r="W156" s="3287">
        <f t="shared" si="19"/>
        <v>0.82171574275014159</v>
      </c>
      <c r="X156" s="3300"/>
      <c r="Y156" s="3316"/>
      <c r="AA156" s="3301"/>
      <c r="AB156" s="3409"/>
      <c r="AE156" s="1056"/>
    </row>
    <row r="157" spans="1:31" ht="16" thickBot="1" x14ac:dyDescent="0.25">
      <c r="B157" s="2977">
        <f>B150+1</f>
        <v>23</v>
      </c>
      <c r="C157" s="1190">
        <v>43255</v>
      </c>
      <c r="D157" s="1191"/>
      <c r="E157" s="1192"/>
      <c r="F157" s="2634"/>
      <c r="G157" s="1193"/>
      <c r="H157" s="1287" t="str">
        <f>IFERROR(VLOOKUP(F157,Trainingsarten!$A$9:$K$78,10,FALSE),"")</f>
        <v/>
      </c>
      <c r="I157" s="1288"/>
      <c r="J157" s="1289"/>
      <c r="K157" s="1197"/>
      <c r="L157" s="2800"/>
      <c r="M157" s="2822"/>
      <c r="N157" s="1199" t="str">
        <f t="shared" si="38"/>
        <v/>
      </c>
      <c r="O157" s="1200"/>
      <c r="P157" s="1267" t="str">
        <f>IFERROR(VLOOKUP(F157,Trainingsarten!$A$9:$N$84,12,FALSE),"")</f>
        <v/>
      </c>
      <c r="Q157" s="1202" t="s">
        <v>437</v>
      </c>
      <c r="R157" s="1069" t="str">
        <f>IFERROR(VLOOKUP(F157,Trainingsarten!$A$9:$N$84,14,FALSE),"")</f>
        <v/>
      </c>
      <c r="S157" s="1070" t="str">
        <f t="shared" si="39"/>
        <v/>
      </c>
      <c r="T157" s="1268">
        <f t="shared" si="35"/>
        <v>19.742125475813957</v>
      </c>
      <c r="U157" s="1191">
        <f t="shared" si="34"/>
        <v>27.362366543209216</v>
      </c>
      <c r="V157" s="1073">
        <f t="shared" si="36"/>
        <v>4.997261615163076</v>
      </c>
      <c r="W157" s="3283">
        <f t="shared" si="19"/>
        <v>0.72150650582939257</v>
      </c>
      <c r="X157" s="3300"/>
      <c r="Y157" s="3316"/>
      <c r="AA157" s="3301"/>
      <c r="AB157" s="3409"/>
      <c r="AE157" s="1056"/>
    </row>
    <row r="158" spans="1:31" x14ac:dyDescent="0.2">
      <c r="B158" s="2978" t="s">
        <v>626</v>
      </c>
      <c r="C158" s="1204">
        <v>43256</v>
      </c>
      <c r="D158" s="1089" t="s">
        <v>587</v>
      </c>
      <c r="E158" s="1205"/>
      <c r="F158" s="2622" t="s">
        <v>665</v>
      </c>
      <c r="G158" s="1166">
        <v>3.6608796296296299E-2</v>
      </c>
      <c r="H158" s="1167">
        <v>9.3699999999999992</v>
      </c>
      <c r="I158" s="1298">
        <f t="shared" ref="I158:I161" si="43">G158/H158</f>
        <v>3.907022016680502E-3</v>
      </c>
      <c r="J158" s="1169">
        <v>134</v>
      </c>
      <c r="K158" s="1206">
        <v>55</v>
      </c>
      <c r="L158" s="2801">
        <v>217</v>
      </c>
      <c r="M158" s="2823"/>
      <c r="N158" s="1208">
        <f t="shared" si="38"/>
        <v>1.0772349174461677</v>
      </c>
      <c r="O158" s="1209" t="s">
        <v>668</v>
      </c>
      <c r="P158" s="1136" t="str">
        <f>IFERROR(VLOOKUP(F158,Trainingsarten!$A$9:$N$84,12,FALSE),"")</f>
        <v/>
      </c>
      <c r="Q158" s="1137" t="s">
        <v>437</v>
      </c>
      <c r="R158" s="1086" t="str">
        <f>IFERROR(VLOOKUP(F158,Trainingsarten!$A$9:$N$84,14,FALSE),"")</f>
        <v/>
      </c>
      <c r="S158" s="1087">
        <f t="shared" si="39"/>
        <v>1.6194029850746268</v>
      </c>
      <c r="T158" s="1210">
        <f t="shared" si="35"/>
        <v>24.778964693554819</v>
      </c>
      <c r="U158" s="1089">
        <f t="shared" si="34"/>
        <v>28.020405435037567</v>
      </c>
      <c r="V158" s="1259">
        <f t="shared" si="36"/>
        <v>7.6202410673952592</v>
      </c>
      <c r="W158" s="3284">
        <f t="shared" si="19"/>
        <v>0.88431856387668284</v>
      </c>
      <c r="X158" s="3300"/>
      <c r="Y158" s="3316"/>
      <c r="AA158" s="3301"/>
      <c r="AB158" s="3409"/>
      <c r="AE158" s="1056"/>
    </row>
    <row r="159" spans="1:31" ht="16" thickBot="1" x14ac:dyDescent="0.25">
      <c r="B159" s="2979">
        <f>SUM(H157:H163)</f>
        <v>49.83</v>
      </c>
      <c r="C159" s="1211">
        <v>43257</v>
      </c>
      <c r="D159" s="1089" t="s">
        <v>588</v>
      </c>
      <c r="E159" s="1205"/>
      <c r="F159" s="2622" t="s">
        <v>640</v>
      </c>
      <c r="G159" s="1166">
        <v>4.9594907407407407E-2</v>
      </c>
      <c r="H159" s="1167">
        <v>12.9</v>
      </c>
      <c r="I159" s="1298">
        <f t="shared" si="43"/>
        <v>3.8445664656904964E-3</v>
      </c>
      <c r="J159" s="1169">
        <v>136</v>
      </c>
      <c r="K159" s="1206">
        <v>74</v>
      </c>
      <c r="L159" s="2801">
        <v>217</v>
      </c>
      <c r="M159" s="2823"/>
      <c r="N159" s="1208">
        <f t="shared" si="38"/>
        <v>1.0600148198814408</v>
      </c>
      <c r="O159" s="1209" t="s">
        <v>668</v>
      </c>
      <c r="P159" s="1136" t="str">
        <f>IFERROR(VLOOKUP(F159,Trainingsarten!$A$9:$N$84,12,FALSE),"")</f>
        <v/>
      </c>
      <c r="Q159" s="1137" t="s">
        <v>437</v>
      </c>
      <c r="R159" s="1086" t="str">
        <f>IFERROR(VLOOKUP(F159,Trainingsarten!$A$9:$N$84,14,FALSE),"")</f>
        <v/>
      </c>
      <c r="S159" s="1087">
        <f t="shared" si="39"/>
        <v>1.5955882352941178</v>
      </c>
      <c r="T159" s="1210">
        <f t="shared" si="35"/>
        <v>31.81054116590413</v>
      </c>
      <c r="U159" s="1089">
        <f t="shared" si="34"/>
        <v>29.11515768658429</v>
      </c>
      <c r="V159" s="1259">
        <f t="shared" si="36"/>
        <v>3.241440741482748</v>
      </c>
      <c r="W159" s="3284">
        <f t="shared" ref="W159:W222" si="44">T159/U159</f>
        <v>1.0925766402619148</v>
      </c>
      <c r="X159" s="3300"/>
      <c r="Y159" s="3316"/>
      <c r="AA159" s="3301"/>
      <c r="AB159" s="3409"/>
      <c r="AE159" s="1056"/>
    </row>
    <row r="160" spans="1:31" x14ac:dyDescent="0.2">
      <c r="B160" s="2980" t="s">
        <v>628</v>
      </c>
      <c r="C160" s="1211">
        <v>43258</v>
      </c>
      <c r="D160" s="1212"/>
      <c r="E160" s="1213"/>
      <c r="F160" s="2622"/>
      <c r="G160" s="1166"/>
      <c r="H160" s="1167" t="str">
        <f>IFERROR(VLOOKUP(F160,Trainingsarten!$A$9:$K$78,10,FALSE),"")</f>
        <v/>
      </c>
      <c r="I160" s="1168"/>
      <c r="J160" s="1169"/>
      <c r="K160" s="1206"/>
      <c r="L160" s="2801"/>
      <c r="M160" s="2823"/>
      <c r="N160" s="1208" t="str">
        <f t="shared" si="38"/>
        <v/>
      </c>
      <c r="O160" s="1209"/>
      <c r="P160" s="1136" t="str">
        <f>IFERROR(VLOOKUP(F160,Trainingsarten!$A$9:$N$84,12,FALSE),"")</f>
        <v/>
      </c>
      <c r="Q160" s="1137" t="s">
        <v>437</v>
      </c>
      <c r="R160" s="1086" t="str">
        <f>IFERROR(VLOOKUP(F160,Trainingsarten!$A$9:$N$84,14,FALSE),"")</f>
        <v/>
      </c>
      <c r="S160" s="1087" t="str">
        <f t="shared" si="39"/>
        <v/>
      </c>
      <c r="T160" s="1210">
        <f t="shared" si="35"/>
        <v>27.26617814220354</v>
      </c>
      <c r="U160" s="1089">
        <f t="shared" si="34"/>
        <v>28.421939646427521</v>
      </c>
      <c r="V160" s="1259">
        <f t="shared" si="36"/>
        <v>-2.6953834793198403</v>
      </c>
      <c r="W160" s="3284">
        <f t="shared" si="44"/>
        <v>0.95933558657143747</v>
      </c>
      <c r="X160" s="3300"/>
      <c r="Y160" s="3316"/>
      <c r="AA160" s="3301"/>
      <c r="AB160" s="3409"/>
      <c r="AE160" s="1056"/>
    </row>
    <row r="161" spans="2:31" ht="16" thickBot="1" x14ac:dyDescent="0.25">
      <c r="B161" s="2981">
        <f>SUM(K157:K163)</f>
        <v>292</v>
      </c>
      <c r="C161" s="1211">
        <v>43259</v>
      </c>
      <c r="D161" s="1089" t="s">
        <v>589</v>
      </c>
      <c r="E161" s="1205"/>
      <c r="F161" s="2622" t="s">
        <v>650</v>
      </c>
      <c r="G161" s="1166">
        <v>4.7280092592592589E-2</v>
      </c>
      <c r="H161" s="1167">
        <v>14.3</v>
      </c>
      <c r="I161" s="1298">
        <f t="shared" si="43"/>
        <v>3.3063001813001809E-3</v>
      </c>
      <c r="J161" s="1169">
        <v>157</v>
      </c>
      <c r="K161" s="1206">
        <v>91</v>
      </c>
      <c r="L161" s="2801">
        <v>242</v>
      </c>
      <c r="M161" s="2823"/>
      <c r="N161" s="1208">
        <f t="shared" si="38"/>
        <v>1.0166289592760178</v>
      </c>
      <c r="O161" s="1209" t="s">
        <v>483</v>
      </c>
      <c r="P161" s="1136" t="str">
        <f>IFERROR(VLOOKUP(F161,Trainingsarten!$A$9:$N$84,12,FALSE),"")</f>
        <v/>
      </c>
      <c r="Q161" s="1137" t="s">
        <v>437</v>
      </c>
      <c r="R161" s="1086" t="str">
        <f>IFERROR(VLOOKUP(F161,Trainingsarten!$A$9:$N$84,14,FALSE),"")</f>
        <v/>
      </c>
      <c r="S161" s="1087">
        <f t="shared" si="39"/>
        <v>1.5414012738853504</v>
      </c>
      <c r="T161" s="1210">
        <f t="shared" si="35"/>
        <v>36.371009836174466</v>
      </c>
      <c r="U161" s="1089">
        <f t="shared" si="34"/>
        <v>29.911893464369722</v>
      </c>
      <c r="V161" s="1259">
        <f t="shared" si="36"/>
        <v>1.1557615042239817</v>
      </c>
      <c r="W161" s="3284">
        <f t="shared" si="44"/>
        <v>1.2159380642184581</v>
      </c>
      <c r="X161" s="3300"/>
      <c r="Y161" s="3316"/>
      <c r="AA161" s="3301"/>
      <c r="AB161" s="3409"/>
      <c r="AE161" s="1056"/>
    </row>
    <row r="162" spans="2:31" x14ac:dyDescent="0.2">
      <c r="B162" s="2982" t="s">
        <v>761</v>
      </c>
      <c r="C162" s="1211">
        <v>43260</v>
      </c>
      <c r="D162" s="1089"/>
      <c r="E162" s="1205"/>
      <c r="F162" s="2622"/>
      <c r="G162" s="1166"/>
      <c r="H162" s="1167" t="str">
        <f>IFERROR(VLOOKUP(F162,Trainingsarten!$A$9:$K$78,10,FALSE),"")</f>
        <v/>
      </c>
      <c r="I162" s="1168"/>
      <c r="J162" s="1169"/>
      <c r="K162" s="1206"/>
      <c r="L162" s="2801"/>
      <c r="M162" s="2823"/>
      <c r="N162" s="1208" t="str">
        <f t="shared" si="38"/>
        <v/>
      </c>
      <c r="O162" s="1209"/>
      <c r="P162" s="1136" t="str">
        <f>IFERROR(VLOOKUP(F162,Trainingsarten!$A$9:$N$84,12,FALSE),"")</f>
        <v/>
      </c>
      <c r="Q162" s="1137" t="s">
        <v>437</v>
      </c>
      <c r="R162" s="1086" t="str">
        <f>IFERROR(VLOOKUP(F162,Trainingsarten!$A$9:$N$84,14,FALSE),"")</f>
        <v/>
      </c>
      <c r="S162" s="1087" t="str">
        <f t="shared" si="39"/>
        <v/>
      </c>
      <c r="T162" s="1210">
        <f t="shared" si="35"/>
        <v>31.175151288149543</v>
      </c>
      <c r="U162" s="1089">
        <f t="shared" si="34"/>
        <v>29.199705524741873</v>
      </c>
      <c r="V162" s="1259">
        <f t="shared" si="36"/>
        <v>-6.4591163718047433</v>
      </c>
      <c r="W162" s="3284">
        <f t="shared" si="44"/>
        <v>1.0676529344357193</v>
      </c>
      <c r="X162" s="3300"/>
      <c r="Y162" s="3316"/>
      <c r="AA162" s="3301"/>
      <c r="AB162" s="3409"/>
      <c r="AE162" s="1056"/>
    </row>
    <row r="163" spans="2:31" ht="16" thickBot="1" x14ac:dyDescent="0.25">
      <c r="B163" s="2983">
        <f>AVERAGE(W157:W163)</f>
        <v>1.0237105605752164</v>
      </c>
      <c r="C163" s="1260">
        <v>43261</v>
      </c>
      <c r="D163" s="1108" t="s">
        <v>590</v>
      </c>
      <c r="E163" s="1261"/>
      <c r="F163" s="2635" t="s">
        <v>641</v>
      </c>
      <c r="G163" s="1217">
        <v>5.4039351851851852E-2</v>
      </c>
      <c r="H163" s="1366">
        <v>13.26</v>
      </c>
      <c r="I163" s="1363">
        <f t="shared" ref="I163" si="45">G163/H163</f>
        <v>4.0753659013462937E-3</v>
      </c>
      <c r="J163" s="1367">
        <v>132</v>
      </c>
      <c r="K163" s="1221">
        <v>72</v>
      </c>
      <c r="L163" s="2802">
        <v>205</v>
      </c>
      <c r="M163" s="2824"/>
      <c r="N163" s="1223">
        <f t="shared" si="38"/>
        <v>1.0615129535977286</v>
      </c>
      <c r="O163" s="1224" t="s">
        <v>668</v>
      </c>
      <c r="P163" s="1225" t="str">
        <f>IFERROR(VLOOKUP(F163,Trainingsarten!$A$9:$N$84,12,FALSE),"")</f>
        <v/>
      </c>
      <c r="Q163" s="1226" t="s">
        <v>437</v>
      </c>
      <c r="R163" s="1105" t="str">
        <f>IFERROR(VLOOKUP(F163,Trainingsarten!$A$9:$N$84,14,FALSE),"")</f>
        <v/>
      </c>
      <c r="S163" s="1106">
        <f t="shared" si="39"/>
        <v>1.553030303030303</v>
      </c>
      <c r="T163" s="1227">
        <f t="shared" si="35"/>
        <v>37.007272532699609</v>
      </c>
      <c r="U163" s="1108">
        <f t="shared" si="34"/>
        <v>30.218760155105162</v>
      </c>
      <c r="V163" s="1109">
        <f t="shared" si="36"/>
        <v>-1.9754457634076701</v>
      </c>
      <c r="W163" s="3285">
        <f t="shared" si="44"/>
        <v>1.2246456288329088</v>
      </c>
      <c r="X163" s="3300"/>
      <c r="Y163" s="3316"/>
      <c r="AA163" s="3301"/>
      <c r="AB163" s="3409"/>
      <c r="AE163" s="1056"/>
    </row>
    <row r="164" spans="2:31" ht="16" thickBot="1" x14ac:dyDescent="0.25">
      <c r="B164" s="2977">
        <f>B157+1</f>
        <v>24</v>
      </c>
      <c r="C164" s="1110">
        <v>43262</v>
      </c>
      <c r="D164" s="1111"/>
      <c r="E164" s="1112"/>
      <c r="F164" s="2618"/>
      <c r="G164" s="1113"/>
      <c r="H164" s="1229" t="str">
        <f>IFERROR(VLOOKUP(F164,Trainingsarten!$A$9:$K$78,10,FALSE),"")</f>
        <v/>
      </c>
      <c r="I164" s="1230"/>
      <c r="J164" s="1231"/>
      <c r="K164" s="1117"/>
      <c r="L164" s="1118"/>
      <c r="M164" s="2825"/>
      <c r="N164" s="1119" t="str">
        <f t="shared" si="38"/>
        <v/>
      </c>
      <c r="O164" s="1120"/>
      <c r="P164" s="1277" t="str">
        <f>IFERROR(VLOOKUP(F164,Trainingsarten!$A$9:$N$84,12,FALSE),"")</f>
        <v/>
      </c>
      <c r="Q164" s="1122" t="s">
        <v>437</v>
      </c>
      <c r="R164" s="1122" t="str">
        <f>IFERROR(VLOOKUP(F164,Trainingsarten!$A$9:$N$84,14,FALSE),"")</f>
        <v/>
      </c>
      <c r="S164" s="1070" t="str">
        <f t="shared" si="39"/>
        <v/>
      </c>
      <c r="T164" s="1278">
        <f t="shared" si="35"/>
        <v>31.720519313742521</v>
      </c>
      <c r="U164" s="1111">
        <f t="shared" si="34"/>
        <v>29.499265865697897</v>
      </c>
      <c r="V164" s="1296">
        <f t="shared" si="36"/>
        <v>-6.7885123775944471</v>
      </c>
      <c r="W164" s="3286">
        <f t="shared" si="44"/>
        <v>1.0752986009264565</v>
      </c>
      <c r="X164" s="3300"/>
      <c r="Y164" s="3316"/>
      <c r="AA164" s="3301"/>
      <c r="AB164" s="3409"/>
      <c r="AE164" s="1056"/>
    </row>
    <row r="165" spans="2:31" x14ac:dyDescent="0.2">
      <c r="B165" s="2978" t="s">
        <v>626</v>
      </c>
      <c r="C165" s="1126">
        <v>43263</v>
      </c>
      <c r="D165" s="1212" t="s">
        <v>591</v>
      </c>
      <c r="E165" s="1213"/>
      <c r="F165" s="2632" t="s">
        <v>795</v>
      </c>
      <c r="G165" s="1279">
        <v>2.4594907407407409E-2</v>
      </c>
      <c r="H165" s="1280">
        <v>5.86</v>
      </c>
      <c r="I165" s="1297">
        <f t="shared" ref="I165:I186" si="46">G165/H165</f>
        <v>4.1970831753254962E-3</v>
      </c>
      <c r="J165" s="1132">
        <v>146</v>
      </c>
      <c r="K165" s="1133">
        <v>39</v>
      </c>
      <c r="L165" s="2801">
        <v>196</v>
      </c>
      <c r="M165" s="2823"/>
      <c r="N165" s="1188">
        <f t="shared" si="38"/>
        <v>1.045221843003413</v>
      </c>
      <c r="O165" s="1135" t="s">
        <v>483</v>
      </c>
      <c r="P165" s="1282" t="str">
        <f>IFERROR(VLOOKUP(F165,Trainingsarten!$A$9:$N$84,12,FALSE),"")</f>
        <v/>
      </c>
      <c r="Q165" s="1283" t="s">
        <v>437</v>
      </c>
      <c r="R165" s="1086" t="str">
        <f>IFERROR(VLOOKUP(F165,Trainingsarten!$A$9:$N$84,14,FALSE),"")</f>
        <v/>
      </c>
      <c r="S165" s="1087">
        <f t="shared" si="39"/>
        <v>1.3424657534246576</v>
      </c>
      <c r="T165" s="1088">
        <f t="shared" si="35"/>
        <v>32.760445126065015</v>
      </c>
      <c r="U165" s="1089">
        <f t="shared" si="34"/>
        <v>29.72547382127652</v>
      </c>
      <c r="V165" s="1090">
        <f t="shared" si="36"/>
        <v>-2.2212534480446244</v>
      </c>
      <c r="W165" s="3284">
        <f t="shared" si="44"/>
        <v>1.102100014386185</v>
      </c>
      <c r="X165" s="3300"/>
      <c r="Y165" s="3316"/>
      <c r="AA165" s="3301"/>
      <c r="AB165" s="3409"/>
      <c r="AE165" s="1056"/>
    </row>
    <row r="166" spans="2:31" ht="16" thickBot="1" x14ac:dyDescent="0.25">
      <c r="B166" s="2979">
        <f>SUM(H164:H170)</f>
        <v>55.89</v>
      </c>
      <c r="C166" s="1126">
        <v>43264</v>
      </c>
      <c r="D166" s="1212" t="s">
        <v>592</v>
      </c>
      <c r="E166" s="1213"/>
      <c r="F166" s="2632" t="s">
        <v>665</v>
      </c>
      <c r="G166" s="1279">
        <v>3.5868055555555556E-2</v>
      </c>
      <c r="H166" s="1280">
        <v>9.83</v>
      </c>
      <c r="I166" s="1297">
        <f t="shared" si="46"/>
        <v>3.6488357635356618E-3</v>
      </c>
      <c r="J166" s="1132">
        <v>141</v>
      </c>
      <c r="K166" s="1133">
        <v>60</v>
      </c>
      <c r="L166" s="2801">
        <v>228</v>
      </c>
      <c r="M166" s="2823"/>
      <c r="N166" s="1188">
        <f t="shared" si="38"/>
        <v>1.0570462569564958</v>
      </c>
      <c r="O166" s="1135"/>
      <c r="P166" s="1282" t="str">
        <f>IFERROR(VLOOKUP(F166,Trainingsarten!$A$9:$N$84,12,FALSE),"")</f>
        <v/>
      </c>
      <c r="Q166" s="1283" t="s">
        <v>437</v>
      </c>
      <c r="R166" s="1086" t="str">
        <f>IFERROR(VLOOKUP(F166,Trainingsarten!$A$9:$N$84,14,FALSE),"")</f>
        <v/>
      </c>
      <c r="S166" s="1087">
        <f t="shared" si="39"/>
        <v>1.6170212765957446</v>
      </c>
      <c r="T166" s="1088">
        <f t="shared" si="35"/>
        <v>36.651810108055727</v>
      </c>
      <c r="U166" s="1089">
        <f t="shared" si="34"/>
        <v>30.446295873150888</v>
      </c>
      <c r="V166" s="1090">
        <f t="shared" si="36"/>
        <v>-3.0349713047884954</v>
      </c>
      <c r="W166" s="3284">
        <f t="shared" si="44"/>
        <v>1.2038183646627825</v>
      </c>
      <c r="X166" s="3300"/>
      <c r="Y166" s="3316"/>
      <c r="AA166" s="3301"/>
      <c r="AB166" s="3409"/>
      <c r="AE166" s="1056"/>
    </row>
    <row r="167" spans="2:31" x14ac:dyDescent="0.2">
      <c r="B167" s="2980" t="s">
        <v>628</v>
      </c>
      <c r="C167" s="1126">
        <v>43265</v>
      </c>
      <c r="D167" s="1212"/>
      <c r="E167" s="1213"/>
      <c r="F167" s="2632"/>
      <c r="G167" s="1279"/>
      <c r="H167" s="1280" t="str">
        <f>IFERROR(VLOOKUP(F167,Trainingsarten!$A$9:$K$78,10,FALSE),"")</f>
        <v/>
      </c>
      <c r="I167" s="1284"/>
      <c r="J167" s="1132"/>
      <c r="K167" s="1133"/>
      <c r="L167" s="2801"/>
      <c r="M167" s="2823"/>
      <c r="N167" s="1188" t="str">
        <f t="shared" si="38"/>
        <v/>
      </c>
      <c r="O167" s="1135"/>
      <c r="P167" s="1282" t="str">
        <f>IFERROR(VLOOKUP(F167,Trainingsarten!$A$9:$N$84,12,FALSE),"")</f>
        <v/>
      </c>
      <c r="Q167" s="1283" t="s">
        <v>437</v>
      </c>
      <c r="R167" s="1086" t="str">
        <f>IFERROR(VLOOKUP(F167,Trainingsarten!$A$9:$N$84,14,FALSE),"")</f>
        <v/>
      </c>
      <c r="S167" s="1087" t="str">
        <f t="shared" si="39"/>
        <v/>
      </c>
      <c r="T167" s="1088">
        <f t="shared" si="35"/>
        <v>31.415837235476339</v>
      </c>
      <c r="U167" s="1089">
        <f t="shared" si="34"/>
        <v>29.721384066647296</v>
      </c>
      <c r="V167" s="1090">
        <f t="shared" si="36"/>
        <v>-6.2055142349048396</v>
      </c>
      <c r="W167" s="3284">
        <f t="shared" si="44"/>
        <v>1.0570112470209798</v>
      </c>
      <c r="X167" s="3300"/>
      <c r="Y167" s="3316"/>
      <c r="AA167" s="3301"/>
      <c r="AB167" s="3409"/>
      <c r="AE167" s="1056"/>
    </row>
    <row r="168" spans="2:31" ht="16" thickBot="1" x14ac:dyDescent="0.25">
      <c r="B168" s="2981">
        <f>SUM(K164:K170)</f>
        <v>322</v>
      </c>
      <c r="C168" s="1126">
        <v>43266</v>
      </c>
      <c r="D168" s="1212" t="s">
        <v>593</v>
      </c>
      <c r="E168" s="1213"/>
      <c r="F168" s="2632" t="s">
        <v>640</v>
      </c>
      <c r="G168" s="1279">
        <v>4.8125000000000001E-2</v>
      </c>
      <c r="H168" s="1280">
        <v>12.1</v>
      </c>
      <c r="I168" s="1297">
        <f t="shared" si="46"/>
        <v>3.9772727272727277E-3</v>
      </c>
      <c r="J168" s="1132">
        <v>127</v>
      </c>
      <c r="K168" s="1133">
        <v>70</v>
      </c>
      <c r="L168" s="2801">
        <v>212</v>
      </c>
      <c r="M168" s="2823"/>
      <c r="N168" s="1188">
        <f t="shared" si="38"/>
        <v>1.0713368983957219</v>
      </c>
      <c r="O168" s="1135" t="s">
        <v>668</v>
      </c>
      <c r="P168" s="1282" t="str">
        <f>IFERROR(VLOOKUP(F168,Trainingsarten!$A$9:$N$84,12,FALSE),"")</f>
        <v/>
      </c>
      <c r="Q168" s="1283" t="s">
        <v>437</v>
      </c>
      <c r="R168" s="1086" t="str">
        <f>IFERROR(VLOOKUP(F168,Trainingsarten!$A$9:$N$84,14,FALSE),"")</f>
        <v/>
      </c>
      <c r="S168" s="1087">
        <f t="shared" si="39"/>
        <v>1.6692913385826771</v>
      </c>
      <c r="T168" s="1088">
        <f t="shared" si="35"/>
        <v>36.92786048755115</v>
      </c>
      <c r="U168" s="1089">
        <f t="shared" si="34"/>
        <v>30.680398731727124</v>
      </c>
      <c r="V168" s="1090">
        <f t="shared" si="36"/>
        <v>-1.6944531688290425</v>
      </c>
      <c r="W168" s="3284">
        <f t="shared" si="44"/>
        <v>1.2036303964121373</v>
      </c>
      <c r="X168" s="3300"/>
      <c r="Y168" s="3316"/>
      <c r="AA168" s="3301"/>
      <c r="AB168" s="3409"/>
      <c r="AE168" s="1056"/>
    </row>
    <row r="169" spans="2:31" x14ac:dyDescent="0.2">
      <c r="B169" s="2982" t="s">
        <v>761</v>
      </c>
      <c r="C169" s="1126">
        <v>43267</v>
      </c>
      <c r="D169" s="1212" t="s">
        <v>594</v>
      </c>
      <c r="E169" s="1213"/>
      <c r="F169" s="2632" t="s">
        <v>665</v>
      </c>
      <c r="G169" s="1279">
        <v>4.7002314814814816E-2</v>
      </c>
      <c r="H169" s="1280">
        <v>11.5</v>
      </c>
      <c r="I169" s="1297">
        <f t="shared" si="46"/>
        <v>4.0871578099838969E-3</v>
      </c>
      <c r="J169" s="1132">
        <v>146</v>
      </c>
      <c r="K169" s="1133">
        <v>64</v>
      </c>
      <c r="L169" s="2801">
        <v>206</v>
      </c>
      <c r="M169" s="2823"/>
      <c r="N169" s="1188">
        <f t="shared" si="38"/>
        <v>1.0697774936061382</v>
      </c>
      <c r="O169" s="1135" t="s">
        <v>668</v>
      </c>
      <c r="P169" s="1282" t="str">
        <f>IFERROR(VLOOKUP(F169,Trainingsarten!$A$9:$N$84,12,FALSE),"")</f>
        <v/>
      </c>
      <c r="Q169" s="1283" t="s">
        <v>437</v>
      </c>
      <c r="R169" s="1086" t="str">
        <f>IFERROR(VLOOKUP(F169,Trainingsarten!$A$9:$N$84,14,FALSE),"")</f>
        <v/>
      </c>
      <c r="S169" s="1087">
        <f t="shared" si="39"/>
        <v>1.4109589041095891</v>
      </c>
      <c r="T169" s="1088">
        <f t="shared" si="35"/>
        <v>40.795308989329556</v>
      </c>
      <c r="U169" s="1089">
        <f t="shared" si="34"/>
        <v>31.473722571447908</v>
      </c>
      <c r="V169" s="1090">
        <f t="shared" si="36"/>
        <v>-6.2474617558240269</v>
      </c>
      <c r="W169" s="3284">
        <f t="shared" si="44"/>
        <v>1.2961704449392946</v>
      </c>
      <c r="X169" s="3300"/>
      <c r="Y169" s="3316"/>
      <c r="AA169" s="3301"/>
      <c r="AB169" s="3409"/>
      <c r="AE169" s="1056"/>
    </row>
    <row r="170" spans="2:31" ht="16" thickBot="1" x14ac:dyDescent="0.25">
      <c r="B170" s="2983">
        <f>AVERAGE(W164:W170)</f>
        <v>1.1985454931892447</v>
      </c>
      <c r="C170" s="1189">
        <v>43268</v>
      </c>
      <c r="D170" s="1258" t="s">
        <v>595</v>
      </c>
      <c r="E170" s="1365"/>
      <c r="F170" s="2620" t="s">
        <v>642</v>
      </c>
      <c r="G170" s="1141">
        <v>6.5104166666666671E-2</v>
      </c>
      <c r="H170" s="1234">
        <v>16.600000000000001</v>
      </c>
      <c r="I170" s="1235">
        <f t="shared" si="46"/>
        <v>3.9219377510040163E-3</v>
      </c>
      <c r="J170" s="1236">
        <v>147</v>
      </c>
      <c r="K170" s="1237">
        <v>89</v>
      </c>
      <c r="L170" s="2803">
        <v>207</v>
      </c>
      <c r="M170" s="2826"/>
      <c r="N170" s="1238">
        <f t="shared" si="38"/>
        <v>1.0315157689581858</v>
      </c>
      <c r="O170" s="1148" t="s">
        <v>487</v>
      </c>
      <c r="P170" s="1149" t="str">
        <f>IFERROR(VLOOKUP(F170,Trainingsarten!$A$9:$N$84,12,FALSE),"")</f>
        <v/>
      </c>
      <c r="Q170" s="1151" t="s">
        <v>437</v>
      </c>
      <c r="R170" s="1151" t="str">
        <f>IFERROR(VLOOKUP(F170,Trainingsarten!$A$9:$N$84,14,FALSE),"")</f>
        <v/>
      </c>
      <c r="S170" s="1106">
        <f t="shared" si="39"/>
        <v>1.4081632653061225</v>
      </c>
      <c r="T170" s="1239">
        <f t="shared" si="35"/>
        <v>47.681693419425336</v>
      </c>
      <c r="U170" s="1258">
        <f t="shared" si="34"/>
        <v>32.843395843556294</v>
      </c>
      <c r="V170" s="1154">
        <f t="shared" si="36"/>
        <v>-9.3215864178816474</v>
      </c>
      <c r="W170" s="3287">
        <f t="shared" si="44"/>
        <v>1.4517893839768776</v>
      </c>
      <c r="X170" s="3300"/>
      <c r="Y170" s="3316"/>
      <c r="AA170" s="3301"/>
      <c r="AB170" s="3409"/>
      <c r="AE170" s="1056"/>
    </row>
    <row r="171" spans="2:31" ht="16" thickBot="1" x14ac:dyDescent="0.25">
      <c r="B171" s="2977">
        <f>B164+1</f>
        <v>25</v>
      </c>
      <c r="C171" s="1190">
        <v>43269</v>
      </c>
      <c r="D171" s="1191"/>
      <c r="E171" s="1192"/>
      <c r="F171" s="2634"/>
      <c r="G171" s="1193"/>
      <c r="H171" s="1287" t="str">
        <f>IFERROR(VLOOKUP(F171,Trainingsarten!$A$9:$K$78,10,FALSE),"")</f>
        <v/>
      </c>
      <c r="I171" s="1288"/>
      <c r="J171" s="1289"/>
      <c r="K171" s="1197"/>
      <c r="L171" s="2800"/>
      <c r="M171" s="2822"/>
      <c r="N171" s="1199" t="str">
        <f t="shared" ref="N171:N190" si="47">IFERROR((L171/68)/(1/(I171*24)/3.6),"")</f>
        <v/>
      </c>
      <c r="O171" s="1200"/>
      <c r="P171" s="1267" t="str">
        <f>IFERROR(VLOOKUP(F171,Trainingsarten!$A$9:$N$84,12,FALSE),"")</f>
        <v/>
      </c>
      <c r="Q171" s="1202" t="s">
        <v>437</v>
      </c>
      <c r="R171" s="1069" t="str">
        <f>IFERROR(VLOOKUP(F171,Trainingsarten!$A$9:$N$84,14,FALSE),"")</f>
        <v/>
      </c>
      <c r="S171" s="1070" t="str">
        <f t="shared" ref="S171:S190" si="48">IFERROR(L171/J171,"")</f>
        <v/>
      </c>
      <c r="T171" s="1268">
        <f t="shared" si="35"/>
        <v>40.870022930936003</v>
      </c>
      <c r="U171" s="1191">
        <f t="shared" si="34"/>
        <v>32.061410228233527</v>
      </c>
      <c r="V171" s="1244">
        <f t="shared" si="36"/>
        <v>-14.838297575869042</v>
      </c>
      <c r="W171" s="3283">
        <f t="shared" si="44"/>
        <v>1.2747418981260388</v>
      </c>
      <c r="X171" s="3300"/>
      <c r="Y171" s="3316"/>
      <c r="AA171" s="3301"/>
      <c r="AB171" s="3409"/>
      <c r="AE171" s="1056"/>
    </row>
    <row r="172" spans="2:31" x14ac:dyDescent="0.2">
      <c r="B172" s="2978" t="s">
        <v>626</v>
      </c>
      <c r="C172" s="1204">
        <v>43270</v>
      </c>
      <c r="D172" s="1089" t="s">
        <v>663</v>
      </c>
      <c r="E172" s="1205"/>
      <c r="F172" s="2622" t="s">
        <v>793</v>
      </c>
      <c r="G172" s="1166">
        <v>2.7650462962962963E-2</v>
      </c>
      <c r="H172" s="1167">
        <v>6.85</v>
      </c>
      <c r="I172" s="1298">
        <f t="shared" si="46"/>
        <v>4.0365639361989733E-3</v>
      </c>
      <c r="J172" s="1169">
        <v>143</v>
      </c>
      <c r="K172" s="1206">
        <v>46</v>
      </c>
      <c r="L172" s="2801">
        <v>199</v>
      </c>
      <c r="M172" s="2823"/>
      <c r="N172" s="1208">
        <f t="shared" si="47"/>
        <v>1.0206333190210393</v>
      </c>
      <c r="O172" s="1209" t="s">
        <v>483</v>
      </c>
      <c r="P172" s="1136" t="str">
        <f>IFERROR(VLOOKUP(F172,Trainingsarten!$A$9:$N$84,12,FALSE),"")</f>
        <v/>
      </c>
      <c r="Q172" s="1137" t="s">
        <v>437</v>
      </c>
      <c r="R172" s="1086" t="str">
        <f>IFERROR(VLOOKUP(F172,Trainingsarten!$A$9:$N$84,14,FALSE),"")</f>
        <v/>
      </c>
      <c r="S172" s="1087">
        <f t="shared" si="48"/>
        <v>1.3916083916083917</v>
      </c>
      <c r="T172" s="1210">
        <f t="shared" si="35"/>
        <v>41.602876797945143</v>
      </c>
      <c r="U172" s="1089">
        <f t="shared" si="34"/>
        <v>32.393281413275588</v>
      </c>
      <c r="V172" s="1259">
        <f t="shared" si="36"/>
        <v>-8.8086127027024759</v>
      </c>
      <c r="W172" s="3284">
        <f t="shared" si="44"/>
        <v>1.2843057258439778</v>
      </c>
      <c r="X172" s="3300"/>
      <c r="Y172" s="3316"/>
      <c r="AA172" s="3301"/>
      <c r="AB172" s="3409"/>
      <c r="AE172" s="1056"/>
    </row>
    <row r="173" spans="2:31" ht="16" thickBot="1" x14ac:dyDescent="0.25">
      <c r="B173" s="2979">
        <f>SUM(H171:H177)</f>
        <v>55.33</v>
      </c>
      <c r="C173" s="1211">
        <v>43271</v>
      </c>
      <c r="D173" s="1089" t="s">
        <v>596</v>
      </c>
      <c r="E173" s="1205"/>
      <c r="F173" s="2622" t="s">
        <v>665</v>
      </c>
      <c r="G173" s="1166">
        <v>4.4513888888888888E-2</v>
      </c>
      <c r="H173" s="1167">
        <v>11.3</v>
      </c>
      <c r="I173" s="1298">
        <f t="shared" si="46"/>
        <v>3.9392822025565381E-3</v>
      </c>
      <c r="J173" s="1169">
        <v>130</v>
      </c>
      <c r="K173" s="1206">
        <v>64</v>
      </c>
      <c r="L173" s="2801">
        <v>211</v>
      </c>
      <c r="M173" s="2823"/>
      <c r="N173" s="1208">
        <f t="shared" si="47"/>
        <v>1.0560983862571576</v>
      </c>
      <c r="O173" s="1209" t="s">
        <v>668</v>
      </c>
      <c r="P173" s="1136" t="str">
        <f>IFERROR(VLOOKUP(F173,Trainingsarten!$A$9:$N$84,12,FALSE),"")</f>
        <v/>
      </c>
      <c r="Q173" s="1137" t="s">
        <v>437</v>
      </c>
      <c r="R173" s="1086" t="str">
        <f>IFERROR(VLOOKUP(F173,Trainingsarten!$A$9:$N$84,14,FALSE),"")</f>
        <v/>
      </c>
      <c r="S173" s="1087">
        <f t="shared" si="48"/>
        <v>1.6230769230769231</v>
      </c>
      <c r="T173" s="1210">
        <f t="shared" si="35"/>
        <v>44.802465826810121</v>
      </c>
      <c r="U173" s="1089">
        <f t="shared" si="34"/>
        <v>33.145822332007121</v>
      </c>
      <c r="V173" s="1259">
        <f t="shared" si="36"/>
        <v>-9.2095953846695551</v>
      </c>
      <c r="W173" s="3284">
        <f t="shared" si="44"/>
        <v>1.351677607453619</v>
      </c>
      <c r="X173" s="3300"/>
      <c r="Y173" s="3316"/>
      <c r="AA173" s="3301"/>
      <c r="AB173" s="3409"/>
      <c r="AE173" s="1056"/>
    </row>
    <row r="174" spans="2:31" x14ac:dyDescent="0.2">
      <c r="B174" s="2980" t="s">
        <v>628</v>
      </c>
      <c r="C174" s="1211">
        <v>43272</v>
      </c>
      <c r="D174" s="1089" t="s">
        <v>597</v>
      </c>
      <c r="E174" s="1205"/>
      <c r="F174" s="2622" t="s">
        <v>661</v>
      </c>
      <c r="G174" s="1166">
        <v>2.8252314814814813E-2</v>
      </c>
      <c r="H174" s="1167">
        <v>7.81</v>
      </c>
      <c r="I174" s="1168">
        <f t="shared" si="46"/>
        <v>3.6174538815383888E-3</v>
      </c>
      <c r="J174" s="1169">
        <v>149</v>
      </c>
      <c r="K174" s="1206">
        <v>51</v>
      </c>
      <c r="L174" s="2801">
        <v>221</v>
      </c>
      <c r="M174" s="2823"/>
      <c r="N174" s="1208">
        <f t="shared" si="47"/>
        <v>1.0157810499359796</v>
      </c>
      <c r="O174" s="1209" t="s">
        <v>483</v>
      </c>
      <c r="P174" s="1136">
        <f>IFERROR(VLOOKUP(F174,Trainingsarten!$A$9:$N$84,12,FALSE),"")</f>
        <v>279.29999999999995</v>
      </c>
      <c r="Q174" s="1137" t="s">
        <v>437</v>
      </c>
      <c r="R174" s="1086">
        <f>IFERROR(VLOOKUP(F174,Trainingsarten!$A$9:$N$84,14,FALSE),"")</f>
        <v>314.60000000000002</v>
      </c>
      <c r="S174" s="1087">
        <f t="shared" si="48"/>
        <v>1.4832214765100671</v>
      </c>
      <c r="T174" s="1210">
        <f t="shared" si="35"/>
        <v>45.687827851551532</v>
      </c>
      <c r="U174" s="1089">
        <f t="shared" si="34"/>
        <v>33.570921800292666</v>
      </c>
      <c r="V174" s="1259">
        <f t="shared" si="36"/>
        <v>-11.656643494802999</v>
      </c>
      <c r="W174" s="3284">
        <f t="shared" si="44"/>
        <v>1.3609345648397784</v>
      </c>
      <c r="X174" s="3300"/>
      <c r="Y174" s="3316"/>
      <c r="AA174" s="3301"/>
      <c r="AB174" s="3409"/>
      <c r="AE174" s="1056"/>
    </row>
    <row r="175" spans="2:31" ht="16" thickBot="1" x14ac:dyDescent="0.25">
      <c r="B175" s="2981">
        <f>SUM(K171:K177)</f>
        <v>326</v>
      </c>
      <c r="C175" s="1211">
        <v>43273</v>
      </c>
      <c r="D175" s="1089" t="s">
        <v>598</v>
      </c>
      <c r="E175" s="1205"/>
      <c r="F175" s="2622" t="s">
        <v>665</v>
      </c>
      <c r="G175" s="1166">
        <v>4.4108796296296299E-2</v>
      </c>
      <c r="H175" s="1167">
        <v>11.3</v>
      </c>
      <c r="I175" s="1168">
        <f t="shared" si="46"/>
        <v>3.9034333005571941E-3</v>
      </c>
      <c r="J175" s="1169">
        <v>127</v>
      </c>
      <c r="K175" s="1206">
        <v>64</v>
      </c>
      <c r="L175" s="2801">
        <v>214</v>
      </c>
      <c r="M175" s="2823"/>
      <c r="N175" s="1208">
        <f t="shared" si="47"/>
        <v>1.0613664757938572</v>
      </c>
      <c r="O175" s="1209" t="s">
        <v>668</v>
      </c>
      <c r="P175" s="1136" t="str">
        <f>IFERROR(VLOOKUP(F175,Trainingsarten!$A$9:$N$84,12,FALSE),"")</f>
        <v/>
      </c>
      <c r="Q175" s="1137" t="s">
        <v>437</v>
      </c>
      <c r="R175" s="1086" t="str">
        <f>IFERROR(VLOOKUP(F175,Trainingsarten!$A$9:$N$84,14,FALSE),"")</f>
        <v/>
      </c>
      <c r="S175" s="1087">
        <f t="shared" si="48"/>
        <v>1.6850393700787401</v>
      </c>
      <c r="T175" s="1210">
        <f t="shared" si="35"/>
        <v>48.303852444187029</v>
      </c>
      <c r="U175" s="1089">
        <f t="shared" si="34"/>
        <v>34.295423662190458</v>
      </c>
      <c r="V175" s="1259">
        <f t="shared" si="36"/>
        <v>-12.116906051258866</v>
      </c>
      <c r="W175" s="3284">
        <f t="shared" si="44"/>
        <v>1.4084634999695422</v>
      </c>
      <c r="X175" s="3300"/>
      <c r="Y175" s="3316"/>
      <c r="AA175" s="3301"/>
      <c r="AB175" s="3409"/>
      <c r="AE175" s="1056"/>
    </row>
    <row r="176" spans="2:31" x14ac:dyDescent="0.2">
      <c r="B176" s="2982" t="s">
        <v>761</v>
      </c>
      <c r="C176" s="1211">
        <v>43274</v>
      </c>
      <c r="D176" s="1089"/>
      <c r="E176" s="1205"/>
      <c r="F176" s="2622"/>
      <c r="G176" s="1166"/>
      <c r="H176" s="1167" t="str">
        <f>IFERROR(VLOOKUP(F176,Trainingsarten!$A$9:$K$78,10,FALSE),"")</f>
        <v/>
      </c>
      <c r="I176" s="1168"/>
      <c r="J176" s="1169"/>
      <c r="K176" s="1206"/>
      <c r="L176" s="2801"/>
      <c r="M176" s="2823"/>
      <c r="N176" s="1208" t="str">
        <f t="shared" si="47"/>
        <v/>
      </c>
      <c r="O176" s="1209"/>
      <c r="P176" s="1136" t="str">
        <f>IFERROR(VLOOKUP(F176,Trainingsarten!$A$9:$N$84,12,FALSE),"")</f>
        <v/>
      </c>
      <c r="Q176" s="1137" t="s">
        <v>437</v>
      </c>
      <c r="R176" s="1086" t="str">
        <f>IFERROR(VLOOKUP(F176,Trainingsarten!$A$9:$N$84,14,FALSE),"")</f>
        <v/>
      </c>
      <c r="S176" s="1087" t="str">
        <f t="shared" si="48"/>
        <v/>
      </c>
      <c r="T176" s="1210">
        <f t="shared" si="35"/>
        <v>41.403302095017452</v>
      </c>
      <c r="U176" s="1089">
        <f t="shared" si="34"/>
        <v>33.478865955947832</v>
      </c>
      <c r="V176" s="1259">
        <f t="shared" si="36"/>
        <v>-14.008428781996571</v>
      </c>
      <c r="W176" s="3284">
        <f t="shared" si="44"/>
        <v>1.2366996585098418</v>
      </c>
      <c r="X176" s="3300"/>
      <c r="Y176" s="3316"/>
      <c r="AA176" s="3301"/>
      <c r="AB176" s="3409"/>
      <c r="AE176" s="1056"/>
    </row>
    <row r="177" spans="2:31" ht="16" thickBot="1" x14ac:dyDescent="0.25">
      <c r="B177" s="2983">
        <f>AVERAGE(W171:W177)</f>
        <v>1.3342156735261175</v>
      </c>
      <c r="C177" s="1260">
        <v>43275</v>
      </c>
      <c r="D177" s="1108" t="s">
        <v>599</v>
      </c>
      <c r="E177" s="1261"/>
      <c r="F177" s="2635" t="s">
        <v>643</v>
      </c>
      <c r="G177" s="1217">
        <v>7.075231481481481E-2</v>
      </c>
      <c r="H177" s="1366">
        <v>18.07</v>
      </c>
      <c r="I177" s="1363">
        <f t="shared" si="46"/>
        <v>3.9154573776875928E-3</v>
      </c>
      <c r="J177" s="1367">
        <v>136</v>
      </c>
      <c r="K177" s="1221">
        <v>101</v>
      </c>
      <c r="L177" s="2802">
        <v>212</v>
      </c>
      <c r="M177" s="2824"/>
      <c r="N177" s="1223">
        <f t="shared" si="47"/>
        <v>1.0546860249357073</v>
      </c>
      <c r="O177" s="1224" t="s">
        <v>487</v>
      </c>
      <c r="P177" s="1225" t="str">
        <f>IFERROR(VLOOKUP(F177,Trainingsarten!$A$9:$N$84,12,FALSE),"")</f>
        <v/>
      </c>
      <c r="Q177" s="1226" t="s">
        <v>437</v>
      </c>
      <c r="R177" s="1105" t="str">
        <f>IFERROR(VLOOKUP(F177,Trainingsarten!$A$9:$N$84,14,FALSE),"")</f>
        <v/>
      </c>
      <c r="S177" s="1106">
        <f t="shared" si="48"/>
        <v>1.5588235294117647</v>
      </c>
      <c r="T177" s="1227">
        <f t="shared" si="35"/>
        <v>49.917116081443531</v>
      </c>
      <c r="U177" s="1108">
        <f t="shared" si="34"/>
        <v>35.086512004615741</v>
      </c>
      <c r="V177" s="1109">
        <f t="shared" si="36"/>
        <v>-7.9244361390696199</v>
      </c>
      <c r="W177" s="3285">
        <f t="shared" si="44"/>
        <v>1.4226867599400241</v>
      </c>
      <c r="X177" s="3300"/>
      <c r="Y177" s="3316"/>
      <c r="AA177" s="3301"/>
      <c r="AB177" s="3409"/>
      <c r="AE177" s="1056"/>
    </row>
    <row r="178" spans="2:31" ht="16" thickBot="1" x14ac:dyDescent="0.25">
      <c r="B178" s="2977">
        <f>B171+1</f>
        <v>26</v>
      </c>
      <c r="C178" s="1245">
        <v>43276</v>
      </c>
      <c r="D178" s="1111"/>
      <c r="E178" s="1112"/>
      <c r="F178" s="2630"/>
      <c r="G178" s="1113"/>
      <c r="H178" s="1229" t="str">
        <f>IFERROR(VLOOKUP(F178,Trainingsarten!$A$9:$K$78,10,FALSE),"")</f>
        <v/>
      </c>
      <c r="I178" s="1230"/>
      <c r="J178" s="1231"/>
      <c r="K178" s="1117"/>
      <c r="L178" s="1118"/>
      <c r="M178" s="2825"/>
      <c r="N178" s="1119" t="str">
        <f t="shared" si="47"/>
        <v/>
      </c>
      <c r="O178" s="1120"/>
      <c r="P178" s="1277" t="str">
        <f>IFERROR(VLOOKUP(F178,Trainingsarten!$A$9:$N$84,12,FALSE),"")</f>
        <v/>
      </c>
      <c r="Q178" s="1122" t="s">
        <v>437</v>
      </c>
      <c r="R178" s="1122" t="str">
        <f>IFERROR(VLOOKUP(F178,Trainingsarten!$A$9:$N$84,14,FALSE),"")</f>
        <v/>
      </c>
      <c r="S178" s="1070" t="str">
        <f t="shared" si="48"/>
        <v/>
      </c>
      <c r="T178" s="1278">
        <f t="shared" si="35"/>
        <v>42.786099498380167</v>
      </c>
      <c r="U178" s="1111">
        <f t="shared" si="34"/>
        <v>34.251118861648699</v>
      </c>
      <c r="V178" s="1124">
        <f t="shared" si="36"/>
        <v>-14.83060407682779</v>
      </c>
      <c r="W178" s="3286">
        <f t="shared" si="44"/>
        <v>1.2491883745814847</v>
      </c>
      <c r="X178" s="3300"/>
      <c r="Y178" s="3316"/>
      <c r="AA178" s="3301"/>
      <c r="AB178" s="3409"/>
      <c r="AE178" s="1056"/>
    </row>
    <row r="179" spans="2:31" x14ac:dyDescent="0.2">
      <c r="B179" s="2978" t="s">
        <v>626</v>
      </c>
      <c r="C179" s="1126">
        <v>43277</v>
      </c>
      <c r="D179" s="1212" t="s">
        <v>600</v>
      </c>
      <c r="E179" s="1213"/>
      <c r="F179" s="2637" t="s">
        <v>794</v>
      </c>
      <c r="G179" s="1279">
        <v>3.577546296296296E-2</v>
      </c>
      <c r="H179" s="1280">
        <v>9.1199999999999992</v>
      </c>
      <c r="I179" s="1131">
        <f t="shared" si="46"/>
        <v>3.9227481319038335E-3</v>
      </c>
      <c r="J179" s="1132">
        <v>147</v>
      </c>
      <c r="K179" s="1133">
        <v>59</v>
      </c>
      <c r="L179" s="2801">
        <v>202</v>
      </c>
      <c r="M179" s="2823"/>
      <c r="N179" s="1188">
        <f t="shared" si="47"/>
        <v>1.0068079205366356</v>
      </c>
      <c r="O179" s="1135" t="s">
        <v>483</v>
      </c>
      <c r="P179" s="1282" t="str">
        <f>IFERROR(VLOOKUP(F179,Trainingsarten!$A$9:$N$84,12,FALSE),"")</f>
        <v/>
      </c>
      <c r="Q179" s="1283" t="s">
        <v>437</v>
      </c>
      <c r="R179" s="1086" t="str">
        <f>IFERROR(VLOOKUP(F179,Trainingsarten!$A$9:$N$84,14,FALSE),"")</f>
        <v/>
      </c>
      <c r="S179" s="1087">
        <f t="shared" si="48"/>
        <v>1.3741496598639455</v>
      </c>
      <c r="T179" s="1088">
        <f t="shared" si="35"/>
        <v>45.102370998611569</v>
      </c>
      <c r="U179" s="1089">
        <f t="shared" si="34"/>
        <v>34.840377936371347</v>
      </c>
      <c r="V179" s="1090">
        <f t="shared" si="36"/>
        <v>-8.5349806367314685</v>
      </c>
      <c r="W179" s="3284">
        <f t="shared" si="44"/>
        <v>1.2945431040094226</v>
      </c>
      <c r="X179" s="3300"/>
      <c r="Y179" s="3316"/>
      <c r="AA179" s="3301"/>
      <c r="AB179" s="3409"/>
      <c r="AE179" s="1056"/>
    </row>
    <row r="180" spans="2:31" ht="16" thickBot="1" x14ac:dyDescent="0.25">
      <c r="B180" s="2979">
        <f>SUM(H178:H184)</f>
        <v>60.89</v>
      </c>
      <c r="C180" s="1126">
        <v>43278</v>
      </c>
      <c r="D180" s="1212" t="s">
        <v>601</v>
      </c>
      <c r="E180" s="1213"/>
      <c r="F180" s="2637" t="s">
        <v>665</v>
      </c>
      <c r="G180" s="1279">
        <v>4.5185185185185189E-2</v>
      </c>
      <c r="H180" s="1280">
        <v>11.4</v>
      </c>
      <c r="I180" s="1131">
        <f t="shared" si="46"/>
        <v>3.9636127355425601E-3</v>
      </c>
      <c r="J180" s="1132">
        <v>131</v>
      </c>
      <c r="K180" s="1133">
        <v>63</v>
      </c>
      <c r="L180" s="2801">
        <v>209</v>
      </c>
      <c r="M180" s="2823"/>
      <c r="N180" s="1188">
        <f t="shared" si="47"/>
        <v>1.0525490196078433</v>
      </c>
      <c r="O180" s="1135" t="s">
        <v>668</v>
      </c>
      <c r="P180" s="1282" t="str">
        <f>IFERROR(VLOOKUP(F180,Trainingsarten!$A$9:$N$84,12,FALSE),"")</f>
        <v/>
      </c>
      <c r="Q180" s="1283" t="s">
        <v>437</v>
      </c>
      <c r="R180" s="1086" t="str">
        <f>IFERROR(VLOOKUP(F180,Trainingsarten!$A$9:$N$84,14,FALSE),"")</f>
        <v/>
      </c>
      <c r="S180" s="1087">
        <f t="shared" si="48"/>
        <v>1.5954198473282444</v>
      </c>
      <c r="T180" s="1088">
        <f t="shared" si="35"/>
        <v>47.659175141667056</v>
      </c>
      <c r="U180" s="1089">
        <f t="shared" si="34"/>
        <v>35.510845128362504</v>
      </c>
      <c r="V180" s="1090">
        <f t="shared" si="36"/>
        <v>-10.261993062240222</v>
      </c>
      <c r="W180" s="3284">
        <f t="shared" si="44"/>
        <v>1.3421019682688904</v>
      </c>
      <c r="X180" s="3300"/>
      <c r="Y180" s="3316"/>
      <c r="AA180" s="3301"/>
      <c r="AB180" s="3409"/>
      <c r="AE180" s="1056"/>
    </row>
    <row r="181" spans="2:31" x14ac:dyDescent="0.2">
      <c r="B181" s="2980" t="s">
        <v>628</v>
      </c>
      <c r="C181" s="1126">
        <v>43279</v>
      </c>
      <c r="D181" s="1212"/>
      <c r="E181" s="1213"/>
      <c r="F181" s="2637"/>
      <c r="G181" s="1279"/>
      <c r="H181" s="1280" t="str">
        <f>IFERROR(VLOOKUP(F181,Trainingsarten!$A$9:$K$78,10,FALSE),"")</f>
        <v/>
      </c>
      <c r="I181" s="1284"/>
      <c r="J181" s="1132"/>
      <c r="K181" s="1133"/>
      <c r="L181" s="2801"/>
      <c r="M181" s="2823"/>
      <c r="N181" s="1188" t="str">
        <f t="shared" si="47"/>
        <v/>
      </c>
      <c r="O181" s="1135"/>
      <c r="P181" s="1282" t="str">
        <f>IFERROR(VLOOKUP(F181,Trainingsarten!$A$9:$N$84,12,FALSE),"")</f>
        <v/>
      </c>
      <c r="Q181" s="1283" t="s">
        <v>437</v>
      </c>
      <c r="R181" s="1086" t="str">
        <f>IFERROR(VLOOKUP(F181,Trainingsarten!$A$9:$N$84,14,FALSE),"")</f>
        <v/>
      </c>
      <c r="S181" s="1087" t="str">
        <f t="shared" si="48"/>
        <v/>
      </c>
      <c r="T181" s="1088">
        <f t="shared" si="35"/>
        <v>40.850721550000337</v>
      </c>
      <c r="U181" s="1089">
        <f t="shared" si="34"/>
        <v>34.665348815782444</v>
      </c>
      <c r="V181" s="1090">
        <f t="shared" si="36"/>
        <v>-12.148330013304552</v>
      </c>
      <c r="W181" s="3284">
        <f t="shared" si="44"/>
        <v>1.178430996528782</v>
      </c>
      <c r="X181" s="3300"/>
      <c r="Y181" s="3316"/>
      <c r="AA181" s="3301"/>
      <c r="AB181" s="3409"/>
      <c r="AE181" s="1056"/>
    </row>
    <row r="182" spans="2:31" ht="16" thickBot="1" x14ac:dyDescent="0.25">
      <c r="B182" s="2981">
        <f>SUM(K178:K184)</f>
        <v>361</v>
      </c>
      <c r="C182" s="1126">
        <v>43280</v>
      </c>
      <c r="D182" s="1212" t="s">
        <v>602</v>
      </c>
      <c r="E182" s="1213"/>
      <c r="F182" s="2637" t="s">
        <v>662</v>
      </c>
      <c r="G182" s="1279">
        <v>3.4606481481481481E-2</v>
      </c>
      <c r="H182" s="1280">
        <v>9.02</v>
      </c>
      <c r="I182" s="1131">
        <f t="shared" si="46"/>
        <v>3.8366387451753306E-3</v>
      </c>
      <c r="J182" s="1132">
        <v>151</v>
      </c>
      <c r="K182" s="1133">
        <v>60</v>
      </c>
      <c r="L182" s="2801">
        <v>213</v>
      </c>
      <c r="M182" s="2823"/>
      <c r="N182" s="1188">
        <f t="shared" si="47"/>
        <v>1.0383298552236859</v>
      </c>
      <c r="O182" s="1135" t="s">
        <v>483</v>
      </c>
      <c r="P182" s="1282">
        <f>IFERROR(VLOOKUP(F182,Trainingsarten!$A$9:$N$84,12,FALSE),"")</f>
        <v>279.29999999999995</v>
      </c>
      <c r="Q182" s="1283" t="s">
        <v>437</v>
      </c>
      <c r="R182" s="1086">
        <f>IFERROR(VLOOKUP(F182,Trainingsarten!$A$9:$N$84,14,FALSE),"")</f>
        <v>314.60000000000002</v>
      </c>
      <c r="S182" s="1087">
        <f t="shared" si="48"/>
        <v>1.4105960264900663</v>
      </c>
      <c r="T182" s="1088">
        <f t="shared" si="35"/>
        <v>43.586332757143147</v>
      </c>
      <c r="U182" s="1089">
        <f t="shared" si="34"/>
        <v>35.268554796359055</v>
      </c>
      <c r="V182" s="1090">
        <f t="shared" si="36"/>
        <v>-6.1853727342178928</v>
      </c>
      <c r="W182" s="3284">
        <f t="shared" si="44"/>
        <v>1.2358411907947751</v>
      </c>
      <c r="X182" s="3300"/>
      <c r="Y182" s="3316"/>
      <c r="AA182" s="3301"/>
      <c r="AB182" s="3409"/>
      <c r="AE182" s="1056"/>
    </row>
    <row r="183" spans="2:31" x14ac:dyDescent="0.2">
      <c r="B183" s="2982" t="s">
        <v>761</v>
      </c>
      <c r="C183" s="1126">
        <v>43281</v>
      </c>
      <c r="D183" s="1212" t="s">
        <v>603</v>
      </c>
      <c r="E183" s="1213"/>
      <c r="F183" s="2637" t="s">
        <v>665</v>
      </c>
      <c r="G183" s="1279">
        <v>4.4930555555555557E-2</v>
      </c>
      <c r="H183" s="1280">
        <v>11.4</v>
      </c>
      <c r="I183" s="1131">
        <f t="shared" si="46"/>
        <v>3.9412768031189087E-3</v>
      </c>
      <c r="J183" s="1132">
        <v>134</v>
      </c>
      <c r="K183" s="1133">
        <v>65</v>
      </c>
      <c r="L183" s="2801">
        <v>213</v>
      </c>
      <c r="M183" s="2823"/>
      <c r="N183" s="1188">
        <f t="shared" si="47"/>
        <v>1.0666486068111456</v>
      </c>
      <c r="O183" s="1135" t="s">
        <v>668</v>
      </c>
      <c r="P183" s="1282" t="str">
        <f>IFERROR(VLOOKUP(F183,Trainingsarten!$A$9:$N$84,12,FALSE),"")</f>
        <v/>
      </c>
      <c r="Q183" s="1283" t="s">
        <v>437</v>
      </c>
      <c r="R183" s="1086" t="str">
        <f>IFERROR(VLOOKUP(F183,Trainingsarten!$A$9:$N$84,14,FALSE),"")</f>
        <v/>
      </c>
      <c r="S183" s="1087">
        <f t="shared" si="48"/>
        <v>1.5895522388059702</v>
      </c>
      <c r="T183" s="1088">
        <f t="shared" si="35"/>
        <v>46.645428077551266</v>
      </c>
      <c r="U183" s="1089">
        <f t="shared" si="34"/>
        <v>35.976446348826698</v>
      </c>
      <c r="V183" s="1090">
        <f t="shared" si="36"/>
        <v>-8.3177779607840918</v>
      </c>
      <c r="W183" s="3284">
        <f t="shared" si="44"/>
        <v>1.2965546298063571</v>
      </c>
      <c r="X183" s="3300"/>
      <c r="Y183" s="3316"/>
      <c r="AA183" s="3301"/>
      <c r="AB183" s="3409"/>
      <c r="AE183" s="1056"/>
    </row>
    <row r="184" spans="2:31" ht="16" thickBot="1" x14ac:dyDescent="0.25">
      <c r="B184" s="2983">
        <f>AVERAGE(W178:W184)</f>
        <v>1.2976964450555708</v>
      </c>
      <c r="C184" s="1337">
        <v>43282</v>
      </c>
      <c r="D184" s="1232" t="s">
        <v>604</v>
      </c>
      <c r="E184" s="1233"/>
      <c r="F184" s="2626" t="s">
        <v>644</v>
      </c>
      <c r="G184" s="1141">
        <v>7.8634259259259265E-2</v>
      </c>
      <c r="H184" s="1234">
        <v>19.95</v>
      </c>
      <c r="I184" s="1235">
        <f t="shared" si="46"/>
        <v>3.9415668801633715E-3</v>
      </c>
      <c r="J184" s="1236">
        <v>136</v>
      </c>
      <c r="K184" s="1237">
        <v>114</v>
      </c>
      <c r="L184" s="2803">
        <v>214</v>
      </c>
      <c r="M184" s="2826"/>
      <c r="N184" s="1238">
        <f t="shared" si="47"/>
        <v>1.0717352204039512</v>
      </c>
      <c r="O184" s="1148" t="s">
        <v>487</v>
      </c>
      <c r="P184" s="1149" t="str">
        <f>IFERROR(VLOOKUP(F184,Trainingsarten!$A$9:$N$84,12,FALSE),"")</f>
        <v/>
      </c>
      <c r="Q184" s="1151" t="s">
        <v>437</v>
      </c>
      <c r="R184" s="1151" t="str">
        <f>IFERROR(VLOOKUP(F184,Trainingsarten!$A$9:$N$84,14,FALSE),"")</f>
        <v/>
      </c>
      <c r="S184" s="1106">
        <f t="shared" si="48"/>
        <v>1.5735294117647058</v>
      </c>
      <c r="T184" s="1239">
        <f t="shared" si="35"/>
        <v>56.267509780758232</v>
      </c>
      <c r="U184" s="1258">
        <f t="shared" si="34"/>
        <v>37.834150007187965</v>
      </c>
      <c r="V184" s="1154">
        <f t="shared" si="36"/>
        <v>-10.668981728724567</v>
      </c>
      <c r="W184" s="3287">
        <f t="shared" si="44"/>
        <v>1.4872148513992831</v>
      </c>
      <c r="X184" s="3300"/>
      <c r="Y184" s="3316"/>
      <c r="AA184" s="3301"/>
      <c r="AB184" s="3409"/>
      <c r="AE184" s="1056"/>
    </row>
    <row r="185" spans="2:31" ht="16" thickBot="1" x14ac:dyDescent="0.25">
      <c r="B185" s="2977">
        <f>B178+1</f>
        <v>27</v>
      </c>
      <c r="C185" s="1241">
        <v>43283</v>
      </c>
      <c r="D185" s="1191"/>
      <c r="E185" s="1192"/>
      <c r="F185" s="2645"/>
      <c r="G185" s="1193"/>
      <c r="H185" s="1287" t="str">
        <f>IFERROR(VLOOKUP(F185,Trainingsarten!$A$9:$K$78,10,FALSE),"")</f>
        <v/>
      </c>
      <c r="I185" s="1368"/>
      <c r="J185" s="1198"/>
      <c r="K185" s="1197"/>
      <c r="L185" s="2800"/>
      <c r="M185" s="2822"/>
      <c r="N185" s="1199" t="str">
        <f t="shared" si="47"/>
        <v/>
      </c>
      <c r="O185" s="1200"/>
      <c r="P185" s="1267" t="str">
        <f>IFERROR(VLOOKUP(F185,Trainingsarten!$A$9:$N$84,12,FALSE),"")</f>
        <v/>
      </c>
      <c r="Q185" s="1202" t="s">
        <v>437</v>
      </c>
      <c r="R185" s="1069" t="str">
        <f>IFERROR(VLOOKUP(F185,Trainingsarten!$A$9:$N$84,14,FALSE),"")</f>
        <v/>
      </c>
      <c r="S185" s="1070" t="str">
        <f t="shared" si="48"/>
        <v/>
      </c>
      <c r="T185" s="1268">
        <f t="shared" si="35"/>
        <v>48.229294097792774</v>
      </c>
      <c r="U185" s="1191">
        <f t="shared" si="34"/>
        <v>36.933336911778724</v>
      </c>
      <c r="V185" s="1073">
        <f t="shared" si="36"/>
        <v>-18.433359773570267</v>
      </c>
      <c r="W185" s="3283">
        <f t="shared" si="44"/>
        <v>1.3058471865944927</v>
      </c>
      <c r="X185" s="3300"/>
      <c r="Y185" s="3316"/>
      <c r="AA185" s="3301"/>
      <c r="AB185" s="3409"/>
      <c r="AE185" s="1056"/>
    </row>
    <row r="186" spans="2:31" x14ac:dyDescent="0.2">
      <c r="B186" s="2978" t="s">
        <v>626</v>
      </c>
      <c r="C186" s="1204">
        <v>43284</v>
      </c>
      <c r="D186" s="1089" t="s">
        <v>605</v>
      </c>
      <c r="E186" s="1205"/>
      <c r="F186" s="2628" t="s">
        <v>791</v>
      </c>
      <c r="G186" s="1166">
        <v>4.1400462962962965E-2</v>
      </c>
      <c r="H186" s="1167">
        <v>10.8</v>
      </c>
      <c r="I186" s="1369">
        <f t="shared" si="46"/>
        <v>3.8333762002743482E-3</v>
      </c>
      <c r="J186" s="1207">
        <v>149</v>
      </c>
      <c r="K186" s="1206">
        <v>73</v>
      </c>
      <c r="L186" s="2801">
        <v>210</v>
      </c>
      <c r="M186" s="2823"/>
      <c r="N186" s="1208">
        <f t="shared" si="47"/>
        <v>1.0228349673202615</v>
      </c>
      <c r="O186" s="1209" t="s">
        <v>668</v>
      </c>
      <c r="P186" s="1136" t="str">
        <f>IFERROR(VLOOKUP(F186,Trainingsarten!$A$9:$N$84,12,FALSE),"")</f>
        <v/>
      </c>
      <c r="Q186" s="1137" t="s">
        <v>437</v>
      </c>
      <c r="R186" s="1086" t="str">
        <f>IFERROR(VLOOKUP(F186,Trainingsarten!$A$9:$N$84,14,FALSE),"")</f>
        <v/>
      </c>
      <c r="S186" s="1087">
        <f t="shared" si="48"/>
        <v>1.4093959731543624</v>
      </c>
      <c r="T186" s="1210">
        <f t="shared" si="35"/>
        <v>51.767966369536666</v>
      </c>
      <c r="U186" s="1089">
        <f t="shared" si="34"/>
        <v>37.792066985307805</v>
      </c>
      <c r="V186" s="1259">
        <f t="shared" si="36"/>
        <v>-11.29595718601405</v>
      </c>
      <c r="W186" s="3284">
        <f t="shared" si="44"/>
        <v>1.3698103993534461</v>
      </c>
      <c r="X186" s="3300"/>
      <c r="Y186" s="3316"/>
      <c r="AA186" s="3301"/>
      <c r="AB186" s="3409"/>
      <c r="AE186" s="1056"/>
    </row>
    <row r="187" spans="2:31" ht="16" thickBot="1" x14ac:dyDescent="0.25">
      <c r="B187" s="2979">
        <f>SUM(H185:H191)</f>
        <v>65.819999999999993</v>
      </c>
      <c r="C187" s="1211">
        <v>43285</v>
      </c>
      <c r="D187" s="1089" t="s">
        <v>606</v>
      </c>
      <c r="E187" s="1205"/>
      <c r="F187" s="2628" t="s">
        <v>665</v>
      </c>
      <c r="G187" s="1166">
        <v>4.4108796296296299E-2</v>
      </c>
      <c r="H187" s="1167">
        <v>11.4</v>
      </c>
      <c r="I187" s="1369">
        <f>IFERROR(G187/H187,"")</f>
        <v>3.8691926575698506E-3</v>
      </c>
      <c r="J187" s="1207">
        <v>129</v>
      </c>
      <c r="K187" s="1206">
        <v>66</v>
      </c>
      <c r="L187" s="2801">
        <v>216</v>
      </c>
      <c r="M187" s="2823"/>
      <c r="N187" s="1208">
        <f t="shared" si="47"/>
        <v>1.0618885448916409</v>
      </c>
      <c r="O187" s="1209" t="s">
        <v>668</v>
      </c>
      <c r="P187" s="1136" t="str">
        <f>IFERROR(VLOOKUP(F187,Trainingsarten!$A$9:$N$84,12,FALSE),"")</f>
        <v/>
      </c>
      <c r="Q187" s="1137" t="s">
        <v>437</v>
      </c>
      <c r="R187" s="1086" t="str">
        <f>IFERROR(VLOOKUP(F187,Trainingsarten!$A$9:$N$84,14,FALSE),"")</f>
        <v/>
      </c>
      <c r="S187" s="1087">
        <f t="shared" si="48"/>
        <v>1.6744186046511629</v>
      </c>
      <c r="T187" s="1210">
        <f t="shared" si="35"/>
        <v>53.801114031031425</v>
      </c>
      <c r="U187" s="1089">
        <f t="shared" si="34"/>
        <v>38.46368443803857</v>
      </c>
      <c r="V187" s="1259">
        <f t="shared" si="36"/>
        <v>-13.97589938422886</v>
      </c>
      <c r="W187" s="3284">
        <f t="shared" si="44"/>
        <v>1.3987509209550644</v>
      </c>
      <c r="X187" s="3300"/>
      <c r="Y187" s="3316"/>
      <c r="AA187" s="3301"/>
      <c r="AB187" s="3409"/>
      <c r="AE187" s="1056"/>
    </row>
    <row r="188" spans="2:31" x14ac:dyDescent="0.2">
      <c r="B188" s="2980" t="s">
        <v>628</v>
      </c>
      <c r="C188" s="1211">
        <v>43286</v>
      </c>
      <c r="D188" s="1089"/>
      <c r="E188" s="1205"/>
      <c r="F188" s="2628"/>
      <c r="G188" s="1166"/>
      <c r="H188" s="1167" t="str">
        <f>IFERROR(VLOOKUP(F188,Trainingsarten!$A$9:$K$78,10,FALSE),"")</f>
        <v/>
      </c>
      <c r="I188" s="1369" t="str">
        <f t="shared" ref="I188:I251" si="49">IFERROR(G188/H188,"")</f>
        <v/>
      </c>
      <c r="J188" s="1207"/>
      <c r="K188" s="1206"/>
      <c r="L188" s="2801"/>
      <c r="M188" s="2823"/>
      <c r="N188" s="1208" t="str">
        <f t="shared" si="47"/>
        <v/>
      </c>
      <c r="O188" s="1209"/>
      <c r="P188" s="1136" t="str">
        <f>IFERROR(VLOOKUP(F188,Trainingsarten!$A$9:$N$84,12,FALSE),"")</f>
        <v/>
      </c>
      <c r="Q188" s="1137" t="s">
        <v>437</v>
      </c>
      <c r="R188" s="1086" t="str">
        <f>IFERROR(VLOOKUP(F188,Trainingsarten!$A$9:$N$84,14,FALSE),"")</f>
        <v/>
      </c>
      <c r="S188" s="1087" t="str">
        <f t="shared" si="48"/>
        <v/>
      </c>
      <c r="T188" s="1210">
        <f t="shared" si="35"/>
        <v>46.115240598026936</v>
      </c>
      <c r="U188" s="1089">
        <f t="shared" si="34"/>
        <v>37.547882427609082</v>
      </c>
      <c r="V188" s="1259">
        <f t="shared" si="36"/>
        <v>-15.337429592992855</v>
      </c>
      <c r="W188" s="3284">
        <f t="shared" si="44"/>
        <v>1.2281715403507882</v>
      </c>
      <c r="X188" s="3300"/>
      <c r="Y188" s="3316"/>
      <c r="AA188" s="3301"/>
      <c r="AB188" s="3409"/>
      <c r="AE188" s="1056"/>
    </row>
    <row r="189" spans="2:31" ht="16" thickBot="1" x14ac:dyDescent="0.25">
      <c r="B189" s="2981">
        <f>SUM(K185:K191)</f>
        <v>406</v>
      </c>
      <c r="C189" s="1211">
        <v>43287</v>
      </c>
      <c r="D189" s="1089" t="s">
        <v>607</v>
      </c>
      <c r="E189" s="1205"/>
      <c r="F189" s="2628" t="s">
        <v>655</v>
      </c>
      <c r="G189" s="1166">
        <v>3.9849537037037037E-2</v>
      </c>
      <c r="H189" s="1167">
        <v>10.8</v>
      </c>
      <c r="I189" s="1369">
        <f t="shared" si="49"/>
        <v>3.6897719478737995E-3</v>
      </c>
      <c r="J189" s="1207">
        <v>146</v>
      </c>
      <c r="K189" s="1206">
        <v>72</v>
      </c>
      <c r="L189" s="2801">
        <v>218</v>
      </c>
      <c r="M189" s="2823"/>
      <c r="N189" s="1208">
        <f t="shared" si="47"/>
        <v>1.0220234204793028</v>
      </c>
      <c r="O189" s="1209" t="s">
        <v>483</v>
      </c>
      <c r="P189" s="1136" t="str">
        <f>IFERROR(VLOOKUP(F189,Trainingsarten!$A$9:$N$84,12,FALSE),"")</f>
        <v/>
      </c>
      <c r="Q189" s="1137" t="s">
        <v>437</v>
      </c>
      <c r="R189" s="1086" t="str">
        <f>IFERROR(VLOOKUP(F189,Trainingsarten!$A$9:$N$84,14,FALSE),"")</f>
        <v/>
      </c>
      <c r="S189" s="1087">
        <f t="shared" si="48"/>
        <v>1.4931506849315068</v>
      </c>
      <c r="T189" s="1210">
        <f t="shared" si="35"/>
        <v>49.813063369737371</v>
      </c>
      <c r="U189" s="1089">
        <f t="shared" si="34"/>
        <v>38.368170941237437</v>
      </c>
      <c r="V189" s="1259">
        <f t="shared" si="36"/>
        <v>-8.5673581704178545</v>
      </c>
      <c r="W189" s="3284">
        <f t="shared" si="44"/>
        <v>1.2982913218883509</v>
      </c>
      <c r="X189" s="3300"/>
      <c r="Y189" s="3316"/>
      <c r="AA189" s="3301"/>
      <c r="AB189" s="3409"/>
      <c r="AE189" s="1056"/>
    </row>
    <row r="190" spans="2:31" x14ac:dyDescent="0.2">
      <c r="B190" s="2982" t="s">
        <v>761</v>
      </c>
      <c r="C190" s="1211">
        <v>43288</v>
      </c>
      <c r="D190" s="1089" t="s">
        <v>608</v>
      </c>
      <c r="E190" s="1205"/>
      <c r="F190" s="2628" t="s">
        <v>665</v>
      </c>
      <c r="G190" s="1166">
        <v>4.4583333333333336E-2</v>
      </c>
      <c r="H190" s="1167">
        <v>11.42</v>
      </c>
      <c r="I190" s="1369">
        <f t="shared" si="49"/>
        <v>3.9039696438995918E-3</v>
      </c>
      <c r="J190" s="1207">
        <v>132</v>
      </c>
      <c r="K190" s="1206">
        <v>66</v>
      </c>
      <c r="L190" s="2801">
        <v>215</v>
      </c>
      <c r="M190" s="2823"/>
      <c r="N190" s="1208">
        <f t="shared" si="47"/>
        <v>1.0664726486041001</v>
      </c>
      <c r="O190" s="1209" t="s">
        <v>668</v>
      </c>
      <c r="P190" s="1136" t="str">
        <f>IFERROR(VLOOKUP(F190,Trainingsarten!$A$9:$N$84,12,FALSE),"")</f>
        <v/>
      </c>
      <c r="Q190" s="1137" t="s">
        <v>437</v>
      </c>
      <c r="R190" s="1086" t="str">
        <f>IFERROR(VLOOKUP(F190,Trainingsarten!$A$9:$N$84,14,FALSE),"")</f>
        <v/>
      </c>
      <c r="S190" s="1087">
        <f t="shared" si="48"/>
        <v>1.6287878787878789</v>
      </c>
      <c r="T190" s="1210">
        <f t="shared" si="35"/>
        <v>52.125482888346319</v>
      </c>
      <c r="U190" s="1089">
        <f t="shared" si="34"/>
        <v>39.026071633112736</v>
      </c>
      <c r="V190" s="1259">
        <f t="shared" si="36"/>
        <v>-11.444892428499934</v>
      </c>
      <c r="W190" s="3284">
        <f t="shared" si="44"/>
        <v>1.3356579513916289</v>
      </c>
      <c r="X190" s="3300"/>
      <c r="Y190" s="3316"/>
      <c r="AA190" s="3301"/>
      <c r="AB190" s="3409"/>
      <c r="AE190" s="1056"/>
    </row>
    <row r="191" spans="2:31" ht="16" thickBot="1" x14ac:dyDescent="0.25">
      <c r="B191" s="2983">
        <f>AVERAGE(W185:W191)</f>
        <v>1.3527778984235483</v>
      </c>
      <c r="C191" s="1260">
        <v>43289</v>
      </c>
      <c r="D191" s="1108" t="s">
        <v>609</v>
      </c>
      <c r="E191" s="1261"/>
      <c r="F191" s="2646" t="s">
        <v>645</v>
      </c>
      <c r="G191" s="1217">
        <v>8.054398148148148E-2</v>
      </c>
      <c r="H191" s="1366">
        <v>21.4</v>
      </c>
      <c r="I191" s="1370">
        <f t="shared" si="49"/>
        <v>3.7637374524056768E-3</v>
      </c>
      <c r="J191" s="1222">
        <v>139</v>
      </c>
      <c r="K191" s="1221">
        <v>129</v>
      </c>
      <c r="L191" s="2802"/>
      <c r="M191" s="2824"/>
      <c r="N191" s="1223"/>
      <c r="O191" s="1224" t="s">
        <v>487</v>
      </c>
      <c r="P191" s="1225" t="str">
        <f>IFERROR(VLOOKUP(F191,Trainingsarten!$A$9:$N$84,12,FALSE),"")</f>
        <v/>
      </c>
      <c r="Q191" s="1226" t="s">
        <v>437</v>
      </c>
      <c r="R191" s="1105" t="str">
        <f>IFERROR(VLOOKUP(F191,Trainingsarten!$A$9:$N$84,14,FALSE),"")</f>
        <v/>
      </c>
      <c r="S191" s="1106"/>
      <c r="T191" s="1227">
        <f t="shared" si="35"/>
        <v>63.107556761439703</v>
      </c>
      <c r="U191" s="1108">
        <f t="shared" si="34"/>
        <v>41.168308022800531</v>
      </c>
      <c r="V191" s="1109">
        <f t="shared" si="36"/>
        <v>-13.099411255233584</v>
      </c>
      <c r="W191" s="3285">
        <f t="shared" si="44"/>
        <v>1.532915968431066</v>
      </c>
      <c r="X191" s="3300"/>
      <c r="Y191" s="3316"/>
      <c r="AA191" s="3301"/>
      <c r="AB191" s="3409"/>
      <c r="AE191" s="1056"/>
    </row>
    <row r="192" spans="2:31" ht="16" thickBot="1" x14ac:dyDescent="0.25">
      <c r="B192" s="2977">
        <f>B185+1</f>
        <v>28</v>
      </c>
      <c r="C192" s="1319">
        <v>43290</v>
      </c>
      <c r="D192" s="1320"/>
      <c r="E192" s="1321"/>
      <c r="F192" s="2640"/>
      <c r="G192" s="1322"/>
      <c r="H192" s="1323" t="str">
        <f>IFERROR(VLOOKUP(F192,Trainingsarten!$A$9:$K$78,10,FALSE),"")</f>
        <v/>
      </c>
      <c r="I192" s="1371" t="str">
        <f t="shared" si="49"/>
        <v/>
      </c>
      <c r="J192" s="1324"/>
      <c r="K192" s="1325"/>
      <c r="L192" s="1326"/>
      <c r="M192" s="2831"/>
      <c r="N192" s="1119" t="str">
        <f t="shared" ref="N192:N202" si="50">IFERROR((L192/68)/(1/(I192*24)/3.6),"")</f>
        <v/>
      </c>
      <c r="O192" s="1327"/>
      <c r="P192" s="1277" t="str">
        <f>IFERROR(VLOOKUP(F192,Trainingsarten!$A$9:$N$84,12,FALSE),"")</f>
        <v/>
      </c>
      <c r="Q192" s="1122" t="s">
        <v>437</v>
      </c>
      <c r="R192" s="1122" t="str">
        <f>IFERROR(VLOOKUP(F192,Trainingsarten!$A$9:$N$84,14,FALSE),"")</f>
        <v/>
      </c>
      <c r="S192" s="1070" t="str">
        <f t="shared" ref="S192:S202" si="51">IFERROR(L192/J192,"")</f>
        <v/>
      </c>
      <c r="T192" s="1278">
        <f t="shared" si="35"/>
        <v>54.09219150980546</v>
      </c>
      <c r="U192" s="1111">
        <f t="shared" si="34"/>
        <v>40.188110212733854</v>
      </c>
      <c r="V192" s="1296">
        <f t="shared" si="36"/>
        <v>-21.939248738639172</v>
      </c>
      <c r="W192" s="3286">
        <f t="shared" si="44"/>
        <v>1.3459749966711798</v>
      </c>
      <c r="X192" s="3300"/>
      <c r="Y192" s="3316"/>
      <c r="AA192" s="3301"/>
      <c r="AB192" s="3409"/>
      <c r="AE192" s="1056"/>
    </row>
    <row r="193" spans="2:31" x14ac:dyDescent="0.2">
      <c r="B193" s="2978" t="s">
        <v>626</v>
      </c>
      <c r="C193" s="1328">
        <v>43291</v>
      </c>
      <c r="D193" s="1329" t="s">
        <v>610</v>
      </c>
      <c r="E193" s="1330"/>
      <c r="F193" s="2641" t="s">
        <v>665</v>
      </c>
      <c r="G193" s="1331">
        <v>4.5648148148148153E-2</v>
      </c>
      <c r="H193" s="1332">
        <v>11.38</v>
      </c>
      <c r="I193" s="1372">
        <f t="shared" si="49"/>
        <v>4.0112608214541434E-3</v>
      </c>
      <c r="J193" s="1334">
        <v>120</v>
      </c>
      <c r="K193" s="1335">
        <v>64</v>
      </c>
      <c r="L193" s="2806">
        <v>210</v>
      </c>
      <c r="M193" s="2829"/>
      <c r="N193" s="1188">
        <f t="shared" si="50"/>
        <v>1.0702987697715292</v>
      </c>
      <c r="O193" s="1336" t="s">
        <v>668</v>
      </c>
      <c r="P193" s="1282" t="str">
        <f>IFERROR(VLOOKUP(F193,Trainingsarten!$A$9:$N$84,12,FALSE),"")</f>
        <v/>
      </c>
      <c r="Q193" s="1283" t="s">
        <v>437</v>
      </c>
      <c r="R193" s="1086" t="str">
        <f>IFERROR(VLOOKUP(F193,Trainingsarten!$A$9:$N$84,14,FALSE),"")</f>
        <v/>
      </c>
      <c r="S193" s="1087">
        <f t="shared" si="51"/>
        <v>1.75</v>
      </c>
      <c r="T193" s="1088">
        <f t="shared" si="35"/>
        <v>55.507592722690397</v>
      </c>
      <c r="U193" s="1089">
        <f t="shared" si="34"/>
        <v>40.755059969573523</v>
      </c>
      <c r="V193" s="1090">
        <f t="shared" si="36"/>
        <v>-13.904081297071606</v>
      </c>
      <c r="W193" s="3284">
        <f t="shared" si="44"/>
        <v>1.3619803961552421</v>
      </c>
      <c r="X193" s="3300"/>
      <c r="Y193" s="3316"/>
      <c r="AA193" s="3301"/>
      <c r="AB193" s="3409"/>
      <c r="AE193" s="1056"/>
    </row>
    <row r="194" spans="2:31" ht="16" thickBot="1" x14ac:dyDescent="0.25">
      <c r="B194" s="2979">
        <f>SUM(H192:H198)</f>
        <v>49.330000000000005</v>
      </c>
      <c r="C194" s="1328">
        <v>43292</v>
      </c>
      <c r="D194" s="1329" t="s">
        <v>611</v>
      </c>
      <c r="E194" s="1330"/>
      <c r="F194" s="2641" t="s">
        <v>665</v>
      </c>
      <c r="G194" s="1331">
        <v>4.5266203703703704E-2</v>
      </c>
      <c r="H194" s="1332">
        <v>11.36</v>
      </c>
      <c r="I194" s="1372">
        <f t="shared" si="49"/>
        <v>3.9847010302556081E-3</v>
      </c>
      <c r="J194" s="1334">
        <v>118</v>
      </c>
      <c r="K194" s="1335">
        <v>64</v>
      </c>
      <c r="L194" s="2806">
        <v>211</v>
      </c>
      <c r="M194" s="2829"/>
      <c r="N194" s="1188">
        <f t="shared" si="50"/>
        <v>1.0682749067937036</v>
      </c>
      <c r="O194" s="1336" t="s">
        <v>668</v>
      </c>
      <c r="P194" s="1282" t="str">
        <f>IFERROR(VLOOKUP(F194,Trainingsarten!$A$9:$N$84,12,FALSE),"")</f>
        <v/>
      </c>
      <c r="Q194" s="1283" t="s">
        <v>437</v>
      </c>
      <c r="R194" s="1086" t="str">
        <f>IFERROR(VLOOKUP(F194,Trainingsarten!$A$9:$N$84,14,FALSE),"")</f>
        <v/>
      </c>
      <c r="S194" s="1087">
        <f t="shared" si="51"/>
        <v>1.7881355932203389</v>
      </c>
      <c r="T194" s="1088">
        <f t="shared" si="35"/>
        <v>56.720793762306052</v>
      </c>
      <c r="U194" s="1089">
        <f t="shared" si="34"/>
        <v>41.308510922678913</v>
      </c>
      <c r="V194" s="1090">
        <f t="shared" si="36"/>
        <v>-14.752532753116874</v>
      </c>
      <c r="W194" s="3284">
        <f t="shared" si="44"/>
        <v>1.3731018740538912</v>
      </c>
      <c r="X194" s="3300"/>
      <c r="Y194" s="3316"/>
      <c r="AA194" s="3301"/>
      <c r="AB194" s="3409"/>
      <c r="AE194" s="1056"/>
    </row>
    <row r="195" spans="2:31" x14ac:dyDescent="0.2">
      <c r="B195" s="2980" t="s">
        <v>628</v>
      </c>
      <c r="C195" s="1328">
        <v>43293</v>
      </c>
      <c r="D195" s="1329"/>
      <c r="E195" s="1330"/>
      <c r="F195" s="2641"/>
      <c r="G195" s="1331"/>
      <c r="H195" s="1332" t="str">
        <f>IFERROR(VLOOKUP(F195,Trainingsarten!$A$9:$K$78,10,FALSE),"")</f>
        <v/>
      </c>
      <c r="I195" s="1372" t="str">
        <f t="shared" si="49"/>
        <v/>
      </c>
      <c r="J195" s="1334"/>
      <c r="K195" s="1335"/>
      <c r="L195" s="2806"/>
      <c r="M195" s="2829"/>
      <c r="N195" s="1188" t="str">
        <f t="shared" si="50"/>
        <v/>
      </c>
      <c r="O195" s="1336"/>
      <c r="P195" s="1282" t="str">
        <f>IFERROR(VLOOKUP(F195,Trainingsarten!$A$9:$N$84,12,FALSE),"")</f>
        <v/>
      </c>
      <c r="Q195" s="1283" t="s">
        <v>437</v>
      </c>
      <c r="R195" s="1086" t="str">
        <f>IFERROR(VLOOKUP(F195,Trainingsarten!$A$9:$N$84,14,FALSE),"")</f>
        <v/>
      </c>
      <c r="S195" s="1087" t="str">
        <f t="shared" si="51"/>
        <v/>
      </c>
      <c r="T195" s="1088">
        <f t="shared" si="35"/>
        <v>48.617823224833757</v>
      </c>
      <c r="U195" s="1089">
        <f t="shared" ref="U195:U258" si="52">U194+(K195-U194)/42</f>
        <v>40.324974948329412</v>
      </c>
      <c r="V195" s="1090">
        <f t="shared" si="36"/>
        <v>-15.412282839627139</v>
      </c>
      <c r="W195" s="3284">
        <f t="shared" si="44"/>
        <v>1.2056504259985388</v>
      </c>
      <c r="X195" s="3300"/>
      <c r="Y195" s="3316"/>
      <c r="AA195" s="3301"/>
      <c r="AB195" s="3409"/>
      <c r="AE195" s="1056"/>
    </row>
    <row r="196" spans="2:31" ht="16" thickBot="1" x14ac:dyDescent="0.25">
      <c r="B196" s="2981">
        <f>SUM(K192:K198)</f>
        <v>278</v>
      </c>
      <c r="C196" s="1328">
        <v>43294</v>
      </c>
      <c r="D196" s="1329" t="s">
        <v>612</v>
      </c>
      <c r="E196" s="1330"/>
      <c r="F196" s="2641" t="s">
        <v>665</v>
      </c>
      <c r="G196" s="1331">
        <v>4.5648148148148153E-2</v>
      </c>
      <c r="H196" s="1332">
        <v>11.49</v>
      </c>
      <c r="I196" s="1372">
        <f t="shared" si="49"/>
        <v>3.9728588466621546E-3</v>
      </c>
      <c r="J196" s="1334">
        <v>133</v>
      </c>
      <c r="K196" s="1335">
        <v>65</v>
      </c>
      <c r="L196" s="2806">
        <v>211</v>
      </c>
      <c r="M196" s="2829"/>
      <c r="N196" s="1188">
        <f t="shared" si="50"/>
        <v>1.065100087032202</v>
      </c>
      <c r="O196" s="1336" t="s">
        <v>668</v>
      </c>
      <c r="P196" s="1282" t="str">
        <f>IFERROR(VLOOKUP(F196,Trainingsarten!$A$9:$N$84,12,FALSE),"")</f>
        <v/>
      </c>
      <c r="Q196" s="1283" t="s">
        <v>437</v>
      </c>
      <c r="R196" s="1086" t="str">
        <f>IFERROR(VLOOKUP(F196,Trainingsarten!$A$9:$N$84,14,FALSE),"")</f>
        <v/>
      </c>
      <c r="S196" s="1087">
        <f t="shared" si="51"/>
        <v>1.5864661654135339</v>
      </c>
      <c r="T196" s="1088">
        <f t="shared" ref="T196:T259" si="53">T195+(K196-T195)/7</f>
        <v>50.958134192714645</v>
      </c>
      <c r="U196" s="1089">
        <f t="shared" si="52"/>
        <v>40.912475544797758</v>
      </c>
      <c r="V196" s="1090">
        <f t="shared" ref="V196:V259" si="54">U195-T195</f>
        <v>-8.2928482765043441</v>
      </c>
      <c r="W196" s="3284">
        <f t="shared" si="44"/>
        <v>1.2455402298234737</v>
      </c>
      <c r="X196" s="3300"/>
      <c r="Y196" s="3316"/>
      <c r="AA196" s="3301"/>
      <c r="AB196" s="3409"/>
      <c r="AE196" s="1056"/>
    </row>
    <row r="197" spans="2:31" x14ac:dyDescent="0.2">
      <c r="B197" s="2982" t="s">
        <v>761</v>
      </c>
      <c r="C197" s="1328">
        <v>43295</v>
      </c>
      <c r="D197" s="1329"/>
      <c r="E197" s="1330"/>
      <c r="F197" s="2641"/>
      <c r="G197" s="1331"/>
      <c r="H197" s="1332" t="str">
        <f>IFERROR(VLOOKUP(F197,Trainingsarten!$A$9:$K$78,10,FALSE),"")</f>
        <v/>
      </c>
      <c r="I197" s="1372" t="str">
        <f t="shared" si="49"/>
        <v/>
      </c>
      <c r="J197" s="1334"/>
      <c r="K197" s="1335"/>
      <c r="L197" s="2806"/>
      <c r="M197" s="2829"/>
      <c r="N197" s="1188" t="str">
        <f t="shared" si="50"/>
        <v/>
      </c>
      <c r="O197" s="1336"/>
      <c r="P197" s="1282" t="str">
        <f>IFERROR(VLOOKUP(F197,Trainingsarten!$A$9:$N$84,12,FALSE),"")</f>
        <v/>
      </c>
      <c r="Q197" s="1283" t="s">
        <v>437</v>
      </c>
      <c r="R197" s="1086" t="str">
        <f>IFERROR(VLOOKUP(F197,Trainingsarten!$A$9:$N$84,14,FALSE),"")</f>
        <v/>
      </c>
      <c r="S197" s="1087" t="str">
        <f t="shared" si="51"/>
        <v/>
      </c>
      <c r="T197" s="1088">
        <f t="shared" si="53"/>
        <v>43.678400736612552</v>
      </c>
      <c r="U197" s="1089">
        <f t="shared" si="52"/>
        <v>39.938368984207337</v>
      </c>
      <c r="V197" s="1090">
        <f t="shared" si="54"/>
        <v>-10.045658647916888</v>
      </c>
      <c r="W197" s="3284">
        <f t="shared" si="44"/>
        <v>1.0936450798450013</v>
      </c>
      <c r="X197" s="3300"/>
      <c r="Y197" s="3316"/>
      <c r="AA197" s="3301"/>
      <c r="AB197" s="3409"/>
      <c r="AE197" s="1056"/>
    </row>
    <row r="198" spans="2:31" ht="16" thickBot="1" x14ac:dyDescent="0.25">
      <c r="B198" s="2983">
        <f>AVERAGE(W192:W198)</f>
        <v>1.2621236251698347</v>
      </c>
      <c r="C198" s="1337">
        <v>43296</v>
      </c>
      <c r="D198" s="1338" t="s">
        <v>613</v>
      </c>
      <c r="E198" s="1339"/>
      <c r="F198" s="2642" t="s">
        <v>641</v>
      </c>
      <c r="G198" s="1340">
        <v>5.8703703703703702E-2</v>
      </c>
      <c r="H198" s="1341">
        <v>15.1</v>
      </c>
      <c r="I198" s="1342">
        <f t="shared" si="49"/>
        <v>3.88766249693402E-3</v>
      </c>
      <c r="J198" s="1343">
        <v>131</v>
      </c>
      <c r="K198" s="1344">
        <v>85</v>
      </c>
      <c r="L198" s="2808">
        <v>214</v>
      </c>
      <c r="M198" s="2832"/>
      <c r="N198" s="1238">
        <f t="shared" si="50"/>
        <v>1.0570783015192833</v>
      </c>
      <c r="O198" s="1345" t="s">
        <v>667</v>
      </c>
      <c r="P198" s="1149" t="str">
        <f>IFERROR(VLOOKUP(F198,Trainingsarten!$A$9:$N$84,12,FALSE),"")</f>
        <v/>
      </c>
      <c r="Q198" s="1151" t="s">
        <v>437</v>
      </c>
      <c r="R198" s="1151" t="str">
        <f>IFERROR(VLOOKUP(F198,Trainingsarten!$A$9:$N$84,14,FALSE),"")</f>
        <v/>
      </c>
      <c r="S198" s="1106">
        <f t="shared" si="51"/>
        <v>1.633587786259542</v>
      </c>
      <c r="T198" s="1239">
        <f t="shared" si="53"/>
        <v>49.581486345667905</v>
      </c>
      <c r="U198" s="1232">
        <f t="shared" si="52"/>
        <v>41.011264960773829</v>
      </c>
      <c r="V198" s="1262">
        <f t="shared" si="54"/>
        <v>-3.7400317524052156</v>
      </c>
      <c r="W198" s="3287">
        <f t="shared" si="44"/>
        <v>1.2089723736415168</v>
      </c>
      <c r="X198" s="3300"/>
      <c r="Y198" s="3316"/>
      <c r="AA198" s="3301"/>
      <c r="AB198" s="3409"/>
      <c r="AE198" s="1056"/>
    </row>
    <row r="199" spans="2:31" ht="16" thickBot="1" x14ac:dyDescent="0.25">
      <c r="B199" s="2977">
        <f>B192+1</f>
        <v>29</v>
      </c>
      <c r="C199" s="1190">
        <v>43297</v>
      </c>
      <c r="D199" s="1191"/>
      <c r="E199" s="1192"/>
      <c r="F199" s="2645"/>
      <c r="G199" s="1193"/>
      <c r="H199" s="1287" t="str">
        <f>IFERROR(VLOOKUP(F199,Trainingsarten!$A$9:$K$78,10,FALSE),"")</f>
        <v/>
      </c>
      <c r="I199" s="1368" t="str">
        <f t="shared" si="49"/>
        <v/>
      </c>
      <c r="J199" s="1198"/>
      <c r="K199" s="1197"/>
      <c r="L199" s="2800"/>
      <c r="M199" s="2822"/>
      <c r="N199" s="1199" t="str">
        <f t="shared" si="50"/>
        <v/>
      </c>
      <c r="O199" s="1200"/>
      <c r="P199" s="1267" t="str">
        <f>IFERROR(VLOOKUP(F199,Trainingsarten!$A$9:$N$84,12,FALSE),"")</f>
        <v/>
      </c>
      <c r="Q199" s="1202" t="s">
        <v>437</v>
      </c>
      <c r="R199" s="1069" t="str">
        <f>IFERROR(VLOOKUP(F199,Trainingsarten!$A$9:$N$84,14,FALSE),"")</f>
        <v/>
      </c>
      <c r="S199" s="1070" t="str">
        <f t="shared" si="51"/>
        <v/>
      </c>
      <c r="T199" s="1268">
        <f t="shared" si="53"/>
        <v>42.498416867715349</v>
      </c>
      <c r="U199" s="1191">
        <f t="shared" si="52"/>
        <v>40.034806271231595</v>
      </c>
      <c r="V199" s="1244">
        <f t="shared" si="54"/>
        <v>-8.5702213848940758</v>
      </c>
      <c r="W199" s="3283">
        <f t="shared" si="44"/>
        <v>1.0615367183193807</v>
      </c>
      <c r="X199" s="3300"/>
      <c r="Y199" s="3316"/>
      <c r="AA199" s="3301"/>
      <c r="AB199" s="3409"/>
      <c r="AE199" s="1056"/>
    </row>
    <row r="200" spans="2:31" x14ac:dyDescent="0.2">
      <c r="B200" s="2978" t="s">
        <v>626</v>
      </c>
      <c r="C200" s="1211">
        <v>43298</v>
      </c>
      <c r="D200" s="1089" t="s">
        <v>614</v>
      </c>
      <c r="E200" s="1205"/>
      <c r="F200" s="2628" t="s">
        <v>652</v>
      </c>
      <c r="G200" s="1166">
        <v>4.3692129629629629E-2</v>
      </c>
      <c r="H200" s="1167">
        <v>12.2</v>
      </c>
      <c r="I200" s="1369">
        <f t="shared" si="49"/>
        <v>3.581322100789314E-3</v>
      </c>
      <c r="J200" s="1207">
        <v>148</v>
      </c>
      <c r="K200" s="1206">
        <v>83</v>
      </c>
      <c r="L200" s="2801">
        <v>225</v>
      </c>
      <c r="M200" s="2823"/>
      <c r="N200" s="1208">
        <f t="shared" si="50"/>
        <v>1.0238367888138862</v>
      </c>
      <c r="O200" s="1209" t="s">
        <v>667</v>
      </c>
      <c r="P200" s="1136" t="str">
        <f>IFERROR(VLOOKUP(F200,Trainingsarten!$A$9:$N$84,12,FALSE),"")</f>
        <v/>
      </c>
      <c r="Q200" s="1137" t="s">
        <v>437</v>
      </c>
      <c r="R200" s="1086" t="str">
        <f>IFERROR(VLOOKUP(F200,Trainingsarten!$A$9:$N$84,14,FALSE),"")</f>
        <v/>
      </c>
      <c r="S200" s="1087">
        <f t="shared" si="51"/>
        <v>1.5202702702702702</v>
      </c>
      <c r="T200" s="1210">
        <f t="shared" si="53"/>
        <v>48.284357315184586</v>
      </c>
      <c r="U200" s="1089">
        <f t="shared" si="52"/>
        <v>41.057787074297508</v>
      </c>
      <c r="V200" s="1090">
        <f t="shared" si="54"/>
        <v>-2.463610596483754</v>
      </c>
      <c r="W200" s="3284">
        <f t="shared" si="44"/>
        <v>1.176009735444582</v>
      </c>
      <c r="X200" s="3300"/>
      <c r="Y200" s="3316"/>
      <c r="AA200" s="3301"/>
      <c r="AB200" s="3409"/>
      <c r="AE200" s="1056"/>
    </row>
    <row r="201" spans="2:31" ht="16" thickBot="1" x14ac:dyDescent="0.25">
      <c r="B201" s="2979">
        <f>SUM(H199:H205)</f>
        <v>67.040000000000006</v>
      </c>
      <c r="C201" s="1204">
        <v>43299</v>
      </c>
      <c r="D201" s="1089" t="s">
        <v>615</v>
      </c>
      <c r="E201" s="1205"/>
      <c r="F201" s="2628" t="s">
        <v>665</v>
      </c>
      <c r="G201" s="1166">
        <v>4.4884259259259263E-2</v>
      </c>
      <c r="H201" s="1167">
        <v>11.37</v>
      </c>
      <c r="I201" s="1369">
        <f t="shared" si="49"/>
        <v>3.947604156487183E-3</v>
      </c>
      <c r="J201" s="1207">
        <v>129</v>
      </c>
      <c r="K201" s="1206">
        <v>64</v>
      </c>
      <c r="L201" s="2801">
        <v>212</v>
      </c>
      <c r="M201" s="2823"/>
      <c r="N201" s="1208">
        <f t="shared" si="50"/>
        <v>1.0633452325521242</v>
      </c>
      <c r="O201" s="1209" t="s">
        <v>668</v>
      </c>
      <c r="P201" s="1136" t="str">
        <f>IFERROR(VLOOKUP(F201,Trainingsarten!$A$9:$N$84,12,FALSE),"")</f>
        <v/>
      </c>
      <c r="Q201" s="1137" t="s">
        <v>437</v>
      </c>
      <c r="R201" s="1086" t="str">
        <f>IFERROR(VLOOKUP(F201,Trainingsarten!$A$9:$N$84,14,FALSE),"")</f>
        <v/>
      </c>
      <c r="S201" s="1087">
        <f t="shared" si="51"/>
        <v>1.6434108527131783</v>
      </c>
      <c r="T201" s="1210">
        <f t="shared" si="53"/>
        <v>50.529449127301071</v>
      </c>
      <c r="U201" s="1089">
        <f t="shared" si="52"/>
        <v>41.60403023919519</v>
      </c>
      <c r="V201" s="1090">
        <f t="shared" si="54"/>
        <v>-7.226570240887078</v>
      </c>
      <c r="W201" s="3284">
        <f t="shared" si="44"/>
        <v>1.2145325545816288</v>
      </c>
      <c r="X201" s="3300"/>
      <c r="Y201" s="3316"/>
      <c r="AA201" s="3301"/>
      <c r="AB201" s="3409"/>
      <c r="AE201" s="1056"/>
    </row>
    <row r="202" spans="2:31" x14ac:dyDescent="0.2">
      <c r="B202" s="2980" t="s">
        <v>628</v>
      </c>
      <c r="C202" s="1211">
        <v>43300</v>
      </c>
      <c r="D202" s="1089"/>
      <c r="E202" s="1205"/>
      <c r="F202" s="2628"/>
      <c r="G202" s="1166"/>
      <c r="H202" s="1167" t="str">
        <f>IFERROR(VLOOKUP(F202,Trainingsarten!$A$9:$K$78,10,FALSE),"")</f>
        <v/>
      </c>
      <c r="I202" s="1369" t="str">
        <f t="shared" si="49"/>
        <v/>
      </c>
      <c r="J202" s="1207"/>
      <c r="K202" s="1206"/>
      <c r="L202" s="2801"/>
      <c r="M202" s="2823"/>
      <c r="N202" s="1208" t="str">
        <f t="shared" si="50"/>
        <v/>
      </c>
      <c r="O202" s="1209"/>
      <c r="P202" s="1136" t="str">
        <f>IFERROR(VLOOKUP(F202,Trainingsarten!$A$9:$N$84,12,FALSE),"")</f>
        <v/>
      </c>
      <c r="Q202" s="1137" t="s">
        <v>437</v>
      </c>
      <c r="R202" s="1086" t="str">
        <f>IFERROR(VLOOKUP(F202,Trainingsarten!$A$9:$N$84,14,FALSE),"")</f>
        <v/>
      </c>
      <c r="S202" s="1087" t="str">
        <f t="shared" si="51"/>
        <v/>
      </c>
      <c r="T202" s="1210">
        <f t="shared" si="53"/>
        <v>43.310956394829489</v>
      </c>
      <c r="U202" s="1089">
        <f t="shared" si="52"/>
        <v>40.613458090642922</v>
      </c>
      <c r="V202" s="1090">
        <f t="shared" si="54"/>
        <v>-8.9254188881058809</v>
      </c>
      <c r="W202" s="3284">
        <f t="shared" si="44"/>
        <v>1.0664188284131375</v>
      </c>
      <c r="X202" s="3300"/>
      <c r="Y202" s="3316"/>
      <c r="AA202" s="3301"/>
      <c r="AB202" s="3409"/>
      <c r="AE202" s="1056"/>
    </row>
    <row r="203" spans="2:31" ht="16" thickBot="1" x14ac:dyDescent="0.25">
      <c r="B203" s="2981">
        <f>SUM(K199:K205)</f>
        <v>405</v>
      </c>
      <c r="C203" s="1211">
        <v>43301</v>
      </c>
      <c r="D203" s="1089" t="s">
        <v>616</v>
      </c>
      <c r="E203" s="1205"/>
      <c r="F203" s="2628" t="s">
        <v>666</v>
      </c>
      <c r="G203" s="1166">
        <v>4.7754629629629626E-2</v>
      </c>
      <c r="H203" s="1167">
        <v>13.46</v>
      </c>
      <c r="I203" s="1369">
        <f t="shared" si="49"/>
        <v>3.5478922458863017E-3</v>
      </c>
      <c r="J203" s="1207">
        <v>149</v>
      </c>
      <c r="K203" s="1206">
        <v>88</v>
      </c>
      <c r="L203" s="2801"/>
      <c r="M203" s="2823"/>
      <c r="N203" s="1208"/>
      <c r="O203" s="1209" t="s">
        <v>667</v>
      </c>
      <c r="P203" s="1136" t="str">
        <f>IFERROR(VLOOKUP(F203,Trainingsarten!$A$9:$N$84,12,FALSE),"")</f>
        <v/>
      </c>
      <c r="Q203" s="1137" t="s">
        <v>437</v>
      </c>
      <c r="R203" s="1086" t="str">
        <f>IFERROR(VLOOKUP(F203,Trainingsarten!$A$9:$N$84,14,FALSE),"")</f>
        <v/>
      </c>
      <c r="S203" s="1087"/>
      <c r="T203" s="1210">
        <f t="shared" si="53"/>
        <v>49.695105481282418</v>
      </c>
      <c r="U203" s="1089">
        <f t="shared" si="52"/>
        <v>41.741709088484754</v>
      </c>
      <c r="V203" s="1090">
        <f t="shared" si="54"/>
        <v>-2.697498304186567</v>
      </c>
      <c r="W203" s="3284">
        <f t="shared" si="44"/>
        <v>1.1905383504048175</v>
      </c>
      <c r="X203" s="3300"/>
      <c r="Y203" s="3316"/>
      <c r="AA203" s="3301"/>
      <c r="AB203" s="3409"/>
      <c r="AE203" s="1056"/>
    </row>
    <row r="204" spans="2:31" x14ac:dyDescent="0.2">
      <c r="B204" s="2982" t="s">
        <v>761</v>
      </c>
      <c r="C204" s="1211">
        <v>43302</v>
      </c>
      <c r="D204" s="1089" t="s">
        <v>617</v>
      </c>
      <c r="E204" s="1205"/>
      <c r="F204" s="2628" t="s">
        <v>665</v>
      </c>
      <c r="G204" s="1166">
        <v>4.3946759259259255E-2</v>
      </c>
      <c r="H204" s="1167">
        <v>11.21</v>
      </c>
      <c r="I204" s="1369">
        <f t="shared" si="49"/>
        <v>3.9203175075164364E-3</v>
      </c>
      <c r="J204" s="1207">
        <v>130</v>
      </c>
      <c r="K204" s="1206">
        <v>63</v>
      </c>
      <c r="L204" s="2801">
        <v>212</v>
      </c>
      <c r="M204" s="2823"/>
      <c r="N204" s="1208">
        <f t="shared" ref="N204:N225" si="55">IFERROR((L204/68)/(1/(I204*24)/3.6),"")</f>
        <v>1.0559951723776038</v>
      </c>
      <c r="O204" s="1209" t="s">
        <v>668</v>
      </c>
      <c r="P204" s="1136" t="str">
        <f>IFERROR(VLOOKUP(F204,Trainingsarten!$A$9:$N$84,12,FALSE),"")</f>
        <v/>
      </c>
      <c r="Q204" s="1137" t="s">
        <v>437</v>
      </c>
      <c r="R204" s="1086" t="str">
        <f>IFERROR(VLOOKUP(F204,Trainingsarten!$A$9:$N$84,14,FALSE),"")</f>
        <v/>
      </c>
      <c r="S204" s="1087">
        <f t="shared" ref="S204:S235" si="56">IFERROR(L204/J204,"")</f>
        <v>1.6307692307692307</v>
      </c>
      <c r="T204" s="1210">
        <f t="shared" si="53"/>
        <v>51.59580469824207</v>
      </c>
      <c r="U204" s="1089">
        <f t="shared" si="52"/>
        <v>42.247858872092259</v>
      </c>
      <c r="V204" s="1090">
        <f t="shared" si="54"/>
        <v>-7.9533963927976643</v>
      </c>
      <c r="W204" s="3284">
        <f t="shared" si="44"/>
        <v>1.2212643687920668</v>
      </c>
      <c r="X204" s="3300"/>
      <c r="Y204" s="3316"/>
      <c r="AA204" s="3301"/>
      <c r="AB204" s="3409"/>
      <c r="AE204" s="1056"/>
    </row>
    <row r="205" spans="2:31" ht="16" thickBot="1" x14ac:dyDescent="0.25">
      <c r="B205" s="2983">
        <f>AVERAGE(W199:W205)</f>
        <v>1.1841879313771198</v>
      </c>
      <c r="C205" s="1260">
        <v>43303</v>
      </c>
      <c r="D205" s="1108" t="s">
        <v>618</v>
      </c>
      <c r="E205" s="1261"/>
      <c r="F205" s="2646" t="s">
        <v>643</v>
      </c>
      <c r="G205" s="1217">
        <v>7.2696759259259267E-2</v>
      </c>
      <c r="H205" s="1366">
        <v>18.8</v>
      </c>
      <c r="I205" s="1370">
        <f t="shared" si="49"/>
        <v>3.8668488967691099E-3</v>
      </c>
      <c r="J205" s="1222">
        <v>134</v>
      </c>
      <c r="K205" s="1221">
        <v>107</v>
      </c>
      <c r="L205" s="2802">
        <v>215</v>
      </c>
      <c r="M205" s="2824"/>
      <c r="N205" s="1223">
        <f t="shared" si="55"/>
        <v>1.0563321339173968</v>
      </c>
      <c r="O205" s="1224" t="s">
        <v>487</v>
      </c>
      <c r="P205" s="1225" t="str">
        <f>IFERROR(VLOOKUP(F205,Trainingsarten!$A$9:$N$84,12,FALSE),"")</f>
        <v/>
      </c>
      <c r="Q205" s="1226" t="s">
        <v>437</v>
      </c>
      <c r="R205" s="1105" t="str">
        <f>IFERROR(VLOOKUP(F205,Trainingsarten!$A$9:$N$84,14,FALSE),"")</f>
        <v/>
      </c>
      <c r="S205" s="1106">
        <f t="shared" si="56"/>
        <v>1.6044776119402986</v>
      </c>
      <c r="T205" s="1227">
        <f t="shared" si="53"/>
        <v>59.510689741350348</v>
      </c>
      <c r="U205" s="1108">
        <f t="shared" si="52"/>
        <v>43.789576517994824</v>
      </c>
      <c r="V205" s="1228">
        <f t="shared" si="54"/>
        <v>-9.347945826149811</v>
      </c>
      <c r="W205" s="3285">
        <f t="shared" si="44"/>
        <v>1.3590149636842255</v>
      </c>
      <c r="X205" s="3300"/>
      <c r="Y205" s="3316"/>
      <c r="AA205" s="3301"/>
      <c r="AB205" s="3409"/>
      <c r="AE205" s="1056"/>
    </row>
    <row r="206" spans="2:31" ht="16" thickBot="1" x14ac:dyDescent="0.25">
      <c r="B206" s="2977">
        <f>B199+1</f>
        <v>30</v>
      </c>
      <c r="C206" s="1245">
        <v>43304</v>
      </c>
      <c r="D206" s="1111"/>
      <c r="E206" s="1112"/>
      <c r="F206" s="2630"/>
      <c r="G206" s="1113"/>
      <c r="H206" s="1229" t="str">
        <f>IFERROR(VLOOKUP(F206,Trainingsarten!$A$9:$K$78,10,FALSE),"")</f>
        <v/>
      </c>
      <c r="I206" s="1230" t="str">
        <f t="shared" si="49"/>
        <v/>
      </c>
      <c r="J206" s="1231"/>
      <c r="K206" s="1117"/>
      <c r="L206" s="1118"/>
      <c r="M206" s="2825"/>
      <c r="N206" s="1119" t="str">
        <f t="shared" si="55"/>
        <v/>
      </c>
      <c r="O206" s="1120"/>
      <c r="P206" s="1277" t="str">
        <f>IFERROR(VLOOKUP(F206,Trainingsarten!$A$9:$N$84,12,FALSE),"")</f>
        <v/>
      </c>
      <c r="Q206" s="1122" t="s">
        <v>437</v>
      </c>
      <c r="R206" s="1122" t="str">
        <f>IFERROR(VLOOKUP(F206,Trainingsarten!$A$9:$N$84,14,FALSE),"")</f>
        <v/>
      </c>
      <c r="S206" s="1070" t="str">
        <f t="shared" si="56"/>
        <v/>
      </c>
      <c r="T206" s="1278">
        <f t="shared" si="53"/>
        <v>51.009162635443154</v>
      </c>
      <c r="U206" s="1111">
        <f t="shared" si="52"/>
        <v>42.746967553280662</v>
      </c>
      <c r="V206" s="1124">
        <f t="shared" si="54"/>
        <v>-15.721113223355523</v>
      </c>
      <c r="W206" s="3286">
        <f t="shared" si="44"/>
        <v>1.1932814315276126</v>
      </c>
      <c r="X206" s="3300"/>
      <c r="Y206" s="3316"/>
      <c r="AA206" s="3301"/>
      <c r="AB206" s="3409"/>
      <c r="AE206" s="1056"/>
    </row>
    <row r="207" spans="2:31" x14ac:dyDescent="0.2">
      <c r="B207" s="2978" t="s">
        <v>626</v>
      </c>
      <c r="C207" s="1126">
        <v>43305</v>
      </c>
      <c r="D207" s="1212" t="s">
        <v>619</v>
      </c>
      <c r="E207" s="1213"/>
      <c r="F207" s="2637" t="s">
        <v>653</v>
      </c>
      <c r="G207" s="1279">
        <v>5.1018518518518519E-2</v>
      </c>
      <c r="H207" s="1280">
        <v>14.47</v>
      </c>
      <c r="I207" s="1131">
        <f t="shared" si="49"/>
        <v>3.5258133046661036E-3</v>
      </c>
      <c r="J207" s="1132">
        <v>155</v>
      </c>
      <c r="K207" s="1133">
        <v>100</v>
      </c>
      <c r="L207" s="2801">
        <v>227</v>
      </c>
      <c r="M207" s="2823"/>
      <c r="N207" s="1188">
        <f t="shared" si="55"/>
        <v>1.0169275173787553</v>
      </c>
      <c r="O207" s="1135" t="s">
        <v>667</v>
      </c>
      <c r="P207" s="1282" t="str">
        <f>IFERROR(VLOOKUP(F207,Trainingsarten!$A$9:$N$84,12,FALSE),"")</f>
        <v/>
      </c>
      <c r="Q207" s="1283" t="s">
        <v>437</v>
      </c>
      <c r="R207" s="1086" t="str">
        <f>IFERROR(VLOOKUP(F207,Trainingsarten!$A$9:$N$84,14,FALSE),"")</f>
        <v/>
      </c>
      <c r="S207" s="1087">
        <f t="shared" si="56"/>
        <v>1.4645161290322581</v>
      </c>
      <c r="T207" s="1088">
        <f t="shared" si="53"/>
        <v>58.007853687522704</v>
      </c>
      <c r="U207" s="1089">
        <f t="shared" si="52"/>
        <v>44.110134992488263</v>
      </c>
      <c r="V207" s="1090">
        <f t="shared" si="54"/>
        <v>-8.2621950821624921</v>
      </c>
      <c r="W207" s="3284">
        <f t="shared" si="44"/>
        <v>1.3150686049226816</v>
      </c>
      <c r="X207" s="3300"/>
      <c r="Y207" s="3316"/>
      <c r="AA207" s="3301"/>
      <c r="AB207" s="3409"/>
      <c r="AE207" s="1056"/>
    </row>
    <row r="208" spans="2:31" ht="16" thickBot="1" x14ac:dyDescent="0.25">
      <c r="B208" s="2979">
        <f>SUM(H206:H212)</f>
        <v>71.990000000000009</v>
      </c>
      <c r="C208" s="1126">
        <v>43306</v>
      </c>
      <c r="D208" s="1212" t="s">
        <v>620</v>
      </c>
      <c r="E208" s="1213"/>
      <c r="F208" s="2637" t="s">
        <v>665</v>
      </c>
      <c r="G208" s="1279">
        <v>4.4583333333333336E-2</v>
      </c>
      <c r="H208" s="1280">
        <v>11.48</v>
      </c>
      <c r="I208" s="1131">
        <f t="shared" si="49"/>
        <v>3.8835656213704996E-3</v>
      </c>
      <c r="J208" s="1132">
        <v>127</v>
      </c>
      <c r="K208" s="1133">
        <v>65</v>
      </c>
      <c r="L208" s="2801">
        <v>214</v>
      </c>
      <c r="M208" s="2823"/>
      <c r="N208" s="1188">
        <f t="shared" si="55"/>
        <v>1.0559643369542939</v>
      </c>
      <c r="O208" s="1135" t="s">
        <v>668</v>
      </c>
      <c r="P208" s="1282" t="str">
        <f>IFERROR(VLOOKUP(F208,Trainingsarten!$A$9:$N$84,12,FALSE),"")</f>
        <v/>
      </c>
      <c r="Q208" s="1283" t="s">
        <v>437</v>
      </c>
      <c r="R208" s="1086" t="str">
        <f>IFERROR(VLOOKUP(F208,Trainingsarten!$A$9:$N$84,14,FALSE),"")</f>
        <v/>
      </c>
      <c r="S208" s="1087">
        <f t="shared" si="56"/>
        <v>1.6850393700787401</v>
      </c>
      <c r="T208" s="1088">
        <f t="shared" si="53"/>
        <v>59.006731732162315</v>
      </c>
      <c r="U208" s="1089">
        <f t="shared" si="52"/>
        <v>44.607512730762352</v>
      </c>
      <c r="V208" s="1090">
        <f t="shared" si="54"/>
        <v>-13.897718695034442</v>
      </c>
      <c r="W208" s="3284">
        <f t="shared" si="44"/>
        <v>1.3227980696504948</v>
      </c>
      <c r="X208" s="3300"/>
      <c r="Y208" s="3316"/>
      <c r="AA208" s="3301"/>
      <c r="AB208" s="3409"/>
      <c r="AE208" s="1056"/>
    </row>
    <row r="209" spans="2:31" x14ac:dyDescent="0.2">
      <c r="B209" s="2980" t="s">
        <v>628</v>
      </c>
      <c r="C209" s="1126">
        <v>43307</v>
      </c>
      <c r="D209" s="1212" t="s">
        <v>621</v>
      </c>
      <c r="E209" s="1213"/>
      <c r="F209" s="2637" t="s">
        <v>464</v>
      </c>
      <c r="G209" s="1279">
        <v>4.6944444444444448E-2</v>
      </c>
      <c r="H209" s="1280">
        <v>13.73</v>
      </c>
      <c r="I209" s="1131">
        <f t="shared" si="49"/>
        <v>3.4191146718459174E-3</v>
      </c>
      <c r="J209" s="1132">
        <v>150</v>
      </c>
      <c r="K209" s="1133">
        <v>90</v>
      </c>
      <c r="L209" s="2801">
        <v>239</v>
      </c>
      <c r="M209" s="2823"/>
      <c r="N209" s="1188">
        <f t="shared" si="55"/>
        <v>1.0382845636433744</v>
      </c>
      <c r="O209" s="1135" t="s">
        <v>667</v>
      </c>
      <c r="P209" s="1282" t="str">
        <f>IFERROR(VLOOKUP(F209,Trainingsarten!$A$9:$N$84,12,FALSE),"")</f>
        <v/>
      </c>
      <c r="Q209" s="1283" t="s">
        <v>437</v>
      </c>
      <c r="R209" s="1086" t="str">
        <f>IFERROR(VLOOKUP(F209,Trainingsarten!$A$9:$N$84,14,FALSE),"")</f>
        <v/>
      </c>
      <c r="S209" s="1087">
        <f t="shared" si="56"/>
        <v>1.5933333333333333</v>
      </c>
      <c r="T209" s="1088">
        <f t="shared" si="53"/>
        <v>63.434341484710558</v>
      </c>
      <c r="U209" s="1089">
        <f t="shared" si="52"/>
        <v>45.688286237172775</v>
      </c>
      <c r="V209" s="1090">
        <f t="shared" si="54"/>
        <v>-14.399219001399963</v>
      </c>
      <c r="W209" s="3284">
        <f t="shared" si="44"/>
        <v>1.3884158656207002</v>
      </c>
      <c r="X209" s="3300"/>
      <c r="Y209" s="3316"/>
      <c r="AA209" s="3301"/>
      <c r="AB209" s="3409"/>
      <c r="AE209" s="1056"/>
    </row>
    <row r="210" spans="2:31" ht="16" thickBot="1" x14ac:dyDescent="0.25">
      <c r="B210" s="2981">
        <f>SUM(K206:K212)</f>
        <v>439</v>
      </c>
      <c r="C210" s="1126">
        <v>43308</v>
      </c>
      <c r="D210" s="1212" t="s">
        <v>622</v>
      </c>
      <c r="E210" s="1213"/>
      <c r="F210" s="2637" t="s">
        <v>665</v>
      </c>
      <c r="G210" s="1279">
        <v>4.3738425925925924E-2</v>
      </c>
      <c r="H210" s="1280">
        <v>11.47</v>
      </c>
      <c r="I210" s="1131">
        <f t="shared" si="49"/>
        <v>3.8132890955471597E-3</v>
      </c>
      <c r="J210" s="1132">
        <v>129</v>
      </c>
      <c r="K210" s="1133">
        <v>66</v>
      </c>
      <c r="L210" s="2801">
        <v>218</v>
      </c>
      <c r="M210" s="2823"/>
      <c r="N210" s="1188">
        <f t="shared" si="55"/>
        <v>1.05623621724191</v>
      </c>
      <c r="O210" s="1135" t="s">
        <v>668</v>
      </c>
      <c r="P210" s="1282" t="str">
        <f>IFERROR(VLOOKUP(F210,Trainingsarten!$A$9:$N$84,12,FALSE),"")</f>
        <v/>
      </c>
      <c r="Q210" s="1283" t="s">
        <v>437</v>
      </c>
      <c r="R210" s="1086" t="str">
        <f>IFERROR(VLOOKUP(F210,Trainingsarten!$A$9:$N$84,14,FALSE),"")</f>
        <v/>
      </c>
      <c r="S210" s="1087">
        <f t="shared" si="56"/>
        <v>1.6899224806201549</v>
      </c>
      <c r="T210" s="1088">
        <f t="shared" si="53"/>
        <v>63.800864129751908</v>
      </c>
      <c r="U210" s="1089">
        <f t="shared" si="52"/>
        <v>46.171898469621041</v>
      </c>
      <c r="V210" s="1090">
        <f t="shared" si="54"/>
        <v>-17.746055247537782</v>
      </c>
      <c r="W210" s="3284">
        <f t="shared" si="44"/>
        <v>1.381811583332011</v>
      </c>
      <c r="X210" s="3300"/>
      <c r="Y210" s="3316"/>
      <c r="AA210" s="3301"/>
      <c r="AB210" s="3409"/>
      <c r="AE210" s="1056"/>
    </row>
    <row r="211" spans="2:31" x14ac:dyDescent="0.2">
      <c r="B211" s="2982" t="s">
        <v>761</v>
      </c>
      <c r="C211" s="1126">
        <v>43309</v>
      </c>
      <c r="D211" s="1212"/>
      <c r="E211" s="1213"/>
      <c r="F211" s="2637"/>
      <c r="G211" s="1279"/>
      <c r="H211" s="1280" t="str">
        <f>IFERROR(VLOOKUP(F211,Trainingsarten!$A$9:$K$78,10,FALSE),"")</f>
        <v/>
      </c>
      <c r="I211" s="1131" t="str">
        <f t="shared" si="49"/>
        <v/>
      </c>
      <c r="J211" s="1132"/>
      <c r="K211" s="1133"/>
      <c r="L211" s="2801"/>
      <c r="M211" s="2823"/>
      <c r="N211" s="1188" t="str">
        <f t="shared" si="55"/>
        <v/>
      </c>
      <c r="O211" s="1135"/>
      <c r="P211" s="1282" t="str">
        <f>IFERROR(VLOOKUP(F211,Trainingsarten!$A$9:$N$84,12,FALSE),"")</f>
        <v/>
      </c>
      <c r="Q211" s="1283" t="s">
        <v>437</v>
      </c>
      <c r="R211" s="1086" t="str">
        <f>IFERROR(VLOOKUP(F211,Trainingsarten!$A$9:$N$84,14,FALSE),"")</f>
        <v/>
      </c>
      <c r="S211" s="1087" t="str">
        <f t="shared" si="56"/>
        <v/>
      </c>
      <c r="T211" s="1088">
        <f t="shared" si="53"/>
        <v>54.686454968358774</v>
      </c>
      <c r="U211" s="1089">
        <f t="shared" si="52"/>
        <v>45.072567553677686</v>
      </c>
      <c r="V211" s="1090">
        <f t="shared" si="54"/>
        <v>-17.628965660130866</v>
      </c>
      <c r="W211" s="3284">
        <f t="shared" si="44"/>
        <v>1.2132979756085949</v>
      </c>
      <c r="X211" s="3300"/>
      <c r="Y211" s="3316"/>
      <c r="AA211" s="3301"/>
      <c r="AB211" s="3409"/>
      <c r="AE211" s="1056"/>
    </row>
    <row r="212" spans="2:31" ht="16" thickBot="1" x14ac:dyDescent="0.25">
      <c r="B212" s="2983">
        <f>AVERAGE(W206:W212)</f>
        <v>1.3108846251206965</v>
      </c>
      <c r="C212" s="1373">
        <v>43310</v>
      </c>
      <c r="D212" s="1374" t="s">
        <v>623</v>
      </c>
      <c r="E212" s="1375"/>
      <c r="F212" s="2647" t="s">
        <v>644</v>
      </c>
      <c r="G212" s="1376">
        <v>8.1087962962962959E-2</v>
      </c>
      <c r="H212" s="1142">
        <v>20.84</v>
      </c>
      <c r="I212" s="1143">
        <f t="shared" si="49"/>
        <v>3.8909771095471668E-3</v>
      </c>
      <c r="J212" s="1144">
        <v>141</v>
      </c>
      <c r="K212" s="1377">
        <v>118</v>
      </c>
      <c r="L212" s="2803">
        <v>214</v>
      </c>
      <c r="M212" s="2826"/>
      <c r="N212" s="1378">
        <f t="shared" si="55"/>
        <v>1.0579795641865191</v>
      </c>
      <c r="O212" s="1379" t="s">
        <v>487</v>
      </c>
      <c r="P212" s="1380" t="str">
        <f>IFERROR(VLOOKUP(F212,Trainingsarten!$A$9:$N$84,12,FALSE),"")</f>
        <v/>
      </c>
      <c r="Q212" s="1381" t="s">
        <v>437</v>
      </c>
      <c r="R212" s="1151" t="str">
        <f>IFERROR(VLOOKUP(F212,Trainingsarten!$A$9:$N$84,14,FALSE),"")</f>
        <v/>
      </c>
      <c r="S212" s="1106">
        <f t="shared" si="56"/>
        <v>1.5177304964539007</v>
      </c>
      <c r="T212" s="1152">
        <f t="shared" si="53"/>
        <v>63.731247115736096</v>
      </c>
      <c r="U212" s="1153">
        <f t="shared" si="52"/>
        <v>46.808934992875834</v>
      </c>
      <c r="V212" s="1154">
        <f t="shared" si="54"/>
        <v>-9.6138874146810878</v>
      </c>
      <c r="W212" s="3287">
        <f t="shared" si="44"/>
        <v>1.3615188451827793</v>
      </c>
      <c r="X212" s="3304"/>
      <c r="Y212" s="3316"/>
      <c r="AA212" s="3301"/>
      <c r="AB212" s="3409"/>
      <c r="AE212" s="1056"/>
    </row>
    <row r="213" spans="2:31" ht="16" thickBot="1" x14ac:dyDescent="0.25">
      <c r="B213" s="2977">
        <f>B206+1</f>
        <v>31</v>
      </c>
      <c r="C213" s="1241">
        <v>43311</v>
      </c>
      <c r="D213" s="1191"/>
      <c r="E213" s="1192"/>
      <c r="F213" s="2645"/>
      <c r="G213" s="1193"/>
      <c r="H213" s="1287" t="str">
        <f>IFERROR(VLOOKUP(F213,Trainingsarten!$A$9:$K$78,10,FALSE),"")</f>
        <v/>
      </c>
      <c r="I213" s="1368" t="str">
        <f t="shared" si="49"/>
        <v/>
      </c>
      <c r="J213" s="1198"/>
      <c r="K213" s="1197"/>
      <c r="L213" s="2800"/>
      <c r="M213" s="2822"/>
      <c r="N213" s="1199" t="str">
        <f t="shared" si="55"/>
        <v/>
      </c>
      <c r="O213" s="1200"/>
      <c r="P213" s="1267" t="str">
        <f>IFERROR(VLOOKUP(F213,Trainingsarten!$A$9:$N$84,12,FALSE),"")</f>
        <v/>
      </c>
      <c r="Q213" s="1202" t="s">
        <v>437</v>
      </c>
      <c r="R213" s="1069" t="str">
        <f>IFERROR(VLOOKUP(F213,Trainingsarten!$A$9:$N$84,14,FALSE),"")</f>
        <v/>
      </c>
      <c r="S213" s="1070" t="str">
        <f t="shared" si="56"/>
        <v/>
      </c>
      <c r="T213" s="1268">
        <f t="shared" si="53"/>
        <v>54.62678324205951</v>
      </c>
      <c r="U213" s="1191">
        <f t="shared" si="52"/>
        <v>45.694436540664505</v>
      </c>
      <c r="V213" s="1244">
        <f t="shared" si="54"/>
        <v>-16.922312122860262</v>
      </c>
      <c r="W213" s="3283">
        <f t="shared" si="44"/>
        <v>1.1954799616239038</v>
      </c>
      <c r="X213" s="3300"/>
      <c r="Y213" s="3316"/>
      <c r="AA213" s="3301"/>
      <c r="AB213" s="3409"/>
      <c r="AE213" s="1056"/>
    </row>
    <row r="214" spans="2:31" x14ac:dyDescent="0.2">
      <c r="B214" s="2978" t="s">
        <v>626</v>
      </c>
      <c r="C214" s="1211">
        <v>43312</v>
      </c>
      <c r="D214" s="1212" t="s">
        <v>624</v>
      </c>
      <c r="E214" s="1213"/>
      <c r="F214" s="2628" t="s">
        <v>649</v>
      </c>
      <c r="G214" s="1166">
        <v>4.9351851851851848E-2</v>
      </c>
      <c r="H214" s="1167">
        <v>13.87</v>
      </c>
      <c r="I214" s="1369">
        <f t="shared" si="49"/>
        <v>3.558172447862426E-3</v>
      </c>
      <c r="J214" s="1207">
        <v>143</v>
      </c>
      <c r="K214" s="1206">
        <v>87</v>
      </c>
      <c r="L214" s="2801">
        <v>225</v>
      </c>
      <c r="M214" s="2823"/>
      <c r="N214" s="1208">
        <f t="shared" si="55"/>
        <v>1.0172187115653759</v>
      </c>
      <c r="O214" s="1209" t="s">
        <v>667</v>
      </c>
      <c r="P214" s="1136" t="str">
        <f>IFERROR(VLOOKUP(F214,Trainingsarten!$A$9:$N$84,12,FALSE),"")</f>
        <v/>
      </c>
      <c r="Q214" s="1137" t="s">
        <v>437</v>
      </c>
      <c r="R214" s="1086" t="str">
        <f>IFERROR(VLOOKUP(F214,Trainingsarten!$A$9:$N$84,14,FALSE),"")</f>
        <v/>
      </c>
      <c r="S214" s="1087">
        <f t="shared" si="56"/>
        <v>1.5734265734265733</v>
      </c>
      <c r="T214" s="1210">
        <f t="shared" si="53"/>
        <v>59.251528493193867</v>
      </c>
      <c r="U214" s="1089">
        <f t="shared" si="52"/>
        <v>46.677902337315352</v>
      </c>
      <c r="V214" s="1259">
        <f t="shared" si="54"/>
        <v>-8.9323467013950051</v>
      </c>
      <c r="W214" s="3284">
        <f t="shared" si="44"/>
        <v>1.2693699915008152</v>
      </c>
      <c r="X214" s="3300"/>
      <c r="Y214" s="3316"/>
      <c r="AA214" s="3301"/>
      <c r="AB214" s="3409"/>
      <c r="AE214" s="1056"/>
    </row>
    <row r="215" spans="2:31" ht="16" thickBot="1" x14ac:dyDescent="0.25">
      <c r="B215" s="2979">
        <f>SUM(H213:H219)</f>
        <v>62.9</v>
      </c>
      <c r="C215" s="1211">
        <v>43313</v>
      </c>
      <c r="D215" s="1089"/>
      <c r="E215" s="1205"/>
      <c r="F215" s="2628"/>
      <c r="G215" s="1166"/>
      <c r="H215" s="1167" t="str">
        <f>IFERROR(VLOOKUP(F215,Trainingsarten!$A$9:$K$78,10,FALSE),"")</f>
        <v/>
      </c>
      <c r="I215" s="1369" t="str">
        <f t="shared" si="49"/>
        <v/>
      </c>
      <c r="J215" s="1207"/>
      <c r="K215" s="1206"/>
      <c r="L215" s="2801"/>
      <c r="M215" s="2823"/>
      <c r="N215" s="1208" t="str">
        <f t="shared" si="55"/>
        <v/>
      </c>
      <c r="O215" s="1209"/>
      <c r="P215" s="1136" t="str">
        <f>IFERROR(VLOOKUP(F215,Trainingsarten!$A$9:$N$84,12,FALSE),"")</f>
        <v/>
      </c>
      <c r="Q215" s="1137" t="s">
        <v>437</v>
      </c>
      <c r="R215" s="1086" t="str">
        <f>IFERROR(VLOOKUP(F215,Trainingsarten!$A$9:$N$84,14,FALSE),"")</f>
        <v/>
      </c>
      <c r="S215" s="1087" t="str">
        <f t="shared" si="56"/>
        <v/>
      </c>
      <c r="T215" s="1210">
        <f t="shared" si="53"/>
        <v>50.787024422737602</v>
      </c>
      <c r="U215" s="1089">
        <f t="shared" si="52"/>
        <v>45.566523710236417</v>
      </c>
      <c r="V215" s="1259">
        <f t="shared" si="54"/>
        <v>-12.573626155878515</v>
      </c>
      <c r="W215" s="3284">
        <f t="shared" si="44"/>
        <v>1.1145687730251059</v>
      </c>
      <c r="X215" s="3300"/>
      <c r="Y215" s="3316"/>
      <c r="AA215" s="3301"/>
      <c r="AB215" s="3409"/>
      <c r="AE215" s="1056"/>
    </row>
    <row r="216" spans="2:31" x14ac:dyDescent="0.2">
      <c r="B216" s="2980" t="s">
        <v>628</v>
      </c>
      <c r="C216" s="1211">
        <v>43314</v>
      </c>
      <c r="D216" s="1089" t="s">
        <v>625</v>
      </c>
      <c r="E216" s="1205"/>
      <c r="F216" s="2628" t="s">
        <v>654</v>
      </c>
      <c r="G216" s="1166">
        <v>6.6249999999999989E-2</v>
      </c>
      <c r="H216" s="1167">
        <v>18.84</v>
      </c>
      <c r="I216" s="1369">
        <f t="shared" si="49"/>
        <v>3.5164543524416132E-3</v>
      </c>
      <c r="J216" s="1207">
        <v>146</v>
      </c>
      <c r="K216" s="1206">
        <v>127</v>
      </c>
      <c r="L216" s="2801">
        <v>229</v>
      </c>
      <c r="M216" s="2823"/>
      <c r="N216" s="1208">
        <f t="shared" si="55"/>
        <v>1.0231641064068939</v>
      </c>
      <c r="O216" s="1209" t="s">
        <v>667</v>
      </c>
      <c r="P216" s="1136" t="str">
        <f>IFERROR(VLOOKUP(F216,Trainingsarten!$A$9:$N$84,12,FALSE),"")</f>
        <v/>
      </c>
      <c r="Q216" s="1137" t="s">
        <v>437</v>
      </c>
      <c r="R216" s="1086" t="str">
        <f>IFERROR(VLOOKUP(F216,Trainingsarten!$A$9:$N$84,14,FALSE),"")</f>
        <v/>
      </c>
      <c r="S216" s="1087">
        <f t="shared" si="56"/>
        <v>1.5684931506849316</v>
      </c>
      <c r="T216" s="1210">
        <f t="shared" si="53"/>
        <v>61.674592362346516</v>
      </c>
      <c r="U216" s="1089">
        <f t="shared" si="52"/>
        <v>47.505416002849834</v>
      </c>
      <c r="V216" s="1259">
        <f t="shared" si="54"/>
        <v>-5.2205007125011846</v>
      </c>
      <c r="W216" s="3284">
        <f t="shared" si="44"/>
        <v>1.2982644412301678</v>
      </c>
      <c r="X216" s="3300"/>
      <c r="Y216" s="3316"/>
      <c r="AA216" s="3301"/>
      <c r="AB216" s="3409"/>
      <c r="AE216" s="1056"/>
    </row>
    <row r="217" spans="2:31" ht="16" thickBot="1" x14ac:dyDescent="0.25">
      <c r="B217" s="2981">
        <f>SUM(K213:K219)</f>
        <v>392</v>
      </c>
      <c r="C217" s="1211">
        <v>43315</v>
      </c>
      <c r="D217" s="1089" t="s">
        <v>669</v>
      </c>
      <c r="E217" s="1205"/>
      <c r="F217" s="2628" t="s">
        <v>665</v>
      </c>
      <c r="G217" s="1166">
        <v>4.3321759259259261E-2</v>
      </c>
      <c r="H217" s="1167">
        <v>11.4</v>
      </c>
      <c r="I217" s="1369">
        <f t="shared" si="49"/>
        <v>3.8001543209876545E-3</v>
      </c>
      <c r="J217" s="1207">
        <v>129</v>
      </c>
      <c r="K217" s="1206">
        <v>67</v>
      </c>
      <c r="L217" s="2801">
        <v>220</v>
      </c>
      <c r="M217" s="2823"/>
      <c r="N217" s="1208">
        <f t="shared" si="55"/>
        <v>1.0622549019607843</v>
      </c>
      <c r="O217" s="1209" t="s">
        <v>668</v>
      </c>
      <c r="P217" s="1136" t="str">
        <f>IFERROR(VLOOKUP(F217,Trainingsarten!$A$9:$N$84,12,FALSE),"")</f>
        <v/>
      </c>
      <c r="Q217" s="1137" t="s">
        <v>437</v>
      </c>
      <c r="R217" s="1086" t="str">
        <f>IFERROR(VLOOKUP(F217,Trainingsarten!$A$9:$N$84,14,FALSE),"")</f>
        <v/>
      </c>
      <c r="S217" s="1087">
        <f t="shared" si="56"/>
        <v>1.7054263565891472</v>
      </c>
      <c r="T217" s="1210">
        <f t="shared" si="53"/>
        <v>62.435364882011299</v>
      </c>
      <c r="U217" s="1089">
        <f t="shared" si="52"/>
        <v>47.969572764686745</v>
      </c>
      <c r="V217" s="1259">
        <f t="shared" si="54"/>
        <v>-14.169176359496682</v>
      </c>
      <c r="W217" s="3284">
        <f t="shared" si="44"/>
        <v>1.3015618293764268</v>
      </c>
      <c r="X217" s="3300"/>
      <c r="Y217" s="3316"/>
      <c r="AA217" s="3301"/>
      <c r="AB217" s="3409"/>
      <c r="AE217" s="1056"/>
    </row>
    <row r="218" spans="2:31" x14ac:dyDescent="0.2">
      <c r="B218" s="2982" t="s">
        <v>761</v>
      </c>
      <c r="C218" s="1211">
        <v>43316</v>
      </c>
      <c r="D218" s="1089"/>
      <c r="E218" s="1205"/>
      <c r="F218" s="2628"/>
      <c r="G218" s="1166"/>
      <c r="H218" s="1167" t="str">
        <f>IFERROR(VLOOKUP(F218,Trainingsarten!$A$9:$K$78,10,FALSE),"")</f>
        <v/>
      </c>
      <c r="I218" s="1369" t="str">
        <f t="shared" si="49"/>
        <v/>
      </c>
      <c r="J218" s="1207"/>
      <c r="K218" s="1206"/>
      <c r="L218" s="2801"/>
      <c r="M218" s="2823"/>
      <c r="N218" s="1208" t="str">
        <f t="shared" si="55"/>
        <v/>
      </c>
      <c r="O218" s="1209"/>
      <c r="P218" s="1136" t="str">
        <f>IFERROR(VLOOKUP(F218,Trainingsarten!$A$9:$N$84,12,FALSE),"")</f>
        <v/>
      </c>
      <c r="Q218" s="1137" t="s">
        <v>437</v>
      </c>
      <c r="R218" s="1086" t="str">
        <f>IFERROR(VLOOKUP(F218,Trainingsarten!$A$9:$N$84,14,FALSE),"")</f>
        <v/>
      </c>
      <c r="S218" s="1087" t="str">
        <f t="shared" si="56"/>
        <v/>
      </c>
      <c r="T218" s="1210">
        <f t="shared" si="53"/>
        <v>53.516027041723973</v>
      </c>
      <c r="U218" s="1089">
        <f t="shared" si="52"/>
        <v>46.82744007981325</v>
      </c>
      <c r="V218" s="1259">
        <f t="shared" si="54"/>
        <v>-14.465792117324554</v>
      </c>
      <c r="W218" s="3284">
        <f t="shared" si="44"/>
        <v>1.1428347770134479</v>
      </c>
      <c r="X218" s="3300"/>
      <c r="Y218" s="3316"/>
      <c r="AA218" s="3301"/>
      <c r="AB218" s="3409"/>
      <c r="AE218" s="1056"/>
    </row>
    <row r="219" spans="2:31" ht="16" thickBot="1" x14ac:dyDescent="0.25">
      <c r="B219" s="2983">
        <f>AVERAGE(W213:W219)</f>
        <v>1.2283756544998903</v>
      </c>
      <c r="C219" s="1260">
        <v>43317</v>
      </c>
      <c r="D219" s="1108" t="s">
        <v>670</v>
      </c>
      <c r="E219" s="1261"/>
      <c r="F219" s="2646" t="s">
        <v>645</v>
      </c>
      <c r="G219" s="1217">
        <v>7.1111111111111111E-2</v>
      </c>
      <c r="H219" s="1366">
        <v>18.79</v>
      </c>
      <c r="I219" s="1370">
        <f t="shared" si="49"/>
        <v>3.7845189521613152E-3</v>
      </c>
      <c r="J219" s="1222">
        <v>142</v>
      </c>
      <c r="K219" s="1221">
        <v>111</v>
      </c>
      <c r="L219" s="2802">
        <v>221</v>
      </c>
      <c r="M219" s="2824"/>
      <c r="N219" s="1223">
        <f t="shared" si="55"/>
        <v>1.0626929217668974</v>
      </c>
      <c r="O219" s="1224" t="s">
        <v>487</v>
      </c>
      <c r="P219" s="1225" t="str">
        <f>IFERROR(VLOOKUP(F219,Trainingsarten!$A$9:$N$84,12,FALSE),"")</f>
        <v/>
      </c>
      <c r="Q219" s="1226" t="s">
        <v>437</v>
      </c>
      <c r="R219" s="1105" t="str">
        <f>IFERROR(VLOOKUP(F219,Trainingsarten!$A$9:$N$84,14,FALSE),"")</f>
        <v/>
      </c>
      <c r="S219" s="1106">
        <f t="shared" si="56"/>
        <v>1.556338028169014</v>
      </c>
      <c r="T219" s="1227">
        <f t="shared" si="53"/>
        <v>61.728023178620546</v>
      </c>
      <c r="U219" s="1108">
        <f t="shared" si="52"/>
        <v>48.355358173151032</v>
      </c>
      <c r="V219" s="1109">
        <f t="shared" si="54"/>
        <v>-6.6885869619107226</v>
      </c>
      <c r="W219" s="3285">
        <f t="shared" si="44"/>
        <v>1.2765498077293653</v>
      </c>
      <c r="X219" s="3300"/>
      <c r="Y219" s="3316"/>
      <c r="AA219" s="3301"/>
      <c r="AB219" s="3409"/>
      <c r="AE219" s="1056"/>
    </row>
    <row r="220" spans="2:31" ht="16" thickBot="1" x14ac:dyDescent="0.25">
      <c r="B220" s="2977">
        <f>B213+1</f>
        <v>32</v>
      </c>
      <c r="C220" s="1319">
        <v>43318</v>
      </c>
      <c r="D220" s="1320"/>
      <c r="E220" s="1321"/>
      <c r="F220" s="2640"/>
      <c r="G220" s="1322"/>
      <c r="H220" s="1323" t="str">
        <f>IFERROR(VLOOKUP(F220,Trainingsarten!$A$9:$K$78,10,FALSE),"")</f>
        <v/>
      </c>
      <c r="I220" s="1371" t="str">
        <f t="shared" si="49"/>
        <v/>
      </c>
      <c r="J220" s="1324"/>
      <c r="K220" s="1325"/>
      <c r="L220" s="1326"/>
      <c r="M220" s="2831"/>
      <c r="N220" s="1382" t="str">
        <f t="shared" si="55"/>
        <v/>
      </c>
      <c r="O220" s="1327"/>
      <c r="P220" s="1277" t="str">
        <f>IFERROR(VLOOKUP(F220,Trainingsarten!$A$9:$N$84,12,FALSE),"")</f>
        <v/>
      </c>
      <c r="Q220" s="1122" t="s">
        <v>437</v>
      </c>
      <c r="R220" s="1122" t="str">
        <f>IFERROR(VLOOKUP(F220,Trainingsarten!$A$9:$N$84,14,FALSE),"")</f>
        <v/>
      </c>
      <c r="S220" s="1070" t="str">
        <f t="shared" si="56"/>
        <v/>
      </c>
      <c r="T220" s="1278">
        <f t="shared" si="53"/>
        <v>52.909734153103329</v>
      </c>
      <c r="U220" s="1111">
        <f t="shared" si="52"/>
        <v>47.204040121409342</v>
      </c>
      <c r="V220" s="1296">
        <f t="shared" si="54"/>
        <v>-13.372665005469514</v>
      </c>
      <c r="W220" s="3286">
        <f t="shared" si="44"/>
        <v>1.1208730019087112</v>
      </c>
      <c r="X220" s="3300"/>
      <c r="Y220" s="3316"/>
      <c r="AA220" s="3301"/>
      <c r="AB220" s="3409"/>
      <c r="AE220" s="1056"/>
    </row>
    <row r="221" spans="2:31" x14ac:dyDescent="0.2">
      <c r="B221" s="2978" t="s">
        <v>626</v>
      </c>
      <c r="C221" s="1328">
        <v>43319</v>
      </c>
      <c r="D221" s="1329" t="s">
        <v>671</v>
      </c>
      <c r="E221" s="1330"/>
      <c r="F221" s="2641" t="s">
        <v>665</v>
      </c>
      <c r="G221" s="1331">
        <v>3.7187499999999998E-2</v>
      </c>
      <c r="H221" s="1332">
        <v>9.51</v>
      </c>
      <c r="I221" s="1372">
        <f t="shared" si="49"/>
        <v>3.9103575184016824E-3</v>
      </c>
      <c r="J221" s="1334">
        <v>124</v>
      </c>
      <c r="K221" s="1335">
        <v>55</v>
      </c>
      <c r="L221" s="2806">
        <v>215</v>
      </c>
      <c r="M221" s="2829"/>
      <c r="N221" s="1383">
        <f t="shared" si="55"/>
        <v>1.0682176656151421</v>
      </c>
      <c r="O221" s="1336" t="s">
        <v>668</v>
      </c>
      <c r="P221" s="1282" t="str">
        <f>IFERROR(VLOOKUP(F221,Trainingsarten!$A$9:$N$84,12,FALSE),"")</f>
        <v/>
      </c>
      <c r="Q221" s="1283" t="s">
        <v>437</v>
      </c>
      <c r="R221" s="1086" t="str">
        <f>IFERROR(VLOOKUP(F221,Trainingsarten!$A$9:$N$84,14,FALSE),"")</f>
        <v/>
      </c>
      <c r="S221" s="1087">
        <f t="shared" si="56"/>
        <v>1.7338709677419355</v>
      </c>
      <c r="T221" s="1088">
        <f t="shared" si="53"/>
        <v>53.208343559802856</v>
      </c>
      <c r="U221" s="1089">
        <f t="shared" si="52"/>
        <v>47.389658213756739</v>
      </c>
      <c r="V221" s="1090">
        <f t="shared" si="54"/>
        <v>-5.7056940316939873</v>
      </c>
      <c r="W221" s="3284">
        <f t="shared" si="44"/>
        <v>1.1227838639350434</v>
      </c>
      <c r="X221" s="3300"/>
      <c r="Y221" s="3316"/>
      <c r="AA221" s="3301"/>
      <c r="AB221" s="3409"/>
      <c r="AE221" s="1056"/>
    </row>
    <row r="222" spans="2:31" ht="16" thickBot="1" x14ac:dyDescent="0.25">
      <c r="B222" s="2979">
        <f>SUM(H220:H226)</f>
        <v>46.65</v>
      </c>
      <c r="C222" s="1328">
        <v>43320</v>
      </c>
      <c r="D222" s="1329" t="s">
        <v>672</v>
      </c>
      <c r="E222" s="1330"/>
      <c r="F222" s="2641" t="s">
        <v>665</v>
      </c>
      <c r="G222" s="1331">
        <v>3.7384259259259263E-2</v>
      </c>
      <c r="H222" s="1332">
        <v>9.5399999999999991</v>
      </c>
      <c r="I222" s="1372">
        <f t="shared" si="49"/>
        <v>3.9186854569454154E-3</v>
      </c>
      <c r="J222" s="1334">
        <v>122</v>
      </c>
      <c r="K222" s="1335">
        <v>54</v>
      </c>
      <c r="L222" s="2806">
        <v>214</v>
      </c>
      <c r="M222" s="2829"/>
      <c r="N222" s="1383">
        <f t="shared" si="55"/>
        <v>1.0655136268343817</v>
      </c>
      <c r="O222" s="1336" t="s">
        <v>668</v>
      </c>
      <c r="P222" s="1282" t="str">
        <f>IFERROR(VLOOKUP(F222,Trainingsarten!$A$9:$N$84,12,FALSE),"")</f>
        <v/>
      </c>
      <c r="Q222" s="1283" t="s">
        <v>437</v>
      </c>
      <c r="R222" s="1086" t="str">
        <f>IFERROR(VLOOKUP(F222,Trainingsarten!$A$9:$N$84,14,FALSE),"")</f>
        <v/>
      </c>
      <c r="S222" s="1087">
        <f t="shared" si="56"/>
        <v>1.7540983606557377</v>
      </c>
      <c r="T222" s="1088">
        <f t="shared" si="53"/>
        <v>53.321437336973879</v>
      </c>
      <c r="U222" s="1089">
        <f t="shared" si="52"/>
        <v>47.547047303905387</v>
      </c>
      <c r="V222" s="1090">
        <f t="shared" si="54"/>
        <v>-5.8186853460461165</v>
      </c>
      <c r="W222" s="3284">
        <f t="shared" si="44"/>
        <v>1.1214458175743376</v>
      </c>
      <c r="X222" s="3300"/>
      <c r="Y222" s="3316"/>
      <c r="AA222" s="3301"/>
      <c r="AB222" s="3409"/>
      <c r="AE222" s="1056"/>
    </row>
    <row r="223" spans="2:31" x14ac:dyDescent="0.2">
      <c r="B223" s="2980" t="s">
        <v>628</v>
      </c>
      <c r="C223" s="1328">
        <v>43321</v>
      </c>
      <c r="D223" s="1329"/>
      <c r="E223" s="1330"/>
      <c r="F223" s="2641"/>
      <c r="G223" s="1331"/>
      <c r="H223" s="1332" t="str">
        <f>IFERROR(VLOOKUP(F223,Trainingsarten!$A$9:$K$78,10,FALSE),"")</f>
        <v/>
      </c>
      <c r="I223" s="1372" t="str">
        <f t="shared" si="49"/>
        <v/>
      </c>
      <c r="J223" s="1334"/>
      <c r="K223" s="1335"/>
      <c r="L223" s="2806"/>
      <c r="M223" s="2829"/>
      <c r="N223" s="1383" t="str">
        <f t="shared" si="55"/>
        <v/>
      </c>
      <c r="O223" s="1336"/>
      <c r="P223" s="1282" t="str">
        <f>IFERROR(VLOOKUP(F223,Trainingsarten!$A$9:$N$84,12,FALSE),"")</f>
        <v/>
      </c>
      <c r="Q223" s="1283" t="s">
        <v>437</v>
      </c>
      <c r="R223" s="1086" t="str">
        <f>IFERROR(VLOOKUP(F223,Trainingsarten!$A$9:$N$84,14,FALSE),"")</f>
        <v/>
      </c>
      <c r="S223" s="1087" t="str">
        <f t="shared" si="56"/>
        <v/>
      </c>
      <c r="T223" s="1088">
        <f t="shared" si="53"/>
        <v>45.704089145977612</v>
      </c>
      <c r="U223" s="1089">
        <f t="shared" si="52"/>
        <v>46.414974749050494</v>
      </c>
      <c r="V223" s="1090">
        <f t="shared" si="54"/>
        <v>-5.7743900330684923</v>
      </c>
      <c r="W223" s="3284">
        <f t="shared" ref="W223:W286" si="57">T223/U223</f>
        <v>0.98468413250429654</v>
      </c>
      <c r="X223" s="3300"/>
      <c r="Y223" s="3316"/>
      <c r="AA223" s="3301"/>
      <c r="AB223" s="3409"/>
      <c r="AE223" s="1056"/>
    </row>
    <row r="224" spans="2:31" ht="16" thickBot="1" x14ac:dyDescent="0.25">
      <c r="B224" s="2981">
        <f>SUM(K220:K226)</f>
        <v>278</v>
      </c>
      <c r="C224" s="1328">
        <v>43322</v>
      </c>
      <c r="D224" s="1329" t="s">
        <v>673</v>
      </c>
      <c r="E224" s="1330"/>
      <c r="F224" s="2641" t="s">
        <v>469</v>
      </c>
      <c r="G224" s="1331">
        <v>4.4988425925925925E-2</v>
      </c>
      <c r="H224" s="1332">
        <v>13.2</v>
      </c>
      <c r="I224" s="1372">
        <f t="shared" si="49"/>
        <v>3.4082140852974186E-3</v>
      </c>
      <c r="J224" s="1334">
        <v>140</v>
      </c>
      <c r="K224" s="1335">
        <v>87</v>
      </c>
      <c r="L224" s="2806">
        <v>243</v>
      </c>
      <c r="M224" s="2829"/>
      <c r="N224" s="1383">
        <f t="shared" si="55"/>
        <v>1.0522961229946526</v>
      </c>
      <c r="O224" s="1336" t="s">
        <v>668</v>
      </c>
      <c r="P224" s="1282" t="str">
        <f>IFERROR(VLOOKUP(F224,Trainingsarten!$A$9:$N$84,12,FALSE),"")</f>
        <v/>
      </c>
      <c r="Q224" s="1283" t="s">
        <v>437</v>
      </c>
      <c r="R224" s="1086" t="str">
        <f>IFERROR(VLOOKUP(F224,Trainingsarten!$A$9:$N$84,14,FALSE),"")</f>
        <v/>
      </c>
      <c r="S224" s="1087">
        <f t="shared" si="56"/>
        <v>1.7357142857142858</v>
      </c>
      <c r="T224" s="1088">
        <f t="shared" si="53"/>
        <v>51.603504982266521</v>
      </c>
      <c r="U224" s="1089">
        <f t="shared" si="52"/>
        <v>47.381284874073103</v>
      </c>
      <c r="V224" s="1090">
        <f t="shared" si="54"/>
        <v>0.71088560307288162</v>
      </c>
      <c r="W224" s="3284">
        <f t="shared" si="57"/>
        <v>1.0891115578527464</v>
      </c>
      <c r="X224" s="3300"/>
      <c r="Y224" s="3316"/>
      <c r="AA224" s="3301"/>
      <c r="AB224" s="3409"/>
      <c r="AE224" s="1056"/>
    </row>
    <row r="225" spans="2:31" x14ac:dyDescent="0.2">
      <c r="B225" s="2982" t="s">
        <v>761</v>
      </c>
      <c r="C225" s="1328">
        <v>43323</v>
      </c>
      <c r="D225" s="1329" t="s">
        <v>674</v>
      </c>
      <c r="E225" s="1330"/>
      <c r="F225" s="2641" t="s">
        <v>641</v>
      </c>
      <c r="G225" s="1331">
        <v>5.6041666666666663E-2</v>
      </c>
      <c r="H225" s="1332">
        <v>14.4</v>
      </c>
      <c r="I225" s="1372">
        <f t="shared" si="49"/>
        <v>3.8917824074074072E-3</v>
      </c>
      <c r="J225" s="1334">
        <v>129</v>
      </c>
      <c r="K225" s="1335">
        <v>82</v>
      </c>
      <c r="L225" s="2806">
        <v>215</v>
      </c>
      <c r="M225" s="2829"/>
      <c r="N225" s="1383">
        <f t="shared" si="55"/>
        <v>1.063143382352941</v>
      </c>
      <c r="O225" s="1336" t="s">
        <v>668</v>
      </c>
      <c r="P225" s="1282" t="str">
        <f>IFERROR(VLOOKUP(F225,Trainingsarten!$A$9:$N$84,12,FALSE),"")</f>
        <v/>
      </c>
      <c r="Q225" s="1283" t="s">
        <v>437</v>
      </c>
      <c r="R225" s="1086" t="str">
        <f>IFERROR(VLOOKUP(F225,Trainingsarten!$A$9:$N$84,14,FALSE),"")</f>
        <v/>
      </c>
      <c r="S225" s="1087">
        <f t="shared" si="56"/>
        <v>1.6666666666666667</v>
      </c>
      <c r="T225" s="1088">
        <f t="shared" si="53"/>
        <v>55.945861413371304</v>
      </c>
      <c r="U225" s="1089">
        <f t="shared" si="52"/>
        <v>48.205539996118979</v>
      </c>
      <c r="V225" s="1090">
        <f t="shared" si="54"/>
        <v>-4.2222201081934188</v>
      </c>
      <c r="W225" s="3284">
        <f t="shared" si="57"/>
        <v>1.1605691258281827</v>
      </c>
      <c r="X225" s="3300"/>
      <c r="Y225" s="3316"/>
      <c r="AA225" s="3301"/>
      <c r="AB225" s="3409"/>
      <c r="AE225" s="1056"/>
    </row>
    <row r="226" spans="2:31" ht="16" thickBot="1" x14ac:dyDescent="0.25">
      <c r="B226" s="2983">
        <f>AVERAGE(W220:W226)</f>
        <v>1.0883576864583644</v>
      </c>
      <c r="C226" s="1384">
        <v>43324</v>
      </c>
      <c r="D226" s="1385"/>
      <c r="E226" s="1386"/>
      <c r="F226" s="2648"/>
      <c r="G226" s="1387"/>
      <c r="H226" s="1388"/>
      <c r="I226" s="1389"/>
      <c r="J226" s="1390"/>
      <c r="K226" s="1391"/>
      <c r="L226" s="2808"/>
      <c r="M226" s="2832"/>
      <c r="N226" s="1392"/>
      <c r="O226" s="1393"/>
      <c r="P226" s="1380" t="str">
        <f>IFERROR(VLOOKUP(F226,Trainingsarten!$A$9:$N$84,12,FALSE),"")</f>
        <v/>
      </c>
      <c r="Q226" s="1381" t="s">
        <v>437</v>
      </c>
      <c r="R226" s="1151" t="str">
        <f>IFERROR(VLOOKUP(F226,Trainingsarten!$A$9:$N$84,14,FALSE),"")</f>
        <v/>
      </c>
      <c r="S226" s="1106" t="str">
        <f t="shared" si="56"/>
        <v/>
      </c>
      <c r="T226" s="1152">
        <f t="shared" si="53"/>
        <v>47.953595497175407</v>
      </c>
      <c r="U226" s="1153">
        <f t="shared" si="52"/>
        <v>47.057789043830432</v>
      </c>
      <c r="V226" s="1154">
        <f t="shared" si="54"/>
        <v>-7.7403214172523249</v>
      </c>
      <c r="W226" s="3287">
        <f t="shared" si="57"/>
        <v>1.0190363056052336</v>
      </c>
      <c r="X226" s="3300"/>
      <c r="Y226" s="3316"/>
      <c r="AA226" s="3301"/>
      <c r="AB226" s="3409"/>
      <c r="AE226" s="1056"/>
    </row>
    <row r="227" spans="2:31" ht="16" thickBot="1" x14ac:dyDescent="0.25">
      <c r="B227" s="2977">
        <f>B220+1</f>
        <v>33</v>
      </c>
      <c r="C227" s="1241">
        <v>43325</v>
      </c>
      <c r="D227" s="1191"/>
      <c r="E227" s="1192"/>
      <c r="F227" s="2645"/>
      <c r="G227" s="1193"/>
      <c r="H227" s="1287" t="str">
        <f>IFERROR(VLOOKUP(F227,Trainingsarten!$A$9:$K$78,10,FALSE),"")</f>
        <v/>
      </c>
      <c r="I227" s="1368" t="str">
        <f t="shared" si="49"/>
        <v/>
      </c>
      <c r="J227" s="1198"/>
      <c r="K227" s="1197"/>
      <c r="L227" s="2800"/>
      <c r="M227" s="2822"/>
      <c r="N227" s="1199" t="str">
        <f>IFERROR((L227/68)/(1/(I227*24)/3.6),"")</f>
        <v/>
      </c>
      <c r="O227" s="1200"/>
      <c r="P227" s="1267" t="str">
        <f>IFERROR(VLOOKUP(F227,Trainingsarten!$A$9:$N$84,12,FALSE),"")</f>
        <v/>
      </c>
      <c r="Q227" s="1202" t="s">
        <v>437</v>
      </c>
      <c r="R227" s="1069" t="str">
        <f>IFERROR(VLOOKUP(F227,Trainingsarten!$A$9:$N$84,14,FALSE),"")</f>
        <v/>
      </c>
      <c r="S227" s="1070" t="str">
        <f t="shared" si="56"/>
        <v/>
      </c>
      <c r="T227" s="1268">
        <f t="shared" si="53"/>
        <v>41.103081854721779</v>
      </c>
      <c r="U227" s="1191">
        <f t="shared" si="52"/>
        <v>45.937365495167803</v>
      </c>
      <c r="V227" s="1244">
        <f t="shared" si="54"/>
        <v>-0.89580645334497433</v>
      </c>
      <c r="W227" s="3283">
        <f t="shared" si="57"/>
        <v>0.89476358540947354</v>
      </c>
      <c r="X227" s="3300"/>
      <c r="Y227" s="3316"/>
      <c r="AA227" s="3301"/>
      <c r="AB227" s="3409"/>
      <c r="AE227" s="1056"/>
    </row>
    <row r="228" spans="2:31" x14ac:dyDescent="0.2">
      <c r="B228" s="2978" t="s">
        <v>626</v>
      </c>
      <c r="C228" s="1211">
        <v>43326</v>
      </c>
      <c r="D228" s="1212" t="s">
        <v>675</v>
      </c>
      <c r="E228" s="1213"/>
      <c r="F228" s="2628" t="s">
        <v>649</v>
      </c>
      <c r="G228" s="1166">
        <v>3.363425925925926E-2</v>
      </c>
      <c r="H228" s="1167">
        <v>10.199999999999999</v>
      </c>
      <c r="I228" s="1369">
        <f t="shared" si="49"/>
        <v>3.2974763979665943E-3</v>
      </c>
      <c r="J228" s="1207">
        <v>154</v>
      </c>
      <c r="K228" s="1206">
        <v>64</v>
      </c>
      <c r="L228" s="2801">
        <v>243</v>
      </c>
      <c r="M228" s="2823"/>
      <c r="N228" s="1208">
        <f t="shared" ref="N228:N270" si="58">IFERROR((L228/67)/(1/(I228*24)/3.6),"")</f>
        <v>1.0333011413520634</v>
      </c>
      <c r="O228" s="1209" t="s">
        <v>667</v>
      </c>
      <c r="P228" s="1136" t="str">
        <f>IFERROR(VLOOKUP(F228,Trainingsarten!$A$9:$N$84,12,FALSE),"")</f>
        <v/>
      </c>
      <c r="Q228" s="1137" t="s">
        <v>437</v>
      </c>
      <c r="R228" s="1086" t="str">
        <f>IFERROR(VLOOKUP(F228,Trainingsarten!$A$9:$N$84,14,FALSE),"")</f>
        <v/>
      </c>
      <c r="S228" s="1087">
        <f t="shared" si="56"/>
        <v>1.5779220779220779</v>
      </c>
      <c r="T228" s="1210">
        <f t="shared" si="53"/>
        <v>44.374070161190097</v>
      </c>
      <c r="U228" s="1089">
        <f t="shared" si="52"/>
        <v>46.367428221473332</v>
      </c>
      <c r="V228" s="1259">
        <f t="shared" si="54"/>
        <v>4.8342836404460243</v>
      </c>
      <c r="W228" s="3284">
        <f t="shared" si="57"/>
        <v>0.95700951860512962</v>
      </c>
      <c r="X228" s="3300"/>
      <c r="Y228" s="3316"/>
      <c r="AA228" s="3301"/>
      <c r="AB228" s="3409"/>
      <c r="AE228" s="1056"/>
    </row>
    <row r="229" spans="2:31" ht="16" thickBot="1" x14ac:dyDescent="0.25">
      <c r="B229" s="2979">
        <f>SUM(H227:H233)</f>
        <v>64.05</v>
      </c>
      <c r="C229" s="1211">
        <v>43327</v>
      </c>
      <c r="D229" s="1089" t="s">
        <v>676</v>
      </c>
      <c r="E229" s="1205"/>
      <c r="F229" s="2628" t="s">
        <v>665</v>
      </c>
      <c r="G229" s="1166">
        <v>4.65625E-2</v>
      </c>
      <c r="H229" s="1167">
        <v>11.64</v>
      </c>
      <c r="I229" s="1369">
        <f t="shared" si="49"/>
        <v>4.0002147766323021E-3</v>
      </c>
      <c r="J229" s="1207">
        <v>131</v>
      </c>
      <c r="K229" s="1206">
        <v>64</v>
      </c>
      <c r="L229" s="2801">
        <v>207</v>
      </c>
      <c r="M229" s="2823"/>
      <c r="N229" s="1208">
        <f t="shared" si="58"/>
        <v>1.0678065856285581</v>
      </c>
      <c r="O229" s="1209" t="s">
        <v>668</v>
      </c>
      <c r="P229" s="1136" t="str">
        <f>IFERROR(VLOOKUP(F229,Trainingsarten!$A$9:$N$84,12,FALSE),"")</f>
        <v/>
      </c>
      <c r="Q229" s="1137" t="s">
        <v>437</v>
      </c>
      <c r="R229" s="1086" t="str">
        <f>IFERROR(VLOOKUP(F229,Trainingsarten!$A$9:$N$84,14,FALSE),"")</f>
        <v/>
      </c>
      <c r="S229" s="1087">
        <f t="shared" si="56"/>
        <v>1.5801526717557253</v>
      </c>
      <c r="T229" s="1210">
        <f t="shared" si="53"/>
        <v>47.177774423877224</v>
      </c>
      <c r="U229" s="1089">
        <f t="shared" si="52"/>
        <v>46.787251359057301</v>
      </c>
      <c r="V229" s="1259">
        <f t="shared" si="54"/>
        <v>1.993358060283235</v>
      </c>
      <c r="W229" s="3284">
        <f t="shared" si="57"/>
        <v>1.008346783653157</v>
      </c>
      <c r="X229" s="3300"/>
      <c r="Y229" s="3316"/>
      <c r="AA229" s="3301"/>
      <c r="AB229" s="3409"/>
      <c r="AE229" s="1056"/>
    </row>
    <row r="230" spans="2:31" x14ac:dyDescent="0.2">
      <c r="B230" s="2980" t="s">
        <v>628</v>
      </c>
      <c r="C230" s="1211">
        <v>43328</v>
      </c>
      <c r="D230" s="1089" t="s">
        <v>677</v>
      </c>
      <c r="E230" s="1205"/>
      <c r="F230" s="2628" t="s">
        <v>666</v>
      </c>
      <c r="G230" s="1166">
        <v>3.8333333333333337E-2</v>
      </c>
      <c r="H230" s="1167">
        <v>11.91</v>
      </c>
      <c r="I230" s="1369">
        <f t="shared" si="49"/>
        <v>3.2185838231178284E-3</v>
      </c>
      <c r="J230" s="1207">
        <v>150</v>
      </c>
      <c r="K230" s="1206">
        <v>80</v>
      </c>
      <c r="L230" s="2801">
        <v>246</v>
      </c>
      <c r="M230" s="2823"/>
      <c r="N230" s="1208">
        <f t="shared" si="58"/>
        <v>1.0210308658220235</v>
      </c>
      <c r="O230" s="1209" t="s">
        <v>667</v>
      </c>
      <c r="P230" s="1136" t="str">
        <f>IFERROR(VLOOKUP(F230,Trainingsarten!$A$9:$N$84,12,FALSE),"")</f>
        <v/>
      </c>
      <c r="Q230" s="1137" t="s">
        <v>437</v>
      </c>
      <c r="R230" s="1086" t="str">
        <f>IFERROR(VLOOKUP(F230,Trainingsarten!$A$9:$N$84,14,FALSE),"")</f>
        <v/>
      </c>
      <c r="S230" s="1087">
        <f t="shared" si="56"/>
        <v>1.64</v>
      </c>
      <c r="T230" s="1210">
        <f t="shared" si="53"/>
        <v>51.866663791894766</v>
      </c>
      <c r="U230" s="1089">
        <f t="shared" si="52"/>
        <v>47.578031088603552</v>
      </c>
      <c r="V230" s="1259">
        <f t="shared" si="54"/>
        <v>-0.3905230648199236</v>
      </c>
      <c r="W230" s="3284">
        <f t="shared" si="57"/>
        <v>1.0901389276766116</v>
      </c>
      <c r="X230" s="3300"/>
      <c r="Y230" s="3316"/>
      <c r="AA230" s="3301"/>
      <c r="AB230" s="3409"/>
      <c r="AE230" s="1056"/>
    </row>
    <row r="231" spans="2:31" ht="16" thickBot="1" x14ac:dyDescent="0.25">
      <c r="B231" s="2981">
        <f>SUM(K227:K233)</f>
        <v>377</v>
      </c>
      <c r="C231" s="1211">
        <v>43329</v>
      </c>
      <c r="D231" s="1089" t="s">
        <v>678</v>
      </c>
      <c r="E231" s="1205"/>
      <c r="F231" s="2628" t="s">
        <v>665</v>
      </c>
      <c r="G231" s="1166">
        <v>3.9409722222222221E-2</v>
      </c>
      <c r="H231" s="1167">
        <v>10.4</v>
      </c>
      <c r="I231" s="1369">
        <f t="shared" si="49"/>
        <v>3.7893963675213671E-3</v>
      </c>
      <c r="J231" s="1207">
        <v>122</v>
      </c>
      <c r="K231" s="1206">
        <v>57</v>
      </c>
      <c r="L231" s="2801">
        <v>215</v>
      </c>
      <c r="M231" s="2823"/>
      <c r="N231" s="1208">
        <f t="shared" si="58"/>
        <v>1.0506242824339838</v>
      </c>
      <c r="O231" s="1209" t="s">
        <v>668</v>
      </c>
      <c r="P231" s="1136" t="str">
        <f>IFERROR(VLOOKUP(F231,Trainingsarten!$A$9:$N$84,12,FALSE),"")</f>
        <v/>
      </c>
      <c r="Q231" s="1137" t="s">
        <v>437</v>
      </c>
      <c r="R231" s="1086" t="str">
        <f>IFERROR(VLOOKUP(F231,Trainingsarten!$A$9:$N$84,14,FALSE),"")</f>
        <v/>
      </c>
      <c r="S231" s="1087">
        <f t="shared" si="56"/>
        <v>1.7622950819672132</v>
      </c>
      <c r="T231" s="1210">
        <f t="shared" si="53"/>
        <v>52.5999975359098</v>
      </c>
      <c r="U231" s="1089">
        <f t="shared" si="52"/>
        <v>47.802363681732039</v>
      </c>
      <c r="V231" s="1259">
        <f t="shared" si="54"/>
        <v>-4.2886327032912135</v>
      </c>
      <c r="W231" s="3284">
        <f t="shared" si="57"/>
        <v>1.1003639461454331</v>
      </c>
      <c r="X231" s="3300"/>
      <c r="Y231" s="3316"/>
      <c r="AA231" s="3301"/>
      <c r="AB231" s="3409"/>
      <c r="AE231" s="1056"/>
    </row>
    <row r="232" spans="2:31" x14ac:dyDescent="0.2">
      <c r="B232" s="2982" t="s">
        <v>761</v>
      </c>
      <c r="C232" s="1211">
        <v>43330</v>
      </c>
      <c r="D232" s="1089"/>
      <c r="E232" s="1205"/>
      <c r="F232" s="2628"/>
      <c r="G232" s="1166"/>
      <c r="H232" s="1167" t="str">
        <f>IFERROR(VLOOKUP(F232,Trainingsarten!$A$9:$K$78,10,FALSE),"")</f>
        <v/>
      </c>
      <c r="I232" s="1369" t="str">
        <f t="shared" si="49"/>
        <v/>
      </c>
      <c r="J232" s="1207"/>
      <c r="K232" s="1206"/>
      <c r="L232" s="2801"/>
      <c r="M232" s="2823"/>
      <c r="N232" s="1208" t="str">
        <f t="shared" si="58"/>
        <v/>
      </c>
      <c r="O232" s="1209"/>
      <c r="P232" s="1136" t="str">
        <f>IFERROR(VLOOKUP(F232,Trainingsarten!$A$9:$N$84,12,FALSE),"")</f>
        <v/>
      </c>
      <c r="Q232" s="1137" t="s">
        <v>437</v>
      </c>
      <c r="R232" s="1086" t="str">
        <f>IFERROR(VLOOKUP(F232,Trainingsarten!$A$9:$N$84,14,FALSE),"")</f>
        <v/>
      </c>
      <c r="S232" s="1087" t="str">
        <f t="shared" si="56"/>
        <v/>
      </c>
      <c r="T232" s="1210">
        <f t="shared" si="53"/>
        <v>45.085712173636971</v>
      </c>
      <c r="U232" s="1089">
        <f t="shared" si="52"/>
        <v>46.664212165500324</v>
      </c>
      <c r="V232" s="1259">
        <f t="shared" si="54"/>
        <v>-4.7976338541777608</v>
      </c>
      <c r="W232" s="3284">
        <f t="shared" si="57"/>
        <v>0.9661732210057461</v>
      </c>
      <c r="X232" s="3300"/>
      <c r="Y232" s="3316"/>
      <c r="AA232" s="3301"/>
      <c r="AB232" s="3409"/>
      <c r="AE232" s="1056"/>
    </row>
    <row r="233" spans="2:31" ht="16" thickBot="1" x14ac:dyDescent="0.25">
      <c r="B233" s="2983">
        <f>AVERAGE(W227:W233)</f>
        <v>1.0214344831023872</v>
      </c>
      <c r="C233" s="1260">
        <v>43331</v>
      </c>
      <c r="D233" s="1108" t="s">
        <v>679</v>
      </c>
      <c r="E233" s="1261"/>
      <c r="F233" s="2646" t="s">
        <v>643</v>
      </c>
      <c r="G233" s="1217">
        <v>7.6655092592592594E-2</v>
      </c>
      <c r="H233" s="1366">
        <v>19.899999999999999</v>
      </c>
      <c r="I233" s="1370">
        <f t="shared" si="49"/>
        <v>3.8520147031453566E-3</v>
      </c>
      <c r="J233" s="1222">
        <v>141</v>
      </c>
      <c r="K233" s="1221">
        <v>112</v>
      </c>
      <c r="L233" s="2802">
        <v>213</v>
      </c>
      <c r="M233" s="2824"/>
      <c r="N233" s="1223">
        <f t="shared" si="58"/>
        <v>1.0580507012675318</v>
      </c>
      <c r="O233" s="1224" t="s">
        <v>487</v>
      </c>
      <c r="P233" s="1225" t="str">
        <f>IFERROR(VLOOKUP(F233,Trainingsarten!$A$9:$N$84,12,FALSE),"")</f>
        <v/>
      </c>
      <c r="Q233" s="1226" t="s">
        <v>437</v>
      </c>
      <c r="R233" s="1105" t="str">
        <f>IFERROR(VLOOKUP(F233,Trainingsarten!$A$9:$N$84,14,FALSE),"")</f>
        <v/>
      </c>
      <c r="S233" s="1106">
        <f t="shared" si="56"/>
        <v>1.5106382978723405</v>
      </c>
      <c r="T233" s="1227">
        <f t="shared" si="53"/>
        <v>54.644896148831691</v>
      </c>
      <c r="U233" s="1108">
        <f t="shared" si="52"/>
        <v>48.219826161559837</v>
      </c>
      <c r="V233" s="1109">
        <f t="shared" si="54"/>
        <v>1.5784999918633531</v>
      </c>
      <c r="W233" s="3285">
        <f t="shared" si="57"/>
        <v>1.1332453992211575</v>
      </c>
      <c r="X233" s="3300"/>
      <c r="Y233" s="3316"/>
      <c r="AA233" s="3301"/>
      <c r="AB233" s="3409"/>
      <c r="AE233" s="1056"/>
    </row>
    <row r="234" spans="2:31" ht="16" thickBot="1" x14ac:dyDescent="0.25">
      <c r="B234" s="2977">
        <f>B227+1</f>
        <v>34</v>
      </c>
      <c r="C234" s="1241">
        <v>43332</v>
      </c>
      <c r="D234" s="1268"/>
      <c r="E234" s="1394"/>
      <c r="F234" s="2649"/>
      <c r="G234" s="1193"/>
      <c r="H234" s="1287" t="str">
        <f>IFERROR(VLOOKUP(F234,Trainingsarten!$A$9:$K$78,10,FALSE),"")</f>
        <v/>
      </c>
      <c r="I234" s="1288" t="str">
        <f t="shared" si="49"/>
        <v/>
      </c>
      <c r="J234" s="1289"/>
      <c r="K234" s="1197"/>
      <c r="L234" s="2800"/>
      <c r="M234" s="2822"/>
      <c r="N234" s="1199" t="str">
        <f t="shared" si="58"/>
        <v/>
      </c>
      <c r="O234" s="1200"/>
      <c r="P234" s="1267" t="str">
        <f>IFERROR(VLOOKUP(F234,Trainingsarten!$A$9:$N$84,12,FALSE),"")</f>
        <v/>
      </c>
      <c r="Q234" s="1202" t="s">
        <v>437</v>
      </c>
      <c r="R234" s="1069" t="str">
        <f>IFERROR(VLOOKUP(F234,Trainingsarten!$A$9:$N$84,14,FALSE),"")</f>
        <v/>
      </c>
      <c r="S234" s="1070" t="str">
        <f t="shared" si="56"/>
        <v/>
      </c>
      <c r="T234" s="1268">
        <f t="shared" si="53"/>
        <v>46.838482413284304</v>
      </c>
      <c r="U234" s="1191">
        <f t="shared" si="52"/>
        <v>47.071735062475078</v>
      </c>
      <c r="V234" s="1244">
        <f t="shared" si="54"/>
        <v>-6.4250699872718542</v>
      </c>
      <c r="W234" s="3286">
        <f t="shared" si="57"/>
        <v>0.99504474077955285</v>
      </c>
      <c r="X234" s="3300"/>
      <c r="Y234" s="3316"/>
      <c r="AA234" s="3301"/>
      <c r="AB234" s="3409"/>
      <c r="AE234" s="1056"/>
    </row>
    <row r="235" spans="2:31" x14ac:dyDescent="0.2">
      <c r="B235" s="2978" t="s">
        <v>626</v>
      </c>
      <c r="C235" s="1211">
        <v>43333</v>
      </c>
      <c r="D235" s="1210" t="s">
        <v>680</v>
      </c>
      <c r="E235" s="1395"/>
      <c r="F235" s="2650" t="s">
        <v>464</v>
      </c>
      <c r="G235" s="1166">
        <v>4.8969907407407413E-2</v>
      </c>
      <c r="H235" s="1167">
        <v>14.3</v>
      </c>
      <c r="I235" s="1168">
        <f t="shared" si="49"/>
        <v>3.4244690494690498E-3</v>
      </c>
      <c r="J235" s="1169">
        <v>141</v>
      </c>
      <c r="K235" s="1206">
        <v>93</v>
      </c>
      <c r="L235" s="2801">
        <v>234</v>
      </c>
      <c r="M235" s="2823"/>
      <c r="N235" s="1208">
        <f t="shared" si="58"/>
        <v>1.0333514246947084</v>
      </c>
      <c r="O235" s="1209" t="s">
        <v>667</v>
      </c>
      <c r="P235" s="1136" t="str">
        <f>IFERROR(VLOOKUP(F235,Trainingsarten!$A$9:$N$84,12,FALSE),"")</f>
        <v/>
      </c>
      <c r="Q235" s="1137" t="s">
        <v>437</v>
      </c>
      <c r="R235" s="1086" t="str">
        <f>IFERROR(VLOOKUP(F235,Trainingsarten!$A$9:$N$84,14,FALSE),"")</f>
        <v/>
      </c>
      <c r="S235" s="1087">
        <f t="shared" si="56"/>
        <v>1.6595744680851063</v>
      </c>
      <c r="T235" s="1210">
        <f t="shared" si="53"/>
        <v>53.432984925672258</v>
      </c>
      <c r="U235" s="1212">
        <f t="shared" si="52"/>
        <v>48.165265180035192</v>
      </c>
      <c r="V235" s="1259">
        <f t="shared" si="54"/>
        <v>0.23325264919077426</v>
      </c>
      <c r="W235" s="3284">
        <f t="shared" si="57"/>
        <v>1.1093676060112416</v>
      </c>
      <c r="X235" s="3300"/>
      <c r="Y235" s="3316"/>
      <c r="AA235" s="3301"/>
      <c r="AB235" s="3409"/>
      <c r="AE235" s="1056"/>
    </row>
    <row r="236" spans="2:31" ht="16" thickBot="1" x14ac:dyDescent="0.25">
      <c r="B236" s="2979">
        <f>SUM(H234:H240)</f>
        <v>70.36</v>
      </c>
      <c r="C236" s="1211">
        <v>43334</v>
      </c>
      <c r="D236" s="1210" t="s">
        <v>681</v>
      </c>
      <c r="E236" s="1395"/>
      <c r="F236" s="2651" t="s">
        <v>665</v>
      </c>
      <c r="G236" s="1166">
        <v>4.5312499999999999E-2</v>
      </c>
      <c r="H236" s="1167">
        <v>11.6</v>
      </c>
      <c r="I236" s="1168">
        <f t="shared" si="49"/>
        <v>3.90625E-3</v>
      </c>
      <c r="J236" s="1169">
        <v>123</v>
      </c>
      <c r="K236" s="1206">
        <v>63</v>
      </c>
      <c r="L236" s="2801">
        <v>210</v>
      </c>
      <c r="M236" s="2823"/>
      <c r="N236" s="1208">
        <f t="shared" si="58"/>
        <v>1.0578358208955225</v>
      </c>
      <c r="O236" s="1209" t="s">
        <v>668</v>
      </c>
      <c r="P236" s="1136" t="str">
        <f>IFERROR(VLOOKUP(F236,Trainingsarten!$A$9:$N$84,12,FALSE),"")</f>
        <v/>
      </c>
      <c r="Q236" s="1137" t="s">
        <v>437</v>
      </c>
      <c r="R236" s="1086" t="str">
        <f>IFERROR(VLOOKUP(F236,Trainingsarten!$A$9:$N$84,14,FALSE),"")</f>
        <v/>
      </c>
      <c r="S236" s="1087">
        <f t="shared" ref="S236:S270" si="59">IFERROR(L236/J236,"")</f>
        <v>1.7073170731707317</v>
      </c>
      <c r="T236" s="1210">
        <f t="shared" si="53"/>
        <v>54.799701364861939</v>
      </c>
      <c r="U236" s="1089">
        <f t="shared" si="52"/>
        <v>48.518473151939119</v>
      </c>
      <c r="V236" s="1090">
        <f t="shared" si="54"/>
        <v>-5.2677197456370664</v>
      </c>
      <c r="W236" s="3284">
        <f t="shared" si="57"/>
        <v>1.1294605498662891</v>
      </c>
      <c r="X236" s="3300"/>
      <c r="Y236" s="3316"/>
      <c r="AA236" s="3301"/>
      <c r="AB236" s="3409"/>
      <c r="AE236" s="1056"/>
    </row>
    <row r="237" spans="2:31" x14ac:dyDescent="0.2">
      <c r="B237" s="2980" t="s">
        <v>628</v>
      </c>
      <c r="C237" s="1204">
        <v>43335</v>
      </c>
      <c r="D237" s="1088" t="s">
        <v>682</v>
      </c>
      <c r="E237" s="1396"/>
      <c r="F237" s="2652" t="s">
        <v>650</v>
      </c>
      <c r="G237" s="1166">
        <v>3.8819444444444441E-2</v>
      </c>
      <c r="H237" s="1167">
        <v>12.86</v>
      </c>
      <c r="I237" s="1168">
        <f t="shared" si="49"/>
        <v>3.0186193191636427E-3</v>
      </c>
      <c r="J237" s="1169">
        <v>155</v>
      </c>
      <c r="K237" s="1206">
        <v>85</v>
      </c>
      <c r="L237" s="2801">
        <v>262</v>
      </c>
      <c r="M237" s="2823"/>
      <c r="N237" s="1208">
        <f t="shared" si="58"/>
        <v>1.0198788328961723</v>
      </c>
      <c r="O237" s="1209" t="s">
        <v>667</v>
      </c>
      <c r="P237" s="1136" t="str">
        <f>IFERROR(VLOOKUP(F237,Trainingsarten!$A$9:$N$84,12,FALSE),"")</f>
        <v/>
      </c>
      <c r="Q237" s="1137" t="s">
        <v>437</v>
      </c>
      <c r="R237" s="1086" t="str">
        <f>IFERROR(VLOOKUP(F237,Trainingsarten!$A$9:$N$84,14,FALSE),"")</f>
        <v/>
      </c>
      <c r="S237" s="1087">
        <f t="shared" si="59"/>
        <v>1.6903225806451614</v>
      </c>
      <c r="T237" s="1210">
        <f t="shared" si="53"/>
        <v>59.114029741310233</v>
      </c>
      <c r="U237" s="1089">
        <f t="shared" si="52"/>
        <v>49.387080934035808</v>
      </c>
      <c r="V237" s="1090">
        <f t="shared" si="54"/>
        <v>-6.2812282129228194</v>
      </c>
      <c r="W237" s="3284">
        <f t="shared" si="57"/>
        <v>1.1969533048585377</v>
      </c>
      <c r="X237" s="3300"/>
      <c r="Y237" s="3316"/>
      <c r="AA237" s="3301"/>
      <c r="AB237" s="3409"/>
      <c r="AE237" s="1056"/>
    </row>
    <row r="238" spans="2:31" ht="16" thickBot="1" x14ac:dyDescent="0.25">
      <c r="B238" s="2981">
        <f>SUM(K234:K240)</f>
        <v>425</v>
      </c>
      <c r="C238" s="1211">
        <v>43336</v>
      </c>
      <c r="D238" s="1210" t="s">
        <v>683</v>
      </c>
      <c r="E238" s="1395"/>
      <c r="F238" s="2652" t="s">
        <v>665</v>
      </c>
      <c r="G238" s="1166">
        <v>4.4849537037037035E-2</v>
      </c>
      <c r="H238" s="1167">
        <v>11.6</v>
      </c>
      <c r="I238" s="1168">
        <f t="shared" si="49"/>
        <v>3.866339399744572E-3</v>
      </c>
      <c r="J238" s="1169">
        <v>128</v>
      </c>
      <c r="K238" s="1206">
        <v>65</v>
      </c>
      <c r="L238" s="2801">
        <v>214</v>
      </c>
      <c r="M238" s="2823"/>
      <c r="N238" s="1208">
        <f t="shared" si="58"/>
        <v>1.0669711785898095</v>
      </c>
      <c r="O238" s="1209" t="s">
        <v>668</v>
      </c>
      <c r="P238" s="1136" t="str">
        <f>IFERROR(VLOOKUP(F238,Trainingsarten!$A$9:$N$84,12,FALSE),"")</f>
        <v/>
      </c>
      <c r="Q238" s="1137" t="s">
        <v>437</v>
      </c>
      <c r="R238" s="1086" t="str">
        <f>IFERROR(VLOOKUP(F238,Trainingsarten!$A$9:$N$84,14,FALSE),"")</f>
        <v/>
      </c>
      <c r="S238" s="1087">
        <f t="shared" si="59"/>
        <v>1.671875</v>
      </c>
      <c r="T238" s="1210">
        <f t="shared" si="53"/>
        <v>59.954882635408772</v>
      </c>
      <c r="U238" s="1089">
        <f t="shared" si="52"/>
        <v>49.758817102273049</v>
      </c>
      <c r="V238" s="1090">
        <f t="shared" si="54"/>
        <v>-9.7269488072744252</v>
      </c>
      <c r="W238" s="3284">
        <f t="shared" si="57"/>
        <v>1.204909725088098</v>
      </c>
      <c r="X238" s="3300"/>
      <c r="Y238" s="3316"/>
      <c r="AA238" s="3301"/>
      <c r="AB238" s="3409"/>
      <c r="AE238" s="1056"/>
    </row>
    <row r="239" spans="2:31" x14ac:dyDescent="0.2">
      <c r="B239" s="2982" t="s">
        <v>761</v>
      </c>
      <c r="C239" s="1211">
        <v>43337</v>
      </c>
      <c r="D239" s="1210" t="s">
        <v>684</v>
      </c>
      <c r="E239" s="1395"/>
      <c r="F239" s="2652" t="s">
        <v>644</v>
      </c>
      <c r="G239" s="1166">
        <v>7.2268518518518524E-2</v>
      </c>
      <c r="H239" s="1167">
        <v>20</v>
      </c>
      <c r="I239" s="1168">
        <f t="shared" si="49"/>
        <v>3.6134259259259262E-3</v>
      </c>
      <c r="J239" s="1169">
        <v>135</v>
      </c>
      <c r="K239" s="1206">
        <v>119</v>
      </c>
      <c r="L239" s="2801">
        <v>225</v>
      </c>
      <c r="M239" s="2823"/>
      <c r="N239" s="1208">
        <f t="shared" si="58"/>
        <v>1.0484328358208956</v>
      </c>
      <c r="O239" s="1209" t="s">
        <v>487</v>
      </c>
      <c r="P239" s="1136" t="str">
        <f>IFERROR(VLOOKUP(F239,Trainingsarten!$A$9:$N$84,12,FALSE),"")</f>
        <v/>
      </c>
      <c r="Q239" s="1137" t="s">
        <v>437</v>
      </c>
      <c r="R239" s="1086" t="str">
        <f>IFERROR(VLOOKUP(F239,Trainingsarten!$A$9:$N$84,14,FALSE),"")</f>
        <v/>
      </c>
      <c r="S239" s="1087">
        <f t="shared" si="59"/>
        <v>1.6666666666666667</v>
      </c>
      <c r="T239" s="1210">
        <f t="shared" si="53"/>
        <v>68.389899401778948</v>
      </c>
      <c r="U239" s="1089">
        <f t="shared" si="52"/>
        <v>51.407416695076073</v>
      </c>
      <c r="V239" s="1090">
        <f t="shared" si="54"/>
        <v>-10.196065533135723</v>
      </c>
      <c r="W239" s="3284">
        <f t="shared" si="57"/>
        <v>1.330350828703079</v>
      </c>
      <c r="X239" s="3300"/>
      <c r="Y239" s="3316"/>
      <c r="AA239" s="3301"/>
      <c r="AB239" s="3409"/>
      <c r="AE239" s="1056"/>
    </row>
    <row r="240" spans="2:31" ht="16" thickBot="1" x14ac:dyDescent="0.25">
      <c r="B240" s="2983">
        <f>AVERAGE(W234:W240)</f>
        <v>1.1620285254386395</v>
      </c>
      <c r="C240" s="1260">
        <v>43338</v>
      </c>
      <c r="D240" s="1107"/>
      <c r="E240" s="1397"/>
      <c r="F240" s="2653"/>
      <c r="G240" s="1217"/>
      <c r="H240" s="1366" t="str">
        <f>IFERROR(VLOOKUP(F240,Trainingsarten!$A$9:$K$78,10,FALSE),"")</f>
        <v/>
      </c>
      <c r="I240" s="1363" t="str">
        <f t="shared" si="49"/>
        <v/>
      </c>
      <c r="J240" s="1367"/>
      <c r="K240" s="1221"/>
      <c r="L240" s="2802"/>
      <c r="M240" s="2824"/>
      <c r="N240" s="1223" t="str">
        <f t="shared" si="58"/>
        <v/>
      </c>
      <c r="O240" s="1224"/>
      <c r="P240" s="1225" t="str">
        <f>IFERROR(VLOOKUP(F240,Trainingsarten!$A$9:$N$84,12,FALSE),"")</f>
        <v/>
      </c>
      <c r="Q240" s="1226" t="s">
        <v>437</v>
      </c>
      <c r="R240" s="1105" t="str">
        <f>IFERROR(VLOOKUP(F240,Trainingsarten!$A$9:$N$84,14,FALSE),"")</f>
        <v/>
      </c>
      <c r="S240" s="1106" t="str">
        <f t="shared" si="59"/>
        <v/>
      </c>
      <c r="T240" s="1227">
        <f t="shared" si="53"/>
        <v>58.619913772953382</v>
      </c>
      <c r="U240" s="1108">
        <f t="shared" si="52"/>
        <v>50.183430583288548</v>
      </c>
      <c r="V240" s="1228">
        <f t="shared" si="54"/>
        <v>-16.982482706702875</v>
      </c>
      <c r="W240" s="3287">
        <f t="shared" si="57"/>
        <v>1.1681129227636791</v>
      </c>
      <c r="X240" s="3300"/>
      <c r="Y240" s="3316"/>
      <c r="AA240" s="3301"/>
      <c r="AB240" s="3409"/>
      <c r="AE240" s="1056"/>
    </row>
    <row r="241" spans="2:31" ht="16" thickBot="1" x14ac:dyDescent="0.25">
      <c r="B241" s="2977">
        <f>B234+1</f>
        <v>35</v>
      </c>
      <c r="C241" s="1245">
        <v>43339</v>
      </c>
      <c r="D241" s="1278" t="s">
        <v>685</v>
      </c>
      <c r="E241" s="1398"/>
      <c r="F241" s="2654" t="s">
        <v>659</v>
      </c>
      <c r="G241" s="1113">
        <v>5.0474537037037033E-2</v>
      </c>
      <c r="H241" s="1229">
        <v>15</v>
      </c>
      <c r="I241" s="1399">
        <f t="shared" si="49"/>
        <v>3.3649691358024689E-3</v>
      </c>
      <c r="J241" s="1118">
        <v>149</v>
      </c>
      <c r="K241" s="1117">
        <v>100</v>
      </c>
      <c r="L241" s="1118">
        <v>236</v>
      </c>
      <c r="M241" s="2825"/>
      <c r="N241" s="1119">
        <f t="shared" si="58"/>
        <v>1.0240756218905471</v>
      </c>
      <c r="O241" s="1120" t="s">
        <v>667</v>
      </c>
      <c r="P241" s="1277">
        <f>IFERROR(VLOOKUP(F241,Trainingsarten!$A$9:$N$84,12,FALSE),"")</f>
        <v>255.10000000000002</v>
      </c>
      <c r="Q241" s="1122" t="s">
        <v>437</v>
      </c>
      <c r="R241" s="1122">
        <f>IFERROR(VLOOKUP(F241,Trainingsarten!$A$9:$N$84,14,FALSE),"")</f>
        <v>278.29999999999995</v>
      </c>
      <c r="S241" s="1070">
        <f t="shared" si="59"/>
        <v>1.5838926174496644</v>
      </c>
      <c r="T241" s="1278">
        <f t="shared" si="53"/>
        <v>64.53135466253147</v>
      </c>
      <c r="U241" s="1111">
        <f t="shared" si="52"/>
        <v>51.369539378924536</v>
      </c>
      <c r="V241" s="1124">
        <f t="shared" si="54"/>
        <v>-8.436483189664834</v>
      </c>
      <c r="W241" s="3283">
        <f t="shared" si="57"/>
        <v>1.2562182850525394</v>
      </c>
      <c r="X241" s="3300"/>
      <c r="Y241" s="3316"/>
      <c r="AA241" s="3301"/>
      <c r="AB241" s="3409"/>
      <c r="AE241" s="1056"/>
    </row>
    <row r="242" spans="2:31" x14ac:dyDescent="0.2">
      <c r="B242" s="2978" t="s">
        <v>626</v>
      </c>
      <c r="C242" s="1400">
        <v>43340</v>
      </c>
      <c r="D242" s="1401"/>
      <c r="E242" s="1402"/>
      <c r="F242" s="2655"/>
      <c r="G242" s="1403"/>
      <c r="H242" s="1404" t="str">
        <f>IFERROR(VLOOKUP(F242,Trainingsarten!$A$9:$K$78,10,FALSE),"")</f>
        <v/>
      </c>
      <c r="I242" s="1405" t="str">
        <f t="shared" si="49"/>
        <v/>
      </c>
      <c r="J242" s="1406"/>
      <c r="K242" s="1407"/>
      <c r="L242" s="2801"/>
      <c r="M242" s="2823"/>
      <c r="N242" s="1408" t="str">
        <f t="shared" si="58"/>
        <v/>
      </c>
      <c r="O242" s="1409"/>
      <c r="P242" s="1410" t="str">
        <f>IFERROR(VLOOKUP(F242,Trainingsarten!$A$9:$N$84,12,FALSE),"")</f>
        <v/>
      </c>
      <c r="Q242" s="1411" t="s">
        <v>437</v>
      </c>
      <c r="R242" s="1086" t="str">
        <f>IFERROR(VLOOKUP(F242,Trainingsarten!$A$9:$N$84,14,FALSE),"")</f>
        <v/>
      </c>
      <c r="S242" s="1087" t="str">
        <f t="shared" si="59"/>
        <v/>
      </c>
      <c r="T242" s="1088">
        <f t="shared" si="53"/>
        <v>55.312589710741264</v>
      </c>
      <c r="U242" s="1089">
        <f t="shared" si="52"/>
        <v>50.14645510799776</v>
      </c>
      <c r="V242" s="1090">
        <f t="shared" si="54"/>
        <v>-13.161815283606934</v>
      </c>
      <c r="W242" s="3284">
        <f t="shared" si="57"/>
        <v>1.1030209332168639</v>
      </c>
      <c r="X242" s="3300"/>
      <c r="Y242" s="3316"/>
      <c r="AA242" s="3301"/>
      <c r="AB242" s="3409"/>
      <c r="AE242" s="1056"/>
    </row>
    <row r="243" spans="2:31" ht="16" thickBot="1" x14ac:dyDescent="0.25">
      <c r="B243" s="2979">
        <f>SUM(H241:H247)</f>
        <v>79.3</v>
      </c>
      <c r="C243" s="1412">
        <v>43341</v>
      </c>
      <c r="D243" s="1413" t="s">
        <v>686</v>
      </c>
      <c r="E243" s="1414"/>
      <c r="F243" s="2655" t="s">
        <v>665</v>
      </c>
      <c r="G243" s="1415">
        <v>4.5567129629629631E-2</v>
      </c>
      <c r="H243" s="1416">
        <v>11.6</v>
      </c>
      <c r="I243" s="1417">
        <f t="shared" si="49"/>
        <v>3.9282008301404856E-3</v>
      </c>
      <c r="J243" s="1418">
        <v>127</v>
      </c>
      <c r="K243" s="1419">
        <v>64</v>
      </c>
      <c r="L243" s="2801">
        <v>210</v>
      </c>
      <c r="M243" s="2823"/>
      <c r="N243" s="1408">
        <f t="shared" si="58"/>
        <v>1.0637802367472982</v>
      </c>
      <c r="O243" s="1420" t="s">
        <v>668</v>
      </c>
      <c r="P243" s="1421" t="str">
        <f>IFERROR(VLOOKUP(F243,Trainingsarten!$A$9:$N$84,12,FALSE),"")</f>
        <v/>
      </c>
      <c r="Q243" s="1422" t="s">
        <v>437</v>
      </c>
      <c r="R243" s="1086" t="str">
        <f>IFERROR(VLOOKUP(F243,Trainingsarten!$A$9:$N$84,14,FALSE),"")</f>
        <v/>
      </c>
      <c r="S243" s="1087">
        <f t="shared" si="59"/>
        <v>1.6535433070866141</v>
      </c>
      <c r="T243" s="1088">
        <f t="shared" si="53"/>
        <v>56.55364832349251</v>
      </c>
      <c r="U243" s="1089">
        <f t="shared" si="52"/>
        <v>50.476301414950193</v>
      </c>
      <c r="V243" s="1090">
        <f t="shared" si="54"/>
        <v>-5.1661346027435044</v>
      </c>
      <c r="W243" s="3284">
        <f t="shared" si="57"/>
        <v>1.1204000043224702</v>
      </c>
      <c r="X243" s="3300"/>
      <c r="Y243" s="3316"/>
      <c r="AA243" s="3301"/>
      <c r="AB243" s="3409"/>
      <c r="AE243" s="1056"/>
    </row>
    <row r="244" spans="2:31" x14ac:dyDescent="0.2">
      <c r="B244" s="2980" t="s">
        <v>628</v>
      </c>
      <c r="C244" s="1412">
        <v>43342</v>
      </c>
      <c r="D244" s="1413"/>
      <c r="E244" s="1414"/>
      <c r="F244" s="2655"/>
      <c r="G244" s="1415"/>
      <c r="H244" s="1416" t="str">
        <f>IFERROR(VLOOKUP(F244,Trainingsarten!$A$9:$K$78,10,FALSE),"")</f>
        <v/>
      </c>
      <c r="I244" s="1417" t="str">
        <f t="shared" si="49"/>
        <v/>
      </c>
      <c r="J244" s="1418"/>
      <c r="K244" s="1419"/>
      <c r="L244" s="2801"/>
      <c r="M244" s="2823"/>
      <c r="N244" s="1408" t="str">
        <f t="shared" si="58"/>
        <v/>
      </c>
      <c r="O244" s="1420"/>
      <c r="P244" s="1421" t="str">
        <f>IFERROR(VLOOKUP(F244,Trainingsarten!$A$9:$N$84,12,FALSE),"")</f>
        <v/>
      </c>
      <c r="Q244" s="1422" t="s">
        <v>437</v>
      </c>
      <c r="R244" s="1086" t="str">
        <f>IFERROR(VLOOKUP(F244,Trainingsarten!$A$9:$N$84,14,FALSE),"")</f>
        <v/>
      </c>
      <c r="S244" s="1087" t="str">
        <f t="shared" si="59"/>
        <v/>
      </c>
      <c r="T244" s="1088">
        <f t="shared" si="53"/>
        <v>48.474555705850719</v>
      </c>
      <c r="U244" s="1089">
        <f t="shared" si="52"/>
        <v>49.274484714594237</v>
      </c>
      <c r="V244" s="1090">
        <f t="shared" si="54"/>
        <v>-6.0773469085423173</v>
      </c>
      <c r="W244" s="3284">
        <f t="shared" si="57"/>
        <v>0.98376585745387624</v>
      </c>
      <c r="X244" s="3300"/>
      <c r="Y244" s="3316"/>
      <c r="AA244" s="3301"/>
      <c r="AB244" s="3409"/>
      <c r="AE244" s="1056"/>
    </row>
    <row r="245" spans="2:31" ht="16" thickBot="1" x14ac:dyDescent="0.25">
      <c r="B245" s="2981">
        <f>SUM(K241:K247)</f>
        <v>479</v>
      </c>
      <c r="C245" s="1423">
        <v>43343</v>
      </c>
      <c r="D245" s="1424" t="s">
        <v>687</v>
      </c>
      <c r="E245" s="1425"/>
      <c r="F245" s="2655" t="s">
        <v>651</v>
      </c>
      <c r="G245" s="1426">
        <v>6.2210648148148147E-2</v>
      </c>
      <c r="H245" s="1427">
        <v>19.2</v>
      </c>
      <c r="I245" s="1428">
        <f t="shared" si="49"/>
        <v>3.2401379243827159E-3</v>
      </c>
      <c r="J245" s="1429">
        <v>151</v>
      </c>
      <c r="K245" s="1430">
        <v>125</v>
      </c>
      <c r="L245" s="2801">
        <v>246</v>
      </c>
      <c r="M245" s="2823"/>
      <c r="N245" s="1408">
        <f t="shared" si="58"/>
        <v>1.0278684701492538</v>
      </c>
      <c r="O245" s="1431" t="s">
        <v>667</v>
      </c>
      <c r="P245" s="1432" t="str">
        <f>IFERROR(VLOOKUP(F245,Trainingsarten!$A$9:$N$84,12,FALSE),"")</f>
        <v/>
      </c>
      <c r="Q245" s="1422" t="s">
        <v>437</v>
      </c>
      <c r="R245" s="1086" t="str">
        <f>IFERROR(VLOOKUP(F245,Trainingsarten!$A$9:$N$84,14,FALSE),"")</f>
        <v/>
      </c>
      <c r="S245" s="1087">
        <f t="shared" si="59"/>
        <v>1.6291390728476822</v>
      </c>
      <c r="T245" s="1088">
        <f t="shared" si="53"/>
        <v>59.406762033586332</v>
      </c>
      <c r="U245" s="1089">
        <f t="shared" si="52"/>
        <v>51.077473173770564</v>
      </c>
      <c r="V245" s="1090">
        <f t="shared" si="54"/>
        <v>0.79992900874351847</v>
      </c>
      <c r="W245" s="3284">
        <f t="shared" si="57"/>
        <v>1.1630716701955619</v>
      </c>
      <c r="X245" s="3300"/>
      <c r="Y245" s="3316"/>
      <c r="AA245" s="3301"/>
      <c r="AB245" s="3409"/>
      <c r="AE245" s="1056"/>
    </row>
    <row r="246" spans="2:31" x14ac:dyDescent="0.2">
      <c r="B246" s="2982" t="s">
        <v>761</v>
      </c>
      <c r="C246" s="1423">
        <v>43344</v>
      </c>
      <c r="D246" s="1424" t="s">
        <v>688</v>
      </c>
      <c r="E246" s="1425"/>
      <c r="F246" s="2656" t="s">
        <v>665</v>
      </c>
      <c r="G246" s="1426">
        <v>3.8240740740740742E-2</v>
      </c>
      <c r="H246" s="1427">
        <v>10.1</v>
      </c>
      <c r="I246" s="1428">
        <f t="shared" si="49"/>
        <v>3.7862119545287866E-3</v>
      </c>
      <c r="J246" s="1429">
        <v>132</v>
      </c>
      <c r="K246" s="1430">
        <v>59</v>
      </c>
      <c r="L246" s="2801">
        <v>216</v>
      </c>
      <c r="M246" s="2823"/>
      <c r="N246" s="1408">
        <f t="shared" si="58"/>
        <v>1.0546239101522095</v>
      </c>
      <c r="O246" s="1431" t="s">
        <v>668</v>
      </c>
      <c r="P246" s="1432" t="str">
        <f>IFERROR(VLOOKUP(F246,Trainingsarten!$A$9:$N$84,12,FALSE),"")</f>
        <v/>
      </c>
      <c r="Q246" s="1422" t="s">
        <v>437</v>
      </c>
      <c r="R246" s="1086" t="str">
        <f>IFERROR(VLOOKUP(F246,Trainingsarten!$A$9:$N$84,14,FALSE),"")</f>
        <v/>
      </c>
      <c r="S246" s="1087">
        <f t="shared" si="59"/>
        <v>1.6363636363636365</v>
      </c>
      <c r="T246" s="1088">
        <f t="shared" si="53"/>
        <v>59.348653171645431</v>
      </c>
      <c r="U246" s="1089">
        <f t="shared" si="52"/>
        <v>51.266104764871265</v>
      </c>
      <c r="V246" s="1090">
        <f t="shared" si="54"/>
        <v>-8.3292888598157688</v>
      </c>
      <c r="W246" s="3284">
        <f t="shared" si="57"/>
        <v>1.1576587190277916</v>
      </c>
      <c r="X246" s="3300"/>
      <c r="Y246" s="3316"/>
      <c r="AA246" s="3301"/>
      <c r="AB246" s="3409"/>
      <c r="AE246" s="1056"/>
    </row>
    <row r="247" spans="2:31" ht="16" thickBot="1" x14ac:dyDescent="0.25">
      <c r="B247" s="2983">
        <f>AVERAGE(W241:W247)</f>
        <v>1.1561412211152025</v>
      </c>
      <c r="C247" s="1189">
        <v>43345</v>
      </c>
      <c r="D247" s="1239" t="s">
        <v>689</v>
      </c>
      <c r="E247" s="1433"/>
      <c r="F247" s="2651" t="s">
        <v>645</v>
      </c>
      <c r="G247" s="1141">
        <v>8.8159722222222223E-2</v>
      </c>
      <c r="H247" s="1234">
        <v>23.4</v>
      </c>
      <c r="I247" s="1434">
        <f t="shared" si="49"/>
        <v>3.7675094966761638E-3</v>
      </c>
      <c r="J247" s="1146">
        <v>134</v>
      </c>
      <c r="K247" s="1237">
        <v>131</v>
      </c>
      <c r="L247" s="2803">
        <v>216</v>
      </c>
      <c r="M247" s="2826"/>
      <c r="N247" s="1238">
        <f t="shared" si="58"/>
        <v>1.049414466130884</v>
      </c>
      <c r="O247" s="1148" t="s">
        <v>668</v>
      </c>
      <c r="P247" s="1149" t="str">
        <f>IFERROR(VLOOKUP(F247,Trainingsarten!$A$9:$N$84,12,FALSE),"")</f>
        <v/>
      </c>
      <c r="Q247" s="1151" t="s">
        <v>437</v>
      </c>
      <c r="R247" s="1151" t="str">
        <f>IFERROR(VLOOKUP(F247,Trainingsarten!$A$9:$N$84,14,FALSE),"")</f>
        <v/>
      </c>
      <c r="S247" s="1106">
        <f t="shared" si="59"/>
        <v>1.6119402985074627</v>
      </c>
      <c r="T247" s="1239">
        <f t="shared" si="53"/>
        <v>69.584559861410369</v>
      </c>
      <c r="U247" s="1258">
        <f t="shared" si="52"/>
        <v>53.164530841898141</v>
      </c>
      <c r="V247" s="1154">
        <f t="shared" si="54"/>
        <v>-8.0825484067741655</v>
      </c>
      <c r="W247" s="3285">
        <f t="shared" si="57"/>
        <v>1.3088530785373143</v>
      </c>
      <c r="X247" s="3300"/>
      <c r="Y247" s="3316"/>
      <c r="AA247" s="3301"/>
      <c r="AB247" s="3409"/>
      <c r="AE247" s="1056"/>
    </row>
    <row r="248" spans="2:31" ht="16" thickBot="1" x14ac:dyDescent="0.25">
      <c r="B248" s="2977">
        <f>B241+1</f>
        <v>36</v>
      </c>
      <c r="C248" s="1346">
        <v>43346</v>
      </c>
      <c r="D248" s="1347"/>
      <c r="E248" s="1348"/>
      <c r="F248" s="2657"/>
      <c r="G248" s="1435"/>
      <c r="H248" s="1436" t="str">
        <f>IFERROR(VLOOKUP(F248,Trainingsarten!$A$9:$K$78,10,FALSE),"")</f>
        <v/>
      </c>
      <c r="I248" s="1351" t="str">
        <f t="shared" si="49"/>
        <v/>
      </c>
      <c r="J248" s="1352"/>
      <c r="K248" s="1353"/>
      <c r="L248" s="1915"/>
      <c r="M248" s="2833"/>
      <c r="N248" s="1437" t="str">
        <f t="shared" si="58"/>
        <v/>
      </c>
      <c r="O248" s="1355"/>
      <c r="P248" s="1267" t="str">
        <f>IFERROR(VLOOKUP(F248,Trainingsarten!$A$9:$N$84,12,FALSE),"")</f>
        <v/>
      </c>
      <c r="Q248" s="1202" t="s">
        <v>437</v>
      </c>
      <c r="R248" s="1069" t="str">
        <f>IFERROR(VLOOKUP(F248,Trainingsarten!$A$9:$N$84,14,FALSE),"")</f>
        <v/>
      </c>
      <c r="S248" s="1070" t="str">
        <f t="shared" si="59"/>
        <v/>
      </c>
      <c r="T248" s="1268">
        <f t="shared" si="53"/>
        <v>59.643908452637461</v>
      </c>
      <c r="U248" s="1191">
        <f t="shared" si="52"/>
        <v>51.898708678995803</v>
      </c>
      <c r="V248" s="1244">
        <f t="shared" si="54"/>
        <v>-16.420029019512228</v>
      </c>
      <c r="W248" s="3286">
        <f t="shared" si="57"/>
        <v>1.1492368494473979</v>
      </c>
      <c r="X248" s="3300"/>
      <c r="Y248" s="3316"/>
      <c r="AA248" s="3301"/>
      <c r="AB248" s="3409"/>
      <c r="AE248" s="1056"/>
    </row>
    <row r="249" spans="2:31" x14ac:dyDescent="0.2">
      <c r="B249" s="2978" t="s">
        <v>626</v>
      </c>
      <c r="C249" s="1356">
        <v>43347</v>
      </c>
      <c r="D249" s="1300"/>
      <c r="E249" s="1301"/>
      <c r="F249" s="2658"/>
      <c r="G249" s="1302"/>
      <c r="H249" s="1438" t="str">
        <f>IFERROR(VLOOKUP(F249,Trainingsarten!$A$9:$K$78,10,FALSE),"")</f>
        <v/>
      </c>
      <c r="I249" s="1359" t="str">
        <f t="shared" si="49"/>
        <v/>
      </c>
      <c r="J249" s="1360"/>
      <c r="K249" s="1305"/>
      <c r="L249" s="2806"/>
      <c r="M249" s="2829"/>
      <c r="N249" s="1439" t="str">
        <f t="shared" si="58"/>
        <v/>
      </c>
      <c r="O249" s="1307"/>
      <c r="P249" s="1136" t="str">
        <f>IFERROR(VLOOKUP(F249,Trainingsarten!$A$9:$N$84,12,FALSE),"")</f>
        <v/>
      </c>
      <c r="Q249" s="1137" t="s">
        <v>437</v>
      </c>
      <c r="R249" s="1086" t="str">
        <f>IFERROR(VLOOKUP(F249,Trainingsarten!$A$9:$N$84,14,FALSE),"")</f>
        <v/>
      </c>
      <c r="S249" s="1087" t="str">
        <f t="shared" si="59"/>
        <v/>
      </c>
      <c r="T249" s="1210">
        <f t="shared" si="53"/>
        <v>51.12335010226068</v>
      </c>
      <c r="U249" s="1089">
        <f t="shared" si="52"/>
        <v>50.663025139019709</v>
      </c>
      <c r="V249" s="1090">
        <f t="shared" si="54"/>
        <v>-7.7451997736416587</v>
      </c>
      <c r="W249" s="3284">
        <f t="shared" si="57"/>
        <v>1.0090860141489348</v>
      </c>
      <c r="X249" s="3300"/>
      <c r="Y249" s="3316"/>
      <c r="AA249" s="3301"/>
      <c r="AB249" s="3409"/>
      <c r="AE249" s="1056"/>
    </row>
    <row r="250" spans="2:31" ht="16" thickBot="1" x14ac:dyDescent="0.25">
      <c r="B250" s="2979">
        <f>SUM(H248:H254)</f>
        <v>33.200000000000003</v>
      </c>
      <c r="C250" s="1356">
        <v>43348</v>
      </c>
      <c r="D250" s="1300" t="s">
        <v>691</v>
      </c>
      <c r="E250" s="1301"/>
      <c r="F250" s="2658" t="s">
        <v>665</v>
      </c>
      <c r="G250" s="1302">
        <v>4.462962962962963E-2</v>
      </c>
      <c r="H250" s="1438">
        <v>11.6</v>
      </c>
      <c r="I250" s="1359">
        <f t="shared" si="49"/>
        <v>3.8473818646232441E-3</v>
      </c>
      <c r="J250" s="1360">
        <v>126</v>
      </c>
      <c r="K250" s="1305">
        <v>64</v>
      </c>
      <c r="L250" s="2806">
        <v>213</v>
      </c>
      <c r="M250" s="2829"/>
      <c r="N250" s="1439">
        <f t="shared" si="58"/>
        <v>1.0567781780751415</v>
      </c>
      <c r="O250" s="1307" t="s">
        <v>668</v>
      </c>
      <c r="P250" s="1136" t="str">
        <f>IFERROR(VLOOKUP(F250,Trainingsarten!$A$9:$N$84,12,FALSE),"")</f>
        <v/>
      </c>
      <c r="Q250" s="1137" t="s">
        <v>437</v>
      </c>
      <c r="R250" s="1086" t="str">
        <f>IFERROR(VLOOKUP(F250,Trainingsarten!$A$9:$N$84,14,FALSE),"")</f>
        <v/>
      </c>
      <c r="S250" s="1087">
        <f t="shared" si="59"/>
        <v>1.6904761904761905</v>
      </c>
      <c r="T250" s="1210">
        <f t="shared" si="53"/>
        <v>52.962871516223437</v>
      </c>
      <c r="U250" s="1089">
        <f t="shared" si="52"/>
        <v>50.980572159519241</v>
      </c>
      <c r="V250" s="1090">
        <f t="shared" si="54"/>
        <v>-0.46032496324097139</v>
      </c>
      <c r="W250" s="3284">
        <f t="shared" si="57"/>
        <v>1.0388834270141485</v>
      </c>
      <c r="X250" s="3300"/>
      <c r="Y250" s="3316"/>
      <c r="AA250" s="3301"/>
      <c r="AB250" s="3409"/>
      <c r="AE250" s="1056"/>
    </row>
    <row r="251" spans="2:31" x14ac:dyDescent="0.2">
      <c r="B251" s="2980" t="s">
        <v>628</v>
      </c>
      <c r="C251" s="1299">
        <v>43349</v>
      </c>
      <c r="D251" s="1300"/>
      <c r="E251" s="1301"/>
      <c r="F251" s="2658"/>
      <c r="G251" s="1302"/>
      <c r="H251" s="1438" t="str">
        <f>IFERROR(VLOOKUP(F251,Trainingsarten!$A$9:$K$78,10,FALSE),"")</f>
        <v/>
      </c>
      <c r="I251" s="1359" t="str">
        <f t="shared" si="49"/>
        <v/>
      </c>
      <c r="J251" s="1360"/>
      <c r="K251" s="1305"/>
      <c r="L251" s="2806"/>
      <c r="M251" s="2829"/>
      <c r="N251" s="1439" t="str">
        <f t="shared" si="58"/>
        <v/>
      </c>
      <c r="O251" s="1307"/>
      <c r="P251" s="1136" t="str">
        <f>IFERROR(VLOOKUP(F251,Trainingsarten!$A$9:$N$84,12,FALSE),"")</f>
        <v/>
      </c>
      <c r="Q251" s="1137" t="s">
        <v>437</v>
      </c>
      <c r="R251" s="1086" t="str">
        <f>IFERROR(VLOOKUP(F251,Trainingsarten!$A$9:$N$84,14,FALSE),"")</f>
        <v/>
      </c>
      <c r="S251" s="1087" t="str">
        <f t="shared" si="59"/>
        <v/>
      </c>
      <c r="T251" s="1210">
        <f t="shared" si="53"/>
        <v>45.396747013905802</v>
      </c>
      <c r="U251" s="1089">
        <f t="shared" si="52"/>
        <v>49.766749012864018</v>
      </c>
      <c r="V251" s="1090">
        <f t="shared" si="54"/>
        <v>-1.9822993567041962</v>
      </c>
      <c r="W251" s="3284">
        <f t="shared" si="57"/>
        <v>0.9121903261587645</v>
      </c>
      <c r="X251" s="3300"/>
      <c r="Y251" s="3316"/>
      <c r="AA251" s="3301"/>
      <c r="AB251" s="3409"/>
      <c r="AE251" s="1056"/>
    </row>
    <row r="252" spans="2:31" ht="16" thickBot="1" x14ac:dyDescent="0.25">
      <c r="B252" s="2981">
        <f>SUM(K248:K254)</f>
        <v>192</v>
      </c>
      <c r="C252" s="1299">
        <v>43350</v>
      </c>
      <c r="D252" s="1329" t="s">
        <v>692</v>
      </c>
      <c r="E252" s="1330"/>
      <c r="F252" s="2658" t="s">
        <v>656</v>
      </c>
      <c r="G252" s="1302">
        <v>3.5613425925925923E-2</v>
      </c>
      <c r="H252" s="1438">
        <v>10</v>
      </c>
      <c r="I252" s="1359">
        <f t="shared" ref="I252:I315" si="60">IFERROR(G252/H252,"")</f>
        <v>3.5613425925925925E-3</v>
      </c>
      <c r="J252" s="1360">
        <v>140</v>
      </c>
      <c r="K252" s="1305">
        <v>63</v>
      </c>
      <c r="L252" s="2806">
        <v>227</v>
      </c>
      <c r="M252" s="2829"/>
      <c r="N252" s="1439">
        <f t="shared" si="58"/>
        <v>1.0425059701492536</v>
      </c>
      <c r="O252" s="1307" t="s">
        <v>667</v>
      </c>
      <c r="P252" s="1136">
        <f>IFERROR(VLOOKUP(F252,Trainingsarten!$A$9:$N$84,12,FALSE),"")</f>
        <v>230.89999999999998</v>
      </c>
      <c r="Q252" s="1137" t="s">
        <v>437</v>
      </c>
      <c r="R252" s="1086">
        <f>IFERROR(VLOOKUP(F252,Trainingsarten!$A$9:$N$84,14,FALSE),"")</f>
        <v>254.10000000000002</v>
      </c>
      <c r="S252" s="1087">
        <f t="shared" si="59"/>
        <v>1.6214285714285714</v>
      </c>
      <c r="T252" s="1210">
        <f t="shared" si="53"/>
        <v>47.911497440490685</v>
      </c>
      <c r="U252" s="1089">
        <f t="shared" si="52"/>
        <v>50.08182641731964</v>
      </c>
      <c r="V252" s="1090">
        <f t="shared" si="54"/>
        <v>4.3700019989582159</v>
      </c>
      <c r="W252" s="3284">
        <f t="shared" si="57"/>
        <v>0.9566643404986046</v>
      </c>
      <c r="X252" s="3300"/>
      <c r="Y252" s="3316"/>
      <c r="AA252" s="3301"/>
      <c r="AB252" s="3409"/>
      <c r="AE252" s="1056"/>
    </row>
    <row r="253" spans="2:31" x14ac:dyDescent="0.2">
      <c r="B253" s="2982" t="s">
        <v>761</v>
      </c>
      <c r="C253" s="1299">
        <v>43351</v>
      </c>
      <c r="D253" s="1329" t="s">
        <v>693</v>
      </c>
      <c r="E253" s="1330"/>
      <c r="F253" s="2658" t="s">
        <v>641</v>
      </c>
      <c r="G253" s="1302">
        <v>4.520833333333333E-2</v>
      </c>
      <c r="H253" s="1438">
        <v>11.6</v>
      </c>
      <c r="I253" s="1359">
        <f t="shared" si="60"/>
        <v>3.8972701149425286E-3</v>
      </c>
      <c r="J253" s="1360">
        <v>132</v>
      </c>
      <c r="K253" s="1305">
        <v>65</v>
      </c>
      <c r="L253" s="2806">
        <v>211</v>
      </c>
      <c r="M253" s="2829"/>
      <c r="N253" s="1439">
        <f t="shared" si="58"/>
        <v>1.0604297478126608</v>
      </c>
      <c r="O253" s="1307" t="s">
        <v>668</v>
      </c>
      <c r="P253" s="1136" t="str">
        <f>IFERROR(VLOOKUP(F253,Trainingsarten!$A$9:$N$84,12,FALSE),"")</f>
        <v/>
      </c>
      <c r="Q253" s="1137" t="s">
        <v>437</v>
      </c>
      <c r="R253" s="1086" t="str">
        <f>IFERROR(VLOOKUP(F253,Trainingsarten!$A$9:$N$84,14,FALSE),"")</f>
        <v/>
      </c>
      <c r="S253" s="1087">
        <f t="shared" si="59"/>
        <v>1.5984848484848484</v>
      </c>
      <c r="T253" s="1210">
        <f t="shared" si="53"/>
        <v>50.352712091849156</v>
      </c>
      <c r="U253" s="1089">
        <f t="shared" si="52"/>
        <v>50.437021026431076</v>
      </c>
      <c r="V253" s="1090">
        <f t="shared" si="54"/>
        <v>2.1703289768289551</v>
      </c>
      <c r="W253" s="3284">
        <f t="shared" si="57"/>
        <v>0.99832843151982076</v>
      </c>
      <c r="X253" s="3300"/>
      <c r="Y253" s="3316"/>
      <c r="AA253" s="3301"/>
      <c r="AB253" s="3409"/>
      <c r="AE253" s="1056"/>
    </row>
    <row r="254" spans="2:31" ht="16" thickBot="1" x14ac:dyDescent="0.25">
      <c r="B254" s="2983">
        <f>AVERAGE(W248:W254)</f>
        <v>0.99156720722999314</v>
      </c>
      <c r="C254" s="1309">
        <v>43352</v>
      </c>
      <c r="D254" s="1310"/>
      <c r="E254" s="1311"/>
      <c r="F254" s="2659"/>
      <c r="G254" s="1312"/>
      <c r="H254" s="1440" t="str">
        <f>IFERROR(VLOOKUP(F254,Trainingsarten!$A$9:$K$78,10,FALSE),"")</f>
        <v/>
      </c>
      <c r="I254" s="1441" t="str">
        <f t="shared" si="60"/>
        <v/>
      </c>
      <c r="J254" s="1364"/>
      <c r="K254" s="1316"/>
      <c r="L254" s="2807"/>
      <c r="M254" s="2830"/>
      <c r="N254" s="1442" t="str">
        <f t="shared" si="58"/>
        <v/>
      </c>
      <c r="O254" s="1318"/>
      <c r="P254" s="1225" t="str">
        <f>IFERROR(VLOOKUP(F254,Trainingsarten!$A$9:$N$84,12,FALSE),"")</f>
        <v/>
      </c>
      <c r="Q254" s="1226" t="s">
        <v>437</v>
      </c>
      <c r="R254" s="1105" t="str">
        <f>IFERROR(VLOOKUP(F254,Trainingsarten!$A$9:$N$84,14,FALSE),"")</f>
        <v/>
      </c>
      <c r="S254" s="1106" t="str">
        <f t="shared" si="59"/>
        <v/>
      </c>
      <c r="T254" s="1227">
        <f t="shared" si="53"/>
        <v>43.159467507299276</v>
      </c>
      <c r="U254" s="1108">
        <f t="shared" si="52"/>
        <v>49.236139573420814</v>
      </c>
      <c r="V254" s="1228">
        <f t="shared" si="54"/>
        <v>8.4308934581919459E-2</v>
      </c>
      <c r="W254" s="3287">
        <f t="shared" si="57"/>
        <v>0.87658106182228157</v>
      </c>
      <c r="X254" s="3300"/>
      <c r="Y254" s="3316"/>
      <c r="AA254" s="3301"/>
      <c r="AB254" s="3409"/>
      <c r="AE254" s="1056"/>
    </row>
    <row r="255" spans="2:31" ht="16" thickBot="1" x14ac:dyDescent="0.25">
      <c r="B255" s="2977">
        <f>B248+1</f>
        <v>37</v>
      </c>
      <c r="C255" s="1319">
        <v>43353</v>
      </c>
      <c r="D255" s="1320" t="s">
        <v>694</v>
      </c>
      <c r="E255" s="1321"/>
      <c r="F255" s="2640" t="s">
        <v>793</v>
      </c>
      <c r="G255" s="1322">
        <v>2.0555555555555556E-2</v>
      </c>
      <c r="H255" s="1323">
        <v>5.4</v>
      </c>
      <c r="I255" s="1443">
        <f t="shared" si="60"/>
        <v>3.8065843621399175E-3</v>
      </c>
      <c r="J255" s="1326">
        <v>139</v>
      </c>
      <c r="K255" s="1325">
        <v>36</v>
      </c>
      <c r="L255" s="1326">
        <v>211</v>
      </c>
      <c r="M255" s="2831"/>
      <c r="N255" s="1382">
        <f t="shared" si="58"/>
        <v>1.0357545605306799</v>
      </c>
      <c r="O255" s="1327" t="s">
        <v>667</v>
      </c>
      <c r="P255" s="1277" t="str">
        <f>IFERROR(VLOOKUP(F255,Trainingsarten!$A$9:$N$84,12,FALSE),"")</f>
        <v/>
      </c>
      <c r="Q255" s="1122" t="s">
        <v>437</v>
      </c>
      <c r="R255" s="1122" t="str">
        <f>IFERROR(VLOOKUP(F255,Trainingsarten!$A$9:$N$84,14,FALSE),"")</f>
        <v/>
      </c>
      <c r="S255" s="1070">
        <f t="shared" si="59"/>
        <v>1.5179856115107915</v>
      </c>
      <c r="T255" s="1278">
        <f t="shared" si="53"/>
        <v>42.136686434827951</v>
      </c>
      <c r="U255" s="1111">
        <f t="shared" si="52"/>
        <v>48.92099339310127</v>
      </c>
      <c r="V255" s="1296">
        <f t="shared" si="54"/>
        <v>6.0766720661215388</v>
      </c>
      <c r="W255" s="3283">
        <f t="shared" si="57"/>
        <v>0.86132115299134482</v>
      </c>
      <c r="X255" s="3300"/>
      <c r="Y255" s="3316"/>
      <c r="AA255" s="3301"/>
      <c r="AB255" s="3409"/>
      <c r="AE255" s="1056"/>
    </row>
    <row r="256" spans="2:31" x14ac:dyDescent="0.2">
      <c r="B256" s="2978" t="s">
        <v>626</v>
      </c>
      <c r="C256" s="1328">
        <v>43354</v>
      </c>
      <c r="D256" s="1444"/>
      <c r="E256" s="1445"/>
      <c r="F256" s="2660"/>
      <c r="G256" s="1446"/>
      <c r="H256" s="1447" t="str">
        <f>IFERROR(VLOOKUP(F256,Trainingsarten!$A$9:$K$78,10,FALSE),"")</f>
        <v/>
      </c>
      <c r="I256" s="1448" t="str">
        <f t="shared" si="60"/>
        <v/>
      </c>
      <c r="J256" s="1449"/>
      <c r="K256" s="1450"/>
      <c r="L256" s="2806"/>
      <c r="M256" s="2829"/>
      <c r="N256" s="1451" t="str">
        <f t="shared" si="58"/>
        <v/>
      </c>
      <c r="O256" s="1452"/>
      <c r="P256" s="1453" t="str">
        <f>IFERROR(VLOOKUP(F256,Trainingsarten!$A$9:$N$84,12,FALSE),"")</f>
        <v/>
      </c>
      <c r="Q256" s="1454" t="s">
        <v>437</v>
      </c>
      <c r="R256" s="1086" t="str">
        <f>IFERROR(VLOOKUP(F256,Trainingsarten!$A$9:$N$84,14,FALSE),"")</f>
        <v/>
      </c>
      <c r="S256" s="1087" t="str">
        <f t="shared" si="59"/>
        <v/>
      </c>
      <c r="T256" s="1088">
        <f t="shared" si="53"/>
        <v>36.117159801281097</v>
      </c>
      <c r="U256" s="1089">
        <f t="shared" si="52"/>
        <v>47.75620783612267</v>
      </c>
      <c r="V256" s="1090">
        <f t="shared" si="54"/>
        <v>6.7843069582733193</v>
      </c>
      <c r="W256" s="3284">
        <f t="shared" si="57"/>
        <v>0.75628198799240032</v>
      </c>
      <c r="X256" s="3300"/>
      <c r="Y256" s="3316"/>
      <c r="AA256" s="3301"/>
      <c r="AB256" s="3409"/>
      <c r="AE256" s="1056"/>
    </row>
    <row r="257" spans="2:31" ht="16" thickBot="1" x14ac:dyDescent="0.25">
      <c r="B257" s="2979">
        <f>SUM(H255:H261)</f>
        <v>33.394999999999996</v>
      </c>
      <c r="C257" s="1328">
        <v>43355</v>
      </c>
      <c r="D257" s="1444" t="s">
        <v>695</v>
      </c>
      <c r="E257" s="1445"/>
      <c r="F257" s="2661" t="s">
        <v>637</v>
      </c>
      <c r="G257" s="1455">
        <v>2.8009259259259262E-2</v>
      </c>
      <c r="H257" s="1456">
        <v>6.9</v>
      </c>
      <c r="I257" s="1457">
        <f t="shared" si="60"/>
        <v>4.0593129361245301E-3</v>
      </c>
      <c r="J257" s="1458">
        <v>131</v>
      </c>
      <c r="K257" s="1459">
        <v>37</v>
      </c>
      <c r="L257" s="2806">
        <v>203</v>
      </c>
      <c r="M257" s="2829"/>
      <c r="N257" s="1451">
        <f t="shared" si="58"/>
        <v>1.062643305213065</v>
      </c>
      <c r="O257" s="1460" t="s">
        <v>667</v>
      </c>
      <c r="P257" s="1461" t="str">
        <f>IFERROR(VLOOKUP(F257,Trainingsarten!$A$9:$N$84,12,FALSE),"")</f>
        <v/>
      </c>
      <c r="Q257" s="1454" t="s">
        <v>437</v>
      </c>
      <c r="R257" s="1086" t="str">
        <f>IFERROR(VLOOKUP(F257,Trainingsarten!$A$9:$N$84,14,FALSE),"")</f>
        <v/>
      </c>
      <c r="S257" s="1087">
        <f t="shared" si="59"/>
        <v>1.5496183206106871</v>
      </c>
      <c r="T257" s="1088">
        <f t="shared" si="53"/>
        <v>36.243279829669511</v>
      </c>
      <c r="U257" s="1089">
        <f t="shared" si="52"/>
        <v>47.500107649548319</v>
      </c>
      <c r="V257" s="1090">
        <f t="shared" si="54"/>
        <v>11.639048034841572</v>
      </c>
      <c r="W257" s="3284">
        <f t="shared" si="57"/>
        <v>0.76301468824174656</v>
      </c>
      <c r="X257" s="3300"/>
      <c r="Y257" s="3316"/>
      <c r="AA257" s="3301"/>
      <c r="AB257" s="3409"/>
      <c r="AE257" s="1056"/>
    </row>
    <row r="258" spans="2:31" x14ac:dyDescent="0.2">
      <c r="B258" s="2980" t="s">
        <v>628</v>
      </c>
      <c r="C258" s="1328">
        <v>43356</v>
      </c>
      <c r="D258" s="1444"/>
      <c r="E258" s="1445"/>
      <c r="F258" s="2662"/>
      <c r="G258" s="1462"/>
      <c r="H258" s="1463" t="str">
        <f>IFERROR(VLOOKUP(F258,Trainingsarten!$A$9:$K$78,10,FALSE),"")</f>
        <v/>
      </c>
      <c r="I258" s="1464" t="str">
        <f t="shared" si="60"/>
        <v/>
      </c>
      <c r="J258" s="1465"/>
      <c r="K258" s="1466"/>
      <c r="L258" s="2806"/>
      <c r="M258" s="2829"/>
      <c r="N258" s="1451" t="str">
        <f t="shared" si="58"/>
        <v/>
      </c>
      <c r="O258" s="1467"/>
      <c r="P258" s="1468" t="str">
        <f>IFERROR(VLOOKUP(F258,Trainingsarten!$A$9:$N$84,12,FALSE),"")</f>
        <v/>
      </c>
      <c r="Q258" s="1454" t="s">
        <v>437</v>
      </c>
      <c r="R258" s="1086" t="str">
        <f>IFERROR(VLOOKUP(F258,Trainingsarten!$A$9:$N$84,14,FALSE),"")</f>
        <v/>
      </c>
      <c r="S258" s="1087" t="str">
        <f t="shared" si="59"/>
        <v/>
      </c>
      <c r="T258" s="1088">
        <f t="shared" si="53"/>
        <v>31.06566842543101</v>
      </c>
      <c r="U258" s="1089">
        <f t="shared" si="52"/>
        <v>46.369152705511453</v>
      </c>
      <c r="V258" s="1090">
        <f t="shared" si="54"/>
        <v>11.256827819878808</v>
      </c>
      <c r="W258" s="3284">
        <f t="shared" si="57"/>
        <v>0.66996411650494825</v>
      </c>
      <c r="X258" s="3300"/>
      <c r="Y258" s="3316"/>
      <c r="AA258" s="3301"/>
      <c r="AB258" s="3409"/>
      <c r="AE258" s="1056"/>
    </row>
    <row r="259" spans="2:31" ht="16" thickBot="1" x14ac:dyDescent="0.25">
      <c r="B259" s="2981">
        <f>SUM(K255:K261)</f>
        <v>215</v>
      </c>
      <c r="C259" s="1328">
        <v>43357</v>
      </c>
      <c r="D259" s="1444"/>
      <c r="E259" s="1445"/>
      <c r="F259" s="2663"/>
      <c r="G259" s="1469"/>
      <c r="H259" s="1470" t="str">
        <f>IFERROR(VLOOKUP(F259,Trainingsarten!$A$9:$K$78,10,FALSE),"")</f>
        <v/>
      </c>
      <c r="I259" s="1471" t="str">
        <f t="shared" si="60"/>
        <v/>
      </c>
      <c r="J259" s="1472"/>
      <c r="K259" s="1473"/>
      <c r="L259" s="2806"/>
      <c r="M259" s="2829"/>
      <c r="N259" s="1451" t="str">
        <f t="shared" si="58"/>
        <v/>
      </c>
      <c r="O259" s="1474"/>
      <c r="P259" s="1475" t="str">
        <f>IFERROR(VLOOKUP(F259,Trainingsarten!$A$9:$N$84,12,FALSE),"")</f>
        <v/>
      </c>
      <c r="Q259" s="1454" t="s">
        <v>437</v>
      </c>
      <c r="R259" s="1086" t="str">
        <f>IFERROR(VLOOKUP(F259,Trainingsarten!$A$9:$N$84,14,FALSE),"")</f>
        <v/>
      </c>
      <c r="S259" s="1087" t="str">
        <f t="shared" si="59"/>
        <v/>
      </c>
      <c r="T259" s="1088">
        <f t="shared" si="53"/>
        <v>26.627715793226578</v>
      </c>
      <c r="U259" s="1089">
        <f t="shared" ref="U259:U322" si="61">U258+(K259-U258)/42</f>
        <v>45.265125260142135</v>
      </c>
      <c r="V259" s="1090">
        <f t="shared" si="54"/>
        <v>15.303484280080443</v>
      </c>
      <c r="W259" s="3284">
        <f t="shared" si="57"/>
        <v>0.58826117546775936</v>
      </c>
      <c r="X259" s="3300"/>
      <c r="Y259" s="3316"/>
      <c r="AA259" s="3301"/>
      <c r="AB259" s="3409"/>
      <c r="AE259" s="1056"/>
    </row>
    <row r="260" spans="2:31" x14ac:dyDescent="0.2">
      <c r="B260" s="2982" t="s">
        <v>761</v>
      </c>
      <c r="C260" s="1476">
        <v>43358</v>
      </c>
      <c r="D260" s="1477" t="s">
        <v>696</v>
      </c>
      <c r="E260" s="1478" t="s">
        <v>836</v>
      </c>
      <c r="F260" s="2664" t="s">
        <v>158</v>
      </c>
      <c r="G260" s="1479">
        <v>6.4201388888888891E-2</v>
      </c>
      <c r="H260" s="1480">
        <v>21.094999999999999</v>
      </c>
      <c r="I260" s="1481">
        <f>IFERROR(G260/H260,"")</f>
        <v>3.0434410471149036E-3</v>
      </c>
      <c r="J260" s="1482">
        <v>164</v>
      </c>
      <c r="K260" s="1483">
        <v>142</v>
      </c>
      <c r="L260" s="2809">
        <v>266</v>
      </c>
      <c r="M260" s="2834"/>
      <c r="N260" s="1484">
        <f t="shared" si="58"/>
        <v>1.0439638734509487</v>
      </c>
      <c r="O260" s="1485" t="s">
        <v>667</v>
      </c>
      <c r="P260" s="1486" t="str">
        <f>IFERROR(VLOOKUP(F260,Trainingsarten!$A$9:$N$84,12,FALSE),"")</f>
        <v/>
      </c>
      <c r="Q260" s="1487" t="s">
        <v>437</v>
      </c>
      <c r="R260" s="1488" t="str">
        <f>IFERROR(VLOOKUP(F260,Trainingsarten!$A$9:$N$84,14,FALSE),"")</f>
        <v/>
      </c>
      <c r="S260" s="1087">
        <f t="shared" si="59"/>
        <v>1.6219512195121952</v>
      </c>
      <c r="T260" s="1088">
        <f t="shared" ref="T260:T323" si="62">T259+(K260-T259)/7</f>
        <v>43.109470679908497</v>
      </c>
      <c r="U260" s="1089">
        <f t="shared" si="61"/>
        <v>47.568336563472087</v>
      </c>
      <c r="V260" s="1090">
        <f t="shared" ref="V260:V323" si="63">U259-T259</f>
        <v>18.637409466915557</v>
      </c>
      <c r="W260" s="3284">
        <f t="shared" si="57"/>
        <v>0.90626399395711532</v>
      </c>
      <c r="X260" s="3300"/>
      <c r="Y260" s="3316"/>
      <c r="AA260" s="3301"/>
      <c r="AB260" s="3409"/>
      <c r="AE260" s="1056"/>
    </row>
    <row r="261" spans="2:31" ht="16" thickBot="1" x14ac:dyDescent="0.25">
      <c r="B261" s="2983">
        <f>AVERAGE(W255:W261)</f>
        <v>0.76297872997848093</v>
      </c>
      <c r="C261" s="1189">
        <v>43359</v>
      </c>
      <c r="D261" s="1232"/>
      <c r="E261" s="1233"/>
      <c r="F261" s="2626"/>
      <c r="G261" s="1141"/>
      <c r="H261" s="1234"/>
      <c r="I261" s="1434" t="str">
        <f t="shared" si="60"/>
        <v/>
      </c>
      <c r="J261" s="1146"/>
      <c r="K261" s="1237"/>
      <c r="L261" s="2803"/>
      <c r="M261" s="2826"/>
      <c r="N261" s="1238" t="str">
        <f t="shared" si="58"/>
        <v/>
      </c>
      <c r="O261" s="1148"/>
      <c r="P261" s="1149" t="str">
        <f>IFERROR(VLOOKUP(F261,Trainingsarten!$A$9:$N$84,12,FALSE),"")</f>
        <v/>
      </c>
      <c r="Q261" s="1151" t="s">
        <v>437</v>
      </c>
      <c r="R261" s="1151" t="str">
        <f>IFERROR(VLOOKUP(F261,Trainingsarten!$A$9:$N$84,14,FALSE),"")</f>
        <v/>
      </c>
      <c r="S261" s="1106" t="str">
        <f t="shared" si="59"/>
        <v/>
      </c>
      <c r="T261" s="1239">
        <f t="shared" si="62"/>
        <v>36.950974868492999</v>
      </c>
      <c r="U261" s="1258">
        <f t="shared" si="61"/>
        <v>46.435757121484656</v>
      </c>
      <c r="V261" s="1262">
        <f t="shared" si="63"/>
        <v>4.4588658835635897</v>
      </c>
      <c r="W261" s="3285">
        <f t="shared" si="57"/>
        <v>0.79574399469405255</v>
      </c>
      <c r="X261" s="3300"/>
      <c r="Y261" s="3316"/>
      <c r="AA261" s="3301"/>
      <c r="AB261" s="3409"/>
      <c r="AE261" s="1056"/>
    </row>
    <row r="262" spans="2:31" ht="16" thickBot="1" x14ac:dyDescent="0.25">
      <c r="B262" s="2977">
        <f>B255+1</f>
        <v>38</v>
      </c>
      <c r="C262" s="1241">
        <v>43360</v>
      </c>
      <c r="D262" s="1191"/>
      <c r="E262" s="1192"/>
      <c r="F262" s="2634"/>
      <c r="G262" s="1193"/>
      <c r="H262" s="1287" t="str">
        <f>IFERROR(VLOOKUP(F262,Trainingsarten!$A$9:$K$78,10,FALSE),"")</f>
        <v/>
      </c>
      <c r="I262" s="1288" t="str">
        <f t="shared" si="60"/>
        <v/>
      </c>
      <c r="J262" s="1289"/>
      <c r="K262" s="1197"/>
      <c r="L262" s="2800"/>
      <c r="M262" s="2822"/>
      <c r="N262" s="1199" t="str">
        <f t="shared" si="58"/>
        <v/>
      </c>
      <c r="O262" s="1200"/>
      <c r="P262" s="1267" t="str">
        <f>IFERROR(VLOOKUP(F262,Trainingsarten!$A$9:$N$84,12,FALSE),"")</f>
        <v/>
      </c>
      <c r="Q262" s="1202" t="s">
        <v>437</v>
      </c>
      <c r="R262" s="1069" t="str">
        <f>IFERROR(VLOOKUP(F262,Trainingsarten!$A$9:$N$84,14,FALSE),"")</f>
        <v/>
      </c>
      <c r="S262" s="1070" t="str">
        <f t="shared" si="59"/>
        <v/>
      </c>
      <c r="T262" s="1268">
        <f t="shared" si="62"/>
        <v>31.672264172993998</v>
      </c>
      <c r="U262" s="1191">
        <f t="shared" si="61"/>
        <v>45.3301438566874</v>
      </c>
      <c r="V262" s="1073">
        <f t="shared" si="63"/>
        <v>9.484782252991657</v>
      </c>
      <c r="W262" s="3286">
        <f t="shared" si="57"/>
        <v>0.69870204412160708</v>
      </c>
      <c r="X262" s="3300"/>
      <c r="Y262" s="3316"/>
      <c r="AA262" s="3301"/>
      <c r="AB262" s="3409"/>
      <c r="AE262" s="1056"/>
    </row>
    <row r="263" spans="2:31" x14ac:dyDescent="0.2">
      <c r="B263" s="2978" t="s">
        <v>626</v>
      </c>
      <c r="C263" s="1204">
        <v>43361</v>
      </c>
      <c r="D263" s="1089"/>
      <c r="E263" s="1205"/>
      <c r="F263" s="2622"/>
      <c r="G263" s="1166"/>
      <c r="H263" s="1167" t="str">
        <f>IFERROR(VLOOKUP(F263,Trainingsarten!$A$9:$K$78,10,FALSE),"")</f>
        <v/>
      </c>
      <c r="I263" s="1168" t="str">
        <f t="shared" si="60"/>
        <v/>
      </c>
      <c r="J263" s="1169"/>
      <c r="K263" s="1206"/>
      <c r="L263" s="2801"/>
      <c r="M263" s="2823"/>
      <c r="N263" s="1208" t="str">
        <f t="shared" si="58"/>
        <v/>
      </c>
      <c r="O263" s="1209"/>
      <c r="P263" s="1136" t="str">
        <f>IFERROR(VLOOKUP(F263,Trainingsarten!$A$9:$N$84,12,FALSE),"")</f>
        <v/>
      </c>
      <c r="Q263" s="1137" t="s">
        <v>437</v>
      </c>
      <c r="R263" s="1086" t="str">
        <f>IFERROR(VLOOKUP(F263,Trainingsarten!$A$9:$N$84,14,FALSE),"")</f>
        <v/>
      </c>
      <c r="S263" s="1087" t="str">
        <f t="shared" si="59"/>
        <v/>
      </c>
      <c r="T263" s="1210">
        <f t="shared" si="62"/>
        <v>27.147655005423427</v>
      </c>
      <c r="U263" s="1089">
        <f t="shared" si="61"/>
        <v>44.250854717242461</v>
      </c>
      <c r="V263" s="1259">
        <f t="shared" si="63"/>
        <v>13.657879683693402</v>
      </c>
      <c r="W263" s="3284">
        <f t="shared" si="57"/>
        <v>0.61349447776531363</v>
      </c>
      <c r="X263" s="3300"/>
      <c r="Y263" s="3316"/>
      <c r="AA263" s="3301"/>
      <c r="AB263" s="3409"/>
      <c r="AE263" s="1056"/>
    </row>
    <row r="264" spans="2:31" ht="16" thickBot="1" x14ac:dyDescent="0.25">
      <c r="B264" s="2979">
        <f>SUM(H262:H268)</f>
        <v>21.48</v>
      </c>
      <c r="C264" s="1211">
        <v>43362</v>
      </c>
      <c r="D264" s="1089"/>
      <c r="E264" s="1205"/>
      <c r="F264" s="2622"/>
      <c r="G264" s="1166"/>
      <c r="H264" s="1167" t="str">
        <f>IFERROR(VLOOKUP(F264,Trainingsarten!$A$9:$K$78,10,FALSE),"")</f>
        <v/>
      </c>
      <c r="I264" s="1168" t="str">
        <f t="shared" si="60"/>
        <v/>
      </c>
      <c r="J264" s="1169"/>
      <c r="K264" s="1206"/>
      <c r="L264" s="2801"/>
      <c r="M264" s="2823"/>
      <c r="N264" s="1208" t="str">
        <f t="shared" si="58"/>
        <v/>
      </c>
      <c r="O264" s="1209"/>
      <c r="P264" s="1136" t="str">
        <f>IFERROR(VLOOKUP(F264,Trainingsarten!$A$9:$N$84,12,FALSE),"")</f>
        <v/>
      </c>
      <c r="Q264" s="1137" t="s">
        <v>437</v>
      </c>
      <c r="R264" s="1086" t="str">
        <f>IFERROR(VLOOKUP(F264,Trainingsarten!$A$9:$N$84,14,FALSE),"")</f>
        <v/>
      </c>
      <c r="S264" s="1087" t="str">
        <f t="shared" si="59"/>
        <v/>
      </c>
      <c r="T264" s="1210">
        <f t="shared" si="62"/>
        <v>23.269418576077225</v>
      </c>
      <c r="U264" s="1089">
        <f t="shared" si="61"/>
        <v>43.197262938260501</v>
      </c>
      <c r="V264" s="1259">
        <f t="shared" si="63"/>
        <v>17.103199711819034</v>
      </c>
      <c r="W264" s="3284">
        <f t="shared" si="57"/>
        <v>0.53867807803783629</v>
      </c>
      <c r="X264" s="3300"/>
      <c r="Y264" s="3316"/>
      <c r="AA264" s="3301"/>
      <c r="AB264" s="3409"/>
      <c r="AE264" s="1056"/>
    </row>
    <row r="265" spans="2:31" x14ac:dyDescent="0.2">
      <c r="B265" s="2980" t="s">
        <v>628</v>
      </c>
      <c r="C265" s="1211">
        <v>43363</v>
      </c>
      <c r="D265" s="1089" t="s">
        <v>697</v>
      </c>
      <c r="E265" s="1205"/>
      <c r="F265" s="2622" t="s">
        <v>665</v>
      </c>
      <c r="G265" s="1166">
        <v>4.4444444444444446E-2</v>
      </c>
      <c r="H265" s="1167">
        <v>11.51</v>
      </c>
      <c r="I265" s="1168">
        <f t="shared" si="60"/>
        <v>3.8613765807510381E-3</v>
      </c>
      <c r="J265" s="1169">
        <v>138</v>
      </c>
      <c r="K265" s="1206">
        <v>67</v>
      </c>
      <c r="L265" s="2801">
        <v>215</v>
      </c>
      <c r="M265" s="2823"/>
      <c r="N265" s="1208">
        <f t="shared" si="58"/>
        <v>1.0705810651347953</v>
      </c>
      <c r="O265" s="1209" t="s">
        <v>668</v>
      </c>
      <c r="P265" s="1136" t="str">
        <f>IFERROR(VLOOKUP(F265,Trainingsarten!$A$9:$N$84,12,FALSE),"")</f>
        <v/>
      </c>
      <c r="Q265" s="1137" t="s">
        <v>437</v>
      </c>
      <c r="R265" s="1086" t="str">
        <f>IFERROR(VLOOKUP(F265,Trainingsarten!$A$9:$N$84,14,FALSE),"")</f>
        <v/>
      </c>
      <c r="S265" s="1087">
        <f t="shared" si="59"/>
        <v>1.5579710144927537</v>
      </c>
      <c r="T265" s="1210">
        <f t="shared" si="62"/>
        <v>29.516644493780479</v>
      </c>
      <c r="U265" s="1089">
        <f t="shared" si="61"/>
        <v>43.763994773063821</v>
      </c>
      <c r="V265" s="1259">
        <f t="shared" si="63"/>
        <v>19.927844362183276</v>
      </c>
      <c r="W265" s="3284">
        <f t="shared" si="57"/>
        <v>0.67445041630312041</v>
      </c>
      <c r="X265" s="3300"/>
      <c r="Y265" s="3316"/>
      <c r="AA265" s="3301"/>
      <c r="AB265" s="3409"/>
      <c r="AE265" s="1056"/>
    </row>
    <row r="266" spans="2:31" ht="16" thickBot="1" x14ac:dyDescent="0.25">
      <c r="B266" s="2981">
        <f>SUM(K262:K268)</f>
        <v>131</v>
      </c>
      <c r="C266" s="1211">
        <v>43364</v>
      </c>
      <c r="D266" s="1089"/>
      <c r="E266" s="1205"/>
      <c r="F266" s="2622"/>
      <c r="G266" s="1166"/>
      <c r="H266" s="1167"/>
      <c r="I266" s="1168"/>
      <c r="J266" s="1169"/>
      <c r="K266" s="1206"/>
      <c r="L266" s="2801"/>
      <c r="M266" s="2823"/>
      <c r="N266" s="1208" t="str">
        <f t="shared" si="58"/>
        <v/>
      </c>
      <c r="O266" s="1209"/>
      <c r="P266" s="1136" t="str">
        <f>IFERROR(VLOOKUP(F266,Trainingsarten!$A$9:$N$84,12,FALSE),"")</f>
        <v/>
      </c>
      <c r="Q266" s="1137" t="s">
        <v>437</v>
      </c>
      <c r="R266" s="1086" t="str">
        <f>IFERROR(VLOOKUP(F266,Trainingsarten!$A$9:$N$84,14,FALSE),"")</f>
        <v/>
      </c>
      <c r="S266" s="1087" t="str">
        <f t="shared" si="59"/>
        <v/>
      </c>
      <c r="T266" s="1210">
        <f t="shared" si="62"/>
        <v>25.299980994668982</v>
      </c>
      <c r="U266" s="1089">
        <f t="shared" si="61"/>
        <v>42.721994897514683</v>
      </c>
      <c r="V266" s="1259">
        <f t="shared" si="63"/>
        <v>14.247350279283342</v>
      </c>
      <c r="W266" s="3284">
        <f t="shared" si="57"/>
        <v>0.5922003655344471</v>
      </c>
      <c r="X266" s="3300"/>
      <c r="Y266" s="3316"/>
      <c r="AA266" s="3301"/>
      <c r="AB266" s="3409"/>
      <c r="AE266" s="1056"/>
    </row>
    <row r="267" spans="2:31" x14ac:dyDescent="0.2">
      <c r="B267" s="2982" t="s">
        <v>761</v>
      </c>
      <c r="C267" s="1211">
        <v>43365</v>
      </c>
      <c r="D267" s="1089" t="s">
        <v>698</v>
      </c>
      <c r="E267" s="1205"/>
      <c r="F267" s="2622" t="s">
        <v>646</v>
      </c>
      <c r="G267" s="1166">
        <v>3.770833333333333E-2</v>
      </c>
      <c r="H267" s="1167">
        <v>9.9700000000000006</v>
      </c>
      <c r="I267" s="1168">
        <f t="shared" si="60"/>
        <v>3.7821798729521894E-3</v>
      </c>
      <c r="J267" s="1169">
        <v>135</v>
      </c>
      <c r="K267" s="1206">
        <v>64</v>
      </c>
      <c r="L267" s="2801">
        <v>221</v>
      </c>
      <c r="M267" s="2823"/>
      <c r="N267" s="1208">
        <f t="shared" si="58"/>
        <v>1.0778873935238549</v>
      </c>
      <c r="O267" s="1209" t="s">
        <v>668</v>
      </c>
      <c r="P267" s="1136" t="str">
        <f>IFERROR(VLOOKUP(F267,Trainingsarten!$A$9:$N$84,12,FALSE),"")</f>
        <v/>
      </c>
      <c r="Q267" s="1137" t="s">
        <v>437</v>
      </c>
      <c r="R267" s="1086" t="str">
        <f>IFERROR(VLOOKUP(F267,Trainingsarten!$A$9:$N$84,14,FALSE),"")</f>
        <v/>
      </c>
      <c r="S267" s="1087">
        <f t="shared" si="59"/>
        <v>1.6370370370370371</v>
      </c>
      <c r="T267" s="1210">
        <f t="shared" si="62"/>
        <v>30.828555138287697</v>
      </c>
      <c r="U267" s="1089">
        <f t="shared" si="61"/>
        <v>43.228614066621475</v>
      </c>
      <c r="V267" s="1259">
        <f t="shared" si="63"/>
        <v>17.422013902845702</v>
      </c>
      <c r="W267" s="3284">
        <f t="shared" si="57"/>
        <v>0.71315159655075888</v>
      </c>
      <c r="X267" s="3300"/>
      <c r="Y267" s="3316"/>
      <c r="AA267" s="3301"/>
      <c r="AB267" s="3409"/>
      <c r="AE267" s="1056"/>
    </row>
    <row r="268" spans="2:31" ht="16" thickBot="1" x14ac:dyDescent="0.25">
      <c r="B268" s="2983">
        <f>AVERAGE(W262:W268)</f>
        <v>0.63669412399534409</v>
      </c>
      <c r="C268" s="1260">
        <v>43366</v>
      </c>
      <c r="D268" s="1108"/>
      <c r="E268" s="1261"/>
      <c r="F268" s="2635"/>
      <c r="G268" s="1217"/>
      <c r="H268" s="1366" t="str">
        <f>IFERROR(VLOOKUP(F268,Trainingsarten!$A$9:$K$78,10,FALSE),"")</f>
        <v/>
      </c>
      <c r="I268" s="1363" t="str">
        <f t="shared" si="60"/>
        <v/>
      </c>
      <c r="J268" s="1367"/>
      <c r="K268" s="1221"/>
      <c r="L268" s="2802"/>
      <c r="M268" s="2824"/>
      <c r="N268" s="1223" t="str">
        <f t="shared" si="58"/>
        <v/>
      </c>
      <c r="O268" s="1224"/>
      <c r="P268" s="1225" t="str">
        <f>IFERROR(VLOOKUP(F268,Trainingsarten!$A$9:$N$84,12,FALSE),"")</f>
        <v/>
      </c>
      <c r="Q268" s="1226" t="s">
        <v>437</v>
      </c>
      <c r="R268" s="1105" t="str">
        <f>IFERROR(VLOOKUP(F268,Trainingsarten!$A$9:$N$84,14,FALSE),"")</f>
        <v/>
      </c>
      <c r="S268" s="1106" t="str">
        <f t="shared" si="59"/>
        <v/>
      </c>
      <c r="T268" s="1227">
        <f t="shared" si="62"/>
        <v>26.424475832818025</v>
      </c>
      <c r="U268" s="1108">
        <f t="shared" si="61"/>
        <v>42.199361350749534</v>
      </c>
      <c r="V268" s="1228">
        <f t="shared" si="63"/>
        <v>12.400058928333777</v>
      </c>
      <c r="W268" s="3287">
        <f t="shared" si="57"/>
        <v>0.62618188965432486</v>
      </c>
      <c r="X268" s="3300"/>
      <c r="Y268" s="3316"/>
      <c r="AA268" s="3301"/>
      <c r="AB268" s="3409"/>
      <c r="AE268" s="1056"/>
    </row>
    <row r="269" spans="2:31" ht="16" thickBot="1" x14ac:dyDescent="0.25">
      <c r="B269" s="2977">
        <f>B262+1</f>
        <v>39</v>
      </c>
      <c r="C269" s="1245">
        <v>43367</v>
      </c>
      <c r="D269" s="1111"/>
      <c r="E269" s="1112"/>
      <c r="F269" s="2618"/>
      <c r="G269" s="1489"/>
      <c r="H269" s="1490" t="str">
        <f>IFERROR(VLOOKUP(F269,Trainingsarten!$A$9:$K$78,10,FALSE),"")</f>
        <v/>
      </c>
      <c r="I269" s="1399" t="str">
        <f t="shared" si="60"/>
        <v/>
      </c>
      <c r="J269" s="1118"/>
      <c r="K269" s="1117"/>
      <c r="L269" s="1118"/>
      <c r="M269" s="2825"/>
      <c r="N269" s="1119" t="str">
        <f t="shared" si="58"/>
        <v/>
      </c>
      <c r="O269" s="1120"/>
      <c r="P269" s="1277" t="str">
        <f>IFERROR(VLOOKUP(F269,Trainingsarten!$A$9:$N$84,12,FALSE),"")</f>
        <v/>
      </c>
      <c r="Q269" s="1122" t="s">
        <v>437</v>
      </c>
      <c r="R269" s="1122" t="str">
        <f>IFERROR(VLOOKUP(F269,Trainingsarten!$A$9:$N$84,14,FALSE),"")</f>
        <v/>
      </c>
      <c r="S269" s="1070" t="str">
        <f t="shared" si="59"/>
        <v/>
      </c>
      <c r="T269" s="1278">
        <f t="shared" si="62"/>
        <v>22.649550713844022</v>
      </c>
      <c r="U269" s="1111">
        <f t="shared" si="61"/>
        <v>41.194614651922166</v>
      </c>
      <c r="V269" s="1296">
        <f t="shared" si="63"/>
        <v>15.774885517931509</v>
      </c>
      <c r="W269" s="3283">
        <f t="shared" si="57"/>
        <v>0.5498182445745291</v>
      </c>
      <c r="X269" s="3300"/>
      <c r="Y269" s="3316"/>
      <c r="AA269" s="3301"/>
      <c r="AB269" s="3409"/>
      <c r="AE269" s="1056"/>
    </row>
    <row r="270" spans="2:31" x14ac:dyDescent="0.2">
      <c r="B270" s="2978" t="s">
        <v>626</v>
      </c>
      <c r="C270" s="1126">
        <v>43368</v>
      </c>
      <c r="D270" s="1491"/>
      <c r="E270" s="1492"/>
      <c r="F270" s="2665"/>
      <c r="G270" s="1493"/>
      <c r="H270" s="1494" t="str">
        <f>IFERROR(VLOOKUP(F270,Trainingsarten!$A$9:$K$78,10,FALSE),"")</f>
        <v/>
      </c>
      <c r="I270" s="1495" t="str">
        <f t="shared" si="60"/>
        <v/>
      </c>
      <c r="J270" s="1496"/>
      <c r="K270" s="1497"/>
      <c r="L270" s="2801"/>
      <c r="M270" s="2823"/>
      <c r="N270" s="1408" t="str">
        <f t="shared" si="58"/>
        <v/>
      </c>
      <c r="O270" s="1498"/>
      <c r="P270" s="1499" t="str">
        <f>IFERROR(VLOOKUP(F270,Trainingsarten!$A$9:$N$84,12,FALSE),"")</f>
        <v/>
      </c>
      <c r="Q270" s="1454" t="s">
        <v>437</v>
      </c>
      <c r="R270" s="1086" t="str">
        <f>IFERROR(VLOOKUP(F270,Trainingsarten!$A$9:$N$84,14,FALSE),"")</f>
        <v/>
      </c>
      <c r="S270" s="1087" t="str">
        <f t="shared" si="59"/>
        <v/>
      </c>
      <c r="T270" s="1088">
        <f t="shared" si="62"/>
        <v>19.413900611866303</v>
      </c>
      <c r="U270" s="1089">
        <f t="shared" si="61"/>
        <v>40.213790493543065</v>
      </c>
      <c r="V270" s="1090">
        <f t="shared" si="63"/>
        <v>18.545063938078144</v>
      </c>
      <c r="W270" s="3284">
        <f t="shared" si="57"/>
        <v>0.48276723913861092</v>
      </c>
      <c r="X270" s="3300"/>
      <c r="Y270" s="3316"/>
      <c r="AA270" s="3301"/>
      <c r="AB270" s="3409"/>
      <c r="AE270" s="1056"/>
    </row>
    <row r="271" spans="2:31" ht="16" thickBot="1" x14ac:dyDescent="0.25">
      <c r="B271" s="2979">
        <f>SUM(H269:H275)</f>
        <v>20.259999999999998</v>
      </c>
      <c r="C271" s="1126">
        <v>43369</v>
      </c>
      <c r="D271" s="1491" t="s">
        <v>699</v>
      </c>
      <c r="E271" s="1492"/>
      <c r="F271" s="2665" t="s">
        <v>665</v>
      </c>
      <c r="G271" s="1493">
        <v>3.9305555555555559E-2</v>
      </c>
      <c r="H271" s="1494">
        <v>10.7</v>
      </c>
      <c r="I271" s="1495">
        <f t="shared" si="60"/>
        <v>3.6734164070612676E-3</v>
      </c>
      <c r="J271" s="1496">
        <v>137</v>
      </c>
      <c r="K271" s="1497">
        <v>65</v>
      </c>
      <c r="L271" s="2801"/>
      <c r="M271" s="2823"/>
      <c r="N271" s="1408"/>
      <c r="O271" s="1498" t="s">
        <v>668</v>
      </c>
      <c r="P271" s="1499" t="str">
        <f>IFERROR(VLOOKUP(F271,Trainingsarten!$A$9:$N$84,12,FALSE),"")</f>
        <v/>
      </c>
      <c r="Q271" s="1454" t="s">
        <v>437</v>
      </c>
      <c r="R271" s="1086" t="str">
        <f>IFERROR(VLOOKUP(F271,Trainingsarten!$A$9:$N$84,14,FALSE),"")</f>
        <v/>
      </c>
      <c r="S271" s="1087"/>
      <c r="T271" s="1088">
        <f t="shared" si="62"/>
        <v>25.926200524456831</v>
      </c>
      <c r="U271" s="1089">
        <f t="shared" si="61"/>
        <v>40.803938338934898</v>
      </c>
      <c r="V271" s="1090">
        <f t="shared" si="63"/>
        <v>20.799889881676762</v>
      </c>
      <c r="W271" s="3284">
        <f t="shared" si="57"/>
        <v>0.63538475891966018</v>
      </c>
      <c r="X271" s="3300"/>
      <c r="Y271" s="3316"/>
      <c r="AA271" s="3301"/>
      <c r="AB271" s="3409"/>
      <c r="AE271" s="1056"/>
    </row>
    <row r="272" spans="2:31" x14ac:dyDescent="0.2">
      <c r="B272" s="2980" t="s">
        <v>628</v>
      </c>
      <c r="C272" s="1126">
        <v>43370</v>
      </c>
      <c r="D272" s="1491"/>
      <c r="E272" s="1492"/>
      <c r="F272" s="2666"/>
      <c r="G272" s="1500"/>
      <c r="H272" s="1501" t="str">
        <f>IFERROR(VLOOKUP(F272,Trainingsarten!$A$9:$K$78,10,FALSE),"")</f>
        <v/>
      </c>
      <c r="I272" s="1502" t="str">
        <f t="shared" si="60"/>
        <v/>
      </c>
      <c r="J272" s="1503"/>
      <c r="K272" s="1504"/>
      <c r="L272" s="2801"/>
      <c r="M272" s="2823"/>
      <c r="N272" s="1408" t="str">
        <f t="shared" ref="N272:N308" si="64">IFERROR((L272/67)/(1/(I272*24)/3.6),"")</f>
        <v/>
      </c>
      <c r="O272" s="1505"/>
      <c r="P272" s="1506" t="str">
        <f>IFERROR(VLOOKUP(F272,Trainingsarten!$A$9:$N$84,12,FALSE),"")</f>
        <v/>
      </c>
      <c r="Q272" s="1454" t="s">
        <v>437</v>
      </c>
      <c r="R272" s="1086" t="str">
        <f>IFERROR(VLOOKUP(F272,Trainingsarten!$A$9:$N$84,14,FALSE),"")</f>
        <v/>
      </c>
      <c r="S272" s="1087" t="str">
        <f t="shared" ref="S272:S303" si="65">IFERROR(L272/J272,"")</f>
        <v/>
      </c>
      <c r="T272" s="1088">
        <f t="shared" si="62"/>
        <v>22.222457592391571</v>
      </c>
      <c r="U272" s="1089">
        <f t="shared" si="61"/>
        <v>39.832415997531683</v>
      </c>
      <c r="V272" s="1090">
        <f t="shared" si="63"/>
        <v>14.877737814478067</v>
      </c>
      <c r="W272" s="3284">
        <f t="shared" si="57"/>
        <v>0.55789881270994568</v>
      </c>
      <c r="X272" s="3300"/>
      <c r="Y272" s="3316"/>
      <c r="AA272" s="3301"/>
      <c r="AB272" s="3409"/>
      <c r="AE272" s="1056"/>
    </row>
    <row r="273" spans="1:31" ht="16" thickBot="1" x14ac:dyDescent="0.25">
      <c r="B273" s="2981">
        <f>SUM(K269:K275)</f>
        <v>120</v>
      </c>
      <c r="C273" s="1126">
        <v>43371</v>
      </c>
      <c r="D273" s="1491" t="s">
        <v>700</v>
      </c>
      <c r="E273" s="1492"/>
      <c r="F273" s="2666" t="s">
        <v>639</v>
      </c>
      <c r="G273" s="1500">
        <v>3.7002314814814814E-2</v>
      </c>
      <c r="H273" s="1501">
        <v>9.56</v>
      </c>
      <c r="I273" s="1502">
        <f t="shared" si="60"/>
        <v>3.8705350224701686E-3</v>
      </c>
      <c r="J273" s="1503">
        <v>137</v>
      </c>
      <c r="K273" s="1504">
        <v>55</v>
      </c>
      <c r="L273" s="2801">
        <v>213</v>
      </c>
      <c r="M273" s="2823"/>
      <c r="N273" s="1408">
        <f t="shared" si="64"/>
        <v>1.0631377630675074</v>
      </c>
      <c r="O273" s="1505" t="s">
        <v>668</v>
      </c>
      <c r="P273" s="1506" t="str">
        <f>IFERROR(VLOOKUP(F273,Trainingsarten!$A$9:$N$84,12,FALSE),"")</f>
        <v/>
      </c>
      <c r="Q273" s="1454" t="s">
        <v>437</v>
      </c>
      <c r="R273" s="1086" t="str">
        <f>IFERROR(VLOOKUP(F273,Trainingsarten!$A$9:$N$84,14,FALSE),"")</f>
        <v/>
      </c>
      <c r="S273" s="1087">
        <f t="shared" si="65"/>
        <v>1.5547445255474452</v>
      </c>
      <c r="T273" s="1088">
        <f t="shared" si="62"/>
        <v>26.904963650621347</v>
      </c>
      <c r="U273" s="1089">
        <f t="shared" si="61"/>
        <v>40.193548949971408</v>
      </c>
      <c r="V273" s="1090">
        <f t="shared" si="63"/>
        <v>17.609958405140112</v>
      </c>
      <c r="W273" s="3284">
        <f t="shared" si="57"/>
        <v>0.66938512158032482</v>
      </c>
      <c r="X273" s="3300"/>
      <c r="Y273" s="3316"/>
      <c r="AA273" s="3301"/>
      <c r="AB273" s="3409"/>
      <c r="AE273" s="1056"/>
    </row>
    <row r="274" spans="1:31" x14ac:dyDescent="0.2">
      <c r="B274" s="2982" t="s">
        <v>761</v>
      </c>
      <c r="C274" s="1126">
        <v>43372</v>
      </c>
      <c r="D274" s="1491"/>
      <c r="E274" s="1492"/>
      <c r="F274" s="2666"/>
      <c r="G274" s="1500"/>
      <c r="H274" s="1501"/>
      <c r="I274" s="1502"/>
      <c r="J274" s="1503"/>
      <c r="K274" s="1504"/>
      <c r="L274" s="2801"/>
      <c r="M274" s="2823"/>
      <c r="N274" s="1408" t="str">
        <f t="shared" si="64"/>
        <v/>
      </c>
      <c r="O274" s="1505"/>
      <c r="P274" s="1506" t="str">
        <f>IFERROR(VLOOKUP(F274,Trainingsarten!$A$9:$N$84,12,FALSE),"")</f>
        <v/>
      </c>
      <c r="Q274" s="1454" t="s">
        <v>437</v>
      </c>
      <c r="R274" s="1086" t="str">
        <f>IFERROR(VLOOKUP(F274,Trainingsarten!$A$9:$N$84,14,FALSE),"")</f>
        <v/>
      </c>
      <c r="S274" s="1087" t="str">
        <f t="shared" si="65"/>
        <v/>
      </c>
      <c r="T274" s="1088">
        <f t="shared" si="62"/>
        <v>23.061397414818298</v>
      </c>
      <c r="U274" s="1089">
        <f t="shared" si="61"/>
        <v>39.236559689257803</v>
      </c>
      <c r="V274" s="1090">
        <f t="shared" si="63"/>
        <v>13.288585299350061</v>
      </c>
      <c r="W274" s="3284">
        <f t="shared" si="57"/>
        <v>0.58775278968028521</v>
      </c>
      <c r="X274" s="3300"/>
      <c r="Y274" s="3316"/>
      <c r="AA274" s="3301"/>
      <c r="AB274" s="3409"/>
      <c r="AE274" s="1056"/>
    </row>
    <row r="275" spans="1:31" customFormat="1" ht="16" thickBot="1" x14ac:dyDescent="0.25">
      <c r="A275" s="140"/>
      <c r="B275" s="2983">
        <f>AVERAGE(W269:W275)</f>
        <v>0.57129751240149074</v>
      </c>
      <c r="C275" s="1189">
        <v>43373</v>
      </c>
      <c r="D275" s="1232"/>
      <c r="E275" s="1233"/>
      <c r="F275" s="2620"/>
      <c r="G275" s="1507"/>
      <c r="H275" s="1508" t="str">
        <f>IFERROR(VLOOKUP(F275,Trainingsarten!$A$9:$K$78,10,FALSE),"")</f>
        <v/>
      </c>
      <c r="I275" s="1434" t="str">
        <f t="shared" si="60"/>
        <v/>
      </c>
      <c r="J275" s="1146"/>
      <c r="K275" s="1237"/>
      <c r="L275" s="2803"/>
      <c r="M275" s="2826"/>
      <c r="N275" s="1238" t="str">
        <f t="shared" si="64"/>
        <v/>
      </c>
      <c r="O275" s="1148"/>
      <c r="P275" s="1149" t="str">
        <f>IFERROR(VLOOKUP(F275,Trainingsarten!$A$9:$N$84,12,FALSE),"")</f>
        <v/>
      </c>
      <c r="Q275" s="1151" t="s">
        <v>437</v>
      </c>
      <c r="R275" s="1151" t="str">
        <f>IFERROR(VLOOKUP(F275,Trainingsarten!$A$9:$N$84,14,FALSE),"")</f>
        <v/>
      </c>
      <c r="S275" s="1106" t="str">
        <f t="shared" si="65"/>
        <v/>
      </c>
      <c r="T275" s="1239">
        <f t="shared" si="62"/>
        <v>19.766912069844256</v>
      </c>
      <c r="U275" s="1258">
        <f t="shared" si="61"/>
        <v>38.30235588713262</v>
      </c>
      <c r="V275" s="1154">
        <f t="shared" si="63"/>
        <v>16.175162274439504</v>
      </c>
      <c r="W275" s="3285">
        <f t="shared" si="57"/>
        <v>0.51607562020707964</v>
      </c>
      <c r="X275" s="3302"/>
      <c r="Y275" s="3317"/>
      <c r="Z275" s="2597"/>
      <c r="AA275" s="3303"/>
      <c r="AB275" s="3409"/>
      <c r="AC275" s="3644"/>
      <c r="AD275" s="3644"/>
      <c r="AE275" s="1056"/>
    </row>
    <row r="276" spans="1:31" ht="16" thickBot="1" x14ac:dyDescent="0.25">
      <c r="B276" s="2977">
        <f>B269+1</f>
        <v>40</v>
      </c>
      <c r="C276" s="1190">
        <v>43374</v>
      </c>
      <c r="D276" s="1191" t="s">
        <v>701</v>
      </c>
      <c r="E276" s="1192"/>
      <c r="F276" s="2645" t="s">
        <v>639</v>
      </c>
      <c r="G276" s="1193">
        <v>3.6932870370370366E-2</v>
      </c>
      <c r="H276" s="1287">
        <v>9.5500000000000007</v>
      </c>
      <c r="I276" s="1288">
        <f t="shared" si="60"/>
        <v>3.8673162691487293E-3</v>
      </c>
      <c r="J276" s="1289">
        <v>132</v>
      </c>
      <c r="K276" s="1197">
        <v>56</v>
      </c>
      <c r="L276" s="2800">
        <v>213</v>
      </c>
      <c r="M276" s="2822"/>
      <c r="N276" s="1199">
        <f t="shared" si="64"/>
        <v>1.0622536531999687</v>
      </c>
      <c r="O276" s="1200" t="s">
        <v>668</v>
      </c>
      <c r="P276" s="1267" t="str">
        <f>IFERROR(VLOOKUP(F276,Trainingsarten!$A$9:$N$84,12,FALSE),"")</f>
        <v/>
      </c>
      <c r="Q276" s="1202" t="s">
        <v>437</v>
      </c>
      <c r="R276" s="1069" t="str">
        <f>IFERROR(VLOOKUP(F276,Trainingsarten!$A$9:$N$84,14,FALSE),"")</f>
        <v/>
      </c>
      <c r="S276" s="1070">
        <f t="shared" si="65"/>
        <v>1.6136363636363635</v>
      </c>
      <c r="T276" s="1268">
        <f t="shared" si="62"/>
        <v>24.943067488437933</v>
      </c>
      <c r="U276" s="1191">
        <f t="shared" si="61"/>
        <v>38.723728366010413</v>
      </c>
      <c r="V276" s="1244">
        <f t="shared" si="63"/>
        <v>18.535443817288364</v>
      </c>
      <c r="W276" s="3286">
        <f t="shared" si="57"/>
        <v>0.64412876912780959</v>
      </c>
      <c r="X276" s="3300"/>
      <c r="Y276" s="3316"/>
      <c r="AA276" s="3301"/>
      <c r="AB276" s="3409"/>
      <c r="AE276" s="1056"/>
    </row>
    <row r="277" spans="1:31" x14ac:dyDescent="0.2">
      <c r="B277" s="2978" t="s">
        <v>626</v>
      </c>
      <c r="C277" s="1204">
        <v>43375</v>
      </c>
      <c r="D277" s="1089"/>
      <c r="E277" s="1205"/>
      <c r="F277" s="2628"/>
      <c r="G277" s="1166"/>
      <c r="H277" s="1167" t="str">
        <f>IFERROR(VLOOKUP(F277,Trainingsarten!$A$9:$K$78,10,FALSE),"")</f>
        <v/>
      </c>
      <c r="I277" s="1168" t="str">
        <f t="shared" si="60"/>
        <v/>
      </c>
      <c r="J277" s="1169"/>
      <c r="K277" s="1206"/>
      <c r="L277" s="2801"/>
      <c r="M277" s="2823"/>
      <c r="N277" s="1208" t="str">
        <f t="shared" si="64"/>
        <v/>
      </c>
      <c r="O277" s="1209"/>
      <c r="P277" s="1136" t="str">
        <f>IFERROR(VLOOKUP(F277,Trainingsarten!$A$9:$N$84,12,FALSE),"")</f>
        <v/>
      </c>
      <c r="Q277" s="1137" t="s">
        <v>437</v>
      </c>
      <c r="R277" s="1086" t="str">
        <f>IFERROR(VLOOKUP(F277,Trainingsarten!$A$9:$N$84,14,FALSE),"")</f>
        <v/>
      </c>
      <c r="S277" s="1087" t="str">
        <f t="shared" si="65"/>
        <v/>
      </c>
      <c r="T277" s="1210">
        <f t="shared" si="62"/>
        <v>21.379772132946801</v>
      </c>
      <c r="U277" s="1089">
        <f t="shared" si="61"/>
        <v>37.801734833486357</v>
      </c>
      <c r="V277" s="1259">
        <f t="shared" si="63"/>
        <v>13.78066087757248</v>
      </c>
      <c r="W277" s="3284">
        <f t="shared" si="57"/>
        <v>0.56557648020978402</v>
      </c>
      <c r="X277" s="3300"/>
      <c r="Y277" s="3316"/>
      <c r="AA277" s="3301"/>
      <c r="AB277" s="3409"/>
      <c r="AE277" s="1056"/>
    </row>
    <row r="278" spans="1:31" ht="16" thickBot="1" x14ac:dyDescent="0.25">
      <c r="B278" s="2979">
        <f>SUM(H276:H282)</f>
        <v>37.230000000000004</v>
      </c>
      <c r="C278" s="1211">
        <v>43376</v>
      </c>
      <c r="D278" s="1089" t="s">
        <v>702</v>
      </c>
      <c r="E278" s="1205"/>
      <c r="F278" s="2628" t="s">
        <v>49</v>
      </c>
      <c r="G278" s="1166">
        <v>2.4548611111111115E-2</v>
      </c>
      <c r="H278" s="1167">
        <f>5.05+1.18+1.54</f>
        <v>7.77</v>
      </c>
      <c r="I278" s="1168">
        <v>2.7893518518518519E-3</v>
      </c>
      <c r="J278" s="1169"/>
      <c r="K278" s="1206">
        <f>7+35+8</f>
        <v>50</v>
      </c>
      <c r="L278" s="2801">
        <v>278</v>
      </c>
      <c r="M278" s="2823"/>
      <c r="N278" s="1208">
        <f t="shared" si="64"/>
        <v>0.99997014925373129</v>
      </c>
      <c r="O278" s="1209" t="s">
        <v>667</v>
      </c>
      <c r="P278" s="1136" t="str">
        <f>IFERROR(VLOOKUP(F278,Trainingsarten!$A$9:$N$84,12,FALSE),"")</f>
        <v/>
      </c>
      <c r="Q278" s="1137" t="s">
        <v>437</v>
      </c>
      <c r="R278" s="1086" t="str">
        <f>IFERROR(VLOOKUP(F278,Trainingsarten!$A$9:$N$84,14,FALSE),"")</f>
        <v/>
      </c>
      <c r="S278" s="1087" t="str">
        <f t="shared" si="65"/>
        <v/>
      </c>
      <c r="T278" s="1210">
        <f t="shared" si="62"/>
        <v>25.468376113954399</v>
      </c>
      <c r="U278" s="1089">
        <f t="shared" si="61"/>
        <v>38.092169718403348</v>
      </c>
      <c r="V278" s="1259">
        <f t="shared" si="63"/>
        <v>16.421962700539556</v>
      </c>
      <c r="W278" s="3284">
        <f t="shared" si="57"/>
        <v>0.66859872520335706</v>
      </c>
      <c r="X278" s="3300"/>
      <c r="Y278" s="3316"/>
      <c r="AA278" s="3301"/>
      <c r="AB278" s="3409"/>
      <c r="AE278" s="1056"/>
    </row>
    <row r="279" spans="1:31" x14ac:dyDescent="0.2">
      <c r="B279" s="2980" t="s">
        <v>628</v>
      </c>
      <c r="C279" s="1211">
        <v>43377</v>
      </c>
      <c r="D279" s="1089"/>
      <c r="E279" s="1205"/>
      <c r="F279" s="2628"/>
      <c r="G279" s="1166"/>
      <c r="H279" s="1167" t="str">
        <f>IFERROR(VLOOKUP(F279,Trainingsarten!$A$9:$K$78,10,FALSE),"")</f>
        <v/>
      </c>
      <c r="I279" s="1168" t="str">
        <f t="shared" si="60"/>
        <v/>
      </c>
      <c r="J279" s="1169"/>
      <c r="K279" s="1206"/>
      <c r="L279" s="2801"/>
      <c r="M279" s="2823"/>
      <c r="N279" s="1208" t="str">
        <f t="shared" si="64"/>
        <v/>
      </c>
      <c r="O279" s="1209"/>
      <c r="P279" s="1136" t="str">
        <f>IFERROR(VLOOKUP(F279,Trainingsarten!$A$9:$N$84,12,FALSE),"")</f>
        <v/>
      </c>
      <c r="Q279" s="1137" t="s">
        <v>437</v>
      </c>
      <c r="R279" s="1086" t="str">
        <f>IFERROR(VLOOKUP(F279,Trainingsarten!$A$9:$N$84,14,FALSE),"")</f>
        <v/>
      </c>
      <c r="S279" s="1087" t="str">
        <f t="shared" si="65"/>
        <v/>
      </c>
      <c r="T279" s="1210">
        <f t="shared" si="62"/>
        <v>21.830036669103769</v>
      </c>
      <c r="U279" s="1089">
        <f t="shared" si="61"/>
        <v>37.185213296536602</v>
      </c>
      <c r="V279" s="1259">
        <f t="shared" si="63"/>
        <v>12.623793604448949</v>
      </c>
      <c r="W279" s="3284">
        <f t="shared" si="57"/>
        <v>0.58706229530050857</v>
      </c>
      <c r="X279" s="3300"/>
      <c r="Y279" s="3316"/>
      <c r="AA279" s="3301"/>
      <c r="AB279" s="3409"/>
      <c r="AE279" s="1056"/>
    </row>
    <row r="280" spans="1:31" ht="16" thickBot="1" x14ac:dyDescent="0.25">
      <c r="B280" s="2981">
        <f>SUM(K276:K282)</f>
        <v>230</v>
      </c>
      <c r="C280" s="1211">
        <v>43378</v>
      </c>
      <c r="D280" s="1089" t="s">
        <v>703</v>
      </c>
      <c r="E280" s="1205"/>
      <c r="F280" s="2628" t="s">
        <v>639</v>
      </c>
      <c r="G280" s="1166">
        <v>3.8773148148148147E-2</v>
      </c>
      <c r="H280" s="1167">
        <v>10</v>
      </c>
      <c r="I280" s="1168">
        <f t="shared" si="60"/>
        <v>3.8773148148148148E-3</v>
      </c>
      <c r="J280" s="1169">
        <v>134</v>
      </c>
      <c r="K280" s="1206">
        <v>59</v>
      </c>
      <c r="L280" s="2801">
        <v>213</v>
      </c>
      <c r="M280" s="2823"/>
      <c r="N280" s="1208">
        <f t="shared" si="64"/>
        <v>1.0650000000000002</v>
      </c>
      <c r="O280" s="1209" t="s">
        <v>668</v>
      </c>
      <c r="P280" s="1136" t="str">
        <f>IFERROR(VLOOKUP(F280,Trainingsarten!$A$9:$N$84,12,FALSE),"")</f>
        <v/>
      </c>
      <c r="Q280" s="1137" t="s">
        <v>437</v>
      </c>
      <c r="R280" s="1086" t="str">
        <f>IFERROR(VLOOKUP(F280,Trainingsarten!$A$9:$N$84,14,FALSE),"")</f>
        <v/>
      </c>
      <c r="S280" s="1087">
        <f t="shared" si="65"/>
        <v>1.5895522388059702</v>
      </c>
      <c r="T280" s="1210">
        <f t="shared" si="62"/>
        <v>27.140031430660372</v>
      </c>
      <c r="U280" s="1089">
        <f t="shared" si="61"/>
        <v>37.704612979952401</v>
      </c>
      <c r="V280" s="1259">
        <f t="shared" si="63"/>
        <v>15.355176627432833</v>
      </c>
      <c r="W280" s="3284">
        <f t="shared" si="57"/>
        <v>0.71980665721435111</v>
      </c>
      <c r="X280" s="3300"/>
      <c r="Y280" s="3316"/>
      <c r="AA280" s="3301"/>
      <c r="AB280" s="3409"/>
      <c r="AE280" s="1056"/>
    </row>
    <row r="281" spans="1:31" x14ac:dyDescent="0.2">
      <c r="B281" s="2982" t="s">
        <v>761</v>
      </c>
      <c r="C281" s="1299">
        <v>43379</v>
      </c>
      <c r="D281" s="1300"/>
      <c r="E281" s="1301"/>
      <c r="F281" s="2667"/>
      <c r="G281" s="1509"/>
      <c r="H281" s="1510"/>
      <c r="I281" s="1511" t="str">
        <f t="shared" ref="I281:I282" si="66">IFERROR(G281/H281,"")</f>
        <v/>
      </c>
      <c r="J281" s="1512"/>
      <c r="K281" s="1513"/>
      <c r="L281" s="2810"/>
      <c r="M281" s="2835"/>
      <c r="N281" s="1439" t="str">
        <f t="shared" si="64"/>
        <v/>
      </c>
      <c r="O281" s="1514"/>
      <c r="P281" s="1136" t="str">
        <f>IFERROR(VLOOKUP(F281,Trainingsarten!$A$9:$N$84,12,FALSE),"")</f>
        <v/>
      </c>
      <c r="Q281" s="1137" t="s">
        <v>437</v>
      </c>
      <c r="R281" s="1086" t="str">
        <f>IFERROR(VLOOKUP(F281,Trainingsarten!$A$9:$N$84,14,FALSE),"")</f>
        <v/>
      </c>
      <c r="S281" s="1087" t="str">
        <f t="shared" si="65"/>
        <v/>
      </c>
      <c r="T281" s="1210">
        <f t="shared" si="62"/>
        <v>23.262884083423177</v>
      </c>
      <c r="U281" s="1089">
        <f t="shared" si="61"/>
        <v>36.806884099477344</v>
      </c>
      <c r="V281" s="1259">
        <f t="shared" si="63"/>
        <v>10.564581549292029</v>
      </c>
      <c r="W281" s="3284">
        <f t="shared" si="57"/>
        <v>0.63202535755406442</v>
      </c>
      <c r="X281" s="3300"/>
      <c r="Y281" s="3316"/>
      <c r="AA281" s="3301"/>
      <c r="AB281" s="3409"/>
      <c r="AE281" s="1056"/>
    </row>
    <row r="282" spans="1:31" ht="16" thickBot="1" x14ac:dyDescent="0.25">
      <c r="B282" s="2983">
        <f>AVERAGE(W276:W282)</f>
        <v>0.65671354058952758</v>
      </c>
      <c r="C282" s="1309">
        <v>43380</v>
      </c>
      <c r="D282" s="1515" t="s">
        <v>704</v>
      </c>
      <c r="E282" s="1516"/>
      <c r="F282" s="2668" t="s">
        <v>646</v>
      </c>
      <c r="G282" s="1517">
        <v>3.7812500000000006E-2</v>
      </c>
      <c r="H282" s="1366">
        <v>9.91</v>
      </c>
      <c r="I282" s="1363">
        <f t="shared" si="66"/>
        <v>3.8155903128153385E-3</v>
      </c>
      <c r="J282" s="1367">
        <v>138</v>
      </c>
      <c r="K282" s="1221">
        <v>65</v>
      </c>
      <c r="L282" s="2797">
        <v>221</v>
      </c>
      <c r="M282" s="2821"/>
      <c r="N282" s="1223">
        <f t="shared" si="64"/>
        <v>1.0874090696868837</v>
      </c>
      <c r="O282" s="1518" t="s">
        <v>668</v>
      </c>
      <c r="P282" s="1519" t="str">
        <f>IFERROR(VLOOKUP(F282,Trainingsarten!$A$9:$N$84,12,FALSE),"")</f>
        <v/>
      </c>
      <c r="Q282" s="1520" t="s">
        <v>437</v>
      </c>
      <c r="R282" s="1105" t="str">
        <f>IFERROR(VLOOKUP(F282,Trainingsarten!$A$9:$N$84,14,FALSE),"")</f>
        <v/>
      </c>
      <c r="S282" s="1106">
        <f t="shared" si="65"/>
        <v>1.6014492753623188</v>
      </c>
      <c r="T282" s="1107">
        <f t="shared" si="62"/>
        <v>29.225329214362723</v>
      </c>
      <c r="U282" s="1108">
        <f t="shared" si="61"/>
        <v>37.478148763775501</v>
      </c>
      <c r="V282" s="1109">
        <f t="shared" si="63"/>
        <v>13.544000016054166</v>
      </c>
      <c r="W282" s="3287">
        <f t="shared" si="57"/>
        <v>0.77979649951681873</v>
      </c>
      <c r="X282" s="3300"/>
      <c r="Y282" s="3316"/>
      <c r="AA282" s="3301"/>
      <c r="AB282" s="3409"/>
      <c r="AE282" s="1056"/>
    </row>
    <row r="283" spans="1:31" ht="16" thickBot="1" x14ac:dyDescent="0.25">
      <c r="B283" s="2977">
        <f>B276+1</f>
        <v>41</v>
      </c>
      <c r="C283" s="1245">
        <v>43381</v>
      </c>
      <c r="D283" s="1111"/>
      <c r="E283" s="1112"/>
      <c r="F283" s="2618"/>
      <c r="G283" s="1113"/>
      <c r="H283" s="1229" t="str">
        <f>IFERROR(VLOOKUP(F283,Trainingsarten!$A$9:$K$78,10,FALSE),"")</f>
        <v/>
      </c>
      <c r="I283" s="1399" t="str">
        <f t="shared" si="60"/>
        <v/>
      </c>
      <c r="J283" s="1118"/>
      <c r="K283" s="1117"/>
      <c r="L283" s="1118"/>
      <c r="M283" s="2825"/>
      <c r="N283" s="1119" t="str">
        <f t="shared" si="64"/>
        <v/>
      </c>
      <c r="O283" s="1120"/>
      <c r="P283" s="1277" t="str">
        <f>IFERROR(VLOOKUP(F283,Trainingsarten!$A$9:$N$84,12,FALSE),"")</f>
        <v/>
      </c>
      <c r="Q283" s="1122" t="s">
        <v>437</v>
      </c>
      <c r="R283" s="1122" t="str">
        <f>IFERROR(VLOOKUP(F283,Trainingsarten!$A$9:$N$84,14,FALSE),"")</f>
        <v/>
      </c>
      <c r="S283" s="1070" t="str">
        <f t="shared" si="65"/>
        <v/>
      </c>
      <c r="T283" s="1278">
        <f t="shared" si="62"/>
        <v>25.050282183739476</v>
      </c>
      <c r="U283" s="1111">
        <f t="shared" si="61"/>
        <v>36.585811888447509</v>
      </c>
      <c r="V283" s="1124">
        <f t="shared" si="63"/>
        <v>8.2528195494127772</v>
      </c>
      <c r="W283" s="3283">
        <f t="shared" si="57"/>
        <v>0.68469936542940191</v>
      </c>
      <c r="X283" s="3300"/>
      <c r="Y283" s="3316"/>
      <c r="AA283" s="3301"/>
      <c r="AB283" s="3409"/>
      <c r="AE283" s="1056"/>
    </row>
    <row r="284" spans="1:31" x14ac:dyDescent="0.2">
      <c r="B284" s="2978" t="s">
        <v>626</v>
      </c>
      <c r="C284" s="1126">
        <v>43382</v>
      </c>
      <c r="D284" s="1491" t="s">
        <v>705</v>
      </c>
      <c r="E284" s="1492"/>
      <c r="F284" s="2669" t="s">
        <v>638</v>
      </c>
      <c r="G284" s="1521">
        <v>3.2337962962962964E-2</v>
      </c>
      <c r="H284" s="1522">
        <v>8.57</v>
      </c>
      <c r="I284" s="1523">
        <f t="shared" si="60"/>
        <v>3.7733912442197157E-3</v>
      </c>
      <c r="J284" s="1524">
        <v>137</v>
      </c>
      <c r="K284" s="1525">
        <v>52</v>
      </c>
      <c r="L284" s="2801">
        <v>220</v>
      </c>
      <c r="M284" s="2823"/>
      <c r="N284" s="1408">
        <f t="shared" si="64"/>
        <v>1.0705167279123637</v>
      </c>
      <c r="O284" s="1526" t="s">
        <v>668</v>
      </c>
      <c r="P284" s="1527" t="str">
        <f>IFERROR(VLOOKUP(F284,Trainingsarten!$A$9:$N$84,12,FALSE),"")</f>
        <v/>
      </c>
      <c r="Q284" s="1454" t="s">
        <v>437</v>
      </c>
      <c r="R284" s="1086" t="str">
        <f>IFERROR(VLOOKUP(F284,Trainingsarten!$A$9:$N$84,14,FALSE),"")</f>
        <v/>
      </c>
      <c r="S284" s="1087">
        <f t="shared" si="65"/>
        <v>1.6058394160583942</v>
      </c>
      <c r="T284" s="1088">
        <f t="shared" si="62"/>
        <v>28.900241871776693</v>
      </c>
      <c r="U284" s="1089">
        <f t="shared" si="61"/>
        <v>36.952816367293998</v>
      </c>
      <c r="V284" s="1090">
        <f t="shared" si="63"/>
        <v>11.535529704708033</v>
      </c>
      <c r="W284" s="3284">
        <f t="shared" si="57"/>
        <v>0.7820849589520209</v>
      </c>
      <c r="X284" s="3300"/>
      <c r="Y284" s="3316"/>
      <c r="AA284" s="3301"/>
      <c r="AB284" s="3409"/>
      <c r="AE284" s="1056"/>
    </row>
    <row r="285" spans="1:31" ht="16" thickBot="1" x14ac:dyDescent="0.25">
      <c r="B285" s="2979">
        <f>SUM(H283:H289)</f>
        <v>28.98</v>
      </c>
      <c r="C285" s="1126">
        <v>43383</v>
      </c>
      <c r="D285" s="1491"/>
      <c r="E285" s="1492"/>
      <c r="F285" s="2670"/>
      <c r="G285" s="1528"/>
      <c r="H285" s="1529" t="str">
        <f>IFERROR(VLOOKUP(F285,Trainingsarten!$A$9:$K$78,10,FALSE),"")</f>
        <v/>
      </c>
      <c r="I285" s="1530" t="str">
        <f t="shared" si="60"/>
        <v/>
      </c>
      <c r="J285" s="1531"/>
      <c r="K285" s="1532"/>
      <c r="L285" s="2801"/>
      <c r="M285" s="2823"/>
      <c r="N285" s="1408" t="str">
        <f t="shared" si="64"/>
        <v/>
      </c>
      <c r="O285" s="1533"/>
      <c r="P285" s="1534" t="str">
        <f>IFERROR(VLOOKUP(F285,Trainingsarten!$A$9:$N$84,12,FALSE),"")</f>
        <v/>
      </c>
      <c r="Q285" s="1454" t="s">
        <v>437</v>
      </c>
      <c r="R285" s="1086" t="str">
        <f>IFERROR(VLOOKUP(F285,Trainingsarten!$A$9:$N$84,14,FALSE),"")</f>
        <v/>
      </c>
      <c r="S285" s="1087" t="str">
        <f t="shared" si="65"/>
        <v/>
      </c>
      <c r="T285" s="1088">
        <f t="shared" si="62"/>
        <v>24.771635890094309</v>
      </c>
      <c r="U285" s="1089">
        <f t="shared" si="61"/>
        <v>36.072987406167954</v>
      </c>
      <c r="V285" s="1090">
        <f t="shared" si="63"/>
        <v>8.0525744955173053</v>
      </c>
      <c r="W285" s="3284">
        <f t="shared" si="57"/>
        <v>0.68670874444567687</v>
      </c>
      <c r="X285" s="3300"/>
      <c r="Y285" s="3316"/>
      <c r="AA285" s="3301"/>
      <c r="AB285" s="3409"/>
      <c r="AE285" s="1056"/>
    </row>
    <row r="286" spans="1:31" x14ac:dyDescent="0.2">
      <c r="B286" s="2980" t="s">
        <v>628</v>
      </c>
      <c r="C286" s="1126">
        <v>43384</v>
      </c>
      <c r="D286" s="1491" t="s">
        <v>710</v>
      </c>
      <c r="E286" s="1492"/>
      <c r="F286" s="2670" t="s">
        <v>665</v>
      </c>
      <c r="G286" s="1528">
        <v>4.0659722222222222E-2</v>
      </c>
      <c r="H286" s="1529">
        <v>10.7</v>
      </c>
      <c r="I286" s="1530">
        <f t="shared" si="60"/>
        <v>3.799974039460021E-3</v>
      </c>
      <c r="J286" s="1531">
        <v>140</v>
      </c>
      <c r="K286" s="1532">
        <v>64</v>
      </c>
      <c r="L286" s="2801">
        <v>217</v>
      </c>
      <c r="M286" s="2823"/>
      <c r="N286" s="1408">
        <f t="shared" si="64"/>
        <v>1.063357511507881</v>
      </c>
      <c r="O286" s="1533" t="s">
        <v>487</v>
      </c>
      <c r="P286" s="1534" t="str">
        <f>IFERROR(VLOOKUP(F286,Trainingsarten!$A$9:$N$84,12,FALSE),"")</f>
        <v/>
      </c>
      <c r="Q286" s="1454" t="s">
        <v>437</v>
      </c>
      <c r="R286" s="1086" t="str">
        <f>IFERROR(VLOOKUP(F286,Trainingsarten!$A$9:$N$84,14,FALSE),"")</f>
        <v/>
      </c>
      <c r="S286" s="1087">
        <f t="shared" si="65"/>
        <v>1.55</v>
      </c>
      <c r="T286" s="1088">
        <f t="shared" si="62"/>
        <v>30.375687905795122</v>
      </c>
      <c r="U286" s="1089">
        <f t="shared" si="61"/>
        <v>36.737916277449671</v>
      </c>
      <c r="V286" s="1090">
        <f t="shared" si="63"/>
        <v>11.301351516073645</v>
      </c>
      <c r="W286" s="3284">
        <f t="shared" si="57"/>
        <v>0.82682119683636524</v>
      </c>
      <c r="X286" s="3300"/>
      <c r="Y286" s="3316"/>
      <c r="AA286" s="3301"/>
      <c r="AB286" s="3409"/>
      <c r="AE286" s="1056"/>
    </row>
    <row r="287" spans="1:31" ht="16" thickBot="1" x14ac:dyDescent="0.25">
      <c r="B287" s="2981">
        <f>SUM(K283:K289)</f>
        <v>179</v>
      </c>
      <c r="C287" s="1126">
        <v>43385</v>
      </c>
      <c r="D287" s="1491"/>
      <c r="E287" s="1492"/>
      <c r="F287" s="2671"/>
      <c r="G287" s="1535"/>
      <c r="H287" s="1536" t="str">
        <f>IFERROR(VLOOKUP(F287,Trainingsarten!$A$9:$K$78,10,FALSE),"")</f>
        <v/>
      </c>
      <c r="I287" s="1537" t="str">
        <f t="shared" si="60"/>
        <v/>
      </c>
      <c r="J287" s="1538"/>
      <c r="K287" s="1539"/>
      <c r="L287" s="2801"/>
      <c r="M287" s="2823"/>
      <c r="N287" s="1408" t="str">
        <f t="shared" si="64"/>
        <v/>
      </c>
      <c r="O287" s="1540"/>
      <c r="P287" s="1541" t="str">
        <f>IFERROR(VLOOKUP(F287,Trainingsarten!$A$9:$N$84,12,FALSE),"")</f>
        <v/>
      </c>
      <c r="Q287" s="1454" t="s">
        <v>437</v>
      </c>
      <c r="R287" s="1086" t="str">
        <f>IFERROR(VLOOKUP(F287,Trainingsarten!$A$9:$N$84,14,FALSE),"")</f>
        <v/>
      </c>
      <c r="S287" s="1087" t="str">
        <f t="shared" si="65"/>
        <v/>
      </c>
      <c r="T287" s="1088">
        <f t="shared" si="62"/>
        <v>26.036303919252962</v>
      </c>
      <c r="U287" s="1089">
        <f t="shared" si="61"/>
        <v>35.863203985129438</v>
      </c>
      <c r="V287" s="1090">
        <f t="shared" si="63"/>
        <v>6.3622283716545489</v>
      </c>
      <c r="W287" s="3284">
        <f t="shared" ref="W287:W350" si="67">T287/U287</f>
        <v>0.72598934356363787</v>
      </c>
      <c r="X287" s="3300"/>
      <c r="Y287" s="3316"/>
      <c r="AA287" s="3301"/>
      <c r="AB287" s="3409"/>
      <c r="AE287" s="1056"/>
    </row>
    <row r="288" spans="1:31" x14ac:dyDescent="0.2">
      <c r="B288" s="2982" t="s">
        <v>761</v>
      </c>
      <c r="C288" s="1126">
        <v>43386</v>
      </c>
      <c r="D288" s="1491" t="s">
        <v>711</v>
      </c>
      <c r="E288" s="1492"/>
      <c r="F288" s="2671" t="s">
        <v>646</v>
      </c>
      <c r="G288" s="1535">
        <v>3.4733796296296297E-2</v>
      </c>
      <c r="H288" s="1536">
        <v>9.7100000000000009</v>
      </c>
      <c r="I288" s="1537">
        <f t="shared" si="60"/>
        <v>3.5771159934393712E-3</v>
      </c>
      <c r="J288" s="1538">
        <v>141</v>
      </c>
      <c r="K288" s="1539">
        <v>63</v>
      </c>
      <c r="L288" s="2801">
        <v>233</v>
      </c>
      <c r="M288" s="2823"/>
      <c r="N288" s="1408">
        <f t="shared" si="64"/>
        <v>1.0748005595093533</v>
      </c>
      <c r="O288" s="1540" t="s">
        <v>668</v>
      </c>
      <c r="P288" s="1541" t="str">
        <f>IFERROR(VLOOKUP(F288,Trainingsarten!$A$9:$N$84,12,FALSE),"")</f>
        <v/>
      </c>
      <c r="Q288" s="1454" t="s">
        <v>437</v>
      </c>
      <c r="R288" s="1086" t="str">
        <f>IFERROR(VLOOKUP(F288,Trainingsarten!$A$9:$N$84,14,FALSE),"")</f>
        <v/>
      </c>
      <c r="S288" s="1087">
        <f t="shared" si="65"/>
        <v>1.6524822695035462</v>
      </c>
      <c r="T288" s="1088">
        <f t="shared" si="62"/>
        <v>31.316831930788254</v>
      </c>
      <c r="U288" s="1089">
        <f t="shared" si="61"/>
        <v>36.509318175959692</v>
      </c>
      <c r="V288" s="1090">
        <f t="shared" si="63"/>
        <v>9.826900065876476</v>
      </c>
      <c r="W288" s="3284">
        <f t="shared" si="67"/>
        <v>0.85777641148635486</v>
      </c>
      <c r="X288" s="3300"/>
      <c r="Y288" s="3316"/>
      <c r="AA288" s="3301"/>
      <c r="AB288" s="3409"/>
      <c r="AE288" s="1056"/>
    </row>
    <row r="289" spans="1:31" customFormat="1" ht="16" thickBot="1" x14ac:dyDescent="0.25">
      <c r="A289" s="140"/>
      <c r="B289" s="2983">
        <f>AVERAGE(W283:W289)</f>
        <v>0.75960707896432234</v>
      </c>
      <c r="C289" s="1542">
        <v>43387</v>
      </c>
      <c r="D289" s="1258"/>
      <c r="E289" s="1365"/>
      <c r="F289" s="2620"/>
      <c r="G289" s="1141"/>
      <c r="H289" s="1234" t="str">
        <f>IFERROR(VLOOKUP(F289,Trainingsarten!$A$9:$K$78,10,FALSE),"")</f>
        <v/>
      </c>
      <c r="I289" s="1434" t="str">
        <f t="shared" si="60"/>
        <v/>
      </c>
      <c r="J289" s="1146"/>
      <c r="K289" s="1237"/>
      <c r="L289" s="2803"/>
      <c r="M289" s="2826"/>
      <c r="N289" s="1238" t="str">
        <f t="shared" si="64"/>
        <v/>
      </c>
      <c r="O289" s="1148"/>
      <c r="P289" s="1149" t="str">
        <f>IFERROR(VLOOKUP(F289,Trainingsarten!$A$9:$N$84,12,FALSE),"")</f>
        <v/>
      </c>
      <c r="Q289" s="1151" t="s">
        <v>437</v>
      </c>
      <c r="R289" s="1151" t="str">
        <f>IFERROR(VLOOKUP(F289,Trainingsarten!$A$9:$N$84,14,FALSE),"")</f>
        <v/>
      </c>
      <c r="S289" s="1106" t="str">
        <f t="shared" si="65"/>
        <v/>
      </c>
      <c r="T289" s="1239">
        <f t="shared" si="62"/>
        <v>26.842998797818503</v>
      </c>
      <c r="U289" s="1258">
        <f t="shared" si="61"/>
        <v>35.640048695579701</v>
      </c>
      <c r="V289" s="1154">
        <f t="shared" si="63"/>
        <v>5.1924862451714375</v>
      </c>
      <c r="W289" s="3285">
        <f t="shared" si="67"/>
        <v>0.75316953203679926</v>
      </c>
      <c r="X289" s="3302"/>
      <c r="Y289" s="3317"/>
      <c r="Z289" s="2597"/>
      <c r="AA289" s="3303"/>
      <c r="AB289" s="3409"/>
      <c r="AC289" s="3644"/>
      <c r="AD289" s="3644"/>
      <c r="AE289" s="1056"/>
    </row>
    <row r="290" spans="1:31" ht="16" thickBot="1" x14ac:dyDescent="0.25">
      <c r="B290" s="2977">
        <f>B283+1</f>
        <v>42</v>
      </c>
      <c r="C290" s="1241">
        <v>43388</v>
      </c>
      <c r="D290" s="1191" t="s">
        <v>712</v>
      </c>
      <c r="E290" s="1192"/>
      <c r="F290" s="2645" t="s">
        <v>638</v>
      </c>
      <c r="G290" s="1193">
        <v>3.2974537037037038E-2</v>
      </c>
      <c r="H290" s="1287">
        <v>8.09</v>
      </c>
      <c r="I290" s="1288">
        <f t="shared" si="60"/>
        <v>4.0759625509316491E-3</v>
      </c>
      <c r="J290" s="1289">
        <v>124</v>
      </c>
      <c r="K290" s="1197">
        <v>45</v>
      </c>
      <c r="L290" s="2800">
        <v>202</v>
      </c>
      <c r="M290" s="2822"/>
      <c r="N290" s="1199">
        <f t="shared" si="64"/>
        <v>1.0617456598343264</v>
      </c>
      <c r="O290" s="1200" t="s">
        <v>668</v>
      </c>
      <c r="P290" s="1267" t="str">
        <f>IFERROR(VLOOKUP(F290,Trainingsarten!$A$9:$N$84,12,FALSE),"")</f>
        <v/>
      </c>
      <c r="Q290" s="1202" t="s">
        <v>437</v>
      </c>
      <c r="R290" s="1069" t="str">
        <f>IFERROR(VLOOKUP(F290,Trainingsarten!$A$9:$N$84,14,FALSE),"")</f>
        <v/>
      </c>
      <c r="S290" s="1070">
        <f t="shared" si="65"/>
        <v>1.6290322580645162</v>
      </c>
      <c r="T290" s="1268">
        <f t="shared" si="62"/>
        <v>29.43685611241586</v>
      </c>
      <c r="U290" s="1191">
        <f t="shared" si="61"/>
        <v>35.862904679018278</v>
      </c>
      <c r="V290" s="1244">
        <f t="shared" si="63"/>
        <v>8.7970498977611982</v>
      </c>
      <c r="W290" s="3286">
        <f t="shared" si="67"/>
        <v>0.82081628289406239</v>
      </c>
      <c r="X290" s="3300"/>
      <c r="Y290" s="3316"/>
      <c r="AA290" s="3301"/>
      <c r="AB290" s="3409"/>
      <c r="AE290" s="1056"/>
    </row>
    <row r="291" spans="1:31" x14ac:dyDescent="0.2">
      <c r="B291" s="2978" t="s">
        <v>626</v>
      </c>
      <c r="C291" s="1204">
        <v>43389</v>
      </c>
      <c r="D291" s="1089"/>
      <c r="E291" s="1205"/>
      <c r="F291" s="2628"/>
      <c r="G291" s="1166"/>
      <c r="H291" s="1167" t="str">
        <f>IFERROR(VLOOKUP(F291,Trainingsarten!$A$9:$K$78,10,FALSE),"")</f>
        <v/>
      </c>
      <c r="I291" s="1168" t="str">
        <f t="shared" si="60"/>
        <v/>
      </c>
      <c r="J291" s="1169"/>
      <c r="K291" s="1206"/>
      <c r="L291" s="2801"/>
      <c r="M291" s="2823"/>
      <c r="N291" s="1208" t="str">
        <f t="shared" si="64"/>
        <v/>
      </c>
      <c r="O291" s="1209"/>
      <c r="P291" s="1136" t="str">
        <f>IFERROR(VLOOKUP(F291,Trainingsarten!$A$9:$N$84,12,FALSE),"")</f>
        <v/>
      </c>
      <c r="Q291" s="1137" t="s">
        <v>437</v>
      </c>
      <c r="R291" s="1086" t="str">
        <f>IFERROR(VLOOKUP(F291,Trainingsarten!$A$9:$N$84,14,FALSE),"")</f>
        <v/>
      </c>
      <c r="S291" s="1087" t="str">
        <f t="shared" si="65"/>
        <v/>
      </c>
      <c r="T291" s="1210">
        <f t="shared" si="62"/>
        <v>25.231590953499307</v>
      </c>
      <c r="U291" s="1089">
        <f t="shared" si="61"/>
        <v>35.009025996184512</v>
      </c>
      <c r="V291" s="1259">
        <f t="shared" si="63"/>
        <v>6.4260485666024181</v>
      </c>
      <c r="W291" s="3284">
        <f t="shared" si="67"/>
        <v>0.72071673619966437</v>
      </c>
      <c r="X291" s="3300"/>
      <c r="Y291" s="3316"/>
      <c r="AA291" s="3301"/>
      <c r="AB291" s="3409"/>
      <c r="AE291" s="1056"/>
    </row>
    <row r="292" spans="1:31" ht="16" thickBot="1" x14ac:dyDescent="0.25">
      <c r="B292" s="2979">
        <f>SUM(H290:H296)</f>
        <v>42.379999999999995</v>
      </c>
      <c r="C292" s="1211">
        <v>43390</v>
      </c>
      <c r="D292" s="1089" t="s">
        <v>715</v>
      </c>
      <c r="E292" s="1205"/>
      <c r="F292" s="2628" t="s">
        <v>665</v>
      </c>
      <c r="G292" s="1166">
        <v>4.3564814814814813E-2</v>
      </c>
      <c r="H292" s="1167">
        <v>11.5</v>
      </c>
      <c r="I292" s="1168">
        <f t="shared" si="60"/>
        <v>3.7882447665056359E-3</v>
      </c>
      <c r="J292" s="1169">
        <v>135</v>
      </c>
      <c r="K292" s="1206">
        <v>70</v>
      </c>
      <c r="L292" s="2801">
        <v>219</v>
      </c>
      <c r="M292" s="2823"/>
      <c r="N292" s="1208">
        <f t="shared" si="64"/>
        <v>1.0698455548345231</v>
      </c>
      <c r="O292" s="1209" t="s">
        <v>667</v>
      </c>
      <c r="P292" s="1136" t="str">
        <f>IFERROR(VLOOKUP(F292,Trainingsarten!$A$9:$N$84,12,FALSE),"")</f>
        <v/>
      </c>
      <c r="Q292" s="1137" t="s">
        <v>437</v>
      </c>
      <c r="R292" s="1086" t="str">
        <f>IFERROR(VLOOKUP(F292,Trainingsarten!$A$9:$N$84,14,FALSE),"")</f>
        <v/>
      </c>
      <c r="S292" s="1087">
        <f t="shared" si="65"/>
        <v>1.6222222222222222</v>
      </c>
      <c r="T292" s="1210">
        <f t="shared" si="62"/>
        <v>31.627077960142262</v>
      </c>
      <c r="U292" s="1089">
        <f t="shared" si="61"/>
        <v>35.842144424846786</v>
      </c>
      <c r="V292" s="1259">
        <f t="shared" si="63"/>
        <v>9.7774350426852052</v>
      </c>
      <c r="W292" s="3284">
        <f t="shared" si="67"/>
        <v>0.88239915517491974</v>
      </c>
      <c r="X292" s="3300"/>
      <c r="Y292" s="3316"/>
      <c r="AA292" s="3301"/>
      <c r="AB292" s="3409"/>
      <c r="AE292" s="1056"/>
    </row>
    <row r="293" spans="1:31" x14ac:dyDescent="0.2">
      <c r="B293" s="2980" t="s">
        <v>628</v>
      </c>
      <c r="C293" s="1211">
        <v>43391</v>
      </c>
      <c r="D293" s="1089"/>
      <c r="E293" s="1205"/>
      <c r="F293" s="2628"/>
      <c r="G293" s="1166"/>
      <c r="H293" s="1167" t="str">
        <f>IFERROR(VLOOKUP(F293,Trainingsarten!$A$9:$K$78,10,FALSE),"")</f>
        <v/>
      </c>
      <c r="I293" s="1168" t="str">
        <f t="shared" si="60"/>
        <v/>
      </c>
      <c r="J293" s="1169"/>
      <c r="K293" s="1206"/>
      <c r="L293" s="2801"/>
      <c r="M293" s="2823"/>
      <c r="N293" s="1208" t="str">
        <f t="shared" si="64"/>
        <v/>
      </c>
      <c r="O293" s="1209"/>
      <c r="P293" s="1136" t="str">
        <f>IFERROR(VLOOKUP(F293,Trainingsarten!$A$9:$N$84,12,FALSE),"")</f>
        <v/>
      </c>
      <c r="Q293" s="1137" t="s">
        <v>437</v>
      </c>
      <c r="R293" s="1086" t="str">
        <f>IFERROR(VLOOKUP(F293,Trainingsarten!$A$9:$N$84,14,FALSE),"")</f>
        <v/>
      </c>
      <c r="S293" s="1087" t="str">
        <f t="shared" si="65"/>
        <v/>
      </c>
      <c r="T293" s="1210">
        <f t="shared" si="62"/>
        <v>27.108923965836226</v>
      </c>
      <c r="U293" s="1089">
        <f t="shared" si="61"/>
        <v>34.988760033779009</v>
      </c>
      <c r="V293" s="1259">
        <f t="shared" si="63"/>
        <v>4.215066464704524</v>
      </c>
      <c r="W293" s="3284">
        <f t="shared" si="67"/>
        <v>0.77478950210480746</v>
      </c>
      <c r="X293" s="3300"/>
      <c r="Y293" s="3316"/>
      <c r="AA293" s="3301"/>
      <c r="AB293" s="3409"/>
      <c r="AE293" s="1056"/>
    </row>
    <row r="294" spans="1:31" ht="16" thickBot="1" x14ac:dyDescent="0.25">
      <c r="B294" s="2981">
        <f>SUM(K290:K296)</f>
        <v>255</v>
      </c>
      <c r="C294" s="1211">
        <v>43392</v>
      </c>
      <c r="D294" s="1089" t="s">
        <v>716</v>
      </c>
      <c r="E294" s="1205"/>
      <c r="F294" s="2628" t="s">
        <v>665</v>
      </c>
      <c r="G294" s="1166">
        <v>4.449074074074074E-2</v>
      </c>
      <c r="H294" s="1167">
        <v>11.49</v>
      </c>
      <c r="I294" s="1168">
        <f t="shared" si="60"/>
        <v>3.872127131483093E-3</v>
      </c>
      <c r="J294" s="1169">
        <v>133</v>
      </c>
      <c r="K294" s="1206">
        <v>68</v>
      </c>
      <c r="L294" s="2801">
        <v>215</v>
      </c>
      <c r="M294" s="2823"/>
      <c r="N294" s="1208">
        <f t="shared" si="64"/>
        <v>1.0735616954392528</v>
      </c>
      <c r="O294" s="1209" t="s">
        <v>668</v>
      </c>
      <c r="P294" s="1136" t="str">
        <f>IFERROR(VLOOKUP(F294,Trainingsarten!$A$9:$N$84,12,FALSE),"")</f>
        <v/>
      </c>
      <c r="Q294" s="1137" t="s">
        <v>437</v>
      </c>
      <c r="R294" s="1086" t="str">
        <f>IFERROR(VLOOKUP(F294,Trainingsarten!$A$9:$N$84,14,FALSE),"")</f>
        <v/>
      </c>
      <c r="S294" s="1087">
        <f t="shared" si="65"/>
        <v>1.6165413533834587</v>
      </c>
      <c r="T294" s="1210">
        <f t="shared" si="62"/>
        <v>32.950506256431048</v>
      </c>
      <c r="U294" s="1089">
        <f t="shared" si="61"/>
        <v>35.77474193773665</v>
      </c>
      <c r="V294" s="1259">
        <f t="shared" si="63"/>
        <v>7.879836067942783</v>
      </c>
      <c r="W294" s="3284">
        <f t="shared" si="67"/>
        <v>0.92105503692462742</v>
      </c>
      <c r="X294" s="3300"/>
      <c r="Y294" s="3316"/>
      <c r="AA294" s="3301"/>
      <c r="AB294" s="3409"/>
      <c r="AE294" s="1056"/>
    </row>
    <row r="295" spans="1:31" x14ac:dyDescent="0.2">
      <c r="B295" s="2982" t="s">
        <v>761</v>
      </c>
      <c r="C295" s="1211">
        <v>43393</v>
      </c>
      <c r="D295" s="1089"/>
      <c r="E295" s="1205"/>
      <c r="F295" s="2628"/>
      <c r="G295" s="1166"/>
      <c r="H295" s="1167" t="str">
        <f>IFERROR(VLOOKUP(F295,Trainingsarten!$A$9:$K$78,10,FALSE),"")</f>
        <v/>
      </c>
      <c r="I295" s="1168" t="str">
        <f t="shared" si="60"/>
        <v/>
      </c>
      <c r="J295" s="1169"/>
      <c r="K295" s="1206"/>
      <c r="L295" s="2801"/>
      <c r="M295" s="2823"/>
      <c r="N295" s="1208" t="str">
        <f t="shared" si="64"/>
        <v/>
      </c>
      <c r="O295" s="1209"/>
      <c r="P295" s="1136" t="str">
        <f>IFERROR(VLOOKUP(F295,Trainingsarten!$A$9:$N$84,12,FALSE),"")</f>
        <v/>
      </c>
      <c r="Q295" s="1137" t="s">
        <v>437</v>
      </c>
      <c r="R295" s="1086" t="str">
        <f>IFERROR(VLOOKUP(F295,Trainingsarten!$A$9:$N$84,14,FALSE),"")</f>
        <v/>
      </c>
      <c r="S295" s="1087" t="str">
        <f t="shared" si="65"/>
        <v/>
      </c>
      <c r="T295" s="1210">
        <f t="shared" si="62"/>
        <v>28.243291076940899</v>
      </c>
      <c r="U295" s="1089">
        <f t="shared" si="61"/>
        <v>34.922962367790539</v>
      </c>
      <c r="V295" s="1259">
        <f t="shared" si="63"/>
        <v>2.824235681305602</v>
      </c>
      <c r="W295" s="3284">
        <f t="shared" si="67"/>
        <v>0.80873125193381923</v>
      </c>
      <c r="X295" s="3300"/>
      <c r="Y295" s="3316"/>
      <c r="AA295" s="3301"/>
      <c r="AB295" s="3409"/>
      <c r="AE295" s="1056"/>
    </row>
    <row r="296" spans="1:31" ht="16" thickBot="1" x14ac:dyDescent="0.25">
      <c r="B296" s="2983">
        <f>AVERAGE(W290:W296)</f>
        <v>0.84169711191682361</v>
      </c>
      <c r="C296" s="1260">
        <v>43394</v>
      </c>
      <c r="D296" s="1108" t="s">
        <v>717</v>
      </c>
      <c r="E296" s="1261"/>
      <c r="F296" s="2646" t="s">
        <v>647</v>
      </c>
      <c r="G296" s="1217">
        <v>4.1145833333333333E-2</v>
      </c>
      <c r="H296" s="1366">
        <v>11.3</v>
      </c>
      <c r="I296" s="1363">
        <f t="shared" si="60"/>
        <v>3.6412241887905602E-3</v>
      </c>
      <c r="J296" s="1367">
        <v>138</v>
      </c>
      <c r="K296" s="1221">
        <v>72</v>
      </c>
      <c r="L296" s="2802">
        <v>228</v>
      </c>
      <c r="M296" s="2824"/>
      <c r="N296" s="1223">
        <f t="shared" si="64"/>
        <v>1.0705851274600449</v>
      </c>
      <c r="O296" s="1224" t="s">
        <v>668</v>
      </c>
      <c r="P296" s="1225" t="str">
        <f>IFERROR(VLOOKUP(F296,Trainingsarten!$A$9:$N$84,12,FALSE),"")</f>
        <v/>
      </c>
      <c r="Q296" s="1226" t="s">
        <v>437</v>
      </c>
      <c r="R296" s="1105" t="str">
        <f>IFERROR(VLOOKUP(F296,Trainingsarten!$A$9:$N$84,14,FALSE),"")</f>
        <v/>
      </c>
      <c r="S296" s="1106">
        <f t="shared" si="65"/>
        <v>1.6521739130434783</v>
      </c>
      <c r="T296" s="1227">
        <f t="shared" si="62"/>
        <v>34.494249494520773</v>
      </c>
      <c r="U296" s="1108">
        <f t="shared" si="61"/>
        <v>35.80574897808124</v>
      </c>
      <c r="V296" s="1228">
        <f t="shared" si="63"/>
        <v>6.6796712908496403</v>
      </c>
      <c r="W296" s="3287">
        <f t="shared" si="67"/>
        <v>0.96337181818586415</v>
      </c>
      <c r="X296" s="3300"/>
      <c r="Y296" s="3316"/>
      <c r="AA296" s="3301"/>
      <c r="AB296" s="3409"/>
      <c r="AE296" s="1056"/>
    </row>
    <row r="297" spans="1:31" ht="16" thickBot="1" x14ac:dyDescent="0.25">
      <c r="B297" s="2977">
        <f>B290+1</f>
        <v>43</v>
      </c>
      <c r="C297" s="1110">
        <v>43395</v>
      </c>
      <c r="D297" s="1111"/>
      <c r="E297" s="1112"/>
      <c r="F297" s="2618"/>
      <c r="G297" s="1113"/>
      <c r="H297" s="1229" t="str">
        <f>IFERROR(VLOOKUP(F297,Trainingsarten!$A$9:$K$78,10,FALSE),"")</f>
        <v/>
      </c>
      <c r="I297" s="1399" t="str">
        <f t="shared" si="60"/>
        <v/>
      </c>
      <c r="J297" s="1118"/>
      <c r="K297" s="1117"/>
      <c r="L297" s="1118"/>
      <c r="M297" s="2825"/>
      <c r="N297" s="1119" t="str">
        <f t="shared" si="64"/>
        <v/>
      </c>
      <c r="O297" s="1120"/>
      <c r="P297" s="1277" t="str">
        <f>IFERROR(VLOOKUP(F297,Trainingsarten!$A$9:$N$84,12,FALSE),"")</f>
        <v/>
      </c>
      <c r="Q297" s="1122" t="s">
        <v>437</v>
      </c>
      <c r="R297" s="1122" t="str">
        <f>IFERROR(VLOOKUP(F297,Trainingsarten!$A$9:$N$84,14,FALSE),"")</f>
        <v/>
      </c>
      <c r="S297" s="1070" t="str">
        <f t="shared" si="65"/>
        <v/>
      </c>
      <c r="T297" s="1278">
        <f t="shared" si="62"/>
        <v>29.566499566732091</v>
      </c>
      <c r="U297" s="1111">
        <f t="shared" si="61"/>
        <v>34.953231145269783</v>
      </c>
      <c r="V297" s="1124">
        <f t="shared" si="63"/>
        <v>1.3114994835604676</v>
      </c>
      <c r="W297" s="3283">
        <f t="shared" si="67"/>
        <v>0.84588745011441735</v>
      </c>
      <c r="X297" s="3300"/>
      <c r="Y297" s="3316"/>
      <c r="AA297" s="3301"/>
      <c r="AB297" s="3409"/>
      <c r="AE297" s="1056"/>
    </row>
    <row r="298" spans="1:31" x14ac:dyDescent="0.2">
      <c r="B298" s="2978" t="s">
        <v>626</v>
      </c>
      <c r="C298" s="1126">
        <v>43396</v>
      </c>
      <c r="D298" s="1491" t="s">
        <v>718</v>
      </c>
      <c r="E298" s="1492"/>
      <c r="F298" s="2672" t="s">
        <v>665</v>
      </c>
      <c r="G298" s="1543">
        <v>4.0636574074074075E-2</v>
      </c>
      <c r="H298" s="1544">
        <v>10.7</v>
      </c>
      <c r="I298" s="1545">
        <f t="shared" si="60"/>
        <v>3.7978106611284185E-3</v>
      </c>
      <c r="J298" s="1546">
        <v>131</v>
      </c>
      <c r="K298" s="1547">
        <v>66</v>
      </c>
      <c r="L298" s="2801">
        <v>218</v>
      </c>
      <c r="M298" s="2823"/>
      <c r="N298" s="1408">
        <f t="shared" si="64"/>
        <v>1.0676496024550148</v>
      </c>
      <c r="O298" s="1548" t="s">
        <v>668</v>
      </c>
      <c r="P298" s="1549" t="str">
        <f>IFERROR(VLOOKUP(F298,Trainingsarten!$A$9:$N$84,12,FALSE),"")</f>
        <v/>
      </c>
      <c r="Q298" s="1454" t="s">
        <v>437</v>
      </c>
      <c r="R298" s="1086" t="str">
        <f>IFERROR(VLOOKUP(F298,Trainingsarten!$A$9:$N$84,14,FALSE),"")</f>
        <v/>
      </c>
      <c r="S298" s="1087">
        <f t="shared" si="65"/>
        <v>1.6641221374045803</v>
      </c>
      <c r="T298" s="1088">
        <f t="shared" si="62"/>
        <v>34.771285342913224</v>
      </c>
      <c r="U298" s="1089">
        <f t="shared" si="61"/>
        <v>35.692439927525264</v>
      </c>
      <c r="V298" s="1090">
        <f t="shared" si="63"/>
        <v>5.3867315785376917</v>
      </c>
      <c r="W298" s="3284">
        <f t="shared" si="67"/>
        <v>0.97419188527087319</v>
      </c>
      <c r="X298" s="3300"/>
      <c r="Y298" s="3316"/>
      <c r="AA298" s="3301"/>
      <c r="AB298" s="3409"/>
      <c r="AE298" s="1056"/>
    </row>
    <row r="299" spans="1:31" ht="16" thickBot="1" x14ac:dyDescent="0.25">
      <c r="B299" s="2979">
        <f>SUM(H297:H303)</f>
        <v>18.350000000000001</v>
      </c>
      <c r="C299" s="1126">
        <v>43397</v>
      </c>
      <c r="D299" s="1491"/>
      <c r="E299" s="1492"/>
      <c r="F299" s="2673"/>
      <c r="G299" s="1550"/>
      <c r="H299" s="1551" t="str">
        <f>IFERROR(VLOOKUP(F299,Trainingsarten!$A$9:$K$78,10,FALSE),"")</f>
        <v/>
      </c>
      <c r="I299" s="1552" t="str">
        <f t="shared" si="60"/>
        <v/>
      </c>
      <c r="J299" s="1553"/>
      <c r="K299" s="1554"/>
      <c r="L299" s="2801"/>
      <c r="M299" s="2823"/>
      <c r="N299" s="1408" t="str">
        <f t="shared" si="64"/>
        <v/>
      </c>
      <c r="O299" s="1555"/>
      <c r="P299" s="1556" t="str">
        <f>IFERROR(VLOOKUP(F299,Trainingsarten!$A$9:$N$84,12,FALSE),"")</f>
        <v/>
      </c>
      <c r="Q299" s="1454" t="s">
        <v>437</v>
      </c>
      <c r="R299" s="1086" t="str">
        <f>IFERROR(VLOOKUP(F299,Trainingsarten!$A$9:$N$84,14,FALSE),"")</f>
        <v/>
      </c>
      <c r="S299" s="1087" t="str">
        <f t="shared" si="65"/>
        <v/>
      </c>
      <c r="T299" s="1088">
        <f t="shared" si="62"/>
        <v>29.80395886535419</v>
      </c>
      <c r="U299" s="1089">
        <f t="shared" si="61"/>
        <v>34.842619929250851</v>
      </c>
      <c r="V299" s="1090">
        <f t="shared" si="63"/>
        <v>0.92115458461204014</v>
      </c>
      <c r="W299" s="3284">
        <f t="shared" si="67"/>
        <v>0.85538799682320565</v>
      </c>
      <c r="X299" s="3300"/>
      <c r="Y299" s="3316"/>
      <c r="AA299" s="3301"/>
      <c r="AB299" s="3409"/>
      <c r="AE299" s="1056"/>
    </row>
    <row r="300" spans="1:31" x14ac:dyDescent="0.2">
      <c r="B300" s="2980" t="s">
        <v>628</v>
      </c>
      <c r="C300" s="1126">
        <v>43398</v>
      </c>
      <c r="D300" s="1491"/>
      <c r="E300" s="1492"/>
      <c r="F300" s="2673"/>
      <c r="G300" s="1550"/>
      <c r="H300" s="1551" t="str">
        <f>IFERROR(VLOOKUP(F300,Trainingsarten!$A$9:$K$78,10,FALSE),"")</f>
        <v/>
      </c>
      <c r="I300" s="1552" t="str">
        <f t="shared" si="60"/>
        <v/>
      </c>
      <c r="J300" s="1553"/>
      <c r="K300" s="1554"/>
      <c r="L300" s="2801"/>
      <c r="M300" s="2823"/>
      <c r="N300" s="1408" t="str">
        <f t="shared" si="64"/>
        <v/>
      </c>
      <c r="O300" s="1555"/>
      <c r="P300" s="1556" t="str">
        <f>IFERROR(VLOOKUP(F300,Trainingsarten!$A$9:$N$84,12,FALSE),"")</f>
        <v/>
      </c>
      <c r="Q300" s="1454" t="s">
        <v>437</v>
      </c>
      <c r="R300" s="1086" t="str">
        <f>IFERROR(VLOOKUP(F300,Trainingsarten!$A$9:$N$84,14,FALSE),"")</f>
        <v/>
      </c>
      <c r="S300" s="1087" t="str">
        <f t="shared" si="65"/>
        <v/>
      </c>
      <c r="T300" s="1088">
        <f t="shared" si="62"/>
        <v>25.546250456017876</v>
      </c>
      <c r="U300" s="1089">
        <f t="shared" si="61"/>
        <v>34.013033740459164</v>
      </c>
      <c r="V300" s="1090">
        <f t="shared" si="63"/>
        <v>5.0386610638966616</v>
      </c>
      <c r="W300" s="3284">
        <f t="shared" si="67"/>
        <v>0.75107238745452209</v>
      </c>
      <c r="X300" s="3300"/>
      <c r="Y300" s="3316"/>
      <c r="AA300" s="3301"/>
      <c r="AB300" s="3409"/>
      <c r="AE300" s="1056"/>
    </row>
    <row r="301" spans="1:31" ht="16" thickBot="1" x14ac:dyDescent="0.25">
      <c r="B301" s="2981">
        <f>SUM(K297:K303)</f>
        <v>112</v>
      </c>
      <c r="C301" s="1126">
        <v>43399</v>
      </c>
      <c r="D301" s="1491"/>
      <c r="E301" s="1492"/>
      <c r="F301" s="2674"/>
      <c r="G301" s="1557"/>
      <c r="H301" s="1558" t="str">
        <f>IFERROR(VLOOKUP(F301,Trainingsarten!$A$9:$K$78,10,FALSE),"")</f>
        <v/>
      </c>
      <c r="I301" s="1559" t="str">
        <f t="shared" si="60"/>
        <v/>
      </c>
      <c r="J301" s="1560"/>
      <c r="K301" s="1561"/>
      <c r="L301" s="2801"/>
      <c r="M301" s="2823"/>
      <c r="N301" s="1408" t="str">
        <f t="shared" si="64"/>
        <v/>
      </c>
      <c r="O301" s="1562"/>
      <c r="P301" s="1563" t="str">
        <f>IFERROR(VLOOKUP(F301,Trainingsarten!$A$9:$N$84,12,FALSE),"")</f>
        <v/>
      </c>
      <c r="Q301" s="1454" t="s">
        <v>437</v>
      </c>
      <c r="R301" s="1086" t="str">
        <f>IFERROR(VLOOKUP(F301,Trainingsarten!$A$9:$N$84,14,FALSE),"")</f>
        <v/>
      </c>
      <c r="S301" s="1087" t="str">
        <f t="shared" si="65"/>
        <v/>
      </c>
      <c r="T301" s="1088">
        <f t="shared" si="62"/>
        <v>21.896786105158181</v>
      </c>
      <c r="U301" s="1089">
        <f t="shared" si="61"/>
        <v>33.203199603781563</v>
      </c>
      <c r="V301" s="1090">
        <f t="shared" si="63"/>
        <v>8.4667832844412878</v>
      </c>
      <c r="W301" s="3284">
        <f t="shared" si="67"/>
        <v>0.65947819386250728</v>
      </c>
      <c r="X301" s="3300"/>
      <c r="Y301" s="3316"/>
      <c r="AA301" s="3301"/>
      <c r="AB301" s="3409"/>
      <c r="AE301" s="1056"/>
    </row>
    <row r="302" spans="1:31" x14ac:dyDescent="0.2">
      <c r="B302" s="2982" t="s">
        <v>761</v>
      </c>
      <c r="C302" s="1126">
        <v>43400</v>
      </c>
      <c r="D302" s="1491"/>
      <c r="E302" s="1492"/>
      <c r="F302" s="2674"/>
      <c r="G302" s="1557"/>
      <c r="H302" s="1558" t="str">
        <f>IFERROR(VLOOKUP(F302,Trainingsarten!$A$9:$K$78,10,FALSE),"")</f>
        <v/>
      </c>
      <c r="I302" s="1559" t="str">
        <f t="shared" si="60"/>
        <v/>
      </c>
      <c r="J302" s="1560"/>
      <c r="K302" s="1561"/>
      <c r="L302" s="2801"/>
      <c r="M302" s="2823"/>
      <c r="N302" s="1408" t="str">
        <f t="shared" si="64"/>
        <v/>
      </c>
      <c r="O302" s="1562"/>
      <c r="P302" s="1563" t="str">
        <f>IFERROR(VLOOKUP(F302,Trainingsarten!$A$9:$N$84,12,FALSE),"")</f>
        <v/>
      </c>
      <c r="Q302" s="1454" t="s">
        <v>437</v>
      </c>
      <c r="R302" s="1086" t="str">
        <f>IFERROR(VLOOKUP(F302,Trainingsarten!$A$9:$N$84,14,FALSE),"")</f>
        <v/>
      </c>
      <c r="S302" s="1087" t="str">
        <f t="shared" si="65"/>
        <v/>
      </c>
      <c r="T302" s="1088">
        <f t="shared" si="62"/>
        <v>18.768673804421297</v>
      </c>
      <c r="U302" s="1089">
        <f t="shared" si="61"/>
        <v>32.412647232262955</v>
      </c>
      <c r="V302" s="1090">
        <f t="shared" si="63"/>
        <v>11.306413498623382</v>
      </c>
      <c r="W302" s="3284">
        <f t="shared" si="67"/>
        <v>0.57905402387927463</v>
      </c>
      <c r="X302" s="3300"/>
      <c r="Y302" s="3316"/>
      <c r="AA302" s="3301"/>
      <c r="AB302" s="3409"/>
      <c r="AE302" s="1056"/>
    </row>
    <row r="303" spans="1:31" ht="16" thickBot="1" x14ac:dyDescent="0.25">
      <c r="B303" s="2983">
        <f>AVERAGE(W297:W303)</f>
        <v>0.76531974619877796</v>
      </c>
      <c r="C303" s="1189">
        <v>43401</v>
      </c>
      <c r="D303" s="1232" t="s">
        <v>719</v>
      </c>
      <c r="E303" s="1233"/>
      <c r="F303" s="2620" t="s">
        <v>665</v>
      </c>
      <c r="G303" s="1141">
        <v>2.9849537037037036E-2</v>
      </c>
      <c r="H303" s="1234">
        <v>7.65</v>
      </c>
      <c r="I303" s="1434">
        <f t="shared" si="60"/>
        <v>3.9019002662793508E-3</v>
      </c>
      <c r="J303" s="1146"/>
      <c r="K303" s="1237">
        <v>46</v>
      </c>
      <c r="L303" s="2803">
        <v>211</v>
      </c>
      <c r="M303" s="2826"/>
      <c r="N303" s="1238">
        <f t="shared" si="64"/>
        <v>1.0616895912593891</v>
      </c>
      <c r="O303" s="1148" t="s">
        <v>487</v>
      </c>
      <c r="P303" s="1149" t="str">
        <f>IFERROR(VLOOKUP(F303,Trainingsarten!$A$9:$N$84,12,FALSE),"")</f>
        <v/>
      </c>
      <c r="Q303" s="1151" t="s">
        <v>437</v>
      </c>
      <c r="R303" s="1151" t="str">
        <f>IFERROR(VLOOKUP(F303,Trainingsarten!$A$9:$N$84,14,FALSE),"")</f>
        <v/>
      </c>
      <c r="S303" s="1106" t="str">
        <f t="shared" si="65"/>
        <v/>
      </c>
      <c r="T303" s="1239">
        <f t="shared" si="62"/>
        <v>22.658863260932542</v>
      </c>
      <c r="U303" s="1258">
        <f t="shared" si="61"/>
        <v>32.736155631494789</v>
      </c>
      <c r="V303" s="1262">
        <f t="shared" si="63"/>
        <v>13.643973427841658</v>
      </c>
      <c r="W303" s="3285">
        <f t="shared" si="67"/>
        <v>0.69216628598664498</v>
      </c>
      <c r="X303" s="3300"/>
      <c r="Y303" s="3316"/>
      <c r="AA303" s="3301"/>
      <c r="AB303" s="3409"/>
      <c r="AE303" s="1056"/>
    </row>
    <row r="304" spans="1:31" ht="16" thickBot="1" x14ac:dyDescent="0.25">
      <c r="B304" s="2977">
        <f>B297+1</f>
        <v>44</v>
      </c>
      <c r="C304" s="1241">
        <v>43402</v>
      </c>
      <c r="D304" s="1191"/>
      <c r="E304" s="1192"/>
      <c r="F304" s="2645"/>
      <c r="G304" s="1193"/>
      <c r="H304" s="1287" t="str">
        <f>IFERROR(VLOOKUP(F304,Trainingsarten!$A$9:$K$78,10,FALSE),"")</f>
        <v/>
      </c>
      <c r="I304" s="1288" t="str">
        <f t="shared" si="60"/>
        <v/>
      </c>
      <c r="J304" s="1289"/>
      <c r="K304" s="1197"/>
      <c r="L304" s="2800"/>
      <c r="M304" s="2822"/>
      <c r="N304" s="1199" t="str">
        <f t="shared" si="64"/>
        <v/>
      </c>
      <c r="O304" s="1200"/>
      <c r="P304" s="1267" t="str">
        <f>IFERROR(VLOOKUP(F304,Trainingsarten!$A$9:$N$84,12,FALSE),"")</f>
        <v/>
      </c>
      <c r="Q304" s="1202" t="s">
        <v>437</v>
      </c>
      <c r="R304" s="1069" t="str">
        <f>IFERROR(VLOOKUP(F304,Trainingsarten!$A$9:$N$84,14,FALSE),"")</f>
        <v/>
      </c>
      <c r="S304" s="1070" t="str">
        <f t="shared" ref="S304:S329" si="68">IFERROR(L304/J304,"")</f>
        <v/>
      </c>
      <c r="T304" s="1268">
        <f t="shared" si="62"/>
        <v>19.421882795085036</v>
      </c>
      <c r="U304" s="1191">
        <f t="shared" si="61"/>
        <v>31.956723354554438</v>
      </c>
      <c r="V304" s="1244">
        <f t="shared" si="63"/>
        <v>10.077292370562247</v>
      </c>
      <c r="W304" s="3286">
        <f t="shared" si="67"/>
        <v>0.60775576330534686</v>
      </c>
      <c r="X304" s="3300"/>
      <c r="Y304" s="3316"/>
      <c r="AA304" s="3301"/>
      <c r="AB304" s="3409"/>
      <c r="AE304" s="1056"/>
    </row>
    <row r="305" spans="2:31" x14ac:dyDescent="0.2">
      <c r="B305" s="2978" t="s">
        <v>626</v>
      </c>
      <c r="C305" s="1204">
        <v>43403</v>
      </c>
      <c r="D305" s="1089" t="s">
        <v>720</v>
      </c>
      <c r="E305" s="1205"/>
      <c r="F305" s="2628" t="s">
        <v>665</v>
      </c>
      <c r="G305" s="1166">
        <v>4.4444444444444446E-2</v>
      </c>
      <c r="H305" s="1167">
        <v>11.34</v>
      </c>
      <c r="I305" s="1168">
        <f t="shared" si="60"/>
        <v>3.9192631785224382E-3</v>
      </c>
      <c r="J305" s="1169">
        <v>134</v>
      </c>
      <c r="K305" s="1206">
        <v>68</v>
      </c>
      <c r="L305" s="2801">
        <v>211</v>
      </c>
      <c r="M305" s="2823"/>
      <c r="N305" s="1208">
        <f t="shared" si="64"/>
        <v>1.06641396193635</v>
      </c>
      <c r="O305" s="1209" t="s">
        <v>668</v>
      </c>
      <c r="P305" s="1136" t="str">
        <f>IFERROR(VLOOKUP(F305,Trainingsarten!$A$9:$N$84,12,FALSE),"")</f>
        <v/>
      </c>
      <c r="Q305" s="1137" t="s">
        <v>437</v>
      </c>
      <c r="R305" s="1086" t="str">
        <f>IFERROR(VLOOKUP(F305,Trainingsarten!$A$9:$N$84,14,FALSE),"")</f>
        <v/>
      </c>
      <c r="S305" s="1087">
        <f t="shared" si="68"/>
        <v>1.5746268656716418</v>
      </c>
      <c r="T305" s="1210">
        <f t="shared" si="62"/>
        <v>26.361613824358603</v>
      </c>
      <c r="U305" s="1089">
        <f t="shared" si="61"/>
        <v>32.814896608017428</v>
      </c>
      <c r="V305" s="1090">
        <f t="shared" si="63"/>
        <v>12.534840559469401</v>
      </c>
      <c r="W305" s="3284">
        <f t="shared" si="67"/>
        <v>0.80334288842213997</v>
      </c>
      <c r="X305" s="3300"/>
      <c r="Y305" s="3316"/>
      <c r="AA305" s="3301"/>
      <c r="AB305" s="3409"/>
      <c r="AE305" s="1056"/>
    </row>
    <row r="306" spans="2:31" ht="16" thickBot="1" x14ac:dyDescent="0.25">
      <c r="B306" s="2979">
        <f>SUM(H304:H310)</f>
        <v>29.749999999999996</v>
      </c>
      <c r="C306" s="1204">
        <v>43404</v>
      </c>
      <c r="D306" s="1089"/>
      <c r="E306" s="1205"/>
      <c r="F306" s="2628"/>
      <c r="G306" s="1166"/>
      <c r="H306" s="1167" t="str">
        <f>IFERROR(VLOOKUP(F306,Trainingsarten!$A$9:$K$78,10,FALSE),"")</f>
        <v/>
      </c>
      <c r="I306" s="1168" t="str">
        <f t="shared" si="60"/>
        <v/>
      </c>
      <c r="J306" s="1169"/>
      <c r="K306" s="1206"/>
      <c r="L306" s="2801"/>
      <c r="M306" s="2823"/>
      <c r="N306" s="1208" t="str">
        <f t="shared" si="64"/>
        <v/>
      </c>
      <c r="O306" s="1209"/>
      <c r="P306" s="1136" t="str">
        <f>IFERROR(VLOOKUP(F306,Trainingsarten!$A$9:$N$84,12,FALSE),"")</f>
        <v/>
      </c>
      <c r="Q306" s="1137" t="s">
        <v>437</v>
      </c>
      <c r="R306" s="1086" t="str">
        <f>IFERROR(VLOOKUP(F306,Trainingsarten!$A$9:$N$84,14,FALSE),"")</f>
        <v/>
      </c>
      <c r="S306" s="1087" t="str">
        <f t="shared" si="68"/>
        <v/>
      </c>
      <c r="T306" s="1210">
        <f t="shared" si="62"/>
        <v>22.595668992307374</v>
      </c>
      <c r="U306" s="1089">
        <f t="shared" si="61"/>
        <v>32.033589545921771</v>
      </c>
      <c r="V306" s="1090">
        <f t="shared" si="63"/>
        <v>6.4532827836588247</v>
      </c>
      <c r="W306" s="3284">
        <f t="shared" si="67"/>
        <v>0.7053742434926108</v>
      </c>
      <c r="X306" s="3300"/>
      <c r="Y306" s="3316"/>
      <c r="AA306" s="3301"/>
      <c r="AB306" s="3409"/>
      <c r="AE306" s="1056"/>
    </row>
    <row r="307" spans="2:31" x14ac:dyDescent="0.2">
      <c r="B307" s="2980" t="s">
        <v>628</v>
      </c>
      <c r="C307" s="1211">
        <v>43405</v>
      </c>
      <c r="D307" s="1089" t="s">
        <v>721</v>
      </c>
      <c r="E307" s="1205"/>
      <c r="F307" s="2628" t="s">
        <v>665</v>
      </c>
      <c r="G307" s="1166">
        <v>4.1724537037037039E-2</v>
      </c>
      <c r="H307" s="1167">
        <v>10.6</v>
      </c>
      <c r="I307" s="1168">
        <f t="shared" si="60"/>
        <v>3.9362770789657586E-3</v>
      </c>
      <c r="J307" s="1169">
        <v>134</v>
      </c>
      <c r="K307" s="1206">
        <v>62</v>
      </c>
      <c r="L307" s="2801">
        <v>212</v>
      </c>
      <c r="M307" s="2823"/>
      <c r="N307" s="1208">
        <f t="shared" si="64"/>
        <v>1.0761194029850745</v>
      </c>
      <c r="O307" s="1209" t="s">
        <v>668</v>
      </c>
      <c r="P307" s="1136" t="str">
        <f>IFERROR(VLOOKUP(F307,Trainingsarten!$A$9:$N$84,12,FALSE),"")</f>
        <v/>
      </c>
      <c r="Q307" s="1137" t="s">
        <v>437</v>
      </c>
      <c r="R307" s="1086" t="str">
        <f>IFERROR(VLOOKUP(F307,Trainingsarten!$A$9:$N$84,14,FALSE),"")</f>
        <v/>
      </c>
      <c r="S307" s="1087">
        <f t="shared" si="68"/>
        <v>1.5820895522388059</v>
      </c>
      <c r="T307" s="1210">
        <f t="shared" si="62"/>
        <v>28.224859136263461</v>
      </c>
      <c r="U307" s="1089">
        <f t="shared" si="61"/>
        <v>32.747075509114111</v>
      </c>
      <c r="V307" s="1090">
        <f t="shared" si="63"/>
        <v>9.4379205536143971</v>
      </c>
      <c r="W307" s="3284">
        <f t="shared" si="67"/>
        <v>0.86190472576422783</v>
      </c>
      <c r="X307" s="3300"/>
      <c r="Y307" s="3316"/>
      <c r="AA307" s="3301"/>
      <c r="AB307" s="3409"/>
      <c r="AE307" s="1056"/>
    </row>
    <row r="308" spans="2:31" ht="16" thickBot="1" x14ac:dyDescent="0.25">
      <c r="B308" s="2981">
        <f>SUM(K304:K310)</f>
        <v>188</v>
      </c>
      <c r="C308" s="1211">
        <v>43406</v>
      </c>
      <c r="D308" s="1089"/>
      <c r="E308" s="1205"/>
      <c r="F308" s="2628"/>
      <c r="G308" s="1166"/>
      <c r="H308" s="1167" t="str">
        <f>IFERROR(VLOOKUP(F308,Trainingsarten!$A$9:$K$78,10,FALSE),"")</f>
        <v/>
      </c>
      <c r="I308" s="1168" t="str">
        <f t="shared" si="60"/>
        <v/>
      </c>
      <c r="J308" s="1169"/>
      <c r="K308" s="1206"/>
      <c r="L308" s="2801"/>
      <c r="M308" s="2823"/>
      <c r="N308" s="1208" t="str">
        <f t="shared" si="64"/>
        <v/>
      </c>
      <c r="O308" s="1209"/>
      <c r="P308" s="1136" t="str">
        <f>IFERROR(VLOOKUP(F308,Trainingsarten!$A$9:$N$84,12,FALSE),"")</f>
        <v/>
      </c>
      <c r="Q308" s="1137" t="s">
        <v>437</v>
      </c>
      <c r="R308" s="1086" t="str">
        <f>IFERROR(VLOOKUP(F308,Trainingsarten!$A$9:$N$84,14,FALSE),"")</f>
        <v/>
      </c>
      <c r="S308" s="1087" t="str">
        <f t="shared" si="68"/>
        <v/>
      </c>
      <c r="T308" s="1210">
        <f t="shared" si="62"/>
        <v>24.192736402511539</v>
      </c>
      <c r="U308" s="1089">
        <f t="shared" si="61"/>
        <v>31.967383235087585</v>
      </c>
      <c r="V308" s="1090">
        <f t="shared" si="63"/>
        <v>4.5222163728506501</v>
      </c>
      <c r="W308" s="3284">
        <f t="shared" si="67"/>
        <v>0.75679439335395615</v>
      </c>
      <c r="X308" s="3300"/>
      <c r="Y308" s="3316"/>
      <c r="AA308" s="3301"/>
      <c r="AB308" s="3409"/>
      <c r="AE308" s="1056"/>
    </row>
    <row r="309" spans="2:31" x14ac:dyDescent="0.2">
      <c r="B309" s="2982" t="s">
        <v>761</v>
      </c>
      <c r="C309" s="1211">
        <v>43407</v>
      </c>
      <c r="D309" s="1089" t="s">
        <v>722</v>
      </c>
      <c r="E309" s="1205"/>
      <c r="F309" s="2628" t="s">
        <v>646</v>
      </c>
      <c r="G309" s="1166">
        <v>3.8634259259259257E-2</v>
      </c>
      <c r="H309" s="1167">
        <v>7.81</v>
      </c>
      <c r="I309" s="1168">
        <f t="shared" si="60"/>
        <v>4.9467681509935031E-3</v>
      </c>
      <c r="J309" s="1169">
        <v>141</v>
      </c>
      <c r="K309" s="1206">
        <v>58</v>
      </c>
      <c r="L309" s="2801">
        <v>194</v>
      </c>
      <c r="M309" s="2823"/>
      <c r="N309" s="1208"/>
      <c r="O309" s="1209" t="s">
        <v>668</v>
      </c>
      <c r="P309" s="1136" t="str">
        <f>IFERROR(VLOOKUP(F309,Trainingsarten!$A$9:$N$84,12,FALSE),"")</f>
        <v/>
      </c>
      <c r="Q309" s="1137" t="s">
        <v>437</v>
      </c>
      <c r="R309" s="1086" t="str">
        <f>IFERROR(VLOOKUP(F309,Trainingsarten!$A$9:$N$84,14,FALSE),"")</f>
        <v/>
      </c>
      <c r="S309" s="1087">
        <f t="shared" si="68"/>
        <v>1.375886524822695</v>
      </c>
      <c r="T309" s="1210">
        <f t="shared" si="62"/>
        <v>29.022345487867032</v>
      </c>
      <c r="U309" s="1089">
        <f t="shared" si="61"/>
        <v>32.587207443775974</v>
      </c>
      <c r="V309" s="1090">
        <f t="shared" si="63"/>
        <v>7.7746468325760461</v>
      </c>
      <c r="W309" s="3284">
        <f t="shared" si="67"/>
        <v>0.89060547878919838</v>
      </c>
      <c r="X309" s="3300"/>
      <c r="Y309" s="3316"/>
      <c r="AA309" s="3301"/>
      <c r="AB309" s="3409"/>
      <c r="AE309" s="1056"/>
    </row>
    <row r="310" spans="2:31" ht="16" thickBot="1" x14ac:dyDescent="0.25">
      <c r="B310" s="2983">
        <f>AVERAGE(W304:W310)</f>
        <v>0.77253893538201324</v>
      </c>
      <c r="C310" s="1260">
        <v>43408</v>
      </c>
      <c r="D310" s="1108"/>
      <c r="E310" s="1261"/>
      <c r="F310" s="2646"/>
      <c r="G310" s="1217"/>
      <c r="H310" s="1366" t="str">
        <f>IFERROR(VLOOKUP(F310,Trainingsarten!$A$9:$K$78,10,FALSE),"")</f>
        <v/>
      </c>
      <c r="I310" s="1363" t="str">
        <f t="shared" si="60"/>
        <v/>
      </c>
      <c r="J310" s="1367"/>
      <c r="K310" s="1221"/>
      <c r="L310" s="2802"/>
      <c r="M310" s="2824"/>
      <c r="N310" s="1223" t="str">
        <f>IFERROR((L310/67)/(1/(I310*24)/3.6),"")</f>
        <v/>
      </c>
      <c r="O310" s="1224"/>
      <c r="P310" s="1225" t="str">
        <f>IFERROR(VLOOKUP(F310,Trainingsarten!$A$9:$N$84,12,FALSE),"")</f>
        <v/>
      </c>
      <c r="Q310" s="1226" t="s">
        <v>437</v>
      </c>
      <c r="R310" s="1105" t="str">
        <f>IFERROR(VLOOKUP(F310,Trainingsarten!$A$9:$N$84,14,FALSE),"")</f>
        <v/>
      </c>
      <c r="S310" s="1106" t="str">
        <f t="shared" si="68"/>
        <v/>
      </c>
      <c r="T310" s="1227">
        <f t="shared" si="62"/>
        <v>24.876296132457455</v>
      </c>
      <c r="U310" s="1108">
        <f t="shared" si="61"/>
        <v>31.8113215522575</v>
      </c>
      <c r="V310" s="1228">
        <f t="shared" si="63"/>
        <v>3.5648619559089418</v>
      </c>
      <c r="W310" s="3287">
        <f t="shared" si="67"/>
        <v>0.78199505454661322</v>
      </c>
      <c r="X310" s="3300"/>
      <c r="Y310" s="3316"/>
      <c r="AA310" s="3301"/>
      <c r="AB310" s="3409"/>
      <c r="AE310" s="1056"/>
    </row>
    <row r="311" spans="2:31" ht="16" thickBot="1" x14ac:dyDescent="0.25">
      <c r="B311" s="2977">
        <f>B304+1</f>
        <v>45</v>
      </c>
      <c r="C311" s="1110">
        <v>43409</v>
      </c>
      <c r="D311" s="1111"/>
      <c r="E311" s="1112"/>
      <c r="F311" s="2618"/>
      <c r="G311" s="1113"/>
      <c r="H311" s="1229" t="str">
        <f>IFERROR(VLOOKUP(F311,Trainingsarten!$A$9:$K$78,10,FALSE),"")</f>
        <v/>
      </c>
      <c r="I311" s="1399" t="str">
        <f t="shared" si="60"/>
        <v/>
      </c>
      <c r="J311" s="1118"/>
      <c r="K311" s="1117"/>
      <c r="L311" s="1118"/>
      <c r="M311" s="2825"/>
      <c r="N311" s="1119" t="str">
        <f>IFERROR((L311/67)/(1/(I311*24)/3.6),"")</f>
        <v/>
      </c>
      <c r="O311" s="1120"/>
      <c r="P311" s="1277" t="str">
        <f>IFERROR(VLOOKUP(F311,Trainingsarten!$A$9:$N$84,12,FALSE),"")</f>
        <v/>
      </c>
      <c r="Q311" s="1122" t="s">
        <v>437</v>
      </c>
      <c r="R311" s="1122" t="str">
        <f>IFERROR(VLOOKUP(F311,Trainingsarten!$A$9:$N$84,14,FALSE),"")</f>
        <v/>
      </c>
      <c r="S311" s="1070" t="str">
        <f t="shared" si="68"/>
        <v/>
      </c>
      <c r="T311" s="1278">
        <f t="shared" si="62"/>
        <v>21.322539542106391</v>
      </c>
      <c r="U311" s="1111">
        <f t="shared" si="61"/>
        <v>31.053909134346608</v>
      </c>
      <c r="V311" s="1124">
        <f t="shared" si="63"/>
        <v>6.9350254198000449</v>
      </c>
      <c r="W311" s="3283">
        <f t="shared" si="67"/>
        <v>0.68662980399214812</v>
      </c>
      <c r="X311" s="3300"/>
      <c r="Y311" s="3316"/>
      <c r="AA311" s="3301"/>
      <c r="AB311" s="3409"/>
      <c r="AE311" s="1056"/>
    </row>
    <row r="312" spans="2:31" x14ac:dyDescent="0.2">
      <c r="B312" s="2978" t="s">
        <v>626</v>
      </c>
      <c r="C312" s="1126">
        <v>43410</v>
      </c>
      <c r="D312" s="1491" t="s">
        <v>723</v>
      </c>
      <c r="E312" s="1492"/>
      <c r="F312" s="2675" t="s">
        <v>627</v>
      </c>
      <c r="G312" s="1564">
        <v>4.071759259259259E-2</v>
      </c>
      <c r="H312" s="1565">
        <v>10.6</v>
      </c>
      <c r="I312" s="1566">
        <f t="shared" si="60"/>
        <v>3.8412823200559046E-3</v>
      </c>
      <c r="J312" s="1567">
        <v>139</v>
      </c>
      <c r="K312" s="1568">
        <v>69</v>
      </c>
      <c r="L312" s="2801">
        <v>209</v>
      </c>
      <c r="M312" s="2823"/>
      <c r="N312" s="1408">
        <f>IFERROR((L312/67)/(1/(I312*24)/3.6),"")</f>
        <v>1.0352886510842016</v>
      </c>
      <c r="O312" s="1569" t="s">
        <v>667</v>
      </c>
      <c r="P312" s="1570">
        <f>IFERROR(VLOOKUP(F312,Trainingsarten!$A$9:$N$84,12,FALSE),"")</f>
        <v>279.53100000000006</v>
      </c>
      <c r="Q312" s="1454" t="s">
        <v>437</v>
      </c>
      <c r="R312" s="1086">
        <f>IFERROR(VLOOKUP(F312,Trainingsarten!$A$9:$N$84,14,FALSE),"")</f>
        <v>306.15300000000002</v>
      </c>
      <c r="S312" s="1087">
        <f t="shared" si="68"/>
        <v>1.5035971223021583</v>
      </c>
      <c r="T312" s="1088">
        <f t="shared" si="62"/>
        <v>28.133605321805476</v>
      </c>
      <c r="U312" s="1089">
        <f t="shared" si="61"/>
        <v>31.957387488290735</v>
      </c>
      <c r="V312" s="1090">
        <f t="shared" si="63"/>
        <v>9.7313695922402168</v>
      </c>
      <c r="W312" s="3284">
        <f t="shared" si="67"/>
        <v>0.8803474730878329</v>
      </c>
      <c r="X312" s="3300"/>
      <c r="Y312" s="3316"/>
      <c r="AA312" s="3301"/>
      <c r="AB312" s="3409"/>
      <c r="AE312" s="1056"/>
    </row>
    <row r="313" spans="2:31" ht="16" thickBot="1" x14ac:dyDescent="0.25">
      <c r="B313" s="2979">
        <f>SUM(H311:H317)</f>
        <v>34.5</v>
      </c>
      <c r="C313" s="1126">
        <v>43411</v>
      </c>
      <c r="D313" s="1491"/>
      <c r="E313" s="1492"/>
      <c r="F313" s="2676"/>
      <c r="G313" s="1571"/>
      <c r="H313" s="1572"/>
      <c r="I313" s="1573"/>
      <c r="J313" s="1574"/>
      <c r="K313" s="1575"/>
      <c r="L313" s="2801"/>
      <c r="M313" s="2823"/>
      <c r="N313" s="1408"/>
      <c r="O313" s="1576"/>
      <c r="P313" s="1577" t="str">
        <f>IFERROR(VLOOKUP(F313,Trainingsarten!$A$9:$N$84,12,FALSE),"")</f>
        <v/>
      </c>
      <c r="Q313" s="1454" t="s">
        <v>437</v>
      </c>
      <c r="R313" s="1086" t="str">
        <f>IFERROR(VLOOKUP(F313,Trainingsarten!$A$9:$N$84,14,FALSE),"")</f>
        <v/>
      </c>
      <c r="S313" s="1087" t="str">
        <f t="shared" si="68"/>
        <v/>
      </c>
      <c r="T313" s="1088">
        <f t="shared" si="62"/>
        <v>24.114518847261834</v>
      </c>
      <c r="U313" s="1089">
        <f t="shared" si="61"/>
        <v>31.196497309998097</v>
      </c>
      <c r="V313" s="1090">
        <f t="shared" si="63"/>
        <v>3.8237821664852589</v>
      </c>
      <c r="W313" s="3284">
        <f t="shared" si="67"/>
        <v>0.7729880251502923</v>
      </c>
      <c r="X313" s="3300"/>
      <c r="Y313" s="3316"/>
      <c r="AA313" s="3301"/>
      <c r="AB313" s="3409"/>
      <c r="AE313" s="1056"/>
    </row>
    <row r="314" spans="2:31" x14ac:dyDescent="0.2">
      <c r="B314" s="2980" t="s">
        <v>628</v>
      </c>
      <c r="C314" s="1126">
        <v>43412</v>
      </c>
      <c r="D314" s="1491"/>
      <c r="E314" s="1492"/>
      <c r="F314" s="2676"/>
      <c r="G314" s="1571"/>
      <c r="H314" s="1572"/>
      <c r="I314" s="1573"/>
      <c r="J314" s="1574"/>
      <c r="K314" s="1575"/>
      <c r="L314" s="2801"/>
      <c r="M314" s="2823"/>
      <c r="N314" s="1408"/>
      <c r="O314" s="1576"/>
      <c r="P314" s="1577" t="str">
        <f>IFERROR(VLOOKUP(F314,Trainingsarten!$A$9:$N$84,12,FALSE),"")</f>
        <v/>
      </c>
      <c r="Q314" s="1454" t="s">
        <v>437</v>
      </c>
      <c r="R314" s="1086" t="str">
        <f>IFERROR(VLOOKUP(F314,Trainingsarten!$A$9:$N$84,14,FALSE),"")</f>
        <v/>
      </c>
      <c r="S314" s="1087" t="str">
        <f t="shared" si="68"/>
        <v/>
      </c>
      <c r="T314" s="1088">
        <f t="shared" si="62"/>
        <v>20.669587583367285</v>
      </c>
      <c r="U314" s="1089">
        <f t="shared" si="61"/>
        <v>30.453723564521951</v>
      </c>
      <c r="V314" s="1090">
        <f t="shared" si="63"/>
        <v>7.081978462736263</v>
      </c>
      <c r="W314" s="3284">
        <f t="shared" si="67"/>
        <v>0.67872119281489074</v>
      </c>
      <c r="X314" s="3300"/>
      <c r="Y314" s="3316"/>
      <c r="AA314" s="3301"/>
      <c r="AB314" s="3409"/>
      <c r="AE314" s="1056"/>
    </row>
    <row r="315" spans="2:31" ht="16" thickBot="1" x14ac:dyDescent="0.25">
      <c r="B315" s="2981">
        <f>SUM(K311:K317)</f>
        <v>218</v>
      </c>
      <c r="C315" s="1126">
        <v>43413</v>
      </c>
      <c r="D315" s="1491" t="s">
        <v>724</v>
      </c>
      <c r="E315" s="1492"/>
      <c r="F315" s="2677" t="s">
        <v>646</v>
      </c>
      <c r="G315" s="1578">
        <v>3.7465277777777778E-2</v>
      </c>
      <c r="H315" s="1579">
        <v>10.4</v>
      </c>
      <c r="I315" s="1580">
        <f t="shared" si="60"/>
        <v>3.6024305555555553E-3</v>
      </c>
      <c r="J315" s="1581">
        <v>143</v>
      </c>
      <c r="K315" s="1582">
        <v>66</v>
      </c>
      <c r="L315" s="2801">
        <v>230</v>
      </c>
      <c r="M315" s="2823"/>
      <c r="N315" s="1408">
        <f t="shared" ref="N315:N329" si="69">IFERROR((L315/67)/(1/(I315*24)/3.6),"")</f>
        <v>1.0684701492537314</v>
      </c>
      <c r="O315" s="1583" t="s">
        <v>668</v>
      </c>
      <c r="P315" s="1584" t="str">
        <f>IFERROR(VLOOKUP(F315,Trainingsarten!$A$9:$N$84,12,FALSE),"")</f>
        <v/>
      </c>
      <c r="Q315" s="1454" t="s">
        <v>437</v>
      </c>
      <c r="R315" s="1086" t="str">
        <f>IFERROR(VLOOKUP(F315,Trainingsarten!$A$9:$N$84,14,FALSE),"")</f>
        <v/>
      </c>
      <c r="S315" s="1087">
        <f t="shared" si="68"/>
        <v>1.6083916083916083</v>
      </c>
      <c r="T315" s="1088">
        <f t="shared" si="62"/>
        <v>27.145360785743385</v>
      </c>
      <c r="U315" s="1089">
        <f t="shared" si="61"/>
        <v>31.30006347965238</v>
      </c>
      <c r="V315" s="1090">
        <f t="shared" si="63"/>
        <v>9.784135981154666</v>
      </c>
      <c r="W315" s="3284">
        <f t="shared" si="67"/>
        <v>0.86726216396941513</v>
      </c>
      <c r="X315" s="3300"/>
      <c r="Y315" s="3316"/>
      <c r="AA315" s="3301"/>
      <c r="AB315" s="3409"/>
      <c r="AE315" s="1056"/>
    </row>
    <row r="316" spans="2:31" x14ac:dyDescent="0.2">
      <c r="B316" s="2982" t="s">
        <v>761</v>
      </c>
      <c r="C316" s="1126">
        <v>43414</v>
      </c>
      <c r="D316" s="1491"/>
      <c r="E316" s="1492"/>
      <c r="F316" s="2677"/>
      <c r="G316" s="1578"/>
      <c r="H316" s="1579" t="str">
        <f>IFERROR(VLOOKUP(F316,Trainingsarten!$A$9:$K$78,10,FALSE),"")</f>
        <v/>
      </c>
      <c r="I316" s="1580" t="str">
        <f t="shared" ref="I316:I367" si="70">IFERROR(G316/H316,"")</f>
        <v/>
      </c>
      <c r="J316" s="1581"/>
      <c r="K316" s="1582"/>
      <c r="L316" s="2801"/>
      <c r="M316" s="2823"/>
      <c r="N316" s="1408" t="str">
        <f t="shared" si="69"/>
        <v/>
      </c>
      <c r="O316" s="1583"/>
      <c r="P316" s="1584" t="str">
        <f>IFERROR(VLOOKUP(F316,Trainingsarten!$A$9:$N$84,12,FALSE),"")</f>
        <v/>
      </c>
      <c r="Q316" s="1454" t="s">
        <v>437</v>
      </c>
      <c r="R316" s="1086" t="str">
        <f>IFERROR(VLOOKUP(F316,Trainingsarten!$A$9:$N$84,14,FALSE),"")</f>
        <v/>
      </c>
      <c r="S316" s="1087" t="str">
        <f t="shared" si="68"/>
        <v/>
      </c>
      <c r="T316" s="1088">
        <f t="shared" si="62"/>
        <v>23.267452102065757</v>
      </c>
      <c r="U316" s="1089">
        <f t="shared" si="61"/>
        <v>30.554823872993989</v>
      </c>
      <c r="V316" s="1090">
        <f t="shared" si="63"/>
        <v>4.1547026939089946</v>
      </c>
      <c r="W316" s="3284">
        <f t="shared" si="67"/>
        <v>0.76149848543655962</v>
      </c>
      <c r="X316" s="3300"/>
      <c r="Y316" s="3316"/>
      <c r="AA316" s="3301"/>
      <c r="AB316" s="3409"/>
      <c r="AE316" s="1056"/>
    </row>
    <row r="317" spans="2:31" ht="16" thickBot="1" x14ac:dyDescent="0.25">
      <c r="B317" s="2983">
        <f>AVERAGE(W311:W317)</f>
        <v>0.80676538273131748</v>
      </c>
      <c r="C317" s="1189">
        <v>43415</v>
      </c>
      <c r="D317" s="1232" t="s">
        <v>725</v>
      </c>
      <c r="E317" s="1233"/>
      <c r="F317" s="2620" t="s">
        <v>641</v>
      </c>
      <c r="G317" s="1141">
        <v>5.0289351851851849E-2</v>
      </c>
      <c r="H317" s="1234">
        <v>13.5</v>
      </c>
      <c r="I317" s="1434">
        <f t="shared" si="70"/>
        <v>3.7251371742112482E-3</v>
      </c>
      <c r="J317" s="1146">
        <v>139</v>
      </c>
      <c r="K317" s="1237">
        <v>83</v>
      </c>
      <c r="L317" s="2803">
        <v>221</v>
      </c>
      <c r="M317" s="2826"/>
      <c r="N317" s="1238">
        <f t="shared" si="69"/>
        <v>1.0616307352128247</v>
      </c>
      <c r="O317" s="1148" t="s">
        <v>487</v>
      </c>
      <c r="P317" s="1149" t="str">
        <f>IFERROR(VLOOKUP(F317,Trainingsarten!$A$9:$N$84,12,FALSE),"")</f>
        <v/>
      </c>
      <c r="Q317" s="1151" t="s">
        <v>437</v>
      </c>
      <c r="R317" s="1151" t="str">
        <f>IFERROR(VLOOKUP(F317,Trainingsarten!$A$9:$N$84,14,FALSE),"")</f>
        <v/>
      </c>
      <c r="S317" s="1106">
        <f t="shared" si="68"/>
        <v>1.5899280575539569</v>
      </c>
      <c r="T317" s="1239">
        <f t="shared" si="62"/>
        <v>31.800673230342078</v>
      </c>
      <c r="U317" s="1258">
        <f t="shared" si="61"/>
        <v>31.803518542684607</v>
      </c>
      <c r="V317" s="1262">
        <f t="shared" si="63"/>
        <v>7.2873717709282317</v>
      </c>
      <c r="W317" s="3285">
        <f t="shared" si="67"/>
        <v>0.99991053466808366</v>
      </c>
      <c r="X317" s="3300"/>
      <c r="Y317" s="3316"/>
      <c r="AA317" s="3301"/>
      <c r="AB317" s="3409"/>
      <c r="AE317" s="1056"/>
    </row>
    <row r="318" spans="2:31" ht="16" thickBot="1" x14ac:dyDescent="0.25">
      <c r="B318" s="2977">
        <f>B311+1</f>
        <v>46</v>
      </c>
      <c r="C318" s="1241">
        <v>43416</v>
      </c>
      <c r="D318" s="1191"/>
      <c r="E318" s="1192"/>
      <c r="F318" s="2645"/>
      <c r="G318" s="1193"/>
      <c r="H318" s="1287" t="str">
        <f>IFERROR(VLOOKUP(F318,Trainingsarten!$A$9:$K$78,10,FALSE),"")</f>
        <v/>
      </c>
      <c r="I318" s="1288" t="str">
        <f t="shared" si="70"/>
        <v/>
      </c>
      <c r="J318" s="1289"/>
      <c r="K318" s="1197"/>
      <c r="L318" s="2800"/>
      <c r="M318" s="2822"/>
      <c r="N318" s="1199" t="str">
        <f t="shared" si="69"/>
        <v/>
      </c>
      <c r="O318" s="1200"/>
      <c r="P318" s="1267" t="str">
        <f>IFERROR(VLOOKUP(F318,Trainingsarten!$A$9:$N$84,12,FALSE),"")</f>
        <v/>
      </c>
      <c r="Q318" s="1202" t="s">
        <v>437</v>
      </c>
      <c r="R318" s="1069" t="str">
        <f>IFERROR(VLOOKUP(F318,Trainingsarten!$A$9:$N$84,14,FALSE),"")</f>
        <v/>
      </c>
      <c r="S318" s="1070" t="str">
        <f t="shared" si="68"/>
        <v/>
      </c>
      <c r="T318" s="1268">
        <f t="shared" si="62"/>
        <v>27.257719911721779</v>
      </c>
      <c r="U318" s="1191">
        <f t="shared" si="61"/>
        <v>31.046291910715926</v>
      </c>
      <c r="V318" s="1244">
        <f t="shared" si="63"/>
        <v>2.8453123425293825E-3</v>
      </c>
      <c r="W318" s="3286">
        <f t="shared" si="67"/>
        <v>0.87797022556221971</v>
      </c>
      <c r="X318" s="3300"/>
      <c r="Y318" s="3316"/>
      <c r="AA318" s="3301"/>
      <c r="AB318" s="3409"/>
      <c r="AE318" s="1056"/>
    </row>
    <row r="319" spans="2:31" x14ac:dyDescent="0.2">
      <c r="B319" s="2978" t="s">
        <v>626</v>
      </c>
      <c r="C319" s="1204">
        <v>43417</v>
      </c>
      <c r="D319" s="1089" t="s">
        <v>726</v>
      </c>
      <c r="E319" s="1205"/>
      <c r="F319" s="2628" t="s">
        <v>793</v>
      </c>
      <c r="G319" s="1166">
        <v>3.4699074074074077E-2</v>
      </c>
      <c r="H319" s="1167">
        <v>8.98</v>
      </c>
      <c r="I319" s="1168">
        <f t="shared" si="70"/>
        <v>3.8640394291841952E-3</v>
      </c>
      <c r="J319" s="1169">
        <v>138</v>
      </c>
      <c r="K319" s="1206">
        <v>58</v>
      </c>
      <c r="L319" s="2801">
        <v>215</v>
      </c>
      <c r="M319" s="2823"/>
      <c r="N319" s="1208">
        <f t="shared" si="69"/>
        <v>1.0713193497988898</v>
      </c>
      <c r="O319" s="1209" t="s">
        <v>667</v>
      </c>
      <c r="P319" s="1136" t="str">
        <f>IFERROR(VLOOKUP(F319,Trainingsarten!$A$9:$N$84,12,FALSE),"")</f>
        <v/>
      </c>
      <c r="Q319" s="1137" t="s">
        <v>437</v>
      </c>
      <c r="R319" s="1086" t="str">
        <f>IFERROR(VLOOKUP(F319,Trainingsarten!$A$9:$N$84,14,FALSE),"")</f>
        <v/>
      </c>
      <c r="S319" s="1087">
        <f t="shared" si="68"/>
        <v>1.5579710144927537</v>
      </c>
      <c r="T319" s="1210">
        <f t="shared" si="62"/>
        <v>31.649474210047238</v>
      </c>
      <c r="U319" s="1089">
        <f t="shared" si="61"/>
        <v>31.688046865222688</v>
      </c>
      <c r="V319" s="1090">
        <f t="shared" si="63"/>
        <v>3.7885719989941471</v>
      </c>
      <c r="W319" s="3284">
        <f t="shared" si="67"/>
        <v>0.99878273800403317</v>
      </c>
      <c r="X319" s="3300"/>
      <c r="Y319" s="3316"/>
      <c r="AA319" s="3301"/>
      <c r="AB319" s="3409"/>
      <c r="AE319" s="1056"/>
    </row>
    <row r="320" spans="2:31" ht="16" thickBot="1" x14ac:dyDescent="0.25">
      <c r="B320" s="2979">
        <f>SUM(H318:H324)</f>
        <v>45.589999999999996</v>
      </c>
      <c r="C320" s="1204">
        <v>43418</v>
      </c>
      <c r="D320" s="1089" t="s">
        <v>727</v>
      </c>
      <c r="E320" s="1205"/>
      <c r="F320" s="2628" t="s">
        <v>665</v>
      </c>
      <c r="G320" s="1166">
        <v>3.7326388888888888E-2</v>
      </c>
      <c r="H320" s="1167">
        <v>9.74</v>
      </c>
      <c r="I320" s="1168">
        <f t="shared" si="70"/>
        <v>3.8322781200091261E-3</v>
      </c>
      <c r="J320" s="1169">
        <v>139</v>
      </c>
      <c r="K320" s="1206">
        <v>59</v>
      </c>
      <c r="L320" s="2801">
        <v>216</v>
      </c>
      <c r="M320" s="2823"/>
      <c r="N320" s="1208">
        <f t="shared" si="69"/>
        <v>1.0674553311471391</v>
      </c>
      <c r="O320" s="1209" t="s">
        <v>668</v>
      </c>
      <c r="P320" s="1136" t="str">
        <f>IFERROR(VLOOKUP(F320,Trainingsarten!$A$9:$N$84,12,FALSE),"")</f>
        <v/>
      </c>
      <c r="Q320" s="1137" t="s">
        <v>437</v>
      </c>
      <c r="R320" s="1086" t="str">
        <f>IFERROR(VLOOKUP(F320,Trainingsarten!$A$9:$N$84,14,FALSE),"")</f>
        <v/>
      </c>
      <c r="S320" s="1087">
        <f t="shared" si="68"/>
        <v>1.5539568345323742</v>
      </c>
      <c r="T320" s="1210">
        <f t="shared" si="62"/>
        <v>35.556692180040493</v>
      </c>
      <c r="U320" s="1089">
        <f t="shared" si="61"/>
        <v>32.338331463669768</v>
      </c>
      <c r="V320" s="1090">
        <f t="shared" si="63"/>
        <v>3.8572655175450166E-2</v>
      </c>
      <c r="W320" s="3284">
        <f t="shared" si="67"/>
        <v>1.099521545197419</v>
      </c>
      <c r="X320" s="3300"/>
      <c r="Y320" s="3316"/>
      <c r="AA320" s="3301"/>
      <c r="AB320" s="3409"/>
      <c r="AE320" s="1056"/>
    </row>
    <row r="321" spans="1:31" x14ac:dyDescent="0.2">
      <c r="B321" s="2980" t="s">
        <v>628</v>
      </c>
      <c r="C321" s="1211">
        <v>43419</v>
      </c>
      <c r="D321" s="1212"/>
      <c r="E321" s="1213"/>
      <c r="F321" s="2628"/>
      <c r="G321" s="1166"/>
      <c r="H321" s="1167" t="str">
        <f>IFERROR(VLOOKUP(F321,Trainingsarten!$A$9:$K$78,10,FALSE),"")</f>
        <v/>
      </c>
      <c r="I321" s="1168" t="str">
        <f t="shared" si="70"/>
        <v/>
      </c>
      <c r="J321" s="1169"/>
      <c r="K321" s="1206"/>
      <c r="L321" s="2801"/>
      <c r="M321" s="2823"/>
      <c r="N321" s="1208" t="str">
        <f t="shared" si="69"/>
        <v/>
      </c>
      <c r="O321" s="1209"/>
      <c r="P321" s="1136" t="str">
        <f>IFERROR(VLOOKUP(F321,Trainingsarten!$A$9:$N$84,12,FALSE),"")</f>
        <v/>
      </c>
      <c r="Q321" s="1137" t="s">
        <v>437</v>
      </c>
      <c r="R321" s="1086" t="str">
        <f>IFERROR(VLOOKUP(F321,Trainingsarten!$A$9:$N$84,14,FALSE),"")</f>
        <v/>
      </c>
      <c r="S321" s="1087" t="str">
        <f t="shared" si="68"/>
        <v/>
      </c>
      <c r="T321" s="1210">
        <f t="shared" si="62"/>
        <v>30.477164725748992</v>
      </c>
      <c r="U321" s="1089">
        <f t="shared" si="61"/>
        <v>31.568371190725248</v>
      </c>
      <c r="V321" s="1090">
        <f t="shared" si="63"/>
        <v>-3.2183607163707251</v>
      </c>
      <c r="W321" s="3284">
        <f t="shared" si="67"/>
        <v>0.96543355188066049</v>
      </c>
      <c r="X321" s="3300"/>
      <c r="Y321" s="3316"/>
      <c r="AA321" s="3301"/>
      <c r="AB321" s="3409"/>
      <c r="AE321" s="1056"/>
    </row>
    <row r="322" spans="1:31" ht="16" thickBot="1" x14ac:dyDescent="0.25">
      <c r="B322" s="2981">
        <f>SUM(K318:K324)</f>
        <v>280</v>
      </c>
      <c r="C322" s="1211">
        <v>43420</v>
      </c>
      <c r="D322" s="1212" t="s">
        <v>728</v>
      </c>
      <c r="E322" s="1213"/>
      <c r="F322" s="2628" t="s">
        <v>665</v>
      </c>
      <c r="G322" s="1166">
        <v>3.9675925925925927E-2</v>
      </c>
      <c r="H322" s="1167">
        <v>9.9700000000000006</v>
      </c>
      <c r="I322" s="1168">
        <f t="shared" si="70"/>
        <v>3.9795311861510457E-3</v>
      </c>
      <c r="J322" s="1169">
        <v>134</v>
      </c>
      <c r="K322" s="1206">
        <v>58</v>
      </c>
      <c r="L322" s="2801">
        <v>209</v>
      </c>
      <c r="M322" s="2823"/>
      <c r="N322" s="1208">
        <f t="shared" si="69"/>
        <v>1.072548990254345</v>
      </c>
      <c r="O322" s="1209" t="s">
        <v>668</v>
      </c>
      <c r="P322" s="1136" t="str">
        <f>IFERROR(VLOOKUP(F322,Trainingsarten!$A$9:$N$84,12,FALSE),"")</f>
        <v/>
      </c>
      <c r="Q322" s="1137" t="s">
        <v>437</v>
      </c>
      <c r="R322" s="1086" t="str">
        <f>IFERROR(VLOOKUP(F322,Trainingsarten!$A$9:$N$84,14,FALSE),"")</f>
        <v/>
      </c>
      <c r="S322" s="1087">
        <f t="shared" si="68"/>
        <v>1.5597014925373134</v>
      </c>
      <c r="T322" s="1210">
        <f t="shared" si="62"/>
        <v>34.408998336356277</v>
      </c>
      <c r="U322" s="1089">
        <f t="shared" si="61"/>
        <v>32.197695686184169</v>
      </c>
      <c r="V322" s="1090">
        <f t="shared" si="63"/>
        <v>1.0912064649762563</v>
      </c>
      <c r="W322" s="3284">
        <f t="shared" si="67"/>
        <v>1.0686789101842764</v>
      </c>
      <c r="X322" s="3300"/>
      <c r="Y322" s="3316"/>
      <c r="AA322" s="3301"/>
      <c r="AB322" s="3409"/>
      <c r="AE322" s="1056"/>
    </row>
    <row r="323" spans="1:31" x14ac:dyDescent="0.2">
      <c r="B323" s="2982" t="s">
        <v>761</v>
      </c>
      <c r="C323" s="1211">
        <v>43421</v>
      </c>
      <c r="D323" s="1212"/>
      <c r="E323" s="1213"/>
      <c r="F323" s="2628"/>
      <c r="G323" s="1166"/>
      <c r="H323" s="1167" t="str">
        <f>IFERROR(VLOOKUP(F323,Trainingsarten!$A$9:$K$78,10,FALSE),"")</f>
        <v/>
      </c>
      <c r="I323" s="1168" t="str">
        <f t="shared" si="70"/>
        <v/>
      </c>
      <c r="J323" s="1169"/>
      <c r="K323" s="1206"/>
      <c r="L323" s="2801"/>
      <c r="M323" s="2823"/>
      <c r="N323" s="1208" t="str">
        <f t="shared" si="69"/>
        <v/>
      </c>
      <c r="O323" s="1209"/>
      <c r="P323" s="1136" t="str">
        <f>IFERROR(VLOOKUP(F323,Trainingsarten!$A$9:$N$84,12,FALSE),"")</f>
        <v/>
      </c>
      <c r="Q323" s="1137" t="s">
        <v>437</v>
      </c>
      <c r="R323" s="1086" t="str">
        <f>IFERROR(VLOOKUP(F323,Trainingsarten!$A$9:$N$84,14,FALSE),"")</f>
        <v/>
      </c>
      <c r="S323" s="1087" t="str">
        <f t="shared" si="68"/>
        <v/>
      </c>
      <c r="T323" s="1210">
        <f t="shared" si="62"/>
        <v>29.493427145448237</v>
      </c>
      <c r="U323" s="1089">
        <f t="shared" ref="U323:U366" si="71">U322+(K323-U322)/42</f>
        <v>31.431083884132164</v>
      </c>
      <c r="V323" s="1090">
        <f t="shared" si="63"/>
        <v>-2.211302650172108</v>
      </c>
      <c r="W323" s="3284">
        <f t="shared" si="67"/>
        <v>0.93835221382034029</v>
      </c>
      <c r="X323" s="3300"/>
      <c r="Y323" s="3316"/>
      <c r="AA323" s="3301"/>
      <c r="AB323" s="3409"/>
      <c r="AE323" s="1056"/>
    </row>
    <row r="324" spans="1:31" ht="16" thickBot="1" x14ac:dyDescent="0.25">
      <c r="B324" s="2983">
        <f>AVERAGE(W318:W324)</f>
        <v>1.0232323216459709</v>
      </c>
      <c r="C324" s="1214">
        <v>43422</v>
      </c>
      <c r="D324" s="1215" t="s">
        <v>729</v>
      </c>
      <c r="E324" s="1216"/>
      <c r="F324" s="2646" t="s">
        <v>642</v>
      </c>
      <c r="G324" s="1217">
        <v>6.277777777777778E-2</v>
      </c>
      <c r="H324" s="1366">
        <v>16.899999999999999</v>
      </c>
      <c r="I324" s="1363">
        <f t="shared" si="70"/>
        <v>3.7146614069690997E-3</v>
      </c>
      <c r="J324" s="1367">
        <v>142</v>
      </c>
      <c r="K324" s="1221">
        <v>105</v>
      </c>
      <c r="L324" s="2802">
        <v>223</v>
      </c>
      <c r="M324" s="2824"/>
      <c r="N324" s="1223">
        <f t="shared" si="69"/>
        <v>1.0682257352291795</v>
      </c>
      <c r="O324" s="1224" t="s">
        <v>487</v>
      </c>
      <c r="P324" s="1225" t="str">
        <f>IFERROR(VLOOKUP(F324,Trainingsarten!$A$9:$N$84,12,FALSE),"")</f>
        <v/>
      </c>
      <c r="Q324" s="1226" t="s">
        <v>437</v>
      </c>
      <c r="R324" s="1105" t="str">
        <f>IFERROR(VLOOKUP(F324,Trainingsarten!$A$9:$N$84,14,FALSE),"")</f>
        <v/>
      </c>
      <c r="S324" s="1106">
        <f t="shared" si="68"/>
        <v>1.5704225352112675</v>
      </c>
      <c r="T324" s="1227">
        <f t="shared" ref="T324:T365" si="72">T323+(K324-T323)/7</f>
        <v>40.280080410384201</v>
      </c>
      <c r="U324" s="1108">
        <f t="shared" si="71"/>
        <v>33.182724744033777</v>
      </c>
      <c r="V324" s="1109">
        <f t="shared" ref="V324:V366" si="73">U323-T323</f>
        <v>1.937656738683927</v>
      </c>
      <c r="W324" s="3287">
        <f t="shared" si="67"/>
        <v>1.213887066872847</v>
      </c>
      <c r="X324" s="3300"/>
      <c r="Y324" s="3316"/>
      <c r="AA324" s="3301"/>
      <c r="AB324" s="3409"/>
      <c r="AE324" s="1056"/>
    </row>
    <row r="325" spans="1:31" ht="16" thickBot="1" x14ac:dyDescent="0.25">
      <c r="B325" s="2977">
        <f>B318+1</f>
        <v>47</v>
      </c>
      <c r="C325" s="1110">
        <v>43423</v>
      </c>
      <c r="D325" s="1111"/>
      <c r="E325" s="1112"/>
      <c r="F325" s="2618"/>
      <c r="G325" s="1113"/>
      <c r="H325" s="1229" t="str">
        <f>IFERROR(VLOOKUP(F325,Trainingsarten!$A$9:$K$78,10,FALSE),"")</f>
        <v/>
      </c>
      <c r="I325" s="1399" t="str">
        <f t="shared" si="70"/>
        <v/>
      </c>
      <c r="J325" s="1118"/>
      <c r="K325" s="1117"/>
      <c r="L325" s="1118"/>
      <c r="M325" s="2825"/>
      <c r="N325" s="1119" t="str">
        <f t="shared" si="69"/>
        <v/>
      </c>
      <c r="O325" s="1120"/>
      <c r="P325" s="1277" t="str">
        <f>IFERROR(VLOOKUP(F325,Trainingsarten!$A$9:$N$84,12,FALSE),"")</f>
        <v/>
      </c>
      <c r="Q325" s="1122" t="s">
        <v>437</v>
      </c>
      <c r="R325" s="1122" t="str">
        <f>IFERROR(VLOOKUP(F325,Trainingsarten!$A$9:$N$84,14,FALSE),"")</f>
        <v/>
      </c>
      <c r="S325" s="1070" t="str">
        <f t="shared" si="68"/>
        <v/>
      </c>
      <c r="T325" s="1278">
        <f t="shared" si="72"/>
        <v>34.525783208900741</v>
      </c>
      <c r="U325" s="1111">
        <f t="shared" si="71"/>
        <v>32.39265986917583</v>
      </c>
      <c r="V325" s="1124">
        <f t="shared" si="73"/>
        <v>-7.097355666350424</v>
      </c>
      <c r="W325" s="3283">
        <f t="shared" si="67"/>
        <v>1.0658520587176217</v>
      </c>
      <c r="X325" s="3300"/>
      <c r="Y325" s="3316"/>
      <c r="AA325" s="3301"/>
      <c r="AB325" s="3409"/>
      <c r="AE325" s="1056"/>
    </row>
    <row r="326" spans="1:31" x14ac:dyDescent="0.2">
      <c r="B326" s="2978" t="s">
        <v>626</v>
      </c>
      <c r="C326" s="1126">
        <v>43424</v>
      </c>
      <c r="D326" s="1491"/>
      <c r="E326" s="1492"/>
      <c r="F326" s="2678"/>
      <c r="G326" s="1585"/>
      <c r="H326" s="1586" t="str">
        <f>IFERROR(VLOOKUP(F326,Trainingsarten!$A$9:$K$78,10,FALSE),"")</f>
        <v/>
      </c>
      <c r="I326" s="1587" t="str">
        <f t="shared" si="70"/>
        <v/>
      </c>
      <c r="J326" s="1588"/>
      <c r="K326" s="1589"/>
      <c r="L326" s="2801"/>
      <c r="M326" s="2823"/>
      <c r="N326" s="1408" t="str">
        <f t="shared" si="69"/>
        <v/>
      </c>
      <c r="O326" s="1590"/>
      <c r="P326" s="1591" t="str">
        <f>IFERROR(VLOOKUP(F326,Trainingsarten!$A$9:$N$84,12,FALSE),"")</f>
        <v/>
      </c>
      <c r="Q326" s="1454" t="s">
        <v>437</v>
      </c>
      <c r="R326" s="1086" t="str">
        <f>IFERROR(VLOOKUP(F326,Trainingsarten!$A$9:$N$84,14,FALSE),"")</f>
        <v/>
      </c>
      <c r="S326" s="1087" t="str">
        <f t="shared" si="68"/>
        <v/>
      </c>
      <c r="T326" s="1088">
        <f t="shared" si="72"/>
        <v>29.593528464772064</v>
      </c>
      <c r="U326" s="1089">
        <f t="shared" si="71"/>
        <v>31.62140606276688</v>
      </c>
      <c r="V326" s="1090">
        <f t="shared" si="73"/>
        <v>-2.1331233397249107</v>
      </c>
      <c r="W326" s="3284">
        <f t="shared" si="67"/>
        <v>0.9358701003374239</v>
      </c>
      <c r="X326" s="3300"/>
      <c r="Y326" s="3316"/>
      <c r="AA326" s="3301"/>
      <c r="AB326" s="3409"/>
      <c r="AE326" s="1056"/>
    </row>
    <row r="327" spans="1:31" ht="16" thickBot="1" x14ac:dyDescent="0.25">
      <c r="B327" s="2979">
        <f>SUM(H325:H331)</f>
        <v>22.5</v>
      </c>
      <c r="C327" s="1126">
        <v>43425</v>
      </c>
      <c r="D327" s="1491" t="s">
        <v>730</v>
      </c>
      <c r="E327" s="1492"/>
      <c r="F327" s="2678" t="s">
        <v>665</v>
      </c>
      <c r="G327" s="1585">
        <v>4.2557870370370371E-2</v>
      </c>
      <c r="H327" s="1586">
        <v>11.3</v>
      </c>
      <c r="I327" s="1587">
        <f t="shared" si="70"/>
        <v>3.7661832186168466E-3</v>
      </c>
      <c r="J327" s="1588">
        <v>140</v>
      </c>
      <c r="K327" s="1589">
        <v>70</v>
      </c>
      <c r="L327" s="2801">
        <v>222</v>
      </c>
      <c r="M327" s="2823"/>
      <c r="N327" s="1408">
        <f t="shared" si="69"/>
        <v>1.0781851802932241</v>
      </c>
      <c r="O327" s="1590" t="s">
        <v>668</v>
      </c>
      <c r="P327" s="1591" t="str">
        <f>IFERROR(VLOOKUP(F327,Trainingsarten!$A$9:$N$84,12,FALSE),"")</f>
        <v/>
      </c>
      <c r="Q327" s="1454" t="s">
        <v>437</v>
      </c>
      <c r="R327" s="1086" t="str">
        <f>IFERROR(VLOOKUP(F327,Trainingsarten!$A$9:$N$84,14,FALSE),"")</f>
        <v/>
      </c>
      <c r="S327" s="1087">
        <f t="shared" si="68"/>
        <v>1.5857142857142856</v>
      </c>
      <c r="T327" s="1088">
        <f t="shared" si="72"/>
        <v>35.3658815412332</v>
      </c>
      <c r="U327" s="1089">
        <f t="shared" si="71"/>
        <v>32.535182108891476</v>
      </c>
      <c r="V327" s="1090">
        <f t="shared" si="73"/>
        <v>2.0278775979948165</v>
      </c>
      <c r="W327" s="3284">
        <f t="shared" si="67"/>
        <v>1.0870042596616702</v>
      </c>
      <c r="X327" s="3300"/>
      <c r="Y327" s="3316"/>
      <c r="AA327" s="3301"/>
      <c r="AB327" s="3409"/>
      <c r="AE327" s="1056"/>
    </row>
    <row r="328" spans="1:31" x14ac:dyDescent="0.2">
      <c r="B328" s="2980" t="s">
        <v>628</v>
      </c>
      <c r="C328" s="1126">
        <v>43426</v>
      </c>
      <c r="D328" s="1491"/>
      <c r="E328" s="1492"/>
      <c r="F328" s="2679"/>
      <c r="G328" s="1592"/>
      <c r="H328" s="1593" t="str">
        <f>IFERROR(VLOOKUP(F328,Trainingsarten!$A$9:$K$78,10,FALSE),"")</f>
        <v/>
      </c>
      <c r="I328" s="1594" t="str">
        <f t="shared" si="70"/>
        <v/>
      </c>
      <c r="J328" s="1595"/>
      <c r="K328" s="1596"/>
      <c r="L328" s="2801"/>
      <c r="M328" s="2823"/>
      <c r="N328" s="1408" t="str">
        <f t="shared" si="69"/>
        <v/>
      </c>
      <c r="O328" s="1597"/>
      <c r="P328" s="1598" t="str">
        <f>IFERROR(VLOOKUP(F328,Trainingsarten!$A$9:$N$84,12,FALSE),"")</f>
        <v/>
      </c>
      <c r="Q328" s="1454" t="s">
        <v>437</v>
      </c>
      <c r="R328" s="1086" t="str">
        <f>IFERROR(VLOOKUP(F328,Trainingsarten!$A$9:$N$84,14,FALSE),"")</f>
        <v/>
      </c>
      <c r="S328" s="1087" t="str">
        <f t="shared" si="68"/>
        <v/>
      </c>
      <c r="T328" s="1088">
        <f t="shared" si="72"/>
        <v>30.313612749628458</v>
      </c>
      <c r="U328" s="1089">
        <f t="shared" si="71"/>
        <v>31.760534915822632</v>
      </c>
      <c r="V328" s="1090">
        <f t="shared" si="73"/>
        <v>-2.8306994323417243</v>
      </c>
      <c r="W328" s="3284">
        <f t="shared" si="67"/>
        <v>0.95444276458097876</v>
      </c>
      <c r="X328" s="3300"/>
      <c r="Y328" s="3316"/>
      <c r="AA328" s="3301"/>
      <c r="AB328" s="3409"/>
      <c r="AE328" s="1056"/>
    </row>
    <row r="329" spans="1:31" ht="16" thickBot="1" x14ac:dyDescent="0.25">
      <c r="B329" s="2981">
        <f>SUM(K325:K331)</f>
        <v>135</v>
      </c>
      <c r="C329" s="1126">
        <v>43427</v>
      </c>
      <c r="D329" s="1491"/>
      <c r="E329" s="1492"/>
      <c r="F329" s="2679"/>
      <c r="G329" s="1592"/>
      <c r="H329" s="1593" t="str">
        <f>IFERROR(VLOOKUP(F329,Trainingsarten!$A$9:$K$78,10,FALSE),"")</f>
        <v/>
      </c>
      <c r="I329" s="1594" t="str">
        <f t="shared" si="70"/>
        <v/>
      </c>
      <c r="J329" s="1595"/>
      <c r="K329" s="1596"/>
      <c r="L329" s="2801"/>
      <c r="M329" s="2823"/>
      <c r="N329" s="1408" t="str">
        <f t="shared" si="69"/>
        <v/>
      </c>
      <c r="O329" s="1597"/>
      <c r="P329" s="1598" t="str">
        <f>IFERROR(VLOOKUP(F329,Trainingsarten!$A$9:$N$84,12,FALSE),"")</f>
        <v/>
      </c>
      <c r="Q329" s="1454" t="s">
        <v>437</v>
      </c>
      <c r="R329" s="1086" t="str">
        <f>IFERROR(VLOOKUP(F329,Trainingsarten!$A$9:$N$84,14,FALSE),"")</f>
        <v/>
      </c>
      <c r="S329" s="1087" t="str">
        <f t="shared" si="68"/>
        <v/>
      </c>
      <c r="T329" s="1088">
        <f t="shared" si="72"/>
        <v>25.983096642538676</v>
      </c>
      <c r="U329" s="1089">
        <f t="shared" si="71"/>
        <v>31.004331703541141</v>
      </c>
      <c r="V329" s="1090">
        <f t="shared" si="73"/>
        <v>1.4469221661941738</v>
      </c>
      <c r="W329" s="3284">
        <f t="shared" si="67"/>
        <v>0.83804730548573747</v>
      </c>
      <c r="X329" s="3300"/>
      <c r="Y329" s="3316"/>
      <c r="AA329" s="3301"/>
      <c r="AB329" s="3409"/>
      <c r="AE329" s="1056"/>
    </row>
    <row r="330" spans="1:31" x14ac:dyDescent="0.2">
      <c r="B330" s="2982" t="s">
        <v>761</v>
      </c>
      <c r="C330" s="1126">
        <v>43428</v>
      </c>
      <c r="D330" s="1491" t="s">
        <v>731</v>
      </c>
      <c r="E330" s="1492"/>
      <c r="F330" s="2680" t="s">
        <v>665</v>
      </c>
      <c r="G330" s="1599">
        <v>4.3032407407407408E-2</v>
      </c>
      <c r="H330" s="1600">
        <v>11.2</v>
      </c>
      <c r="I330" s="1601">
        <f t="shared" si="70"/>
        <v>3.8421792328042332E-3</v>
      </c>
      <c r="J330" s="1602">
        <v>142</v>
      </c>
      <c r="K330" s="1603">
        <v>65</v>
      </c>
      <c r="L330" s="2801"/>
      <c r="M330" s="2823"/>
      <c r="N330" s="1408"/>
      <c r="O330" s="1604" t="s">
        <v>668</v>
      </c>
      <c r="P330" s="1605" t="str">
        <f>IFERROR(VLOOKUP(F330,Trainingsarten!$A$9:$N$84,12,FALSE),"")</f>
        <v/>
      </c>
      <c r="Q330" s="1454" t="s">
        <v>437</v>
      </c>
      <c r="R330" s="1086" t="str">
        <f>IFERROR(VLOOKUP(F330,Trainingsarten!$A$9:$N$84,14,FALSE),"")</f>
        <v/>
      </c>
      <c r="S330" s="1087"/>
      <c r="T330" s="1088">
        <f t="shared" si="72"/>
        <v>31.556939979318866</v>
      </c>
      <c r="U330" s="1089">
        <f t="shared" si="71"/>
        <v>31.813752377266351</v>
      </c>
      <c r="V330" s="1090">
        <f t="shared" si="73"/>
        <v>5.0212350610024643</v>
      </c>
      <c r="W330" s="3284">
        <f t="shared" si="67"/>
        <v>0.99192762944458579</v>
      </c>
      <c r="X330" s="3300"/>
      <c r="Y330" s="3316"/>
      <c r="AA330" s="3301"/>
      <c r="AB330" s="3409"/>
      <c r="AE330" s="1056"/>
    </row>
    <row r="331" spans="1:31" customFormat="1" ht="16" thickBot="1" x14ac:dyDescent="0.25">
      <c r="A331" s="140"/>
      <c r="B331" s="2983">
        <f>AVERAGE(W325:W331)</f>
        <v>0.96344356622771365</v>
      </c>
      <c r="C331" s="1189">
        <v>43429</v>
      </c>
      <c r="D331" s="1258"/>
      <c r="E331" s="1365"/>
      <c r="F331" s="2620"/>
      <c r="G331" s="1141"/>
      <c r="H331" s="1234" t="str">
        <f>IFERROR(VLOOKUP(F331,Trainingsarten!$A$9:$K$78,10,FALSE),"")</f>
        <v/>
      </c>
      <c r="I331" s="1434" t="str">
        <f t="shared" si="70"/>
        <v/>
      </c>
      <c r="J331" s="1146"/>
      <c r="K331" s="1237"/>
      <c r="L331" s="2803"/>
      <c r="M331" s="2826"/>
      <c r="N331" s="1238" t="str">
        <f t="shared" ref="N331:N337" si="74">IFERROR((L331/67)/(1/(I331*24)/3.6),"")</f>
        <v/>
      </c>
      <c r="O331" s="1148"/>
      <c r="P331" s="1149" t="str">
        <f>IFERROR(VLOOKUP(F331,Trainingsarten!$A$9:$N$84,12,FALSE),"")</f>
        <v/>
      </c>
      <c r="Q331" s="1151" t="s">
        <v>437</v>
      </c>
      <c r="R331" s="1151" t="str">
        <f>IFERROR(VLOOKUP(F331,Trainingsarten!$A$9:$N$84,14,FALSE),"")</f>
        <v/>
      </c>
      <c r="S331" s="1106" t="str">
        <f t="shared" ref="S331:S394" si="75">IFERROR(L331/J331,"")</f>
        <v/>
      </c>
      <c r="T331" s="1239">
        <f t="shared" si="72"/>
        <v>27.048805696559029</v>
      </c>
      <c r="U331" s="1258">
        <f t="shared" si="71"/>
        <v>31.056282082569531</v>
      </c>
      <c r="V331" s="1262">
        <f t="shared" si="73"/>
        <v>0.25681239794748478</v>
      </c>
      <c r="W331" s="3285">
        <f t="shared" si="67"/>
        <v>0.87096084536597784</v>
      </c>
      <c r="X331" s="3302"/>
      <c r="Y331" s="3317"/>
      <c r="Z331" s="2597"/>
      <c r="AA331" s="3303"/>
      <c r="AB331" s="3409"/>
      <c r="AC331" s="3644"/>
      <c r="AD331" s="3644"/>
      <c r="AE331" s="1056"/>
    </row>
    <row r="332" spans="1:31" ht="16" thickBot="1" x14ac:dyDescent="0.25">
      <c r="B332" s="2977">
        <f>B325+1</f>
        <v>48</v>
      </c>
      <c r="C332" s="1241">
        <v>43430</v>
      </c>
      <c r="D332" s="1191"/>
      <c r="E332" s="1192"/>
      <c r="F332" s="2645"/>
      <c r="G332" s="1193"/>
      <c r="H332" s="1287" t="str">
        <f>IFERROR(VLOOKUP(F332,Trainingsarten!$A$9:$K$78,10,FALSE),"")</f>
        <v/>
      </c>
      <c r="I332" s="1288" t="str">
        <f t="shared" si="70"/>
        <v/>
      </c>
      <c r="J332" s="1289"/>
      <c r="K332" s="1197"/>
      <c r="L332" s="2800"/>
      <c r="M332" s="2822"/>
      <c r="N332" s="1199" t="str">
        <f t="shared" si="74"/>
        <v/>
      </c>
      <c r="O332" s="1200"/>
      <c r="P332" s="1267" t="str">
        <f>IFERROR(VLOOKUP(F332,Trainingsarten!$A$9:$N$84,12,FALSE),"")</f>
        <v/>
      </c>
      <c r="Q332" s="1202" t="s">
        <v>437</v>
      </c>
      <c r="R332" s="1069" t="str">
        <f>IFERROR(VLOOKUP(F332,Trainingsarten!$A$9:$N$84,14,FALSE),"")</f>
        <v/>
      </c>
      <c r="S332" s="1070" t="str">
        <f t="shared" si="75"/>
        <v/>
      </c>
      <c r="T332" s="1268">
        <f t="shared" si="72"/>
        <v>23.184690597050597</v>
      </c>
      <c r="U332" s="1191">
        <f t="shared" si="71"/>
        <v>30.316846794889305</v>
      </c>
      <c r="V332" s="1244">
        <f t="shared" si="73"/>
        <v>4.0074763860105023</v>
      </c>
      <c r="W332" s="3286">
        <f t="shared" si="67"/>
        <v>0.76474610812622446</v>
      </c>
      <c r="X332" s="3300"/>
      <c r="Y332" s="3316"/>
      <c r="AA332" s="3301"/>
      <c r="AB332" s="3409"/>
      <c r="AE332" s="1056"/>
    </row>
    <row r="333" spans="1:31" x14ac:dyDescent="0.2">
      <c r="B333" s="2978" t="s">
        <v>626</v>
      </c>
      <c r="C333" s="1204">
        <v>43431</v>
      </c>
      <c r="D333" s="1089" t="s">
        <v>732</v>
      </c>
      <c r="E333" s="1205"/>
      <c r="F333" s="2628" t="s">
        <v>793</v>
      </c>
      <c r="G333" s="1166">
        <v>3.3425925925925921E-2</v>
      </c>
      <c r="H333" s="1167">
        <v>8.1999999999999993</v>
      </c>
      <c r="I333" s="1168">
        <f t="shared" si="70"/>
        <v>4.0763324299909667E-3</v>
      </c>
      <c r="J333" s="1169">
        <v>139</v>
      </c>
      <c r="K333" s="1206">
        <v>53</v>
      </c>
      <c r="L333" s="2801">
        <v>205</v>
      </c>
      <c r="M333" s="2823"/>
      <c r="N333" s="1208">
        <f t="shared" si="74"/>
        <v>1.0776119402985076</v>
      </c>
      <c r="O333" s="1209" t="s">
        <v>667</v>
      </c>
      <c r="P333" s="1136" t="str">
        <f>IFERROR(VLOOKUP(F333,Trainingsarten!$A$9:$N$84,12,FALSE),"")</f>
        <v/>
      </c>
      <c r="Q333" s="1137" t="s">
        <v>437</v>
      </c>
      <c r="R333" s="1086" t="str">
        <f>IFERROR(VLOOKUP(F333,Trainingsarten!$A$9:$N$84,14,FALSE),"")</f>
        <v/>
      </c>
      <c r="S333" s="1087">
        <f t="shared" si="75"/>
        <v>1.474820143884892</v>
      </c>
      <c r="T333" s="1210">
        <f t="shared" si="72"/>
        <v>27.444020511757657</v>
      </c>
      <c r="U333" s="1089">
        <f t="shared" si="71"/>
        <v>30.856921871201465</v>
      </c>
      <c r="V333" s="1259">
        <f t="shared" si="73"/>
        <v>7.1321561978387074</v>
      </c>
      <c r="W333" s="3284">
        <f t="shared" si="67"/>
        <v>0.88939592310310633</v>
      </c>
      <c r="X333" s="3300"/>
      <c r="Y333" s="3316"/>
      <c r="AA333" s="3301"/>
      <c r="AB333" s="3409"/>
      <c r="AE333" s="1056"/>
    </row>
    <row r="334" spans="1:31" ht="16" thickBot="1" x14ac:dyDescent="0.25">
      <c r="B334" s="2979">
        <f>SUM(H332:H338)</f>
        <v>30.999999999999996</v>
      </c>
      <c r="C334" s="1211">
        <v>43432</v>
      </c>
      <c r="D334" s="1089" t="s">
        <v>733</v>
      </c>
      <c r="E334" s="1205"/>
      <c r="F334" s="2628" t="s">
        <v>665</v>
      </c>
      <c r="G334" s="1166">
        <v>4.1562500000000002E-2</v>
      </c>
      <c r="H334" s="1167">
        <v>11.1</v>
      </c>
      <c r="I334" s="1168">
        <f t="shared" si="70"/>
        <v>3.7443693693693697E-3</v>
      </c>
      <c r="J334" s="1169">
        <v>138</v>
      </c>
      <c r="K334" s="1206">
        <v>68</v>
      </c>
      <c r="L334" s="2801">
        <v>222</v>
      </c>
      <c r="M334" s="2823"/>
      <c r="N334" s="1208">
        <f t="shared" si="74"/>
        <v>1.0719402985074629</v>
      </c>
      <c r="O334" s="1209" t="s">
        <v>668</v>
      </c>
      <c r="P334" s="1136" t="str">
        <f>IFERROR(VLOOKUP(F334,Trainingsarten!$A$9:$N$84,12,FALSE),"")</f>
        <v/>
      </c>
      <c r="Q334" s="1137" t="s">
        <v>437</v>
      </c>
      <c r="R334" s="1086" t="str">
        <f>IFERROR(VLOOKUP(F334,Trainingsarten!$A$9:$N$84,14,FALSE),"")</f>
        <v/>
      </c>
      <c r="S334" s="1087">
        <f t="shared" si="75"/>
        <v>1.6086956521739131</v>
      </c>
      <c r="T334" s="1210">
        <f t="shared" si="72"/>
        <v>33.237731867220852</v>
      </c>
      <c r="U334" s="1089">
        <f t="shared" si="71"/>
        <v>31.741280874268096</v>
      </c>
      <c r="V334" s="1259">
        <f t="shared" si="73"/>
        <v>3.4129013594438078</v>
      </c>
      <c r="W334" s="3284">
        <f t="shared" si="67"/>
        <v>1.0471452616824262</v>
      </c>
      <c r="X334" s="3300"/>
      <c r="Y334" s="3316"/>
      <c r="AA334" s="3301"/>
      <c r="AB334" s="3409"/>
      <c r="AE334" s="1056"/>
    </row>
    <row r="335" spans="1:31" x14ac:dyDescent="0.2">
      <c r="B335" s="2980" t="s">
        <v>628</v>
      </c>
      <c r="C335" s="1211">
        <v>43433</v>
      </c>
      <c r="D335" s="1089"/>
      <c r="E335" s="1205"/>
      <c r="F335" s="2628"/>
      <c r="G335" s="1166"/>
      <c r="H335" s="1167" t="str">
        <f>IFERROR(VLOOKUP(F335,Trainingsarten!$A$9:$K$78,10,FALSE),"")</f>
        <v/>
      </c>
      <c r="I335" s="1168" t="str">
        <f t="shared" si="70"/>
        <v/>
      </c>
      <c r="J335" s="1169"/>
      <c r="K335" s="1206"/>
      <c r="L335" s="2801"/>
      <c r="M335" s="2823"/>
      <c r="N335" s="1208" t="str">
        <f t="shared" si="74"/>
        <v/>
      </c>
      <c r="O335" s="1209"/>
      <c r="P335" s="1136" t="str">
        <f>IFERROR(VLOOKUP(F335,Trainingsarten!$A$9:$N$84,12,FALSE),"")</f>
        <v/>
      </c>
      <c r="Q335" s="1137" t="s">
        <v>437</v>
      </c>
      <c r="R335" s="1086" t="str">
        <f>IFERROR(VLOOKUP(F335,Trainingsarten!$A$9:$N$84,14,FALSE),"")</f>
        <v/>
      </c>
      <c r="S335" s="1087" t="str">
        <f t="shared" si="75"/>
        <v/>
      </c>
      <c r="T335" s="1210">
        <f t="shared" si="72"/>
        <v>28.489484457617873</v>
      </c>
      <c r="U335" s="1089">
        <f t="shared" si="71"/>
        <v>30.985536091547427</v>
      </c>
      <c r="V335" s="1259">
        <f t="shared" si="73"/>
        <v>-1.4964509929527559</v>
      </c>
      <c r="W335" s="3284">
        <f t="shared" si="67"/>
        <v>0.91944462001383753</v>
      </c>
      <c r="X335" s="3300"/>
      <c r="Y335" s="3316"/>
      <c r="AA335" s="3301"/>
      <c r="AB335" s="3409"/>
      <c r="AE335" s="1056"/>
    </row>
    <row r="336" spans="1:31" ht="16" thickBot="1" x14ac:dyDescent="0.25">
      <c r="B336" s="2981">
        <f>SUM(K332:K338)</f>
        <v>199</v>
      </c>
      <c r="C336" s="1211">
        <v>43434</v>
      </c>
      <c r="D336" s="1089" t="s">
        <v>734</v>
      </c>
      <c r="E336" s="1205"/>
      <c r="F336" s="2628" t="s">
        <v>647</v>
      </c>
      <c r="G336" s="1166">
        <v>4.4988425925925925E-2</v>
      </c>
      <c r="H336" s="1167">
        <v>11.7</v>
      </c>
      <c r="I336" s="1168">
        <f t="shared" si="70"/>
        <v>3.845164609053498E-3</v>
      </c>
      <c r="J336" s="1169">
        <v>139</v>
      </c>
      <c r="K336" s="1206">
        <v>78</v>
      </c>
      <c r="L336" s="2801">
        <v>218</v>
      </c>
      <c r="M336" s="2823"/>
      <c r="N336" s="1208">
        <f t="shared" si="74"/>
        <v>1.0809618573797679</v>
      </c>
      <c r="O336" s="1209" t="s">
        <v>668</v>
      </c>
      <c r="P336" s="1136" t="str">
        <f>IFERROR(VLOOKUP(F336,Trainingsarten!$A$9:$N$84,12,FALSE),"")</f>
        <v/>
      </c>
      <c r="Q336" s="1137" t="s">
        <v>437</v>
      </c>
      <c r="R336" s="1086" t="str">
        <f>IFERROR(VLOOKUP(F336,Trainingsarten!$A$9:$N$84,14,FALSE),"")</f>
        <v/>
      </c>
      <c r="S336" s="1087">
        <f t="shared" si="75"/>
        <v>1.5683453237410072</v>
      </c>
      <c r="T336" s="1210">
        <f t="shared" si="72"/>
        <v>35.562415249386746</v>
      </c>
      <c r="U336" s="1089">
        <f t="shared" si="71"/>
        <v>32.104928089367725</v>
      </c>
      <c r="V336" s="1259">
        <f t="shared" si="73"/>
        <v>2.4960516339295538</v>
      </c>
      <c r="W336" s="3284">
        <f t="shared" si="67"/>
        <v>1.107693346965136</v>
      </c>
      <c r="X336" s="3300"/>
      <c r="Y336" s="3316"/>
      <c r="AA336" s="3301"/>
      <c r="AB336" s="3409"/>
      <c r="AE336" s="1056"/>
    </row>
    <row r="337" spans="2:31" x14ac:dyDescent="0.2">
      <c r="B337" s="2982" t="s">
        <v>761</v>
      </c>
      <c r="C337" s="1211">
        <v>43435</v>
      </c>
      <c r="D337" s="1089"/>
      <c r="E337" s="1205"/>
      <c r="F337" s="2628"/>
      <c r="G337" s="1166"/>
      <c r="H337" s="1167" t="str">
        <f>IFERROR(VLOOKUP(F337,Trainingsarten!$A$9:$K$78,10,FALSE),"")</f>
        <v/>
      </c>
      <c r="I337" s="1168" t="str">
        <f t="shared" si="70"/>
        <v/>
      </c>
      <c r="J337" s="1169"/>
      <c r="K337" s="1206"/>
      <c r="L337" s="2801"/>
      <c r="M337" s="2823"/>
      <c r="N337" s="1208" t="str">
        <f t="shared" si="74"/>
        <v/>
      </c>
      <c r="O337" s="1209"/>
      <c r="P337" s="1136" t="str">
        <f>IFERROR(VLOOKUP(F337,Trainingsarten!$A$9:$N$84,12,FALSE),"")</f>
        <v/>
      </c>
      <c r="Q337" s="1137" t="s">
        <v>437</v>
      </c>
      <c r="R337" s="1086" t="str">
        <f>IFERROR(VLOOKUP(F337,Trainingsarten!$A$9:$N$84,14,FALSE),"")</f>
        <v/>
      </c>
      <c r="S337" s="1087" t="str">
        <f t="shared" si="75"/>
        <v/>
      </c>
      <c r="T337" s="1210">
        <f t="shared" si="72"/>
        <v>30.482070213760068</v>
      </c>
      <c r="U337" s="1089">
        <f t="shared" si="71"/>
        <v>31.340525039620875</v>
      </c>
      <c r="V337" s="1259">
        <f t="shared" si="73"/>
        <v>-3.4574871600190207</v>
      </c>
      <c r="W337" s="3284">
        <f t="shared" si="67"/>
        <v>0.97260879245719256</v>
      </c>
      <c r="X337" s="3300"/>
      <c r="Y337" s="3316"/>
      <c r="AA337" s="3301"/>
      <c r="AB337" s="3409"/>
      <c r="AE337" s="1056"/>
    </row>
    <row r="338" spans="2:31" ht="16" thickBot="1" x14ac:dyDescent="0.25">
      <c r="B338" s="2983">
        <f>AVERAGE(W332:W338)</f>
        <v>0.93643314520809684</v>
      </c>
      <c r="C338" s="1260">
        <v>43436</v>
      </c>
      <c r="D338" s="1108"/>
      <c r="E338" s="1261"/>
      <c r="F338" s="2646"/>
      <c r="G338" s="1217"/>
      <c r="H338" s="1366"/>
      <c r="I338" s="1363"/>
      <c r="J338" s="1367"/>
      <c r="K338" s="1221"/>
      <c r="L338" s="2802"/>
      <c r="M338" s="2824"/>
      <c r="N338" s="1223"/>
      <c r="O338" s="1224"/>
      <c r="P338" s="1225" t="str">
        <f>IFERROR(VLOOKUP(F338,Trainingsarten!$A$9:$N$84,12,FALSE),"")</f>
        <v/>
      </c>
      <c r="Q338" s="1226" t="s">
        <v>437</v>
      </c>
      <c r="R338" s="1105" t="str">
        <f>IFERROR(VLOOKUP(F338,Trainingsarten!$A$9:$N$84,14,FALSE),"")</f>
        <v/>
      </c>
      <c r="S338" s="1106" t="str">
        <f t="shared" si="75"/>
        <v/>
      </c>
      <c r="T338" s="1227">
        <f t="shared" si="72"/>
        <v>26.127488754651488</v>
      </c>
      <c r="U338" s="1108">
        <f t="shared" si="71"/>
        <v>30.594322062487045</v>
      </c>
      <c r="V338" s="1109">
        <f t="shared" si="73"/>
        <v>0.85845482586080735</v>
      </c>
      <c r="W338" s="3287">
        <f t="shared" si="67"/>
        <v>0.8539979641087545</v>
      </c>
      <c r="X338" s="3300"/>
      <c r="Y338" s="3316"/>
      <c r="AA338" s="3301"/>
      <c r="AB338" s="3409"/>
      <c r="AE338" s="1056"/>
    </row>
    <row r="339" spans="2:31" ht="16" thickBot="1" x14ac:dyDescent="0.25">
      <c r="B339" s="2977">
        <f>B332+1</f>
        <v>49</v>
      </c>
      <c r="C339" s="1110">
        <v>43437</v>
      </c>
      <c r="D339" s="1111"/>
      <c r="E339" s="1112"/>
      <c r="F339" s="2618"/>
      <c r="G339" s="1113"/>
      <c r="H339" s="1229" t="str">
        <f>IFERROR(VLOOKUP(F339,Trainingsarten!$A$9:$K$78,10,FALSE),"")</f>
        <v/>
      </c>
      <c r="I339" s="1399" t="str">
        <f t="shared" si="70"/>
        <v/>
      </c>
      <c r="J339" s="1118"/>
      <c r="K339" s="1117"/>
      <c r="L339" s="1118"/>
      <c r="M339" s="2825"/>
      <c r="N339" s="1119" t="str">
        <f t="shared" ref="N339:N367" si="76">IFERROR((L339/67)/(1/(I339*24)/3.6),"")</f>
        <v/>
      </c>
      <c r="O339" s="1120"/>
      <c r="P339" s="1277" t="str">
        <f>IFERROR(VLOOKUP(F339,Trainingsarten!$A$9:$N$84,12,FALSE),"")</f>
        <v/>
      </c>
      <c r="Q339" s="1122" t="s">
        <v>437</v>
      </c>
      <c r="R339" s="1122" t="str">
        <f>IFERROR(VLOOKUP(F339,Trainingsarten!$A$9:$N$84,14,FALSE),"")</f>
        <v/>
      </c>
      <c r="S339" s="1070" t="str">
        <f t="shared" si="75"/>
        <v/>
      </c>
      <c r="T339" s="1278">
        <f t="shared" si="72"/>
        <v>22.394990361129846</v>
      </c>
      <c r="U339" s="1111">
        <f t="shared" si="71"/>
        <v>29.865885822904019</v>
      </c>
      <c r="V339" s="1124">
        <f t="shared" si="73"/>
        <v>4.4668333078355573</v>
      </c>
      <c r="W339" s="3283">
        <f t="shared" si="67"/>
        <v>0.74985187092476002</v>
      </c>
      <c r="X339" s="3300"/>
      <c r="Y339" s="3316"/>
      <c r="AA339" s="3301"/>
      <c r="AB339" s="3409"/>
      <c r="AE339" s="1056"/>
    </row>
    <row r="340" spans="2:31" x14ac:dyDescent="0.2">
      <c r="B340" s="2978" t="s">
        <v>626</v>
      </c>
      <c r="C340" s="1126">
        <v>43438</v>
      </c>
      <c r="D340" s="1491" t="s">
        <v>735</v>
      </c>
      <c r="E340" s="1492"/>
      <c r="F340" s="2680" t="s">
        <v>793</v>
      </c>
      <c r="G340" s="1599">
        <v>3.8333333333333337E-2</v>
      </c>
      <c r="H340" s="1600">
        <v>9.56</v>
      </c>
      <c r="I340" s="1601">
        <f t="shared" si="70"/>
        <v>4.0097629009762902E-3</v>
      </c>
      <c r="J340" s="1602">
        <v>135</v>
      </c>
      <c r="K340" s="1603">
        <v>63</v>
      </c>
      <c r="L340" s="2801">
        <v>204</v>
      </c>
      <c r="M340" s="2823"/>
      <c r="N340" s="1408">
        <f t="shared" si="76"/>
        <v>1.0548429401111599</v>
      </c>
      <c r="O340" s="1604" t="s">
        <v>667</v>
      </c>
      <c r="P340" s="1605" t="str">
        <f>IFERROR(VLOOKUP(F340,Trainingsarten!$A$9:$N$84,12,FALSE),"")</f>
        <v/>
      </c>
      <c r="Q340" s="1454" t="s">
        <v>437</v>
      </c>
      <c r="R340" s="1086" t="str">
        <f>IFERROR(VLOOKUP(F340,Trainingsarten!$A$9:$N$84,14,FALSE),"")</f>
        <v/>
      </c>
      <c r="S340" s="1087">
        <f t="shared" si="75"/>
        <v>1.5111111111111111</v>
      </c>
      <c r="T340" s="1088">
        <f t="shared" si="72"/>
        <v>28.195706023825583</v>
      </c>
      <c r="U340" s="1089">
        <f t="shared" si="71"/>
        <v>30.654793303311067</v>
      </c>
      <c r="V340" s="1090">
        <f t="shared" si="73"/>
        <v>7.4708954617741732</v>
      </c>
      <c r="W340" s="3284">
        <f t="shared" si="67"/>
        <v>0.91978131265951568</v>
      </c>
      <c r="X340" s="3300"/>
      <c r="Y340" s="3316"/>
      <c r="AA340" s="3301"/>
      <c r="AB340" s="3409"/>
      <c r="AE340" s="1056"/>
    </row>
    <row r="341" spans="2:31" ht="16" thickBot="1" x14ac:dyDescent="0.25">
      <c r="B341" s="2979">
        <f>SUM(H339:H345)</f>
        <v>32.260000000000005</v>
      </c>
      <c r="C341" s="1126">
        <v>43439</v>
      </c>
      <c r="D341" s="1491"/>
      <c r="E341" s="1492"/>
      <c r="F341" s="2680"/>
      <c r="G341" s="1599"/>
      <c r="H341" s="1600" t="str">
        <f>IFERROR(VLOOKUP(F341,Trainingsarten!$A$9:$K$78,10,FALSE),"")</f>
        <v/>
      </c>
      <c r="I341" s="1601" t="str">
        <f t="shared" si="70"/>
        <v/>
      </c>
      <c r="J341" s="1602"/>
      <c r="K341" s="1603"/>
      <c r="L341" s="2801"/>
      <c r="M341" s="2823"/>
      <c r="N341" s="1408" t="str">
        <f t="shared" si="76"/>
        <v/>
      </c>
      <c r="O341" s="1604"/>
      <c r="P341" s="1605" t="str">
        <f>IFERROR(VLOOKUP(F341,Trainingsarten!$A$9:$N$84,12,FALSE),"")</f>
        <v/>
      </c>
      <c r="Q341" s="1454" t="s">
        <v>437</v>
      </c>
      <c r="R341" s="1086" t="str">
        <f>IFERROR(VLOOKUP(F341,Trainingsarten!$A$9:$N$84,14,FALSE),"")</f>
        <v/>
      </c>
      <c r="S341" s="1087" t="str">
        <f t="shared" si="75"/>
        <v/>
      </c>
      <c r="T341" s="1088">
        <f t="shared" si="72"/>
        <v>24.167748020421929</v>
      </c>
      <c r="U341" s="1089">
        <f t="shared" si="71"/>
        <v>29.924917272279849</v>
      </c>
      <c r="V341" s="1090">
        <f t="shared" si="73"/>
        <v>2.4590872794854839</v>
      </c>
      <c r="W341" s="3284">
        <f t="shared" si="67"/>
        <v>0.80761285989616016</v>
      </c>
      <c r="X341" s="3300"/>
      <c r="Y341" s="3316"/>
      <c r="AA341" s="3301"/>
      <c r="AB341" s="3409"/>
      <c r="AE341" s="1056"/>
    </row>
    <row r="342" spans="2:31" x14ac:dyDescent="0.2">
      <c r="B342" s="2980" t="s">
        <v>628</v>
      </c>
      <c r="C342" s="1126">
        <v>43440</v>
      </c>
      <c r="D342" s="1491" t="s">
        <v>736</v>
      </c>
      <c r="E342" s="1492"/>
      <c r="F342" s="2681" t="s">
        <v>665</v>
      </c>
      <c r="G342" s="1606">
        <v>4.1770833333333333E-2</v>
      </c>
      <c r="H342" s="1607">
        <v>10.4</v>
      </c>
      <c r="I342" s="1608">
        <f t="shared" si="70"/>
        <v>4.0164262820512817E-3</v>
      </c>
      <c r="J342" s="1609">
        <v>141</v>
      </c>
      <c r="K342" s="1610">
        <v>61</v>
      </c>
      <c r="L342" s="2801">
        <v>209</v>
      </c>
      <c r="M342" s="2823"/>
      <c r="N342" s="1408">
        <f t="shared" si="76"/>
        <v>1.0824928243398393</v>
      </c>
      <c r="O342" s="1611" t="s">
        <v>668</v>
      </c>
      <c r="P342" s="1612" t="str">
        <f>IFERROR(VLOOKUP(F342,Trainingsarten!$A$9:$N$84,12,FALSE),"")</f>
        <v/>
      </c>
      <c r="Q342" s="1454" t="s">
        <v>437</v>
      </c>
      <c r="R342" s="1086" t="str">
        <f>IFERROR(VLOOKUP(F342,Trainingsarten!$A$9:$N$84,14,FALSE),"")</f>
        <v/>
      </c>
      <c r="S342" s="1087">
        <f t="shared" si="75"/>
        <v>1.4822695035460993</v>
      </c>
      <c r="T342" s="1088">
        <f t="shared" si="72"/>
        <v>29.429498303218796</v>
      </c>
      <c r="U342" s="1089">
        <f t="shared" si="71"/>
        <v>30.664800194368425</v>
      </c>
      <c r="V342" s="1090">
        <f t="shared" si="73"/>
        <v>5.7571692518579205</v>
      </c>
      <c r="W342" s="3284">
        <f t="shared" si="67"/>
        <v>0.95971596477656196</v>
      </c>
      <c r="X342" s="3300"/>
      <c r="Y342" s="3316"/>
      <c r="AA342" s="3301"/>
      <c r="AB342" s="3409"/>
      <c r="AE342" s="1056"/>
    </row>
    <row r="343" spans="2:31" ht="16" thickBot="1" x14ac:dyDescent="0.25">
      <c r="B343" s="2981">
        <f>SUM(K339:K345)</f>
        <v>194</v>
      </c>
      <c r="C343" s="1126">
        <v>43441</v>
      </c>
      <c r="D343" s="1491"/>
      <c r="E343" s="1492"/>
      <c r="F343" s="2681"/>
      <c r="G343" s="1606"/>
      <c r="H343" s="1607" t="str">
        <f>IFERROR(VLOOKUP(F343,Trainingsarten!$A$9:$K$78,10,FALSE),"")</f>
        <v/>
      </c>
      <c r="I343" s="1608" t="str">
        <f t="shared" si="70"/>
        <v/>
      </c>
      <c r="J343" s="1609"/>
      <c r="K343" s="1610"/>
      <c r="L343" s="2801"/>
      <c r="M343" s="2823"/>
      <c r="N343" s="1408" t="str">
        <f t="shared" si="76"/>
        <v/>
      </c>
      <c r="O343" s="1611"/>
      <c r="P343" s="1612" t="str">
        <f>IFERROR(VLOOKUP(F343,Trainingsarten!$A$9:$N$84,12,FALSE),"")</f>
        <v/>
      </c>
      <c r="Q343" s="1454" t="s">
        <v>437</v>
      </c>
      <c r="R343" s="1086" t="str">
        <f>IFERROR(VLOOKUP(F343,Trainingsarten!$A$9:$N$84,14,FALSE),"")</f>
        <v/>
      </c>
      <c r="S343" s="1087" t="str">
        <f t="shared" si="75"/>
        <v/>
      </c>
      <c r="T343" s="1088">
        <f t="shared" si="72"/>
        <v>25.225284259901827</v>
      </c>
      <c r="U343" s="1089">
        <f t="shared" si="71"/>
        <v>29.93468590402632</v>
      </c>
      <c r="V343" s="1090">
        <f t="shared" si="73"/>
        <v>1.2353018911496285</v>
      </c>
      <c r="W343" s="3284">
        <f t="shared" si="67"/>
        <v>0.84267743248673732</v>
      </c>
      <c r="X343" s="3300"/>
      <c r="Y343" s="3316"/>
      <c r="AA343" s="3301"/>
      <c r="AB343" s="3409"/>
      <c r="AE343" s="1056"/>
    </row>
    <row r="344" spans="2:31" x14ac:dyDescent="0.2">
      <c r="B344" s="2982" t="s">
        <v>761</v>
      </c>
      <c r="C344" s="1126">
        <v>43442</v>
      </c>
      <c r="D344" s="1491"/>
      <c r="E344" s="1492"/>
      <c r="F344" s="2682"/>
      <c r="G344" s="1613"/>
      <c r="H344" s="1614" t="str">
        <f>IFERROR(VLOOKUP(F344,Trainingsarten!$A$9:$K$78,10,FALSE),"")</f>
        <v/>
      </c>
      <c r="I344" s="1615" t="str">
        <f t="shared" si="70"/>
        <v/>
      </c>
      <c r="J344" s="1616"/>
      <c r="K344" s="1617"/>
      <c r="L344" s="2801"/>
      <c r="M344" s="2823"/>
      <c r="N344" s="1408" t="str">
        <f t="shared" si="76"/>
        <v/>
      </c>
      <c r="O344" s="1618"/>
      <c r="P344" s="1619" t="str">
        <f>IFERROR(VLOOKUP(F344,Trainingsarten!$A$9:$N$84,12,FALSE),"")</f>
        <v/>
      </c>
      <c r="Q344" s="1454" t="s">
        <v>437</v>
      </c>
      <c r="R344" s="1086" t="str">
        <f>IFERROR(VLOOKUP(F344,Trainingsarten!$A$9:$N$84,14,FALSE),"")</f>
        <v/>
      </c>
      <c r="S344" s="1087" t="str">
        <f t="shared" si="75"/>
        <v/>
      </c>
      <c r="T344" s="1088">
        <f t="shared" si="72"/>
        <v>21.621672222772993</v>
      </c>
      <c r="U344" s="1089">
        <f t="shared" si="71"/>
        <v>29.221955287263789</v>
      </c>
      <c r="V344" s="1090">
        <f t="shared" si="73"/>
        <v>4.7094016441244939</v>
      </c>
      <c r="W344" s="3284">
        <f t="shared" si="67"/>
        <v>0.73991189193957418</v>
      </c>
      <c r="X344" s="3300"/>
      <c r="Y344" s="3316"/>
      <c r="AA344" s="3301"/>
      <c r="AB344" s="3409"/>
      <c r="AE344" s="1056"/>
    </row>
    <row r="345" spans="2:31" ht="16" thickBot="1" x14ac:dyDescent="0.25">
      <c r="B345" s="2983">
        <f>AVERAGE(W339:W345)</f>
        <v>0.85208163927891423</v>
      </c>
      <c r="C345" s="1189">
        <v>43443</v>
      </c>
      <c r="D345" s="1258" t="s">
        <v>737</v>
      </c>
      <c r="E345" s="1365"/>
      <c r="F345" s="2620" t="s">
        <v>640</v>
      </c>
      <c r="G345" s="1141">
        <v>4.8969907407407413E-2</v>
      </c>
      <c r="H345" s="1234">
        <v>12.3</v>
      </c>
      <c r="I345" s="1434">
        <f t="shared" si="70"/>
        <v>3.9812932851550744E-3</v>
      </c>
      <c r="J345" s="1146">
        <v>134</v>
      </c>
      <c r="K345" s="1237">
        <v>70</v>
      </c>
      <c r="L345" s="2803">
        <v>208</v>
      </c>
      <c r="M345" s="2826"/>
      <c r="N345" s="1238">
        <f t="shared" si="76"/>
        <v>1.0678898191966997</v>
      </c>
      <c r="O345" s="1148" t="s">
        <v>487</v>
      </c>
      <c r="P345" s="1149" t="str">
        <f>IFERROR(VLOOKUP(F345,Trainingsarten!$A$9:$N$84,12,FALSE),"")</f>
        <v/>
      </c>
      <c r="Q345" s="1151" t="s">
        <v>437</v>
      </c>
      <c r="R345" s="1151" t="str">
        <f>IFERROR(VLOOKUP(F345,Trainingsarten!$A$9:$N$84,14,FALSE),"")</f>
        <v/>
      </c>
      <c r="S345" s="1106">
        <f t="shared" si="75"/>
        <v>1.5522388059701493</v>
      </c>
      <c r="T345" s="1239">
        <f t="shared" si="72"/>
        <v>28.532861905233993</v>
      </c>
      <c r="U345" s="1232">
        <f t="shared" si="71"/>
        <v>30.192861113757509</v>
      </c>
      <c r="V345" s="1262">
        <f t="shared" si="73"/>
        <v>7.6002830644907959</v>
      </c>
      <c r="W345" s="3285">
        <f t="shared" si="67"/>
        <v>0.94502014226908992</v>
      </c>
      <c r="X345" s="3300"/>
      <c r="Y345" s="3316"/>
      <c r="AA345" s="3301"/>
      <c r="AB345" s="3409"/>
      <c r="AE345" s="1056"/>
    </row>
    <row r="346" spans="2:31" ht="16" thickBot="1" x14ac:dyDescent="0.25">
      <c r="B346" s="2977">
        <f>B339+1</f>
        <v>50</v>
      </c>
      <c r="C346" s="1241">
        <v>43444</v>
      </c>
      <c r="D346" s="1191"/>
      <c r="E346" s="1192"/>
      <c r="F346" s="2645"/>
      <c r="G346" s="1193"/>
      <c r="H346" s="1287" t="str">
        <f>IFERROR(VLOOKUP(F346,Trainingsarten!$A$9:$K$78,10,FALSE),"")</f>
        <v/>
      </c>
      <c r="I346" s="1288" t="str">
        <f t="shared" si="70"/>
        <v/>
      </c>
      <c r="J346" s="1289"/>
      <c r="K346" s="1197"/>
      <c r="L346" s="2800"/>
      <c r="M346" s="2822"/>
      <c r="N346" s="1199" t="str">
        <f t="shared" si="76"/>
        <v/>
      </c>
      <c r="O346" s="1200"/>
      <c r="P346" s="1267" t="str">
        <f>IFERROR(VLOOKUP(F346,Trainingsarten!$A$9:$N$84,12,FALSE),"")</f>
        <v/>
      </c>
      <c r="Q346" s="1202" t="s">
        <v>437</v>
      </c>
      <c r="R346" s="1069" t="str">
        <f>IFERROR(VLOOKUP(F346,Trainingsarten!$A$9:$N$84,14,FALSE),"")</f>
        <v/>
      </c>
      <c r="S346" s="1070" t="str">
        <f t="shared" si="75"/>
        <v/>
      </c>
      <c r="T346" s="1268">
        <f t="shared" si="72"/>
        <v>24.45673877591485</v>
      </c>
      <c r="U346" s="1191">
        <f t="shared" si="71"/>
        <v>29.473983468191854</v>
      </c>
      <c r="V346" s="1244">
        <f t="shared" si="73"/>
        <v>1.6599992085235158</v>
      </c>
      <c r="W346" s="3286">
        <f t="shared" si="67"/>
        <v>0.82977378345578623</v>
      </c>
      <c r="X346" s="3300"/>
      <c r="Y346" s="3316"/>
      <c r="AA346" s="3301"/>
      <c r="AB346" s="3409"/>
      <c r="AE346" s="1056"/>
    </row>
    <row r="347" spans="2:31" x14ac:dyDescent="0.2">
      <c r="B347" s="2978" t="s">
        <v>626</v>
      </c>
      <c r="C347" s="1211">
        <v>43445</v>
      </c>
      <c r="D347" s="1212"/>
      <c r="E347" s="1213"/>
      <c r="F347" s="2628"/>
      <c r="G347" s="1166"/>
      <c r="H347" s="1167" t="str">
        <f>IFERROR(VLOOKUP(F347,Trainingsarten!$A$9:$K$84,10,FALSE),"")</f>
        <v/>
      </c>
      <c r="I347" s="1168" t="str">
        <f t="shared" si="70"/>
        <v/>
      </c>
      <c r="J347" s="1169"/>
      <c r="K347" s="1206"/>
      <c r="L347" s="2801"/>
      <c r="M347" s="2823"/>
      <c r="N347" s="1208" t="str">
        <f t="shared" si="76"/>
        <v/>
      </c>
      <c r="O347" s="1209"/>
      <c r="P347" s="1136" t="str">
        <f>IFERROR(VLOOKUP(F347,Trainingsarten!$A$9:$N$84,12,FALSE),"")</f>
        <v/>
      </c>
      <c r="Q347" s="1137" t="s">
        <v>437</v>
      </c>
      <c r="R347" s="1086" t="str">
        <f>IFERROR(VLOOKUP(F347,Trainingsarten!$A$9:$N$84,14,FALSE),"")</f>
        <v/>
      </c>
      <c r="S347" s="1087" t="str">
        <f t="shared" si="75"/>
        <v/>
      </c>
      <c r="T347" s="1210">
        <f t="shared" si="72"/>
        <v>20.962918950784157</v>
      </c>
      <c r="U347" s="1089">
        <f t="shared" si="71"/>
        <v>28.77222195704443</v>
      </c>
      <c r="V347" s="1259">
        <f t="shared" si="73"/>
        <v>5.0172446922770035</v>
      </c>
      <c r="W347" s="3284">
        <f t="shared" si="67"/>
        <v>0.72858185864410496</v>
      </c>
      <c r="X347" s="3300"/>
      <c r="Y347" s="3316"/>
      <c r="AA347" s="3301"/>
      <c r="AB347" s="3409"/>
      <c r="AE347" s="1056"/>
    </row>
    <row r="348" spans="2:31" ht="16" thickBot="1" x14ac:dyDescent="0.25">
      <c r="B348" s="2979">
        <f>SUM(H346:H352)</f>
        <v>37.900000000000006</v>
      </c>
      <c r="C348" s="1211">
        <v>43446</v>
      </c>
      <c r="D348" s="1089" t="s">
        <v>738</v>
      </c>
      <c r="E348" s="1205"/>
      <c r="F348" s="2628" t="s">
        <v>665</v>
      </c>
      <c r="G348" s="1166">
        <v>4.4189814814814814E-2</v>
      </c>
      <c r="H348" s="1167">
        <v>11.4</v>
      </c>
      <c r="I348" s="1168">
        <f t="shared" si="70"/>
        <v>3.876299545159194E-3</v>
      </c>
      <c r="J348" s="1169">
        <v>138</v>
      </c>
      <c r="K348" s="1206">
        <v>67</v>
      </c>
      <c r="L348" s="2801">
        <v>213</v>
      </c>
      <c r="M348" s="2823"/>
      <c r="N348" s="1208">
        <f t="shared" si="76"/>
        <v>1.0647211311861744</v>
      </c>
      <c r="O348" s="1209" t="s">
        <v>668</v>
      </c>
      <c r="P348" s="1136" t="str">
        <f>IFERROR(VLOOKUP(F348,Trainingsarten!$A$9:$N$84,12,FALSE),"")</f>
        <v/>
      </c>
      <c r="Q348" s="1137" t="s">
        <v>437</v>
      </c>
      <c r="R348" s="1086" t="str">
        <f>IFERROR(VLOOKUP(F348,Trainingsarten!$A$9:$N$84,14,FALSE),"")</f>
        <v/>
      </c>
      <c r="S348" s="1087">
        <f t="shared" si="75"/>
        <v>1.5434782608695652</v>
      </c>
      <c r="T348" s="1210">
        <f t="shared" si="72"/>
        <v>27.53964481495785</v>
      </c>
      <c r="U348" s="1089">
        <f t="shared" si="71"/>
        <v>29.682407148543373</v>
      </c>
      <c r="V348" s="1259">
        <f t="shared" si="73"/>
        <v>7.8093030062602722</v>
      </c>
      <c r="W348" s="3284">
        <f t="shared" si="67"/>
        <v>0.92781035840987458</v>
      </c>
      <c r="X348" s="3300"/>
      <c r="Y348" s="3316"/>
      <c r="AA348" s="3301"/>
      <c r="AB348" s="3409"/>
      <c r="AE348" s="1056"/>
    </row>
    <row r="349" spans="2:31" x14ac:dyDescent="0.2">
      <c r="B349" s="2980" t="s">
        <v>628</v>
      </c>
      <c r="C349" s="1211">
        <v>43447</v>
      </c>
      <c r="D349" s="1089"/>
      <c r="E349" s="1205"/>
      <c r="F349" s="2628"/>
      <c r="G349" s="1166"/>
      <c r="H349" s="1167" t="str">
        <f>IFERROR(VLOOKUP(F349,Trainingsarten!$A$9:$K$84,10,FALSE),"")</f>
        <v/>
      </c>
      <c r="I349" s="1168" t="str">
        <f t="shared" si="70"/>
        <v/>
      </c>
      <c r="J349" s="1169"/>
      <c r="K349" s="1206"/>
      <c r="L349" s="2801"/>
      <c r="M349" s="2823"/>
      <c r="N349" s="1208" t="str">
        <f t="shared" si="76"/>
        <v/>
      </c>
      <c r="O349" s="1209"/>
      <c r="P349" s="1136" t="str">
        <f>IFERROR(VLOOKUP(F349,Trainingsarten!$A$9:$N$84,12,FALSE),"")</f>
        <v/>
      </c>
      <c r="Q349" s="1137" t="s">
        <v>437</v>
      </c>
      <c r="R349" s="1086" t="str">
        <f>IFERROR(VLOOKUP(F349,Trainingsarten!$A$9:$N$84,14,FALSE),"")</f>
        <v/>
      </c>
      <c r="S349" s="1087" t="str">
        <f t="shared" si="75"/>
        <v/>
      </c>
      <c r="T349" s="1210">
        <f t="shared" si="72"/>
        <v>23.605409841392444</v>
      </c>
      <c r="U349" s="1089">
        <f t="shared" si="71"/>
        <v>28.97568316881615</v>
      </c>
      <c r="V349" s="1259">
        <f t="shared" si="73"/>
        <v>2.142762333585523</v>
      </c>
      <c r="W349" s="3284">
        <f t="shared" si="67"/>
        <v>0.81466275372574348</v>
      </c>
      <c r="X349" s="3300"/>
      <c r="Y349" s="3316"/>
      <c r="AA349" s="3301"/>
      <c r="AB349" s="3409"/>
      <c r="AE349" s="1056"/>
    </row>
    <row r="350" spans="2:31" ht="16" thickBot="1" x14ac:dyDescent="0.25">
      <c r="B350" s="2981">
        <f>SUM(K346:K352)</f>
        <v>229</v>
      </c>
      <c r="C350" s="1211">
        <v>43448</v>
      </c>
      <c r="D350" s="1089" t="s">
        <v>739</v>
      </c>
      <c r="E350" s="1205"/>
      <c r="F350" s="2628" t="s">
        <v>647</v>
      </c>
      <c r="G350" s="1166">
        <v>4.6412037037037036E-2</v>
      </c>
      <c r="H350" s="1167">
        <v>12.3</v>
      </c>
      <c r="I350" s="1168">
        <f t="shared" si="70"/>
        <v>3.7733363444745556E-3</v>
      </c>
      <c r="J350" s="1169">
        <v>137</v>
      </c>
      <c r="K350" s="1206">
        <v>75</v>
      </c>
      <c r="L350" s="2801">
        <v>220</v>
      </c>
      <c r="M350" s="2823"/>
      <c r="N350" s="1208">
        <f t="shared" si="76"/>
        <v>1.0705011527727217</v>
      </c>
      <c r="O350" s="1209" t="s">
        <v>668</v>
      </c>
      <c r="P350" s="1136" t="str">
        <f>IFERROR(VLOOKUP(F350,Trainingsarten!$A$9:$N$84,12,FALSE),"")</f>
        <v/>
      </c>
      <c r="Q350" s="1137" t="s">
        <v>437</v>
      </c>
      <c r="R350" s="1086" t="str">
        <f>IFERROR(VLOOKUP(F350,Trainingsarten!$A$9:$N$84,14,FALSE),"")</f>
        <v/>
      </c>
      <c r="S350" s="1087">
        <f t="shared" si="75"/>
        <v>1.6058394160583942</v>
      </c>
      <c r="T350" s="1210">
        <f t="shared" si="72"/>
        <v>30.94749414976495</v>
      </c>
      <c r="U350" s="1089">
        <f t="shared" si="71"/>
        <v>30.07150023622529</v>
      </c>
      <c r="V350" s="1259">
        <f t="shared" si="73"/>
        <v>5.3702733274237069</v>
      </c>
      <c r="W350" s="3284">
        <f t="shared" si="67"/>
        <v>1.0291303695079503</v>
      </c>
      <c r="X350" s="3300"/>
      <c r="Y350" s="3316"/>
      <c r="AA350" s="3301"/>
      <c r="AB350" s="3409"/>
      <c r="AE350" s="1056"/>
    </row>
    <row r="351" spans="2:31" x14ac:dyDescent="0.2">
      <c r="B351" s="2982" t="s">
        <v>761</v>
      </c>
      <c r="C351" s="1211">
        <v>43449</v>
      </c>
      <c r="D351" s="1089"/>
      <c r="E351" s="1205"/>
      <c r="F351" s="2628"/>
      <c r="G351" s="1166"/>
      <c r="H351" s="1167" t="str">
        <f>IFERROR(VLOOKUP(F351,Trainingsarten!$A$9:$K$84,10,FALSE),"")</f>
        <v/>
      </c>
      <c r="I351" s="1168" t="str">
        <f t="shared" si="70"/>
        <v/>
      </c>
      <c r="J351" s="1169"/>
      <c r="K351" s="1206"/>
      <c r="L351" s="2801"/>
      <c r="M351" s="2823"/>
      <c r="N351" s="1208" t="str">
        <f t="shared" si="76"/>
        <v/>
      </c>
      <c r="O351" s="1209"/>
      <c r="P351" s="1136" t="str">
        <f>IFERROR(VLOOKUP(F351,Trainingsarten!$A$9:$N$84,12,FALSE),"")</f>
        <v/>
      </c>
      <c r="Q351" s="1137" t="s">
        <v>437</v>
      </c>
      <c r="R351" s="1086" t="str">
        <f>IFERROR(VLOOKUP(F351,Trainingsarten!$A$9:$N$84,14,FALSE),"")</f>
        <v/>
      </c>
      <c r="S351" s="1087" t="str">
        <f t="shared" si="75"/>
        <v/>
      </c>
      <c r="T351" s="1210">
        <f t="shared" si="72"/>
        <v>26.526423556941385</v>
      </c>
      <c r="U351" s="1089">
        <f t="shared" si="71"/>
        <v>29.355512135362783</v>
      </c>
      <c r="V351" s="1259">
        <f t="shared" si="73"/>
        <v>-0.87599391353965927</v>
      </c>
      <c r="W351" s="3284">
        <f t="shared" ref="W351:W414" si="77">T351/U351</f>
        <v>0.90362666590941987</v>
      </c>
      <c r="X351" s="3300"/>
      <c r="Y351" s="3316"/>
      <c r="AA351" s="3301"/>
      <c r="AB351" s="3409"/>
      <c r="AE351" s="1056"/>
    </row>
    <row r="352" spans="2:31" ht="16" thickBot="1" x14ac:dyDescent="0.25">
      <c r="B352" s="2983">
        <f>AVERAGE(W346:W352)</f>
        <v>0.91114260663687041</v>
      </c>
      <c r="C352" s="1260">
        <v>43450</v>
      </c>
      <c r="D352" s="1108" t="s">
        <v>740</v>
      </c>
      <c r="E352" s="1261"/>
      <c r="F352" s="2646" t="s">
        <v>648</v>
      </c>
      <c r="G352" s="1217">
        <v>5.2731481481481483E-2</v>
      </c>
      <c r="H352" s="1366">
        <v>14.2</v>
      </c>
      <c r="I352" s="1363">
        <f t="shared" si="70"/>
        <v>3.7134846113719357E-3</v>
      </c>
      <c r="J352" s="1367">
        <v>162</v>
      </c>
      <c r="K352" s="1221">
        <v>87</v>
      </c>
      <c r="L352" s="2802">
        <v>218</v>
      </c>
      <c r="M352" s="2824"/>
      <c r="N352" s="1223">
        <f t="shared" si="76"/>
        <v>1.0439436619718312</v>
      </c>
      <c r="O352" s="1224" t="s">
        <v>487</v>
      </c>
      <c r="P352" s="1225" t="str">
        <f>IFERROR(VLOOKUP(F352,Trainingsarten!$A$9:$N$84,12,FALSE),"")</f>
        <v/>
      </c>
      <c r="Q352" s="1226" t="s">
        <v>437</v>
      </c>
      <c r="R352" s="1105" t="str">
        <f>IFERROR(VLOOKUP(F352,Trainingsarten!$A$9:$N$84,14,FALSE),"")</f>
        <v/>
      </c>
      <c r="S352" s="1106">
        <f t="shared" si="75"/>
        <v>1.345679012345679</v>
      </c>
      <c r="T352" s="1227">
        <f t="shared" si="72"/>
        <v>35.165505905949757</v>
      </c>
      <c r="U352" s="1108">
        <f t="shared" si="71"/>
        <v>30.727999941663668</v>
      </c>
      <c r="V352" s="1228">
        <f t="shared" si="73"/>
        <v>2.8290885784213984</v>
      </c>
      <c r="W352" s="3287">
        <f t="shared" si="77"/>
        <v>1.144412456805213</v>
      </c>
      <c r="X352" s="3300"/>
      <c r="Y352" s="3316"/>
      <c r="AA352" s="3301"/>
      <c r="AB352" s="3409"/>
      <c r="AE352" s="1056"/>
    </row>
    <row r="353" spans="1:31" ht="16" thickBot="1" x14ac:dyDescent="0.25">
      <c r="B353" s="2977">
        <f>B346+1</f>
        <v>51</v>
      </c>
      <c r="C353" s="1110">
        <v>43451</v>
      </c>
      <c r="D353" s="1111"/>
      <c r="E353" s="1112"/>
      <c r="F353" s="2618"/>
      <c r="G353" s="1489"/>
      <c r="H353" s="1490" t="str">
        <f>IFERROR(VLOOKUP(F353,Trainingsarten!$A$9:$K$84,10,FALSE),"")</f>
        <v/>
      </c>
      <c r="I353" s="1399" t="str">
        <f t="shared" si="70"/>
        <v/>
      </c>
      <c r="J353" s="1118"/>
      <c r="K353" s="1117"/>
      <c r="L353" s="1118"/>
      <c r="M353" s="2825"/>
      <c r="N353" s="1119" t="str">
        <f t="shared" si="76"/>
        <v/>
      </c>
      <c r="O353" s="1120"/>
      <c r="P353" s="1277" t="str">
        <f>IFERROR(VLOOKUP(F353,Trainingsarten!$A$9:$N$84,12,FALSE),"")</f>
        <v/>
      </c>
      <c r="Q353" s="1122" t="s">
        <v>437</v>
      </c>
      <c r="R353" s="1122" t="str">
        <f>IFERROR(VLOOKUP(F353,Trainingsarten!$A$9:$N$84,14,FALSE),"")</f>
        <v/>
      </c>
      <c r="S353" s="1070" t="str">
        <f t="shared" si="75"/>
        <v/>
      </c>
      <c r="T353" s="1278">
        <f t="shared" si="72"/>
        <v>30.141862205099791</v>
      </c>
      <c r="U353" s="1111">
        <f t="shared" si="71"/>
        <v>29.996380895433582</v>
      </c>
      <c r="V353" s="1124">
        <f t="shared" si="73"/>
        <v>-4.437505964286089</v>
      </c>
      <c r="W353" s="3283">
        <f t="shared" si="77"/>
        <v>1.0048499620728697</v>
      </c>
      <c r="X353" s="3300"/>
      <c r="Y353" s="3316"/>
      <c r="AA353" s="3301"/>
      <c r="AB353" s="3409"/>
      <c r="AE353" s="1056"/>
    </row>
    <row r="354" spans="1:31" x14ac:dyDescent="0.2">
      <c r="B354" s="2978" t="s">
        <v>626</v>
      </c>
      <c r="C354" s="1126">
        <v>43452</v>
      </c>
      <c r="D354" s="1491" t="s">
        <v>741</v>
      </c>
      <c r="E354" s="1492"/>
      <c r="F354" s="2682" t="s">
        <v>793</v>
      </c>
      <c r="G354" s="1620">
        <v>3.5671296296296298E-2</v>
      </c>
      <c r="H354" s="1621">
        <v>9.25</v>
      </c>
      <c r="I354" s="1615">
        <f t="shared" si="70"/>
        <v>3.8563563563563568E-3</v>
      </c>
      <c r="J354" s="1616">
        <v>136</v>
      </c>
      <c r="K354" s="1617">
        <v>67</v>
      </c>
      <c r="L354" s="2801">
        <v>214</v>
      </c>
      <c r="M354" s="2823"/>
      <c r="N354" s="1408">
        <f t="shared" si="76"/>
        <v>1.0642162162162163</v>
      </c>
      <c r="O354" s="1618" t="s">
        <v>667</v>
      </c>
      <c r="P354" s="1619" t="str">
        <f>IFERROR(VLOOKUP(F354,Trainingsarten!$A$9:$N$84,12,FALSE),"")</f>
        <v/>
      </c>
      <c r="Q354" s="1454" t="s">
        <v>437</v>
      </c>
      <c r="R354" s="1086" t="str">
        <f>IFERROR(VLOOKUP(F354,Trainingsarten!$A$9:$N$84,14,FALSE),"")</f>
        <v/>
      </c>
      <c r="S354" s="1087">
        <f t="shared" si="75"/>
        <v>1.5735294117647058</v>
      </c>
      <c r="T354" s="1088">
        <f t="shared" si="72"/>
        <v>35.407310461514108</v>
      </c>
      <c r="U354" s="1089">
        <f t="shared" si="71"/>
        <v>30.877419445542305</v>
      </c>
      <c r="V354" s="1090">
        <f t="shared" si="73"/>
        <v>-0.14548130966620931</v>
      </c>
      <c r="W354" s="3284">
        <f t="shared" si="77"/>
        <v>1.1467056216909919</v>
      </c>
      <c r="X354" s="3300"/>
      <c r="Y354" s="3316"/>
      <c r="AA354" s="3301"/>
      <c r="AB354" s="3409"/>
      <c r="AE354" s="1056"/>
    </row>
    <row r="355" spans="1:31" ht="16" thickBot="1" x14ac:dyDescent="0.25">
      <c r="B355" s="2979">
        <f>SUM(H353:H359)</f>
        <v>32.44</v>
      </c>
      <c r="C355" s="1126">
        <v>43453</v>
      </c>
      <c r="D355" s="1491" t="s">
        <v>742</v>
      </c>
      <c r="E355" s="1492"/>
      <c r="F355" s="2682" t="s">
        <v>639</v>
      </c>
      <c r="G355" s="1620">
        <v>3.6863425925925931E-2</v>
      </c>
      <c r="H355" s="1621">
        <v>9.19</v>
      </c>
      <c r="I355" s="1615">
        <f t="shared" si="70"/>
        <v>4.0112541812759445E-3</v>
      </c>
      <c r="J355" s="1616">
        <v>134</v>
      </c>
      <c r="K355" s="1617">
        <v>52</v>
      </c>
      <c r="L355" s="2801">
        <v>204</v>
      </c>
      <c r="M355" s="2823"/>
      <c r="N355" s="1408">
        <f t="shared" si="76"/>
        <v>1.0552352492163775</v>
      </c>
      <c r="O355" s="1618" t="s">
        <v>668</v>
      </c>
      <c r="P355" s="1619" t="str">
        <f>IFERROR(VLOOKUP(F355,Trainingsarten!$A$9:$N$84,12,FALSE),"")</f>
        <v/>
      </c>
      <c r="Q355" s="1454" t="s">
        <v>437</v>
      </c>
      <c r="R355" s="1086" t="str">
        <f>IFERROR(VLOOKUP(F355,Trainingsarten!$A$9:$N$84,14,FALSE),"")</f>
        <v/>
      </c>
      <c r="S355" s="1087">
        <f t="shared" si="75"/>
        <v>1.5223880597014925</v>
      </c>
      <c r="T355" s="1088">
        <f t="shared" si="72"/>
        <v>37.77769468129781</v>
      </c>
      <c r="U355" s="1089">
        <f t="shared" si="71"/>
        <v>31.380338030172251</v>
      </c>
      <c r="V355" s="1090">
        <f t="shared" si="73"/>
        <v>-4.5298910159718027</v>
      </c>
      <c r="W355" s="3284">
        <f t="shared" si="77"/>
        <v>1.2038651286985655</v>
      </c>
      <c r="X355" s="3300"/>
      <c r="Y355" s="3316"/>
      <c r="AA355" s="3301"/>
      <c r="AB355" s="3409"/>
      <c r="AE355" s="1056"/>
    </row>
    <row r="356" spans="1:31" x14ac:dyDescent="0.2">
      <c r="B356" s="2980" t="s">
        <v>628</v>
      </c>
      <c r="C356" s="1126">
        <v>43454</v>
      </c>
      <c r="D356" s="1491"/>
      <c r="E356" s="1492"/>
      <c r="F356" s="2682"/>
      <c r="G356" s="1620"/>
      <c r="H356" s="1621" t="str">
        <f>IFERROR(VLOOKUP(F356,Trainingsarten!$A$9:$K$84,10,FALSE),"")</f>
        <v/>
      </c>
      <c r="I356" s="1615" t="str">
        <f t="shared" si="70"/>
        <v/>
      </c>
      <c r="J356" s="1616"/>
      <c r="K356" s="1617"/>
      <c r="L356" s="2801"/>
      <c r="M356" s="2823"/>
      <c r="N356" s="1408" t="str">
        <f t="shared" si="76"/>
        <v/>
      </c>
      <c r="O356" s="1618"/>
      <c r="P356" s="1619" t="str">
        <f>IFERROR(VLOOKUP(F356,Trainingsarten!$A$9:$N$84,12,FALSE),"")</f>
        <v/>
      </c>
      <c r="Q356" s="1454" t="s">
        <v>437</v>
      </c>
      <c r="R356" s="1086" t="str">
        <f>IFERROR(VLOOKUP(F356,Trainingsarten!$A$9:$N$84,14,FALSE),"")</f>
        <v/>
      </c>
      <c r="S356" s="1087" t="str">
        <f t="shared" si="75"/>
        <v/>
      </c>
      <c r="T356" s="1088">
        <f t="shared" si="72"/>
        <v>32.380881155398122</v>
      </c>
      <c r="U356" s="1089">
        <f t="shared" si="71"/>
        <v>30.633187124691958</v>
      </c>
      <c r="V356" s="1090">
        <f t="shared" si="73"/>
        <v>-6.3973566511255591</v>
      </c>
      <c r="W356" s="3284">
        <f t="shared" si="77"/>
        <v>1.0570523081255698</v>
      </c>
      <c r="X356" s="3300"/>
      <c r="Y356" s="3316"/>
      <c r="AA356" s="3301"/>
      <c r="AB356" s="3409"/>
      <c r="AE356" s="1056"/>
    </row>
    <row r="357" spans="1:31" ht="16" thickBot="1" x14ac:dyDescent="0.25">
      <c r="B357" s="2981">
        <f>SUM(K353:K359)</f>
        <v>205</v>
      </c>
      <c r="C357" s="1126">
        <v>43455</v>
      </c>
      <c r="D357" s="1491"/>
      <c r="E357" s="1492"/>
      <c r="F357" s="2682"/>
      <c r="G357" s="1620"/>
      <c r="H357" s="1621" t="str">
        <f>IFERROR(VLOOKUP(F357,Trainingsarten!$A$9:$K$84,10,FALSE),"")</f>
        <v/>
      </c>
      <c r="I357" s="1615" t="str">
        <f t="shared" si="70"/>
        <v/>
      </c>
      <c r="J357" s="1616"/>
      <c r="K357" s="1617"/>
      <c r="L357" s="2801"/>
      <c r="M357" s="2823"/>
      <c r="N357" s="1408" t="str">
        <f t="shared" si="76"/>
        <v/>
      </c>
      <c r="O357" s="1618"/>
      <c r="P357" s="1619" t="str">
        <f>IFERROR(VLOOKUP(F357,Trainingsarten!$A$9:$N$84,12,FALSE),"")</f>
        <v/>
      </c>
      <c r="Q357" s="1454" t="s">
        <v>437</v>
      </c>
      <c r="R357" s="1086" t="str">
        <f>IFERROR(VLOOKUP(F357,Trainingsarten!$A$9:$N$84,14,FALSE),"")</f>
        <v/>
      </c>
      <c r="S357" s="1087" t="str">
        <f t="shared" si="75"/>
        <v/>
      </c>
      <c r="T357" s="1088">
        <f t="shared" si="72"/>
        <v>27.755040990341246</v>
      </c>
      <c r="U357" s="1089">
        <f t="shared" si="71"/>
        <v>29.903825526485008</v>
      </c>
      <c r="V357" s="1090">
        <f t="shared" si="73"/>
        <v>-1.7476940307061639</v>
      </c>
      <c r="W357" s="3284">
        <f t="shared" si="77"/>
        <v>0.9281434900614759</v>
      </c>
      <c r="X357" s="3300"/>
      <c r="Y357" s="3316"/>
      <c r="AA357" s="3301"/>
      <c r="AB357" s="3409"/>
      <c r="AE357" s="1056"/>
    </row>
    <row r="358" spans="1:31" x14ac:dyDescent="0.2">
      <c r="B358" s="2982" t="s">
        <v>761</v>
      </c>
      <c r="C358" s="1126">
        <v>43456</v>
      </c>
      <c r="D358" s="1491" t="s">
        <v>743</v>
      </c>
      <c r="E358" s="1492"/>
      <c r="F358" s="2683" t="s">
        <v>647</v>
      </c>
      <c r="G358" s="1622">
        <v>5.3854166666666668E-2</v>
      </c>
      <c r="H358" s="1623">
        <v>14</v>
      </c>
      <c r="I358" s="1624">
        <f t="shared" si="70"/>
        <v>3.8467261904761908E-3</v>
      </c>
      <c r="J358" s="1625">
        <v>136</v>
      </c>
      <c r="K358" s="1626">
        <v>86</v>
      </c>
      <c r="L358" s="2801">
        <v>215</v>
      </c>
      <c r="M358" s="2823"/>
      <c r="N358" s="1408">
        <f t="shared" si="76"/>
        <v>1.0665191897654587</v>
      </c>
      <c r="O358" s="1627" t="s">
        <v>668</v>
      </c>
      <c r="P358" s="1628" t="str">
        <f>IFERROR(VLOOKUP(F358,Trainingsarten!$A$9:$N$84,12,FALSE),"")</f>
        <v/>
      </c>
      <c r="Q358" s="1454" t="s">
        <v>437</v>
      </c>
      <c r="R358" s="1086" t="str">
        <f>IFERROR(VLOOKUP(F358,Trainingsarten!$A$9:$N$84,14,FALSE),"")</f>
        <v/>
      </c>
      <c r="S358" s="1087">
        <f t="shared" si="75"/>
        <v>1.5808823529411764</v>
      </c>
      <c r="T358" s="1088">
        <f t="shared" si="72"/>
        <v>36.075749420292496</v>
      </c>
      <c r="U358" s="1089">
        <f t="shared" si="71"/>
        <v>31.239448728235367</v>
      </c>
      <c r="V358" s="1090">
        <f t="shared" si="73"/>
        <v>2.1487845361437614</v>
      </c>
      <c r="W358" s="3284">
        <f t="shared" si="77"/>
        <v>1.1548138936166918</v>
      </c>
      <c r="X358" s="3300"/>
      <c r="Y358" s="3316"/>
      <c r="AA358" s="3301"/>
      <c r="AB358" s="3409"/>
      <c r="AE358" s="1056"/>
    </row>
    <row r="359" spans="1:31" ht="16" thickBot="1" x14ac:dyDescent="0.25">
      <c r="B359" s="2983">
        <f>AVERAGE(W353:W359)</f>
        <v>1.0727733336066678</v>
      </c>
      <c r="C359" s="1189">
        <v>43457</v>
      </c>
      <c r="D359" s="1232"/>
      <c r="E359" s="1233"/>
      <c r="F359" s="2620"/>
      <c r="G359" s="1507"/>
      <c r="H359" s="1508" t="str">
        <f>IFERROR(VLOOKUP(F359,Trainingsarten!$A$9:$K$84,10,FALSE),"")</f>
        <v/>
      </c>
      <c r="I359" s="1434" t="str">
        <f t="shared" si="70"/>
        <v/>
      </c>
      <c r="J359" s="1146"/>
      <c r="K359" s="1237"/>
      <c r="L359" s="2803"/>
      <c r="M359" s="2826"/>
      <c r="N359" s="1238" t="str">
        <f t="shared" si="76"/>
        <v/>
      </c>
      <c r="O359" s="1148"/>
      <c r="P359" s="1149" t="str">
        <f>IFERROR(VLOOKUP(F359,Trainingsarten!$A$9:$N$84,12,FALSE),"")</f>
        <v/>
      </c>
      <c r="Q359" s="1151" t="s">
        <v>437</v>
      </c>
      <c r="R359" s="1151" t="str">
        <f>IFERROR(VLOOKUP(F359,Trainingsarten!$A$9:$N$84,14,FALSE),"")</f>
        <v/>
      </c>
      <c r="S359" s="1106" t="str">
        <f t="shared" si="75"/>
        <v/>
      </c>
      <c r="T359" s="1239">
        <f t="shared" si="72"/>
        <v>30.922070931679283</v>
      </c>
      <c r="U359" s="1258">
        <f t="shared" si="71"/>
        <v>30.495652329944047</v>
      </c>
      <c r="V359" s="1262">
        <f t="shared" si="73"/>
        <v>-4.8363006920571294</v>
      </c>
      <c r="W359" s="3285">
        <f t="shared" si="77"/>
        <v>1.01398293098051</v>
      </c>
      <c r="X359" s="3300"/>
      <c r="Y359" s="3316"/>
      <c r="AA359" s="3301"/>
      <c r="AB359" s="3409"/>
      <c r="AE359" s="1056"/>
    </row>
    <row r="360" spans="1:31" ht="16" thickBot="1" x14ac:dyDescent="0.25">
      <c r="B360" s="2977">
        <f>B353+1</f>
        <v>52</v>
      </c>
      <c r="C360" s="1629">
        <v>43458</v>
      </c>
      <c r="D360" s="1191"/>
      <c r="E360" s="1192"/>
      <c r="F360" s="2634"/>
      <c r="G360" s="1193"/>
      <c r="H360" s="1287" t="str">
        <f>IFERROR(VLOOKUP(F360,Trainingsarten!$A$9:$K$84,10,FALSE),"")</f>
        <v/>
      </c>
      <c r="I360" s="1288" t="str">
        <f t="shared" si="70"/>
        <v/>
      </c>
      <c r="J360" s="1289"/>
      <c r="K360" s="1197"/>
      <c r="L360" s="2800"/>
      <c r="M360" s="2822"/>
      <c r="N360" s="1199" t="str">
        <f t="shared" si="76"/>
        <v/>
      </c>
      <c r="O360" s="1200"/>
      <c r="P360" s="1267" t="str">
        <f>IFERROR(VLOOKUP(F360,Trainingsarten!$A$9:$N$84,12,FALSE),"")</f>
        <v/>
      </c>
      <c r="Q360" s="1202" t="s">
        <v>437</v>
      </c>
      <c r="R360" s="1069" t="str">
        <f>IFERROR(VLOOKUP(F360,Trainingsarten!$A$9:$N$84,14,FALSE),"")</f>
        <v/>
      </c>
      <c r="S360" s="1070" t="str">
        <f t="shared" si="75"/>
        <v/>
      </c>
      <c r="T360" s="1268">
        <f t="shared" si="72"/>
        <v>26.504632227153671</v>
      </c>
      <c r="U360" s="1191">
        <f t="shared" si="71"/>
        <v>29.769565369707284</v>
      </c>
      <c r="V360" s="1073">
        <f t="shared" si="73"/>
        <v>-0.42641860173523582</v>
      </c>
      <c r="W360" s="3286">
        <f t="shared" si="77"/>
        <v>0.89032647598288683</v>
      </c>
      <c r="X360" s="3300"/>
      <c r="Y360" s="3316"/>
      <c r="AA360" s="3301"/>
      <c r="AB360" s="3409"/>
      <c r="AE360" s="1056"/>
    </row>
    <row r="361" spans="1:31" x14ac:dyDescent="0.2">
      <c r="B361" s="2978" t="s">
        <v>626</v>
      </c>
      <c r="C361" s="1630">
        <v>43459</v>
      </c>
      <c r="D361" s="1089"/>
      <c r="E361" s="1205"/>
      <c r="F361" s="2622"/>
      <c r="G361" s="1166"/>
      <c r="H361" s="1167" t="str">
        <f>IFERROR(VLOOKUP(F361,Trainingsarten!$A$9:$K$84,10,FALSE),"")</f>
        <v/>
      </c>
      <c r="I361" s="1168" t="str">
        <f t="shared" si="70"/>
        <v/>
      </c>
      <c r="J361" s="1169"/>
      <c r="K361" s="1206"/>
      <c r="L361" s="2801"/>
      <c r="M361" s="2823"/>
      <c r="N361" s="1208" t="str">
        <f t="shared" si="76"/>
        <v/>
      </c>
      <c r="O361" s="1209"/>
      <c r="P361" s="1136" t="str">
        <f>IFERROR(VLOOKUP(F361,Trainingsarten!$A$9:$N$84,12,FALSE),"")</f>
        <v/>
      </c>
      <c r="Q361" s="1137" t="s">
        <v>437</v>
      </c>
      <c r="R361" s="1086" t="str">
        <f>IFERROR(VLOOKUP(F361,Trainingsarten!$A$9:$N$84,14,FALSE),"")</f>
        <v/>
      </c>
      <c r="S361" s="1087" t="str">
        <f t="shared" si="75"/>
        <v/>
      </c>
      <c r="T361" s="1210">
        <f t="shared" si="72"/>
        <v>22.718256194703148</v>
      </c>
      <c r="U361" s="1089">
        <f t="shared" si="71"/>
        <v>29.060766194238063</v>
      </c>
      <c r="V361" s="1259">
        <f t="shared" si="73"/>
        <v>3.2649331425536126</v>
      </c>
      <c r="W361" s="3284">
        <f t="shared" si="77"/>
        <v>0.78175007647277872</v>
      </c>
      <c r="X361" s="3300"/>
      <c r="Y361" s="3316"/>
      <c r="AA361" s="3301"/>
      <c r="AB361" s="3409"/>
      <c r="AE361" s="1056"/>
    </row>
    <row r="362" spans="1:31" ht="16" thickBot="1" x14ac:dyDescent="0.25">
      <c r="B362" s="2979">
        <f>SUM(H360:H366)</f>
        <v>19.18</v>
      </c>
      <c r="C362" s="1630">
        <v>43460</v>
      </c>
      <c r="D362" s="1089"/>
      <c r="E362" s="1205"/>
      <c r="F362" s="2622"/>
      <c r="G362" s="1166"/>
      <c r="H362" s="1167" t="str">
        <f>IFERROR(VLOOKUP(F362,Trainingsarten!$A$9:$K$84,10,FALSE),"")</f>
        <v/>
      </c>
      <c r="I362" s="1168" t="str">
        <f t="shared" si="70"/>
        <v/>
      </c>
      <c r="J362" s="1169"/>
      <c r="K362" s="1206"/>
      <c r="L362" s="2801"/>
      <c r="M362" s="2823"/>
      <c r="N362" s="1208" t="str">
        <f t="shared" si="76"/>
        <v/>
      </c>
      <c r="O362" s="1209"/>
      <c r="P362" s="1136" t="str">
        <f>IFERROR(VLOOKUP(F362,Trainingsarten!$A$9:$N$84,12,FALSE),"")</f>
        <v/>
      </c>
      <c r="Q362" s="1137" t="s">
        <v>437</v>
      </c>
      <c r="R362" s="1086" t="str">
        <f>IFERROR(VLOOKUP(F362,Trainingsarten!$A$9:$N$84,14,FALSE),"")</f>
        <v/>
      </c>
      <c r="S362" s="1087" t="str">
        <f t="shared" si="75"/>
        <v/>
      </c>
      <c r="T362" s="1210">
        <f t="shared" si="72"/>
        <v>19.47279102403127</v>
      </c>
      <c r="U362" s="1089">
        <f t="shared" si="71"/>
        <v>28.368843189613347</v>
      </c>
      <c r="V362" s="1259">
        <f t="shared" si="73"/>
        <v>6.342509999534915</v>
      </c>
      <c r="W362" s="3284">
        <f t="shared" si="77"/>
        <v>0.68641470129317161</v>
      </c>
      <c r="X362" s="3300"/>
      <c r="Y362" s="3316"/>
      <c r="AA362" s="3301"/>
      <c r="AB362" s="3409"/>
      <c r="AE362" s="1056"/>
    </row>
    <row r="363" spans="1:31" x14ac:dyDescent="0.2">
      <c r="B363" s="2980" t="s">
        <v>628</v>
      </c>
      <c r="C363" s="1630">
        <v>43461</v>
      </c>
      <c r="D363" s="1089" t="s">
        <v>744</v>
      </c>
      <c r="E363" s="1205"/>
      <c r="F363" s="2622" t="s">
        <v>665</v>
      </c>
      <c r="G363" s="1166">
        <v>4.3888888888888887E-2</v>
      </c>
      <c r="H363" s="1167">
        <v>11.1</v>
      </c>
      <c r="I363" s="1168">
        <f t="shared" si="70"/>
        <v>3.9539539539539537E-3</v>
      </c>
      <c r="J363" s="1169">
        <v>136</v>
      </c>
      <c r="K363" s="1206">
        <v>67</v>
      </c>
      <c r="L363" s="2801">
        <v>207</v>
      </c>
      <c r="M363" s="2823"/>
      <c r="N363" s="1208">
        <f t="shared" si="76"/>
        <v>1.055457845905607</v>
      </c>
      <c r="O363" s="1209" t="s">
        <v>668</v>
      </c>
      <c r="P363" s="1136" t="str">
        <f>IFERROR(VLOOKUP(F363,Trainingsarten!$A$9:$N$84,12,FALSE),"")</f>
        <v/>
      </c>
      <c r="Q363" s="1137" t="s">
        <v>437</v>
      </c>
      <c r="R363" s="1086" t="str">
        <f>IFERROR(VLOOKUP(F363,Trainingsarten!$A$9:$N$84,14,FALSE),"")</f>
        <v/>
      </c>
      <c r="S363" s="1087">
        <f t="shared" si="75"/>
        <v>1.5220588235294117</v>
      </c>
      <c r="T363" s="1210">
        <f>T362+(K363-T362)/7</f>
        <v>26.262392306312517</v>
      </c>
      <c r="U363" s="1089">
        <f t="shared" si="71"/>
        <v>29.288632637479697</v>
      </c>
      <c r="V363" s="1259">
        <f t="shared" si="73"/>
        <v>8.896052165582077</v>
      </c>
      <c r="W363" s="3284">
        <f t="shared" si="77"/>
        <v>0.89667526071891113</v>
      </c>
      <c r="X363" s="3300"/>
      <c r="Y363" s="3316"/>
      <c r="AA363" s="3301"/>
      <c r="AB363" s="3409"/>
      <c r="AE363" s="1056"/>
    </row>
    <row r="364" spans="1:31" ht="16" thickBot="1" x14ac:dyDescent="0.25">
      <c r="B364" s="2981">
        <f>SUM(K360:K366)</f>
        <v>116</v>
      </c>
      <c r="C364" s="1630">
        <v>43462</v>
      </c>
      <c r="D364" s="1089"/>
      <c r="E364" s="1205"/>
      <c r="F364" s="2622"/>
      <c r="G364" s="1166"/>
      <c r="H364" s="1167" t="str">
        <f>IFERROR(VLOOKUP(F364,Trainingsarten!$A$9:$K$84,10,FALSE),"")</f>
        <v/>
      </c>
      <c r="I364" s="1168" t="str">
        <f t="shared" si="70"/>
        <v/>
      </c>
      <c r="J364" s="1169"/>
      <c r="K364" s="1206"/>
      <c r="L364" s="2801"/>
      <c r="M364" s="2823"/>
      <c r="N364" s="1208" t="str">
        <f t="shared" si="76"/>
        <v/>
      </c>
      <c r="O364" s="1209"/>
      <c r="P364" s="1136" t="str">
        <f>IFERROR(VLOOKUP(F364,Trainingsarten!$A$9:$N$84,12,FALSE),"")</f>
        <v/>
      </c>
      <c r="Q364" s="1137" t="s">
        <v>437</v>
      </c>
      <c r="R364" s="1086" t="str">
        <f>IFERROR(VLOOKUP(F364,Trainingsarten!$A$9:$N$84,14,FALSE),"")</f>
        <v/>
      </c>
      <c r="S364" s="1087" t="str">
        <f t="shared" si="75"/>
        <v/>
      </c>
      <c r="T364" s="1210">
        <f t="shared" si="72"/>
        <v>22.5106219768393</v>
      </c>
      <c r="U364" s="1089">
        <f t="shared" si="71"/>
        <v>28.591284241349229</v>
      </c>
      <c r="V364" s="1259">
        <f t="shared" si="73"/>
        <v>3.0262403311671804</v>
      </c>
      <c r="W364" s="3284">
        <f t="shared" si="77"/>
        <v>0.78732461916782437</v>
      </c>
      <c r="X364" s="3300"/>
      <c r="Y364" s="3316"/>
      <c r="AA364" s="3301"/>
      <c r="AB364" s="3409"/>
      <c r="AE364" s="1056"/>
    </row>
    <row r="365" spans="1:31" x14ac:dyDescent="0.2">
      <c r="B365" s="2982" t="s">
        <v>761</v>
      </c>
      <c r="C365" s="1630">
        <v>43463</v>
      </c>
      <c r="D365" s="1089" t="s">
        <v>745</v>
      </c>
      <c r="E365" s="1205"/>
      <c r="F365" s="2620" t="s">
        <v>665</v>
      </c>
      <c r="G365" s="1166">
        <v>3.1689814814814816E-2</v>
      </c>
      <c r="H365" s="1167">
        <v>8.08</v>
      </c>
      <c r="I365" s="1168">
        <f t="shared" si="70"/>
        <v>3.9220067840117345E-3</v>
      </c>
      <c r="J365" s="1169">
        <v>131</v>
      </c>
      <c r="K365" s="1206">
        <v>49</v>
      </c>
      <c r="L365" s="2801">
        <v>211</v>
      </c>
      <c r="M365" s="2823"/>
      <c r="N365" s="1208">
        <f t="shared" si="76"/>
        <v>1.067160484705187</v>
      </c>
      <c r="O365" s="1209" t="s">
        <v>668</v>
      </c>
      <c r="P365" s="1136" t="str">
        <f>IFERROR(VLOOKUP(F365,Trainingsarten!$A$9:$N$84,12,FALSE),"")</f>
        <v/>
      </c>
      <c r="Q365" s="1137" t="s">
        <v>437</v>
      </c>
      <c r="R365" s="1086" t="str">
        <f>IFERROR(VLOOKUP(F365,Trainingsarten!$A$9:$N$84,14,FALSE),"")</f>
        <v/>
      </c>
      <c r="S365" s="1087">
        <f t="shared" si="75"/>
        <v>1.6106870229007633</v>
      </c>
      <c r="T365" s="1210">
        <f t="shared" si="72"/>
        <v>26.29481883729083</v>
      </c>
      <c r="U365" s="1089">
        <f t="shared" si="71"/>
        <v>29.077206045126626</v>
      </c>
      <c r="V365" s="1259">
        <f t="shared" si="73"/>
        <v>6.0806622645099289</v>
      </c>
      <c r="W365" s="3284">
        <f t="shared" si="77"/>
        <v>0.90431036587498659</v>
      </c>
      <c r="X365" s="3300"/>
      <c r="Y365" s="3316"/>
      <c r="AA365" s="3301"/>
      <c r="AB365" s="3409"/>
      <c r="AE365" s="1056"/>
    </row>
    <row r="366" spans="1:31" customFormat="1" ht="16" thickBot="1" x14ac:dyDescent="0.25">
      <c r="A366" s="140"/>
      <c r="B366" s="2983">
        <f>AVERAGE(W360:W366)</f>
        <v>0.82011858763565304</v>
      </c>
      <c r="C366" s="1631">
        <v>43464</v>
      </c>
      <c r="D366" s="1108"/>
      <c r="E366" s="1261"/>
      <c r="F366" s="2635"/>
      <c r="G366" s="1217"/>
      <c r="H366" s="1366" t="str">
        <f>IFERROR(VLOOKUP(F366,Trainingsarten!$A$9:$K$84,10,FALSE),"")</f>
        <v/>
      </c>
      <c r="I366" s="1363" t="str">
        <f t="shared" si="70"/>
        <v/>
      </c>
      <c r="J366" s="1367"/>
      <c r="K366" s="1221"/>
      <c r="L366" s="2802"/>
      <c r="M366" s="2824"/>
      <c r="N366" s="1223" t="str">
        <f t="shared" si="76"/>
        <v/>
      </c>
      <c r="O366" s="1224"/>
      <c r="P366" s="1225" t="str">
        <f>IFERROR(VLOOKUP(F366,Trainingsarten!$A$9:$N$84,12,FALSE),"")</f>
        <v/>
      </c>
      <c r="Q366" s="1226" t="s">
        <v>437</v>
      </c>
      <c r="R366" s="1105" t="str">
        <f>IFERROR(VLOOKUP(F366,Trainingsarten!$A$9:$N$84,14,FALSE),"")</f>
        <v/>
      </c>
      <c r="S366" s="1106" t="str">
        <f t="shared" si="75"/>
        <v/>
      </c>
      <c r="T366" s="1227">
        <f>T365+(K366-T365)/7</f>
        <v>22.538416146249283</v>
      </c>
      <c r="U366" s="1108">
        <f t="shared" si="71"/>
        <v>28.384891615480754</v>
      </c>
      <c r="V366" s="1109">
        <f t="shared" si="73"/>
        <v>2.7823872078357965</v>
      </c>
      <c r="W366" s="3287">
        <f t="shared" si="77"/>
        <v>0.79402861393901258</v>
      </c>
      <c r="X366" s="3302"/>
      <c r="Y366" s="3317"/>
      <c r="Z366" s="2597"/>
      <c r="AA366" s="3303"/>
      <c r="AB366" s="3409"/>
      <c r="AC366" s="3644"/>
      <c r="AD366" s="3644"/>
      <c r="AE366" s="1056"/>
    </row>
    <row r="367" spans="1:31" ht="16" thickBot="1" x14ac:dyDescent="0.25">
      <c r="B367" s="2977">
        <v>1</v>
      </c>
      <c r="C367" s="1632">
        <v>43465</v>
      </c>
      <c r="D367" s="1633">
        <v>193</v>
      </c>
      <c r="E367" s="1634"/>
      <c r="F367" s="2684" t="s">
        <v>830</v>
      </c>
      <c r="G367" s="1635">
        <v>3.1226851851851853E-2</v>
      </c>
      <c r="H367" s="1636">
        <v>10</v>
      </c>
      <c r="I367" s="1637">
        <f t="shared" si="70"/>
        <v>3.1226851851851854E-3</v>
      </c>
      <c r="J367" s="1638">
        <v>163</v>
      </c>
      <c r="K367" s="1639">
        <v>68</v>
      </c>
      <c r="L367" s="1640">
        <v>254</v>
      </c>
      <c r="M367" s="1646"/>
      <c r="N367" s="1641">
        <f t="shared" si="76"/>
        <v>1.0228238805970151</v>
      </c>
      <c r="O367" s="1642" t="s">
        <v>667</v>
      </c>
      <c r="P367" s="1643">
        <f>IFERROR(VLOOKUP(F367,Trainingsarten!$A$9:$N$84,12,FALSE),"")</f>
        <v>230.89999999999998</v>
      </c>
      <c r="Q367" s="1644" t="s">
        <v>437</v>
      </c>
      <c r="R367" s="1644">
        <f>IFERROR(VLOOKUP(F367,Trainingsarten!$A$9:$N$84,14,FALSE),"")</f>
        <v>254.10000000000002</v>
      </c>
      <c r="S367" s="1645">
        <f t="shared" si="75"/>
        <v>1.5582822085889572</v>
      </c>
      <c r="T367" s="1633">
        <v>29</v>
      </c>
      <c r="U367" s="1646">
        <v>29</v>
      </c>
      <c r="V367" s="1646">
        <v>0</v>
      </c>
      <c r="W367" s="3288">
        <f t="shared" si="77"/>
        <v>1</v>
      </c>
      <c r="X367" s="3300"/>
      <c r="Y367" s="3316"/>
      <c r="AA367" s="3301"/>
      <c r="AB367" s="3409"/>
      <c r="AE367" s="1056"/>
    </row>
    <row r="368" spans="1:31" x14ac:dyDescent="0.2">
      <c r="B368" s="2978" t="s">
        <v>626</v>
      </c>
      <c r="C368" s="1245">
        <v>43466</v>
      </c>
      <c r="D368" s="1111"/>
      <c r="E368" s="1112"/>
      <c r="F368" s="2685"/>
      <c r="G368" s="1647"/>
      <c r="H368" s="1648" t="str">
        <f>IFERROR(VLOOKUP(F368,Trainingsarten!$A$9:$K$84,10,FALSE),"")</f>
        <v/>
      </c>
      <c r="I368" s="1371"/>
      <c r="J368" s="1324"/>
      <c r="K368" s="1325" t="str">
        <f>IFERROR(VLOOKUP(F368,Trainingsarten!$A$9:$K$84,11,FALSE),"0")</f>
        <v>0</v>
      </c>
      <c r="L368" s="1326"/>
      <c r="M368" s="2831"/>
      <c r="N368" s="1119" t="str">
        <f>IFERROR((L368/68)/(1/(I368*24)/3.6),"")</f>
        <v/>
      </c>
      <c r="O368" s="1649"/>
      <c r="P368" s="1277" t="str">
        <f>IFERROR(VLOOKUP(F368,Trainingsarten!$A$9:$N$84,12,FALSE),"")</f>
        <v/>
      </c>
      <c r="Q368" s="1122" t="s">
        <v>437</v>
      </c>
      <c r="R368" s="1122" t="str">
        <f>IFERROR(VLOOKUP(F368,Trainingsarten!$A$9:$N$84,14,FALSE),"")</f>
        <v/>
      </c>
      <c r="S368" s="1125" t="str">
        <f t="shared" si="75"/>
        <v/>
      </c>
      <c r="T368" s="1650">
        <f>T367+($K$368-T367)/7</f>
        <v>24.857142857142858</v>
      </c>
      <c r="U368" s="1651">
        <f t="shared" ref="U368:U431" si="78">U367+(K368-U367)/42</f>
        <v>28.30952380952381</v>
      </c>
      <c r="V368" s="1278">
        <f t="shared" ref="V368:V431" si="79">U367-T367</f>
        <v>0</v>
      </c>
      <c r="W368" s="3286">
        <f t="shared" si="77"/>
        <v>0.87804878048780488</v>
      </c>
      <c r="X368" s="3300"/>
      <c r="Y368" s="3316"/>
      <c r="AA368" s="3301"/>
      <c r="AB368" s="3409"/>
      <c r="AE368" s="1056"/>
    </row>
    <row r="369" spans="2:31" ht="16" thickBot="1" x14ac:dyDescent="0.25">
      <c r="B369" s="2979">
        <f>SUM(H367:H373)</f>
        <v>47.5</v>
      </c>
      <c r="C369" s="1652">
        <v>43467</v>
      </c>
      <c r="D369" s="1491"/>
      <c r="E369" s="1492"/>
      <c r="F369" s="2686"/>
      <c r="G369" s="1653"/>
      <c r="H369" s="1654" t="str">
        <f>IFERROR(VLOOKUP(F369,Trainingsarten!$A$9:$K$84,10,FALSE),"")</f>
        <v/>
      </c>
      <c r="I369" s="1655"/>
      <c r="J369" s="1656"/>
      <c r="K369" s="1657" t="str">
        <f>IFERROR(VLOOKUP(F369,Trainingsarten!$A$9:$K$84,11,FALSE),"0")</f>
        <v>0</v>
      </c>
      <c r="L369" s="2806"/>
      <c r="M369" s="2829"/>
      <c r="N369" s="1408" t="str">
        <f>IFERROR((L369/68)/(1/(I369*24)/3.6),"")</f>
        <v/>
      </c>
      <c r="O369" s="1658"/>
      <c r="P369" s="1619" t="str">
        <f>IFERROR(VLOOKUP(F369,Trainingsarten!$A$9:$N$84,12,FALSE),"")</f>
        <v/>
      </c>
      <c r="Q369" s="1659" t="s">
        <v>437</v>
      </c>
      <c r="R369" s="1086" t="str">
        <f>IFERROR(VLOOKUP(F369,Trainingsarten!$A$9:$N$84,14,FALSE),"")</f>
        <v/>
      </c>
      <c r="S369" s="1087" t="str">
        <f t="shared" si="75"/>
        <v/>
      </c>
      <c r="T369" s="1660">
        <f t="shared" ref="T369:T432" si="80">T368+(K369-T368)/7</f>
        <v>21.306122448979593</v>
      </c>
      <c r="U369" s="1661">
        <f t="shared" si="78"/>
        <v>27.635487528344672</v>
      </c>
      <c r="V369" s="1088">
        <f t="shared" si="79"/>
        <v>3.4523809523809526</v>
      </c>
      <c r="W369" s="3284">
        <f t="shared" si="77"/>
        <v>0.7709696609161214</v>
      </c>
      <c r="X369" s="3300"/>
      <c r="Y369" s="3316"/>
      <c r="AA369" s="3301"/>
      <c r="AB369" s="3409"/>
      <c r="AE369" s="1056"/>
    </row>
    <row r="370" spans="2:31" x14ac:dyDescent="0.2">
      <c r="B370" s="2980" t="s">
        <v>628</v>
      </c>
      <c r="C370" s="1652">
        <v>43468</v>
      </c>
      <c r="D370" s="1491" t="s">
        <v>502</v>
      </c>
      <c r="E370" s="1492"/>
      <c r="F370" s="2686" t="s">
        <v>665</v>
      </c>
      <c r="G370" s="1653">
        <v>4.189814814814815E-2</v>
      </c>
      <c r="H370" s="1654">
        <v>10.7</v>
      </c>
      <c r="I370" s="1662">
        <f t="shared" ref="I370:I384" si="81">IFERROR(G370/H370,"")</f>
        <v>3.9157147802007623E-3</v>
      </c>
      <c r="J370" s="1656">
        <v>139</v>
      </c>
      <c r="K370" s="1657">
        <v>67</v>
      </c>
      <c r="L370" s="2806">
        <v>208</v>
      </c>
      <c r="M370" s="2829"/>
      <c r="N370" s="1408">
        <f t="shared" ref="N370:N401" si="82">IFERROR((L370/67)/(1/(I370*24)/3.6),"")</f>
        <v>1.0502999023573723</v>
      </c>
      <c r="O370" s="1658" t="s">
        <v>668</v>
      </c>
      <c r="P370" s="1619" t="str">
        <f>IFERROR(VLOOKUP(F370,Trainingsarten!$A$9:$N$84,12,FALSE),"")</f>
        <v/>
      </c>
      <c r="Q370" s="1659" t="s">
        <v>437</v>
      </c>
      <c r="R370" s="1086" t="str">
        <f>IFERROR(VLOOKUP(F370,Trainingsarten!$A$9:$N$84,14,FALSE),"")</f>
        <v/>
      </c>
      <c r="S370" s="1087">
        <f t="shared" si="75"/>
        <v>1.4964028776978417</v>
      </c>
      <c r="T370" s="1660">
        <f t="shared" si="80"/>
        <v>27.833819241982511</v>
      </c>
      <c r="U370" s="1661">
        <f t="shared" si="78"/>
        <v>28.572737825288847</v>
      </c>
      <c r="V370" s="1088">
        <f t="shared" si="79"/>
        <v>6.3293650793650791</v>
      </c>
      <c r="W370" s="3284">
        <f t="shared" si="77"/>
        <v>0.97413903463418394</v>
      </c>
      <c r="X370" s="3300"/>
      <c r="Y370" s="3316"/>
      <c r="AA370" s="3301"/>
      <c r="AB370" s="3409"/>
      <c r="AE370" s="1056"/>
    </row>
    <row r="371" spans="2:31" ht="16" thickBot="1" x14ac:dyDescent="0.25">
      <c r="B371" s="2981">
        <f>SUM(K367:K373)</f>
        <v>311</v>
      </c>
      <c r="C371" s="1652">
        <v>43469</v>
      </c>
      <c r="D371" s="1491"/>
      <c r="E371" s="1492"/>
      <c r="F371" s="2686"/>
      <c r="G371" s="1653"/>
      <c r="H371" s="1654" t="str">
        <f>IFERROR(VLOOKUP(F371,Trainingsarten!$A$9:$K$84,10,FALSE),"")</f>
        <v/>
      </c>
      <c r="I371" s="1662" t="str">
        <f t="shared" si="81"/>
        <v/>
      </c>
      <c r="J371" s="1656"/>
      <c r="K371" s="1657" t="str">
        <f>IFERROR(VLOOKUP(F371,Trainingsarten!$A$9:$K$84,11,FALSE),"0")</f>
        <v>0</v>
      </c>
      <c r="L371" s="2806"/>
      <c r="M371" s="2829"/>
      <c r="N371" s="1408" t="str">
        <f t="shared" si="82"/>
        <v/>
      </c>
      <c r="O371" s="1658"/>
      <c r="P371" s="1619" t="str">
        <f>IFERROR(VLOOKUP(F371,Trainingsarten!$A$9:$N$84,12,FALSE),"")</f>
        <v/>
      </c>
      <c r="Q371" s="1659" t="s">
        <v>437</v>
      </c>
      <c r="R371" s="1086" t="str">
        <f>IFERROR(VLOOKUP(F371,Trainingsarten!$A$9:$N$84,14,FALSE),"")</f>
        <v/>
      </c>
      <c r="S371" s="1087" t="str">
        <f t="shared" si="75"/>
        <v/>
      </c>
      <c r="T371" s="1660">
        <f t="shared" si="80"/>
        <v>23.857559350270723</v>
      </c>
      <c r="U371" s="1661">
        <f t="shared" si="78"/>
        <v>27.89243454373435</v>
      </c>
      <c r="V371" s="1088">
        <f t="shared" si="79"/>
        <v>0.73891858330633653</v>
      </c>
      <c r="W371" s="3284">
        <f t="shared" si="77"/>
        <v>0.85534159138611277</v>
      </c>
      <c r="X371" s="3300"/>
      <c r="Y371" s="3316"/>
      <c r="AA371" s="3301"/>
      <c r="AB371" s="3409"/>
      <c r="AE371" s="1056"/>
    </row>
    <row r="372" spans="2:31" x14ac:dyDescent="0.2">
      <c r="B372" s="2982" t="s">
        <v>761</v>
      </c>
      <c r="C372" s="1652">
        <v>43470</v>
      </c>
      <c r="D372" s="1491" t="s">
        <v>503</v>
      </c>
      <c r="E372" s="1492"/>
      <c r="F372" s="2686" t="s">
        <v>647</v>
      </c>
      <c r="G372" s="1653">
        <v>4.8194444444444449E-2</v>
      </c>
      <c r="H372" s="1654">
        <v>12.5</v>
      </c>
      <c r="I372" s="1662">
        <f t="shared" si="81"/>
        <v>3.8555555555555561E-3</v>
      </c>
      <c r="J372" s="1656">
        <v>143</v>
      </c>
      <c r="K372" s="1657">
        <v>79</v>
      </c>
      <c r="L372" s="2806">
        <v>215</v>
      </c>
      <c r="M372" s="2829"/>
      <c r="N372" s="1408">
        <f t="shared" si="82"/>
        <v>1.0689671641791048</v>
      </c>
      <c r="O372" s="1658" t="s">
        <v>668</v>
      </c>
      <c r="P372" s="1619" t="str">
        <f>IFERROR(VLOOKUP(F372,Trainingsarten!$A$9:$N$84,12,FALSE),"")</f>
        <v/>
      </c>
      <c r="Q372" s="1659" t="s">
        <v>437</v>
      </c>
      <c r="R372" s="1086" t="str">
        <f>IFERROR(VLOOKUP(F372,Trainingsarten!$A$9:$N$84,14,FALSE),"")</f>
        <v/>
      </c>
      <c r="S372" s="1087">
        <f t="shared" si="75"/>
        <v>1.5034965034965035</v>
      </c>
      <c r="T372" s="1660">
        <f t="shared" si="80"/>
        <v>31.735050871660619</v>
      </c>
      <c r="U372" s="1661">
        <f t="shared" si="78"/>
        <v>29.109281340312101</v>
      </c>
      <c r="V372" s="1088">
        <f t="shared" si="79"/>
        <v>4.0348751934636269</v>
      </c>
      <c r="W372" s="3284">
        <f t="shared" si="77"/>
        <v>1.0902038597466921</v>
      </c>
      <c r="X372" s="3300"/>
      <c r="Y372" s="3316"/>
      <c r="AA372" s="3301"/>
      <c r="AB372" s="3409"/>
      <c r="AE372" s="1056"/>
    </row>
    <row r="373" spans="2:31" ht="16" thickBot="1" x14ac:dyDescent="0.25">
      <c r="B373" s="2983">
        <f>AVERAGE(W367:W373)</f>
        <v>0.98642818065270432</v>
      </c>
      <c r="C373" s="1189">
        <v>43471</v>
      </c>
      <c r="D373" s="1258" t="s">
        <v>504</v>
      </c>
      <c r="E373" s="1365"/>
      <c r="F373" s="2651" t="s">
        <v>648</v>
      </c>
      <c r="G373" s="1663">
        <v>5.1898148148148145E-2</v>
      </c>
      <c r="H373" s="1664">
        <v>14.3</v>
      </c>
      <c r="I373" s="1235">
        <f t="shared" si="81"/>
        <v>3.6292411292411287E-3</v>
      </c>
      <c r="J373" s="1343">
        <v>142</v>
      </c>
      <c r="K373" s="1665">
        <v>97</v>
      </c>
      <c r="L373" s="2808">
        <v>224</v>
      </c>
      <c r="M373" s="2832"/>
      <c r="N373" s="1238">
        <f t="shared" si="82"/>
        <v>1.0483415092370316</v>
      </c>
      <c r="O373" s="1666" t="s">
        <v>667</v>
      </c>
      <c r="P373" s="1667" t="str">
        <f>IFERROR(VLOOKUP(F373,Trainingsarten!$A$9:$N$84,12,FALSE),"")</f>
        <v/>
      </c>
      <c r="Q373" s="1151" t="s">
        <v>437</v>
      </c>
      <c r="R373" s="1151" t="str">
        <f>IFERROR(VLOOKUP(F373,Trainingsarten!$A$9:$N$84,14,FALSE),"")</f>
        <v/>
      </c>
      <c r="S373" s="1106">
        <f t="shared" si="75"/>
        <v>1.5774647887323943</v>
      </c>
      <c r="T373" s="1258">
        <f t="shared" si="80"/>
        <v>41.058615032851961</v>
      </c>
      <c r="U373" s="1152">
        <f t="shared" si="78"/>
        <v>30.725727022685621</v>
      </c>
      <c r="V373" s="1152">
        <f t="shared" si="79"/>
        <v>-2.6257695313485172</v>
      </c>
      <c r="W373" s="3285">
        <f t="shared" si="77"/>
        <v>1.3362943373980147</v>
      </c>
      <c r="X373" s="3300"/>
      <c r="Y373" s="3316"/>
      <c r="AA373" s="3301"/>
      <c r="AB373" s="3409"/>
      <c r="AE373" s="1056"/>
    </row>
    <row r="374" spans="2:31" ht="16" thickBot="1" x14ac:dyDescent="0.25">
      <c r="B374" s="2977">
        <f>B367+1</f>
        <v>2</v>
      </c>
      <c r="C374" s="1190">
        <v>43472</v>
      </c>
      <c r="D374" s="1191"/>
      <c r="E374" s="1192"/>
      <c r="F374" s="2687"/>
      <c r="G374" s="1349"/>
      <c r="H374" s="1350" t="str">
        <f>IFERROR(VLOOKUP(F374,Trainingsarten!$A$9:$K$84,10,FALSE),"")</f>
        <v/>
      </c>
      <c r="I374" s="1368" t="str">
        <f t="shared" si="81"/>
        <v/>
      </c>
      <c r="J374" s="1354"/>
      <c r="K374" s="1353" t="str">
        <f>IFERROR(VLOOKUP(F374,Trainingsarten!$A$9:$K$84,11,FALSE),"0")</f>
        <v>0</v>
      </c>
      <c r="L374" s="1915"/>
      <c r="M374" s="2833"/>
      <c r="N374" s="1199" t="str">
        <f t="shared" si="82"/>
        <v/>
      </c>
      <c r="O374" s="1668"/>
      <c r="P374" s="1267" t="str">
        <f>IFERROR(VLOOKUP(F374,Trainingsarten!$A$9:$N$84,12,FALSE),"")</f>
        <v/>
      </c>
      <c r="Q374" s="1202" t="s">
        <v>437</v>
      </c>
      <c r="R374" s="1069" t="str">
        <f>IFERROR(VLOOKUP(F374,Trainingsarten!$A$9:$N$84,14,FALSE),"")</f>
        <v/>
      </c>
      <c r="S374" s="1070" t="str">
        <f t="shared" si="75"/>
        <v/>
      </c>
      <c r="T374" s="1669">
        <f t="shared" si="80"/>
        <v>35.193098599587394</v>
      </c>
      <c r="U374" s="1055">
        <f t="shared" si="78"/>
        <v>29.994162093574058</v>
      </c>
      <c r="V374" s="1268">
        <f t="shared" si="79"/>
        <v>-10.332888010166339</v>
      </c>
      <c r="W374" s="3286">
        <f t="shared" si="77"/>
        <v>1.1733316133250862</v>
      </c>
      <c r="X374" s="3300"/>
      <c r="Y374" s="3316"/>
      <c r="AA374" s="3301"/>
      <c r="AB374" s="3409"/>
      <c r="AE374" s="1056"/>
    </row>
    <row r="375" spans="2:31" x14ac:dyDescent="0.2">
      <c r="B375" s="2978" t="s">
        <v>626</v>
      </c>
      <c r="C375" s="1204">
        <v>43473</v>
      </c>
      <c r="D375" s="1089" t="s">
        <v>505</v>
      </c>
      <c r="E375" s="1205"/>
      <c r="F375" s="2688" t="s">
        <v>646</v>
      </c>
      <c r="G375" s="1357">
        <v>3.3888888888888885E-2</v>
      </c>
      <c r="H375" s="1358">
        <v>9.06</v>
      </c>
      <c r="I375" s="1369">
        <f t="shared" si="81"/>
        <v>3.7404954623497665E-3</v>
      </c>
      <c r="J375" s="1306">
        <v>143</v>
      </c>
      <c r="K375" s="1305">
        <v>59</v>
      </c>
      <c r="L375" s="2806">
        <v>220</v>
      </c>
      <c r="M375" s="2829"/>
      <c r="N375" s="1208">
        <f t="shared" si="82"/>
        <v>1.0611841454976771</v>
      </c>
      <c r="O375" s="1670" t="s">
        <v>487</v>
      </c>
      <c r="P375" s="1136" t="str">
        <f>IFERROR(VLOOKUP(F375,Trainingsarten!$A$9:$N$84,12,FALSE),"")</f>
        <v/>
      </c>
      <c r="Q375" s="1137" t="s">
        <v>437</v>
      </c>
      <c r="R375" s="1086" t="str">
        <f>IFERROR(VLOOKUP(F375,Trainingsarten!$A$9:$N$84,14,FALSE),"")</f>
        <v/>
      </c>
      <c r="S375" s="1087">
        <f t="shared" si="75"/>
        <v>1.5384615384615385</v>
      </c>
      <c r="T375" s="1232">
        <f t="shared" si="80"/>
        <v>38.594084513932053</v>
      </c>
      <c r="U375" s="1239">
        <f t="shared" si="78"/>
        <v>30.684777281822296</v>
      </c>
      <c r="V375" s="1210">
        <f t="shared" si="79"/>
        <v>-5.1989365060133359</v>
      </c>
      <c r="W375" s="3284">
        <f t="shared" si="77"/>
        <v>1.257759968712409</v>
      </c>
      <c r="X375" s="3300"/>
      <c r="Y375" s="3316"/>
      <c r="AA375" s="3301"/>
      <c r="AB375" s="3409"/>
      <c r="AE375" s="1056"/>
    </row>
    <row r="376" spans="2:31" ht="16" thickBot="1" x14ac:dyDescent="0.25">
      <c r="B376" s="2979">
        <f>SUM(H374:H380)</f>
        <v>38.260000000000005</v>
      </c>
      <c r="C376" s="1211">
        <v>43474</v>
      </c>
      <c r="D376" s="1089" t="s">
        <v>507</v>
      </c>
      <c r="E376" s="1205"/>
      <c r="F376" s="2688" t="s">
        <v>638</v>
      </c>
      <c r="G376" s="1357">
        <v>3.1192129629629629E-2</v>
      </c>
      <c r="H376" s="1358">
        <v>7.72</v>
      </c>
      <c r="I376" s="1369">
        <f t="shared" si="81"/>
        <v>4.0404312991748226E-3</v>
      </c>
      <c r="J376" s="1306">
        <v>136</v>
      </c>
      <c r="K376" s="1305">
        <v>47</v>
      </c>
      <c r="L376" s="2806">
        <v>205</v>
      </c>
      <c r="M376" s="2829"/>
      <c r="N376" s="1208">
        <f t="shared" si="82"/>
        <v>1.0681211816564846</v>
      </c>
      <c r="O376" s="1670" t="s">
        <v>487</v>
      </c>
      <c r="P376" s="1136" t="str">
        <f>IFERROR(VLOOKUP(F376,Trainingsarten!$A$9:$N$84,12,FALSE),"")</f>
        <v/>
      </c>
      <c r="Q376" s="1137" t="s">
        <v>437</v>
      </c>
      <c r="R376" s="1086" t="str">
        <f>IFERROR(VLOOKUP(F376,Trainingsarten!$A$9:$N$84,14,FALSE),"")</f>
        <v/>
      </c>
      <c r="S376" s="1087">
        <f t="shared" si="75"/>
        <v>1.5073529411764706</v>
      </c>
      <c r="T376" s="1232">
        <f t="shared" si="80"/>
        <v>39.794929583370333</v>
      </c>
      <c r="U376" s="1239">
        <f t="shared" si="78"/>
        <v>31.07323496558843</v>
      </c>
      <c r="V376" s="1088">
        <f t="shared" si="79"/>
        <v>-7.9093072321097573</v>
      </c>
      <c r="W376" s="3284">
        <f t="shared" si="77"/>
        <v>1.2806818996297169</v>
      </c>
      <c r="X376" s="3300"/>
      <c r="Y376" s="3316"/>
      <c r="AA376" s="3301"/>
      <c r="AB376" s="3409"/>
      <c r="AE376" s="1056"/>
    </row>
    <row r="377" spans="2:31" x14ac:dyDescent="0.2">
      <c r="B377" s="2980" t="s">
        <v>628</v>
      </c>
      <c r="C377" s="1204">
        <v>43475</v>
      </c>
      <c r="D377" s="1089"/>
      <c r="E377" s="1205"/>
      <c r="F377" s="2688"/>
      <c r="G377" s="1357"/>
      <c r="H377" s="1358" t="str">
        <f>IFERROR(VLOOKUP(F377,Trainingsarten!$A$9:$K$84,10,FALSE),"")</f>
        <v/>
      </c>
      <c r="I377" s="1369" t="str">
        <f t="shared" si="81"/>
        <v/>
      </c>
      <c r="J377" s="1306"/>
      <c r="K377" s="1305" t="str">
        <f>IFERROR(VLOOKUP(F377,Trainingsarten!$A$9:$K$84,11,FALSE),"0")</f>
        <v>0</v>
      </c>
      <c r="L377" s="2806"/>
      <c r="M377" s="2829"/>
      <c r="N377" s="1208" t="str">
        <f t="shared" si="82"/>
        <v/>
      </c>
      <c r="O377" s="1670"/>
      <c r="P377" s="1136" t="str">
        <f>IFERROR(VLOOKUP(F377,Trainingsarten!$A$9:$N$84,12,FALSE),"")</f>
        <v/>
      </c>
      <c r="Q377" s="1137" t="s">
        <v>437</v>
      </c>
      <c r="R377" s="1086" t="str">
        <f>IFERROR(VLOOKUP(F377,Trainingsarten!$A$9:$N$84,14,FALSE),"")</f>
        <v/>
      </c>
      <c r="S377" s="1087" t="str">
        <f t="shared" si="75"/>
        <v/>
      </c>
      <c r="T377" s="1232">
        <f t="shared" si="80"/>
        <v>34.109939642888854</v>
      </c>
      <c r="U377" s="1239">
        <f t="shared" si="78"/>
        <v>30.333396037836323</v>
      </c>
      <c r="V377" s="1088">
        <f t="shared" si="79"/>
        <v>-8.7216946177819032</v>
      </c>
      <c r="W377" s="3284">
        <f t="shared" si="77"/>
        <v>1.1245011801626783</v>
      </c>
      <c r="X377" s="3300"/>
      <c r="Y377" s="3316"/>
      <c r="AA377" s="3301"/>
      <c r="AB377" s="3409"/>
      <c r="AE377" s="1056"/>
    </row>
    <row r="378" spans="2:31" ht="16" thickBot="1" x14ac:dyDescent="0.25">
      <c r="B378" s="2981">
        <f>SUM(K374:K380)</f>
        <v>238</v>
      </c>
      <c r="C378" s="1211">
        <v>43476</v>
      </c>
      <c r="D378" s="1089"/>
      <c r="E378" s="1205"/>
      <c r="F378" s="2688"/>
      <c r="G378" s="1357"/>
      <c r="H378" s="1358" t="str">
        <f>IFERROR(VLOOKUP(F378,Trainingsarten!$A$9:$K$84,10,FALSE),"")</f>
        <v/>
      </c>
      <c r="I378" s="1369" t="str">
        <f t="shared" si="81"/>
        <v/>
      </c>
      <c r="J378" s="1306"/>
      <c r="K378" s="1305" t="str">
        <f>IFERROR(VLOOKUP(F378,Trainingsarten!$A$9:$K$84,11,FALSE),"0")</f>
        <v>0</v>
      </c>
      <c r="L378" s="2806"/>
      <c r="M378" s="2829"/>
      <c r="N378" s="1208" t="str">
        <f t="shared" si="82"/>
        <v/>
      </c>
      <c r="O378" s="1670"/>
      <c r="P378" s="1136" t="str">
        <f>IFERROR(VLOOKUP(F378,Trainingsarten!$A$9:$N$84,12,FALSE),"")</f>
        <v/>
      </c>
      <c r="Q378" s="1137" t="s">
        <v>437</v>
      </c>
      <c r="R378" s="1086" t="str">
        <f>IFERROR(VLOOKUP(F378,Trainingsarten!$A$9:$N$84,14,FALSE),"")</f>
        <v/>
      </c>
      <c r="S378" s="1087" t="str">
        <f t="shared" si="75"/>
        <v/>
      </c>
      <c r="T378" s="1232">
        <f t="shared" si="80"/>
        <v>29.237091122476158</v>
      </c>
      <c r="U378" s="1239">
        <f t="shared" si="78"/>
        <v>29.611172322649743</v>
      </c>
      <c r="V378" s="1088">
        <f t="shared" si="79"/>
        <v>-3.7765436050525309</v>
      </c>
      <c r="W378" s="3284">
        <f t="shared" si="77"/>
        <v>0.98736688989893695</v>
      </c>
      <c r="X378" s="3300"/>
      <c r="Y378" s="3316"/>
      <c r="AA378" s="3301"/>
      <c r="AB378" s="3409"/>
      <c r="AE378" s="1056"/>
    </row>
    <row r="379" spans="2:31" x14ac:dyDescent="0.2">
      <c r="B379" s="2982" t="s">
        <v>761</v>
      </c>
      <c r="C379" s="1211">
        <v>43477</v>
      </c>
      <c r="D379" s="1089" t="s">
        <v>509</v>
      </c>
      <c r="E379" s="1205"/>
      <c r="F379" s="2688" t="s">
        <v>665</v>
      </c>
      <c r="G379" s="1357">
        <v>3.5949074074074071E-2</v>
      </c>
      <c r="H379" s="1358">
        <v>9.2799999999999994</v>
      </c>
      <c r="I379" s="1369">
        <f t="shared" si="81"/>
        <v>3.8738226372924647E-3</v>
      </c>
      <c r="J379" s="1306">
        <v>142</v>
      </c>
      <c r="K379" s="1305">
        <v>58</v>
      </c>
      <c r="L379" s="2806">
        <v>212</v>
      </c>
      <c r="M379" s="2829"/>
      <c r="N379" s="1208">
        <f t="shared" si="82"/>
        <v>1.0590452907874421</v>
      </c>
      <c r="O379" s="1670" t="s">
        <v>668</v>
      </c>
      <c r="P379" s="1136" t="str">
        <f>IFERROR(VLOOKUP(F379,Trainingsarten!$A$9:$N$84,12,FALSE),"")</f>
        <v/>
      </c>
      <c r="Q379" s="1137" t="s">
        <v>437</v>
      </c>
      <c r="R379" s="1086" t="str">
        <f>IFERROR(VLOOKUP(F379,Trainingsarten!$A$9:$N$84,14,FALSE),"")</f>
        <v/>
      </c>
      <c r="S379" s="1087">
        <f t="shared" si="75"/>
        <v>1.4929577464788732</v>
      </c>
      <c r="T379" s="1232">
        <f t="shared" si="80"/>
        <v>33.346078104979561</v>
      </c>
      <c r="U379" s="1239">
        <f t="shared" si="78"/>
        <v>30.287096791158081</v>
      </c>
      <c r="V379" s="1088">
        <f t="shared" si="79"/>
        <v>0.3740812001735847</v>
      </c>
      <c r="W379" s="3284">
        <f t="shared" si="77"/>
        <v>1.100999489482746</v>
      </c>
      <c r="X379" s="3300"/>
      <c r="Y379" s="3316"/>
      <c r="AA379" s="3301"/>
      <c r="AB379" s="3409"/>
      <c r="AE379" s="1056"/>
    </row>
    <row r="380" spans="2:31" ht="16" thickBot="1" x14ac:dyDescent="0.25">
      <c r="B380" s="2983">
        <f>AVERAGE(W374:W380)</f>
        <v>1.1677781879176641</v>
      </c>
      <c r="C380" s="1260">
        <v>43478</v>
      </c>
      <c r="D380" s="1108" t="s">
        <v>510</v>
      </c>
      <c r="E380" s="1261"/>
      <c r="F380" s="2689" t="s">
        <v>640</v>
      </c>
      <c r="G380" s="1361">
        <v>4.9675925925925929E-2</v>
      </c>
      <c r="H380" s="1362">
        <v>12.2</v>
      </c>
      <c r="I380" s="1370">
        <f t="shared" si="81"/>
        <v>4.0717972070431095E-3</v>
      </c>
      <c r="J380" s="1317">
        <v>135</v>
      </c>
      <c r="K380" s="1316">
        <v>74</v>
      </c>
      <c r="L380" s="2807">
        <v>203</v>
      </c>
      <c r="M380" s="2830"/>
      <c r="N380" s="1223">
        <f t="shared" si="82"/>
        <v>1.0659114264741867</v>
      </c>
      <c r="O380" s="1671" t="s">
        <v>487</v>
      </c>
      <c r="P380" s="1225" t="str">
        <f>IFERROR(VLOOKUP(F380,Trainingsarten!$A$9:$N$84,12,FALSE),"")</f>
        <v/>
      </c>
      <c r="Q380" s="1226" t="s">
        <v>437</v>
      </c>
      <c r="R380" s="1105" t="str">
        <f>IFERROR(VLOOKUP(F380,Trainingsarten!$A$9:$N$84,14,FALSE),"")</f>
        <v/>
      </c>
      <c r="S380" s="1106">
        <f t="shared" si="75"/>
        <v>1.5037037037037038</v>
      </c>
      <c r="T380" s="1215">
        <f t="shared" si="80"/>
        <v>39.153781232839627</v>
      </c>
      <c r="U380" s="1227">
        <f t="shared" si="78"/>
        <v>31.327880200892412</v>
      </c>
      <c r="V380" s="1227">
        <f t="shared" si="79"/>
        <v>-3.0589813138214801</v>
      </c>
      <c r="W380" s="3287">
        <f t="shared" si="77"/>
        <v>1.2498062742120766</v>
      </c>
      <c r="X380" s="3300"/>
      <c r="Y380" s="3316"/>
      <c r="AA380" s="3301"/>
      <c r="AB380" s="3409"/>
      <c r="AE380" s="1056"/>
    </row>
    <row r="381" spans="2:31" ht="16" thickBot="1" x14ac:dyDescent="0.25">
      <c r="B381" s="2977">
        <f>B374+1</f>
        <v>3</v>
      </c>
      <c r="C381" s="1245">
        <v>43479</v>
      </c>
      <c r="D381" s="1111"/>
      <c r="E381" s="1112"/>
      <c r="F381" s="2690"/>
      <c r="G381" s="1647"/>
      <c r="H381" s="1648" t="str">
        <f>IFERROR(VLOOKUP(F381,Trainingsarten!$A$9:$K$84,10,FALSE),"")</f>
        <v/>
      </c>
      <c r="I381" s="1230" t="str">
        <f t="shared" si="81"/>
        <v/>
      </c>
      <c r="J381" s="1324"/>
      <c r="K381" s="1325" t="str">
        <f>IFERROR(VLOOKUP(F381,Trainingsarten!$A$9:$K$84,11,FALSE),"0")</f>
        <v>0</v>
      </c>
      <c r="L381" s="1326"/>
      <c r="M381" s="2831"/>
      <c r="N381" s="1119" t="str">
        <f t="shared" si="82"/>
        <v/>
      </c>
      <c r="O381" s="1649"/>
      <c r="P381" s="1277" t="str">
        <f>IFERROR(VLOOKUP(F381,Trainingsarten!$A$9:$N$84,12,FALSE),"")</f>
        <v/>
      </c>
      <c r="Q381" s="1122" t="s">
        <v>437</v>
      </c>
      <c r="R381" s="1122" t="str">
        <f>IFERROR(VLOOKUP(F381,Trainingsarten!$A$9:$N$84,14,FALSE),"")</f>
        <v/>
      </c>
      <c r="S381" s="1070" t="str">
        <f t="shared" si="75"/>
        <v/>
      </c>
      <c r="T381" s="1650">
        <f t="shared" si="80"/>
        <v>33.560383913862537</v>
      </c>
      <c r="U381" s="1651">
        <f t="shared" si="78"/>
        <v>30.581978291347355</v>
      </c>
      <c r="V381" s="1278">
        <f t="shared" si="79"/>
        <v>-7.8259010319472146</v>
      </c>
      <c r="W381" s="3283">
        <f t="shared" si="77"/>
        <v>1.0973908749179209</v>
      </c>
      <c r="X381" s="3300"/>
      <c r="Y381" s="3316"/>
      <c r="AA381" s="3301"/>
      <c r="AB381" s="3409"/>
      <c r="AE381" s="1056"/>
    </row>
    <row r="382" spans="2:31" x14ac:dyDescent="0.2">
      <c r="B382" s="2978" t="s">
        <v>626</v>
      </c>
      <c r="C382" s="1672">
        <v>43480</v>
      </c>
      <c r="D382" s="1673" t="s">
        <v>511</v>
      </c>
      <c r="E382" s="1674"/>
      <c r="F382" s="2691" t="s">
        <v>793</v>
      </c>
      <c r="G382" s="1675">
        <v>2.3136574074074077E-2</v>
      </c>
      <c r="H382" s="1676">
        <v>6.38</v>
      </c>
      <c r="I382" s="1677">
        <f t="shared" si="81"/>
        <v>3.6264222686636484E-3</v>
      </c>
      <c r="J382" s="1678">
        <v>144</v>
      </c>
      <c r="K382" s="1679">
        <v>46</v>
      </c>
      <c r="L382" s="2806">
        <v>219</v>
      </c>
      <c r="M382" s="2829"/>
      <c r="N382" s="1680">
        <f t="shared" si="82"/>
        <v>1.0241449492350163</v>
      </c>
      <c r="O382" s="1681" t="s">
        <v>667</v>
      </c>
      <c r="P382" s="1682" t="str">
        <f>IFERROR(VLOOKUP(F382,Trainingsarten!$A$9:$N$84,12,FALSE),"")</f>
        <v/>
      </c>
      <c r="Q382" s="1659" t="s">
        <v>437</v>
      </c>
      <c r="R382" s="1086" t="str">
        <f>IFERROR(VLOOKUP(F382,Trainingsarten!$A$9:$N$84,14,FALSE),"")</f>
        <v/>
      </c>
      <c r="S382" s="1087">
        <f t="shared" si="75"/>
        <v>1.5208333333333333</v>
      </c>
      <c r="T382" s="1660">
        <f t="shared" si="80"/>
        <v>35.337471926167886</v>
      </c>
      <c r="U382" s="1661">
        <f t="shared" si="78"/>
        <v>30.949074046315275</v>
      </c>
      <c r="V382" s="1088">
        <f t="shared" si="79"/>
        <v>-2.9784056225151829</v>
      </c>
      <c r="W382" s="3284">
        <f t="shared" si="77"/>
        <v>1.1417941575016226</v>
      </c>
      <c r="X382" s="3300"/>
      <c r="Y382" s="3316"/>
      <c r="AA382" s="3301"/>
      <c r="AB382" s="3409"/>
      <c r="AE382" s="1056"/>
    </row>
    <row r="383" spans="2:31" ht="16" thickBot="1" x14ac:dyDescent="0.25">
      <c r="B383" s="2979">
        <f>SUM(H381:H387)</f>
        <v>27.64</v>
      </c>
      <c r="C383" s="1652">
        <v>43481</v>
      </c>
      <c r="D383" s="1491" t="s">
        <v>512</v>
      </c>
      <c r="E383" s="1492"/>
      <c r="F383" s="2692" t="s">
        <v>665</v>
      </c>
      <c r="G383" s="1653">
        <v>4.4560185185185182E-2</v>
      </c>
      <c r="H383" s="1654">
        <v>11.4</v>
      </c>
      <c r="I383" s="1662">
        <f t="shared" si="81"/>
        <v>3.9087881741390511E-3</v>
      </c>
      <c r="J383" s="1656">
        <v>136</v>
      </c>
      <c r="K383" s="1657">
        <v>70</v>
      </c>
      <c r="L383" s="2806">
        <v>209</v>
      </c>
      <c r="M383" s="2829"/>
      <c r="N383" s="1408">
        <f t="shared" si="82"/>
        <v>1.0534825870646767</v>
      </c>
      <c r="O383" s="1658" t="s">
        <v>668</v>
      </c>
      <c r="P383" s="1619" t="str">
        <f>IFERROR(VLOOKUP(F383,Trainingsarten!$A$9:$N$84,12,FALSE),"")</f>
        <v/>
      </c>
      <c r="Q383" s="1659" t="s">
        <v>437</v>
      </c>
      <c r="R383" s="1086" t="str">
        <f>IFERROR(VLOOKUP(F383,Trainingsarten!$A$9:$N$84,14,FALSE),"")</f>
        <v/>
      </c>
      <c r="S383" s="1087">
        <f t="shared" si="75"/>
        <v>1.536764705882353</v>
      </c>
      <c r="T383" s="1683">
        <f t="shared" si="80"/>
        <v>40.289261651001048</v>
      </c>
      <c r="U383" s="1661">
        <f t="shared" si="78"/>
        <v>31.878857997593482</v>
      </c>
      <c r="V383" s="1088">
        <f t="shared" si="79"/>
        <v>-4.3883978798526115</v>
      </c>
      <c r="W383" s="3284">
        <f t="shared" si="77"/>
        <v>1.2638238689115671</v>
      </c>
      <c r="X383" s="3300"/>
      <c r="Y383" s="3316"/>
      <c r="AA383" s="3301"/>
      <c r="AB383" s="3409"/>
      <c r="AE383" s="1056"/>
    </row>
    <row r="384" spans="2:31" x14ac:dyDescent="0.2">
      <c r="B384" s="2980" t="s">
        <v>628</v>
      </c>
      <c r="C384" s="1652">
        <v>43482</v>
      </c>
      <c r="D384" s="1491"/>
      <c r="E384" s="1492"/>
      <c r="F384" s="2692"/>
      <c r="G384" s="1653"/>
      <c r="H384" s="1654" t="str">
        <f>IFERROR(VLOOKUP(F384,Trainingsarten!$A$9:$K$84,10,FALSE),"")</f>
        <v/>
      </c>
      <c r="I384" s="1662" t="str">
        <f t="shared" si="81"/>
        <v/>
      </c>
      <c r="J384" s="1656"/>
      <c r="K384" s="1657" t="str">
        <f>IFERROR(VLOOKUP(F384,Trainingsarten!$A$9:$K$84,11,FALSE),"0")</f>
        <v>0</v>
      </c>
      <c r="L384" s="2806"/>
      <c r="M384" s="2829"/>
      <c r="N384" s="1408" t="str">
        <f t="shared" si="82"/>
        <v/>
      </c>
      <c r="O384" s="1658"/>
      <c r="P384" s="1619" t="str">
        <f>IFERROR(VLOOKUP(F384,Trainingsarten!$A$9:$N$84,12,FALSE),"")</f>
        <v/>
      </c>
      <c r="Q384" s="1659" t="s">
        <v>437</v>
      </c>
      <c r="R384" s="1086" t="str">
        <f>IFERROR(VLOOKUP(F384,Trainingsarten!$A$9:$N$84,14,FALSE),"")</f>
        <v/>
      </c>
      <c r="S384" s="1087" t="str">
        <f t="shared" si="75"/>
        <v/>
      </c>
      <c r="T384" s="1683">
        <f t="shared" si="80"/>
        <v>34.533652843715181</v>
      </c>
      <c r="U384" s="1661">
        <f t="shared" si="78"/>
        <v>31.119837569079351</v>
      </c>
      <c r="V384" s="1088">
        <f t="shared" si="79"/>
        <v>-8.4104036534075668</v>
      </c>
      <c r="W384" s="3284">
        <f t="shared" si="77"/>
        <v>1.1096990068491808</v>
      </c>
      <c r="X384" s="3300"/>
      <c r="Y384" s="3316"/>
      <c r="AA384" s="3301"/>
      <c r="AB384" s="3409"/>
      <c r="AE384" s="1056"/>
    </row>
    <row r="385" spans="2:31" ht="16" thickBot="1" x14ac:dyDescent="0.25">
      <c r="B385" s="2981">
        <f>SUM(K381:K387)</f>
        <v>191</v>
      </c>
      <c r="C385" s="1652">
        <v>43483</v>
      </c>
      <c r="D385" s="1491"/>
      <c r="E385" s="1492"/>
      <c r="F385" s="2692"/>
      <c r="G385" s="1653"/>
      <c r="H385" s="1654"/>
      <c r="I385" s="1662"/>
      <c r="J385" s="1656"/>
      <c r="K385" s="1657" t="str">
        <f>IFERROR(VLOOKUP(F385,Trainingsarten!$A$9:$K$84,11,FALSE),"0")</f>
        <v>0</v>
      </c>
      <c r="L385" s="2806"/>
      <c r="M385" s="2829"/>
      <c r="N385" s="1408" t="str">
        <f t="shared" si="82"/>
        <v/>
      </c>
      <c r="O385" s="1658"/>
      <c r="P385" s="1619" t="str">
        <f>IFERROR(VLOOKUP(F385,Trainingsarten!$A$9:$N$84,12,FALSE),"")</f>
        <v/>
      </c>
      <c r="Q385" s="1659" t="s">
        <v>437</v>
      </c>
      <c r="R385" s="1086" t="str">
        <f>IFERROR(VLOOKUP(F385,Trainingsarten!$A$9:$N$84,14,FALSE),"")</f>
        <v/>
      </c>
      <c r="S385" s="1087" t="str">
        <f t="shared" si="75"/>
        <v/>
      </c>
      <c r="T385" s="1683">
        <f t="shared" si="80"/>
        <v>29.600273866041583</v>
      </c>
      <c r="U385" s="1661">
        <f t="shared" si="78"/>
        <v>30.378889055529843</v>
      </c>
      <c r="V385" s="1088">
        <f t="shared" si="79"/>
        <v>-3.4138152746358301</v>
      </c>
      <c r="W385" s="3284">
        <f t="shared" si="77"/>
        <v>0.97436985967245138</v>
      </c>
      <c r="X385" s="3300"/>
      <c r="Y385" s="3316"/>
      <c r="AA385" s="3301"/>
      <c r="AB385" s="3409"/>
      <c r="AE385" s="1056"/>
    </row>
    <row r="386" spans="2:31" x14ac:dyDescent="0.2">
      <c r="B386" s="2982" t="s">
        <v>761</v>
      </c>
      <c r="C386" s="1652">
        <v>43484</v>
      </c>
      <c r="D386" s="1491"/>
      <c r="E386" s="1492"/>
      <c r="F386" s="2692"/>
      <c r="G386" s="1653"/>
      <c r="H386" s="1654" t="str">
        <f>IFERROR(VLOOKUP(F386,Trainingsarten!$A$9:$K$84,10,FALSE),"")</f>
        <v/>
      </c>
      <c r="I386" s="1662" t="str">
        <f t="shared" ref="I386:I449" si="83">IFERROR(G386/H386,"")</f>
        <v/>
      </c>
      <c r="J386" s="1656"/>
      <c r="K386" s="1657" t="str">
        <f>IFERROR(VLOOKUP(F386,Trainingsarten!$A$9:$K$84,11,FALSE),"0")</f>
        <v>0</v>
      </c>
      <c r="L386" s="2806"/>
      <c r="M386" s="2829"/>
      <c r="N386" s="1408" t="str">
        <f t="shared" si="82"/>
        <v/>
      </c>
      <c r="O386" s="1658"/>
      <c r="P386" s="1619" t="str">
        <f>IFERROR(VLOOKUP(F386,Trainingsarten!$A$9:$N$84,12,FALSE),"")</f>
        <v/>
      </c>
      <c r="Q386" s="1659" t="s">
        <v>437</v>
      </c>
      <c r="R386" s="1086" t="str">
        <f>IFERROR(VLOOKUP(F386,Trainingsarten!$A$9:$N$84,14,FALSE),"")</f>
        <v/>
      </c>
      <c r="S386" s="1087" t="str">
        <f t="shared" si="75"/>
        <v/>
      </c>
      <c r="T386" s="1683">
        <f t="shared" si="80"/>
        <v>25.371663313749927</v>
      </c>
      <c r="U386" s="1661">
        <f t="shared" si="78"/>
        <v>29.655582173255322</v>
      </c>
      <c r="V386" s="1088">
        <f t="shared" si="79"/>
        <v>0.77861518948826003</v>
      </c>
      <c r="W386" s="3284">
        <f t="shared" si="77"/>
        <v>0.85554426702946951</v>
      </c>
      <c r="X386" s="3300"/>
      <c r="Y386" s="3316"/>
      <c r="AA386" s="3301"/>
      <c r="AB386" s="3409"/>
      <c r="AE386" s="1056"/>
    </row>
    <row r="387" spans="2:31" ht="16" thickBot="1" x14ac:dyDescent="0.25">
      <c r="B387" s="2983">
        <f>AVERAGE(W381:W387)</f>
        <v>1.0712551577324916</v>
      </c>
      <c r="C387" s="1684">
        <v>43485</v>
      </c>
      <c r="D387" s="1685" t="s">
        <v>513</v>
      </c>
      <c r="E387" s="1686" t="s">
        <v>836</v>
      </c>
      <c r="F387" s="2693" t="s">
        <v>158</v>
      </c>
      <c r="G387" s="1687">
        <v>2.9317129629629634E-2</v>
      </c>
      <c r="H387" s="1688">
        <v>9.86</v>
      </c>
      <c r="I387" s="1689">
        <f t="shared" si="83"/>
        <v>2.9733397190293749E-3</v>
      </c>
      <c r="J387" s="1690">
        <v>163</v>
      </c>
      <c r="K387" s="1691">
        <v>75</v>
      </c>
      <c r="L387" s="2811">
        <v>267</v>
      </c>
      <c r="M387" s="2836"/>
      <c r="N387" s="1692">
        <f t="shared" si="82"/>
        <v>1.023751930005147</v>
      </c>
      <c r="O387" s="1693" t="s">
        <v>668</v>
      </c>
      <c r="P387" s="1694" t="str">
        <f>IFERROR(VLOOKUP(F387,Trainingsarten!$A$9:$N$84,12,FALSE),"")</f>
        <v/>
      </c>
      <c r="Q387" s="1695" t="s">
        <v>437</v>
      </c>
      <c r="R387" s="1696" t="str">
        <f>IFERROR(VLOOKUP(F387,Trainingsarten!$A$9:$N$84,14,FALSE),"")</f>
        <v/>
      </c>
      <c r="S387" s="1106">
        <f t="shared" si="75"/>
        <v>1.638036809815951</v>
      </c>
      <c r="T387" s="1258">
        <f t="shared" si="80"/>
        <v>32.461425697499941</v>
      </c>
      <c r="U387" s="1152">
        <f t="shared" si="78"/>
        <v>30.735211169130196</v>
      </c>
      <c r="V387" s="1152">
        <f t="shared" si="79"/>
        <v>4.2839188595053947</v>
      </c>
      <c r="W387" s="3285">
        <f t="shared" si="77"/>
        <v>1.0561640692452283</v>
      </c>
      <c r="X387" s="3300"/>
      <c r="Y387" s="3316"/>
      <c r="AA387" s="3301"/>
      <c r="AB387" s="3409"/>
      <c r="AE387" s="1056"/>
    </row>
    <row r="388" spans="2:31" ht="16" thickBot="1" x14ac:dyDescent="0.25">
      <c r="B388" s="2977">
        <f>B381+1</f>
        <v>4</v>
      </c>
      <c r="C388" s="1241">
        <v>43486</v>
      </c>
      <c r="D388" s="1191"/>
      <c r="E388" s="1192"/>
      <c r="F388" s="2687"/>
      <c r="G388" s="1349"/>
      <c r="H388" s="1697" t="str">
        <f>IFERROR(VLOOKUP(F388,Trainingsarten!$A$9:$K$84,10,FALSE),"")</f>
        <v/>
      </c>
      <c r="I388" s="1368" t="str">
        <f t="shared" si="83"/>
        <v/>
      </c>
      <c r="J388" s="1354"/>
      <c r="K388" s="1353" t="str">
        <f>IFERROR(VLOOKUP(F388,Trainingsarten!$A$9:$K$84,11,FALSE),"0")</f>
        <v>0</v>
      </c>
      <c r="L388" s="1915"/>
      <c r="M388" s="2833"/>
      <c r="N388" s="1199" t="str">
        <f t="shared" si="82"/>
        <v/>
      </c>
      <c r="O388" s="1668"/>
      <c r="P388" s="1267" t="str">
        <f>IFERROR(VLOOKUP(F388,Trainingsarten!$A$9:$N$84,12,FALSE),"")</f>
        <v/>
      </c>
      <c r="Q388" s="1202" t="s">
        <v>437</v>
      </c>
      <c r="R388" s="1069" t="str">
        <f>IFERROR(VLOOKUP(F388,Trainingsarten!$A$9:$N$84,14,FALSE),"")</f>
        <v/>
      </c>
      <c r="S388" s="1070" t="str">
        <f t="shared" si="75"/>
        <v/>
      </c>
      <c r="T388" s="1669">
        <f t="shared" si="80"/>
        <v>27.824079169285664</v>
      </c>
      <c r="U388" s="1055">
        <f t="shared" si="78"/>
        <v>30.003420427008049</v>
      </c>
      <c r="V388" s="1268">
        <f t="shared" si="79"/>
        <v>-1.726214528369745</v>
      </c>
      <c r="W388" s="3286">
        <f t="shared" si="77"/>
        <v>0.92736357299581029</v>
      </c>
      <c r="X388" s="3300"/>
      <c r="Y388" s="3316"/>
      <c r="AA388" s="3301"/>
      <c r="AB388" s="3409"/>
      <c r="AE388" s="1056"/>
    </row>
    <row r="389" spans="2:31" x14ac:dyDescent="0.2">
      <c r="B389" s="2978" t="s">
        <v>626</v>
      </c>
      <c r="C389" s="1204">
        <v>43487</v>
      </c>
      <c r="D389" s="1089"/>
      <c r="E389" s="1205"/>
      <c r="F389" s="2688"/>
      <c r="G389" s="1357"/>
      <c r="H389" s="1358" t="str">
        <f>IFERROR(VLOOKUP(F389,Trainingsarten!$A$9:$K$84,10,FALSE),"")</f>
        <v/>
      </c>
      <c r="I389" s="1369" t="str">
        <f t="shared" si="83"/>
        <v/>
      </c>
      <c r="J389" s="1306"/>
      <c r="K389" s="1305" t="str">
        <f>IFERROR(VLOOKUP(F389,Trainingsarten!$A$9:$K$84,11,FALSE),"0")</f>
        <v>0</v>
      </c>
      <c r="L389" s="2806"/>
      <c r="M389" s="2829"/>
      <c r="N389" s="1208" t="str">
        <f t="shared" si="82"/>
        <v/>
      </c>
      <c r="O389" s="1670"/>
      <c r="P389" s="1136" t="str">
        <f>IFERROR(VLOOKUP(F389,Trainingsarten!$A$9:$N$84,12,FALSE),"")</f>
        <v/>
      </c>
      <c r="Q389" s="1137" t="s">
        <v>437</v>
      </c>
      <c r="R389" s="1086" t="str">
        <f>IFERROR(VLOOKUP(F389,Trainingsarten!$A$9:$N$84,14,FALSE),"")</f>
        <v/>
      </c>
      <c r="S389" s="1087" t="str">
        <f t="shared" si="75"/>
        <v/>
      </c>
      <c r="T389" s="1232">
        <f t="shared" si="80"/>
        <v>23.849210716530568</v>
      </c>
      <c r="U389" s="1239">
        <f t="shared" si="78"/>
        <v>29.289053273984049</v>
      </c>
      <c r="V389" s="1210">
        <f t="shared" si="79"/>
        <v>2.1793412577223847</v>
      </c>
      <c r="W389" s="3284">
        <f t="shared" si="77"/>
        <v>0.81427045433778455</v>
      </c>
      <c r="X389" s="3300"/>
      <c r="Y389" s="3316"/>
      <c r="AA389" s="3301"/>
      <c r="AB389" s="3409"/>
      <c r="AE389" s="1056"/>
    </row>
    <row r="390" spans="2:31" ht="16" thickBot="1" x14ac:dyDescent="0.25">
      <c r="B390" s="2979">
        <f>SUM(H388:H394)</f>
        <v>41</v>
      </c>
      <c r="C390" s="1211">
        <v>43488</v>
      </c>
      <c r="D390" s="1089" t="s">
        <v>514</v>
      </c>
      <c r="E390" s="1205"/>
      <c r="F390" s="2688" t="s">
        <v>665</v>
      </c>
      <c r="G390" s="1357">
        <v>4.4166666666666667E-2</v>
      </c>
      <c r="H390" s="1358">
        <v>11.3</v>
      </c>
      <c r="I390" s="1369">
        <f t="shared" si="83"/>
        <v>3.9085545722713864E-3</v>
      </c>
      <c r="J390" s="1306">
        <v>135</v>
      </c>
      <c r="K390" s="1305">
        <v>68</v>
      </c>
      <c r="L390" s="2806">
        <v>211</v>
      </c>
      <c r="M390" s="2829"/>
      <c r="N390" s="1208">
        <f t="shared" si="82"/>
        <v>1.0635001981244221</v>
      </c>
      <c r="O390" s="1670" t="s">
        <v>668</v>
      </c>
      <c r="P390" s="1136" t="str">
        <f>IFERROR(VLOOKUP(F390,Trainingsarten!$A$9:$N$84,12,FALSE),"")</f>
        <v/>
      </c>
      <c r="Q390" s="1137" t="s">
        <v>437</v>
      </c>
      <c r="R390" s="1086" t="str">
        <f>IFERROR(VLOOKUP(F390,Trainingsarten!$A$9:$N$84,14,FALSE),"")</f>
        <v/>
      </c>
      <c r="S390" s="1087">
        <f t="shared" si="75"/>
        <v>1.5629629629629629</v>
      </c>
      <c r="T390" s="1232">
        <f t="shared" si="80"/>
        <v>30.156466328454773</v>
      </c>
      <c r="U390" s="1239">
        <f t="shared" si="78"/>
        <v>30.210742481746333</v>
      </c>
      <c r="V390" s="1210">
        <f t="shared" si="79"/>
        <v>5.4398425574534812</v>
      </c>
      <c r="W390" s="3284">
        <f t="shared" si="77"/>
        <v>0.99820341544653013</v>
      </c>
      <c r="X390" s="3300"/>
      <c r="Y390" s="3316"/>
      <c r="AA390" s="3301"/>
      <c r="AB390" s="3409"/>
      <c r="AE390" s="1056"/>
    </row>
    <row r="391" spans="2:31" x14ac:dyDescent="0.2">
      <c r="B391" s="2980" t="s">
        <v>628</v>
      </c>
      <c r="C391" s="1211">
        <v>43489</v>
      </c>
      <c r="D391" s="1089"/>
      <c r="E391" s="1205"/>
      <c r="F391" s="2688"/>
      <c r="G391" s="1357"/>
      <c r="H391" s="1358" t="str">
        <f>IFERROR(VLOOKUP(F391,Trainingsarten!$A$9:$K$84,10,FALSE),"")</f>
        <v/>
      </c>
      <c r="I391" s="1369" t="str">
        <f t="shared" si="83"/>
        <v/>
      </c>
      <c r="J391" s="1306"/>
      <c r="K391" s="1305" t="str">
        <f>IFERROR(VLOOKUP(F391,Trainingsarten!$A$9:$K$84,11,FALSE),"0")</f>
        <v>0</v>
      </c>
      <c r="L391" s="2806"/>
      <c r="M391" s="2829"/>
      <c r="N391" s="1208" t="str">
        <f t="shared" si="82"/>
        <v/>
      </c>
      <c r="O391" s="1670"/>
      <c r="P391" s="1136" t="str">
        <f>IFERROR(VLOOKUP(F391,Trainingsarten!$A$9:$N$84,12,FALSE),"")</f>
        <v/>
      </c>
      <c r="Q391" s="1137" t="s">
        <v>437</v>
      </c>
      <c r="R391" s="1086" t="str">
        <f>IFERROR(VLOOKUP(F391,Trainingsarten!$A$9:$N$84,14,FALSE),"")</f>
        <v/>
      </c>
      <c r="S391" s="1087" t="str">
        <f t="shared" si="75"/>
        <v/>
      </c>
      <c r="T391" s="1232">
        <f t="shared" si="80"/>
        <v>25.84839971010409</v>
      </c>
      <c r="U391" s="1239">
        <f t="shared" si="78"/>
        <v>29.491439089323801</v>
      </c>
      <c r="V391" s="1210">
        <f t="shared" si="79"/>
        <v>5.4276153291560547E-2</v>
      </c>
      <c r="W391" s="3284">
        <f t="shared" si="77"/>
        <v>0.87647129161158743</v>
      </c>
      <c r="X391" s="3300"/>
      <c r="Y391" s="3316"/>
      <c r="AA391" s="3301"/>
      <c r="AB391" s="3409"/>
      <c r="AE391" s="1056"/>
    </row>
    <row r="392" spans="2:31" ht="16" thickBot="1" x14ac:dyDescent="0.25">
      <c r="B392" s="2981">
        <f>SUM(K388:K394)</f>
        <v>262</v>
      </c>
      <c r="C392" s="1211">
        <v>43490</v>
      </c>
      <c r="D392" s="1089" t="s">
        <v>515</v>
      </c>
      <c r="E392" s="1205"/>
      <c r="F392" s="2688" t="s">
        <v>647</v>
      </c>
      <c r="G392" s="1357">
        <v>4.3518518518518519E-2</v>
      </c>
      <c r="H392" s="1358">
        <v>12.5</v>
      </c>
      <c r="I392" s="1369">
        <f t="shared" si="83"/>
        <v>3.4814814814814817E-3</v>
      </c>
      <c r="J392" s="1306">
        <v>149</v>
      </c>
      <c r="K392" s="1305">
        <v>86</v>
      </c>
      <c r="L392" s="2806">
        <v>234</v>
      </c>
      <c r="M392" s="2829"/>
      <c r="N392" s="1208">
        <f t="shared" si="82"/>
        <v>1.0505552238805971</v>
      </c>
      <c r="O392" s="1670" t="s">
        <v>668</v>
      </c>
      <c r="P392" s="1136" t="str">
        <f>IFERROR(VLOOKUP(F392,Trainingsarten!$A$9:$N$84,12,FALSE),"")</f>
        <v/>
      </c>
      <c r="Q392" s="1137" t="s">
        <v>437</v>
      </c>
      <c r="R392" s="1086" t="str">
        <f>IFERROR(VLOOKUP(F392,Trainingsarten!$A$9:$N$84,14,FALSE),"")</f>
        <v/>
      </c>
      <c r="S392" s="1087">
        <f t="shared" si="75"/>
        <v>1.5704697986577181</v>
      </c>
      <c r="T392" s="1232">
        <f t="shared" si="80"/>
        <v>34.44148546580351</v>
      </c>
      <c r="U392" s="1239">
        <f t="shared" si="78"/>
        <v>30.836881015768473</v>
      </c>
      <c r="V392" s="1210">
        <f t="shared" si="79"/>
        <v>3.6430393792197115</v>
      </c>
      <c r="W392" s="3284">
        <f t="shared" si="77"/>
        <v>1.1168926406075834</v>
      </c>
      <c r="X392" s="3300"/>
      <c r="Y392" s="3316"/>
      <c r="AA392" s="3301"/>
      <c r="AB392" s="3409"/>
      <c r="AE392" s="1056"/>
    </row>
    <row r="393" spans="2:31" x14ac:dyDescent="0.2">
      <c r="B393" s="2982" t="s">
        <v>761</v>
      </c>
      <c r="C393" s="1211">
        <v>43491</v>
      </c>
      <c r="D393" s="1089"/>
      <c r="E393" s="1205"/>
      <c r="F393" s="2688"/>
      <c r="G393" s="1357"/>
      <c r="H393" s="1358" t="str">
        <f>IFERROR(VLOOKUP(F393,Trainingsarten!$A$9:$K$84,10,FALSE),"")</f>
        <v/>
      </c>
      <c r="I393" s="1369" t="str">
        <f t="shared" si="83"/>
        <v/>
      </c>
      <c r="J393" s="1306"/>
      <c r="K393" s="1305" t="str">
        <f>IFERROR(VLOOKUP(F393,Trainingsarten!$A$9:$K$84,11,FALSE),"0")</f>
        <v>0</v>
      </c>
      <c r="L393" s="2806"/>
      <c r="M393" s="2829"/>
      <c r="N393" s="1208" t="str">
        <f t="shared" si="82"/>
        <v/>
      </c>
      <c r="O393" s="1670"/>
      <c r="P393" s="1136" t="str">
        <f>IFERROR(VLOOKUP(F393,Trainingsarten!$A$9:$N$84,12,FALSE),"")</f>
        <v/>
      </c>
      <c r="Q393" s="1137" t="s">
        <v>437</v>
      </c>
      <c r="R393" s="1086" t="str">
        <f>IFERROR(VLOOKUP(F393,Trainingsarten!$A$9:$N$84,14,FALSE),"")</f>
        <v/>
      </c>
      <c r="S393" s="1087" t="str">
        <f t="shared" si="75"/>
        <v/>
      </c>
      <c r="T393" s="1232">
        <f t="shared" si="80"/>
        <v>29.521273256403006</v>
      </c>
      <c r="U393" s="1239">
        <f t="shared" si="78"/>
        <v>30.102669563012082</v>
      </c>
      <c r="V393" s="1210">
        <f t="shared" si="79"/>
        <v>-3.6046044500350369</v>
      </c>
      <c r="W393" s="3284">
        <f t="shared" si="77"/>
        <v>0.98068622102129266</v>
      </c>
      <c r="X393" s="3300"/>
      <c r="Y393" s="3316"/>
      <c r="AA393" s="3301"/>
      <c r="AB393" s="3409"/>
      <c r="AE393" s="1056"/>
    </row>
    <row r="394" spans="2:31" ht="16" thickBot="1" x14ac:dyDescent="0.25">
      <c r="B394" s="2983">
        <f>AVERAGE(W388:W394)</f>
        <v>0.99835384561430451</v>
      </c>
      <c r="C394" s="1260">
        <v>43492</v>
      </c>
      <c r="D394" s="1108" t="s">
        <v>516</v>
      </c>
      <c r="E394" s="1261"/>
      <c r="F394" s="2689" t="s">
        <v>747</v>
      </c>
      <c r="G394" s="1361">
        <v>6.5335648148148143E-2</v>
      </c>
      <c r="H394" s="1362">
        <v>17.2</v>
      </c>
      <c r="I394" s="1370">
        <f t="shared" si="83"/>
        <v>3.798584194659776E-3</v>
      </c>
      <c r="J394" s="1317">
        <v>134</v>
      </c>
      <c r="K394" s="1316">
        <v>108</v>
      </c>
      <c r="L394" s="2807">
        <v>214</v>
      </c>
      <c r="M394" s="2830"/>
      <c r="N394" s="1223">
        <f t="shared" si="82"/>
        <v>1.0482731690385283</v>
      </c>
      <c r="O394" s="1671" t="s">
        <v>668</v>
      </c>
      <c r="P394" s="1225" t="str">
        <f>IFERROR(VLOOKUP(F394,Trainingsarten!$A$9:$N$84,12,FALSE),"")</f>
        <v/>
      </c>
      <c r="Q394" s="1226" t="s">
        <v>437</v>
      </c>
      <c r="R394" s="1105" t="str">
        <f>IFERROR(VLOOKUP(F394,Trainingsarten!$A$9:$N$84,14,FALSE),"")</f>
        <v/>
      </c>
      <c r="S394" s="1106">
        <f t="shared" si="75"/>
        <v>1.5970149253731343</v>
      </c>
      <c r="T394" s="1215">
        <f t="shared" si="80"/>
        <v>40.732519934059724</v>
      </c>
      <c r="U394" s="1227">
        <f t="shared" si="78"/>
        <v>31.957367906749891</v>
      </c>
      <c r="V394" s="1227">
        <f t="shared" si="79"/>
        <v>0.58139630660907571</v>
      </c>
      <c r="W394" s="3287">
        <f t="shared" si="77"/>
        <v>1.2745893232795429</v>
      </c>
      <c r="X394" s="3300"/>
      <c r="Y394" s="3316"/>
      <c r="AA394" s="3301"/>
      <c r="AB394" s="3409"/>
      <c r="AE394" s="1056"/>
    </row>
    <row r="395" spans="2:31" ht="16" thickBot="1" x14ac:dyDescent="0.25">
      <c r="B395" s="2977">
        <f>B388+1</f>
        <v>5</v>
      </c>
      <c r="C395" s="1245">
        <v>43493</v>
      </c>
      <c r="D395" s="1111"/>
      <c r="E395" s="1112"/>
      <c r="F395" s="2690"/>
      <c r="G395" s="1647"/>
      <c r="H395" s="1648" t="str">
        <f>IFERROR(VLOOKUP(F395,Trainingsarten!$A$9:$K$84,10,FALSE),"")</f>
        <v/>
      </c>
      <c r="I395" s="1230" t="str">
        <f t="shared" si="83"/>
        <v/>
      </c>
      <c r="J395" s="1324"/>
      <c r="K395" s="1325" t="str">
        <f>IFERROR(VLOOKUP(F395,Trainingsarten!$A$9:$K$84,11,FALSE),"0")</f>
        <v>0</v>
      </c>
      <c r="L395" s="1326"/>
      <c r="M395" s="2831"/>
      <c r="N395" s="1119" t="str">
        <f t="shared" si="82"/>
        <v/>
      </c>
      <c r="O395" s="1649"/>
      <c r="P395" s="1277" t="str">
        <f>IFERROR(VLOOKUP(F395,Trainingsarten!$A$9:$N$84,12,FALSE),"")</f>
        <v/>
      </c>
      <c r="Q395" s="1122" t="s">
        <v>437</v>
      </c>
      <c r="R395" s="1122" t="str">
        <f>IFERROR(VLOOKUP(F395,Trainingsarten!$A$9:$N$84,14,FALSE),"")</f>
        <v/>
      </c>
      <c r="S395" s="1070" t="str">
        <f t="shared" ref="S395:S458" si="84">IFERROR(L395/J395,"")</f>
        <v/>
      </c>
      <c r="T395" s="1650">
        <f t="shared" si="80"/>
        <v>34.913588514908334</v>
      </c>
      <c r="U395" s="1651">
        <f t="shared" si="78"/>
        <v>31.196478194684417</v>
      </c>
      <c r="V395" s="1278">
        <f t="shared" si="79"/>
        <v>-8.7751520273098329</v>
      </c>
      <c r="W395" s="3283">
        <f t="shared" si="77"/>
        <v>1.1191516009283791</v>
      </c>
      <c r="X395" s="3300"/>
      <c r="Y395" s="3316"/>
      <c r="AA395" s="3301"/>
      <c r="AB395" s="3409"/>
      <c r="AE395" s="1056"/>
    </row>
    <row r="396" spans="2:31" x14ac:dyDescent="0.2">
      <c r="B396" s="2978" t="s">
        <v>626</v>
      </c>
      <c r="C396" s="1698">
        <v>43494</v>
      </c>
      <c r="D396" s="1699" t="s">
        <v>518</v>
      </c>
      <c r="E396" s="1700"/>
      <c r="F396" s="2694" t="s">
        <v>652</v>
      </c>
      <c r="G396" s="1701">
        <v>3.9120370370370368E-2</v>
      </c>
      <c r="H396" s="1702">
        <v>11.2</v>
      </c>
      <c r="I396" s="1703">
        <f t="shared" si="83"/>
        <v>3.4928902116402117E-3</v>
      </c>
      <c r="J396" s="1704">
        <v>152</v>
      </c>
      <c r="K396" s="1705">
        <v>80</v>
      </c>
      <c r="L396" s="2806">
        <v>227</v>
      </c>
      <c r="M396" s="2829"/>
      <c r="N396" s="1706">
        <f t="shared" si="82"/>
        <v>1.0224680170575693</v>
      </c>
      <c r="O396" s="1707" t="s">
        <v>667</v>
      </c>
      <c r="P396" s="1708" t="str">
        <f>IFERROR(VLOOKUP(F396,Trainingsarten!$A$9:$N$84,12,FALSE),"")</f>
        <v/>
      </c>
      <c r="Q396" s="1283" t="s">
        <v>437</v>
      </c>
      <c r="R396" s="1086" t="str">
        <f>IFERROR(VLOOKUP(F396,Trainingsarten!$A$9:$N$84,14,FALSE),"")</f>
        <v/>
      </c>
      <c r="S396" s="1087">
        <f t="shared" si="84"/>
        <v>1.493421052631579</v>
      </c>
      <c r="T396" s="1709">
        <f t="shared" si="80"/>
        <v>41.354504441350002</v>
      </c>
      <c r="U396" s="1710">
        <f t="shared" si="78"/>
        <v>32.35846680909669</v>
      </c>
      <c r="V396" s="1088">
        <f t="shared" si="79"/>
        <v>-3.7171103202239166</v>
      </c>
      <c r="W396" s="3284">
        <f t="shared" si="77"/>
        <v>1.2780118627166948</v>
      </c>
      <c r="X396" s="3300"/>
      <c r="Y396" s="3316"/>
      <c r="AA396" s="3301"/>
      <c r="AB396" s="3409"/>
      <c r="AE396" s="1056"/>
    </row>
    <row r="397" spans="2:31" ht="16" thickBot="1" x14ac:dyDescent="0.25">
      <c r="B397" s="2979">
        <f>SUM(H395:H401)</f>
        <v>45.949999999999996</v>
      </c>
      <c r="C397" s="1211">
        <v>43495</v>
      </c>
      <c r="D397" s="1699" t="s">
        <v>519</v>
      </c>
      <c r="E397" s="1700"/>
      <c r="F397" s="2694" t="s">
        <v>665</v>
      </c>
      <c r="G397" s="1701">
        <v>4.2534722222222217E-2</v>
      </c>
      <c r="H397" s="1702">
        <v>10.7</v>
      </c>
      <c r="I397" s="1703">
        <f t="shared" si="83"/>
        <v>3.975207684319834E-3</v>
      </c>
      <c r="J397" s="1704">
        <v>137</v>
      </c>
      <c r="K397" s="1705">
        <v>64</v>
      </c>
      <c r="L397" s="2806">
        <v>208</v>
      </c>
      <c r="M397" s="2829"/>
      <c r="N397" s="1706">
        <f t="shared" si="82"/>
        <v>1.0662574975589345</v>
      </c>
      <c r="O397" s="1707" t="s">
        <v>487</v>
      </c>
      <c r="P397" s="1708" t="str">
        <f>IFERROR(VLOOKUP(F397,Trainingsarten!$A$9:$N$84,12,FALSE),"")</f>
        <v/>
      </c>
      <c r="Q397" s="1283" t="s">
        <v>437</v>
      </c>
      <c r="R397" s="1086" t="str">
        <f>IFERROR(VLOOKUP(F397,Trainingsarten!$A$9:$N$84,14,FALSE),"")</f>
        <v/>
      </c>
      <c r="S397" s="1087">
        <f t="shared" si="84"/>
        <v>1.5182481751824817</v>
      </c>
      <c r="T397" s="1709">
        <f t="shared" si="80"/>
        <v>44.589575235442858</v>
      </c>
      <c r="U397" s="1710">
        <f t="shared" si="78"/>
        <v>33.111836646975341</v>
      </c>
      <c r="V397" s="1088">
        <f t="shared" si="79"/>
        <v>-8.9960376322533122</v>
      </c>
      <c r="W397" s="3284">
        <f t="shared" si="77"/>
        <v>1.3466355162003969</v>
      </c>
      <c r="X397" s="3300"/>
      <c r="Y397" s="3316"/>
      <c r="AA397" s="3301"/>
      <c r="AB397" s="3409"/>
      <c r="AE397" s="1056"/>
    </row>
    <row r="398" spans="2:31" x14ac:dyDescent="0.2">
      <c r="B398" s="2980" t="s">
        <v>628</v>
      </c>
      <c r="C398" s="1211">
        <v>43496</v>
      </c>
      <c r="D398" s="1699"/>
      <c r="E398" s="1700"/>
      <c r="F398" s="2694"/>
      <c r="G398" s="1701"/>
      <c r="H398" s="1702" t="str">
        <f>IFERROR(VLOOKUP(F398,Trainingsarten!$A$9:$K$84,10,FALSE),"")</f>
        <v/>
      </c>
      <c r="I398" s="1703" t="str">
        <f t="shared" si="83"/>
        <v/>
      </c>
      <c r="J398" s="1704"/>
      <c r="K398" s="1705" t="str">
        <f>IFERROR(VLOOKUP(F398,Trainingsarten!$A$9:$K$84,11,FALSE),"0")</f>
        <v>0</v>
      </c>
      <c r="L398" s="2806"/>
      <c r="M398" s="2829"/>
      <c r="N398" s="1706" t="str">
        <f t="shared" si="82"/>
        <v/>
      </c>
      <c r="O398" s="1707"/>
      <c r="P398" s="1708" t="str">
        <f>IFERROR(VLOOKUP(F398,Trainingsarten!$A$9:$N$84,12,FALSE),"")</f>
        <v/>
      </c>
      <c r="Q398" s="1283" t="s">
        <v>437</v>
      </c>
      <c r="R398" s="1086" t="str">
        <f>IFERROR(VLOOKUP(F398,Trainingsarten!$A$9:$N$84,14,FALSE),"")</f>
        <v/>
      </c>
      <c r="S398" s="1087" t="str">
        <f t="shared" si="84"/>
        <v/>
      </c>
      <c r="T398" s="1709">
        <f t="shared" si="80"/>
        <v>38.219635916093878</v>
      </c>
      <c r="U398" s="1710">
        <f t="shared" si="78"/>
        <v>32.323459583952122</v>
      </c>
      <c r="V398" s="1088">
        <f t="shared" si="79"/>
        <v>-11.477738588467517</v>
      </c>
      <c r="W398" s="3284">
        <f t="shared" si="77"/>
        <v>1.1824116727613241</v>
      </c>
      <c r="X398" s="3300"/>
      <c r="Y398" s="3316"/>
      <c r="AA398" s="3301"/>
      <c r="AB398" s="3409"/>
      <c r="AE398" s="1056"/>
    </row>
    <row r="399" spans="2:31" ht="16" thickBot="1" x14ac:dyDescent="0.25">
      <c r="B399" s="2981">
        <f>SUM(K395:K401)</f>
        <v>300</v>
      </c>
      <c r="C399" s="1211">
        <v>43497</v>
      </c>
      <c r="D399" s="1699" t="s">
        <v>520</v>
      </c>
      <c r="E399" s="1700"/>
      <c r="F399" s="2694" t="s">
        <v>647</v>
      </c>
      <c r="G399" s="1701">
        <v>4.387731481481482E-2</v>
      </c>
      <c r="H399" s="1702">
        <v>12.45</v>
      </c>
      <c r="I399" s="1703">
        <f t="shared" si="83"/>
        <v>3.5242823144429575E-3</v>
      </c>
      <c r="J399" s="1704">
        <v>145</v>
      </c>
      <c r="K399" s="1705">
        <v>89</v>
      </c>
      <c r="L399" s="2806">
        <v>235</v>
      </c>
      <c r="M399" s="2829"/>
      <c r="N399" s="1706">
        <f t="shared" si="82"/>
        <v>1.0680153449619374</v>
      </c>
      <c r="O399" s="1707" t="s">
        <v>667</v>
      </c>
      <c r="P399" s="1708" t="str">
        <f>IFERROR(VLOOKUP(F399,Trainingsarten!$A$9:$N$84,12,FALSE),"")</f>
        <v/>
      </c>
      <c r="Q399" s="1283" t="s">
        <v>437</v>
      </c>
      <c r="R399" s="1086" t="str">
        <f>IFERROR(VLOOKUP(F399,Trainingsarten!$A$9:$N$84,14,FALSE),"")</f>
        <v/>
      </c>
      <c r="S399" s="1087">
        <f t="shared" si="84"/>
        <v>1.6206896551724137</v>
      </c>
      <c r="T399" s="1709">
        <f t="shared" si="80"/>
        <v>45.473973642366182</v>
      </c>
      <c r="U399" s="1710">
        <f t="shared" si="78"/>
        <v>33.67290102242945</v>
      </c>
      <c r="V399" s="1088">
        <f t="shared" si="79"/>
        <v>-5.8961763321417564</v>
      </c>
      <c r="W399" s="3284">
        <f t="shared" si="77"/>
        <v>1.3504620113389121</v>
      </c>
      <c r="X399" s="3300"/>
      <c r="Y399" s="3316"/>
      <c r="AA399" s="3301"/>
      <c r="AB399" s="3409"/>
      <c r="AE399" s="1056"/>
    </row>
    <row r="400" spans="2:31" x14ac:dyDescent="0.2">
      <c r="B400" s="2982" t="s">
        <v>761</v>
      </c>
      <c r="C400" s="1211">
        <v>43498</v>
      </c>
      <c r="D400" s="1699" t="s">
        <v>521</v>
      </c>
      <c r="E400" s="1700"/>
      <c r="F400" s="2694" t="s">
        <v>665</v>
      </c>
      <c r="G400" s="1701">
        <v>4.6967592592592589E-2</v>
      </c>
      <c r="H400" s="1702">
        <v>11.6</v>
      </c>
      <c r="I400" s="1703">
        <f t="shared" si="83"/>
        <v>4.0489303959131539E-3</v>
      </c>
      <c r="J400" s="1704">
        <v>134</v>
      </c>
      <c r="K400" s="1705">
        <v>67</v>
      </c>
      <c r="L400" s="2806">
        <v>202</v>
      </c>
      <c r="M400" s="2829"/>
      <c r="N400" s="1706">
        <f t="shared" si="82"/>
        <v>1.0547040658775089</v>
      </c>
      <c r="O400" s="1707" t="s">
        <v>668</v>
      </c>
      <c r="P400" s="1708" t="str">
        <f>IFERROR(VLOOKUP(F400,Trainingsarten!$A$9:$N$84,12,FALSE),"")</f>
        <v/>
      </c>
      <c r="Q400" s="1283" t="s">
        <v>437</v>
      </c>
      <c r="R400" s="1086" t="str">
        <f>IFERROR(VLOOKUP(F400,Trainingsarten!$A$9:$N$84,14,FALSE),"")</f>
        <v/>
      </c>
      <c r="S400" s="1087">
        <f t="shared" si="84"/>
        <v>1.5074626865671641</v>
      </c>
      <c r="T400" s="1709">
        <f t="shared" si="80"/>
        <v>48.549120264885296</v>
      </c>
      <c r="U400" s="1710">
        <f t="shared" si="78"/>
        <v>34.466403379038269</v>
      </c>
      <c r="V400" s="1088">
        <f t="shared" si="79"/>
        <v>-11.801072619936733</v>
      </c>
      <c r="W400" s="3284">
        <f t="shared" si="77"/>
        <v>1.4085925859735</v>
      </c>
      <c r="X400" s="3300"/>
      <c r="Y400" s="3316"/>
      <c r="AA400" s="3301"/>
      <c r="AB400" s="3409"/>
      <c r="AE400" s="1056"/>
    </row>
    <row r="401" spans="2:31" ht="16" thickBot="1" x14ac:dyDescent="0.25">
      <c r="B401" s="2983">
        <f>AVERAGE(W395:W401)</f>
        <v>1.274582607462486</v>
      </c>
      <c r="C401" s="1711">
        <v>43499</v>
      </c>
      <c r="D401" s="1683"/>
      <c r="E401" s="1712"/>
      <c r="F401" s="2695"/>
      <c r="G401" s="1713"/>
      <c r="H401" s="1714" t="str">
        <f>IFERROR(VLOOKUP(F401,Trainingsarten!$A$9:$K$84,10,FALSE),"")</f>
        <v/>
      </c>
      <c r="I401" s="1715" t="str">
        <f t="shared" si="83"/>
        <v/>
      </c>
      <c r="J401" s="1716"/>
      <c r="K401" s="1717" t="str">
        <f>IFERROR(VLOOKUP(F401,Trainingsarten!$A$9:$K$84,11,FALSE),"0")</f>
        <v>0</v>
      </c>
      <c r="L401" s="2808"/>
      <c r="M401" s="2832"/>
      <c r="N401" s="1718" t="str">
        <f t="shared" si="82"/>
        <v/>
      </c>
      <c r="O401" s="1719"/>
      <c r="P401" s="1720" t="str">
        <f>IFERROR(VLOOKUP(F401,Trainingsarten!$A$9:$N$84,12,FALSE),"")</f>
        <v/>
      </c>
      <c r="Q401" s="1721" t="s">
        <v>437</v>
      </c>
      <c r="R401" s="1151" t="str">
        <f>IFERROR(VLOOKUP(F401,Trainingsarten!$A$9:$N$84,14,FALSE),"")</f>
        <v/>
      </c>
      <c r="S401" s="1106" t="str">
        <f t="shared" si="84"/>
        <v/>
      </c>
      <c r="T401" s="1722">
        <f t="shared" si="80"/>
        <v>41.613531655615965</v>
      </c>
      <c r="U401" s="1723">
        <f t="shared" si="78"/>
        <v>33.645774727156407</v>
      </c>
      <c r="V401" s="1152">
        <f t="shared" si="79"/>
        <v>-14.082716885847027</v>
      </c>
      <c r="W401" s="3285">
        <f t="shared" si="77"/>
        <v>1.2368130023181951</v>
      </c>
      <c r="X401" s="3300"/>
      <c r="Y401" s="3316"/>
      <c r="AA401" s="3301"/>
      <c r="AB401" s="3409"/>
      <c r="AE401" s="1056"/>
    </row>
    <row r="402" spans="2:31" ht="16" thickBot="1" x14ac:dyDescent="0.25">
      <c r="B402" s="2977">
        <f>B395+1</f>
        <v>6</v>
      </c>
      <c r="C402" s="1241">
        <v>43500</v>
      </c>
      <c r="D402" s="1191" t="s">
        <v>522</v>
      </c>
      <c r="E402" s="1192"/>
      <c r="F402" s="2687" t="s">
        <v>665</v>
      </c>
      <c r="G402" s="1349">
        <v>4.673611111111111E-2</v>
      </c>
      <c r="H402" s="1697">
        <v>11.6</v>
      </c>
      <c r="I402" s="1368">
        <f t="shared" si="83"/>
        <v>4.028975095785441E-3</v>
      </c>
      <c r="J402" s="1354">
        <v>132</v>
      </c>
      <c r="K402" s="1353">
        <v>68</v>
      </c>
      <c r="L402" s="1915">
        <v>204</v>
      </c>
      <c r="M402" s="2833"/>
      <c r="N402" s="1199">
        <f t="shared" ref="N402:N433" si="85">IFERROR((L402/67)/(1/(I402*24)/3.6),"")</f>
        <v>1.0598970663921772</v>
      </c>
      <c r="O402" s="1668" t="s">
        <v>668</v>
      </c>
      <c r="P402" s="1267" t="str">
        <f>IFERROR(VLOOKUP(F402,Trainingsarten!$A$9:$N$84,12,FALSE),"")</f>
        <v/>
      </c>
      <c r="Q402" s="1202" t="s">
        <v>437</v>
      </c>
      <c r="R402" s="1069" t="str">
        <f>IFERROR(VLOOKUP(F402,Trainingsarten!$A$9:$N$84,14,FALSE),"")</f>
        <v/>
      </c>
      <c r="S402" s="1070">
        <f t="shared" si="84"/>
        <v>1.5454545454545454</v>
      </c>
      <c r="T402" s="1669">
        <f t="shared" si="80"/>
        <v>45.383027133385113</v>
      </c>
      <c r="U402" s="1055">
        <f t="shared" si="78"/>
        <v>34.463732471747925</v>
      </c>
      <c r="V402" s="1268">
        <f t="shared" si="79"/>
        <v>-7.9677569284595577</v>
      </c>
      <c r="W402" s="3286">
        <f t="shared" si="77"/>
        <v>1.3168343611821041</v>
      </c>
      <c r="X402" s="3300"/>
      <c r="Y402" s="3316"/>
      <c r="AA402" s="3301"/>
      <c r="AB402" s="3409"/>
      <c r="AE402" s="1056"/>
    </row>
    <row r="403" spans="2:31" x14ac:dyDescent="0.2">
      <c r="B403" s="2978" t="s">
        <v>626</v>
      </c>
      <c r="C403" s="1211">
        <v>43501</v>
      </c>
      <c r="D403" s="1212"/>
      <c r="E403" s="1213"/>
      <c r="F403" s="2688"/>
      <c r="G403" s="1357"/>
      <c r="H403" s="1358" t="str">
        <f>IFERROR(VLOOKUP(F403,Trainingsarten!$A$9:$K$84,10,FALSE),"")</f>
        <v/>
      </c>
      <c r="I403" s="1369" t="str">
        <f t="shared" si="83"/>
        <v/>
      </c>
      <c r="J403" s="1306"/>
      <c r="K403" s="1305" t="str">
        <f>IFERROR(VLOOKUP(F403,Trainingsarten!$A$9:$K$84,11,FALSE),"0")</f>
        <v>0</v>
      </c>
      <c r="L403" s="2806"/>
      <c r="M403" s="2829"/>
      <c r="N403" s="1208" t="str">
        <f t="shared" si="85"/>
        <v/>
      </c>
      <c r="O403" s="1670"/>
      <c r="P403" s="1136" t="str">
        <f>IFERROR(VLOOKUP(F403,Trainingsarten!$A$9:$N$84,12,FALSE),"")</f>
        <v/>
      </c>
      <c r="Q403" s="1137" t="s">
        <v>437</v>
      </c>
      <c r="R403" s="1086" t="str">
        <f>IFERROR(VLOOKUP(F403,Trainingsarten!$A$9:$N$84,14,FALSE),"")</f>
        <v/>
      </c>
      <c r="S403" s="1087" t="str">
        <f t="shared" si="84"/>
        <v/>
      </c>
      <c r="T403" s="1232">
        <f t="shared" si="80"/>
        <v>38.899737542901526</v>
      </c>
      <c r="U403" s="1239">
        <f t="shared" si="78"/>
        <v>33.643167412896787</v>
      </c>
      <c r="V403" s="1210">
        <f t="shared" si="79"/>
        <v>-10.919294661637188</v>
      </c>
      <c r="W403" s="3284">
        <f t="shared" si="77"/>
        <v>1.156244804940384</v>
      </c>
      <c r="X403" s="3300"/>
      <c r="Y403" s="3316"/>
      <c r="AA403" s="3301"/>
      <c r="AB403" s="3409"/>
      <c r="AE403" s="1056"/>
    </row>
    <row r="404" spans="2:31" ht="16" thickBot="1" x14ac:dyDescent="0.25">
      <c r="B404" s="2979">
        <f>SUM(H402:H408)</f>
        <v>49.489999999999995</v>
      </c>
      <c r="C404" s="1211">
        <v>43502</v>
      </c>
      <c r="D404" s="1089" t="s">
        <v>523</v>
      </c>
      <c r="E404" s="1205"/>
      <c r="F404" s="2688" t="s">
        <v>665</v>
      </c>
      <c r="G404" s="1357">
        <v>4.3831018518518512E-2</v>
      </c>
      <c r="H404" s="1358">
        <v>11.52</v>
      </c>
      <c r="I404" s="1369">
        <f t="shared" si="83"/>
        <v>3.8047759130658432E-3</v>
      </c>
      <c r="J404" s="1306">
        <v>136</v>
      </c>
      <c r="K404" s="1305">
        <v>72</v>
      </c>
      <c r="L404" s="2806">
        <v>216</v>
      </c>
      <c r="M404" s="2829"/>
      <c r="N404" s="1208">
        <f t="shared" si="85"/>
        <v>1.0597947761194029</v>
      </c>
      <c r="O404" s="1670" t="s">
        <v>668</v>
      </c>
      <c r="P404" s="1136" t="str">
        <f>IFERROR(VLOOKUP(F404,Trainingsarten!$A$9:$N$84,12,FALSE),"")</f>
        <v/>
      </c>
      <c r="Q404" s="1137" t="s">
        <v>437</v>
      </c>
      <c r="R404" s="1086" t="str">
        <f>IFERROR(VLOOKUP(F404,Trainingsarten!$A$9:$N$84,14,FALSE),"")</f>
        <v/>
      </c>
      <c r="S404" s="1087">
        <f t="shared" si="84"/>
        <v>1.588235294117647</v>
      </c>
      <c r="T404" s="1232">
        <f t="shared" si="80"/>
        <v>43.628346465344165</v>
      </c>
      <c r="U404" s="1239">
        <f t="shared" si="78"/>
        <v>34.556425331637342</v>
      </c>
      <c r="V404" s="1210">
        <f t="shared" si="79"/>
        <v>-5.2565701300047394</v>
      </c>
      <c r="W404" s="3284">
        <f t="shared" si="77"/>
        <v>1.2625248719056954</v>
      </c>
      <c r="X404" s="3300"/>
      <c r="Y404" s="3316"/>
      <c r="AA404" s="3301"/>
      <c r="AB404" s="3409"/>
      <c r="AE404" s="1056"/>
    </row>
    <row r="405" spans="2:31" x14ac:dyDescent="0.2">
      <c r="B405" s="2980" t="s">
        <v>628</v>
      </c>
      <c r="C405" s="1211">
        <v>43503</v>
      </c>
      <c r="D405" s="1089"/>
      <c r="E405" s="1205"/>
      <c r="F405" s="2688"/>
      <c r="G405" s="1357"/>
      <c r="H405" s="1358" t="str">
        <f>IFERROR(VLOOKUP(F405,Trainingsarten!$A$9:$K$84,10,FALSE),"")</f>
        <v/>
      </c>
      <c r="I405" s="1369" t="str">
        <f t="shared" si="83"/>
        <v/>
      </c>
      <c r="J405" s="1306"/>
      <c r="K405" s="1305" t="str">
        <f>IFERROR(VLOOKUP(F405,Trainingsarten!$A$9:$K$84,11,FALSE),"0")</f>
        <v>0</v>
      </c>
      <c r="L405" s="2806"/>
      <c r="M405" s="2829"/>
      <c r="N405" s="1208" t="str">
        <f t="shared" si="85"/>
        <v/>
      </c>
      <c r="O405" s="1670"/>
      <c r="P405" s="1136" t="str">
        <f>IFERROR(VLOOKUP(F405,Trainingsarten!$A$9:$N$84,12,FALSE),"")</f>
        <v/>
      </c>
      <c r="Q405" s="1137" t="s">
        <v>437</v>
      </c>
      <c r="R405" s="1086" t="str">
        <f>IFERROR(VLOOKUP(F405,Trainingsarten!$A$9:$N$84,14,FALSE),"")</f>
        <v/>
      </c>
      <c r="S405" s="1087" t="str">
        <f t="shared" si="84"/>
        <v/>
      </c>
      <c r="T405" s="1232">
        <f t="shared" si="80"/>
        <v>37.395725541723571</v>
      </c>
      <c r="U405" s="1239">
        <f t="shared" si="78"/>
        <v>33.733653299931689</v>
      </c>
      <c r="V405" s="1210">
        <f t="shared" si="79"/>
        <v>-9.0719211337068231</v>
      </c>
      <c r="W405" s="3284">
        <f t="shared" si="77"/>
        <v>1.1085584241123181</v>
      </c>
      <c r="X405" s="3300"/>
      <c r="Y405" s="3316"/>
      <c r="AA405" s="3301"/>
      <c r="AB405" s="3409"/>
      <c r="AE405" s="1056"/>
    </row>
    <row r="406" spans="2:31" ht="16" thickBot="1" x14ac:dyDescent="0.25">
      <c r="B406" s="2981">
        <f>SUM(K402:K408)</f>
        <v>318</v>
      </c>
      <c r="C406" s="1211">
        <v>43504</v>
      </c>
      <c r="D406" s="1089" t="s">
        <v>524</v>
      </c>
      <c r="E406" s="1205"/>
      <c r="F406" s="2688" t="s">
        <v>652</v>
      </c>
      <c r="G406" s="1357">
        <v>4.5231481481481484E-2</v>
      </c>
      <c r="H406" s="1358">
        <v>12.2</v>
      </c>
      <c r="I406" s="1369">
        <f t="shared" si="83"/>
        <v>3.7074984820886464E-3</v>
      </c>
      <c r="J406" s="1306">
        <v>144</v>
      </c>
      <c r="K406" s="1305">
        <v>90</v>
      </c>
      <c r="L406" s="2806">
        <v>216</v>
      </c>
      <c r="M406" s="2829"/>
      <c r="N406" s="1208">
        <f t="shared" si="85"/>
        <v>1.0326988010765845</v>
      </c>
      <c r="O406" s="1670" t="s">
        <v>667</v>
      </c>
      <c r="P406" s="1136" t="str">
        <f>IFERROR(VLOOKUP(F406,Trainingsarten!$A$9:$N$84,12,FALSE),"")</f>
        <v/>
      </c>
      <c r="Q406" s="1137" t="s">
        <v>437</v>
      </c>
      <c r="R406" s="1086" t="str">
        <f>IFERROR(VLOOKUP(F406,Trainingsarten!$A$9:$N$84,14,FALSE),"")</f>
        <v/>
      </c>
      <c r="S406" s="1087">
        <f t="shared" si="84"/>
        <v>1.5</v>
      </c>
      <c r="T406" s="1232">
        <f t="shared" si="80"/>
        <v>44.910621892905915</v>
      </c>
      <c r="U406" s="1239">
        <f t="shared" si="78"/>
        <v>35.073328221361884</v>
      </c>
      <c r="V406" s="1210">
        <f t="shared" si="79"/>
        <v>-3.6620722417918827</v>
      </c>
      <c r="W406" s="3284">
        <f t="shared" si="77"/>
        <v>1.2804779064438059</v>
      </c>
      <c r="X406" s="3300"/>
      <c r="Y406" s="3316"/>
      <c r="AA406" s="3301"/>
      <c r="AB406" s="3409"/>
      <c r="AE406" s="1056"/>
    </row>
    <row r="407" spans="2:31" x14ac:dyDescent="0.2">
      <c r="B407" s="2982" t="s">
        <v>761</v>
      </c>
      <c r="C407" s="1211">
        <v>43505</v>
      </c>
      <c r="D407" s="1089"/>
      <c r="E407" s="1205"/>
      <c r="F407" s="2688"/>
      <c r="G407" s="1357"/>
      <c r="H407" s="1358" t="str">
        <f>IFERROR(VLOOKUP(F407,Trainingsarten!$A$9:$K$84,10,FALSE),"")</f>
        <v/>
      </c>
      <c r="I407" s="1369" t="str">
        <f t="shared" si="83"/>
        <v/>
      </c>
      <c r="J407" s="1306"/>
      <c r="K407" s="1305" t="str">
        <f>IFERROR(VLOOKUP(F407,Trainingsarten!$A$9:$K$84,11,FALSE),"0")</f>
        <v>0</v>
      </c>
      <c r="L407" s="2806"/>
      <c r="M407" s="2829"/>
      <c r="N407" s="1208" t="str">
        <f t="shared" si="85"/>
        <v/>
      </c>
      <c r="O407" s="1670"/>
      <c r="P407" s="1136" t="str">
        <f>IFERROR(VLOOKUP(F407,Trainingsarten!$A$9:$N$84,12,FALSE),"")</f>
        <v/>
      </c>
      <c r="Q407" s="1137" t="s">
        <v>437</v>
      </c>
      <c r="R407" s="1086" t="str">
        <f>IFERROR(VLOOKUP(F407,Trainingsarten!$A$9:$N$84,14,FALSE),"")</f>
        <v/>
      </c>
      <c r="S407" s="1087" t="str">
        <f t="shared" si="84"/>
        <v/>
      </c>
      <c r="T407" s="1232">
        <f t="shared" si="80"/>
        <v>38.494818765347929</v>
      </c>
      <c r="U407" s="1239">
        <f t="shared" si="78"/>
        <v>34.238248977996122</v>
      </c>
      <c r="V407" s="1210">
        <f t="shared" si="79"/>
        <v>-9.8372936715440318</v>
      </c>
      <c r="W407" s="3284">
        <f t="shared" si="77"/>
        <v>1.1243220641945613</v>
      </c>
      <c r="X407" s="3300"/>
      <c r="Y407" s="3316"/>
      <c r="AA407" s="3301"/>
      <c r="AB407" s="3409"/>
      <c r="AE407" s="1056"/>
    </row>
    <row r="408" spans="2:31" ht="16" thickBot="1" x14ac:dyDescent="0.25">
      <c r="B408" s="2983">
        <f>AVERAGE(W402:W408)</f>
        <v>1.2188397926872312</v>
      </c>
      <c r="C408" s="1260">
        <v>43506</v>
      </c>
      <c r="D408" s="1108" t="s">
        <v>525</v>
      </c>
      <c r="E408" s="1261"/>
      <c r="F408" s="2689" t="s">
        <v>641</v>
      </c>
      <c r="G408" s="1361">
        <v>5.5358796296296288E-2</v>
      </c>
      <c r="H408" s="1362">
        <v>14.17</v>
      </c>
      <c r="I408" s="1370">
        <f t="shared" si="83"/>
        <v>3.9067605007971976E-3</v>
      </c>
      <c r="J408" s="1317">
        <v>128</v>
      </c>
      <c r="K408" s="1316">
        <v>88</v>
      </c>
      <c r="L408" s="2807">
        <v>212</v>
      </c>
      <c r="M408" s="2830"/>
      <c r="N408" s="1223">
        <f t="shared" si="85"/>
        <v>1.0680500110597329</v>
      </c>
      <c r="O408" s="1671" t="s">
        <v>750</v>
      </c>
      <c r="P408" s="1225" t="str">
        <f>IFERROR(VLOOKUP(F408,Trainingsarten!$A$9:$N$84,12,FALSE),"")</f>
        <v/>
      </c>
      <c r="Q408" s="1226" t="s">
        <v>437</v>
      </c>
      <c r="R408" s="1105" t="str">
        <f>IFERROR(VLOOKUP(F408,Trainingsarten!$A$9:$N$84,14,FALSE),"")</f>
        <v/>
      </c>
      <c r="S408" s="1106">
        <f t="shared" si="84"/>
        <v>1.65625</v>
      </c>
      <c r="T408" s="1215">
        <f t="shared" si="80"/>
        <v>45.566987513155368</v>
      </c>
      <c r="U408" s="1227">
        <f t="shared" si="78"/>
        <v>35.518290668996215</v>
      </c>
      <c r="V408" s="1227">
        <f t="shared" si="79"/>
        <v>-4.2565697873518076</v>
      </c>
      <c r="W408" s="3287">
        <f t="shared" si="77"/>
        <v>1.2829161160317499</v>
      </c>
      <c r="X408" s="3300"/>
      <c r="Y408" s="3316"/>
      <c r="AA408" s="3301"/>
      <c r="AB408" s="3409"/>
      <c r="AE408" s="1056"/>
    </row>
    <row r="409" spans="2:31" ht="16" thickBot="1" x14ac:dyDescent="0.25">
      <c r="B409" s="2977">
        <f>B402+1</f>
        <v>7</v>
      </c>
      <c r="C409" s="1245">
        <v>43507</v>
      </c>
      <c r="D409" s="1111"/>
      <c r="E409" s="1112"/>
      <c r="F409" s="2690"/>
      <c r="G409" s="1647"/>
      <c r="H409" s="1648" t="str">
        <f>IFERROR(VLOOKUP(F409,Trainingsarten!$A$9:$K$84,10,FALSE),"")</f>
        <v/>
      </c>
      <c r="I409" s="1230" t="str">
        <f t="shared" si="83"/>
        <v/>
      </c>
      <c r="J409" s="1324"/>
      <c r="K409" s="1325" t="str">
        <f>IFERROR(VLOOKUP(F409,Trainingsarten!$A$9:$K$84,11,FALSE),"0")</f>
        <v>0</v>
      </c>
      <c r="L409" s="1326"/>
      <c r="M409" s="2831"/>
      <c r="N409" s="1119" t="str">
        <f t="shared" si="85"/>
        <v/>
      </c>
      <c r="O409" s="1649"/>
      <c r="P409" s="1277" t="str">
        <f>IFERROR(VLOOKUP(F409,Trainingsarten!$A$9:$N$84,12,FALSE),"")</f>
        <v/>
      </c>
      <c r="Q409" s="1122" t="s">
        <v>437</v>
      </c>
      <c r="R409" s="1122" t="str">
        <f>IFERROR(VLOOKUP(F409,Trainingsarten!$A$9:$N$84,14,FALSE),"")</f>
        <v/>
      </c>
      <c r="S409" s="1070" t="str">
        <f t="shared" si="84"/>
        <v/>
      </c>
      <c r="T409" s="1650">
        <f t="shared" si="80"/>
        <v>39.057417868418888</v>
      </c>
      <c r="U409" s="1651">
        <f t="shared" si="78"/>
        <v>34.67261708163916</v>
      </c>
      <c r="V409" s="1278">
        <f t="shared" si="79"/>
        <v>-10.048696844159153</v>
      </c>
      <c r="W409" s="3283">
        <f t="shared" si="77"/>
        <v>1.1264629311498293</v>
      </c>
      <c r="X409" s="3300"/>
      <c r="Y409" s="3316"/>
      <c r="AA409" s="3301"/>
      <c r="AB409" s="3409"/>
      <c r="AE409" s="1056"/>
    </row>
    <row r="410" spans="2:31" x14ac:dyDescent="0.2">
      <c r="B410" s="2978" t="s">
        <v>626</v>
      </c>
      <c r="C410" s="1698">
        <v>43508</v>
      </c>
      <c r="D410" s="1699" t="s">
        <v>526</v>
      </c>
      <c r="E410" s="1700"/>
      <c r="F410" s="2694" t="s">
        <v>666</v>
      </c>
      <c r="G410" s="1701">
        <v>3.5092592592592592E-2</v>
      </c>
      <c r="H410" s="1702">
        <v>10.4</v>
      </c>
      <c r="I410" s="1703">
        <f t="shared" si="83"/>
        <v>3.3742877492877492E-3</v>
      </c>
      <c r="J410" s="1704">
        <v>149</v>
      </c>
      <c r="K410" s="1705">
        <v>75</v>
      </c>
      <c r="L410" s="2806">
        <v>235</v>
      </c>
      <c r="M410" s="2829"/>
      <c r="N410" s="1706">
        <f t="shared" si="85"/>
        <v>1.0225602755453502</v>
      </c>
      <c r="O410" s="1707" t="s">
        <v>667</v>
      </c>
      <c r="P410" s="1708" t="str">
        <f>IFERROR(VLOOKUP(F410,Trainingsarten!$A$9:$N$84,12,FALSE),"")</f>
        <v/>
      </c>
      <c r="Q410" s="1283" t="s">
        <v>437</v>
      </c>
      <c r="R410" s="1086" t="str">
        <f>IFERROR(VLOOKUP(F410,Trainingsarten!$A$9:$N$84,14,FALSE),"")</f>
        <v/>
      </c>
      <c r="S410" s="1087">
        <f t="shared" si="84"/>
        <v>1.5771812080536913</v>
      </c>
      <c r="T410" s="1709">
        <f t="shared" si="80"/>
        <v>44.192072458644759</v>
      </c>
      <c r="U410" s="1710">
        <f t="shared" si="78"/>
        <v>35.632792865409655</v>
      </c>
      <c r="V410" s="1088">
        <f t="shared" si="79"/>
        <v>-4.3848007867797278</v>
      </c>
      <c r="W410" s="3284">
        <f t="shared" si="77"/>
        <v>1.240207935021113</v>
      </c>
      <c r="X410" s="3300"/>
      <c r="Y410" s="3316"/>
      <c r="AA410" s="3301"/>
      <c r="AB410" s="3409"/>
      <c r="AE410" s="1056"/>
    </row>
    <row r="411" spans="2:31" ht="16" thickBot="1" x14ac:dyDescent="0.25">
      <c r="B411" s="2979">
        <f>SUM(H409:H415)</f>
        <v>46.07</v>
      </c>
      <c r="C411" s="1211">
        <v>43509</v>
      </c>
      <c r="D411" s="1699" t="s">
        <v>527</v>
      </c>
      <c r="E411" s="1700"/>
      <c r="F411" s="2694" t="s">
        <v>665</v>
      </c>
      <c r="G411" s="1701">
        <v>4.3912037037037034E-2</v>
      </c>
      <c r="H411" s="1702">
        <v>11.6</v>
      </c>
      <c r="I411" s="1703">
        <f t="shared" si="83"/>
        <v>3.7855204342273309E-3</v>
      </c>
      <c r="J411" s="1704">
        <v>134</v>
      </c>
      <c r="K411" s="1705">
        <v>73</v>
      </c>
      <c r="L411" s="2806">
        <v>217</v>
      </c>
      <c r="M411" s="2829"/>
      <c r="N411" s="1706">
        <f t="shared" si="85"/>
        <v>1.0593129181677816</v>
      </c>
      <c r="O411" s="1707" t="s">
        <v>749</v>
      </c>
      <c r="P411" s="1708" t="str">
        <f>IFERROR(VLOOKUP(F411,Trainingsarten!$A$9:$N$84,12,FALSE),"")</f>
        <v/>
      </c>
      <c r="Q411" s="1283" t="s">
        <v>437</v>
      </c>
      <c r="R411" s="1086" t="str">
        <f>IFERROR(VLOOKUP(F411,Trainingsarten!$A$9:$N$84,14,FALSE),"")</f>
        <v/>
      </c>
      <c r="S411" s="1087">
        <f t="shared" si="84"/>
        <v>1.6194029850746268</v>
      </c>
      <c r="T411" s="1709">
        <f t="shared" si="80"/>
        <v>48.307490678838363</v>
      </c>
      <c r="U411" s="1710">
        <f t="shared" si="78"/>
        <v>36.522488273376091</v>
      </c>
      <c r="V411" s="1088">
        <f t="shared" si="79"/>
        <v>-8.5592795932351038</v>
      </c>
      <c r="W411" s="3284">
        <f t="shared" si="77"/>
        <v>1.3226779708230674</v>
      </c>
      <c r="X411" s="3300"/>
      <c r="Y411" s="3316"/>
      <c r="AA411" s="3301"/>
      <c r="AB411" s="3409"/>
      <c r="AE411" s="1056"/>
    </row>
    <row r="412" spans="2:31" x14ac:dyDescent="0.2">
      <c r="B412" s="2980" t="s">
        <v>628</v>
      </c>
      <c r="C412" s="1211">
        <v>43510</v>
      </c>
      <c r="D412" s="1699"/>
      <c r="E412" s="1700"/>
      <c r="F412" s="2694"/>
      <c r="G412" s="1701"/>
      <c r="H412" s="1702" t="str">
        <f>IFERROR(VLOOKUP(F412,Trainingsarten!$A$9:$K$84,10,FALSE),"")</f>
        <v/>
      </c>
      <c r="I412" s="1703" t="str">
        <f t="shared" si="83"/>
        <v/>
      </c>
      <c r="J412" s="1704"/>
      <c r="K412" s="1705" t="str">
        <f>IFERROR(VLOOKUP(F412,Trainingsarten!$A$9:$K$84,11,FALSE),"0")</f>
        <v>0</v>
      </c>
      <c r="L412" s="2806"/>
      <c r="M412" s="2829"/>
      <c r="N412" s="1706" t="str">
        <f t="shared" si="85"/>
        <v/>
      </c>
      <c r="O412" s="1707"/>
      <c r="P412" s="1708" t="str">
        <f>IFERROR(VLOOKUP(F412,Trainingsarten!$A$9:$N$84,12,FALSE),"")</f>
        <v/>
      </c>
      <c r="Q412" s="1283" t="s">
        <v>437</v>
      </c>
      <c r="R412" s="1086" t="str">
        <f>IFERROR(VLOOKUP(F412,Trainingsarten!$A$9:$N$84,14,FALSE),"")</f>
        <v/>
      </c>
      <c r="S412" s="1087" t="str">
        <f t="shared" si="84"/>
        <v/>
      </c>
      <c r="T412" s="1709">
        <f t="shared" si="80"/>
        <v>41.406420581861454</v>
      </c>
      <c r="U412" s="1710">
        <f t="shared" si="78"/>
        <v>35.65290521924809</v>
      </c>
      <c r="V412" s="1088">
        <f t="shared" si="79"/>
        <v>-11.785002405462272</v>
      </c>
      <c r="W412" s="3284">
        <f t="shared" si="77"/>
        <v>1.1613757792592787</v>
      </c>
      <c r="X412" s="3300"/>
      <c r="Y412" s="3316"/>
      <c r="AA412" s="3301"/>
      <c r="AB412" s="3409"/>
      <c r="AE412" s="1056"/>
    </row>
    <row r="413" spans="2:31" ht="16" thickBot="1" x14ac:dyDescent="0.25">
      <c r="B413" s="2981">
        <f>SUM(K409:K415)</f>
        <v>307</v>
      </c>
      <c r="C413" s="1211">
        <v>43511</v>
      </c>
      <c r="D413" s="1699" t="s">
        <v>528</v>
      </c>
      <c r="E413" s="1700"/>
      <c r="F413" s="2694" t="s">
        <v>829</v>
      </c>
      <c r="G413" s="1701">
        <v>3.0486111111111113E-2</v>
      </c>
      <c r="H413" s="1702">
        <v>9.5399999999999991</v>
      </c>
      <c r="I413" s="1703">
        <f t="shared" si="83"/>
        <v>3.1956091311437229E-3</v>
      </c>
      <c r="J413" s="1704">
        <v>152</v>
      </c>
      <c r="K413" s="1705">
        <v>68</v>
      </c>
      <c r="L413" s="2806">
        <v>249</v>
      </c>
      <c r="M413" s="2829"/>
      <c r="N413" s="1706">
        <f t="shared" si="85"/>
        <v>1.0261053224443821</v>
      </c>
      <c r="O413" s="1707" t="s">
        <v>667</v>
      </c>
      <c r="P413" s="1708">
        <f>IFERROR(VLOOKUP(F413,Trainingsarten!$A$9:$N$84,12,FALSE),"")</f>
        <v>230.89999999999998</v>
      </c>
      <c r="Q413" s="1283" t="s">
        <v>437</v>
      </c>
      <c r="R413" s="1086">
        <f>IFERROR(VLOOKUP(F413,Trainingsarten!$A$9:$N$84,14,FALSE),"")</f>
        <v>254.10000000000002</v>
      </c>
      <c r="S413" s="1087">
        <f t="shared" si="84"/>
        <v>1.638157894736842</v>
      </c>
      <c r="T413" s="1709">
        <f t="shared" si="80"/>
        <v>45.205503355881248</v>
      </c>
      <c r="U413" s="1710">
        <f t="shared" si="78"/>
        <v>36.423074142599326</v>
      </c>
      <c r="V413" s="1088">
        <f t="shared" si="79"/>
        <v>-5.7535153626133635</v>
      </c>
      <c r="W413" s="3284">
        <f t="shared" si="77"/>
        <v>1.2411226789616381</v>
      </c>
      <c r="X413" s="3300"/>
      <c r="Y413" s="3316"/>
      <c r="AA413" s="3301"/>
      <c r="AB413" s="3409"/>
      <c r="AE413" s="1056"/>
    </row>
    <row r="414" spans="2:31" x14ac:dyDescent="0.2">
      <c r="B414" s="2982" t="s">
        <v>761</v>
      </c>
      <c r="C414" s="1211">
        <v>43512</v>
      </c>
      <c r="D414" s="1699"/>
      <c r="E414" s="1700"/>
      <c r="F414" s="2694"/>
      <c r="G414" s="1701"/>
      <c r="H414" s="1702" t="str">
        <f>IFERROR(VLOOKUP(F414,Trainingsarten!$A$9:$K$84,10,FALSE),"")</f>
        <v/>
      </c>
      <c r="I414" s="1703" t="str">
        <f t="shared" si="83"/>
        <v/>
      </c>
      <c r="J414" s="1704"/>
      <c r="K414" s="1705" t="str">
        <f>IFERROR(VLOOKUP(F414,Trainingsarten!$A$9:$K$84,11,FALSE),"0")</f>
        <v>0</v>
      </c>
      <c r="L414" s="2806"/>
      <c r="M414" s="2829"/>
      <c r="N414" s="1706" t="str">
        <f t="shared" si="85"/>
        <v/>
      </c>
      <c r="O414" s="1707"/>
      <c r="P414" s="1708" t="str">
        <f>IFERROR(VLOOKUP(F414,Trainingsarten!$A$9:$N$84,12,FALSE),"")</f>
        <v/>
      </c>
      <c r="Q414" s="1283" t="s">
        <v>437</v>
      </c>
      <c r="R414" s="1086" t="str">
        <f>IFERROR(VLOOKUP(F414,Trainingsarten!$A$9:$N$84,14,FALSE),"")</f>
        <v/>
      </c>
      <c r="S414" s="1087" t="str">
        <f t="shared" si="84"/>
        <v/>
      </c>
      <c r="T414" s="1709">
        <f t="shared" si="80"/>
        <v>38.74757430504107</v>
      </c>
      <c r="U414" s="1710">
        <f t="shared" si="78"/>
        <v>35.555858091585058</v>
      </c>
      <c r="V414" s="1088">
        <f t="shared" si="79"/>
        <v>-8.7824292132819224</v>
      </c>
      <c r="W414" s="3284">
        <f t="shared" si="77"/>
        <v>1.0897662546980238</v>
      </c>
      <c r="X414" s="3300"/>
      <c r="Y414" s="3316"/>
      <c r="AA414" s="3301"/>
      <c r="AB414" s="3409"/>
      <c r="AE414" s="1056"/>
    </row>
    <row r="415" spans="2:31" ht="16" thickBot="1" x14ac:dyDescent="0.25">
      <c r="B415" s="2983">
        <f>AVERAGE(W409:W415)</f>
        <v>1.2049704882225538</v>
      </c>
      <c r="C415" s="1711">
        <v>43513</v>
      </c>
      <c r="D415" s="1683" t="s">
        <v>529</v>
      </c>
      <c r="E415" s="1712"/>
      <c r="F415" s="2695" t="s">
        <v>641</v>
      </c>
      <c r="G415" s="1713">
        <v>5.5381944444444442E-2</v>
      </c>
      <c r="H415" s="1724">
        <v>14.53</v>
      </c>
      <c r="I415" s="1725">
        <f t="shared" si="83"/>
        <v>3.8115584614208152E-3</v>
      </c>
      <c r="J415" s="1726">
        <v>132</v>
      </c>
      <c r="K415" s="1717">
        <v>91</v>
      </c>
      <c r="L415" s="2808">
        <v>216</v>
      </c>
      <c r="M415" s="2832"/>
      <c r="N415" s="1718">
        <f t="shared" si="85"/>
        <v>1.0616840094092512</v>
      </c>
      <c r="O415" s="1719" t="s">
        <v>750</v>
      </c>
      <c r="P415" s="1720" t="str">
        <f>IFERROR(VLOOKUP(F415,Trainingsarten!$A$9:$N$84,12,FALSE),"")</f>
        <v/>
      </c>
      <c r="Q415" s="1721" t="s">
        <v>437</v>
      </c>
      <c r="R415" s="1151" t="str">
        <f>IFERROR(VLOOKUP(F415,Trainingsarten!$A$9:$N$84,14,FALSE),"")</f>
        <v/>
      </c>
      <c r="S415" s="1106">
        <f t="shared" si="84"/>
        <v>1.6363636363636365</v>
      </c>
      <c r="T415" s="1722">
        <f t="shared" si="80"/>
        <v>46.212206547178063</v>
      </c>
      <c r="U415" s="1723">
        <f t="shared" si="78"/>
        <v>36.87595670845208</v>
      </c>
      <c r="V415" s="1152">
        <f t="shared" si="79"/>
        <v>-3.1917162134560115</v>
      </c>
      <c r="W415" s="3285">
        <f t="shared" ref="W415:W478" si="86">T415/U415</f>
        <v>1.2531798676449277</v>
      </c>
      <c r="X415" s="3300"/>
      <c r="Y415" s="3316"/>
      <c r="AA415" s="3301"/>
      <c r="AB415" s="3409"/>
      <c r="AE415" s="1056"/>
    </row>
    <row r="416" spans="2:31" ht="16" thickBot="1" x14ac:dyDescent="0.25">
      <c r="B416" s="2977">
        <f>B409+1</f>
        <v>8</v>
      </c>
      <c r="C416" s="1241">
        <v>43514</v>
      </c>
      <c r="D416" s="1191"/>
      <c r="E416" s="1192"/>
      <c r="F416" s="2687"/>
      <c r="G416" s="1349"/>
      <c r="H416" s="1697" t="str">
        <f>IFERROR(VLOOKUP(F416,Trainingsarten!$A$9:$K$84,10,FALSE),"")</f>
        <v/>
      </c>
      <c r="I416" s="1368" t="str">
        <f t="shared" si="83"/>
        <v/>
      </c>
      <c r="J416" s="1354"/>
      <c r="K416" s="1353" t="str">
        <f>IFERROR(VLOOKUP(F416,Trainingsarten!$A$9:$K$84,11,FALSE),"0")</f>
        <v>0</v>
      </c>
      <c r="L416" s="1915"/>
      <c r="M416" s="2833"/>
      <c r="N416" s="1199" t="str">
        <f t="shared" si="85"/>
        <v/>
      </c>
      <c r="O416" s="1668"/>
      <c r="P416" s="1267" t="str">
        <f>IFERROR(VLOOKUP(F416,Trainingsarten!$A$9:$N$84,12,FALSE),"")</f>
        <v/>
      </c>
      <c r="Q416" s="1202" t="s">
        <v>437</v>
      </c>
      <c r="R416" s="1069" t="str">
        <f>IFERROR(VLOOKUP(F416,Trainingsarten!$A$9:$N$84,14,FALSE),"")</f>
        <v/>
      </c>
      <c r="S416" s="1070" t="str">
        <f t="shared" si="84"/>
        <v/>
      </c>
      <c r="T416" s="1669">
        <f t="shared" si="80"/>
        <v>39.610462754724054</v>
      </c>
      <c r="U416" s="1055">
        <f t="shared" si="78"/>
        <v>35.997957739203223</v>
      </c>
      <c r="V416" s="1268">
        <f t="shared" si="79"/>
        <v>-9.3362498387259834</v>
      </c>
      <c r="W416" s="3286">
        <f t="shared" si="86"/>
        <v>1.1003530545174975</v>
      </c>
      <c r="X416" s="3300"/>
      <c r="Y416" s="3316"/>
      <c r="AA416" s="3301"/>
      <c r="AB416" s="3409"/>
      <c r="AE416" s="1056"/>
    </row>
    <row r="417" spans="2:31" x14ac:dyDescent="0.2">
      <c r="B417" s="2978" t="s">
        <v>626</v>
      </c>
      <c r="C417" s="1211">
        <v>43515</v>
      </c>
      <c r="D417" s="1089" t="s">
        <v>530</v>
      </c>
      <c r="E417" s="1205"/>
      <c r="F417" s="2688" t="s">
        <v>627</v>
      </c>
      <c r="G417" s="1357">
        <v>3.9120370370370368E-2</v>
      </c>
      <c r="H417" s="1358">
        <v>10.5</v>
      </c>
      <c r="I417" s="1369">
        <f t="shared" si="83"/>
        <v>3.7257495590828924E-3</v>
      </c>
      <c r="J417" s="1306">
        <v>139</v>
      </c>
      <c r="K417" s="1305">
        <v>72</v>
      </c>
      <c r="L417" s="2806">
        <v>216</v>
      </c>
      <c r="M417" s="2829"/>
      <c r="N417" s="1208">
        <f t="shared" si="85"/>
        <v>1.0377825159914713</v>
      </c>
      <c r="O417" s="1670" t="s">
        <v>667</v>
      </c>
      <c r="P417" s="1136">
        <f>IFERROR(VLOOKUP(F417,Trainingsarten!$A$9:$N$84,12,FALSE),"")</f>
        <v>279.53100000000006</v>
      </c>
      <c r="Q417" s="1137" t="s">
        <v>437</v>
      </c>
      <c r="R417" s="1086">
        <f>IFERROR(VLOOKUP(F417,Trainingsarten!$A$9:$N$84,14,FALSE),"")</f>
        <v>306.15300000000002</v>
      </c>
      <c r="S417" s="1087">
        <f t="shared" si="84"/>
        <v>1.5539568345323742</v>
      </c>
      <c r="T417" s="1232">
        <f t="shared" si="80"/>
        <v>44.237539504049188</v>
      </c>
      <c r="U417" s="1239">
        <f t="shared" si="78"/>
        <v>36.855149221603149</v>
      </c>
      <c r="V417" s="1210">
        <f t="shared" si="79"/>
        <v>-3.6125050155208314</v>
      </c>
      <c r="W417" s="3284">
        <f t="shared" si="86"/>
        <v>1.2003082456146656</v>
      </c>
      <c r="X417" s="3300"/>
      <c r="Y417" s="3316"/>
      <c r="AA417" s="3301"/>
      <c r="AB417" s="3409"/>
      <c r="AE417" s="1056"/>
    </row>
    <row r="418" spans="2:31" ht="16" thickBot="1" x14ac:dyDescent="0.25">
      <c r="B418" s="2979">
        <f>SUM(H416:H422)</f>
        <v>46.739999999999995</v>
      </c>
      <c r="C418" s="1211">
        <v>43516</v>
      </c>
      <c r="D418" s="1089" t="s">
        <v>531</v>
      </c>
      <c r="E418" s="1205"/>
      <c r="F418" s="2688" t="s">
        <v>665</v>
      </c>
      <c r="G418" s="1357">
        <v>4.5405092592592594E-2</v>
      </c>
      <c r="H418" s="1358">
        <v>11.62</v>
      </c>
      <c r="I418" s="1369">
        <f t="shared" si="83"/>
        <v>3.9074950596034936E-3</v>
      </c>
      <c r="J418" s="1306">
        <v>128</v>
      </c>
      <c r="K418" s="1305">
        <v>71</v>
      </c>
      <c r="L418" s="2806">
        <v>212</v>
      </c>
      <c r="M418" s="2829"/>
      <c r="N418" s="1208">
        <f t="shared" si="85"/>
        <v>1.0682508284738099</v>
      </c>
      <c r="O418" s="1670" t="s">
        <v>749</v>
      </c>
      <c r="P418" s="1136" t="str">
        <f>IFERROR(VLOOKUP(F418,Trainingsarten!$A$9:$N$84,12,FALSE),"")</f>
        <v/>
      </c>
      <c r="Q418" s="1137" t="s">
        <v>437</v>
      </c>
      <c r="R418" s="1086" t="str">
        <f>IFERROR(VLOOKUP(F418,Trainingsarten!$A$9:$N$84,14,FALSE),"")</f>
        <v/>
      </c>
      <c r="S418" s="1087">
        <f t="shared" si="84"/>
        <v>1.65625</v>
      </c>
      <c r="T418" s="1232">
        <f t="shared" si="80"/>
        <v>48.060748146327875</v>
      </c>
      <c r="U418" s="1239">
        <f t="shared" si="78"/>
        <v>37.668121859184026</v>
      </c>
      <c r="V418" s="1210">
        <f t="shared" si="79"/>
        <v>-7.382390282446039</v>
      </c>
      <c r="W418" s="3284">
        <f t="shared" si="86"/>
        <v>1.2758997734475572</v>
      </c>
      <c r="X418" s="3300"/>
      <c r="Y418" s="3316"/>
      <c r="AA418" s="3301"/>
      <c r="AB418" s="3409"/>
      <c r="AE418" s="1056"/>
    </row>
    <row r="419" spans="2:31" x14ac:dyDescent="0.2">
      <c r="B419" s="2980" t="s">
        <v>628</v>
      </c>
      <c r="C419" s="1211">
        <v>43517</v>
      </c>
      <c r="D419" s="1089"/>
      <c r="E419" s="1205"/>
      <c r="F419" s="2688"/>
      <c r="G419" s="1357"/>
      <c r="H419" s="1358" t="str">
        <f>IFERROR(VLOOKUP(F419,Trainingsarten!$A$9:$K$84,10,FALSE),"")</f>
        <v/>
      </c>
      <c r="I419" s="1369" t="str">
        <f t="shared" si="83"/>
        <v/>
      </c>
      <c r="J419" s="1306"/>
      <c r="K419" s="1305" t="str">
        <f>IFERROR(VLOOKUP(F419,Trainingsarten!$A$9:$K$84,11,FALSE),"0")</f>
        <v>0</v>
      </c>
      <c r="L419" s="2806"/>
      <c r="M419" s="2829"/>
      <c r="N419" s="1208" t="str">
        <f t="shared" si="85"/>
        <v/>
      </c>
      <c r="O419" s="1670"/>
      <c r="P419" s="1136" t="str">
        <f>IFERROR(VLOOKUP(F419,Trainingsarten!$A$9:$N$84,12,FALSE),"")</f>
        <v/>
      </c>
      <c r="Q419" s="1137" t="s">
        <v>437</v>
      </c>
      <c r="R419" s="1086" t="str">
        <f>IFERROR(VLOOKUP(F419,Trainingsarten!$A$9:$N$84,14,FALSE),"")</f>
        <v/>
      </c>
      <c r="S419" s="1087" t="str">
        <f t="shared" si="84"/>
        <v/>
      </c>
      <c r="T419" s="1232">
        <f t="shared" si="80"/>
        <v>41.194926982566749</v>
      </c>
      <c r="U419" s="1239">
        <f t="shared" si="78"/>
        <v>36.771261814917743</v>
      </c>
      <c r="V419" s="1210">
        <f t="shared" si="79"/>
        <v>-10.392626287143848</v>
      </c>
      <c r="W419" s="3284">
        <f t="shared" si="86"/>
        <v>1.120302240100294</v>
      </c>
      <c r="X419" s="3300"/>
      <c r="Y419" s="3316"/>
      <c r="AA419" s="3301"/>
      <c r="AB419" s="3409"/>
      <c r="AE419" s="1056"/>
    </row>
    <row r="420" spans="2:31" ht="16" thickBot="1" x14ac:dyDescent="0.25">
      <c r="B420" s="2981">
        <f>SUM(K416:K422)</f>
        <v>312</v>
      </c>
      <c r="C420" s="1211">
        <v>43518</v>
      </c>
      <c r="D420" s="1089" t="s">
        <v>532</v>
      </c>
      <c r="E420" s="1205"/>
      <c r="F420" s="2688" t="s">
        <v>639</v>
      </c>
      <c r="G420" s="1357">
        <v>4.2615740740740739E-2</v>
      </c>
      <c r="H420" s="1358">
        <v>10.6</v>
      </c>
      <c r="I420" s="1369">
        <f t="shared" si="83"/>
        <v>4.0203529000698811E-3</v>
      </c>
      <c r="J420" s="1306">
        <v>135</v>
      </c>
      <c r="K420" s="1305">
        <v>64</v>
      </c>
      <c r="L420" s="2806">
        <v>206</v>
      </c>
      <c r="M420" s="2829"/>
      <c r="N420" s="1208">
        <f t="shared" si="85"/>
        <v>1.0679977471134892</v>
      </c>
      <c r="O420" s="1670" t="s">
        <v>751</v>
      </c>
      <c r="P420" s="1136" t="str">
        <f>IFERROR(VLOOKUP(F420,Trainingsarten!$A$9:$N$84,12,FALSE),"")</f>
        <v/>
      </c>
      <c r="Q420" s="1137" t="s">
        <v>437</v>
      </c>
      <c r="R420" s="1086" t="str">
        <f>IFERROR(VLOOKUP(F420,Trainingsarten!$A$9:$N$84,14,FALSE),"")</f>
        <v/>
      </c>
      <c r="S420" s="1087">
        <f t="shared" si="84"/>
        <v>1.5259259259259259</v>
      </c>
      <c r="T420" s="1232">
        <f t="shared" si="80"/>
        <v>44.452794556485784</v>
      </c>
      <c r="U420" s="1239">
        <f t="shared" si="78"/>
        <v>37.41956510503875</v>
      </c>
      <c r="V420" s="1210">
        <f t="shared" si="79"/>
        <v>-4.4236651676490055</v>
      </c>
      <c r="W420" s="3284">
        <f t="shared" si="86"/>
        <v>1.1879559378016387</v>
      </c>
      <c r="X420" s="3300"/>
      <c r="Y420" s="3316"/>
      <c r="AA420" s="3301"/>
      <c r="AB420" s="3409"/>
      <c r="AE420" s="1056"/>
    </row>
    <row r="421" spans="2:31" x14ac:dyDescent="0.2">
      <c r="B421" s="2982" t="s">
        <v>761</v>
      </c>
      <c r="C421" s="1211">
        <v>43519</v>
      </c>
      <c r="D421" s="1089"/>
      <c r="E421" s="1205"/>
      <c r="F421" s="2688"/>
      <c r="G421" s="1357"/>
      <c r="H421" s="1358" t="str">
        <f>IFERROR(VLOOKUP(F421,Trainingsarten!$A$9:$K$84,10,FALSE),"")</f>
        <v/>
      </c>
      <c r="I421" s="1369" t="str">
        <f t="shared" si="83"/>
        <v/>
      </c>
      <c r="J421" s="1306"/>
      <c r="K421" s="1305" t="str">
        <f>IFERROR(VLOOKUP(F421,Trainingsarten!$A$9:$K$84,11,FALSE),"0")</f>
        <v>0</v>
      </c>
      <c r="L421" s="2806"/>
      <c r="M421" s="2829"/>
      <c r="N421" s="1208" t="str">
        <f t="shared" si="85"/>
        <v/>
      </c>
      <c r="O421" s="1670"/>
      <c r="P421" s="1136" t="str">
        <f>IFERROR(VLOOKUP(F421,Trainingsarten!$A$9:$N$84,12,FALSE),"")</f>
        <v/>
      </c>
      <c r="Q421" s="1137" t="s">
        <v>437</v>
      </c>
      <c r="R421" s="1086" t="str">
        <f>IFERROR(VLOOKUP(F421,Trainingsarten!$A$9:$N$84,14,FALSE),"")</f>
        <v/>
      </c>
      <c r="S421" s="1087" t="str">
        <f t="shared" si="84"/>
        <v/>
      </c>
      <c r="T421" s="1232">
        <f t="shared" si="80"/>
        <v>38.102395334130669</v>
      </c>
      <c r="U421" s="1239">
        <f t="shared" si="78"/>
        <v>36.528623078728302</v>
      </c>
      <c r="V421" s="1210">
        <f t="shared" si="79"/>
        <v>-7.0332294514470348</v>
      </c>
      <c r="W421" s="3284">
        <f t="shared" si="86"/>
        <v>1.0430832624599755</v>
      </c>
      <c r="X421" s="3300"/>
      <c r="Y421" s="3316"/>
      <c r="AA421" s="3301"/>
      <c r="AB421" s="3409"/>
      <c r="AE421" s="1056"/>
    </row>
    <row r="422" spans="2:31" ht="16" thickBot="1" x14ac:dyDescent="0.25">
      <c r="B422" s="2983">
        <f>AVERAGE(W416:W422)</f>
        <v>1.1681242038888917</v>
      </c>
      <c r="C422" s="1727">
        <v>43520</v>
      </c>
      <c r="D422" s="1728" t="s">
        <v>533</v>
      </c>
      <c r="E422" s="1729" t="s">
        <v>836</v>
      </c>
      <c r="F422" s="2696" t="s">
        <v>158</v>
      </c>
      <c r="G422" s="1730">
        <v>4.0706018518518523E-2</v>
      </c>
      <c r="H422" s="1731">
        <v>14.02</v>
      </c>
      <c r="I422" s="1732">
        <f t="shared" si="83"/>
        <v>2.9034250013208647E-3</v>
      </c>
      <c r="J422" s="1733">
        <v>165</v>
      </c>
      <c r="K422" s="1316">
        <v>105</v>
      </c>
      <c r="L422" s="2812">
        <v>273</v>
      </c>
      <c r="M422" s="2837"/>
      <c r="N422" s="1734">
        <f t="shared" si="85"/>
        <v>1.0221442715097837</v>
      </c>
      <c r="O422" s="1735" t="s">
        <v>667</v>
      </c>
      <c r="P422" s="1736" t="str">
        <f>IFERROR(VLOOKUP(F422,Trainingsarten!$A$9:$N$84,12,FALSE),"")</f>
        <v/>
      </c>
      <c r="Q422" s="1737" t="s">
        <v>437</v>
      </c>
      <c r="R422" s="1738" t="str">
        <f>IFERROR(VLOOKUP(F422,Trainingsarten!$A$9:$N$84,14,FALSE),"")</f>
        <v/>
      </c>
      <c r="S422" s="1106">
        <f t="shared" si="84"/>
        <v>1.6545454545454545</v>
      </c>
      <c r="T422" s="1215">
        <f t="shared" si="80"/>
        <v>47.65919600068343</v>
      </c>
      <c r="U422" s="1227">
        <f t="shared" si="78"/>
        <v>38.1588939578062</v>
      </c>
      <c r="V422" s="1227">
        <f t="shared" si="79"/>
        <v>-1.5737722554023676</v>
      </c>
      <c r="W422" s="3287">
        <f t="shared" si="86"/>
        <v>1.2489669132806127</v>
      </c>
      <c r="X422" s="3300"/>
      <c r="Y422" s="3316"/>
      <c r="AA422" s="3301"/>
      <c r="AB422" s="3409"/>
      <c r="AE422" s="1056"/>
    </row>
    <row r="423" spans="2:31" ht="16" thickBot="1" x14ac:dyDescent="0.25">
      <c r="B423" s="2977">
        <f>B416+1</f>
        <v>9</v>
      </c>
      <c r="C423" s="1245">
        <v>43521</v>
      </c>
      <c r="D423" s="1111"/>
      <c r="E423" s="1112"/>
      <c r="F423" s="2690"/>
      <c r="G423" s="1647"/>
      <c r="H423" s="1648" t="str">
        <f>IFERROR(VLOOKUP(F423,Trainingsarten!$A$9:$K$84,10,FALSE),"")</f>
        <v/>
      </c>
      <c r="I423" s="1230" t="str">
        <f t="shared" si="83"/>
        <v/>
      </c>
      <c r="J423" s="1324"/>
      <c r="K423" s="1325" t="str">
        <f>IFERROR(VLOOKUP(F423,Trainingsarten!$A$9:$K$84,11,FALSE),"0")</f>
        <v>0</v>
      </c>
      <c r="L423" s="1326"/>
      <c r="M423" s="2831"/>
      <c r="N423" s="1119" t="str">
        <f t="shared" si="85"/>
        <v/>
      </c>
      <c r="O423" s="1649"/>
      <c r="P423" s="1277" t="str">
        <f>IFERROR(VLOOKUP(F423,Trainingsarten!$A$9:$N$84,12,FALSE),"")</f>
        <v/>
      </c>
      <c r="Q423" s="1122" t="s">
        <v>437</v>
      </c>
      <c r="R423" s="1122" t="str">
        <f>IFERROR(VLOOKUP(F423,Trainingsarten!$A$9:$N$84,14,FALSE),"")</f>
        <v/>
      </c>
      <c r="S423" s="1070" t="str">
        <f t="shared" si="84"/>
        <v/>
      </c>
      <c r="T423" s="1650">
        <f t="shared" si="80"/>
        <v>40.850739429157223</v>
      </c>
      <c r="U423" s="1651">
        <f t="shared" si="78"/>
        <v>37.250348863572718</v>
      </c>
      <c r="V423" s="1278">
        <f t="shared" si="79"/>
        <v>-9.5003020428772302</v>
      </c>
      <c r="W423" s="3283">
        <f t="shared" si="86"/>
        <v>1.0966538750756598</v>
      </c>
      <c r="X423" s="3300"/>
      <c r="Y423" s="3316"/>
      <c r="AA423" s="3301"/>
      <c r="AB423" s="3409"/>
      <c r="AE423" s="1056"/>
    </row>
    <row r="424" spans="2:31" x14ac:dyDescent="0.2">
      <c r="B424" s="2978" t="s">
        <v>626</v>
      </c>
      <c r="C424" s="1698">
        <v>43522</v>
      </c>
      <c r="D424" s="1699"/>
      <c r="E424" s="1700"/>
      <c r="F424" s="2694"/>
      <c r="G424" s="1701"/>
      <c r="H424" s="1702" t="str">
        <f>IFERROR(VLOOKUP(F424,Trainingsarten!$A$9:$K$84,10,FALSE),"")</f>
        <v/>
      </c>
      <c r="I424" s="1703" t="str">
        <f t="shared" si="83"/>
        <v/>
      </c>
      <c r="J424" s="1704"/>
      <c r="K424" s="1705" t="str">
        <f>IFERROR(VLOOKUP(F424,Trainingsarten!$A$9:$K$84,11,FALSE),"0")</f>
        <v>0</v>
      </c>
      <c r="L424" s="2806"/>
      <c r="M424" s="2829"/>
      <c r="N424" s="1706" t="str">
        <f t="shared" si="85"/>
        <v/>
      </c>
      <c r="O424" s="1707"/>
      <c r="P424" s="1708" t="str">
        <f>IFERROR(VLOOKUP(F424,Trainingsarten!$A$9:$N$84,12,FALSE),"")</f>
        <v/>
      </c>
      <c r="Q424" s="1283" t="s">
        <v>437</v>
      </c>
      <c r="R424" s="1086" t="str">
        <f>IFERROR(VLOOKUP(F424,Trainingsarten!$A$9:$N$84,14,FALSE),"")</f>
        <v/>
      </c>
      <c r="S424" s="1087" t="str">
        <f t="shared" si="84"/>
        <v/>
      </c>
      <c r="T424" s="1709">
        <f t="shared" si="80"/>
        <v>35.014919510706193</v>
      </c>
      <c r="U424" s="1710">
        <f t="shared" si="78"/>
        <v>36.363435795392412</v>
      </c>
      <c r="V424" s="1088">
        <f t="shared" si="79"/>
        <v>-3.6003905655845045</v>
      </c>
      <c r="W424" s="3284">
        <f t="shared" si="86"/>
        <v>0.96291559762740875</v>
      </c>
      <c r="X424" s="3300"/>
      <c r="Y424" s="3316"/>
      <c r="AA424" s="3301"/>
      <c r="AB424" s="3409"/>
      <c r="AE424" s="1056"/>
    </row>
    <row r="425" spans="2:31" ht="16" thickBot="1" x14ac:dyDescent="0.25">
      <c r="B425" s="2979">
        <f>SUM(H423:H429)</f>
        <v>10.58</v>
      </c>
      <c r="C425" s="1211">
        <v>43523</v>
      </c>
      <c r="D425" s="1699" t="s">
        <v>534</v>
      </c>
      <c r="E425" s="1700"/>
      <c r="F425" s="2694" t="s">
        <v>665</v>
      </c>
      <c r="G425" s="1701">
        <v>4.1203703703703708E-2</v>
      </c>
      <c r="H425" s="1702">
        <v>10.58</v>
      </c>
      <c r="I425" s="1703">
        <f t="shared" si="83"/>
        <v>3.8944899530910875E-3</v>
      </c>
      <c r="J425" s="1704">
        <v>128</v>
      </c>
      <c r="K425" s="1705">
        <v>63</v>
      </c>
      <c r="L425" s="2806">
        <v>213</v>
      </c>
      <c r="M425" s="2829"/>
      <c r="N425" s="1706">
        <f t="shared" si="85"/>
        <v>1.0697175746974015</v>
      </c>
      <c r="O425" s="1707" t="s">
        <v>749</v>
      </c>
      <c r="P425" s="1708" t="str">
        <f>IFERROR(VLOOKUP(F425,Trainingsarten!$A$9:$N$84,12,FALSE),"")</f>
        <v/>
      </c>
      <c r="Q425" s="1283" t="s">
        <v>437</v>
      </c>
      <c r="R425" s="1086" t="str">
        <f>IFERROR(VLOOKUP(F425,Trainingsarten!$A$9:$N$84,14,FALSE),"")</f>
        <v/>
      </c>
      <c r="S425" s="1087">
        <f t="shared" si="84"/>
        <v>1.6640625</v>
      </c>
      <c r="T425" s="1709">
        <f t="shared" si="80"/>
        <v>39.012788152033878</v>
      </c>
      <c r="U425" s="1710">
        <f t="shared" si="78"/>
        <v>36.997639705025925</v>
      </c>
      <c r="V425" s="1088">
        <f t="shared" si="79"/>
        <v>1.3485162846862195</v>
      </c>
      <c r="W425" s="3284">
        <f t="shared" si="86"/>
        <v>1.054466946082893</v>
      </c>
      <c r="X425" s="3300"/>
      <c r="Y425" s="3316"/>
      <c r="AA425" s="3301"/>
      <c r="AB425" s="3409"/>
      <c r="AE425" s="1056"/>
    </row>
    <row r="426" spans="2:31" x14ac:dyDescent="0.2">
      <c r="B426" s="2980" t="s">
        <v>628</v>
      </c>
      <c r="C426" s="1211">
        <v>43524</v>
      </c>
      <c r="D426" s="1699"/>
      <c r="E426" s="1700"/>
      <c r="F426" s="2694"/>
      <c r="G426" s="1701"/>
      <c r="H426" s="1702" t="str">
        <f>IFERROR(VLOOKUP(F426,Trainingsarten!$A$9:$K$84,10,FALSE),"")</f>
        <v/>
      </c>
      <c r="I426" s="1703" t="str">
        <f t="shared" si="83"/>
        <v/>
      </c>
      <c r="J426" s="1704"/>
      <c r="K426" s="1705" t="str">
        <f>IFERROR(VLOOKUP(F426,Trainingsarten!$A$9:$K$84,11,FALSE),"0")</f>
        <v>0</v>
      </c>
      <c r="L426" s="2806"/>
      <c r="M426" s="2829"/>
      <c r="N426" s="1706" t="str">
        <f t="shared" si="85"/>
        <v/>
      </c>
      <c r="O426" s="1707"/>
      <c r="P426" s="1708" t="str">
        <f>IFERROR(VLOOKUP(F426,Trainingsarten!$A$9:$N$84,12,FALSE),"")</f>
        <v/>
      </c>
      <c r="Q426" s="1283" t="s">
        <v>437</v>
      </c>
      <c r="R426" s="1086" t="str">
        <f>IFERROR(VLOOKUP(F426,Trainingsarten!$A$9:$N$84,14,FALSE),"")</f>
        <v/>
      </c>
      <c r="S426" s="1087" t="str">
        <f t="shared" si="84"/>
        <v/>
      </c>
      <c r="T426" s="1709">
        <f t="shared" si="80"/>
        <v>33.439532701743325</v>
      </c>
      <c r="U426" s="1710">
        <f t="shared" si="78"/>
        <v>36.116743521572928</v>
      </c>
      <c r="V426" s="1088">
        <f t="shared" si="79"/>
        <v>-2.0151484470079524</v>
      </c>
      <c r="W426" s="3284">
        <f t="shared" si="86"/>
        <v>0.92587341607278417</v>
      </c>
      <c r="X426" s="3300"/>
      <c r="Y426" s="3316"/>
      <c r="AA426" s="3301"/>
      <c r="AB426" s="3409"/>
      <c r="AE426" s="1056"/>
    </row>
    <row r="427" spans="2:31" ht="16" thickBot="1" x14ac:dyDescent="0.25">
      <c r="B427" s="2981">
        <f>SUM(K423:K429)</f>
        <v>63</v>
      </c>
      <c r="C427" s="1211">
        <v>43525</v>
      </c>
      <c r="D427" s="1699"/>
      <c r="E427" s="1700"/>
      <c r="F427" s="2694"/>
      <c r="G427" s="1701"/>
      <c r="H427" s="1702" t="str">
        <f>IFERROR(VLOOKUP(F427,Trainingsarten!$A$9:$K$84,10,FALSE),"")</f>
        <v/>
      </c>
      <c r="I427" s="1703" t="str">
        <f t="shared" si="83"/>
        <v/>
      </c>
      <c r="J427" s="1704"/>
      <c r="K427" s="1705" t="str">
        <f>IFERROR(VLOOKUP(F427,Trainingsarten!$A$9:$K$84,11,FALSE),"0")</f>
        <v>0</v>
      </c>
      <c r="L427" s="2806"/>
      <c r="M427" s="2829"/>
      <c r="N427" s="1706" t="str">
        <f t="shared" si="85"/>
        <v/>
      </c>
      <c r="O427" s="1707"/>
      <c r="P427" s="1708" t="str">
        <f>IFERROR(VLOOKUP(F427,Trainingsarten!$A$9:$N$84,12,FALSE),"")</f>
        <v/>
      </c>
      <c r="Q427" s="1283" t="s">
        <v>437</v>
      </c>
      <c r="R427" s="1086" t="str">
        <f>IFERROR(VLOOKUP(F427,Trainingsarten!$A$9:$N$84,14,FALSE),"")</f>
        <v/>
      </c>
      <c r="S427" s="1087" t="str">
        <f t="shared" si="84"/>
        <v/>
      </c>
      <c r="T427" s="1709">
        <f t="shared" si="80"/>
        <v>28.662456601494277</v>
      </c>
      <c r="U427" s="1710">
        <f t="shared" si="78"/>
        <v>35.256821056773575</v>
      </c>
      <c r="V427" s="1088">
        <f t="shared" si="79"/>
        <v>2.6772108198296038</v>
      </c>
      <c r="W427" s="3284">
        <f t="shared" si="86"/>
        <v>0.81296202386878602</v>
      </c>
      <c r="X427" s="3300"/>
      <c r="Y427" s="3316"/>
      <c r="AA427" s="3301"/>
      <c r="AB427" s="3409"/>
      <c r="AE427" s="1056"/>
    </row>
    <row r="428" spans="2:31" x14ac:dyDescent="0.2">
      <c r="B428" s="2982" t="s">
        <v>761</v>
      </c>
      <c r="C428" s="1211">
        <v>43526</v>
      </c>
      <c r="D428" s="1699"/>
      <c r="E428" s="1700"/>
      <c r="F428" s="2694"/>
      <c r="G428" s="1701"/>
      <c r="H428" s="1702" t="str">
        <f>IFERROR(VLOOKUP(F428,Trainingsarten!$A$9:$K$84,10,FALSE),"")</f>
        <v/>
      </c>
      <c r="I428" s="1703" t="str">
        <f t="shared" si="83"/>
        <v/>
      </c>
      <c r="J428" s="1704"/>
      <c r="K428" s="1705" t="str">
        <f>IFERROR(VLOOKUP(F428,Trainingsarten!$A$9:$K$84,11,FALSE),"0")</f>
        <v>0</v>
      </c>
      <c r="L428" s="2806"/>
      <c r="M428" s="2829"/>
      <c r="N428" s="1706" t="str">
        <f t="shared" si="85"/>
        <v/>
      </c>
      <c r="O428" s="1707"/>
      <c r="P428" s="1708" t="str">
        <f>IFERROR(VLOOKUP(F428,Trainingsarten!$A$9:$N$84,12,FALSE),"")</f>
        <v/>
      </c>
      <c r="Q428" s="1283" t="s">
        <v>437</v>
      </c>
      <c r="R428" s="1086" t="str">
        <f>IFERROR(VLOOKUP(F428,Trainingsarten!$A$9:$N$84,14,FALSE),"")</f>
        <v/>
      </c>
      <c r="S428" s="1087" t="str">
        <f t="shared" si="84"/>
        <v/>
      </c>
      <c r="T428" s="1709">
        <f t="shared" si="80"/>
        <v>24.567819944137952</v>
      </c>
      <c r="U428" s="1710">
        <f t="shared" si="78"/>
        <v>34.417372936374207</v>
      </c>
      <c r="V428" s="1088">
        <f t="shared" si="79"/>
        <v>6.5943644552792975</v>
      </c>
      <c r="W428" s="3284">
        <f t="shared" si="86"/>
        <v>0.71382031364088527</v>
      </c>
      <c r="X428" s="3300"/>
      <c r="Y428" s="3316"/>
      <c r="AA428" s="3301"/>
      <c r="AB428" s="3409"/>
      <c r="AE428" s="1056"/>
    </row>
    <row r="429" spans="2:31" ht="16" thickBot="1" x14ac:dyDescent="0.25">
      <c r="B429" s="2983">
        <f>AVERAGE(W423:W429)</f>
        <v>0.88478017546403109</v>
      </c>
      <c r="C429" s="1711">
        <v>43527</v>
      </c>
      <c r="D429" s="1683"/>
      <c r="E429" s="1712"/>
      <c r="F429" s="2695"/>
      <c r="G429" s="1713"/>
      <c r="H429" s="1724" t="str">
        <f>IFERROR(VLOOKUP(F429,Trainingsarten!$A$9:$K$84,10,FALSE),"")</f>
        <v/>
      </c>
      <c r="I429" s="1725" t="str">
        <f t="shared" si="83"/>
        <v/>
      </c>
      <c r="J429" s="1726"/>
      <c r="K429" s="1717" t="str">
        <f>IFERROR(VLOOKUP(F429,Trainingsarten!$A$9:$K$84,11,FALSE),"0")</f>
        <v>0</v>
      </c>
      <c r="L429" s="2808"/>
      <c r="M429" s="2832"/>
      <c r="N429" s="1739" t="str">
        <f t="shared" si="85"/>
        <v/>
      </c>
      <c r="O429" s="1719"/>
      <c r="P429" s="1720" t="str">
        <f>IFERROR(VLOOKUP(F429,Trainingsarten!$A$9:$N$84,12,FALSE),"")</f>
        <v/>
      </c>
      <c r="Q429" s="1721" t="s">
        <v>437</v>
      </c>
      <c r="R429" s="1151" t="str">
        <f>IFERROR(VLOOKUP(F429,Trainingsarten!$A$9:$N$84,14,FALSE),"")</f>
        <v/>
      </c>
      <c r="S429" s="1106" t="str">
        <f t="shared" si="84"/>
        <v/>
      </c>
      <c r="T429" s="1722">
        <f t="shared" si="80"/>
        <v>21.058131380689673</v>
      </c>
      <c r="U429" s="1723">
        <f t="shared" si="78"/>
        <v>33.597911675984342</v>
      </c>
      <c r="V429" s="1152">
        <f t="shared" si="79"/>
        <v>9.849552992236255</v>
      </c>
      <c r="W429" s="3285">
        <f t="shared" si="86"/>
        <v>0.6267690558798017</v>
      </c>
      <c r="X429" s="3300"/>
      <c r="Y429" s="3316"/>
      <c r="AA429" s="3301"/>
      <c r="AB429" s="3409"/>
      <c r="AE429" s="1056"/>
    </row>
    <row r="430" spans="2:31" ht="16" thickBot="1" x14ac:dyDescent="0.25">
      <c r="B430" s="2977">
        <f>B423+1</f>
        <v>10</v>
      </c>
      <c r="C430" s="1241">
        <v>43528</v>
      </c>
      <c r="D430" s="1191"/>
      <c r="E430" s="1192"/>
      <c r="F430" s="2687"/>
      <c r="G430" s="1349"/>
      <c r="H430" s="1697" t="str">
        <f>IFERROR(VLOOKUP(F430,Trainingsarten!$A$9:$K$84,10,FALSE),"")</f>
        <v/>
      </c>
      <c r="I430" s="1368" t="str">
        <f t="shared" si="83"/>
        <v/>
      </c>
      <c r="J430" s="1354"/>
      <c r="K430" s="1353" t="str">
        <f>IFERROR(VLOOKUP(F430,Trainingsarten!$A$9:$K$84,11,FALSE),"0")</f>
        <v>0</v>
      </c>
      <c r="L430" s="1915"/>
      <c r="M430" s="2833"/>
      <c r="N430" s="1199" t="str">
        <f t="shared" si="85"/>
        <v/>
      </c>
      <c r="O430" s="1668"/>
      <c r="P430" s="1267" t="str">
        <f>IFERROR(VLOOKUP(F430,Trainingsarten!$A$9:$N$84,12,FALSE),"")</f>
        <v/>
      </c>
      <c r="Q430" s="1202" t="s">
        <v>437</v>
      </c>
      <c r="R430" s="1069" t="str">
        <f>IFERROR(VLOOKUP(F430,Trainingsarten!$A$9:$N$84,14,FALSE),"")</f>
        <v/>
      </c>
      <c r="S430" s="1070" t="str">
        <f t="shared" si="84"/>
        <v/>
      </c>
      <c r="T430" s="1669">
        <f t="shared" si="80"/>
        <v>18.049826897734004</v>
      </c>
      <c r="U430" s="1055">
        <f t="shared" si="78"/>
        <v>32.797961397984714</v>
      </c>
      <c r="V430" s="1268">
        <f t="shared" si="79"/>
        <v>12.539780295294669</v>
      </c>
      <c r="W430" s="3286">
        <f t="shared" si="86"/>
        <v>0.55033380516275265</v>
      </c>
      <c r="X430" s="3300"/>
      <c r="Y430" s="3316"/>
      <c r="AA430" s="3301"/>
      <c r="AB430" s="3409"/>
      <c r="AE430" s="1056"/>
    </row>
    <row r="431" spans="2:31" x14ac:dyDescent="0.2">
      <c r="B431" s="2978" t="s">
        <v>626</v>
      </c>
      <c r="C431" s="1211">
        <v>43529</v>
      </c>
      <c r="D431" s="1212" t="s">
        <v>535</v>
      </c>
      <c r="E431" s="1213"/>
      <c r="F431" s="2688" t="s">
        <v>665</v>
      </c>
      <c r="G431" s="1357">
        <v>4.4756944444444446E-2</v>
      </c>
      <c r="H431" s="1358">
        <v>11.6</v>
      </c>
      <c r="I431" s="1369">
        <f t="shared" si="83"/>
        <v>3.8583572796934869E-3</v>
      </c>
      <c r="J431" s="1306">
        <v>137</v>
      </c>
      <c r="K431" s="1305">
        <v>70</v>
      </c>
      <c r="L431" s="2806">
        <v>215</v>
      </c>
      <c r="M431" s="2829"/>
      <c r="N431" s="1208">
        <f t="shared" si="85"/>
        <v>1.0697439526505406</v>
      </c>
      <c r="O431" s="1670" t="s">
        <v>749</v>
      </c>
      <c r="P431" s="1136" t="str">
        <f>IFERROR(VLOOKUP(F431,Trainingsarten!$A$9:$N$84,12,FALSE),"")</f>
        <v/>
      </c>
      <c r="Q431" s="1137" t="s">
        <v>437</v>
      </c>
      <c r="R431" s="1086" t="str">
        <f>IFERROR(VLOOKUP(F431,Trainingsarten!$A$9:$N$84,14,FALSE),"")</f>
        <v/>
      </c>
      <c r="S431" s="1087">
        <f t="shared" si="84"/>
        <v>1.5693430656934306</v>
      </c>
      <c r="T431" s="1232">
        <f t="shared" si="80"/>
        <v>25.471280198057716</v>
      </c>
      <c r="U431" s="1239">
        <f t="shared" si="78"/>
        <v>33.683724221842219</v>
      </c>
      <c r="V431" s="1210">
        <f t="shared" si="79"/>
        <v>14.74813450025071</v>
      </c>
      <c r="W431" s="3284">
        <f t="shared" si="86"/>
        <v>0.75618954811240435</v>
      </c>
      <c r="X431" s="3300"/>
      <c r="Y431" s="3316"/>
      <c r="AA431" s="3301"/>
      <c r="AB431" s="3409"/>
      <c r="AE431" s="1056"/>
    </row>
    <row r="432" spans="2:31" ht="16" thickBot="1" x14ac:dyDescent="0.25">
      <c r="B432" s="2979">
        <f>SUM(H430:H436)</f>
        <v>64.66</v>
      </c>
      <c r="C432" s="1211">
        <v>43530</v>
      </c>
      <c r="D432" s="1089" t="s">
        <v>536</v>
      </c>
      <c r="E432" s="1205"/>
      <c r="F432" s="2688" t="s">
        <v>665</v>
      </c>
      <c r="G432" s="1357">
        <v>4.3935185185185188E-2</v>
      </c>
      <c r="H432" s="1358">
        <v>11.55</v>
      </c>
      <c r="I432" s="1369">
        <f t="shared" si="83"/>
        <v>3.8039121372454706E-3</v>
      </c>
      <c r="J432" s="1306">
        <v>139</v>
      </c>
      <c r="K432" s="1305">
        <v>71</v>
      </c>
      <c r="L432" s="2806">
        <v>219</v>
      </c>
      <c r="M432" s="2829"/>
      <c r="N432" s="1208">
        <f t="shared" si="85"/>
        <v>1.0742702074045356</v>
      </c>
      <c r="O432" s="1670" t="s">
        <v>749</v>
      </c>
      <c r="P432" s="1136" t="str">
        <f>IFERROR(VLOOKUP(F432,Trainingsarten!$A$9:$N$84,12,FALSE),"")</f>
        <v/>
      </c>
      <c r="Q432" s="1137" t="s">
        <v>437</v>
      </c>
      <c r="R432" s="1086" t="str">
        <f>IFERROR(VLOOKUP(F432,Trainingsarten!$A$9:$N$84,14,FALSE),"")</f>
        <v/>
      </c>
      <c r="S432" s="1087">
        <f t="shared" si="84"/>
        <v>1.5755395683453237</v>
      </c>
      <c r="T432" s="1232">
        <f t="shared" si="80"/>
        <v>31.975383026906613</v>
      </c>
      <c r="U432" s="1239">
        <f t="shared" ref="U432:U495" si="87">U431+(K432-U431)/42</f>
        <v>34.572206978465026</v>
      </c>
      <c r="V432" s="1210">
        <f t="shared" ref="V432:V495" si="88">U431-T431</f>
        <v>8.2124440237845029</v>
      </c>
      <c r="W432" s="3284">
        <f t="shared" si="86"/>
        <v>0.92488694883795031</v>
      </c>
      <c r="X432" s="3300"/>
      <c r="Y432" s="3316"/>
      <c r="AA432" s="3301"/>
      <c r="AB432" s="3409"/>
      <c r="AE432" s="1056"/>
    </row>
    <row r="433" spans="2:31" x14ac:dyDescent="0.2">
      <c r="B433" s="2980" t="s">
        <v>628</v>
      </c>
      <c r="C433" s="1211">
        <v>43531</v>
      </c>
      <c r="D433" s="1089" t="s">
        <v>537</v>
      </c>
      <c r="E433" s="1205"/>
      <c r="F433" s="2688" t="s">
        <v>794</v>
      </c>
      <c r="G433" s="1357">
        <v>3.8240740740740742E-2</v>
      </c>
      <c r="H433" s="1358">
        <v>10.02</v>
      </c>
      <c r="I433" s="1369">
        <f t="shared" si="83"/>
        <v>3.8164411916906931E-3</v>
      </c>
      <c r="J433" s="1306">
        <v>146</v>
      </c>
      <c r="K433" s="1305">
        <v>68</v>
      </c>
      <c r="L433" s="2806">
        <v>208</v>
      </c>
      <c r="M433" s="2829"/>
      <c r="N433" s="1208">
        <f t="shared" si="85"/>
        <v>1.0236720588673403</v>
      </c>
      <c r="O433" s="1670" t="s">
        <v>667</v>
      </c>
      <c r="P433" s="1136" t="str">
        <f>IFERROR(VLOOKUP(F433,Trainingsarten!$A$9:$N$84,12,FALSE),"")</f>
        <v/>
      </c>
      <c r="Q433" s="1137" t="s">
        <v>437</v>
      </c>
      <c r="R433" s="1086" t="str">
        <f>IFERROR(VLOOKUP(F433,Trainingsarten!$A$9:$N$84,14,FALSE),"")</f>
        <v/>
      </c>
      <c r="S433" s="1087">
        <f t="shared" si="84"/>
        <v>1.4246575342465753</v>
      </c>
      <c r="T433" s="1232">
        <f t="shared" ref="T433:T496" si="89">T432+(K433-T432)/7</f>
        <v>37.121756880205666</v>
      </c>
      <c r="U433" s="1239">
        <f t="shared" si="87"/>
        <v>35.368106812311098</v>
      </c>
      <c r="V433" s="1210">
        <f t="shared" si="88"/>
        <v>2.5968239515584131</v>
      </c>
      <c r="W433" s="3284">
        <f t="shared" si="86"/>
        <v>1.0495828085229642</v>
      </c>
      <c r="X433" s="3300"/>
      <c r="Y433" s="3316"/>
      <c r="AA433" s="3301"/>
      <c r="AB433" s="3409"/>
      <c r="AE433" s="1056"/>
    </row>
    <row r="434" spans="2:31" ht="16" thickBot="1" x14ac:dyDescent="0.25">
      <c r="B434" s="2981">
        <f>SUM(K430:K436)</f>
        <v>398</v>
      </c>
      <c r="C434" s="1211">
        <v>43532</v>
      </c>
      <c r="D434" s="1089" t="s">
        <v>538</v>
      </c>
      <c r="E434" s="1205"/>
      <c r="F434" s="2688" t="s">
        <v>639</v>
      </c>
      <c r="G434" s="1357">
        <v>4.207175925925926E-2</v>
      </c>
      <c r="H434" s="1358">
        <v>10.7</v>
      </c>
      <c r="I434" s="1369">
        <f t="shared" si="83"/>
        <v>3.9319401176877815E-3</v>
      </c>
      <c r="J434" s="1306">
        <v>135</v>
      </c>
      <c r="K434" s="1305">
        <v>64</v>
      </c>
      <c r="L434" s="2806">
        <v>213</v>
      </c>
      <c r="M434" s="2829"/>
      <c r="N434" s="1208">
        <f t="shared" ref="N434:N465" si="90">IFERROR((L434/67)/(1/(I434*24)/3.6),"")</f>
        <v>1.0800041846840567</v>
      </c>
      <c r="O434" s="1670" t="s">
        <v>668</v>
      </c>
      <c r="P434" s="1136" t="str">
        <f>IFERROR(VLOOKUP(F434,Trainingsarten!$A$9:$N$84,12,FALSE),"")</f>
        <v/>
      </c>
      <c r="Q434" s="1137" t="s">
        <v>437</v>
      </c>
      <c r="R434" s="1086" t="str">
        <f>IFERROR(VLOOKUP(F434,Trainingsarten!$A$9:$N$84,14,FALSE),"")</f>
        <v/>
      </c>
      <c r="S434" s="1087">
        <f t="shared" si="84"/>
        <v>1.5777777777777777</v>
      </c>
      <c r="T434" s="1232">
        <f t="shared" si="89"/>
        <v>40.961505897319142</v>
      </c>
      <c r="U434" s="1239">
        <f t="shared" si="87"/>
        <v>36.049818554875117</v>
      </c>
      <c r="V434" s="1210">
        <f t="shared" si="88"/>
        <v>-1.7536500678945686</v>
      </c>
      <c r="W434" s="3284">
        <f t="shared" si="86"/>
        <v>1.1362472139760549</v>
      </c>
      <c r="X434" s="3300"/>
      <c r="Y434" s="3316"/>
      <c r="AA434" s="3301"/>
      <c r="AB434" s="3409"/>
      <c r="AE434" s="1056"/>
    </row>
    <row r="435" spans="2:31" x14ac:dyDescent="0.2">
      <c r="B435" s="2982" t="s">
        <v>761</v>
      </c>
      <c r="C435" s="1211">
        <v>43533</v>
      </c>
      <c r="D435" s="1089" t="s">
        <v>539</v>
      </c>
      <c r="E435" s="1205"/>
      <c r="F435" s="2688" t="s">
        <v>748</v>
      </c>
      <c r="G435" s="1357">
        <v>8.2233796296296291E-2</v>
      </c>
      <c r="H435" s="1358">
        <v>20.79</v>
      </c>
      <c r="I435" s="1369">
        <f t="shared" si="83"/>
        <v>3.9554495573014088E-3</v>
      </c>
      <c r="J435" s="1306">
        <v>143</v>
      </c>
      <c r="K435" s="1305">
        <v>125</v>
      </c>
      <c r="L435" s="2806">
        <v>213</v>
      </c>
      <c r="M435" s="2829"/>
      <c r="N435" s="1208">
        <f t="shared" si="90"/>
        <v>1.0864616312377504</v>
      </c>
      <c r="O435" s="1670" t="s">
        <v>750</v>
      </c>
      <c r="P435" s="1136" t="str">
        <f>IFERROR(VLOOKUP(F435,Trainingsarten!$A$9:$N$84,12,FALSE),"")</f>
        <v/>
      </c>
      <c r="Q435" s="1137" t="s">
        <v>437</v>
      </c>
      <c r="R435" s="1086" t="str">
        <f>IFERROR(VLOOKUP(F435,Trainingsarten!$A$9:$N$84,14,FALSE),"")</f>
        <v/>
      </c>
      <c r="S435" s="1087">
        <f t="shared" si="84"/>
        <v>1.4895104895104896</v>
      </c>
      <c r="T435" s="1232">
        <f t="shared" si="89"/>
        <v>52.967005054844975</v>
      </c>
      <c r="U435" s="1239">
        <f t="shared" si="87"/>
        <v>38.167680017854281</v>
      </c>
      <c r="V435" s="1210">
        <f t="shared" si="88"/>
        <v>-4.9116873424440257</v>
      </c>
      <c r="W435" s="3284">
        <f t="shared" si="86"/>
        <v>1.3877449462494913</v>
      </c>
      <c r="X435" s="3300"/>
      <c r="Y435" s="3316"/>
      <c r="AA435" s="3301"/>
      <c r="AB435" s="3409"/>
      <c r="AE435" s="1056"/>
    </row>
    <row r="436" spans="2:31" ht="16" thickBot="1" x14ac:dyDescent="0.25">
      <c r="B436" s="2983">
        <f>AVERAGE(W430:W436)</f>
        <v>1.0033561469348711</v>
      </c>
      <c r="C436" s="1260">
        <v>43534</v>
      </c>
      <c r="D436" s="1108"/>
      <c r="E436" s="1261"/>
      <c r="F436" s="2689"/>
      <c r="G436" s="1361"/>
      <c r="H436" s="1362" t="str">
        <f>IFERROR(VLOOKUP(F436,Trainingsarten!$A$9:$K$84,10,FALSE),"")</f>
        <v/>
      </c>
      <c r="I436" s="1370" t="str">
        <f t="shared" si="83"/>
        <v/>
      </c>
      <c r="J436" s="1317"/>
      <c r="K436" s="1316" t="str">
        <f>IFERROR(VLOOKUP(F436,Trainingsarten!$A$9:$K$84,11,FALSE),"0")</f>
        <v>0</v>
      </c>
      <c r="L436" s="2807"/>
      <c r="M436" s="2830"/>
      <c r="N436" s="1223" t="str">
        <f t="shared" si="90"/>
        <v/>
      </c>
      <c r="O436" s="1671"/>
      <c r="P436" s="1225" t="str">
        <f>IFERROR(VLOOKUP(F436,Trainingsarten!$A$9:$N$84,12,FALSE),"")</f>
        <v/>
      </c>
      <c r="Q436" s="1226" t="s">
        <v>437</v>
      </c>
      <c r="R436" s="1105" t="str">
        <f>IFERROR(VLOOKUP(F436,Trainingsarten!$A$9:$N$84,14,FALSE),"")</f>
        <v/>
      </c>
      <c r="S436" s="1106" t="str">
        <f t="shared" si="84"/>
        <v/>
      </c>
      <c r="T436" s="1215">
        <f t="shared" si="89"/>
        <v>45.400290047009982</v>
      </c>
      <c r="U436" s="1227">
        <f t="shared" si="87"/>
        <v>37.258925731714896</v>
      </c>
      <c r="V436" s="1227">
        <f t="shared" si="88"/>
        <v>-14.799325036990695</v>
      </c>
      <c r="W436" s="3287">
        <f t="shared" si="86"/>
        <v>1.2185077576824803</v>
      </c>
      <c r="X436" s="3300"/>
      <c r="Y436" s="3316"/>
      <c r="AA436" s="3301"/>
      <c r="AB436" s="3409"/>
      <c r="AE436" s="1056"/>
    </row>
    <row r="437" spans="2:31" ht="16" thickBot="1" x14ac:dyDescent="0.25">
      <c r="B437" s="2977">
        <f>B430+1</f>
        <v>11</v>
      </c>
      <c r="C437" s="1245">
        <v>43535</v>
      </c>
      <c r="D437" s="1111"/>
      <c r="E437" s="1112"/>
      <c r="F437" s="2690"/>
      <c r="G437" s="1647"/>
      <c r="H437" s="1648" t="str">
        <f>IFERROR(VLOOKUP(F437,Trainingsarten!$A$9:$K$84,10,FALSE),"")</f>
        <v/>
      </c>
      <c r="I437" s="1230" t="str">
        <f t="shared" si="83"/>
        <v/>
      </c>
      <c r="J437" s="1324"/>
      <c r="K437" s="1325" t="str">
        <f>IFERROR(VLOOKUP(F437,Trainingsarten!$A$9:$K$84,11,FALSE),"0")</f>
        <v>0</v>
      </c>
      <c r="L437" s="1326"/>
      <c r="M437" s="2831"/>
      <c r="N437" s="1119" t="str">
        <f t="shared" si="90"/>
        <v/>
      </c>
      <c r="O437" s="1649"/>
      <c r="P437" s="1277" t="str">
        <f>IFERROR(VLOOKUP(F437,Trainingsarten!$A$9:$N$84,12,FALSE),"")</f>
        <v/>
      </c>
      <c r="Q437" s="1122" t="s">
        <v>437</v>
      </c>
      <c r="R437" s="1122" t="str">
        <f>IFERROR(VLOOKUP(F437,Trainingsarten!$A$9:$N$84,14,FALSE),"")</f>
        <v/>
      </c>
      <c r="S437" s="1070" t="str">
        <f t="shared" si="84"/>
        <v/>
      </c>
      <c r="T437" s="1650">
        <f t="shared" si="89"/>
        <v>38.914534326008557</v>
      </c>
      <c r="U437" s="1651">
        <f t="shared" si="87"/>
        <v>36.37180845238835</v>
      </c>
      <c r="V437" s="1278">
        <f t="shared" si="88"/>
        <v>-8.1413643152950854</v>
      </c>
      <c r="W437" s="3283">
        <f t="shared" si="86"/>
        <v>1.0699092506480314</v>
      </c>
      <c r="X437" s="3300"/>
      <c r="Y437" s="3316"/>
      <c r="AA437" s="3301"/>
      <c r="AB437" s="3409"/>
      <c r="AE437" s="1056"/>
    </row>
    <row r="438" spans="2:31" x14ac:dyDescent="0.2">
      <c r="B438" s="2978" t="s">
        <v>626</v>
      </c>
      <c r="C438" s="1698">
        <v>43536</v>
      </c>
      <c r="D438" s="1699" t="s">
        <v>540</v>
      </c>
      <c r="E438" s="1700"/>
      <c r="F438" s="2694" t="s">
        <v>791</v>
      </c>
      <c r="G438" s="1701">
        <v>4.1284722222222223E-2</v>
      </c>
      <c r="H438" s="1702">
        <v>10.7</v>
      </c>
      <c r="I438" s="1703">
        <f t="shared" si="83"/>
        <v>3.8583852544132923E-3</v>
      </c>
      <c r="J438" s="1704">
        <v>144</v>
      </c>
      <c r="K438" s="1705">
        <v>76</v>
      </c>
      <c r="L438" s="2806">
        <v>206</v>
      </c>
      <c r="M438" s="2829"/>
      <c r="N438" s="1706">
        <f t="shared" si="90"/>
        <v>1.0249714046589484</v>
      </c>
      <c r="O438" s="1707" t="s">
        <v>667</v>
      </c>
      <c r="P438" s="1708" t="str">
        <f>IFERROR(VLOOKUP(F438,Trainingsarten!$A$9:$N$84,12,FALSE),"")</f>
        <v/>
      </c>
      <c r="Q438" s="1283" t="s">
        <v>437</v>
      </c>
      <c r="R438" s="1086" t="str">
        <f>IFERROR(VLOOKUP(F438,Trainingsarten!$A$9:$N$84,14,FALSE),"")</f>
        <v/>
      </c>
      <c r="S438" s="1087">
        <f t="shared" si="84"/>
        <v>1.4305555555555556</v>
      </c>
      <c r="T438" s="1709">
        <f t="shared" si="89"/>
        <v>44.212457993721621</v>
      </c>
      <c r="U438" s="1710">
        <f t="shared" si="87"/>
        <v>37.315336822569577</v>
      </c>
      <c r="V438" s="1088">
        <f t="shared" si="88"/>
        <v>-2.5427258736202063</v>
      </c>
      <c r="W438" s="3284">
        <f t="shared" si="86"/>
        <v>1.1848334159208347</v>
      </c>
      <c r="X438" s="3300"/>
      <c r="Y438" s="3316"/>
      <c r="AA438" s="3301"/>
      <c r="AB438" s="3409"/>
      <c r="AE438" s="1056"/>
    </row>
    <row r="439" spans="2:31" ht="16" thickBot="1" x14ac:dyDescent="0.25">
      <c r="B439" s="2979">
        <f>SUM(H437:H443)</f>
        <v>64.05</v>
      </c>
      <c r="C439" s="1211">
        <v>43537</v>
      </c>
      <c r="D439" s="1699" t="s">
        <v>541</v>
      </c>
      <c r="E439" s="1700"/>
      <c r="F439" s="2694" t="s">
        <v>665</v>
      </c>
      <c r="G439" s="1701">
        <v>4.4780092592592587E-2</v>
      </c>
      <c r="H439" s="1702">
        <v>11.6</v>
      </c>
      <c r="I439" s="1703">
        <f t="shared" si="83"/>
        <v>3.8603528097062574E-3</v>
      </c>
      <c r="J439" s="1704">
        <v>138</v>
      </c>
      <c r="K439" s="1705">
        <v>70</v>
      </c>
      <c r="L439" s="2806">
        <v>214</v>
      </c>
      <c r="M439" s="2829"/>
      <c r="N439" s="1706">
        <f t="shared" si="90"/>
        <v>1.065319094184251</v>
      </c>
      <c r="O439" s="1707" t="s">
        <v>749</v>
      </c>
      <c r="P439" s="1708" t="str">
        <f>IFERROR(VLOOKUP(F439,Trainingsarten!$A$9:$N$84,12,FALSE),"")</f>
        <v/>
      </c>
      <c r="Q439" s="1283" t="s">
        <v>437</v>
      </c>
      <c r="R439" s="1086" t="str">
        <f>IFERROR(VLOOKUP(F439,Trainingsarten!$A$9:$N$84,14,FALSE),"")</f>
        <v/>
      </c>
      <c r="S439" s="1087">
        <f t="shared" si="84"/>
        <v>1.5507246376811594</v>
      </c>
      <c r="T439" s="1709">
        <f t="shared" si="89"/>
        <v>47.896392566047105</v>
      </c>
      <c r="U439" s="1710">
        <f t="shared" si="87"/>
        <v>38.093543088698873</v>
      </c>
      <c r="V439" s="1088">
        <f t="shared" si="88"/>
        <v>-6.8971211711520439</v>
      </c>
      <c r="W439" s="3284">
        <f t="shared" si="86"/>
        <v>1.2573362486792787</v>
      </c>
      <c r="X439" s="3300"/>
      <c r="Y439" s="3316"/>
      <c r="AA439" s="3301"/>
      <c r="AB439" s="3409"/>
      <c r="AE439" s="1056"/>
    </row>
    <row r="440" spans="2:31" x14ac:dyDescent="0.2">
      <c r="B440" s="2980" t="s">
        <v>628</v>
      </c>
      <c r="C440" s="1211">
        <v>43538</v>
      </c>
      <c r="D440" s="1699"/>
      <c r="E440" s="1700"/>
      <c r="F440" s="2694"/>
      <c r="G440" s="1701"/>
      <c r="H440" s="1702" t="str">
        <f>IFERROR(VLOOKUP(F440,Trainingsarten!$A$9:$K$84,10,FALSE),"")</f>
        <v/>
      </c>
      <c r="I440" s="1703" t="str">
        <f t="shared" si="83"/>
        <v/>
      </c>
      <c r="J440" s="1704"/>
      <c r="K440" s="1705" t="str">
        <f>IFERROR(VLOOKUP(F440,Trainingsarten!$A$9:$K$84,11,FALSE),"0")</f>
        <v>0</v>
      </c>
      <c r="L440" s="2806"/>
      <c r="M440" s="2829"/>
      <c r="N440" s="1706" t="str">
        <f t="shared" si="90"/>
        <v/>
      </c>
      <c r="O440" s="1707"/>
      <c r="P440" s="1708" t="str">
        <f>IFERROR(VLOOKUP(F440,Trainingsarten!$A$9:$N$84,12,FALSE),"")</f>
        <v/>
      </c>
      <c r="Q440" s="1283" t="s">
        <v>437</v>
      </c>
      <c r="R440" s="1086" t="str">
        <f>IFERROR(VLOOKUP(F440,Trainingsarten!$A$9:$N$84,14,FALSE),"")</f>
        <v/>
      </c>
      <c r="S440" s="1087" t="str">
        <f t="shared" si="84"/>
        <v/>
      </c>
      <c r="T440" s="1709">
        <f t="shared" si="89"/>
        <v>41.054050770897518</v>
      </c>
      <c r="U440" s="1710">
        <f t="shared" si="87"/>
        <v>37.186553967539375</v>
      </c>
      <c r="V440" s="1088">
        <f t="shared" si="88"/>
        <v>-9.8028494773482322</v>
      </c>
      <c r="W440" s="3284">
        <f t="shared" si="86"/>
        <v>1.104002559815952</v>
      </c>
      <c r="X440" s="3300"/>
      <c r="Y440" s="3316"/>
      <c r="AA440" s="3301"/>
      <c r="AB440" s="3409"/>
      <c r="AE440" s="1056"/>
    </row>
    <row r="441" spans="2:31" ht="16" thickBot="1" x14ac:dyDescent="0.25">
      <c r="B441" s="2981">
        <f>SUM(K437:K443)</f>
        <v>404</v>
      </c>
      <c r="C441" s="1211">
        <v>43539</v>
      </c>
      <c r="D441" s="1699" t="s">
        <v>542</v>
      </c>
      <c r="E441" s="1700"/>
      <c r="F441" s="2694" t="s">
        <v>662</v>
      </c>
      <c r="G441" s="1701">
        <v>3.5856481481481482E-2</v>
      </c>
      <c r="H441" s="1702">
        <v>9.19</v>
      </c>
      <c r="I441" s="1703">
        <f t="shared" si="83"/>
        <v>3.9016846008140898E-3</v>
      </c>
      <c r="J441" s="1704">
        <v>140</v>
      </c>
      <c r="K441" s="1705">
        <v>62</v>
      </c>
      <c r="L441" s="2806">
        <v>205</v>
      </c>
      <c r="M441" s="2829"/>
      <c r="N441" s="1706">
        <f t="shared" si="90"/>
        <v>1.0314423529793906</v>
      </c>
      <c r="O441" s="1707" t="s">
        <v>751</v>
      </c>
      <c r="P441" s="1708">
        <f>IFERROR(VLOOKUP(F441,Trainingsarten!$A$9:$N$84,12,FALSE),"")</f>
        <v>279.29999999999995</v>
      </c>
      <c r="Q441" s="1283" t="s">
        <v>437</v>
      </c>
      <c r="R441" s="1086">
        <f>IFERROR(VLOOKUP(F441,Trainingsarten!$A$9:$N$84,14,FALSE),"")</f>
        <v>314.60000000000002</v>
      </c>
      <c r="S441" s="1087">
        <f t="shared" si="84"/>
        <v>1.4642857142857142</v>
      </c>
      <c r="T441" s="1709">
        <f t="shared" si="89"/>
        <v>44.04632923219787</v>
      </c>
      <c r="U441" s="1710">
        <f t="shared" si="87"/>
        <v>37.777350301645583</v>
      </c>
      <c r="V441" s="1088">
        <f t="shared" si="88"/>
        <v>-3.8674968033581436</v>
      </c>
      <c r="W441" s="3284">
        <f t="shared" si="86"/>
        <v>1.1659454376893981</v>
      </c>
      <c r="X441" s="3300"/>
      <c r="Y441" s="3316"/>
      <c r="AA441" s="3301"/>
      <c r="AB441" s="3409"/>
      <c r="AE441" s="1056"/>
    </row>
    <row r="442" spans="2:31" x14ac:dyDescent="0.2">
      <c r="B442" s="2982" t="s">
        <v>761</v>
      </c>
      <c r="C442" s="1211">
        <v>43540</v>
      </c>
      <c r="D442" s="1699" t="s">
        <v>543</v>
      </c>
      <c r="E442" s="1700"/>
      <c r="F442" s="2694" t="s">
        <v>665</v>
      </c>
      <c r="G442" s="1701">
        <v>4.5879629629629631E-2</v>
      </c>
      <c r="H442" s="1702">
        <v>11.96</v>
      </c>
      <c r="I442" s="1703">
        <f t="shared" si="83"/>
        <v>3.8360894339155207E-3</v>
      </c>
      <c r="J442" s="1704">
        <v>129</v>
      </c>
      <c r="K442" s="1705">
        <v>72</v>
      </c>
      <c r="L442" s="2806">
        <v>215</v>
      </c>
      <c r="M442" s="2829"/>
      <c r="N442" s="1706">
        <f t="shared" si="90"/>
        <v>1.0635701093196228</v>
      </c>
      <c r="O442" s="1707" t="s">
        <v>749</v>
      </c>
      <c r="P442" s="1708" t="str">
        <f>IFERROR(VLOOKUP(F442,Trainingsarten!$A$9:$N$84,12,FALSE),"")</f>
        <v/>
      </c>
      <c r="Q442" s="1283" t="s">
        <v>437</v>
      </c>
      <c r="R442" s="1086" t="str">
        <f>IFERROR(VLOOKUP(F442,Trainingsarten!$A$9:$N$84,14,FALSE),"")</f>
        <v/>
      </c>
      <c r="S442" s="1087">
        <f t="shared" si="84"/>
        <v>1.6666666666666667</v>
      </c>
      <c r="T442" s="1709">
        <f t="shared" si="89"/>
        <v>48.039710770455315</v>
      </c>
      <c r="U442" s="1710">
        <f t="shared" si="87"/>
        <v>38.592175294463544</v>
      </c>
      <c r="V442" s="1088">
        <f t="shared" si="88"/>
        <v>-6.2689789305522865</v>
      </c>
      <c r="W442" s="3284">
        <f t="shared" si="86"/>
        <v>1.2448044300147838</v>
      </c>
      <c r="X442" s="3300"/>
      <c r="Y442" s="3316"/>
      <c r="AA442" s="3301"/>
      <c r="AB442" s="3409"/>
      <c r="AE442" s="1056"/>
    </row>
    <row r="443" spans="2:31" ht="16" thickBot="1" x14ac:dyDescent="0.25">
      <c r="B443" s="2983">
        <f>AVERAGE(W437:W443)</f>
        <v>1.2109193726115532</v>
      </c>
      <c r="C443" s="1740">
        <v>43541</v>
      </c>
      <c r="D443" s="1722" t="s">
        <v>544</v>
      </c>
      <c r="E443" s="1741"/>
      <c r="F443" s="2695" t="s">
        <v>644</v>
      </c>
      <c r="G443" s="1713">
        <v>7.9444444444444443E-2</v>
      </c>
      <c r="H443" s="1724">
        <v>20.6</v>
      </c>
      <c r="I443" s="1725">
        <f t="shared" si="83"/>
        <v>3.8565264293419629E-3</v>
      </c>
      <c r="J443" s="1726">
        <v>131</v>
      </c>
      <c r="K443" s="1717">
        <v>124</v>
      </c>
      <c r="L443" s="2808">
        <v>215</v>
      </c>
      <c r="M443" s="2832"/>
      <c r="N443" s="1718">
        <f t="shared" si="90"/>
        <v>1.0692363425590492</v>
      </c>
      <c r="O443" s="1719" t="s">
        <v>750</v>
      </c>
      <c r="P443" s="1720" t="str">
        <f>IFERROR(VLOOKUP(F443,Trainingsarten!$A$9:$N$84,12,FALSE),"")</f>
        <v/>
      </c>
      <c r="Q443" s="1721" t="s">
        <v>437</v>
      </c>
      <c r="R443" s="1151" t="str">
        <f>IFERROR(VLOOKUP(F443,Trainingsarten!$A$9:$N$84,14,FALSE),"")</f>
        <v/>
      </c>
      <c r="S443" s="1106">
        <f t="shared" si="84"/>
        <v>1.6412213740458015</v>
      </c>
      <c r="T443" s="1722">
        <f t="shared" si="89"/>
        <v>58.891180660390269</v>
      </c>
      <c r="U443" s="1723">
        <f t="shared" si="87"/>
        <v>40.625694930309649</v>
      </c>
      <c r="V443" s="1152">
        <f t="shared" si="88"/>
        <v>-9.4475354759917707</v>
      </c>
      <c r="W443" s="3285">
        <f t="shared" si="86"/>
        <v>1.4496042655125949</v>
      </c>
      <c r="X443" s="3300"/>
      <c r="Y443" s="3316"/>
      <c r="AA443" s="3301"/>
      <c r="AB443" s="3409"/>
      <c r="AE443" s="1056"/>
    </row>
    <row r="444" spans="2:31" ht="16" thickBot="1" x14ac:dyDescent="0.25">
      <c r="B444" s="2977">
        <f>B437+1</f>
        <v>12</v>
      </c>
      <c r="C444" s="1241">
        <v>43542</v>
      </c>
      <c r="D444" s="1191"/>
      <c r="E444" s="1192"/>
      <c r="F444" s="2687"/>
      <c r="G444" s="1349"/>
      <c r="H444" s="1697" t="str">
        <f>IFERROR(VLOOKUP(F444,Trainingsarten!$A$9:$K$84,10,FALSE),"")</f>
        <v/>
      </c>
      <c r="I444" s="1368" t="str">
        <f t="shared" si="83"/>
        <v/>
      </c>
      <c r="J444" s="1354"/>
      <c r="K444" s="1353" t="str">
        <f>IFERROR(VLOOKUP(F444,Trainingsarten!$A$9:$K$84,11,FALSE),"0")</f>
        <v>0</v>
      </c>
      <c r="L444" s="1915"/>
      <c r="M444" s="2833"/>
      <c r="N444" s="1199" t="str">
        <f t="shared" si="90"/>
        <v/>
      </c>
      <c r="O444" s="1668"/>
      <c r="P444" s="1267" t="str">
        <f>IFERROR(VLOOKUP(F444,Trainingsarten!$A$9:$N$84,12,FALSE),"")</f>
        <v/>
      </c>
      <c r="Q444" s="1202" t="s">
        <v>437</v>
      </c>
      <c r="R444" s="1069" t="str">
        <f>IFERROR(VLOOKUP(F444,Trainingsarten!$A$9:$N$84,14,FALSE),"")</f>
        <v/>
      </c>
      <c r="S444" s="1070" t="str">
        <f t="shared" si="84"/>
        <v/>
      </c>
      <c r="T444" s="1669">
        <f t="shared" si="89"/>
        <v>50.478154851763087</v>
      </c>
      <c r="U444" s="1055">
        <f t="shared" si="87"/>
        <v>39.658416479587991</v>
      </c>
      <c r="V444" s="1268">
        <f t="shared" si="88"/>
        <v>-18.26548573008062</v>
      </c>
      <c r="W444" s="3286">
        <f t="shared" si="86"/>
        <v>1.2728232575232541</v>
      </c>
      <c r="X444" s="3300"/>
      <c r="Y444" s="3316"/>
      <c r="AA444" s="3301"/>
      <c r="AB444" s="3409"/>
      <c r="AE444" s="1056"/>
    </row>
    <row r="445" spans="2:31" x14ac:dyDescent="0.2">
      <c r="B445" s="2978" t="s">
        <v>626</v>
      </c>
      <c r="C445" s="1211">
        <v>43543</v>
      </c>
      <c r="D445" s="1089" t="s">
        <v>545</v>
      </c>
      <c r="E445" s="1205"/>
      <c r="F445" s="2688" t="s">
        <v>796</v>
      </c>
      <c r="G445" s="1357">
        <v>4.8749999999999995E-2</v>
      </c>
      <c r="H445" s="1358">
        <v>12.4</v>
      </c>
      <c r="I445" s="1369">
        <f t="shared" si="83"/>
        <v>3.9314516129032254E-3</v>
      </c>
      <c r="J445" s="1306">
        <v>141</v>
      </c>
      <c r="K445" s="1305">
        <v>87</v>
      </c>
      <c r="L445" s="2806">
        <v>201</v>
      </c>
      <c r="M445" s="2829"/>
      <c r="N445" s="1208">
        <f t="shared" si="90"/>
        <v>1.0190322580645159</v>
      </c>
      <c r="O445" s="1670" t="s">
        <v>667</v>
      </c>
      <c r="P445" s="1136" t="str">
        <f>IFERROR(VLOOKUP(F445,Trainingsarten!$A$9:$N$84,12,FALSE),"")</f>
        <v/>
      </c>
      <c r="Q445" s="1137" t="s">
        <v>437</v>
      </c>
      <c r="R445" s="1086" t="str">
        <f>IFERROR(VLOOKUP(F445,Trainingsarten!$A$9:$N$84,14,FALSE),"")</f>
        <v/>
      </c>
      <c r="S445" s="1087">
        <f t="shared" si="84"/>
        <v>1.425531914893617</v>
      </c>
      <c r="T445" s="1232">
        <f t="shared" si="89"/>
        <v>55.695561301511219</v>
      </c>
      <c r="U445" s="1239">
        <f t="shared" si="87"/>
        <v>40.785597039597803</v>
      </c>
      <c r="V445" s="1210">
        <f t="shared" si="88"/>
        <v>-10.819738372175095</v>
      </c>
      <c r="W445" s="3284">
        <f t="shared" si="86"/>
        <v>1.3655693515394092</v>
      </c>
      <c r="X445" s="3300"/>
      <c r="Y445" s="3316"/>
      <c r="AA445" s="3301"/>
      <c r="AB445" s="3409"/>
      <c r="AE445" s="1056"/>
    </row>
    <row r="446" spans="2:31" ht="16" thickBot="1" x14ac:dyDescent="0.25">
      <c r="B446" s="2979">
        <f>SUM(H444:H450)</f>
        <v>61.6</v>
      </c>
      <c r="C446" s="1211">
        <v>43544</v>
      </c>
      <c r="D446" s="1089" t="s">
        <v>546</v>
      </c>
      <c r="E446" s="1205"/>
      <c r="F446" s="2688" t="s">
        <v>665</v>
      </c>
      <c r="G446" s="1357">
        <v>4.5879629629629631E-2</v>
      </c>
      <c r="H446" s="1358">
        <v>11.64</v>
      </c>
      <c r="I446" s="1369">
        <f t="shared" si="83"/>
        <v>3.9415489372534047E-3</v>
      </c>
      <c r="J446" s="1306">
        <v>125</v>
      </c>
      <c r="K446" s="1305">
        <v>67</v>
      </c>
      <c r="L446" s="2806">
        <v>208</v>
      </c>
      <c r="M446" s="2829"/>
      <c r="N446" s="1208">
        <f t="shared" si="90"/>
        <v>1.0572293173308716</v>
      </c>
      <c r="O446" s="1670" t="s">
        <v>749</v>
      </c>
      <c r="P446" s="1136" t="str">
        <f>IFERROR(VLOOKUP(F446,Trainingsarten!$A$9:$N$84,12,FALSE),"")</f>
        <v/>
      </c>
      <c r="Q446" s="1137" t="s">
        <v>437</v>
      </c>
      <c r="R446" s="1086" t="str">
        <f>IFERROR(VLOOKUP(F446,Trainingsarten!$A$9:$N$84,14,FALSE),"")</f>
        <v/>
      </c>
      <c r="S446" s="1087">
        <f t="shared" si="84"/>
        <v>1.6639999999999999</v>
      </c>
      <c r="T446" s="1232">
        <f t="shared" si="89"/>
        <v>57.310481115581048</v>
      </c>
      <c r="U446" s="1239">
        <f t="shared" si="87"/>
        <v>41.409749491035953</v>
      </c>
      <c r="V446" s="1210">
        <f t="shared" si="88"/>
        <v>-14.909964261913416</v>
      </c>
      <c r="W446" s="3284">
        <f t="shared" si="86"/>
        <v>1.3839852165246052</v>
      </c>
      <c r="X446" s="3300"/>
      <c r="Y446" s="3316"/>
      <c r="AA446" s="3301"/>
      <c r="AB446" s="3409"/>
      <c r="AE446" s="1056"/>
    </row>
    <row r="447" spans="2:31" x14ac:dyDescent="0.2">
      <c r="B447" s="2980" t="s">
        <v>628</v>
      </c>
      <c r="C447" s="1211">
        <v>43545</v>
      </c>
      <c r="D447" s="1089" t="s">
        <v>547</v>
      </c>
      <c r="E447" s="1205"/>
      <c r="F447" s="2688" t="s">
        <v>829</v>
      </c>
      <c r="G447" s="1357">
        <v>3.2731481481481479E-2</v>
      </c>
      <c r="H447" s="1358">
        <v>9.9700000000000006</v>
      </c>
      <c r="I447" s="1369">
        <f t="shared" si="83"/>
        <v>3.2829971395668483E-3</v>
      </c>
      <c r="J447" s="1306">
        <v>154</v>
      </c>
      <c r="K447" s="1305">
        <v>66</v>
      </c>
      <c r="L447" s="2806">
        <v>242</v>
      </c>
      <c r="M447" s="2829"/>
      <c r="N447" s="1208">
        <f t="shared" si="90"/>
        <v>1.0245303073399301</v>
      </c>
      <c r="O447" s="1670" t="s">
        <v>751</v>
      </c>
      <c r="P447" s="1136">
        <f>IFERROR(VLOOKUP(F447,Trainingsarten!$A$9:$N$84,12,FALSE),"")</f>
        <v>230.89999999999998</v>
      </c>
      <c r="Q447" s="1137" t="s">
        <v>437</v>
      </c>
      <c r="R447" s="1086">
        <f>IFERROR(VLOOKUP(F447,Trainingsarten!$A$9:$N$84,14,FALSE),"")</f>
        <v>254.10000000000002</v>
      </c>
      <c r="S447" s="1087">
        <f t="shared" si="84"/>
        <v>1.5714285714285714</v>
      </c>
      <c r="T447" s="1232">
        <f t="shared" si="89"/>
        <v>58.551840956212324</v>
      </c>
      <c r="U447" s="1239">
        <f t="shared" si="87"/>
        <v>41.995231646011284</v>
      </c>
      <c r="V447" s="1210">
        <f t="shared" si="88"/>
        <v>-15.900731624545095</v>
      </c>
      <c r="W447" s="3284">
        <f t="shared" si="86"/>
        <v>1.3942497436318724</v>
      </c>
      <c r="X447" s="3300"/>
      <c r="Y447" s="3316"/>
      <c r="AA447" s="3301"/>
      <c r="AB447" s="3409"/>
      <c r="AE447" s="1056"/>
    </row>
    <row r="448" spans="2:31" ht="16" thickBot="1" x14ac:dyDescent="0.25">
      <c r="B448" s="2981">
        <f>SUM(K444:K450)</f>
        <v>376</v>
      </c>
      <c r="C448" s="1211">
        <v>43546</v>
      </c>
      <c r="D448" s="1089" t="s">
        <v>548</v>
      </c>
      <c r="E448" s="1205"/>
      <c r="F448" s="2688" t="s">
        <v>639</v>
      </c>
      <c r="G448" s="1357">
        <v>4.162037037037037E-2</v>
      </c>
      <c r="H448" s="1358">
        <v>10.74</v>
      </c>
      <c r="I448" s="1369">
        <f t="shared" si="83"/>
        <v>3.8752672598110212E-3</v>
      </c>
      <c r="J448" s="1306">
        <v>126</v>
      </c>
      <c r="K448" s="1305">
        <v>62</v>
      </c>
      <c r="L448" s="2806">
        <v>211</v>
      </c>
      <c r="M448" s="2829"/>
      <c r="N448" s="1208">
        <f t="shared" si="90"/>
        <v>1.0544428694516244</v>
      </c>
      <c r="O448" s="1670" t="s">
        <v>749</v>
      </c>
      <c r="P448" s="1136" t="str">
        <f>IFERROR(VLOOKUP(F448,Trainingsarten!$A$9:$N$84,12,FALSE),"")</f>
        <v/>
      </c>
      <c r="Q448" s="1137" t="s">
        <v>437</v>
      </c>
      <c r="R448" s="1086" t="str">
        <f>IFERROR(VLOOKUP(F448,Trainingsarten!$A$9:$N$84,14,FALSE),"")</f>
        <v/>
      </c>
      <c r="S448" s="1087">
        <f t="shared" si="84"/>
        <v>1.6746031746031746</v>
      </c>
      <c r="T448" s="1232">
        <f t="shared" si="89"/>
        <v>59.044435105324851</v>
      </c>
      <c r="U448" s="1239">
        <f t="shared" si="87"/>
        <v>42.471535654439585</v>
      </c>
      <c r="V448" s="1210">
        <f t="shared" si="88"/>
        <v>-16.55660931020104</v>
      </c>
      <c r="W448" s="3284">
        <f t="shared" si="86"/>
        <v>1.3902119194777194</v>
      </c>
      <c r="X448" s="3300"/>
      <c r="Y448" s="3316"/>
      <c r="AA448" s="3301"/>
      <c r="AB448" s="3409"/>
      <c r="AE448" s="1056"/>
    </row>
    <row r="449" spans="2:31" x14ac:dyDescent="0.2">
      <c r="B449" s="2982" t="s">
        <v>761</v>
      </c>
      <c r="C449" s="1211">
        <v>43547</v>
      </c>
      <c r="D449" s="1089" t="s">
        <v>549</v>
      </c>
      <c r="E449" s="1205"/>
      <c r="F449" s="2688" t="s">
        <v>642</v>
      </c>
      <c r="G449" s="1357">
        <v>7.1412037037037038E-2</v>
      </c>
      <c r="H449" s="1358">
        <v>16.850000000000001</v>
      </c>
      <c r="I449" s="1369">
        <f t="shared" si="83"/>
        <v>4.2381030882514556E-3</v>
      </c>
      <c r="J449" s="1306">
        <v>120</v>
      </c>
      <c r="K449" s="1305">
        <v>94</v>
      </c>
      <c r="L449" s="2806">
        <v>196</v>
      </c>
      <c r="M449" s="2829"/>
      <c r="N449" s="1208">
        <f t="shared" si="90"/>
        <v>1.0711900438460515</v>
      </c>
      <c r="O449" s="1670" t="s">
        <v>750</v>
      </c>
      <c r="P449" s="1136" t="str">
        <f>IFERROR(VLOOKUP(F449,Trainingsarten!$A$9:$N$84,12,FALSE),"")</f>
        <v/>
      </c>
      <c r="Q449" s="1137" t="s">
        <v>437</v>
      </c>
      <c r="R449" s="1086" t="str">
        <f>IFERROR(VLOOKUP(F449,Trainingsarten!$A$9:$N$84,14,FALSE),"")</f>
        <v/>
      </c>
      <c r="S449" s="1087">
        <f t="shared" si="84"/>
        <v>1.6333333333333333</v>
      </c>
      <c r="T449" s="1232">
        <f t="shared" si="89"/>
        <v>64.038087233135585</v>
      </c>
      <c r="U449" s="1239">
        <f t="shared" si="87"/>
        <v>43.698403853143404</v>
      </c>
      <c r="V449" s="1210">
        <f t="shared" si="88"/>
        <v>-16.572899450885267</v>
      </c>
      <c r="W449" s="3284">
        <f t="shared" si="86"/>
        <v>1.4654559797732536</v>
      </c>
      <c r="X449" s="3300"/>
      <c r="Y449" s="3316"/>
      <c r="AA449" s="3301"/>
      <c r="AB449" s="3409"/>
      <c r="AE449" s="1056"/>
    </row>
    <row r="450" spans="2:31" ht="16" thickBot="1" x14ac:dyDescent="0.25">
      <c r="B450" s="2983">
        <f>AVERAGE(W444:W450)</f>
        <v>1.36557675776694</v>
      </c>
      <c r="C450" s="1260">
        <v>43548</v>
      </c>
      <c r="D450" s="1310"/>
      <c r="E450" s="1311"/>
      <c r="F450" s="2689"/>
      <c r="G450" s="1361"/>
      <c r="H450" s="1362" t="str">
        <f>IFERROR(VLOOKUP(F450,Trainingsarten!$A$9:$K$84,10,FALSE),"")</f>
        <v/>
      </c>
      <c r="I450" s="1370" t="str">
        <f t="shared" ref="I450:I513" si="91">IFERROR(G450/H450,"")</f>
        <v/>
      </c>
      <c r="J450" s="1317"/>
      <c r="K450" s="1316" t="str">
        <f>IFERROR(VLOOKUP(F450,Trainingsarten!$A$9:$K$84,11,FALSE),"0")</f>
        <v>0</v>
      </c>
      <c r="L450" s="2807"/>
      <c r="M450" s="2830"/>
      <c r="N450" s="1223" t="str">
        <f t="shared" si="90"/>
        <v/>
      </c>
      <c r="O450" s="1671"/>
      <c r="P450" s="1225" t="str">
        <f>IFERROR(VLOOKUP(F450,Trainingsarten!$A$9:$N$84,12,FALSE),"")</f>
        <v/>
      </c>
      <c r="Q450" s="1226" t="s">
        <v>437</v>
      </c>
      <c r="R450" s="1105" t="str">
        <f>IFERROR(VLOOKUP(F450,Trainingsarten!$A$9:$N$84,14,FALSE),"")</f>
        <v/>
      </c>
      <c r="S450" s="1106" t="str">
        <f t="shared" si="84"/>
        <v/>
      </c>
      <c r="T450" s="1215">
        <f t="shared" si="89"/>
        <v>54.889789056973356</v>
      </c>
      <c r="U450" s="1227">
        <f t="shared" si="87"/>
        <v>42.657965666163797</v>
      </c>
      <c r="V450" s="1227">
        <f t="shared" si="88"/>
        <v>-20.339683379992181</v>
      </c>
      <c r="W450" s="3287">
        <f t="shared" si="86"/>
        <v>1.2867418358984666</v>
      </c>
      <c r="X450" s="3300"/>
      <c r="Y450" s="3316"/>
      <c r="AA450" s="3301"/>
      <c r="AB450" s="3409"/>
      <c r="AE450" s="1056"/>
    </row>
    <row r="451" spans="2:31" ht="16" thickBot="1" x14ac:dyDescent="0.25">
      <c r="B451" s="2977">
        <f>B444+1</f>
        <v>13</v>
      </c>
      <c r="C451" s="1245">
        <v>43549</v>
      </c>
      <c r="D451" s="1111"/>
      <c r="E451" s="1112"/>
      <c r="F451" s="2690"/>
      <c r="G451" s="1647"/>
      <c r="H451" s="1648" t="str">
        <f>IFERROR(VLOOKUP(F451,Trainingsarten!$A$9:$K$84,10,FALSE),"")</f>
        <v/>
      </c>
      <c r="I451" s="1230" t="str">
        <f t="shared" si="91"/>
        <v/>
      </c>
      <c r="J451" s="1324"/>
      <c r="K451" s="1325" t="str">
        <f>IFERROR(VLOOKUP(F451,Trainingsarten!$A$9:$K$84,11,FALSE),"0")</f>
        <v>0</v>
      </c>
      <c r="L451" s="1326"/>
      <c r="M451" s="2831"/>
      <c r="N451" s="1119" t="str">
        <f t="shared" si="90"/>
        <v/>
      </c>
      <c r="O451" s="1649"/>
      <c r="P451" s="1277" t="str">
        <f>IFERROR(VLOOKUP(F451,Trainingsarten!$A$9:$N$84,12,FALSE),"")</f>
        <v/>
      </c>
      <c r="Q451" s="1122" t="s">
        <v>437</v>
      </c>
      <c r="R451" s="1122" t="str">
        <f>IFERROR(VLOOKUP(F451,Trainingsarten!$A$9:$N$84,14,FALSE),"")</f>
        <v/>
      </c>
      <c r="S451" s="1070" t="str">
        <f t="shared" si="84"/>
        <v/>
      </c>
      <c r="T451" s="1650">
        <f t="shared" si="89"/>
        <v>47.048390620262879</v>
      </c>
      <c r="U451" s="1651">
        <f t="shared" si="87"/>
        <v>41.64229981696942</v>
      </c>
      <c r="V451" s="1278">
        <f t="shared" si="88"/>
        <v>-12.231823390809559</v>
      </c>
      <c r="W451" s="3283">
        <f t="shared" si="86"/>
        <v>1.1298220998132877</v>
      </c>
      <c r="X451" s="3300"/>
      <c r="Y451" s="3316"/>
      <c r="AA451" s="3301"/>
      <c r="AB451" s="3409"/>
      <c r="AE451" s="1056"/>
    </row>
    <row r="452" spans="2:31" x14ac:dyDescent="0.2">
      <c r="B452" s="2978" t="s">
        <v>626</v>
      </c>
      <c r="C452" s="1698">
        <v>43550</v>
      </c>
      <c r="D452" s="1699" t="s">
        <v>550</v>
      </c>
      <c r="E452" s="1700"/>
      <c r="F452" s="2694" t="s">
        <v>665</v>
      </c>
      <c r="G452" s="1701">
        <v>4.2557870370370371E-2</v>
      </c>
      <c r="H452" s="1702">
        <v>10.74</v>
      </c>
      <c r="I452" s="1703">
        <f t="shared" si="91"/>
        <v>3.9625577626043176E-3</v>
      </c>
      <c r="J452" s="1704">
        <v>120</v>
      </c>
      <c r="K452" s="1705">
        <v>62</v>
      </c>
      <c r="L452" s="2806">
        <v>207</v>
      </c>
      <c r="M452" s="2829"/>
      <c r="N452" s="1706">
        <f t="shared" si="90"/>
        <v>1.0577545234720251</v>
      </c>
      <c r="O452" s="1707" t="s">
        <v>750</v>
      </c>
      <c r="P452" s="1708" t="str">
        <f>IFERROR(VLOOKUP(F452,Trainingsarten!$A$9:$N$84,12,FALSE),"")</f>
        <v/>
      </c>
      <c r="Q452" s="1283" t="s">
        <v>437</v>
      </c>
      <c r="R452" s="1086" t="str">
        <f>IFERROR(VLOOKUP(F452,Trainingsarten!$A$9:$N$84,14,FALSE),"")</f>
        <v/>
      </c>
      <c r="S452" s="1087">
        <f t="shared" si="84"/>
        <v>1.7250000000000001</v>
      </c>
      <c r="T452" s="1709">
        <f t="shared" si="89"/>
        <v>49.184334817368182</v>
      </c>
      <c r="U452" s="1710">
        <f t="shared" si="87"/>
        <v>42.127006964184432</v>
      </c>
      <c r="V452" s="1088">
        <f t="shared" si="88"/>
        <v>-5.4060908032934591</v>
      </c>
      <c r="W452" s="3284">
        <f t="shared" si="86"/>
        <v>1.1675250240109332</v>
      </c>
      <c r="X452" s="3300"/>
      <c r="Y452" s="3316"/>
      <c r="AA452" s="3301"/>
      <c r="AB452" s="3409"/>
      <c r="AE452" s="1056"/>
    </row>
    <row r="453" spans="2:31" ht="16" thickBot="1" x14ac:dyDescent="0.25">
      <c r="B453" s="2979">
        <f>SUM(H451:H457)</f>
        <v>43.4</v>
      </c>
      <c r="C453" s="1211">
        <v>43551</v>
      </c>
      <c r="D453" s="1699" t="s">
        <v>551</v>
      </c>
      <c r="E453" s="1700"/>
      <c r="F453" s="2694" t="s">
        <v>665</v>
      </c>
      <c r="G453" s="1701">
        <v>4.0844907407407406E-2</v>
      </c>
      <c r="H453" s="1702">
        <v>10.73</v>
      </c>
      <c r="I453" s="1703">
        <f t="shared" si="91"/>
        <v>3.806608332470401E-3</v>
      </c>
      <c r="J453" s="1704">
        <v>125</v>
      </c>
      <c r="K453" s="1705">
        <v>62</v>
      </c>
      <c r="L453" s="2806">
        <v>214</v>
      </c>
      <c r="M453" s="2829"/>
      <c r="N453" s="1706">
        <f t="shared" si="90"/>
        <v>1.0504875436424586</v>
      </c>
      <c r="O453" s="1707" t="s">
        <v>749</v>
      </c>
      <c r="P453" s="1708" t="str">
        <f>IFERROR(VLOOKUP(F453,Trainingsarten!$A$9:$N$84,12,FALSE),"")</f>
        <v/>
      </c>
      <c r="Q453" s="1283" t="s">
        <v>437</v>
      </c>
      <c r="R453" s="1086" t="str">
        <f>IFERROR(VLOOKUP(F453,Trainingsarten!$A$9:$N$84,14,FALSE),"")</f>
        <v/>
      </c>
      <c r="S453" s="1087">
        <f t="shared" si="84"/>
        <v>1.712</v>
      </c>
      <c r="T453" s="1709">
        <f t="shared" si="89"/>
        <v>51.015144129172725</v>
      </c>
      <c r="U453" s="1710">
        <f t="shared" si="87"/>
        <v>42.60017346503718</v>
      </c>
      <c r="V453" s="1088">
        <f t="shared" si="88"/>
        <v>-7.0573278531837502</v>
      </c>
      <c r="W453" s="3284">
        <f t="shared" si="86"/>
        <v>1.1975337182850179</v>
      </c>
      <c r="X453" s="3300"/>
      <c r="Y453" s="3316"/>
      <c r="AA453" s="3301"/>
      <c r="AB453" s="3409"/>
      <c r="AE453" s="1056"/>
    </row>
    <row r="454" spans="2:31" x14ac:dyDescent="0.2">
      <c r="B454" s="2980" t="s">
        <v>628</v>
      </c>
      <c r="C454" s="1211">
        <v>43552</v>
      </c>
      <c r="D454" s="1699"/>
      <c r="E454" s="1700"/>
      <c r="F454" s="2694"/>
      <c r="G454" s="1701"/>
      <c r="H454" s="1702" t="str">
        <f>IFERROR(VLOOKUP(F454,Trainingsarten!$A$9:$K$84,10,FALSE),"")</f>
        <v/>
      </c>
      <c r="I454" s="1703" t="str">
        <f t="shared" si="91"/>
        <v/>
      </c>
      <c r="J454" s="1704"/>
      <c r="K454" s="1705" t="str">
        <f>IFERROR(VLOOKUP(F454,Trainingsarten!$A$9:$K$84,11,FALSE),"0")</f>
        <v>0</v>
      </c>
      <c r="L454" s="2806"/>
      <c r="M454" s="2829"/>
      <c r="N454" s="1706" t="str">
        <f t="shared" si="90"/>
        <v/>
      </c>
      <c r="O454" s="1707"/>
      <c r="P454" s="1708" t="str">
        <f>IFERROR(VLOOKUP(F454,Trainingsarten!$A$9:$N$84,12,FALSE),"")</f>
        <v/>
      </c>
      <c r="Q454" s="1283" t="s">
        <v>437</v>
      </c>
      <c r="R454" s="1086" t="str">
        <f>IFERROR(VLOOKUP(F454,Trainingsarten!$A$9:$N$84,14,FALSE),"")</f>
        <v/>
      </c>
      <c r="S454" s="1087" t="str">
        <f t="shared" si="84"/>
        <v/>
      </c>
      <c r="T454" s="1709">
        <f t="shared" si="89"/>
        <v>43.727266396433762</v>
      </c>
      <c r="U454" s="1710">
        <f t="shared" si="87"/>
        <v>41.585883620631535</v>
      </c>
      <c r="V454" s="1088">
        <f t="shared" si="88"/>
        <v>-8.4149706641355451</v>
      </c>
      <c r="W454" s="3284">
        <f t="shared" si="86"/>
        <v>1.0514930209331863</v>
      </c>
      <c r="X454" s="3300"/>
      <c r="Y454" s="3316"/>
      <c r="AA454" s="3301"/>
      <c r="AB454" s="3409"/>
      <c r="AE454" s="1056"/>
    </row>
    <row r="455" spans="2:31" ht="16" thickBot="1" x14ac:dyDescent="0.25">
      <c r="B455" s="2981">
        <f>SUM(K451:K457)</f>
        <v>259</v>
      </c>
      <c r="C455" s="1211">
        <v>43553</v>
      </c>
      <c r="D455" s="1699" t="s">
        <v>552</v>
      </c>
      <c r="E455" s="1700"/>
      <c r="F455" s="2694" t="s">
        <v>627</v>
      </c>
      <c r="G455" s="1701">
        <v>4.5729166666666661E-2</v>
      </c>
      <c r="H455" s="1702">
        <v>11.53</v>
      </c>
      <c r="I455" s="1703">
        <f t="shared" si="91"/>
        <v>3.9661029199190515E-3</v>
      </c>
      <c r="J455" s="1704">
        <v>140</v>
      </c>
      <c r="K455" s="1705">
        <v>74</v>
      </c>
      <c r="L455" s="2806">
        <v>203</v>
      </c>
      <c r="M455" s="2829"/>
      <c r="N455" s="1706">
        <f t="shared" si="90"/>
        <v>1.0382428706424511</v>
      </c>
      <c r="O455" s="1707" t="s">
        <v>667</v>
      </c>
      <c r="P455" s="1708">
        <f>IFERROR(VLOOKUP(F455,Trainingsarten!$A$9:$N$84,12,FALSE),"")</f>
        <v>279.53100000000006</v>
      </c>
      <c r="Q455" s="1283" t="s">
        <v>437</v>
      </c>
      <c r="R455" s="1086">
        <f>IFERROR(VLOOKUP(F455,Trainingsarten!$A$9:$N$84,14,FALSE),"")</f>
        <v>306.15300000000002</v>
      </c>
      <c r="S455" s="1087">
        <f t="shared" si="84"/>
        <v>1.45</v>
      </c>
      <c r="T455" s="1709">
        <f t="shared" si="89"/>
        <v>48.051942625514656</v>
      </c>
      <c r="U455" s="1710">
        <f t="shared" si="87"/>
        <v>42.357648296330787</v>
      </c>
      <c r="V455" s="1088">
        <f t="shared" si="88"/>
        <v>-2.1413827758022279</v>
      </c>
      <c r="W455" s="3284">
        <f t="shared" si="86"/>
        <v>1.1344336751027118</v>
      </c>
      <c r="X455" s="3300"/>
      <c r="Y455" s="3316"/>
      <c r="AA455" s="3301"/>
      <c r="AB455" s="3409"/>
      <c r="AE455" s="1056"/>
    </row>
    <row r="456" spans="2:31" x14ac:dyDescent="0.2">
      <c r="B456" s="2982" t="s">
        <v>761</v>
      </c>
      <c r="C456" s="1211">
        <v>43554</v>
      </c>
      <c r="D456" s="1699"/>
      <c r="E456" s="1700"/>
      <c r="F456" s="2694"/>
      <c r="G456" s="1701"/>
      <c r="H456" s="1702" t="str">
        <f>IFERROR(VLOOKUP(F456,Trainingsarten!$A$9:$K$84,10,FALSE),"")</f>
        <v/>
      </c>
      <c r="I456" s="1703" t="str">
        <f t="shared" si="91"/>
        <v/>
      </c>
      <c r="J456" s="1704"/>
      <c r="K456" s="1705" t="str">
        <f>IFERROR(VLOOKUP(F456,Trainingsarten!$A$9:$K$84,11,FALSE),"0")</f>
        <v>0</v>
      </c>
      <c r="L456" s="2806"/>
      <c r="M456" s="2829"/>
      <c r="N456" s="1706" t="str">
        <f t="shared" si="90"/>
        <v/>
      </c>
      <c r="O456" s="1707"/>
      <c r="P456" s="1708" t="str">
        <f>IFERROR(VLOOKUP(F456,Trainingsarten!$A$9:$N$84,12,FALSE),"")</f>
        <v/>
      </c>
      <c r="Q456" s="1283" t="s">
        <v>437</v>
      </c>
      <c r="R456" s="1086" t="str">
        <f>IFERROR(VLOOKUP(F456,Trainingsarten!$A$9:$N$84,14,FALSE),"")</f>
        <v/>
      </c>
      <c r="S456" s="1087" t="str">
        <f t="shared" si="84"/>
        <v/>
      </c>
      <c r="T456" s="1709">
        <f t="shared" si="89"/>
        <v>41.187379393298279</v>
      </c>
      <c r="U456" s="1710">
        <f t="shared" si="87"/>
        <v>41.349132860703861</v>
      </c>
      <c r="V456" s="1088">
        <f t="shared" si="88"/>
        <v>-5.6942943291838688</v>
      </c>
      <c r="W456" s="3284">
        <f t="shared" si="86"/>
        <v>0.99608810496823497</v>
      </c>
      <c r="X456" s="3300"/>
      <c r="Y456" s="3316"/>
      <c r="AA456" s="3301"/>
      <c r="AB456" s="3409"/>
      <c r="AE456" s="1056"/>
    </row>
    <row r="457" spans="2:31" ht="16" thickBot="1" x14ac:dyDescent="0.25">
      <c r="B457" s="2983">
        <f>AVERAGE(W451:W457)</f>
        <v>1.104217654691181</v>
      </c>
      <c r="C457" s="1742">
        <v>43555</v>
      </c>
      <c r="D457" s="1743" t="s">
        <v>553</v>
      </c>
      <c r="E457" s="1744"/>
      <c r="F457" s="2695" t="s">
        <v>639</v>
      </c>
      <c r="G457" s="1713">
        <v>4.0208333333333332E-2</v>
      </c>
      <c r="H457" s="1724">
        <v>10.4</v>
      </c>
      <c r="I457" s="1745">
        <f t="shared" si="91"/>
        <v>3.8661858974358971E-3</v>
      </c>
      <c r="J457" s="1726">
        <v>130</v>
      </c>
      <c r="K457" s="1717">
        <v>61</v>
      </c>
      <c r="L457" s="2808">
        <v>213</v>
      </c>
      <c r="M457" s="2832"/>
      <c r="N457" s="1746">
        <f t="shared" si="90"/>
        <v>1.0619431687715268</v>
      </c>
      <c r="O457" s="1719" t="s">
        <v>750</v>
      </c>
      <c r="P457" s="1720" t="str">
        <f>IFERROR(VLOOKUP(F457,Trainingsarten!$A$9:$N$84,12,FALSE),"")</f>
        <v/>
      </c>
      <c r="Q457" s="1721" t="s">
        <v>437</v>
      </c>
      <c r="R457" s="1151" t="str">
        <f>IFERROR(VLOOKUP(F457,Trainingsarten!$A$9:$N$84,14,FALSE),"")</f>
        <v/>
      </c>
      <c r="S457" s="1106">
        <f t="shared" si="84"/>
        <v>1.6384615384615384</v>
      </c>
      <c r="T457" s="1722">
        <f t="shared" si="89"/>
        <v>44.01775376568424</v>
      </c>
      <c r="U457" s="1723">
        <f t="shared" si="87"/>
        <v>41.817010649734719</v>
      </c>
      <c r="V457" s="1152">
        <f t="shared" si="88"/>
        <v>0.16175346740558183</v>
      </c>
      <c r="W457" s="3285">
        <f t="shared" si="86"/>
        <v>1.0526279397248948</v>
      </c>
      <c r="X457" s="3300"/>
      <c r="Y457" s="3316"/>
      <c r="AA457" s="3301"/>
      <c r="AB457" s="3409"/>
      <c r="AE457" s="1056"/>
    </row>
    <row r="458" spans="2:31" ht="16" thickBot="1" x14ac:dyDescent="0.25">
      <c r="B458" s="2977">
        <f>B451+1</f>
        <v>14</v>
      </c>
      <c r="C458" s="1241">
        <v>43556</v>
      </c>
      <c r="D458" s="1191"/>
      <c r="E458" s="1192"/>
      <c r="F458" s="2687"/>
      <c r="G458" s="1349"/>
      <c r="H458" s="1697" t="str">
        <f>IFERROR(VLOOKUP(F458,Trainingsarten!$A$9:$K$84,10,FALSE),"")</f>
        <v/>
      </c>
      <c r="I458" s="1368" t="str">
        <f t="shared" si="91"/>
        <v/>
      </c>
      <c r="J458" s="1354"/>
      <c r="K458" s="1353" t="str">
        <f>IFERROR(VLOOKUP(F458,Trainingsarten!$A$9:$K$84,11,FALSE),"0")</f>
        <v>0</v>
      </c>
      <c r="L458" s="1915"/>
      <c r="M458" s="2833"/>
      <c r="N458" s="1199" t="str">
        <f t="shared" si="90"/>
        <v/>
      </c>
      <c r="O458" s="1668"/>
      <c r="P458" s="1267" t="str">
        <f>IFERROR(VLOOKUP(F458,Trainingsarten!$A$9:$N$84,12,FALSE),"")</f>
        <v/>
      </c>
      <c r="Q458" s="1202" t="s">
        <v>437</v>
      </c>
      <c r="R458" s="1069" t="str">
        <f>IFERROR(VLOOKUP(F458,Trainingsarten!$A$9:$N$84,14,FALSE),"")</f>
        <v/>
      </c>
      <c r="S458" s="1070" t="str">
        <f t="shared" si="84"/>
        <v/>
      </c>
      <c r="T458" s="1669">
        <f t="shared" si="89"/>
        <v>37.729503227729346</v>
      </c>
      <c r="U458" s="1055">
        <f t="shared" si="87"/>
        <v>40.821367539026753</v>
      </c>
      <c r="V458" s="1268">
        <f t="shared" si="88"/>
        <v>-2.2007431159495212</v>
      </c>
      <c r="W458" s="3286">
        <f t="shared" si="86"/>
        <v>0.9242586787828343</v>
      </c>
      <c r="X458" s="3300"/>
      <c r="Y458" s="3316"/>
      <c r="AA458" s="3301"/>
      <c r="AB458" s="3409"/>
      <c r="AE458" s="1056"/>
    </row>
    <row r="459" spans="2:31" x14ac:dyDescent="0.2">
      <c r="B459" s="2978" t="s">
        <v>626</v>
      </c>
      <c r="C459" s="1211">
        <v>43557</v>
      </c>
      <c r="D459" s="1089" t="s">
        <v>554</v>
      </c>
      <c r="E459" s="1205"/>
      <c r="F459" s="2688" t="s">
        <v>652</v>
      </c>
      <c r="G459" s="1357">
        <v>4.4178240740740747E-2</v>
      </c>
      <c r="H459" s="1358">
        <v>12.41</v>
      </c>
      <c r="I459" s="1369">
        <f t="shared" si="91"/>
        <v>3.5598904706479247E-3</v>
      </c>
      <c r="J459" s="1306">
        <v>150</v>
      </c>
      <c r="K459" s="1305">
        <v>87</v>
      </c>
      <c r="L459" s="2806">
        <v>223</v>
      </c>
      <c r="M459" s="2829"/>
      <c r="N459" s="1208">
        <f t="shared" si="90"/>
        <v>1.0237182339711597</v>
      </c>
      <c r="O459" s="1670" t="s">
        <v>667</v>
      </c>
      <c r="P459" s="1136" t="str">
        <f>IFERROR(VLOOKUP(F459,Trainingsarten!$A$9:$N$84,12,FALSE),"")</f>
        <v/>
      </c>
      <c r="Q459" s="1137" t="s">
        <v>437</v>
      </c>
      <c r="R459" s="1086" t="str">
        <f>IFERROR(VLOOKUP(F459,Trainingsarten!$A$9:$N$84,14,FALSE),"")</f>
        <v/>
      </c>
      <c r="S459" s="1087">
        <f t="shared" ref="S459:S522" si="92">IFERROR(L459/J459,"")</f>
        <v>1.4866666666666666</v>
      </c>
      <c r="T459" s="1232">
        <f t="shared" si="89"/>
        <v>44.768145623768014</v>
      </c>
      <c r="U459" s="1239">
        <f t="shared" si="87"/>
        <v>41.920858788097547</v>
      </c>
      <c r="V459" s="1210">
        <f t="shared" si="88"/>
        <v>3.0918643112974067</v>
      </c>
      <c r="W459" s="3284">
        <f t="shared" si="86"/>
        <v>1.0679205273456585</v>
      </c>
      <c r="X459" s="3300"/>
      <c r="Y459" s="3316"/>
      <c r="AA459" s="3301"/>
      <c r="AB459" s="3409"/>
      <c r="AE459" s="1056"/>
    </row>
    <row r="460" spans="2:31" ht="16" thickBot="1" x14ac:dyDescent="0.25">
      <c r="B460" s="2979">
        <f>SUM(H458:H464)</f>
        <v>70.02</v>
      </c>
      <c r="C460" s="1211">
        <v>43558</v>
      </c>
      <c r="D460" s="1089" t="s">
        <v>555</v>
      </c>
      <c r="E460" s="1205"/>
      <c r="F460" s="2688" t="s">
        <v>665</v>
      </c>
      <c r="G460" s="1357">
        <v>4.4837962962962961E-2</v>
      </c>
      <c r="H460" s="1358">
        <v>11.61</v>
      </c>
      <c r="I460" s="1369">
        <f t="shared" si="91"/>
        <v>3.8620123137780332E-3</v>
      </c>
      <c r="J460" s="1306">
        <v>133</v>
      </c>
      <c r="K460" s="1305">
        <v>69</v>
      </c>
      <c r="L460" s="2806">
        <v>214</v>
      </c>
      <c r="M460" s="2829"/>
      <c r="N460" s="1208">
        <f t="shared" si="90"/>
        <v>1.0657770578631391</v>
      </c>
      <c r="O460" s="1670" t="s">
        <v>749</v>
      </c>
      <c r="P460" s="1136" t="str">
        <f>IFERROR(VLOOKUP(F460,Trainingsarten!$A$9:$N$84,12,FALSE),"")</f>
        <v/>
      </c>
      <c r="Q460" s="1137" t="s">
        <v>437</v>
      </c>
      <c r="R460" s="1086" t="str">
        <f>IFERROR(VLOOKUP(F460,Trainingsarten!$A$9:$N$84,14,FALSE),"")</f>
        <v/>
      </c>
      <c r="S460" s="1087">
        <f t="shared" si="92"/>
        <v>1.6090225563909775</v>
      </c>
      <c r="T460" s="1232">
        <f t="shared" si="89"/>
        <v>48.229839106086871</v>
      </c>
      <c r="U460" s="1239">
        <f t="shared" si="87"/>
        <v>42.565600245523797</v>
      </c>
      <c r="V460" s="1210">
        <f t="shared" si="88"/>
        <v>-2.8472868356704666</v>
      </c>
      <c r="W460" s="3284">
        <f t="shared" si="86"/>
        <v>1.1330708090075325</v>
      </c>
      <c r="X460" s="3300"/>
      <c r="Y460" s="3316"/>
      <c r="AA460" s="3301"/>
      <c r="AB460" s="3409"/>
      <c r="AE460" s="1056"/>
    </row>
    <row r="461" spans="2:31" x14ac:dyDescent="0.2">
      <c r="B461" s="2980" t="s">
        <v>628</v>
      </c>
      <c r="C461" s="1211">
        <v>43559</v>
      </c>
      <c r="D461" s="1089" t="s">
        <v>556</v>
      </c>
      <c r="E461" s="1205"/>
      <c r="F461" s="2688" t="s">
        <v>666</v>
      </c>
      <c r="G461" s="1357">
        <v>4.5277777777777778E-2</v>
      </c>
      <c r="H461" s="1358">
        <v>13.02</v>
      </c>
      <c r="I461" s="1369">
        <f t="shared" si="91"/>
        <v>3.4775558969107356E-3</v>
      </c>
      <c r="J461" s="1306">
        <v>145</v>
      </c>
      <c r="K461" s="1305">
        <v>85</v>
      </c>
      <c r="L461" s="2806">
        <v>229</v>
      </c>
      <c r="M461" s="2829"/>
      <c r="N461" s="1208">
        <f t="shared" si="90"/>
        <v>1.0269482082674188</v>
      </c>
      <c r="O461" s="1670" t="s">
        <v>751</v>
      </c>
      <c r="P461" s="1136" t="str">
        <f>IFERROR(VLOOKUP(F461,Trainingsarten!$A$9:$N$84,12,FALSE),"")</f>
        <v/>
      </c>
      <c r="Q461" s="1137" t="s">
        <v>437</v>
      </c>
      <c r="R461" s="1086" t="str">
        <f>IFERROR(VLOOKUP(F461,Trainingsarten!$A$9:$N$84,14,FALSE),"")</f>
        <v/>
      </c>
      <c r="S461" s="1087">
        <f t="shared" si="92"/>
        <v>1.5793103448275863</v>
      </c>
      <c r="T461" s="1232">
        <f t="shared" si="89"/>
        <v>53.48271923378875</v>
      </c>
      <c r="U461" s="1239">
        <f t="shared" si="87"/>
        <v>43.575943096820851</v>
      </c>
      <c r="V461" s="1210">
        <f t="shared" si="88"/>
        <v>-5.6642388605630742</v>
      </c>
      <c r="W461" s="3284">
        <f t="shared" si="86"/>
        <v>1.2273450769603806</v>
      </c>
      <c r="X461" s="3300"/>
      <c r="Y461" s="3316"/>
      <c r="AA461" s="3301"/>
      <c r="AB461" s="3409"/>
      <c r="AE461" s="1056"/>
    </row>
    <row r="462" spans="2:31" ht="16" thickBot="1" x14ac:dyDescent="0.25">
      <c r="B462" s="2981">
        <f>SUM(K458:K464)</f>
        <v>422</v>
      </c>
      <c r="C462" s="1211">
        <v>43560</v>
      </c>
      <c r="D462" s="1089" t="s">
        <v>557</v>
      </c>
      <c r="E462" s="1205"/>
      <c r="F462" s="2688" t="s">
        <v>665</v>
      </c>
      <c r="G462" s="1357">
        <v>4.0925925925925928E-2</v>
      </c>
      <c r="H462" s="1358">
        <v>10.75</v>
      </c>
      <c r="I462" s="1369">
        <f t="shared" si="91"/>
        <v>3.8070628768303188E-3</v>
      </c>
      <c r="J462" s="1306">
        <v>128</v>
      </c>
      <c r="K462" s="1305">
        <v>60</v>
      </c>
      <c r="L462" s="2806">
        <v>216</v>
      </c>
      <c r="M462" s="2829"/>
      <c r="N462" s="1208">
        <f t="shared" si="90"/>
        <v>1.0604317945157933</v>
      </c>
      <c r="O462" s="1670" t="s">
        <v>749</v>
      </c>
      <c r="P462" s="1136" t="str">
        <f>IFERROR(VLOOKUP(F462,Trainingsarten!$A$9:$N$84,12,FALSE),"")</f>
        <v/>
      </c>
      <c r="Q462" s="1137" t="s">
        <v>437</v>
      </c>
      <c r="R462" s="1086" t="str">
        <f>IFERROR(VLOOKUP(F462,Trainingsarten!$A$9:$N$84,14,FALSE),"")</f>
        <v/>
      </c>
      <c r="S462" s="1087">
        <f t="shared" si="92"/>
        <v>1.6875</v>
      </c>
      <c r="T462" s="1232">
        <f t="shared" si="89"/>
        <v>54.413759343247499</v>
      </c>
      <c r="U462" s="1239">
        <f t="shared" si="87"/>
        <v>43.96699207070607</v>
      </c>
      <c r="V462" s="1210">
        <f t="shared" si="88"/>
        <v>-9.906776136967899</v>
      </c>
      <c r="W462" s="3284">
        <f t="shared" si="86"/>
        <v>1.2376047753219352</v>
      </c>
      <c r="X462" s="3300"/>
      <c r="Y462" s="3316"/>
      <c r="AA462" s="3301"/>
      <c r="AB462" s="3409"/>
      <c r="AE462" s="1056"/>
    </row>
    <row r="463" spans="2:31" x14ac:dyDescent="0.2">
      <c r="B463" s="2982" t="s">
        <v>761</v>
      </c>
      <c r="C463" s="1211">
        <v>43561</v>
      </c>
      <c r="D463" s="1089"/>
      <c r="E463" s="1205"/>
      <c r="F463" s="2688"/>
      <c r="G463" s="1357"/>
      <c r="H463" s="1358" t="str">
        <f>IFERROR(VLOOKUP(F463,Trainingsarten!$A$9:$K$84,10,FALSE),"")</f>
        <v/>
      </c>
      <c r="I463" s="1369" t="str">
        <f t="shared" si="91"/>
        <v/>
      </c>
      <c r="J463" s="1306"/>
      <c r="K463" s="1305" t="str">
        <f>IFERROR(VLOOKUP(F463,Trainingsarten!$A$9:$K$84,11,FALSE),"0")</f>
        <v>0</v>
      </c>
      <c r="L463" s="2806"/>
      <c r="M463" s="2829"/>
      <c r="N463" s="1208" t="str">
        <f t="shared" si="90"/>
        <v/>
      </c>
      <c r="O463" s="1670"/>
      <c r="P463" s="1136" t="str">
        <f>IFERROR(VLOOKUP(F463,Trainingsarten!$A$9:$N$84,12,FALSE),"")</f>
        <v/>
      </c>
      <c r="Q463" s="1137" t="s">
        <v>437</v>
      </c>
      <c r="R463" s="1086" t="str">
        <f>IFERROR(VLOOKUP(F463,Trainingsarten!$A$9:$N$84,14,FALSE),"")</f>
        <v/>
      </c>
      <c r="S463" s="1087" t="str">
        <f t="shared" si="92"/>
        <v/>
      </c>
      <c r="T463" s="1232">
        <f t="shared" si="89"/>
        <v>46.640365151354999</v>
      </c>
      <c r="U463" s="1239">
        <f t="shared" si="87"/>
        <v>42.920158926165449</v>
      </c>
      <c r="V463" s="1210">
        <f t="shared" si="88"/>
        <v>-10.446767272541429</v>
      </c>
      <c r="W463" s="3284">
        <f t="shared" si="86"/>
        <v>1.0866773636973091</v>
      </c>
      <c r="X463" s="3300"/>
      <c r="Y463" s="3316"/>
      <c r="AA463" s="3301"/>
      <c r="AB463" s="3409"/>
      <c r="AE463" s="1056"/>
    </row>
    <row r="464" spans="2:31" ht="16" thickBot="1" x14ac:dyDescent="0.25">
      <c r="B464" s="2983">
        <f>AVERAGE(W458:W464)</f>
        <v>1.136523805396386</v>
      </c>
      <c r="C464" s="1260">
        <v>43562</v>
      </c>
      <c r="D464" s="1108" t="s">
        <v>558</v>
      </c>
      <c r="E464" s="1261"/>
      <c r="F464" s="2689" t="s">
        <v>645</v>
      </c>
      <c r="G464" s="1361">
        <v>8.7523148148148155E-2</v>
      </c>
      <c r="H464" s="1362">
        <v>22.23</v>
      </c>
      <c r="I464" s="1370">
        <f t="shared" si="91"/>
        <v>3.9371636593858814E-3</v>
      </c>
      <c r="J464" s="1317">
        <v>131</v>
      </c>
      <c r="K464" s="1316">
        <v>121</v>
      </c>
      <c r="L464" s="2807">
        <v>210</v>
      </c>
      <c r="M464" s="2830"/>
      <c r="N464" s="1223">
        <f t="shared" si="90"/>
        <v>1.0662074244163797</v>
      </c>
      <c r="O464" s="1671" t="s">
        <v>750</v>
      </c>
      <c r="P464" s="1225" t="str">
        <f>IFERROR(VLOOKUP(F464,Trainingsarten!$A$9:$N$84,12,FALSE),"")</f>
        <v/>
      </c>
      <c r="Q464" s="1226" t="s">
        <v>437</v>
      </c>
      <c r="R464" s="1105" t="str">
        <f>IFERROR(VLOOKUP(F464,Trainingsarten!$A$9:$N$84,14,FALSE),"")</f>
        <v/>
      </c>
      <c r="S464" s="1106">
        <f t="shared" si="92"/>
        <v>1.6030534351145038</v>
      </c>
      <c r="T464" s="1215">
        <f t="shared" si="89"/>
        <v>57.263170129732856</v>
      </c>
      <c r="U464" s="1227">
        <f t="shared" si="87"/>
        <v>44.779202761256748</v>
      </c>
      <c r="V464" s="1227">
        <f t="shared" si="88"/>
        <v>-3.7202062251895498</v>
      </c>
      <c r="W464" s="3287">
        <f t="shared" si="86"/>
        <v>1.2787894066590511</v>
      </c>
      <c r="X464" s="3300"/>
      <c r="Y464" s="3316"/>
      <c r="AA464" s="3301"/>
      <c r="AB464" s="3409"/>
      <c r="AE464" s="1056"/>
    </row>
    <row r="465" spans="2:31" ht="16" thickBot="1" x14ac:dyDescent="0.25">
      <c r="B465" s="2977">
        <f>B458+1</f>
        <v>15</v>
      </c>
      <c r="C465" s="1245">
        <v>43563</v>
      </c>
      <c r="D465" s="1111" t="s">
        <v>559</v>
      </c>
      <c r="E465" s="1112"/>
      <c r="F465" s="2690" t="s">
        <v>653</v>
      </c>
      <c r="G465" s="1647">
        <v>5.2361111111111108E-2</v>
      </c>
      <c r="H465" s="1648">
        <v>14.32</v>
      </c>
      <c r="I465" s="1230">
        <f t="shared" si="91"/>
        <v>3.6565021725636247E-3</v>
      </c>
      <c r="J465" s="1324">
        <v>138</v>
      </c>
      <c r="K465" s="1325">
        <v>96</v>
      </c>
      <c r="L465" s="1326">
        <v>216</v>
      </c>
      <c r="M465" s="2831"/>
      <c r="N465" s="1119">
        <f t="shared" si="90"/>
        <v>1.018494121570916</v>
      </c>
      <c r="O465" s="1649" t="s">
        <v>667</v>
      </c>
      <c r="P465" s="1277" t="str">
        <f>IFERROR(VLOOKUP(F465,Trainingsarten!$A$9:$N$84,12,FALSE),"")</f>
        <v/>
      </c>
      <c r="Q465" s="1122" t="s">
        <v>437</v>
      </c>
      <c r="R465" s="1122" t="str">
        <f>IFERROR(VLOOKUP(F465,Trainingsarten!$A$9:$N$84,14,FALSE),"")</f>
        <v/>
      </c>
      <c r="S465" s="1070">
        <f t="shared" si="92"/>
        <v>1.5652173913043479</v>
      </c>
      <c r="T465" s="1650">
        <f t="shared" si="89"/>
        <v>62.797002968342447</v>
      </c>
      <c r="U465" s="1651">
        <f t="shared" si="87"/>
        <v>45.9987455526554</v>
      </c>
      <c r="V465" s="1278">
        <f t="shared" si="88"/>
        <v>-12.483967368476108</v>
      </c>
      <c r="W465" s="3283">
        <f t="shared" si="86"/>
        <v>1.3651894679705525</v>
      </c>
      <c r="X465" s="3300"/>
      <c r="Y465" s="3316"/>
      <c r="AA465" s="3301"/>
      <c r="AB465" s="3409"/>
      <c r="AE465" s="1056"/>
    </row>
    <row r="466" spans="2:31" x14ac:dyDescent="0.2">
      <c r="B466" s="2978" t="s">
        <v>626</v>
      </c>
      <c r="C466" s="1698">
        <v>43564</v>
      </c>
      <c r="D466" s="1699" t="s">
        <v>560</v>
      </c>
      <c r="E466" s="1700"/>
      <c r="F466" s="2694" t="s">
        <v>665</v>
      </c>
      <c r="G466" s="1701">
        <v>4.3900462962962961E-2</v>
      </c>
      <c r="H466" s="1702">
        <v>11.58</v>
      </c>
      <c r="I466" s="1703">
        <f t="shared" si="91"/>
        <v>3.7910589778033642E-3</v>
      </c>
      <c r="J466" s="1704">
        <v>126</v>
      </c>
      <c r="K466" s="1705">
        <v>64</v>
      </c>
      <c r="L466" s="2806">
        <v>215</v>
      </c>
      <c r="M466" s="2829"/>
      <c r="N466" s="1706">
        <f t="shared" ref="N466:N497" si="93">IFERROR((L466/67)/(1/(I466*24)/3.6),"")</f>
        <v>1.0510852473384373</v>
      </c>
      <c r="O466" s="1707" t="s">
        <v>749</v>
      </c>
      <c r="P466" s="1708" t="str">
        <f>IFERROR(VLOOKUP(F466,Trainingsarten!$A$9:$N$84,12,FALSE),"")</f>
        <v/>
      </c>
      <c r="Q466" s="1283" t="s">
        <v>437</v>
      </c>
      <c r="R466" s="1086" t="str">
        <f>IFERROR(VLOOKUP(F466,Trainingsarten!$A$9:$N$84,14,FALSE),"")</f>
        <v/>
      </c>
      <c r="S466" s="1087">
        <f t="shared" si="92"/>
        <v>1.7063492063492063</v>
      </c>
      <c r="T466" s="1709">
        <f t="shared" si="89"/>
        <v>62.968859687150669</v>
      </c>
      <c r="U466" s="1710">
        <f t="shared" si="87"/>
        <v>46.427346849020751</v>
      </c>
      <c r="V466" s="1088">
        <f t="shared" si="88"/>
        <v>-16.798257415687047</v>
      </c>
      <c r="W466" s="3284">
        <f t="shared" si="86"/>
        <v>1.356288135350961</v>
      </c>
      <c r="X466" s="3300"/>
      <c r="Y466" s="3316"/>
      <c r="AA466" s="3301"/>
      <c r="AB466" s="3409"/>
      <c r="AE466" s="1056"/>
    </row>
    <row r="467" spans="2:31" ht="16" thickBot="1" x14ac:dyDescent="0.25">
      <c r="B467" s="2979">
        <f>SUM(H465:H471)</f>
        <v>72.16</v>
      </c>
      <c r="C467" s="1211">
        <v>43565</v>
      </c>
      <c r="D467" s="1699"/>
      <c r="E467" s="1700"/>
      <c r="F467" s="2694"/>
      <c r="G467" s="1701"/>
      <c r="H467" s="1702" t="str">
        <f>IFERROR(VLOOKUP(F467,Trainingsarten!$A$9:$K$84,10,FALSE),"")</f>
        <v/>
      </c>
      <c r="I467" s="1703" t="str">
        <f t="shared" si="91"/>
        <v/>
      </c>
      <c r="J467" s="1704"/>
      <c r="K467" s="1705" t="str">
        <f>IFERROR(VLOOKUP(F467,Trainingsarten!$A$9:$K$84,11,FALSE),"0")</f>
        <v>0</v>
      </c>
      <c r="L467" s="2806"/>
      <c r="M467" s="2829"/>
      <c r="N467" s="1706" t="str">
        <f t="shared" si="93"/>
        <v/>
      </c>
      <c r="O467" s="1707"/>
      <c r="P467" s="1708" t="str">
        <f>IFERROR(VLOOKUP(F467,Trainingsarten!$A$9:$N$84,12,FALSE),"")</f>
        <v/>
      </c>
      <c r="Q467" s="1283" t="s">
        <v>437</v>
      </c>
      <c r="R467" s="1086" t="str">
        <f>IFERROR(VLOOKUP(F467,Trainingsarten!$A$9:$N$84,14,FALSE),"")</f>
        <v/>
      </c>
      <c r="S467" s="1087" t="str">
        <f t="shared" si="92"/>
        <v/>
      </c>
      <c r="T467" s="1709">
        <f t="shared" si="89"/>
        <v>53.973308303272006</v>
      </c>
      <c r="U467" s="1710">
        <f t="shared" si="87"/>
        <v>45.321933828805967</v>
      </c>
      <c r="V467" s="1088">
        <f t="shared" si="88"/>
        <v>-16.541512838129918</v>
      </c>
      <c r="W467" s="3284">
        <f t="shared" si="86"/>
        <v>1.1908871432349903</v>
      </c>
      <c r="X467" s="3300"/>
      <c r="Y467" s="3316"/>
      <c r="AA467" s="3301"/>
      <c r="AB467" s="3409"/>
      <c r="AE467" s="1056"/>
    </row>
    <row r="468" spans="2:31" x14ac:dyDescent="0.2">
      <c r="B468" s="2980" t="s">
        <v>628</v>
      </c>
      <c r="C468" s="1211">
        <v>43566</v>
      </c>
      <c r="D468" s="1699" t="s">
        <v>561</v>
      </c>
      <c r="E468" s="1700"/>
      <c r="F468" s="2697" t="s">
        <v>464</v>
      </c>
      <c r="G468" s="1701">
        <v>4.7928240740740737E-2</v>
      </c>
      <c r="H468" s="1702">
        <v>13.63</v>
      </c>
      <c r="I468" s="1703">
        <f t="shared" si="91"/>
        <v>3.5163786310154609E-3</v>
      </c>
      <c r="J468" s="1704">
        <v>144</v>
      </c>
      <c r="K468" s="1705">
        <v>86</v>
      </c>
      <c r="L468" s="2806">
        <v>228</v>
      </c>
      <c r="M468" s="2829"/>
      <c r="N468" s="1706">
        <f t="shared" si="93"/>
        <v>1.033878297434325</v>
      </c>
      <c r="O468" s="1707" t="s">
        <v>751</v>
      </c>
      <c r="P468" s="1708" t="str">
        <f>IFERROR(VLOOKUP(F468,Trainingsarten!$A$9:$N$84,12,FALSE),"")</f>
        <v/>
      </c>
      <c r="Q468" s="1283" t="s">
        <v>437</v>
      </c>
      <c r="R468" s="1086" t="str">
        <f>IFERROR(VLOOKUP(F468,Trainingsarten!$A$9:$N$84,14,FALSE),"")</f>
        <v/>
      </c>
      <c r="S468" s="1087">
        <f t="shared" si="92"/>
        <v>1.5833333333333333</v>
      </c>
      <c r="T468" s="1709">
        <f t="shared" si="89"/>
        <v>58.548549974233147</v>
      </c>
      <c r="U468" s="1710">
        <f t="shared" si="87"/>
        <v>46.290459213834396</v>
      </c>
      <c r="V468" s="1088">
        <f t="shared" si="88"/>
        <v>-8.6513744744660386</v>
      </c>
      <c r="W468" s="3284">
        <f t="shared" si="86"/>
        <v>1.2648081476956983</v>
      </c>
      <c r="X468" s="3300"/>
      <c r="Y468" s="3316"/>
      <c r="AA468" s="3301"/>
      <c r="AB468" s="3409"/>
      <c r="AE468" s="1056"/>
    </row>
    <row r="469" spans="2:31" ht="16" thickBot="1" x14ac:dyDescent="0.25">
      <c r="B469" s="2981">
        <f>SUM(K465:K471)</f>
        <v>429</v>
      </c>
      <c r="C469" s="1211">
        <v>43567</v>
      </c>
      <c r="D469" s="1699" t="s">
        <v>562</v>
      </c>
      <c r="E469" s="1700"/>
      <c r="F469" s="2694" t="s">
        <v>665</v>
      </c>
      <c r="G469" s="1701">
        <v>4.5428240740740734E-2</v>
      </c>
      <c r="H469" s="1702">
        <v>11.53</v>
      </c>
      <c r="I469" s="1703">
        <f t="shared" si="91"/>
        <v>3.940003533455398E-3</v>
      </c>
      <c r="J469" s="1704">
        <v>124</v>
      </c>
      <c r="K469" s="1705">
        <v>63</v>
      </c>
      <c r="L469" s="2806">
        <v>210</v>
      </c>
      <c r="M469" s="2829"/>
      <c r="N469" s="1706">
        <f t="shared" si="93"/>
        <v>1.0669764792688767</v>
      </c>
      <c r="O469" s="1707" t="s">
        <v>749</v>
      </c>
      <c r="P469" s="1708" t="str">
        <f>IFERROR(VLOOKUP(F469,Trainingsarten!$A$9:$N$84,12,FALSE),"")</f>
        <v/>
      </c>
      <c r="Q469" s="1283" t="s">
        <v>437</v>
      </c>
      <c r="R469" s="1086" t="str">
        <f>IFERROR(VLOOKUP(F469,Trainingsarten!$A$9:$N$84,14,FALSE),"")</f>
        <v/>
      </c>
      <c r="S469" s="1087">
        <f t="shared" si="92"/>
        <v>1.6935483870967742</v>
      </c>
      <c r="T469" s="1709">
        <f t="shared" si="89"/>
        <v>59.184471406485557</v>
      </c>
      <c r="U469" s="1710">
        <f t="shared" si="87"/>
        <v>46.688305423028815</v>
      </c>
      <c r="V469" s="1088">
        <f t="shared" si="88"/>
        <v>-12.258090760398751</v>
      </c>
      <c r="W469" s="3284">
        <f t="shared" si="86"/>
        <v>1.2676508789563619</v>
      </c>
      <c r="X469" s="3300"/>
      <c r="Y469" s="3316"/>
      <c r="AA469" s="3301"/>
      <c r="AB469" s="3409"/>
      <c r="AE469" s="1056"/>
    </row>
    <row r="470" spans="2:31" x14ac:dyDescent="0.2">
      <c r="B470" s="2982" t="s">
        <v>761</v>
      </c>
      <c r="C470" s="1299">
        <v>43568</v>
      </c>
      <c r="D470" s="1699"/>
      <c r="E470" s="1700"/>
      <c r="F470" s="2694"/>
      <c r="G470" s="1701"/>
      <c r="H470" s="1702" t="str">
        <f>IFERROR(VLOOKUP(F470,Trainingsarten!$A$9:$K$84,10,FALSE),"")</f>
        <v/>
      </c>
      <c r="I470" s="1703" t="str">
        <f t="shared" si="91"/>
        <v/>
      </c>
      <c r="J470" s="1704"/>
      <c r="K470" s="1705" t="str">
        <f>IFERROR(VLOOKUP(F470,Trainingsarten!$A$9:$K$84,11,FALSE),"0")</f>
        <v>0</v>
      </c>
      <c r="L470" s="2806"/>
      <c r="M470" s="2829"/>
      <c r="N470" s="1706" t="str">
        <f t="shared" si="93"/>
        <v/>
      </c>
      <c r="O470" s="1707"/>
      <c r="P470" s="1708" t="str">
        <f>IFERROR(VLOOKUP(F470,Trainingsarten!$A$9:$N$84,12,FALSE),"")</f>
        <v/>
      </c>
      <c r="Q470" s="1283" t="s">
        <v>437</v>
      </c>
      <c r="R470" s="1086" t="str">
        <f>IFERROR(VLOOKUP(F470,Trainingsarten!$A$9:$N$84,14,FALSE),"")</f>
        <v/>
      </c>
      <c r="S470" s="1087" t="str">
        <f t="shared" si="92"/>
        <v/>
      </c>
      <c r="T470" s="1709">
        <f t="shared" si="89"/>
        <v>50.729546919844765</v>
      </c>
      <c r="U470" s="1710">
        <f t="shared" si="87"/>
        <v>45.576679103432895</v>
      </c>
      <c r="V470" s="1088">
        <f t="shared" si="88"/>
        <v>-12.496165983456741</v>
      </c>
      <c r="W470" s="3284">
        <f t="shared" si="86"/>
        <v>1.1130593083519276</v>
      </c>
      <c r="X470" s="3300"/>
      <c r="Y470" s="3316"/>
      <c r="AA470" s="3301"/>
      <c r="AB470" s="3409"/>
      <c r="AE470" s="1056"/>
    </row>
    <row r="471" spans="2:31" ht="16" thickBot="1" x14ac:dyDescent="0.25">
      <c r="B471" s="2983">
        <f>AVERAGE(W465:W471)</f>
        <v>1.2626121642023453</v>
      </c>
      <c r="C471" s="1711">
        <v>43569</v>
      </c>
      <c r="D471" s="1722" t="s">
        <v>563</v>
      </c>
      <c r="E471" s="1741"/>
      <c r="F471" s="2695" t="s">
        <v>748</v>
      </c>
      <c r="G471" s="1713">
        <v>7.8611111111111118E-2</v>
      </c>
      <c r="H471" s="1724">
        <v>21.1</v>
      </c>
      <c r="I471" s="1725">
        <f t="shared" si="91"/>
        <v>3.7256450763559767E-3</v>
      </c>
      <c r="J471" s="1726">
        <v>134</v>
      </c>
      <c r="K471" s="1717">
        <v>120</v>
      </c>
      <c r="L471" s="2808">
        <v>218</v>
      </c>
      <c r="M471" s="2832"/>
      <c r="N471" s="1718">
        <f t="shared" si="93"/>
        <v>1.0473622409280612</v>
      </c>
      <c r="O471" s="1719" t="s">
        <v>750</v>
      </c>
      <c r="P471" s="1720" t="str">
        <f>IFERROR(VLOOKUP(F471,Trainingsarten!$A$9:$N$84,12,FALSE),"")</f>
        <v/>
      </c>
      <c r="Q471" s="1721" t="s">
        <v>437</v>
      </c>
      <c r="R471" s="1151" t="str">
        <f>IFERROR(VLOOKUP(F471,Trainingsarten!$A$9:$N$84,14,FALSE),"")</f>
        <v/>
      </c>
      <c r="S471" s="1106">
        <f t="shared" si="92"/>
        <v>1.6268656716417911</v>
      </c>
      <c r="T471" s="1722">
        <f t="shared" si="89"/>
        <v>60.625325931295514</v>
      </c>
      <c r="U471" s="1723">
        <f t="shared" si="87"/>
        <v>47.34866293430354</v>
      </c>
      <c r="V471" s="1152">
        <f t="shared" si="88"/>
        <v>-5.1528678164118702</v>
      </c>
      <c r="W471" s="3285">
        <f t="shared" si="86"/>
        <v>1.2804020678559265</v>
      </c>
      <c r="X471" s="3300"/>
      <c r="Y471" s="3316"/>
      <c r="AA471" s="3301"/>
      <c r="AB471" s="3409"/>
      <c r="AE471" s="1056"/>
    </row>
    <row r="472" spans="2:31" ht="16" thickBot="1" x14ac:dyDescent="0.25">
      <c r="B472" s="2977">
        <f>B465+1</f>
        <v>16</v>
      </c>
      <c r="C472" s="1241">
        <v>43570</v>
      </c>
      <c r="D472" s="1191"/>
      <c r="E472" s="1192"/>
      <c r="F472" s="2687"/>
      <c r="G472" s="1349"/>
      <c r="H472" s="1697" t="str">
        <f>IFERROR(VLOOKUP(F472,Trainingsarten!$A$9:$K$84,10,FALSE),"")</f>
        <v/>
      </c>
      <c r="I472" s="1368" t="str">
        <f t="shared" si="91"/>
        <v/>
      </c>
      <c r="J472" s="1354"/>
      <c r="K472" s="1353" t="str">
        <f>IFERROR(VLOOKUP(F472,Trainingsarten!$A$9:$K$84,11,FALSE),"0")</f>
        <v>0</v>
      </c>
      <c r="L472" s="1915"/>
      <c r="M472" s="2833"/>
      <c r="N472" s="1199" t="str">
        <f t="shared" si="93"/>
        <v/>
      </c>
      <c r="O472" s="1668"/>
      <c r="P472" s="1267" t="str">
        <f>IFERROR(VLOOKUP(F472,Trainingsarten!$A$9:$N$84,12,FALSE),"")</f>
        <v/>
      </c>
      <c r="Q472" s="1202" t="s">
        <v>437</v>
      </c>
      <c r="R472" s="1069" t="str">
        <f>IFERROR(VLOOKUP(F472,Trainingsarten!$A$9:$N$84,14,FALSE),"")</f>
        <v/>
      </c>
      <c r="S472" s="1070" t="str">
        <f t="shared" si="92"/>
        <v/>
      </c>
      <c r="T472" s="1669">
        <f t="shared" si="89"/>
        <v>51.964565083967585</v>
      </c>
      <c r="U472" s="1055">
        <f t="shared" si="87"/>
        <v>46.221313816820121</v>
      </c>
      <c r="V472" s="1268">
        <f t="shared" si="88"/>
        <v>-13.276662996991973</v>
      </c>
      <c r="W472" s="3286">
        <f t="shared" si="86"/>
        <v>1.12425547421496</v>
      </c>
      <c r="X472" s="3300"/>
      <c r="Y472" s="3316"/>
      <c r="AA472" s="3301"/>
      <c r="AB472" s="3409"/>
      <c r="AE472" s="1056"/>
    </row>
    <row r="473" spans="2:31" x14ac:dyDescent="0.2">
      <c r="B473" s="2978" t="s">
        <v>626</v>
      </c>
      <c r="C473" s="1211">
        <v>43571</v>
      </c>
      <c r="D473" s="1089" t="s">
        <v>564</v>
      </c>
      <c r="E473" s="1205"/>
      <c r="F473" s="2688" t="s">
        <v>654</v>
      </c>
      <c r="G473" s="1357">
        <v>5.5868055555555553E-2</v>
      </c>
      <c r="H473" s="1358">
        <v>16.63</v>
      </c>
      <c r="I473" s="1369">
        <f t="shared" si="91"/>
        <v>3.3594741765216813E-3</v>
      </c>
      <c r="J473" s="1306">
        <v>146</v>
      </c>
      <c r="K473" s="1305">
        <v>113</v>
      </c>
      <c r="L473" s="2806">
        <v>234</v>
      </c>
      <c r="M473" s="2829"/>
      <c r="N473" s="1208">
        <f t="shared" si="93"/>
        <v>1.0137388822573843</v>
      </c>
      <c r="O473" s="1670" t="s">
        <v>667</v>
      </c>
      <c r="P473" s="1136" t="str">
        <f>IFERROR(VLOOKUP(F473,Trainingsarten!$A$9:$N$84,12,FALSE),"")</f>
        <v/>
      </c>
      <c r="Q473" s="1137" t="s">
        <v>437</v>
      </c>
      <c r="R473" s="1086" t="str">
        <f>IFERROR(VLOOKUP(F473,Trainingsarten!$A$9:$N$84,14,FALSE),"")</f>
        <v/>
      </c>
      <c r="S473" s="1087">
        <f t="shared" si="92"/>
        <v>1.6027397260273972</v>
      </c>
      <c r="T473" s="1232">
        <f t="shared" si="89"/>
        <v>60.683912929115074</v>
      </c>
      <c r="U473" s="1239">
        <f t="shared" si="87"/>
        <v>47.811282535467264</v>
      </c>
      <c r="V473" s="1210">
        <f t="shared" si="88"/>
        <v>-5.743251267147464</v>
      </c>
      <c r="W473" s="3284">
        <f t="shared" si="86"/>
        <v>1.2692383410568135</v>
      </c>
      <c r="X473" s="3300"/>
      <c r="Y473" s="3316"/>
      <c r="AA473" s="3301"/>
      <c r="AB473" s="3409"/>
      <c r="AE473" s="1056"/>
    </row>
    <row r="474" spans="2:31" ht="16" thickBot="1" x14ac:dyDescent="0.25">
      <c r="B474" s="2979">
        <f>SUM(H472:H478)</f>
        <v>73.3</v>
      </c>
      <c r="C474" s="1211">
        <v>43572</v>
      </c>
      <c r="D474" s="1089" t="s">
        <v>565</v>
      </c>
      <c r="E474" s="1205"/>
      <c r="F474" s="2688" t="s">
        <v>665</v>
      </c>
      <c r="G474" s="1357">
        <v>4.4641203703703704E-2</v>
      </c>
      <c r="H474" s="1358">
        <v>11.5</v>
      </c>
      <c r="I474" s="1369">
        <f t="shared" si="91"/>
        <v>3.8818438003220611E-3</v>
      </c>
      <c r="J474" s="1306">
        <v>133</v>
      </c>
      <c r="K474" s="1305">
        <v>64</v>
      </c>
      <c r="L474" s="2806">
        <v>213</v>
      </c>
      <c r="M474" s="2829"/>
      <c r="N474" s="1208">
        <f t="shared" si="93"/>
        <v>1.066243997404283</v>
      </c>
      <c r="O474" s="1670" t="s">
        <v>749</v>
      </c>
      <c r="P474" s="1136" t="str">
        <f>IFERROR(VLOOKUP(F474,Trainingsarten!$A$9:$N$84,12,FALSE),"")</f>
        <v/>
      </c>
      <c r="Q474" s="1137" t="s">
        <v>437</v>
      </c>
      <c r="R474" s="1086" t="str">
        <f>IFERROR(VLOOKUP(F474,Trainingsarten!$A$9:$N$84,14,FALSE),"")</f>
        <v/>
      </c>
      <c r="S474" s="1087">
        <f t="shared" si="92"/>
        <v>1.6015037593984962</v>
      </c>
      <c r="T474" s="1232">
        <f t="shared" si="89"/>
        <v>61.157639653527205</v>
      </c>
      <c r="U474" s="1239">
        <f t="shared" si="87"/>
        <v>48.196728189384707</v>
      </c>
      <c r="V474" s="1210">
        <f t="shared" si="88"/>
        <v>-12.87263039364781</v>
      </c>
      <c r="W474" s="3284">
        <f t="shared" si="86"/>
        <v>1.268916832138766</v>
      </c>
      <c r="X474" s="3300"/>
      <c r="Y474" s="3316"/>
      <c r="AA474" s="3301"/>
      <c r="AB474" s="3409"/>
      <c r="AE474" s="1056"/>
    </row>
    <row r="475" spans="2:31" x14ac:dyDescent="0.2">
      <c r="B475" s="2980" t="s">
        <v>628</v>
      </c>
      <c r="C475" s="1211">
        <v>43573</v>
      </c>
      <c r="D475" s="1089" t="s">
        <v>566</v>
      </c>
      <c r="E475" s="1205"/>
      <c r="F475" s="2688" t="s">
        <v>830</v>
      </c>
      <c r="G475" s="1357">
        <v>3.9687500000000001E-2</v>
      </c>
      <c r="H475" s="1358">
        <v>12.24</v>
      </c>
      <c r="I475" s="1369">
        <f t="shared" si="91"/>
        <v>3.2424428104575165E-3</v>
      </c>
      <c r="J475" s="1306">
        <v>153</v>
      </c>
      <c r="K475" s="1305">
        <v>77</v>
      </c>
      <c r="L475" s="2806">
        <v>246</v>
      </c>
      <c r="M475" s="2829"/>
      <c r="N475" s="1208">
        <f t="shared" si="93"/>
        <v>1.0285996488147497</v>
      </c>
      <c r="O475" s="1670" t="s">
        <v>751</v>
      </c>
      <c r="P475" s="1136">
        <f>IFERROR(VLOOKUP(F475,Trainingsarten!$A$9:$N$84,12,FALSE),"")</f>
        <v>230.89999999999998</v>
      </c>
      <c r="Q475" s="1137" t="s">
        <v>437</v>
      </c>
      <c r="R475" s="1086">
        <f>IFERROR(VLOOKUP(F475,Trainingsarten!$A$9:$N$84,14,FALSE),"")</f>
        <v>254.10000000000002</v>
      </c>
      <c r="S475" s="1087">
        <f t="shared" si="92"/>
        <v>1.607843137254902</v>
      </c>
      <c r="T475" s="1232">
        <f t="shared" si="89"/>
        <v>63.420833988737606</v>
      </c>
      <c r="U475" s="1239">
        <f t="shared" si="87"/>
        <v>48.882520375351739</v>
      </c>
      <c r="V475" s="1210">
        <f t="shared" si="88"/>
        <v>-12.960911464142498</v>
      </c>
      <c r="W475" s="3284">
        <f t="shared" si="86"/>
        <v>1.2974133392008278</v>
      </c>
      <c r="X475" s="3300"/>
      <c r="Y475" s="3316"/>
      <c r="AA475" s="3301"/>
      <c r="AB475" s="3409"/>
      <c r="AE475" s="1056"/>
    </row>
    <row r="476" spans="2:31" ht="16" thickBot="1" x14ac:dyDescent="0.25">
      <c r="B476" s="2981">
        <f>SUM(K472:K478)</f>
        <v>438</v>
      </c>
      <c r="C476" s="1211">
        <v>43574</v>
      </c>
      <c r="D476" s="1089" t="s">
        <v>567</v>
      </c>
      <c r="E476" s="1205"/>
      <c r="F476" s="2688" t="s">
        <v>665</v>
      </c>
      <c r="G476" s="1357">
        <v>4.6030092592592588E-2</v>
      </c>
      <c r="H476" s="1358">
        <v>12.13</v>
      </c>
      <c r="I476" s="1369">
        <f t="shared" si="91"/>
        <v>3.7947314585814167E-3</v>
      </c>
      <c r="J476" s="1306">
        <v>137</v>
      </c>
      <c r="K476" s="1305">
        <v>68</v>
      </c>
      <c r="L476" s="2806">
        <v>217</v>
      </c>
      <c r="M476" s="2829"/>
      <c r="N476" s="1208">
        <f t="shared" si="93"/>
        <v>1.061890465233601</v>
      </c>
      <c r="O476" s="1670" t="s">
        <v>749</v>
      </c>
      <c r="P476" s="1136" t="str">
        <f>IFERROR(VLOOKUP(F476,Trainingsarten!$A$9:$N$84,12,FALSE),"")</f>
        <v/>
      </c>
      <c r="Q476" s="1137" t="s">
        <v>437</v>
      </c>
      <c r="R476" s="1086" t="str">
        <f>IFERROR(VLOOKUP(F476,Trainingsarten!$A$9:$N$84,14,FALSE),"")</f>
        <v/>
      </c>
      <c r="S476" s="1087">
        <f t="shared" si="92"/>
        <v>1.583941605839416</v>
      </c>
      <c r="T476" s="1232">
        <f t="shared" si="89"/>
        <v>64.075000561775084</v>
      </c>
      <c r="U476" s="1239">
        <f t="shared" si="87"/>
        <v>49.337698461652884</v>
      </c>
      <c r="V476" s="1210">
        <f t="shared" si="88"/>
        <v>-14.538313613385867</v>
      </c>
      <c r="W476" s="3284">
        <f t="shared" si="86"/>
        <v>1.2987026667159309</v>
      </c>
      <c r="X476" s="3300"/>
      <c r="Y476" s="3316"/>
      <c r="AA476" s="3301"/>
      <c r="AB476" s="3409"/>
      <c r="AE476" s="1056"/>
    </row>
    <row r="477" spans="2:31" x14ac:dyDescent="0.2">
      <c r="B477" s="2982" t="s">
        <v>761</v>
      </c>
      <c r="C477" s="1211">
        <v>43575</v>
      </c>
      <c r="D477" s="1089" t="s">
        <v>568</v>
      </c>
      <c r="E477" s="1205"/>
      <c r="F477" s="2688" t="s">
        <v>644</v>
      </c>
      <c r="G477" s="1357">
        <v>7.9259259259259265E-2</v>
      </c>
      <c r="H477" s="1358">
        <v>20.8</v>
      </c>
      <c r="I477" s="1369">
        <f t="shared" si="91"/>
        <v>3.8105413105413107E-3</v>
      </c>
      <c r="J477" s="1306">
        <v>140</v>
      </c>
      <c r="K477" s="1305">
        <v>116</v>
      </c>
      <c r="L477" s="2806">
        <v>217</v>
      </c>
      <c r="M477" s="2829"/>
      <c r="N477" s="1208">
        <f t="shared" si="93"/>
        <v>1.0663145809414467</v>
      </c>
      <c r="O477" s="1670" t="s">
        <v>750</v>
      </c>
      <c r="P477" s="1136" t="str">
        <f>IFERROR(VLOOKUP(F477,Trainingsarten!$A$9:$N$84,12,FALSE),"")</f>
        <v/>
      </c>
      <c r="Q477" s="1137" t="s">
        <v>437</v>
      </c>
      <c r="R477" s="1086" t="str">
        <f>IFERROR(VLOOKUP(F477,Trainingsarten!$A$9:$N$84,14,FALSE),"")</f>
        <v/>
      </c>
      <c r="S477" s="1087">
        <f t="shared" si="92"/>
        <v>1.55</v>
      </c>
      <c r="T477" s="1232">
        <f t="shared" si="89"/>
        <v>71.492857624378644</v>
      </c>
      <c r="U477" s="1239">
        <f t="shared" si="87"/>
        <v>50.924896117327819</v>
      </c>
      <c r="V477" s="1210">
        <f t="shared" si="88"/>
        <v>-14.7373021001222</v>
      </c>
      <c r="W477" s="3284">
        <f t="shared" si="86"/>
        <v>1.4038881387143827</v>
      </c>
      <c r="X477" s="3300"/>
      <c r="Y477" s="3316"/>
      <c r="AA477" s="3301"/>
      <c r="AB477" s="3409"/>
      <c r="AE477" s="1056"/>
    </row>
    <row r="478" spans="2:31" ht="16" thickBot="1" x14ac:dyDescent="0.25">
      <c r="B478" s="2983">
        <f>AVERAGE(W472:W478)</f>
        <v>1.2707281514544486</v>
      </c>
      <c r="C478" s="1260">
        <v>43576</v>
      </c>
      <c r="D478" s="1108"/>
      <c r="E478" s="1261"/>
      <c r="F478" s="2689"/>
      <c r="G478" s="1361"/>
      <c r="H478" s="1362" t="str">
        <f>IFERROR(VLOOKUP(F478,Trainingsarten!$A$9:$K$84,10,FALSE),"")</f>
        <v/>
      </c>
      <c r="I478" s="1370" t="str">
        <f t="shared" si="91"/>
        <v/>
      </c>
      <c r="J478" s="1317"/>
      <c r="K478" s="1316" t="str">
        <f>IFERROR(VLOOKUP(F478,Trainingsarten!$A$9:$K$84,11,FALSE),"0")</f>
        <v>0</v>
      </c>
      <c r="L478" s="2807"/>
      <c r="M478" s="2830"/>
      <c r="N478" s="1223" t="str">
        <f t="shared" si="93"/>
        <v/>
      </c>
      <c r="O478" s="1671"/>
      <c r="P478" s="1225" t="str">
        <f>IFERROR(VLOOKUP(F478,Trainingsarten!$A$9:$N$84,12,FALSE),"")</f>
        <v/>
      </c>
      <c r="Q478" s="1226" t="s">
        <v>437</v>
      </c>
      <c r="R478" s="1105" t="str">
        <f>IFERROR(VLOOKUP(F478,Trainingsarten!$A$9:$N$84,14,FALSE),"")</f>
        <v/>
      </c>
      <c r="S478" s="1106" t="str">
        <f t="shared" si="92"/>
        <v/>
      </c>
      <c r="T478" s="1215">
        <f t="shared" si="89"/>
        <v>61.279592249467413</v>
      </c>
      <c r="U478" s="1227">
        <f t="shared" si="87"/>
        <v>49.712398590724774</v>
      </c>
      <c r="V478" s="1227">
        <f t="shared" si="88"/>
        <v>-20.567961507050825</v>
      </c>
      <c r="W478" s="3287">
        <f t="shared" si="86"/>
        <v>1.232682268139458</v>
      </c>
      <c r="X478" s="3300"/>
      <c r="Y478" s="3316"/>
      <c r="AA478" s="3301"/>
      <c r="AB478" s="3409"/>
      <c r="AE478" s="1056"/>
    </row>
    <row r="479" spans="2:31" ht="16" thickBot="1" x14ac:dyDescent="0.25">
      <c r="B479" s="2977">
        <f>B472+1</f>
        <v>17</v>
      </c>
      <c r="C479" s="1245">
        <v>43577</v>
      </c>
      <c r="D479" s="1111"/>
      <c r="E479" s="1112"/>
      <c r="F479" s="2690"/>
      <c r="G479" s="1647"/>
      <c r="H479" s="1648" t="str">
        <f>IFERROR(VLOOKUP(F479,Trainingsarten!$A$9:$K$84,10,FALSE),"")</f>
        <v/>
      </c>
      <c r="I479" s="1230" t="str">
        <f t="shared" si="91"/>
        <v/>
      </c>
      <c r="J479" s="1324"/>
      <c r="K479" s="1325" t="str">
        <f>IFERROR(VLOOKUP(F479,Trainingsarten!$A$9:$K$84,11,FALSE),"0")</f>
        <v>0</v>
      </c>
      <c r="L479" s="1326"/>
      <c r="M479" s="2831"/>
      <c r="N479" s="1119" t="str">
        <f t="shared" si="93"/>
        <v/>
      </c>
      <c r="O479" s="1649"/>
      <c r="P479" s="1277" t="str">
        <f>IFERROR(VLOOKUP(F479,Trainingsarten!$A$9:$N$84,12,FALSE),"")</f>
        <v/>
      </c>
      <c r="Q479" s="1122" t="s">
        <v>437</v>
      </c>
      <c r="R479" s="1122" t="str">
        <f>IFERROR(VLOOKUP(F479,Trainingsarten!$A$9:$N$84,14,FALSE),"")</f>
        <v/>
      </c>
      <c r="S479" s="1070" t="str">
        <f t="shared" si="92"/>
        <v/>
      </c>
      <c r="T479" s="1650">
        <f t="shared" si="89"/>
        <v>52.525364785257779</v>
      </c>
      <c r="U479" s="1651">
        <f t="shared" si="87"/>
        <v>48.528770052850376</v>
      </c>
      <c r="V479" s="1278">
        <f t="shared" si="88"/>
        <v>-11.567193658742639</v>
      </c>
      <c r="W479" s="3283">
        <f t="shared" ref="W479:W542" si="94">T479/U479</f>
        <v>1.0823551622687924</v>
      </c>
      <c r="X479" s="3300"/>
      <c r="Y479" s="3316"/>
      <c r="AA479" s="3301"/>
      <c r="AB479" s="3409"/>
      <c r="AE479" s="1056"/>
    </row>
    <row r="480" spans="2:31" x14ac:dyDescent="0.2">
      <c r="B480" s="2978" t="s">
        <v>626</v>
      </c>
      <c r="C480" s="1698">
        <v>43578</v>
      </c>
      <c r="D480" s="1747"/>
      <c r="E480" s="1748"/>
      <c r="F480" s="2694"/>
      <c r="G480" s="1701"/>
      <c r="H480" s="1702" t="str">
        <f>IFERROR(VLOOKUP(F480,Trainingsarten!$A$9:$K$84,10,FALSE),"")</f>
        <v/>
      </c>
      <c r="I480" s="1703" t="str">
        <f t="shared" si="91"/>
        <v/>
      </c>
      <c r="J480" s="1704"/>
      <c r="K480" s="1705" t="str">
        <f>IFERROR(VLOOKUP(F480,Trainingsarten!$A$9:$K$84,11,FALSE),"0")</f>
        <v>0</v>
      </c>
      <c r="L480" s="2806"/>
      <c r="M480" s="2829"/>
      <c r="N480" s="1706" t="str">
        <f t="shared" si="93"/>
        <v/>
      </c>
      <c r="O480" s="1707"/>
      <c r="P480" s="1708" t="str">
        <f>IFERROR(VLOOKUP(F480,Trainingsarten!$A$9:$N$84,12,FALSE),"")</f>
        <v/>
      </c>
      <c r="Q480" s="1283" t="s">
        <v>437</v>
      </c>
      <c r="R480" s="1086" t="str">
        <f>IFERROR(VLOOKUP(F480,Trainingsarten!$A$9:$N$84,14,FALSE),"")</f>
        <v/>
      </c>
      <c r="S480" s="1087" t="str">
        <f t="shared" si="92"/>
        <v/>
      </c>
      <c r="T480" s="1709">
        <f t="shared" si="89"/>
        <v>45.021741244506664</v>
      </c>
      <c r="U480" s="1710">
        <f t="shared" si="87"/>
        <v>47.373323146830131</v>
      </c>
      <c r="V480" s="1088">
        <f t="shared" si="88"/>
        <v>-3.9965947324074023</v>
      </c>
      <c r="W480" s="3284">
        <f t="shared" si="94"/>
        <v>0.95036063028479312</v>
      </c>
      <c r="X480" s="3300"/>
      <c r="Y480" s="3316"/>
      <c r="AA480" s="3301"/>
      <c r="AB480" s="3409"/>
      <c r="AE480" s="1056"/>
    </row>
    <row r="481" spans="2:31" ht="16" thickBot="1" x14ac:dyDescent="0.25">
      <c r="B481" s="2979">
        <f>SUM(H479:H485)</f>
        <v>36.22</v>
      </c>
      <c r="C481" s="1211">
        <v>43579</v>
      </c>
      <c r="D481" s="1699" t="s">
        <v>569</v>
      </c>
      <c r="E481" s="1700"/>
      <c r="F481" s="2694" t="s">
        <v>665</v>
      </c>
      <c r="G481" s="1701">
        <v>4.5057870370370373E-2</v>
      </c>
      <c r="H481" s="1702">
        <v>11.59</v>
      </c>
      <c r="I481" s="1703">
        <f t="shared" si="91"/>
        <v>3.8876505927843289E-3</v>
      </c>
      <c r="J481" s="1704">
        <v>135</v>
      </c>
      <c r="K481" s="1705">
        <v>64</v>
      </c>
      <c r="L481" s="2806">
        <v>213</v>
      </c>
      <c r="M481" s="2829"/>
      <c r="N481" s="1706">
        <f t="shared" si="93"/>
        <v>1.0678389759571429</v>
      </c>
      <c r="O481" s="1707" t="s">
        <v>749</v>
      </c>
      <c r="P481" s="1708" t="str">
        <f>IFERROR(VLOOKUP(F481,Trainingsarten!$A$9:$N$84,12,FALSE),"")</f>
        <v/>
      </c>
      <c r="Q481" s="1283" t="s">
        <v>437</v>
      </c>
      <c r="R481" s="1086" t="str">
        <f>IFERROR(VLOOKUP(F481,Trainingsarten!$A$9:$N$84,14,FALSE),"")</f>
        <v/>
      </c>
      <c r="S481" s="1087">
        <f t="shared" si="92"/>
        <v>1.5777777777777777</v>
      </c>
      <c r="T481" s="1709">
        <f t="shared" si="89"/>
        <v>47.732921066719996</v>
      </c>
      <c r="U481" s="1710">
        <f t="shared" si="87"/>
        <v>47.769196405238937</v>
      </c>
      <c r="V481" s="1088">
        <f t="shared" si="88"/>
        <v>2.351581902323467</v>
      </c>
      <c r="W481" s="3284">
        <f t="shared" si="94"/>
        <v>0.99924061233496153</v>
      </c>
      <c r="X481" s="3300"/>
      <c r="Y481" s="3316"/>
      <c r="AA481" s="3301"/>
      <c r="AB481" s="3409"/>
      <c r="AE481" s="1056"/>
    </row>
    <row r="482" spans="2:31" x14ac:dyDescent="0.2">
      <c r="B482" s="2980" t="s">
        <v>628</v>
      </c>
      <c r="C482" s="1211">
        <v>43580</v>
      </c>
      <c r="D482" s="1699" t="s">
        <v>570</v>
      </c>
      <c r="E482" s="1700"/>
      <c r="F482" s="2694" t="s">
        <v>627</v>
      </c>
      <c r="G482" s="1701">
        <v>4.3645833333333335E-2</v>
      </c>
      <c r="H482" s="1702">
        <v>10.5</v>
      </c>
      <c r="I482" s="1703">
        <f t="shared" si="91"/>
        <v>4.1567460317460322E-3</v>
      </c>
      <c r="J482" s="1704">
        <v>137</v>
      </c>
      <c r="K482" s="1705">
        <v>68</v>
      </c>
      <c r="L482" s="2806">
        <v>191</v>
      </c>
      <c r="M482" s="2829"/>
      <c r="N482" s="1706">
        <f t="shared" si="93"/>
        <v>1.0238251599147123</v>
      </c>
      <c r="O482" s="1707" t="s">
        <v>667</v>
      </c>
      <c r="P482" s="1708">
        <f>IFERROR(VLOOKUP(F482,Trainingsarten!$A$9:$N$84,12,FALSE),"")</f>
        <v>279.53100000000006</v>
      </c>
      <c r="Q482" s="1283" t="s">
        <v>437</v>
      </c>
      <c r="R482" s="1086">
        <f>IFERROR(VLOOKUP(F482,Trainingsarten!$A$9:$N$84,14,FALSE),"")</f>
        <v>306.15300000000002</v>
      </c>
      <c r="S482" s="1087">
        <f t="shared" si="92"/>
        <v>1.3941605839416058</v>
      </c>
      <c r="T482" s="1709">
        <f t="shared" si="89"/>
        <v>50.628218057188569</v>
      </c>
      <c r="U482" s="1710">
        <f t="shared" si="87"/>
        <v>48.250882205114202</v>
      </c>
      <c r="V482" s="1088">
        <f t="shared" si="88"/>
        <v>3.6275338518940714E-2</v>
      </c>
      <c r="W482" s="3284">
        <f t="shared" si="94"/>
        <v>1.0492703085089372</v>
      </c>
      <c r="X482" s="3300"/>
      <c r="Y482" s="3316"/>
      <c r="AA482" s="3301"/>
      <c r="AB482" s="3409"/>
      <c r="AE482" s="1056"/>
    </row>
    <row r="483" spans="2:31" ht="16" thickBot="1" x14ac:dyDescent="0.25">
      <c r="B483" s="2981">
        <f>SUM(K479:K485)</f>
        <v>207</v>
      </c>
      <c r="C483" s="1211">
        <v>43581</v>
      </c>
      <c r="D483" s="1699"/>
      <c r="E483" s="1700"/>
      <c r="F483" s="2694"/>
      <c r="G483" s="1701"/>
      <c r="H483" s="1702" t="str">
        <f>IFERROR(VLOOKUP(F483,Trainingsarten!$A$9:$K$84,10,FALSE),"")</f>
        <v/>
      </c>
      <c r="I483" s="1703" t="str">
        <f t="shared" si="91"/>
        <v/>
      </c>
      <c r="J483" s="1704"/>
      <c r="K483" s="1705" t="str">
        <f>IFERROR(VLOOKUP(F483,Trainingsarten!$A$9:$K$84,11,FALSE),"0")</f>
        <v>0</v>
      </c>
      <c r="L483" s="2806"/>
      <c r="M483" s="2829"/>
      <c r="N483" s="1706" t="str">
        <f t="shared" si="93"/>
        <v/>
      </c>
      <c r="O483" s="1707"/>
      <c r="P483" s="1708" t="str">
        <f>IFERROR(VLOOKUP(F483,Trainingsarten!$A$9:$N$84,12,FALSE),"")</f>
        <v/>
      </c>
      <c r="Q483" s="1283" t="s">
        <v>437</v>
      </c>
      <c r="R483" s="1086" t="str">
        <f>IFERROR(VLOOKUP(F483,Trainingsarten!$A$9:$N$84,14,FALSE),"")</f>
        <v/>
      </c>
      <c r="S483" s="1087" t="str">
        <f t="shared" si="92"/>
        <v/>
      </c>
      <c r="T483" s="1709">
        <f t="shared" si="89"/>
        <v>43.395615477590205</v>
      </c>
      <c r="U483" s="1710">
        <f t="shared" si="87"/>
        <v>47.102051676421006</v>
      </c>
      <c r="V483" s="1088">
        <f t="shared" si="88"/>
        <v>-2.377335852074367</v>
      </c>
      <c r="W483" s="3284">
        <f t="shared" si="94"/>
        <v>0.92131051478833526</v>
      </c>
      <c r="X483" s="3300"/>
      <c r="Y483" s="3316"/>
      <c r="AA483" s="3301"/>
      <c r="AB483" s="3409"/>
      <c r="AE483" s="1056"/>
    </row>
    <row r="484" spans="2:31" x14ac:dyDescent="0.2">
      <c r="B484" s="2982" t="s">
        <v>761</v>
      </c>
      <c r="C484" s="1211">
        <v>43582</v>
      </c>
      <c r="D484" s="1699" t="s">
        <v>571</v>
      </c>
      <c r="E484" s="1700"/>
      <c r="F484" s="2694" t="s">
        <v>641</v>
      </c>
      <c r="G484" s="1701">
        <v>5.5532407407407412E-2</v>
      </c>
      <c r="H484" s="1702">
        <v>14.13</v>
      </c>
      <c r="I484" s="1703">
        <f t="shared" si="91"/>
        <v>3.9301066813451808E-3</v>
      </c>
      <c r="J484" s="1704">
        <v>126</v>
      </c>
      <c r="K484" s="1705">
        <v>75</v>
      </c>
      <c r="L484" s="2806">
        <v>209</v>
      </c>
      <c r="M484" s="2829"/>
      <c r="N484" s="1706">
        <f t="shared" si="93"/>
        <v>1.0592282747620707</v>
      </c>
      <c r="O484" s="1707" t="s">
        <v>750</v>
      </c>
      <c r="P484" s="1708" t="str">
        <f>IFERROR(VLOOKUP(F484,Trainingsarten!$A$9:$N$84,12,FALSE),"")</f>
        <v/>
      </c>
      <c r="Q484" s="1283" t="s">
        <v>437</v>
      </c>
      <c r="R484" s="1086" t="str">
        <f>IFERROR(VLOOKUP(F484,Trainingsarten!$A$9:$N$84,14,FALSE),"")</f>
        <v/>
      </c>
      <c r="S484" s="1087">
        <f t="shared" si="92"/>
        <v>1.6587301587301588</v>
      </c>
      <c r="T484" s="1709">
        <f t="shared" si="89"/>
        <v>47.910527552220174</v>
      </c>
      <c r="U484" s="1710">
        <f t="shared" si="87"/>
        <v>47.766288541268125</v>
      </c>
      <c r="V484" s="1088">
        <f t="shared" si="88"/>
        <v>3.7064361988308008</v>
      </c>
      <c r="W484" s="3284">
        <f t="shared" si="94"/>
        <v>1.0030196821933828</v>
      </c>
      <c r="X484" s="3300"/>
      <c r="Y484" s="3316"/>
      <c r="AA484" s="3301"/>
      <c r="AB484" s="3409"/>
      <c r="AE484" s="1056"/>
    </row>
    <row r="485" spans="2:31" ht="16" thickBot="1" x14ac:dyDescent="0.25">
      <c r="B485" s="2983">
        <f>AVERAGE(W479:W485)</f>
        <v>0.98375101701919543</v>
      </c>
      <c r="C485" s="1740">
        <v>43583</v>
      </c>
      <c r="D485" s="1722"/>
      <c r="E485" s="1741"/>
      <c r="F485" s="2695"/>
      <c r="G485" s="1713"/>
      <c r="H485" s="1724" t="str">
        <f>IFERROR(VLOOKUP(F485,Trainingsarten!$A$9:$K$84,10,FALSE),"")</f>
        <v/>
      </c>
      <c r="I485" s="1725" t="str">
        <f t="shared" si="91"/>
        <v/>
      </c>
      <c r="J485" s="1726"/>
      <c r="K485" s="1717" t="str">
        <f>IFERROR(VLOOKUP(F485,Trainingsarten!$A$9:$K$84,11,FALSE),"0")</f>
        <v>0</v>
      </c>
      <c r="L485" s="2808"/>
      <c r="M485" s="2832"/>
      <c r="N485" s="1718" t="str">
        <f t="shared" si="93"/>
        <v/>
      </c>
      <c r="O485" s="1719"/>
      <c r="P485" s="1720" t="str">
        <f>IFERROR(VLOOKUP(F485,Trainingsarten!$A$9:$N$84,12,FALSE),"")</f>
        <v/>
      </c>
      <c r="Q485" s="1721" t="s">
        <v>437</v>
      </c>
      <c r="R485" s="1151" t="str">
        <f>IFERROR(VLOOKUP(F485,Trainingsarten!$A$9:$N$84,14,FALSE),"")</f>
        <v/>
      </c>
      <c r="S485" s="1106" t="str">
        <f t="shared" si="92"/>
        <v/>
      </c>
      <c r="T485" s="1722">
        <f t="shared" si="89"/>
        <v>41.066166473331577</v>
      </c>
      <c r="U485" s="1723">
        <f t="shared" si="87"/>
        <v>46.628995956952217</v>
      </c>
      <c r="V485" s="1152">
        <f t="shared" si="88"/>
        <v>-0.14423901095204883</v>
      </c>
      <c r="W485" s="3285">
        <f t="shared" si="94"/>
        <v>0.8807002087551653</v>
      </c>
      <c r="X485" s="3300"/>
      <c r="Y485" s="3316"/>
      <c r="AA485" s="3301"/>
      <c r="AB485" s="3409"/>
      <c r="AE485" s="1056"/>
    </row>
    <row r="486" spans="2:31" ht="16" thickBot="1" x14ac:dyDescent="0.25">
      <c r="B486" s="2977">
        <f>B479+1</f>
        <v>18</v>
      </c>
      <c r="C486" s="1241">
        <v>43584</v>
      </c>
      <c r="D486" s="1191" t="s">
        <v>572</v>
      </c>
      <c r="E486" s="1192"/>
      <c r="F486" s="2687" t="s">
        <v>830</v>
      </c>
      <c r="G486" s="1349">
        <v>3.7650462962962962E-2</v>
      </c>
      <c r="H486" s="1697">
        <v>12.36</v>
      </c>
      <c r="I486" s="1368">
        <f t="shared" si="91"/>
        <v>3.0461539614047707E-3</v>
      </c>
      <c r="J486" s="1354">
        <v>154</v>
      </c>
      <c r="K486" s="1353">
        <v>80</v>
      </c>
      <c r="L486" s="1915">
        <v>258</v>
      </c>
      <c r="M486" s="2833"/>
      <c r="N486" s="1199">
        <f t="shared" si="93"/>
        <v>1.0134690624547169</v>
      </c>
      <c r="O486" s="1668" t="s">
        <v>667</v>
      </c>
      <c r="P486" s="1267">
        <f>IFERROR(VLOOKUP(F486,Trainingsarten!$A$9:$N$84,12,FALSE),"")</f>
        <v>230.89999999999998</v>
      </c>
      <c r="Q486" s="1202" t="s">
        <v>437</v>
      </c>
      <c r="R486" s="1069">
        <f>IFERROR(VLOOKUP(F486,Trainingsarten!$A$9:$N$84,14,FALSE),"")</f>
        <v>254.10000000000002</v>
      </c>
      <c r="S486" s="1070">
        <f t="shared" si="92"/>
        <v>1.6753246753246753</v>
      </c>
      <c r="T486" s="1669">
        <f t="shared" si="89"/>
        <v>46.628142691427065</v>
      </c>
      <c r="U486" s="1055">
        <f t="shared" si="87"/>
        <v>47.42354367226288</v>
      </c>
      <c r="V486" s="1268">
        <f t="shared" si="88"/>
        <v>5.5628294836206393</v>
      </c>
      <c r="W486" s="3286">
        <f t="shared" si="94"/>
        <v>0.98322771941437537</v>
      </c>
      <c r="X486" s="3300"/>
      <c r="Y486" s="3316"/>
      <c r="AA486" s="3301"/>
      <c r="AB486" s="3409"/>
      <c r="AE486" s="1056"/>
    </row>
    <row r="487" spans="2:31" x14ac:dyDescent="0.2">
      <c r="B487" s="2978" t="s">
        <v>626</v>
      </c>
      <c r="C487" s="1211">
        <v>43585</v>
      </c>
      <c r="D487" s="1212" t="s">
        <v>573</v>
      </c>
      <c r="E487" s="1213"/>
      <c r="F487" s="2688" t="s">
        <v>665</v>
      </c>
      <c r="G487" s="1357">
        <v>4.4907407407407403E-2</v>
      </c>
      <c r="H487" s="1358">
        <v>11.59</v>
      </c>
      <c r="I487" s="1369">
        <f t="shared" si="91"/>
        <v>3.8746684562042627E-3</v>
      </c>
      <c r="J487" s="1306">
        <v>124</v>
      </c>
      <c r="K487" s="1305">
        <v>64</v>
      </c>
      <c r="L487" s="2806">
        <v>212</v>
      </c>
      <c r="M487" s="2829"/>
      <c r="N487" s="1208">
        <f t="shared" si="93"/>
        <v>1.0592765250537648</v>
      </c>
      <c r="O487" s="1670" t="s">
        <v>749</v>
      </c>
      <c r="P487" s="1136" t="str">
        <f>IFERROR(VLOOKUP(F487,Trainingsarten!$A$9:$N$84,12,FALSE),"")</f>
        <v/>
      </c>
      <c r="Q487" s="1137" t="s">
        <v>437</v>
      </c>
      <c r="R487" s="1086" t="str">
        <f>IFERROR(VLOOKUP(F487,Trainingsarten!$A$9:$N$84,14,FALSE),"")</f>
        <v/>
      </c>
      <c r="S487" s="1087">
        <f t="shared" si="92"/>
        <v>1.7096774193548387</v>
      </c>
      <c r="T487" s="1232">
        <f t="shared" si="89"/>
        <v>49.109836592651767</v>
      </c>
      <c r="U487" s="1239">
        <f t="shared" si="87"/>
        <v>47.818221203875666</v>
      </c>
      <c r="V487" s="1210">
        <f t="shared" si="88"/>
        <v>0.79540098083581512</v>
      </c>
      <c r="W487" s="3284">
        <f t="shared" si="94"/>
        <v>1.0270109459586383</v>
      </c>
      <c r="X487" s="3300"/>
      <c r="Y487" s="3316"/>
      <c r="AA487" s="3301"/>
      <c r="AB487" s="3409"/>
      <c r="AE487" s="1056"/>
    </row>
    <row r="488" spans="2:31" ht="16" thickBot="1" x14ac:dyDescent="0.25">
      <c r="B488" s="2979">
        <f>SUM(H486:H492)</f>
        <v>69.819999999999993</v>
      </c>
      <c r="C488" s="1211">
        <v>43586</v>
      </c>
      <c r="D488" s="1089" t="s">
        <v>574</v>
      </c>
      <c r="E488" s="1205"/>
      <c r="F488" s="2688" t="s">
        <v>659</v>
      </c>
      <c r="G488" s="1357">
        <v>4.6331018518518514E-2</v>
      </c>
      <c r="H488" s="1358">
        <v>13.16</v>
      </c>
      <c r="I488" s="1369">
        <f t="shared" si="91"/>
        <v>3.5205941123494311E-3</v>
      </c>
      <c r="J488" s="1306">
        <v>145</v>
      </c>
      <c r="K488" s="1305">
        <v>87</v>
      </c>
      <c r="L488" s="2806">
        <v>225</v>
      </c>
      <c r="M488" s="2829"/>
      <c r="N488" s="1208">
        <f t="shared" si="93"/>
        <v>1.0214977543891486</v>
      </c>
      <c r="O488" s="1670" t="s">
        <v>751</v>
      </c>
      <c r="P488" s="1136">
        <f>IFERROR(VLOOKUP(F488,Trainingsarten!$A$9:$N$84,12,FALSE),"")</f>
        <v>255.10000000000002</v>
      </c>
      <c r="Q488" s="1137" t="s">
        <v>437</v>
      </c>
      <c r="R488" s="1086">
        <f>IFERROR(VLOOKUP(F488,Trainingsarten!$A$9:$N$84,14,FALSE),"")</f>
        <v>278.29999999999995</v>
      </c>
      <c r="S488" s="1087">
        <f t="shared" si="92"/>
        <v>1.5517241379310345</v>
      </c>
      <c r="T488" s="1232">
        <f t="shared" si="89"/>
        <v>54.522717079415798</v>
      </c>
      <c r="U488" s="1239">
        <f t="shared" si="87"/>
        <v>48.751120699021484</v>
      </c>
      <c r="V488" s="1210">
        <f t="shared" si="88"/>
        <v>-1.2916153887761013</v>
      </c>
      <c r="W488" s="3284">
        <f t="shared" si="94"/>
        <v>1.1183889990145428</v>
      </c>
      <c r="X488" s="3300"/>
      <c r="Y488" s="3316"/>
      <c r="AA488" s="3301"/>
      <c r="AB488" s="3409"/>
      <c r="AE488" s="1056"/>
    </row>
    <row r="489" spans="2:31" x14ac:dyDescent="0.2">
      <c r="B489" s="2980" t="s">
        <v>628</v>
      </c>
      <c r="C489" s="1211">
        <v>43587</v>
      </c>
      <c r="D489" s="1089"/>
      <c r="E489" s="1205"/>
      <c r="F489" s="2688"/>
      <c r="G489" s="1357"/>
      <c r="H489" s="1358" t="str">
        <f>IFERROR(VLOOKUP(F489,Trainingsarten!$A$9:$K$84,10,FALSE),"")</f>
        <v/>
      </c>
      <c r="I489" s="1369" t="str">
        <f t="shared" si="91"/>
        <v/>
      </c>
      <c r="J489" s="1306"/>
      <c r="K489" s="1305" t="str">
        <f>IFERROR(VLOOKUP(F489,Trainingsarten!$A$9:$K$84,11,FALSE),"0")</f>
        <v>0</v>
      </c>
      <c r="L489" s="2806"/>
      <c r="M489" s="2829"/>
      <c r="N489" s="1208" t="str">
        <f t="shared" si="93"/>
        <v/>
      </c>
      <c r="O489" s="1670"/>
      <c r="P489" s="1136" t="str">
        <f>IFERROR(VLOOKUP(F489,Trainingsarten!$A$9:$N$84,12,FALSE),"")</f>
        <v/>
      </c>
      <c r="Q489" s="1137" t="s">
        <v>437</v>
      </c>
      <c r="R489" s="1086" t="str">
        <f>IFERROR(VLOOKUP(F489,Trainingsarten!$A$9:$N$84,14,FALSE),"")</f>
        <v/>
      </c>
      <c r="S489" s="1087" t="str">
        <f t="shared" si="92"/>
        <v/>
      </c>
      <c r="T489" s="1232">
        <f t="shared" si="89"/>
        <v>46.733757496642113</v>
      </c>
      <c r="U489" s="1239">
        <f t="shared" si="87"/>
        <v>47.59037972999716</v>
      </c>
      <c r="V489" s="1210">
        <f t="shared" si="88"/>
        <v>-5.771596380394314</v>
      </c>
      <c r="W489" s="3284">
        <f t="shared" si="94"/>
        <v>0.98200009669569621</v>
      </c>
      <c r="X489" s="3300"/>
      <c r="Y489" s="3316"/>
      <c r="AA489" s="3301"/>
      <c r="AB489" s="3409"/>
      <c r="AE489" s="1056"/>
    </row>
    <row r="490" spans="2:31" ht="16" thickBot="1" x14ac:dyDescent="0.25">
      <c r="B490" s="2981">
        <f>SUM(K486:K492)</f>
        <v>409</v>
      </c>
      <c r="C490" s="1211">
        <v>43588</v>
      </c>
      <c r="D490" s="1089" t="s">
        <v>575</v>
      </c>
      <c r="E490" s="1205"/>
      <c r="F490" s="2688" t="s">
        <v>665</v>
      </c>
      <c r="G490" s="1357">
        <v>4.1157407407407406E-2</v>
      </c>
      <c r="H490" s="1358">
        <v>10.69</v>
      </c>
      <c r="I490" s="1369">
        <f t="shared" si="91"/>
        <v>3.8500848837612167E-3</v>
      </c>
      <c r="J490" s="1306">
        <v>127</v>
      </c>
      <c r="K490" s="1305">
        <v>57</v>
      </c>
      <c r="L490" s="2806">
        <v>212</v>
      </c>
      <c r="M490" s="2829"/>
      <c r="N490" s="1208">
        <f t="shared" si="93"/>
        <v>1.0525557432668275</v>
      </c>
      <c r="O490" s="1670" t="s">
        <v>751</v>
      </c>
      <c r="P490" s="1136" t="str">
        <f>IFERROR(VLOOKUP(F490,Trainingsarten!$A$9:$N$84,12,FALSE),"")</f>
        <v/>
      </c>
      <c r="Q490" s="1137" t="s">
        <v>437</v>
      </c>
      <c r="R490" s="1086" t="str">
        <f>IFERROR(VLOOKUP(F490,Trainingsarten!$A$9:$N$84,14,FALSE),"")</f>
        <v/>
      </c>
      <c r="S490" s="1087">
        <f t="shared" si="92"/>
        <v>1.6692913385826771</v>
      </c>
      <c r="T490" s="1232">
        <f t="shared" si="89"/>
        <v>48.20036356855038</v>
      </c>
      <c r="U490" s="1239">
        <f t="shared" si="87"/>
        <v>47.814418307854368</v>
      </c>
      <c r="V490" s="1210">
        <f t="shared" si="88"/>
        <v>0.85662223335504706</v>
      </c>
      <c r="W490" s="3284">
        <f t="shared" si="94"/>
        <v>1.0080717338902063</v>
      </c>
      <c r="X490" s="3300"/>
      <c r="Y490" s="3316"/>
      <c r="AA490" s="3301"/>
      <c r="AB490" s="3409"/>
      <c r="AE490" s="1056"/>
    </row>
    <row r="491" spans="2:31" x14ac:dyDescent="0.2">
      <c r="B491" s="2982" t="s">
        <v>761</v>
      </c>
      <c r="C491" s="1211">
        <v>43589</v>
      </c>
      <c r="D491" s="1089"/>
      <c r="E491" s="1205"/>
      <c r="F491" s="2688"/>
      <c r="G491" s="1357"/>
      <c r="H491" s="1358" t="str">
        <f>IFERROR(VLOOKUP(F491,Trainingsarten!$A$9:$K$84,10,FALSE),"")</f>
        <v/>
      </c>
      <c r="I491" s="1369" t="str">
        <f t="shared" si="91"/>
        <v/>
      </c>
      <c r="J491" s="1306"/>
      <c r="K491" s="1305" t="str">
        <f>IFERROR(VLOOKUP(F491,Trainingsarten!$A$9:$K$84,11,FALSE),"0")</f>
        <v>0</v>
      </c>
      <c r="L491" s="2806"/>
      <c r="M491" s="2829"/>
      <c r="N491" s="1208" t="str">
        <f t="shared" si="93"/>
        <v/>
      </c>
      <c r="O491" s="1670"/>
      <c r="P491" s="1136" t="str">
        <f>IFERROR(VLOOKUP(F491,Trainingsarten!$A$9:$N$84,12,FALSE),"")</f>
        <v/>
      </c>
      <c r="Q491" s="1137" t="s">
        <v>437</v>
      </c>
      <c r="R491" s="1086" t="str">
        <f>IFERROR(VLOOKUP(F491,Trainingsarten!$A$9:$N$84,14,FALSE),"")</f>
        <v/>
      </c>
      <c r="S491" s="1087" t="str">
        <f t="shared" si="92"/>
        <v/>
      </c>
      <c r="T491" s="1232">
        <f t="shared" si="89"/>
        <v>41.314597344471757</v>
      </c>
      <c r="U491" s="1239">
        <f t="shared" si="87"/>
        <v>46.675979776714975</v>
      </c>
      <c r="V491" s="1210">
        <f t="shared" si="88"/>
        <v>-0.38594526069601187</v>
      </c>
      <c r="W491" s="3284">
        <f t="shared" si="94"/>
        <v>0.88513615658652278</v>
      </c>
      <c r="X491" s="3300"/>
      <c r="Y491" s="3316"/>
      <c r="AA491" s="3301"/>
      <c r="AB491" s="3409"/>
      <c r="AE491" s="1056"/>
    </row>
    <row r="492" spans="2:31" ht="16" thickBot="1" x14ac:dyDescent="0.25">
      <c r="B492" s="2983">
        <f>AVERAGE(W486:W492)</f>
        <v>1.0130881633701934</v>
      </c>
      <c r="C492" s="1260">
        <v>43590</v>
      </c>
      <c r="D492" s="1108" t="s">
        <v>576</v>
      </c>
      <c r="E492" s="1261"/>
      <c r="F492" s="2689" t="s">
        <v>645</v>
      </c>
      <c r="G492" s="1361">
        <v>8.3449074074074078E-2</v>
      </c>
      <c r="H492" s="1362">
        <v>22.02</v>
      </c>
      <c r="I492" s="1370">
        <f t="shared" si="91"/>
        <v>3.789694553772665E-3</v>
      </c>
      <c r="J492" s="1317">
        <v>135</v>
      </c>
      <c r="K492" s="1316">
        <v>121</v>
      </c>
      <c r="L492" s="2807">
        <v>216</v>
      </c>
      <c r="M492" s="2830"/>
      <c r="N492" s="1223">
        <f t="shared" si="93"/>
        <v>1.055593964781</v>
      </c>
      <c r="O492" s="1671" t="s">
        <v>750</v>
      </c>
      <c r="P492" s="1225" t="str">
        <f>IFERROR(VLOOKUP(F492,Trainingsarten!$A$9:$N$84,12,FALSE),"")</f>
        <v/>
      </c>
      <c r="Q492" s="1226" t="s">
        <v>437</v>
      </c>
      <c r="R492" s="1105" t="str">
        <f>IFERROR(VLOOKUP(F492,Trainingsarten!$A$9:$N$84,14,FALSE),"")</f>
        <v/>
      </c>
      <c r="S492" s="1106">
        <f t="shared" si="92"/>
        <v>1.6</v>
      </c>
      <c r="T492" s="1215">
        <f t="shared" si="89"/>
        <v>52.698226295261506</v>
      </c>
      <c r="U492" s="1227">
        <f t="shared" si="87"/>
        <v>48.445599305840808</v>
      </c>
      <c r="V492" s="1227">
        <f t="shared" si="88"/>
        <v>5.361382432243218</v>
      </c>
      <c r="W492" s="3287">
        <f t="shared" si="94"/>
        <v>1.0877814920313718</v>
      </c>
      <c r="X492" s="3300"/>
      <c r="Y492" s="3316"/>
      <c r="AA492" s="3301"/>
      <c r="AB492" s="3409"/>
      <c r="AE492" s="1056"/>
    </row>
    <row r="493" spans="2:31" ht="16" thickBot="1" x14ac:dyDescent="0.25">
      <c r="B493" s="2977">
        <f>B486+1</f>
        <v>19</v>
      </c>
      <c r="C493" s="1245">
        <v>43591</v>
      </c>
      <c r="D493" s="1111"/>
      <c r="E493" s="1112"/>
      <c r="F493" s="2690"/>
      <c r="G493" s="1647"/>
      <c r="H493" s="1648" t="str">
        <f>IFERROR(VLOOKUP(F493,Trainingsarten!$A$9:$K$84,10,FALSE),"")</f>
        <v/>
      </c>
      <c r="I493" s="1230" t="str">
        <f t="shared" si="91"/>
        <v/>
      </c>
      <c r="J493" s="1324"/>
      <c r="K493" s="1325" t="str">
        <f>IFERROR(VLOOKUP(F493,Trainingsarten!$A$9:$K$84,11,FALSE),"0")</f>
        <v>0</v>
      </c>
      <c r="L493" s="1326"/>
      <c r="M493" s="2831"/>
      <c r="N493" s="1119" t="str">
        <f t="shared" si="93"/>
        <v/>
      </c>
      <c r="O493" s="1649"/>
      <c r="P493" s="1277" t="str">
        <f>IFERROR(VLOOKUP(F493,Trainingsarten!$A$9:$N$84,12,FALSE),"")</f>
        <v/>
      </c>
      <c r="Q493" s="1122" t="s">
        <v>437</v>
      </c>
      <c r="R493" s="1122" t="str">
        <f>IFERROR(VLOOKUP(F493,Trainingsarten!$A$9:$N$84,14,FALSE),"")</f>
        <v/>
      </c>
      <c r="S493" s="1070" t="str">
        <f t="shared" si="92"/>
        <v/>
      </c>
      <c r="T493" s="1650">
        <f t="shared" si="89"/>
        <v>45.169908253081289</v>
      </c>
      <c r="U493" s="1651">
        <f t="shared" si="87"/>
        <v>47.292132655701742</v>
      </c>
      <c r="V493" s="1278">
        <f t="shared" si="88"/>
        <v>-4.2526269894206976</v>
      </c>
      <c r="W493" s="3283">
        <f t="shared" si="94"/>
        <v>0.95512521251535076</v>
      </c>
      <c r="X493" s="3300"/>
      <c r="Y493" s="3316"/>
      <c r="AA493" s="3301"/>
      <c r="AB493" s="3409"/>
      <c r="AE493" s="1056"/>
    </row>
    <row r="494" spans="2:31" x14ac:dyDescent="0.2">
      <c r="B494" s="2978" t="s">
        <v>626</v>
      </c>
      <c r="C494" s="1698">
        <v>43592</v>
      </c>
      <c r="D494" s="1699" t="s">
        <v>577</v>
      </c>
      <c r="E494" s="1700"/>
      <c r="F494" s="2698" t="s">
        <v>831</v>
      </c>
      <c r="G494" s="1749">
        <v>4.5057870370370373E-2</v>
      </c>
      <c r="H494" s="1750">
        <v>14.41</v>
      </c>
      <c r="I494" s="1751">
        <f t="shared" si="91"/>
        <v>3.1268473539465907E-3</v>
      </c>
      <c r="J494" s="1752">
        <v>156</v>
      </c>
      <c r="K494" s="1753">
        <v>92</v>
      </c>
      <c r="L494" s="2806">
        <v>253</v>
      </c>
      <c r="M494" s="2829"/>
      <c r="N494" s="1706">
        <f t="shared" si="93"/>
        <v>1.0201549504386465</v>
      </c>
      <c r="O494" s="1754" t="s">
        <v>667</v>
      </c>
      <c r="P494" s="1755" t="str">
        <f>IFERROR(VLOOKUP(F494,Trainingsarten!$A$9:$N$84,12,FALSE),"")</f>
        <v/>
      </c>
      <c r="Q494" s="1756" t="s">
        <v>437</v>
      </c>
      <c r="R494" s="1086" t="str">
        <f>IFERROR(VLOOKUP(F494,Trainingsarten!$A$9:$N$84,14,FALSE),"")</f>
        <v/>
      </c>
      <c r="S494" s="1087">
        <f t="shared" si="92"/>
        <v>1.6217948717948718</v>
      </c>
      <c r="T494" s="1757">
        <f t="shared" si="89"/>
        <v>51.859921359783961</v>
      </c>
      <c r="U494" s="1758">
        <f t="shared" si="87"/>
        <v>48.356605687708843</v>
      </c>
      <c r="V494" s="1088">
        <f t="shared" si="88"/>
        <v>2.1222244026204535</v>
      </c>
      <c r="W494" s="3284">
        <f t="shared" si="94"/>
        <v>1.0724475099575812</v>
      </c>
      <c r="X494" s="3300"/>
      <c r="Y494" s="3316"/>
      <c r="AA494" s="3301"/>
      <c r="AB494" s="3409"/>
      <c r="AE494" s="1056"/>
    </row>
    <row r="495" spans="2:31" ht="16" thickBot="1" x14ac:dyDescent="0.25">
      <c r="B495" s="2979">
        <f>SUM(H493:H499)</f>
        <v>68.08</v>
      </c>
      <c r="C495" s="1211">
        <v>43593</v>
      </c>
      <c r="D495" s="1699" t="s">
        <v>578</v>
      </c>
      <c r="E495" s="1700"/>
      <c r="F495" s="2698" t="s">
        <v>665</v>
      </c>
      <c r="G495" s="1749">
        <v>4.4594907407407409E-2</v>
      </c>
      <c r="H495" s="1750">
        <v>11.57</v>
      </c>
      <c r="I495" s="1751">
        <f t="shared" si="91"/>
        <v>3.8543567335702169E-3</v>
      </c>
      <c r="J495" s="1752">
        <v>138</v>
      </c>
      <c r="K495" s="1753">
        <v>63</v>
      </c>
      <c r="L495" s="2806">
        <v>214</v>
      </c>
      <c r="M495" s="2829"/>
      <c r="N495" s="1706">
        <f t="shared" si="93"/>
        <v>1.0636643919555206</v>
      </c>
      <c r="O495" s="1754" t="s">
        <v>749</v>
      </c>
      <c r="P495" s="1755" t="str">
        <f>IFERROR(VLOOKUP(F495,Trainingsarten!$A$9:$N$84,12,FALSE),"")</f>
        <v/>
      </c>
      <c r="Q495" s="1756" t="s">
        <v>437</v>
      </c>
      <c r="R495" s="1086" t="str">
        <f>IFERROR(VLOOKUP(F495,Trainingsarten!$A$9:$N$84,14,FALSE),"")</f>
        <v/>
      </c>
      <c r="S495" s="1087">
        <f t="shared" si="92"/>
        <v>1.5507246376811594</v>
      </c>
      <c r="T495" s="1757">
        <f t="shared" si="89"/>
        <v>53.451361165529107</v>
      </c>
      <c r="U495" s="1758">
        <f t="shared" si="87"/>
        <v>48.705257933239587</v>
      </c>
      <c r="V495" s="1088">
        <f t="shared" si="88"/>
        <v>-3.503315672075118</v>
      </c>
      <c r="W495" s="3284">
        <f t="shared" si="94"/>
        <v>1.0974453977596221</v>
      </c>
      <c r="X495" s="3300"/>
      <c r="Y495" s="3316"/>
      <c r="AA495" s="3301"/>
      <c r="AB495" s="3409"/>
      <c r="AE495" s="1056"/>
    </row>
    <row r="496" spans="2:31" x14ac:dyDescent="0.2">
      <c r="B496" s="2980" t="s">
        <v>628</v>
      </c>
      <c r="C496" s="1211">
        <v>43594</v>
      </c>
      <c r="D496" s="1699"/>
      <c r="E496" s="1700"/>
      <c r="F496" s="2698"/>
      <c r="G496" s="1749"/>
      <c r="H496" s="1750" t="str">
        <f>IFERROR(VLOOKUP(F496,Trainingsarten!$A$9:$K$84,10,FALSE),"")</f>
        <v/>
      </c>
      <c r="I496" s="1751" t="str">
        <f t="shared" si="91"/>
        <v/>
      </c>
      <c r="J496" s="1752"/>
      <c r="K496" s="1753" t="str">
        <f>IFERROR(VLOOKUP(F496,Trainingsarten!$A$9:$K$84,11,FALSE),"0")</f>
        <v>0</v>
      </c>
      <c r="L496" s="2806"/>
      <c r="M496" s="2829"/>
      <c r="N496" s="1706" t="str">
        <f t="shared" si="93"/>
        <v/>
      </c>
      <c r="O496" s="1754"/>
      <c r="P496" s="1755" t="str">
        <f>IFERROR(VLOOKUP(F496,Trainingsarten!$A$9:$N$84,12,FALSE),"")</f>
        <v/>
      </c>
      <c r="Q496" s="1756" t="s">
        <v>437</v>
      </c>
      <c r="R496" s="1086" t="str">
        <f>IFERROR(VLOOKUP(F496,Trainingsarten!$A$9:$N$84,14,FALSE),"")</f>
        <v/>
      </c>
      <c r="S496" s="1087" t="str">
        <f t="shared" si="92"/>
        <v/>
      </c>
      <c r="T496" s="1757">
        <f t="shared" si="89"/>
        <v>45.815452427596377</v>
      </c>
      <c r="U496" s="1758">
        <f t="shared" ref="U496:U559" si="95">U495+(K496-U495)/42</f>
        <v>47.545608934829119</v>
      </c>
      <c r="V496" s="1088">
        <f t="shared" ref="V496:V559" si="96">U495-T495</f>
        <v>-4.7461032322895207</v>
      </c>
      <c r="W496" s="3284">
        <f t="shared" si="94"/>
        <v>0.96361059315479014</v>
      </c>
      <c r="X496" s="3300"/>
      <c r="Y496" s="3316"/>
      <c r="AA496" s="3301"/>
      <c r="AB496" s="3409"/>
      <c r="AE496" s="1056"/>
    </row>
    <row r="497" spans="2:31" ht="16" thickBot="1" x14ac:dyDescent="0.25">
      <c r="B497" s="2981">
        <f>SUM(K493:K499)</f>
        <v>396</v>
      </c>
      <c r="C497" s="1211">
        <v>43595</v>
      </c>
      <c r="D497" s="1747" t="s">
        <v>579</v>
      </c>
      <c r="E497" s="1748"/>
      <c r="F497" s="2698" t="s">
        <v>666</v>
      </c>
      <c r="G497" s="1749">
        <v>4.8738425925925921E-2</v>
      </c>
      <c r="H497" s="1750">
        <v>13.03</v>
      </c>
      <c r="I497" s="1751">
        <f t="shared" si="91"/>
        <v>3.7404778147295415E-3</v>
      </c>
      <c r="J497" s="1752">
        <v>144</v>
      </c>
      <c r="K497" s="1753">
        <v>85</v>
      </c>
      <c r="L497" s="2806">
        <v>211</v>
      </c>
      <c r="M497" s="2829"/>
      <c r="N497" s="1706">
        <f t="shared" si="93"/>
        <v>1.0177672649797826</v>
      </c>
      <c r="O497" s="1754" t="s">
        <v>751</v>
      </c>
      <c r="P497" s="1755" t="str">
        <f>IFERROR(VLOOKUP(F497,Trainingsarten!$A$9:$N$84,12,FALSE),"")</f>
        <v/>
      </c>
      <c r="Q497" s="1756" t="s">
        <v>437</v>
      </c>
      <c r="R497" s="1086" t="str">
        <f>IFERROR(VLOOKUP(F497,Trainingsarten!$A$9:$N$84,14,FALSE),"")</f>
        <v/>
      </c>
      <c r="S497" s="1087">
        <f t="shared" si="92"/>
        <v>1.4652777777777777</v>
      </c>
      <c r="T497" s="1757">
        <f t="shared" ref="T497:T560" si="97">T496+(K497-T496)/7</f>
        <v>51.413244937939751</v>
      </c>
      <c r="U497" s="1758">
        <f t="shared" si="95"/>
        <v>48.43738015066652</v>
      </c>
      <c r="V497" s="1088">
        <f t="shared" si="96"/>
        <v>1.7301565072327421</v>
      </c>
      <c r="W497" s="3284">
        <f t="shared" si="94"/>
        <v>1.0614373605264504</v>
      </c>
      <c r="X497" s="3300"/>
      <c r="Y497" s="3316"/>
      <c r="AA497" s="3301"/>
      <c r="AB497" s="3409"/>
      <c r="AE497" s="1056"/>
    </row>
    <row r="498" spans="2:31" x14ac:dyDescent="0.2">
      <c r="B498" s="2982" t="s">
        <v>761</v>
      </c>
      <c r="C498" s="1211">
        <v>43596</v>
      </c>
      <c r="D498" s="1747" t="s">
        <v>580</v>
      </c>
      <c r="E498" s="1748"/>
      <c r="F498" s="2698" t="s">
        <v>665</v>
      </c>
      <c r="G498" s="1749">
        <v>3.3831018518518517E-2</v>
      </c>
      <c r="H498" s="1750">
        <v>8.57</v>
      </c>
      <c r="I498" s="1751">
        <f t="shared" si="91"/>
        <v>3.9476100955097449E-3</v>
      </c>
      <c r="J498" s="1752">
        <v>124</v>
      </c>
      <c r="K498" s="1753">
        <v>46</v>
      </c>
      <c r="L498" s="2806">
        <v>209</v>
      </c>
      <c r="M498" s="2829"/>
      <c r="N498" s="1706">
        <f t="shared" ref="N498:N529" si="98">IFERROR((L498/67)/(1/(I498*24)/3.6),"")</f>
        <v>1.063945732248907</v>
      </c>
      <c r="O498" s="1754" t="s">
        <v>749</v>
      </c>
      <c r="P498" s="1755" t="str">
        <f>IFERROR(VLOOKUP(F498,Trainingsarten!$A$9:$N$84,12,FALSE),"")</f>
        <v/>
      </c>
      <c r="Q498" s="1756" t="s">
        <v>437</v>
      </c>
      <c r="R498" s="1086" t="str">
        <f>IFERROR(VLOOKUP(F498,Trainingsarten!$A$9:$N$84,14,FALSE),"")</f>
        <v/>
      </c>
      <c r="S498" s="1087">
        <f t="shared" si="92"/>
        <v>1.685483870967742</v>
      </c>
      <c r="T498" s="1757">
        <f t="shared" si="97"/>
        <v>50.639924232519789</v>
      </c>
      <c r="U498" s="1758">
        <f t="shared" si="95"/>
        <v>48.379347289936362</v>
      </c>
      <c r="V498" s="1088">
        <f t="shared" si="96"/>
        <v>-2.9758647872732311</v>
      </c>
      <c r="W498" s="3284">
        <f t="shared" si="94"/>
        <v>1.0467260736081418</v>
      </c>
      <c r="X498" s="3300"/>
      <c r="Y498" s="3316"/>
      <c r="AA498" s="3301"/>
      <c r="AB498" s="3409"/>
      <c r="AE498" s="1056"/>
    </row>
    <row r="499" spans="2:31" ht="16" thickBot="1" x14ac:dyDescent="0.25">
      <c r="B499" s="2983">
        <f>AVERAGE(W493:W499)</f>
        <v>1.0546902650908201</v>
      </c>
      <c r="C499" s="1740">
        <v>43597</v>
      </c>
      <c r="D499" s="1743" t="s">
        <v>581</v>
      </c>
      <c r="E499" s="1744"/>
      <c r="F499" s="2695" t="s">
        <v>644</v>
      </c>
      <c r="G499" s="1713">
        <v>8.1307870370370364E-2</v>
      </c>
      <c r="H499" s="1724">
        <v>20.5</v>
      </c>
      <c r="I499" s="1725">
        <f t="shared" si="91"/>
        <v>3.9662375790424564E-3</v>
      </c>
      <c r="J499" s="1726">
        <v>128</v>
      </c>
      <c r="K499" s="1717">
        <v>110</v>
      </c>
      <c r="L499" s="2808">
        <v>208</v>
      </c>
      <c r="M499" s="2832"/>
      <c r="N499" s="1718">
        <f t="shared" si="98"/>
        <v>1.0638514743356386</v>
      </c>
      <c r="O499" s="1719" t="s">
        <v>750</v>
      </c>
      <c r="P499" s="1720" t="str">
        <f>IFERROR(VLOOKUP(F499,Trainingsarten!$A$9:$N$84,12,FALSE),"")</f>
        <v/>
      </c>
      <c r="Q499" s="1721" t="s">
        <v>437</v>
      </c>
      <c r="R499" s="1151" t="str">
        <f>IFERROR(VLOOKUP(F499,Trainingsarten!$A$9:$N$84,14,FALSE),"")</f>
        <v/>
      </c>
      <c r="S499" s="1106">
        <f t="shared" si="92"/>
        <v>1.625</v>
      </c>
      <c r="T499" s="1722">
        <f t="shared" si="97"/>
        <v>59.119935056445534</v>
      </c>
      <c r="U499" s="1723">
        <f t="shared" si="95"/>
        <v>49.846505687795023</v>
      </c>
      <c r="V499" s="1152">
        <f t="shared" si="96"/>
        <v>-2.2605769425834268</v>
      </c>
      <c r="W499" s="3285">
        <f t="shared" si="94"/>
        <v>1.186039708113805</v>
      </c>
      <c r="X499" s="3300"/>
      <c r="Y499" s="3316"/>
      <c r="AA499" s="3301"/>
      <c r="AB499" s="3409"/>
      <c r="AE499" s="1056"/>
    </row>
    <row r="500" spans="2:31" ht="16" thickBot="1" x14ac:dyDescent="0.25">
      <c r="B500" s="2977">
        <f>B493+1</f>
        <v>20</v>
      </c>
      <c r="C500" s="1241">
        <v>43598</v>
      </c>
      <c r="D500" s="1347"/>
      <c r="E500" s="1348"/>
      <c r="F500" s="2687"/>
      <c r="G500" s="1349"/>
      <c r="H500" s="1697" t="str">
        <f>IFERROR(VLOOKUP(F500,Trainingsarten!$A$9:$K$84,10,FALSE),"")</f>
        <v/>
      </c>
      <c r="I500" s="1368" t="str">
        <f t="shared" si="91"/>
        <v/>
      </c>
      <c r="J500" s="1354"/>
      <c r="K500" s="1353" t="str">
        <f>IFERROR(VLOOKUP(F500,Trainingsarten!$A$9:$K$84,11,FALSE),"0")</f>
        <v>0</v>
      </c>
      <c r="L500" s="1915"/>
      <c r="M500" s="2833"/>
      <c r="N500" s="1199" t="str">
        <f t="shared" si="98"/>
        <v/>
      </c>
      <c r="O500" s="1668"/>
      <c r="P500" s="1267" t="str">
        <f>IFERROR(VLOOKUP(F500,Trainingsarten!$A$9:$N$84,12,FALSE),"")</f>
        <v/>
      </c>
      <c r="Q500" s="1202" t="s">
        <v>437</v>
      </c>
      <c r="R500" s="1069" t="str">
        <f>IFERROR(VLOOKUP(F500,Trainingsarten!$A$9:$N$84,14,FALSE),"")</f>
        <v/>
      </c>
      <c r="S500" s="1070" t="str">
        <f t="shared" si="92"/>
        <v/>
      </c>
      <c r="T500" s="1669">
        <f t="shared" si="97"/>
        <v>50.674230048381887</v>
      </c>
      <c r="U500" s="1055">
        <f t="shared" si="95"/>
        <v>48.659684123799906</v>
      </c>
      <c r="V500" s="1268">
        <f t="shared" si="96"/>
        <v>-9.2734293686505112</v>
      </c>
      <c r="W500" s="3286">
        <f t="shared" si="94"/>
        <v>1.0414007193194386</v>
      </c>
      <c r="X500" s="3300"/>
      <c r="Y500" s="3316"/>
      <c r="AA500" s="3301"/>
      <c r="AB500" s="3409"/>
      <c r="AE500" s="1056"/>
    </row>
    <row r="501" spans="2:31" x14ac:dyDescent="0.2">
      <c r="B501" s="2978" t="s">
        <v>626</v>
      </c>
      <c r="C501" s="1211">
        <v>43599</v>
      </c>
      <c r="D501" s="1300" t="s">
        <v>582</v>
      </c>
      <c r="E501" s="1301"/>
      <c r="F501" s="2688" t="s">
        <v>832</v>
      </c>
      <c r="G501" s="1357">
        <v>5.1574074074074078E-2</v>
      </c>
      <c r="H501" s="1358">
        <v>17.04</v>
      </c>
      <c r="I501" s="1369">
        <f t="shared" si="91"/>
        <v>3.026647539558338E-3</v>
      </c>
      <c r="J501" s="1306">
        <v>155</v>
      </c>
      <c r="K501" s="1305">
        <v>110</v>
      </c>
      <c r="L501" s="2806">
        <v>260</v>
      </c>
      <c r="M501" s="2829"/>
      <c r="N501" s="1208">
        <f t="shared" si="98"/>
        <v>1.0147852287856494</v>
      </c>
      <c r="O501" s="1670" t="s">
        <v>667</v>
      </c>
      <c r="P501" s="1136" t="str">
        <f>IFERROR(VLOOKUP(F501,Trainingsarten!$A$9:$N$84,12,FALSE),"")</f>
        <v/>
      </c>
      <c r="Q501" s="1137" t="s">
        <v>437</v>
      </c>
      <c r="R501" s="1086" t="str">
        <f>IFERROR(VLOOKUP(F501,Trainingsarten!$A$9:$N$84,14,FALSE),"")</f>
        <v/>
      </c>
      <c r="S501" s="1087">
        <f t="shared" si="92"/>
        <v>1.6774193548387097</v>
      </c>
      <c r="T501" s="1232">
        <f t="shared" si="97"/>
        <v>59.14934004147019</v>
      </c>
      <c r="U501" s="1239">
        <f t="shared" si="95"/>
        <v>50.120167835138005</v>
      </c>
      <c r="V501" s="1210">
        <f t="shared" si="96"/>
        <v>-2.0145459245819808</v>
      </c>
      <c r="W501" s="3284">
        <f t="shared" si="94"/>
        <v>1.1801504782671948</v>
      </c>
      <c r="X501" s="3300"/>
      <c r="Y501" s="3316"/>
      <c r="AA501" s="3301"/>
      <c r="AB501" s="3409"/>
      <c r="AE501" s="1056"/>
    </row>
    <row r="502" spans="2:31" ht="16" thickBot="1" x14ac:dyDescent="0.25">
      <c r="B502" s="2979">
        <f>SUM(H500:H506)</f>
        <v>74.739999999999995</v>
      </c>
      <c r="C502" s="1211">
        <v>43600</v>
      </c>
      <c r="D502" s="1300" t="s">
        <v>583</v>
      </c>
      <c r="E502" s="1301"/>
      <c r="F502" s="2688" t="s">
        <v>665</v>
      </c>
      <c r="G502" s="1357">
        <v>4.4340277777777777E-2</v>
      </c>
      <c r="H502" s="1358">
        <v>11.53</v>
      </c>
      <c r="I502" s="1369">
        <f t="shared" si="91"/>
        <v>3.8456442131637276E-3</v>
      </c>
      <c r="J502" s="1306">
        <v>129</v>
      </c>
      <c r="K502" s="1305">
        <v>63</v>
      </c>
      <c r="L502" s="2806">
        <v>214</v>
      </c>
      <c r="M502" s="2829"/>
      <c r="N502" s="1208">
        <f t="shared" si="98"/>
        <v>1.0612600484136128</v>
      </c>
      <c r="O502" s="1670" t="s">
        <v>749</v>
      </c>
      <c r="P502" s="1136" t="str">
        <f>IFERROR(VLOOKUP(F502,Trainingsarten!$A$9:$N$84,12,FALSE),"")</f>
        <v/>
      </c>
      <c r="Q502" s="1137" t="s">
        <v>437</v>
      </c>
      <c r="R502" s="1086" t="str">
        <f>IFERROR(VLOOKUP(F502,Trainingsarten!$A$9:$N$84,14,FALSE),"")</f>
        <v/>
      </c>
      <c r="S502" s="1087">
        <f t="shared" si="92"/>
        <v>1.6589147286821706</v>
      </c>
      <c r="T502" s="1232">
        <f t="shared" si="97"/>
        <v>59.699434321260163</v>
      </c>
      <c r="U502" s="1239">
        <f t="shared" si="95"/>
        <v>50.42683050572996</v>
      </c>
      <c r="V502" s="1210">
        <f t="shared" si="96"/>
        <v>-9.0291722063321842</v>
      </c>
      <c r="W502" s="3284">
        <f t="shared" si="94"/>
        <v>1.183882344429253</v>
      </c>
      <c r="X502" s="3300"/>
      <c r="Y502" s="3316"/>
      <c r="AA502" s="3301"/>
      <c r="AB502" s="3409"/>
      <c r="AE502" s="1056"/>
    </row>
    <row r="503" spans="2:31" x14ac:dyDescent="0.2">
      <c r="B503" s="2980" t="s">
        <v>628</v>
      </c>
      <c r="C503" s="1211">
        <v>43601</v>
      </c>
      <c r="D503" s="1300"/>
      <c r="E503" s="1301"/>
      <c r="F503" s="2688"/>
      <c r="G503" s="1357"/>
      <c r="H503" s="1358" t="str">
        <f>IFERROR(VLOOKUP(F503,Trainingsarten!$A$9:$K$84,10,FALSE),"")</f>
        <v/>
      </c>
      <c r="I503" s="1369" t="str">
        <f t="shared" si="91"/>
        <v/>
      </c>
      <c r="J503" s="1306"/>
      <c r="K503" s="1305" t="str">
        <f>IFERROR(VLOOKUP(F503,Trainingsarten!$A$9:$K$84,11,FALSE),"0")</f>
        <v>0</v>
      </c>
      <c r="L503" s="2806"/>
      <c r="M503" s="2829"/>
      <c r="N503" s="1208" t="str">
        <f t="shared" si="98"/>
        <v/>
      </c>
      <c r="O503" s="1670"/>
      <c r="P503" s="1136" t="str">
        <f>IFERROR(VLOOKUP(F503,Trainingsarten!$A$9:$N$84,12,FALSE),"")</f>
        <v/>
      </c>
      <c r="Q503" s="1137" t="s">
        <v>437</v>
      </c>
      <c r="R503" s="1086" t="str">
        <f>IFERROR(VLOOKUP(F503,Trainingsarten!$A$9:$N$84,14,FALSE),"")</f>
        <v/>
      </c>
      <c r="S503" s="1087" t="str">
        <f t="shared" si="92"/>
        <v/>
      </c>
      <c r="T503" s="1232">
        <f t="shared" si="97"/>
        <v>51.170943703937283</v>
      </c>
      <c r="U503" s="1239">
        <f t="shared" si="95"/>
        <v>49.226191684164959</v>
      </c>
      <c r="V503" s="1210">
        <f t="shared" si="96"/>
        <v>-9.2726038155302035</v>
      </c>
      <c r="W503" s="3284">
        <f t="shared" si="94"/>
        <v>1.039506448767149</v>
      </c>
      <c r="X503" s="3300"/>
      <c r="Y503" s="3316"/>
      <c r="AA503" s="3301"/>
      <c r="AB503" s="3409"/>
      <c r="AE503" s="1056"/>
    </row>
    <row r="504" spans="2:31" ht="16" thickBot="1" x14ac:dyDescent="0.25">
      <c r="B504" s="2981">
        <f>SUM(K500:K506)</f>
        <v>431</v>
      </c>
      <c r="C504" s="1211">
        <v>43602</v>
      </c>
      <c r="D504" s="1300" t="s">
        <v>584</v>
      </c>
      <c r="E504" s="1301"/>
      <c r="F504" s="2688" t="s">
        <v>464</v>
      </c>
      <c r="G504" s="1357">
        <v>4.2534722222222217E-2</v>
      </c>
      <c r="H504" s="1358">
        <v>12.4</v>
      </c>
      <c r="I504" s="1369">
        <f t="shared" si="91"/>
        <v>3.4302195340501786E-3</v>
      </c>
      <c r="J504" s="1306">
        <v>146</v>
      </c>
      <c r="K504" s="1305">
        <v>79</v>
      </c>
      <c r="L504" s="2806">
        <v>240</v>
      </c>
      <c r="M504" s="2829"/>
      <c r="N504" s="1208">
        <f t="shared" si="98"/>
        <v>1.0616273471352913</v>
      </c>
      <c r="O504" s="1670" t="s">
        <v>751</v>
      </c>
      <c r="P504" s="1136" t="str">
        <f>IFERROR(VLOOKUP(F504,Trainingsarten!$A$9:$N$84,12,FALSE),"")</f>
        <v/>
      </c>
      <c r="Q504" s="1137" t="s">
        <v>437</v>
      </c>
      <c r="R504" s="1086" t="str">
        <f>IFERROR(VLOOKUP(F504,Trainingsarten!$A$9:$N$84,14,FALSE),"")</f>
        <v/>
      </c>
      <c r="S504" s="1087">
        <f t="shared" si="92"/>
        <v>1.6438356164383561</v>
      </c>
      <c r="T504" s="1232">
        <f t="shared" si="97"/>
        <v>55.146523174803384</v>
      </c>
      <c r="U504" s="1239">
        <f t="shared" si="95"/>
        <v>49.935091882161032</v>
      </c>
      <c r="V504" s="1210">
        <f t="shared" si="96"/>
        <v>-1.9447520197723236</v>
      </c>
      <c r="W504" s="3284">
        <f t="shared" si="94"/>
        <v>1.1043641074084836</v>
      </c>
      <c r="X504" s="3300"/>
      <c r="Y504" s="3316"/>
      <c r="AA504" s="3301"/>
      <c r="AB504" s="3409"/>
      <c r="AE504" s="1056"/>
    </row>
    <row r="505" spans="2:31" x14ac:dyDescent="0.2">
      <c r="B505" s="2982" t="s">
        <v>761</v>
      </c>
      <c r="C505" s="1211">
        <v>43603</v>
      </c>
      <c r="D505" s="1300" t="s">
        <v>585</v>
      </c>
      <c r="E505" s="1301"/>
      <c r="F505" s="2688" t="s">
        <v>665</v>
      </c>
      <c r="G505" s="1357">
        <v>4.5011574074074072E-2</v>
      </c>
      <c r="H505" s="1358">
        <v>11.57</v>
      </c>
      <c r="I505" s="1369">
        <f t="shared" si="91"/>
        <v>3.8903694100323313E-3</v>
      </c>
      <c r="J505" s="1306">
        <v>132</v>
      </c>
      <c r="K505" s="1305">
        <v>63</v>
      </c>
      <c r="L505" s="2806">
        <v>212</v>
      </c>
      <c r="M505" s="2829"/>
      <c r="N505" s="1208">
        <f t="shared" si="98"/>
        <v>1.0635689314877641</v>
      </c>
      <c r="O505" s="1670" t="s">
        <v>749</v>
      </c>
      <c r="P505" s="1136" t="str">
        <f>IFERROR(VLOOKUP(F505,Trainingsarten!$A$9:$N$84,12,FALSE),"")</f>
        <v/>
      </c>
      <c r="Q505" s="1137" t="s">
        <v>437</v>
      </c>
      <c r="R505" s="1086" t="str">
        <f>IFERROR(VLOOKUP(F505,Trainingsarten!$A$9:$N$84,14,FALSE),"")</f>
        <v/>
      </c>
      <c r="S505" s="1087">
        <f t="shared" si="92"/>
        <v>1.606060606060606</v>
      </c>
      <c r="T505" s="1232">
        <f t="shared" si="97"/>
        <v>56.268448435545757</v>
      </c>
      <c r="U505" s="1239">
        <f t="shared" si="95"/>
        <v>50.24616112306196</v>
      </c>
      <c r="V505" s="1210">
        <f t="shared" si="96"/>
        <v>-5.2114312926423523</v>
      </c>
      <c r="W505" s="3284">
        <f t="shared" si="94"/>
        <v>1.1198556701224223</v>
      </c>
      <c r="X505" s="3300"/>
      <c r="Y505" s="3316"/>
      <c r="AA505" s="3301"/>
      <c r="AB505" s="3409"/>
      <c r="AE505" s="1056"/>
    </row>
    <row r="506" spans="2:31" ht="16" thickBot="1" x14ac:dyDescent="0.25">
      <c r="B506" s="2983">
        <f>AVERAGE(W500:W506)</f>
        <v>1.1314101875052889</v>
      </c>
      <c r="C506" s="1260">
        <v>43604</v>
      </c>
      <c r="D506" s="1310" t="s">
        <v>586</v>
      </c>
      <c r="E506" s="1311"/>
      <c r="F506" s="2689" t="s">
        <v>645</v>
      </c>
      <c r="G506" s="1361">
        <v>8.8726851851851848E-2</v>
      </c>
      <c r="H506" s="1362">
        <v>22.2</v>
      </c>
      <c r="I506" s="1370">
        <f t="shared" si="91"/>
        <v>3.9967050383717048E-3</v>
      </c>
      <c r="J506" s="1317">
        <v>134</v>
      </c>
      <c r="K506" s="1316">
        <v>116</v>
      </c>
      <c r="L506" s="2807">
        <v>205</v>
      </c>
      <c r="M506" s="2830"/>
      <c r="N506" s="1223">
        <f t="shared" si="98"/>
        <v>1.0565617856662632</v>
      </c>
      <c r="O506" s="1671" t="s">
        <v>750</v>
      </c>
      <c r="P506" s="1225" t="str">
        <f>IFERROR(VLOOKUP(F506,Trainingsarten!$A$9:$N$84,12,FALSE),"")</f>
        <v/>
      </c>
      <c r="Q506" s="1226" t="s">
        <v>437</v>
      </c>
      <c r="R506" s="1105" t="str">
        <f>IFERROR(VLOOKUP(F506,Trainingsarten!$A$9:$N$84,14,FALSE),"")</f>
        <v/>
      </c>
      <c r="S506" s="1106">
        <f t="shared" si="92"/>
        <v>1.5298507462686568</v>
      </c>
      <c r="T506" s="1215">
        <f t="shared" si="97"/>
        <v>64.801527230467798</v>
      </c>
      <c r="U506" s="1227">
        <f t="shared" si="95"/>
        <v>51.811728715370009</v>
      </c>
      <c r="V506" s="1227">
        <f t="shared" si="96"/>
        <v>-6.0222873124837975</v>
      </c>
      <c r="W506" s="3287">
        <f t="shared" si="94"/>
        <v>1.2507115442230814</v>
      </c>
      <c r="X506" s="3300"/>
      <c r="Y506" s="3316"/>
      <c r="AA506" s="3301"/>
      <c r="AB506" s="3409"/>
      <c r="AE506" s="1056"/>
    </row>
    <row r="507" spans="2:31" ht="16" thickBot="1" x14ac:dyDescent="0.25">
      <c r="B507" s="2977">
        <f>B500+1</f>
        <v>21</v>
      </c>
      <c r="C507" s="1245">
        <v>43605</v>
      </c>
      <c r="D507" s="1320"/>
      <c r="E507" s="1321"/>
      <c r="F507" s="2690"/>
      <c r="G507" s="1647"/>
      <c r="H507" s="1648" t="str">
        <f>IFERROR(VLOOKUP(F507,Trainingsarten!$A$9:$K$84,10,FALSE),"")</f>
        <v/>
      </c>
      <c r="I507" s="1230" t="str">
        <f t="shared" si="91"/>
        <v/>
      </c>
      <c r="J507" s="1324"/>
      <c r="K507" s="1325" t="str">
        <f>IFERROR(VLOOKUP(F507,Trainingsarten!$A$9:$K$84,11,FALSE),"0")</f>
        <v>0</v>
      </c>
      <c r="L507" s="1326"/>
      <c r="M507" s="2831"/>
      <c r="N507" s="1119" t="str">
        <f t="shared" si="98"/>
        <v/>
      </c>
      <c r="O507" s="1649"/>
      <c r="P507" s="1277" t="str">
        <f>IFERROR(VLOOKUP(F507,Trainingsarten!$A$9:$N$84,12,FALSE),"")</f>
        <v/>
      </c>
      <c r="Q507" s="1122" t="s">
        <v>437</v>
      </c>
      <c r="R507" s="1122" t="str">
        <f>IFERROR(VLOOKUP(F507,Trainingsarten!$A$9:$N$84,14,FALSE),"")</f>
        <v/>
      </c>
      <c r="S507" s="1070" t="str">
        <f t="shared" si="92"/>
        <v/>
      </c>
      <c r="T507" s="1650">
        <f t="shared" si="97"/>
        <v>55.544166197543831</v>
      </c>
      <c r="U507" s="1651">
        <f t="shared" si="95"/>
        <v>50.578116126908817</v>
      </c>
      <c r="V507" s="1278">
        <f t="shared" si="96"/>
        <v>-12.989798515097789</v>
      </c>
      <c r="W507" s="3283">
        <f t="shared" si="94"/>
        <v>1.0981857461470961</v>
      </c>
      <c r="X507" s="3300"/>
      <c r="Y507" s="3316"/>
      <c r="AA507" s="3301"/>
      <c r="AB507" s="3409"/>
      <c r="AE507" s="1056"/>
    </row>
    <row r="508" spans="2:31" x14ac:dyDescent="0.2">
      <c r="B508" s="2978" t="s">
        <v>626</v>
      </c>
      <c r="C508" s="1698">
        <v>43606</v>
      </c>
      <c r="D508" s="1747" t="s">
        <v>587</v>
      </c>
      <c r="E508" s="1748"/>
      <c r="F508" s="2698" t="s">
        <v>657</v>
      </c>
      <c r="G508" s="1749">
        <v>3.3449074074074069E-2</v>
      </c>
      <c r="H508" s="1750">
        <v>9.6</v>
      </c>
      <c r="I508" s="1751">
        <f t="shared" si="91"/>
        <v>3.4842785493827155E-3</v>
      </c>
      <c r="J508" s="1752">
        <v>141</v>
      </c>
      <c r="K508" s="1753">
        <v>61</v>
      </c>
      <c r="L508" s="2806" t="s">
        <v>437</v>
      </c>
      <c r="M508" s="2829"/>
      <c r="N508" s="1706" t="str">
        <f t="shared" si="98"/>
        <v/>
      </c>
      <c r="O508" s="1754" t="s">
        <v>667</v>
      </c>
      <c r="P508" s="1755">
        <f>IFERROR(VLOOKUP(F508,Trainingsarten!$A$9:$N$84,12,FALSE),"")</f>
        <v>230.89999999999998</v>
      </c>
      <c r="Q508" s="1756" t="s">
        <v>437</v>
      </c>
      <c r="R508" s="1086">
        <f>IFERROR(VLOOKUP(F508,Trainingsarten!$A$9:$N$84,14,FALSE),"")</f>
        <v>254.10000000000002</v>
      </c>
      <c r="S508" s="1087" t="str">
        <f t="shared" si="92"/>
        <v/>
      </c>
      <c r="T508" s="1757">
        <f t="shared" si="97"/>
        <v>56.323571026466141</v>
      </c>
      <c r="U508" s="1758">
        <f t="shared" si="95"/>
        <v>50.826256219125277</v>
      </c>
      <c r="V508" s="1088">
        <f t="shared" si="96"/>
        <v>-4.9660500706350135</v>
      </c>
      <c r="W508" s="3284">
        <f t="shared" si="94"/>
        <v>1.1081589559467158</v>
      </c>
      <c r="X508" s="3300"/>
      <c r="Y508" s="3316"/>
      <c r="AA508" s="3301"/>
      <c r="AB508" s="3409"/>
      <c r="AE508" s="1056"/>
    </row>
    <row r="509" spans="2:31" ht="16" thickBot="1" x14ac:dyDescent="0.25">
      <c r="B509" s="2979">
        <f>SUM(H507:H513)</f>
        <v>35.47</v>
      </c>
      <c r="C509" s="1211">
        <v>43607</v>
      </c>
      <c r="D509" s="1747" t="s">
        <v>588</v>
      </c>
      <c r="E509" s="1748"/>
      <c r="F509" s="2698" t="s">
        <v>665</v>
      </c>
      <c r="G509" s="1749">
        <v>4.4745370370370373E-2</v>
      </c>
      <c r="H509" s="1750">
        <v>11.57</v>
      </c>
      <c r="I509" s="1751">
        <f t="shared" si="91"/>
        <v>3.867361311181536E-3</v>
      </c>
      <c r="J509" s="1752">
        <v>130</v>
      </c>
      <c r="K509" s="1753">
        <v>63</v>
      </c>
      <c r="L509" s="2806">
        <v>213</v>
      </c>
      <c r="M509" s="2829"/>
      <c r="N509" s="1706">
        <f t="shared" si="98"/>
        <v>1.062266025103523</v>
      </c>
      <c r="O509" s="1754" t="s">
        <v>749</v>
      </c>
      <c r="P509" s="1755" t="str">
        <f>IFERROR(VLOOKUP(F509,Trainingsarten!$A$9:$N$84,12,FALSE),"")</f>
        <v/>
      </c>
      <c r="Q509" s="1756" t="s">
        <v>437</v>
      </c>
      <c r="R509" s="1086" t="str">
        <f>IFERROR(VLOOKUP(F509,Trainingsarten!$A$9:$N$84,14,FALSE),"")</f>
        <v/>
      </c>
      <c r="S509" s="1087">
        <f t="shared" si="92"/>
        <v>1.6384615384615384</v>
      </c>
      <c r="T509" s="1757">
        <f t="shared" si="97"/>
        <v>57.277346594113837</v>
      </c>
      <c r="U509" s="1758">
        <f t="shared" si="95"/>
        <v>51.116107261527056</v>
      </c>
      <c r="V509" s="1088">
        <f t="shared" si="96"/>
        <v>-5.4973148073408638</v>
      </c>
      <c r="W509" s="3284">
        <f t="shared" si="94"/>
        <v>1.120534204630721</v>
      </c>
      <c r="X509" s="3300"/>
      <c r="Y509" s="3316"/>
      <c r="AA509" s="3301"/>
      <c r="AB509" s="3409"/>
      <c r="AE509" s="1056"/>
    </row>
    <row r="510" spans="2:31" x14ac:dyDescent="0.2">
      <c r="B510" s="2980" t="s">
        <v>628</v>
      </c>
      <c r="C510" s="1211">
        <v>43608</v>
      </c>
      <c r="D510" s="1747"/>
      <c r="E510" s="1748"/>
      <c r="F510" s="2698"/>
      <c r="G510" s="1749"/>
      <c r="H510" s="1750" t="str">
        <f>IFERROR(VLOOKUP(F510,Trainingsarten!$A$9:$K$84,10,FALSE),"")</f>
        <v/>
      </c>
      <c r="I510" s="1751" t="str">
        <f t="shared" si="91"/>
        <v/>
      </c>
      <c r="J510" s="1752"/>
      <c r="K510" s="1753" t="str">
        <f>IFERROR(VLOOKUP(F510,Trainingsarten!$A$9:$K$84,11,FALSE),"0")</f>
        <v>0</v>
      </c>
      <c r="L510" s="2806"/>
      <c r="M510" s="2829"/>
      <c r="N510" s="1706" t="str">
        <f t="shared" si="98"/>
        <v/>
      </c>
      <c r="O510" s="1754"/>
      <c r="P510" s="1755" t="str">
        <f>IFERROR(VLOOKUP(F510,Trainingsarten!$A$9:$N$84,12,FALSE),"")</f>
        <v/>
      </c>
      <c r="Q510" s="1756" t="s">
        <v>437</v>
      </c>
      <c r="R510" s="1086" t="str">
        <f>IFERROR(VLOOKUP(F510,Trainingsarten!$A$9:$N$84,14,FALSE),"")</f>
        <v/>
      </c>
      <c r="S510" s="1087" t="str">
        <f t="shared" si="92"/>
        <v/>
      </c>
      <c r="T510" s="1757">
        <f t="shared" si="97"/>
        <v>49.094868509240428</v>
      </c>
      <c r="U510" s="1758">
        <f t="shared" si="95"/>
        <v>49.899057088633555</v>
      </c>
      <c r="V510" s="1088">
        <f t="shared" si="96"/>
        <v>-6.1612393325867814</v>
      </c>
      <c r="W510" s="3284">
        <f t="shared" si="94"/>
        <v>0.98388369187087676</v>
      </c>
      <c r="X510" s="3300"/>
      <c r="Y510" s="3316"/>
      <c r="AA510" s="3301"/>
      <c r="AB510" s="3409"/>
      <c r="AE510" s="1056"/>
    </row>
    <row r="511" spans="2:31" ht="16" thickBot="1" x14ac:dyDescent="0.25">
      <c r="B511" s="2981">
        <f>SUM(K507:K513)</f>
        <v>270</v>
      </c>
      <c r="C511" s="1211">
        <v>43609</v>
      </c>
      <c r="D511" s="1747" t="s">
        <v>589</v>
      </c>
      <c r="E511" s="1748"/>
      <c r="F511" s="2698" t="s">
        <v>665</v>
      </c>
      <c r="G511" s="1749">
        <v>4.3680555555555556E-2</v>
      </c>
      <c r="H511" s="1750" t="str">
        <f>IFERROR(VLOOKUP(F511,Trainingsarten!$A$9:$K$84,10,FALSE),"")</f>
        <v/>
      </c>
      <c r="I511" s="1751" t="str">
        <f t="shared" si="91"/>
        <v/>
      </c>
      <c r="J511" s="1752">
        <v>131</v>
      </c>
      <c r="K511" s="1753">
        <v>65</v>
      </c>
      <c r="L511" s="2806">
        <v>219</v>
      </c>
      <c r="M511" s="2829"/>
      <c r="N511" s="1706" t="str">
        <f t="shared" si="98"/>
        <v/>
      </c>
      <c r="O511" s="1754" t="s">
        <v>749</v>
      </c>
      <c r="P511" s="1755" t="str">
        <f>IFERROR(VLOOKUP(F511,Trainingsarten!$A$9:$N$84,12,FALSE),"")</f>
        <v/>
      </c>
      <c r="Q511" s="1756" t="s">
        <v>437</v>
      </c>
      <c r="R511" s="1086" t="str">
        <f>IFERROR(VLOOKUP(F511,Trainingsarten!$A$9:$N$84,14,FALSE),"")</f>
        <v/>
      </c>
      <c r="S511" s="1087">
        <f t="shared" si="92"/>
        <v>1.6717557251908397</v>
      </c>
      <c r="T511" s="1757">
        <f t="shared" si="97"/>
        <v>51.367030150777509</v>
      </c>
      <c r="U511" s="1758">
        <f t="shared" si="95"/>
        <v>50.258603348427997</v>
      </c>
      <c r="V511" s="1088">
        <f t="shared" si="96"/>
        <v>0.80418857939312716</v>
      </c>
      <c r="W511" s="3284">
        <f t="shared" si="94"/>
        <v>1.0220544688571054</v>
      </c>
      <c r="X511" s="3300"/>
      <c r="Y511" s="3316"/>
      <c r="AA511" s="3301"/>
      <c r="AB511" s="3409"/>
      <c r="AE511" s="1056"/>
    </row>
    <row r="512" spans="2:31" x14ac:dyDescent="0.2">
      <c r="B512" s="2982" t="s">
        <v>761</v>
      </c>
      <c r="C512" s="1211">
        <v>43610</v>
      </c>
      <c r="D512" s="1747"/>
      <c r="E512" s="1748"/>
      <c r="F512" s="2698"/>
      <c r="G512" s="1749"/>
      <c r="H512" s="1750" t="str">
        <f>IFERROR(VLOOKUP(F512,Trainingsarten!$A$9:$K$84,10,FALSE),"")</f>
        <v/>
      </c>
      <c r="I512" s="1751" t="str">
        <f t="shared" si="91"/>
        <v/>
      </c>
      <c r="J512" s="1752"/>
      <c r="K512" s="1753" t="str">
        <f>IFERROR(VLOOKUP(F512,Trainingsarten!$A$9:$K$84,11,FALSE),"0")</f>
        <v>0</v>
      </c>
      <c r="L512" s="2806"/>
      <c r="M512" s="2829"/>
      <c r="N512" s="1706" t="str">
        <f t="shared" si="98"/>
        <v/>
      </c>
      <c r="O512" s="1754"/>
      <c r="P512" s="1755" t="str">
        <f>IFERROR(VLOOKUP(F512,Trainingsarten!$A$9:$N$84,12,FALSE),"")</f>
        <v/>
      </c>
      <c r="Q512" s="1756" t="s">
        <v>437</v>
      </c>
      <c r="R512" s="1086" t="str">
        <f>IFERROR(VLOOKUP(F512,Trainingsarten!$A$9:$N$84,14,FALSE),"")</f>
        <v/>
      </c>
      <c r="S512" s="1087" t="str">
        <f t="shared" si="92"/>
        <v/>
      </c>
      <c r="T512" s="1757">
        <f t="shared" si="97"/>
        <v>44.028882986380722</v>
      </c>
      <c r="U512" s="1758">
        <f t="shared" si="95"/>
        <v>49.061969935370186</v>
      </c>
      <c r="V512" s="1088">
        <f t="shared" si="96"/>
        <v>-1.1084268023495127</v>
      </c>
      <c r="W512" s="3284">
        <f t="shared" si="94"/>
        <v>0.89741367997209243</v>
      </c>
      <c r="X512" s="3300"/>
      <c r="Y512" s="3316"/>
      <c r="AA512" s="3301"/>
      <c r="AB512" s="3409"/>
      <c r="AE512" s="1056"/>
    </row>
    <row r="513" spans="2:31" ht="16" thickBot="1" x14ac:dyDescent="0.25">
      <c r="B513" s="2983">
        <f>AVERAGE(W507:W513)</f>
        <v>1.0314222412037855</v>
      </c>
      <c r="C513" s="1711">
        <v>43611</v>
      </c>
      <c r="D513" s="1743" t="s">
        <v>590</v>
      </c>
      <c r="E513" s="1744"/>
      <c r="F513" s="2695" t="s">
        <v>648</v>
      </c>
      <c r="G513" s="1713">
        <v>5.4039351851851852E-2</v>
      </c>
      <c r="H513" s="1724">
        <v>14.3</v>
      </c>
      <c r="I513" s="1725">
        <f t="shared" si="91"/>
        <v>3.778975653975654E-3</v>
      </c>
      <c r="J513" s="1726">
        <v>133</v>
      </c>
      <c r="K513" s="1717">
        <v>81</v>
      </c>
      <c r="L513" s="2808">
        <v>218</v>
      </c>
      <c r="M513" s="2832"/>
      <c r="N513" s="1718">
        <f t="shared" si="98"/>
        <v>1.0623546602651082</v>
      </c>
      <c r="O513" s="1719" t="s">
        <v>750</v>
      </c>
      <c r="P513" s="1720" t="str">
        <f>IFERROR(VLOOKUP(F513,Trainingsarten!$A$9:$N$84,12,FALSE),"")</f>
        <v/>
      </c>
      <c r="Q513" s="1721" t="s">
        <v>437</v>
      </c>
      <c r="R513" s="1151" t="str">
        <f>IFERROR(VLOOKUP(F513,Trainingsarten!$A$9:$N$84,14,FALSE),"")</f>
        <v/>
      </c>
      <c r="S513" s="1106">
        <f t="shared" si="92"/>
        <v>1.6390977443609023</v>
      </c>
      <c r="T513" s="1722">
        <f t="shared" si="97"/>
        <v>49.310471131183476</v>
      </c>
      <c r="U513" s="1723">
        <f t="shared" si="95"/>
        <v>49.822399222623275</v>
      </c>
      <c r="V513" s="1152">
        <f t="shared" si="96"/>
        <v>5.0330869489894638</v>
      </c>
      <c r="W513" s="3285">
        <f t="shared" si="94"/>
        <v>0.9897249410018909</v>
      </c>
      <c r="X513" s="3300"/>
      <c r="Y513" s="3316"/>
      <c r="AA513" s="3301"/>
      <c r="AB513" s="3409"/>
      <c r="AE513" s="1056"/>
    </row>
    <row r="514" spans="2:31" ht="16" thickBot="1" x14ac:dyDescent="0.25">
      <c r="B514" s="2977">
        <f>B507+1</f>
        <v>22</v>
      </c>
      <c r="C514" s="1241">
        <v>43612</v>
      </c>
      <c r="D514" s="1191"/>
      <c r="E514" s="1192"/>
      <c r="F514" s="2687"/>
      <c r="G514" s="1349"/>
      <c r="H514" s="1697" t="str">
        <f>IFERROR(VLOOKUP(F514,Trainingsarten!$A$9:$K$84,10,FALSE),"")</f>
        <v/>
      </c>
      <c r="I514" s="1368" t="str">
        <f t="shared" ref="I514:I577" si="99">IFERROR(G514/H514,"")</f>
        <v/>
      </c>
      <c r="J514" s="1354"/>
      <c r="K514" s="1353" t="str">
        <f>IFERROR(VLOOKUP(F514,Trainingsarten!$A$9:$K$84,11,FALSE),"0")</f>
        <v>0</v>
      </c>
      <c r="L514" s="1915"/>
      <c r="M514" s="2833"/>
      <c r="N514" s="1199" t="str">
        <f t="shared" si="98"/>
        <v/>
      </c>
      <c r="O514" s="1668"/>
      <c r="P514" s="1267" t="str">
        <f>IFERROR(VLOOKUP(F514,Trainingsarten!$A$9:$N$84,12,FALSE),"")</f>
        <v/>
      </c>
      <c r="Q514" s="1202" t="s">
        <v>437</v>
      </c>
      <c r="R514" s="1069" t="str">
        <f>IFERROR(VLOOKUP(F514,Trainingsarten!$A$9:$N$84,14,FALSE),"")</f>
        <v/>
      </c>
      <c r="S514" s="1070" t="str">
        <f t="shared" si="92"/>
        <v/>
      </c>
      <c r="T514" s="1669">
        <f t="shared" si="97"/>
        <v>42.266118112442982</v>
      </c>
      <c r="U514" s="1055">
        <f t="shared" si="95"/>
        <v>48.636151622084626</v>
      </c>
      <c r="V514" s="1268">
        <f t="shared" si="96"/>
        <v>0.511928091439799</v>
      </c>
      <c r="W514" s="3286">
        <f t="shared" si="94"/>
        <v>0.86902677746507495</v>
      </c>
      <c r="X514" s="3300"/>
      <c r="Y514" s="3316"/>
      <c r="AA514" s="3301"/>
      <c r="AB514" s="3409"/>
      <c r="AE514" s="1056"/>
    </row>
    <row r="515" spans="2:31" x14ac:dyDescent="0.2">
      <c r="B515" s="2978" t="s">
        <v>626</v>
      </c>
      <c r="C515" s="1211">
        <v>43613</v>
      </c>
      <c r="D515" s="1212"/>
      <c r="E515" s="1213"/>
      <c r="F515" s="2688"/>
      <c r="G515" s="1357"/>
      <c r="H515" s="1358" t="str">
        <f>IFERROR(VLOOKUP(F515,Trainingsarten!$A$9:$K$84,10,FALSE),"")</f>
        <v/>
      </c>
      <c r="I515" s="1369" t="str">
        <f t="shared" si="99"/>
        <v/>
      </c>
      <c r="J515" s="1306"/>
      <c r="K515" s="1305" t="str">
        <f>IFERROR(VLOOKUP(F515,Trainingsarten!$A$9:$K$84,11,FALSE),"0")</f>
        <v>0</v>
      </c>
      <c r="L515" s="2806"/>
      <c r="M515" s="2829"/>
      <c r="N515" s="1208" t="str">
        <f t="shared" si="98"/>
        <v/>
      </c>
      <c r="O515" s="1670"/>
      <c r="P515" s="1136" t="str">
        <f>IFERROR(VLOOKUP(F515,Trainingsarten!$A$9:$N$84,12,FALSE),"")</f>
        <v/>
      </c>
      <c r="Q515" s="1137" t="s">
        <v>437</v>
      </c>
      <c r="R515" s="1086" t="str">
        <f>IFERROR(VLOOKUP(F515,Trainingsarten!$A$9:$N$84,14,FALSE),"")</f>
        <v/>
      </c>
      <c r="S515" s="1087" t="str">
        <f t="shared" si="92"/>
        <v/>
      </c>
      <c r="T515" s="1232">
        <f t="shared" si="97"/>
        <v>36.228101239236842</v>
      </c>
      <c r="U515" s="1239">
        <f t="shared" si="95"/>
        <v>47.478148012034993</v>
      </c>
      <c r="V515" s="1210">
        <f t="shared" si="96"/>
        <v>6.3700335096416438</v>
      </c>
      <c r="W515" s="3284">
        <f t="shared" si="94"/>
        <v>0.76304790216445606</v>
      </c>
      <c r="X515" s="3300"/>
      <c r="Y515" s="3316"/>
      <c r="AA515" s="3301"/>
      <c r="AB515" s="3409"/>
      <c r="AE515" s="1056"/>
    </row>
    <row r="516" spans="2:31" ht="16" thickBot="1" x14ac:dyDescent="0.25">
      <c r="B516" s="2979">
        <f>SUM(H514:H520)</f>
        <v>27.299999999999997</v>
      </c>
      <c r="C516" s="1211">
        <v>43614</v>
      </c>
      <c r="D516" s="1089" t="s">
        <v>591</v>
      </c>
      <c r="E516" s="1205"/>
      <c r="F516" s="2688" t="s">
        <v>656</v>
      </c>
      <c r="G516" s="1357">
        <v>2.7418981481481485E-2</v>
      </c>
      <c r="H516" s="1358">
        <v>8.19</v>
      </c>
      <c r="I516" s="1369">
        <f t="shared" si="99"/>
        <v>3.3478609867498765E-3</v>
      </c>
      <c r="J516" s="1306">
        <v>144</v>
      </c>
      <c r="K516" s="1305">
        <v>51</v>
      </c>
      <c r="L516" s="2806">
        <v>240</v>
      </c>
      <c r="M516" s="2829"/>
      <c r="N516" s="1208">
        <f t="shared" si="98"/>
        <v>1.0361379913618722</v>
      </c>
      <c r="O516" s="1670" t="s">
        <v>751</v>
      </c>
      <c r="P516" s="1136">
        <f>IFERROR(VLOOKUP(F516,Trainingsarten!$A$9:$N$84,12,FALSE),"")</f>
        <v>230.89999999999998</v>
      </c>
      <c r="Q516" s="1137" t="s">
        <v>437</v>
      </c>
      <c r="R516" s="1086">
        <f>IFERROR(VLOOKUP(F516,Trainingsarten!$A$9:$N$84,14,FALSE),"")</f>
        <v>254.10000000000002</v>
      </c>
      <c r="S516" s="1087">
        <f t="shared" si="92"/>
        <v>1.6666666666666667</v>
      </c>
      <c r="T516" s="1232">
        <f t="shared" si="97"/>
        <v>38.338372490774439</v>
      </c>
      <c r="U516" s="1239">
        <f t="shared" si="95"/>
        <v>47.562001630796061</v>
      </c>
      <c r="V516" s="1210">
        <f t="shared" si="96"/>
        <v>11.25004677279815</v>
      </c>
      <c r="W516" s="3284">
        <f t="shared" si="94"/>
        <v>0.80607146832000887</v>
      </c>
      <c r="X516" s="3300"/>
      <c r="Y516" s="3316"/>
      <c r="AA516" s="3301"/>
      <c r="AB516" s="3409"/>
      <c r="AE516" s="1056"/>
    </row>
    <row r="517" spans="2:31" x14ac:dyDescent="0.2">
      <c r="B517" s="2980" t="s">
        <v>628</v>
      </c>
      <c r="C517" s="1211">
        <v>43615</v>
      </c>
      <c r="D517" s="1089"/>
      <c r="E517" s="1205"/>
      <c r="F517" s="2688"/>
      <c r="G517" s="1357"/>
      <c r="H517" s="1358" t="str">
        <f>IFERROR(VLOOKUP(F517,Trainingsarten!$A$9:$K$84,10,FALSE),"")</f>
        <v/>
      </c>
      <c r="I517" s="1369" t="str">
        <f t="shared" si="99"/>
        <v/>
      </c>
      <c r="J517" s="1306"/>
      <c r="K517" s="1305" t="str">
        <f>IFERROR(VLOOKUP(F517,Trainingsarten!$A$9:$K$84,11,FALSE),"0")</f>
        <v>0</v>
      </c>
      <c r="L517" s="2806"/>
      <c r="M517" s="2829"/>
      <c r="N517" s="1208" t="str">
        <f t="shared" si="98"/>
        <v/>
      </c>
      <c r="O517" s="1670"/>
      <c r="P517" s="1136" t="str">
        <f>IFERROR(VLOOKUP(F517,Trainingsarten!$A$9:$N$84,12,FALSE),"")</f>
        <v/>
      </c>
      <c r="Q517" s="1137" t="s">
        <v>437</v>
      </c>
      <c r="R517" s="1086" t="str">
        <f>IFERROR(VLOOKUP(F517,Trainingsarten!$A$9:$N$84,14,FALSE),"")</f>
        <v/>
      </c>
      <c r="S517" s="1087" t="str">
        <f t="shared" si="92"/>
        <v/>
      </c>
      <c r="T517" s="1232">
        <f t="shared" si="97"/>
        <v>32.86146213494952</v>
      </c>
      <c r="U517" s="1239">
        <f t="shared" si="95"/>
        <v>46.42957302053901</v>
      </c>
      <c r="V517" s="1210">
        <f t="shared" si="96"/>
        <v>9.2236291400216217</v>
      </c>
      <c r="W517" s="3284">
        <f t="shared" si="94"/>
        <v>0.70777006974439816</v>
      </c>
      <c r="X517" s="3300"/>
      <c r="Y517" s="3316"/>
      <c r="AA517" s="3301"/>
      <c r="AB517" s="3409"/>
      <c r="AE517" s="1056"/>
    </row>
    <row r="518" spans="2:31" ht="16" thickBot="1" x14ac:dyDescent="0.25">
      <c r="B518" s="2981">
        <f>SUM(K514:K520)</f>
        <v>167</v>
      </c>
      <c r="C518" s="1211">
        <v>43616</v>
      </c>
      <c r="D518" s="1089" t="s">
        <v>592</v>
      </c>
      <c r="E518" s="1205"/>
      <c r="F518" s="2688" t="s">
        <v>637</v>
      </c>
      <c r="G518" s="1357">
        <v>2.6921296296296294E-2</v>
      </c>
      <c r="H518" s="1358">
        <v>6.91</v>
      </c>
      <c r="I518" s="1369">
        <f t="shared" si="99"/>
        <v>3.8959907809401292E-3</v>
      </c>
      <c r="J518" s="1306">
        <v>137</v>
      </c>
      <c r="K518" s="1305">
        <v>38</v>
      </c>
      <c r="L518" s="2806">
        <v>215</v>
      </c>
      <c r="M518" s="2829"/>
      <c r="N518" s="1208">
        <f t="shared" si="98"/>
        <v>1.0801779812946843</v>
      </c>
      <c r="O518" s="1670" t="s">
        <v>750</v>
      </c>
      <c r="P518" s="1136" t="str">
        <f>IFERROR(VLOOKUP(F518,Trainingsarten!$A$9:$N$84,12,FALSE),"")</f>
        <v/>
      </c>
      <c r="Q518" s="1137" t="s">
        <v>437</v>
      </c>
      <c r="R518" s="1086" t="str">
        <f>IFERROR(VLOOKUP(F518,Trainingsarten!$A$9:$N$84,14,FALSE),"")</f>
        <v/>
      </c>
      <c r="S518" s="1087">
        <f t="shared" si="92"/>
        <v>1.5693430656934306</v>
      </c>
      <c r="T518" s="1232">
        <f t="shared" si="97"/>
        <v>33.595538972813877</v>
      </c>
      <c r="U518" s="1239">
        <f t="shared" si="95"/>
        <v>46.228868901002365</v>
      </c>
      <c r="V518" s="1210">
        <f t="shared" si="96"/>
        <v>13.568110885589491</v>
      </c>
      <c r="W518" s="3284">
        <f t="shared" si="94"/>
        <v>0.7267220628901313</v>
      </c>
      <c r="X518" s="3300"/>
      <c r="Y518" s="3316"/>
      <c r="AA518" s="3301"/>
      <c r="AB518" s="3409"/>
      <c r="AE518" s="1056"/>
    </row>
    <row r="519" spans="2:31" x14ac:dyDescent="0.2">
      <c r="B519" s="2982" t="s">
        <v>761</v>
      </c>
      <c r="C519" s="1211">
        <v>43617</v>
      </c>
      <c r="D519" s="1089"/>
      <c r="E519" s="1205"/>
      <c r="F519" s="2688"/>
      <c r="G519" s="1357"/>
      <c r="H519" s="1358" t="str">
        <f>IFERROR(VLOOKUP(F519,Trainingsarten!$A$9:$K$84,10,FALSE),"")</f>
        <v/>
      </c>
      <c r="I519" s="1369" t="str">
        <f t="shared" si="99"/>
        <v/>
      </c>
      <c r="J519" s="1306"/>
      <c r="K519" s="1305" t="str">
        <f>IFERROR(VLOOKUP(F519,Trainingsarten!$A$9:$K$84,11,FALSE),"0")</f>
        <v>0</v>
      </c>
      <c r="L519" s="2806"/>
      <c r="M519" s="2829"/>
      <c r="N519" s="1208" t="str">
        <f t="shared" si="98"/>
        <v/>
      </c>
      <c r="O519" s="1670"/>
      <c r="P519" s="1136" t="str">
        <f>IFERROR(VLOOKUP(F519,Trainingsarten!$A$9:$N$84,12,FALSE),"")</f>
        <v/>
      </c>
      <c r="Q519" s="1137" t="s">
        <v>437</v>
      </c>
      <c r="R519" s="1086" t="str">
        <f>IFERROR(VLOOKUP(F519,Trainingsarten!$A$9:$N$84,14,FALSE),"")</f>
        <v/>
      </c>
      <c r="S519" s="1087" t="str">
        <f t="shared" si="92"/>
        <v/>
      </c>
      <c r="T519" s="1232">
        <f t="shared" si="97"/>
        <v>28.796176262411894</v>
      </c>
      <c r="U519" s="1239">
        <f t="shared" si="95"/>
        <v>45.128181546216595</v>
      </c>
      <c r="V519" s="1210">
        <f t="shared" si="96"/>
        <v>12.633329928188488</v>
      </c>
      <c r="W519" s="3284">
        <f t="shared" si="94"/>
        <v>0.63809742107426159</v>
      </c>
      <c r="X519" s="3300"/>
      <c r="Y519" s="3316"/>
      <c r="AA519" s="3301"/>
      <c r="AB519" s="3409"/>
      <c r="AE519" s="1056"/>
    </row>
    <row r="520" spans="2:31" ht="16" thickBot="1" x14ac:dyDescent="0.25">
      <c r="B520" s="2983">
        <f>AVERAGE(W514:W520)</f>
        <v>0.75586554904058167</v>
      </c>
      <c r="C520" s="1727">
        <v>43618</v>
      </c>
      <c r="D520" s="1728" t="s">
        <v>593</v>
      </c>
      <c r="E520" s="1729" t="s">
        <v>836</v>
      </c>
      <c r="F520" s="2696" t="s">
        <v>158</v>
      </c>
      <c r="G520" s="1730">
        <v>3.7245370370370366E-2</v>
      </c>
      <c r="H520" s="1731">
        <v>12.2</v>
      </c>
      <c r="I520" s="1732">
        <f t="shared" si="99"/>
        <v>3.0528992106860957E-3</v>
      </c>
      <c r="J520" s="1733">
        <v>166</v>
      </c>
      <c r="K520" s="1759">
        <v>78</v>
      </c>
      <c r="L520" s="2812">
        <v>261</v>
      </c>
      <c r="M520" s="2837"/>
      <c r="N520" s="1734">
        <f t="shared" si="98"/>
        <v>1.0275238561291902</v>
      </c>
      <c r="O520" s="1735" t="s">
        <v>667</v>
      </c>
      <c r="P520" s="1736" t="str">
        <f>IFERROR(VLOOKUP(F520,Trainingsarten!$A$9:$N$84,12,FALSE),"")</f>
        <v/>
      </c>
      <c r="Q520" s="1737" t="s">
        <v>437</v>
      </c>
      <c r="R520" s="1738" t="str">
        <f>IFERROR(VLOOKUP(F520,Trainingsarten!$A$9:$N$84,14,FALSE),"")</f>
        <v/>
      </c>
      <c r="S520" s="1106">
        <f t="shared" si="92"/>
        <v>1.572289156626506</v>
      </c>
      <c r="T520" s="1215">
        <f t="shared" si="97"/>
        <v>35.825293939210198</v>
      </c>
      <c r="U520" s="1227">
        <f t="shared" si="95"/>
        <v>45.910843890354293</v>
      </c>
      <c r="V520" s="1227">
        <f t="shared" si="96"/>
        <v>16.332005283804701</v>
      </c>
      <c r="W520" s="3287">
        <f t="shared" si="94"/>
        <v>0.78032314162574057</v>
      </c>
      <c r="X520" s="3300"/>
      <c r="Y520" s="3316"/>
      <c r="AA520" s="3301"/>
      <c r="AB520" s="3409"/>
      <c r="AE520" s="1056"/>
    </row>
    <row r="521" spans="2:31" ht="16" thickBot="1" x14ac:dyDescent="0.25">
      <c r="B521" s="2977">
        <f>B514+1</f>
        <v>23</v>
      </c>
      <c r="C521" s="1245">
        <v>43619</v>
      </c>
      <c r="D521" s="1111"/>
      <c r="E521" s="1112"/>
      <c r="F521" s="2690"/>
      <c r="G521" s="1647"/>
      <c r="H521" s="1648" t="str">
        <f>IFERROR(VLOOKUP(F521,Trainingsarten!$A$9:$K$84,10,FALSE),"")</f>
        <v/>
      </c>
      <c r="I521" s="1230" t="str">
        <f t="shared" si="99"/>
        <v/>
      </c>
      <c r="J521" s="1324"/>
      <c r="K521" s="1325" t="str">
        <f>IFERROR(VLOOKUP(F521,Trainingsarten!$A$9:$K$84,11,FALSE),"0")</f>
        <v>0</v>
      </c>
      <c r="L521" s="1326"/>
      <c r="M521" s="2831"/>
      <c r="N521" s="1119" t="str">
        <f t="shared" si="98"/>
        <v/>
      </c>
      <c r="O521" s="1649"/>
      <c r="P521" s="1277" t="str">
        <f>IFERROR(VLOOKUP(F521,Trainingsarten!$A$9:$N$84,12,FALSE),"")</f>
        <v/>
      </c>
      <c r="Q521" s="1122" t="s">
        <v>437</v>
      </c>
      <c r="R521" s="1122" t="str">
        <f>IFERROR(VLOOKUP(F521,Trainingsarten!$A$9:$N$84,14,FALSE),"")</f>
        <v/>
      </c>
      <c r="S521" s="1070" t="str">
        <f t="shared" si="92"/>
        <v/>
      </c>
      <c r="T521" s="1650">
        <f t="shared" si="97"/>
        <v>30.70739480503731</v>
      </c>
      <c r="U521" s="1651">
        <f t="shared" si="95"/>
        <v>44.817728559631576</v>
      </c>
      <c r="V521" s="1278">
        <f t="shared" si="96"/>
        <v>10.085549951144095</v>
      </c>
      <c r="W521" s="3283">
        <f t="shared" si="94"/>
        <v>0.68516178289089402</v>
      </c>
      <c r="X521" s="3300"/>
      <c r="Y521" s="3316"/>
      <c r="AA521" s="3301"/>
      <c r="AB521" s="3409"/>
      <c r="AE521" s="1056"/>
    </row>
    <row r="522" spans="2:31" x14ac:dyDescent="0.2">
      <c r="B522" s="2978" t="s">
        <v>626</v>
      </c>
      <c r="C522" s="1698">
        <v>43620</v>
      </c>
      <c r="D522" s="1699"/>
      <c r="E522" s="1700"/>
      <c r="F522" s="2698"/>
      <c r="G522" s="1749"/>
      <c r="H522" s="1750" t="str">
        <f>IFERROR(VLOOKUP(F522,Trainingsarten!$A$9:$K$84,10,FALSE),"")</f>
        <v/>
      </c>
      <c r="I522" s="1751" t="str">
        <f t="shared" si="99"/>
        <v/>
      </c>
      <c r="J522" s="1752"/>
      <c r="K522" s="1753" t="str">
        <f>IFERROR(VLOOKUP(F522,Trainingsarten!$A$9:$K$84,11,FALSE),"0")</f>
        <v>0</v>
      </c>
      <c r="L522" s="2806"/>
      <c r="M522" s="2829"/>
      <c r="N522" s="1706" t="str">
        <f t="shared" si="98"/>
        <v/>
      </c>
      <c r="O522" s="1754"/>
      <c r="P522" s="1755" t="str">
        <f>IFERROR(VLOOKUP(F522,Trainingsarten!$A$9:$N$84,12,FALSE),"")</f>
        <v/>
      </c>
      <c r="Q522" s="1756" t="s">
        <v>437</v>
      </c>
      <c r="R522" s="1086" t="str">
        <f>IFERROR(VLOOKUP(F522,Trainingsarten!$A$9:$N$84,14,FALSE),"")</f>
        <v/>
      </c>
      <c r="S522" s="1087" t="str">
        <f t="shared" si="92"/>
        <v/>
      </c>
      <c r="T522" s="1757">
        <f t="shared" si="97"/>
        <v>26.320624118603408</v>
      </c>
      <c r="U522" s="1758">
        <f t="shared" si="95"/>
        <v>43.750639784402253</v>
      </c>
      <c r="V522" s="1088">
        <f t="shared" si="96"/>
        <v>14.110333754594265</v>
      </c>
      <c r="W522" s="3284">
        <f t="shared" si="94"/>
        <v>0.60160546790419966</v>
      </c>
      <c r="X522" s="3300"/>
      <c r="Y522" s="3316"/>
      <c r="AA522" s="3301"/>
      <c r="AB522" s="3409"/>
      <c r="AE522" s="1056"/>
    </row>
    <row r="523" spans="2:31" ht="16" thickBot="1" x14ac:dyDescent="0.25">
      <c r="B523" s="2979">
        <f>SUM(H521:H527)</f>
        <v>0</v>
      </c>
      <c r="C523" s="1211">
        <v>43621</v>
      </c>
      <c r="D523" s="1699"/>
      <c r="E523" s="1700"/>
      <c r="F523" s="2698"/>
      <c r="G523" s="1749"/>
      <c r="H523" s="1750" t="str">
        <f>IFERROR(VLOOKUP(F523,Trainingsarten!$A$9:$K$84,10,FALSE),"")</f>
        <v/>
      </c>
      <c r="I523" s="1751" t="str">
        <f t="shared" si="99"/>
        <v/>
      </c>
      <c r="J523" s="1752"/>
      <c r="K523" s="1753" t="str">
        <f>IFERROR(VLOOKUP(F523,Trainingsarten!$A$9:$K$84,11,FALSE),"0")</f>
        <v>0</v>
      </c>
      <c r="L523" s="2806"/>
      <c r="M523" s="2829"/>
      <c r="N523" s="1706" t="str">
        <f t="shared" si="98"/>
        <v/>
      </c>
      <c r="O523" s="1754"/>
      <c r="P523" s="1755" t="str">
        <f>IFERROR(VLOOKUP(F523,Trainingsarten!$A$9:$N$84,12,FALSE),"")</f>
        <v/>
      </c>
      <c r="Q523" s="1756" t="s">
        <v>437</v>
      </c>
      <c r="R523" s="1086" t="str">
        <f>IFERROR(VLOOKUP(F523,Trainingsarten!$A$9:$N$84,14,FALSE),"")</f>
        <v/>
      </c>
      <c r="S523" s="1087" t="str">
        <f t="shared" ref="S523:S586" si="100">IFERROR(L523/J523,"")</f>
        <v/>
      </c>
      <c r="T523" s="1757">
        <f t="shared" si="97"/>
        <v>22.560534958802922</v>
      </c>
      <c r="U523" s="1758">
        <f t="shared" si="95"/>
        <v>42.708957884773625</v>
      </c>
      <c r="V523" s="1088">
        <f t="shared" si="96"/>
        <v>17.430015665798845</v>
      </c>
      <c r="W523" s="3284">
        <f t="shared" si="94"/>
        <v>0.52823894742807775</v>
      </c>
      <c r="X523" s="3300"/>
      <c r="Y523" s="3316"/>
      <c r="AA523" s="3301"/>
      <c r="AB523" s="3409"/>
      <c r="AE523" s="1056"/>
    </row>
    <row r="524" spans="2:31" x14ac:dyDescent="0.2">
      <c r="B524" s="2980" t="s">
        <v>628</v>
      </c>
      <c r="C524" s="1211">
        <v>43622</v>
      </c>
      <c r="D524" s="1699"/>
      <c r="E524" s="1700"/>
      <c r="F524" s="2698"/>
      <c r="G524" s="1749"/>
      <c r="H524" s="1750" t="str">
        <f>IFERROR(VLOOKUP(F524,Trainingsarten!$A$9:$K$84,10,FALSE),"")</f>
        <v/>
      </c>
      <c r="I524" s="1751" t="str">
        <f t="shared" si="99"/>
        <v/>
      </c>
      <c r="J524" s="1752"/>
      <c r="K524" s="1753" t="str">
        <f>IFERROR(VLOOKUP(F524,Trainingsarten!$A$9:$K$84,11,FALSE),"0")</f>
        <v>0</v>
      </c>
      <c r="L524" s="2806"/>
      <c r="M524" s="2829"/>
      <c r="N524" s="1706" t="str">
        <f t="shared" si="98"/>
        <v/>
      </c>
      <c r="O524" s="1754"/>
      <c r="P524" s="1755" t="str">
        <f>IFERROR(VLOOKUP(F524,Trainingsarten!$A$9:$N$84,12,FALSE),"")</f>
        <v/>
      </c>
      <c r="Q524" s="1756" t="s">
        <v>437</v>
      </c>
      <c r="R524" s="1086" t="str">
        <f>IFERROR(VLOOKUP(F524,Trainingsarten!$A$9:$N$84,14,FALSE),"")</f>
        <v/>
      </c>
      <c r="S524" s="1087" t="str">
        <f t="shared" si="100"/>
        <v/>
      </c>
      <c r="T524" s="1757">
        <f t="shared" si="97"/>
        <v>19.337601393259646</v>
      </c>
      <c r="U524" s="1758">
        <f t="shared" si="95"/>
        <v>41.692077935136155</v>
      </c>
      <c r="V524" s="1088">
        <f t="shared" si="96"/>
        <v>20.148422925970703</v>
      </c>
      <c r="W524" s="3284">
        <f t="shared" si="94"/>
        <v>0.46381956359538534</v>
      </c>
      <c r="X524" s="3300"/>
      <c r="Y524" s="3316"/>
      <c r="AA524" s="3301"/>
      <c r="AB524" s="3409"/>
      <c r="AE524" s="1056"/>
    </row>
    <row r="525" spans="2:31" ht="16" thickBot="1" x14ac:dyDescent="0.25">
      <c r="B525" s="2981">
        <f>SUM(K521:K527)</f>
        <v>0</v>
      </c>
      <c r="C525" s="1211">
        <v>43623</v>
      </c>
      <c r="D525" s="1699"/>
      <c r="E525" s="1700"/>
      <c r="F525" s="2698"/>
      <c r="G525" s="1749"/>
      <c r="H525" s="1750" t="str">
        <f>IFERROR(VLOOKUP(F525,Trainingsarten!$A$9:$K$84,10,FALSE),"")</f>
        <v/>
      </c>
      <c r="I525" s="1751" t="str">
        <f t="shared" si="99"/>
        <v/>
      </c>
      <c r="J525" s="1752"/>
      <c r="K525" s="1753" t="str">
        <f>IFERROR(VLOOKUP(F525,Trainingsarten!$A$9:$K$84,11,FALSE),"0")</f>
        <v>0</v>
      </c>
      <c r="L525" s="2806"/>
      <c r="M525" s="2829"/>
      <c r="N525" s="1706" t="str">
        <f t="shared" si="98"/>
        <v/>
      </c>
      <c r="O525" s="1754"/>
      <c r="P525" s="1755" t="str">
        <f>IFERROR(VLOOKUP(F525,Trainingsarten!$A$9:$N$84,12,FALSE),"")</f>
        <v/>
      </c>
      <c r="Q525" s="1756" t="s">
        <v>437</v>
      </c>
      <c r="R525" s="1086" t="str">
        <f>IFERROR(VLOOKUP(F525,Trainingsarten!$A$9:$N$84,14,FALSE),"")</f>
        <v/>
      </c>
      <c r="S525" s="1087" t="str">
        <f t="shared" si="100"/>
        <v/>
      </c>
      <c r="T525" s="1757">
        <f t="shared" si="97"/>
        <v>16.575086908508268</v>
      </c>
      <c r="U525" s="1758">
        <f t="shared" si="95"/>
        <v>40.699409412871006</v>
      </c>
      <c r="V525" s="1088">
        <f t="shared" si="96"/>
        <v>22.354476541876508</v>
      </c>
      <c r="W525" s="3284">
        <f t="shared" si="94"/>
        <v>0.40725620218131398</v>
      </c>
      <c r="X525" s="3300"/>
      <c r="Y525" s="3316"/>
      <c r="AA525" s="3301"/>
      <c r="AB525" s="3409"/>
      <c r="AE525" s="1056"/>
    </row>
    <row r="526" spans="2:31" x14ac:dyDescent="0.2">
      <c r="B526" s="2982" t="s">
        <v>761</v>
      </c>
      <c r="C526" s="1211">
        <v>43624</v>
      </c>
      <c r="D526" s="1699"/>
      <c r="E526" s="1700"/>
      <c r="F526" s="2698"/>
      <c r="G526" s="1749"/>
      <c r="H526" s="1750" t="str">
        <f>IFERROR(VLOOKUP(F526,Trainingsarten!$A$9:$K$84,10,FALSE),"")</f>
        <v/>
      </c>
      <c r="I526" s="1751" t="str">
        <f t="shared" si="99"/>
        <v/>
      </c>
      <c r="J526" s="1752"/>
      <c r="K526" s="1753" t="str">
        <f>IFERROR(VLOOKUP(F526,Trainingsarten!$A$9:$K$84,11,FALSE),"0")</f>
        <v>0</v>
      </c>
      <c r="L526" s="2806"/>
      <c r="M526" s="2829"/>
      <c r="N526" s="1706" t="str">
        <f t="shared" si="98"/>
        <v/>
      </c>
      <c r="O526" s="1754"/>
      <c r="P526" s="1755" t="str">
        <f>IFERROR(VLOOKUP(F526,Trainingsarten!$A$9:$N$84,12,FALSE),"")</f>
        <v/>
      </c>
      <c r="Q526" s="1756" t="s">
        <v>437</v>
      </c>
      <c r="R526" s="1086" t="str">
        <f>IFERROR(VLOOKUP(F526,Trainingsarten!$A$9:$N$84,14,FALSE),"")</f>
        <v/>
      </c>
      <c r="S526" s="1087" t="str">
        <f t="shared" si="100"/>
        <v/>
      </c>
      <c r="T526" s="1757">
        <f t="shared" si="97"/>
        <v>14.207217350149945</v>
      </c>
      <c r="U526" s="1758">
        <f t="shared" si="95"/>
        <v>39.730375855421698</v>
      </c>
      <c r="V526" s="1088">
        <f t="shared" si="96"/>
        <v>24.124322504362738</v>
      </c>
      <c r="W526" s="3284">
        <f t="shared" si="94"/>
        <v>0.35759081167139767</v>
      </c>
      <c r="X526" s="3300"/>
      <c r="Y526" s="3316"/>
      <c r="AA526" s="3301"/>
      <c r="AB526" s="3409"/>
      <c r="AE526" s="1056"/>
    </row>
    <row r="527" spans="2:31" ht="16" thickBot="1" x14ac:dyDescent="0.25">
      <c r="B527" s="2983">
        <f>AVERAGE(W521:W527)</f>
        <v>0.47966499311042615</v>
      </c>
      <c r="C527" s="1740">
        <v>43625</v>
      </c>
      <c r="D527" s="1722"/>
      <c r="E527" s="1741"/>
      <c r="F527" s="2695"/>
      <c r="G527" s="1713"/>
      <c r="H527" s="1724" t="str">
        <f>IFERROR(VLOOKUP(F527,Trainingsarten!$A$9:$K$84,10,FALSE),"")</f>
        <v/>
      </c>
      <c r="I527" s="1725" t="str">
        <f t="shared" si="99"/>
        <v/>
      </c>
      <c r="J527" s="1726"/>
      <c r="K527" s="1717" t="str">
        <f>IFERROR(VLOOKUP(F527,Trainingsarten!$A$9:$K$84,11,FALSE),"0")</f>
        <v>0</v>
      </c>
      <c r="L527" s="2808"/>
      <c r="M527" s="2832"/>
      <c r="N527" s="1718" t="str">
        <f t="shared" si="98"/>
        <v/>
      </c>
      <c r="O527" s="1719"/>
      <c r="P527" s="1720" t="str">
        <f>IFERROR(VLOOKUP(F527,Trainingsarten!$A$9:$N$84,12,FALSE),"")</f>
        <v/>
      </c>
      <c r="Q527" s="1721" t="s">
        <v>437</v>
      </c>
      <c r="R527" s="1151" t="str">
        <f>IFERROR(VLOOKUP(F527,Trainingsarten!$A$9:$N$84,14,FALSE),"")</f>
        <v/>
      </c>
      <c r="S527" s="1106" t="str">
        <f t="shared" si="100"/>
        <v/>
      </c>
      <c r="T527" s="1722">
        <f t="shared" si="97"/>
        <v>12.177614871557095</v>
      </c>
      <c r="U527" s="1723">
        <f t="shared" si="95"/>
        <v>38.784414525530707</v>
      </c>
      <c r="V527" s="1152">
        <f t="shared" si="96"/>
        <v>25.523158505271752</v>
      </c>
      <c r="W527" s="3285">
        <f t="shared" si="94"/>
        <v>0.31398217610171497</v>
      </c>
      <c r="X527" s="3300"/>
      <c r="Y527" s="3316"/>
      <c r="AA527" s="3301"/>
      <c r="AB527" s="3409"/>
      <c r="AE527" s="1056"/>
    </row>
    <row r="528" spans="2:31" ht="16" thickBot="1" x14ac:dyDescent="0.25">
      <c r="B528" s="2977">
        <f>B521+1</f>
        <v>24</v>
      </c>
      <c r="C528" s="1241">
        <v>43626</v>
      </c>
      <c r="D528" s="1191" t="s">
        <v>594</v>
      </c>
      <c r="E528" s="1192"/>
      <c r="F528" s="2687" t="s">
        <v>665</v>
      </c>
      <c r="G528" s="1349">
        <v>3.3425925925925921E-2</v>
      </c>
      <c r="H528" s="1697">
        <v>8.3800000000000008</v>
      </c>
      <c r="I528" s="1368">
        <f t="shared" si="99"/>
        <v>3.988773976840802E-3</v>
      </c>
      <c r="J528" s="1354">
        <v>141</v>
      </c>
      <c r="K528" s="1353">
        <v>46</v>
      </c>
      <c r="L528" s="1915">
        <v>210</v>
      </c>
      <c r="M528" s="2833"/>
      <c r="N528" s="1199">
        <f t="shared" si="98"/>
        <v>1.0801838065044704</v>
      </c>
      <c r="O528" s="1668" t="s">
        <v>749</v>
      </c>
      <c r="P528" s="1267" t="str">
        <f>IFERROR(VLOOKUP(F528,Trainingsarten!$A$9:$N$84,12,FALSE),"")</f>
        <v/>
      </c>
      <c r="Q528" s="1202" t="s">
        <v>437</v>
      </c>
      <c r="R528" s="1069" t="str">
        <f>IFERROR(VLOOKUP(F528,Trainingsarten!$A$9:$N$84,14,FALSE),"")</f>
        <v/>
      </c>
      <c r="S528" s="1070">
        <f t="shared" si="100"/>
        <v>1.4893617021276595</v>
      </c>
      <c r="T528" s="1669">
        <f t="shared" si="97"/>
        <v>17.009384175620369</v>
      </c>
      <c r="U528" s="1055">
        <f t="shared" si="95"/>
        <v>38.956214179684736</v>
      </c>
      <c r="V528" s="1268">
        <f t="shared" si="96"/>
        <v>26.60679965397361</v>
      </c>
      <c r="W528" s="3286">
        <f t="shared" si="94"/>
        <v>0.43662826416255274</v>
      </c>
      <c r="X528" s="3300"/>
      <c r="Y528" s="3316"/>
      <c r="AA528" s="3301"/>
      <c r="AB528" s="3409"/>
      <c r="AE528" s="1056"/>
    </row>
    <row r="529" spans="2:31" x14ac:dyDescent="0.2">
      <c r="B529" s="2978" t="s">
        <v>626</v>
      </c>
      <c r="C529" s="1211">
        <v>43627</v>
      </c>
      <c r="D529" s="1089"/>
      <c r="E529" s="1205"/>
      <c r="F529" s="2688"/>
      <c r="G529" s="1357"/>
      <c r="H529" s="1358" t="str">
        <f>IFERROR(VLOOKUP(F529,Trainingsarten!$A$9:$K$84,10,FALSE),"")</f>
        <v/>
      </c>
      <c r="I529" s="1369" t="str">
        <f t="shared" si="99"/>
        <v/>
      </c>
      <c r="J529" s="1306"/>
      <c r="K529" s="1305" t="str">
        <f>IFERROR(VLOOKUP(F529,Trainingsarten!$A$9:$K$84,11,FALSE),"0")</f>
        <v>0</v>
      </c>
      <c r="L529" s="2806"/>
      <c r="M529" s="2829"/>
      <c r="N529" s="1208" t="str">
        <f t="shared" si="98"/>
        <v/>
      </c>
      <c r="O529" s="1670"/>
      <c r="P529" s="1136" t="str">
        <f>IFERROR(VLOOKUP(F529,Trainingsarten!$A$9:$N$84,12,FALSE),"")</f>
        <v/>
      </c>
      <c r="Q529" s="1137" t="s">
        <v>437</v>
      </c>
      <c r="R529" s="1086" t="str">
        <f>IFERROR(VLOOKUP(F529,Trainingsarten!$A$9:$N$84,14,FALSE),"")</f>
        <v/>
      </c>
      <c r="S529" s="1087" t="str">
        <f t="shared" si="100"/>
        <v/>
      </c>
      <c r="T529" s="1232">
        <f t="shared" si="97"/>
        <v>14.579472150531744</v>
      </c>
      <c r="U529" s="1239">
        <f t="shared" si="95"/>
        <v>38.028685270644623</v>
      </c>
      <c r="V529" s="1210">
        <f t="shared" si="96"/>
        <v>21.946830004064367</v>
      </c>
      <c r="W529" s="3284">
        <f t="shared" si="94"/>
        <v>0.38338091487443654</v>
      </c>
      <c r="X529" s="3300"/>
      <c r="Y529" s="3316"/>
      <c r="AA529" s="3301"/>
      <c r="AB529" s="3409"/>
      <c r="AE529" s="1056"/>
    </row>
    <row r="530" spans="2:31" ht="16" thickBot="1" x14ac:dyDescent="0.25">
      <c r="B530" s="2979">
        <f>SUM(H528:H534)</f>
        <v>25.259999999999998</v>
      </c>
      <c r="C530" s="1211">
        <v>43628</v>
      </c>
      <c r="D530" s="1089" t="s">
        <v>595</v>
      </c>
      <c r="E530" s="1205"/>
      <c r="F530" s="2688" t="s">
        <v>638</v>
      </c>
      <c r="G530" s="1357">
        <v>3.335648148148148E-2</v>
      </c>
      <c r="H530" s="1358">
        <v>8.48</v>
      </c>
      <c r="I530" s="1369">
        <f t="shared" si="99"/>
        <v>3.933547344514325E-3</v>
      </c>
      <c r="J530" s="1306">
        <v>132</v>
      </c>
      <c r="K530" s="1305">
        <v>46</v>
      </c>
      <c r="L530" s="2806">
        <v>211</v>
      </c>
      <c r="M530" s="2829"/>
      <c r="N530" s="1208">
        <f t="shared" ref="N530:N546" si="101">IFERROR((L530/67)/(1/(I530*24)/3.6),"")</f>
        <v>1.0703006195437903</v>
      </c>
      <c r="O530" s="1670" t="s">
        <v>749</v>
      </c>
      <c r="P530" s="1136" t="str">
        <f>IFERROR(VLOOKUP(F530,Trainingsarten!$A$9:$N$84,12,FALSE),"")</f>
        <v/>
      </c>
      <c r="Q530" s="1137" t="s">
        <v>437</v>
      </c>
      <c r="R530" s="1086" t="str">
        <f>IFERROR(VLOOKUP(F530,Trainingsarten!$A$9:$N$84,14,FALSE),"")</f>
        <v/>
      </c>
      <c r="S530" s="1087">
        <f t="shared" si="100"/>
        <v>1.5984848484848484</v>
      </c>
      <c r="T530" s="1232">
        <f t="shared" si="97"/>
        <v>19.068118986170067</v>
      </c>
      <c r="U530" s="1239">
        <f t="shared" si="95"/>
        <v>38.218478478486418</v>
      </c>
      <c r="V530" s="1210">
        <f t="shared" si="96"/>
        <v>23.44921312011288</v>
      </c>
      <c r="W530" s="3284">
        <f t="shared" si="94"/>
        <v>0.49892407404192479</v>
      </c>
      <c r="X530" s="3300"/>
      <c r="Y530" s="3316"/>
      <c r="AA530" s="3301"/>
      <c r="AB530" s="3409"/>
      <c r="AE530" s="1056"/>
    </row>
    <row r="531" spans="2:31" x14ac:dyDescent="0.2">
      <c r="B531" s="2980" t="s">
        <v>628</v>
      </c>
      <c r="C531" s="1211">
        <v>43629</v>
      </c>
      <c r="D531" s="1089"/>
      <c r="E531" s="1205"/>
      <c r="F531" s="2688"/>
      <c r="G531" s="1357"/>
      <c r="H531" s="1358" t="str">
        <f>IFERROR(VLOOKUP(F531,Trainingsarten!$A$9:$K$84,10,FALSE),"")</f>
        <v/>
      </c>
      <c r="I531" s="1369" t="str">
        <f t="shared" si="99"/>
        <v/>
      </c>
      <c r="J531" s="1306"/>
      <c r="K531" s="1305" t="str">
        <f>IFERROR(VLOOKUP(F531,Trainingsarten!$A$9:$K$84,11,FALSE),"0")</f>
        <v>0</v>
      </c>
      <c r="L531" s="2806"/>
      <c r="M531" s="2829"/>
      <c r="N531" s="1208" t="str">
        <f t="shared" si="101"/>
        <v/>
      </c>
      <c r="O531" s="1670"/>
      <c r="P531" s="1136" t="str">
        <f>IFERROR(VLOOKUP(F531,Trainingsarten!$A$9:$N$84,12,FALSE),"")</f>
        <v/>
      </c>
      <c r="Q531" s="1137" t="s">
        <v>437</v>
      </c>
      <c r="R531" s="1086" t="str">
        <f>IFERROR(VLOOKUP(F531,Trainingsarten!$A$9:$N$84,14,FALSE),"")</f>
        <v/>
      </c>
      <c r="S531" s="1087" t="str">
        <f t="shared" si="100"/>
        <v/>
      </c>
      <c r="T531" s="1232">
        <f t="shared" si="97"/>
        <v>16.34410198814577</v>
      </c>
      <c r="U531" s="1239">
        <f t="shared" si="95"/>
        <v>37.308514705189125</v>
      </c>
      <c r="V531" s="1210">
        <f t="shared" si="96"/>
        <v>19.150359492316351</v>
      </c>
      <c r="W531" s="3284">
        <f t="shared" si="94"/>
        <v>0.43807967476851922</v>
      </c>
      <c r="X531" s="3300"/>
      <c r="Y531" s="3316"/>
      <c r="AA531" s="3301"/>
      <c r="AB531" s="3409"/>
      <c r="AE531" s="1056"/>
    </row>
    <row r="532" spans="2:31" ht="16" thickBot="1" x14ac:dyDescent="0.25">
      <c r="B532" s="2981">
        <f>SUM(K528:K534)</f>
        <v>137</v>
      </c>
      <c r="C532" s="1211">
        <v>43630</v>
      </c>
      <c r="D532" s="1089" t="s">
        <v>663</v>
      </c>
      <c r="E532" s="1205"/>
      <c r="F532" s="2688" t="s">
        <v>638</v>
      </c>
      <c r="G532" s="1357">
        <v>3.3136574074074075E-2</v>
      </c>
      <c r="H532" s="1358">
        <v>8.4</v>
      </c>
      <c r="I532" s="1369">
        <f t="shared" si="99"/>
        <v>3.9448302469135806E-3</v>
      </c>
      <c r="J532" s="1306">
        <v>135</v>
      </c>
      <c r="K532" s="1305">
        <v>45</v>
      </c>
      <c r="L532" s="2806">
        <v>210</v>
      </c>
      <c r="M532" s="2829"/>
      <c r="N532" s="1208">
        <f t="shared" si="101"/>
        <v>1.0682835820895524</v>
      </c>
      <c r="O532" s="1670" t="s">
        <v>749</v>
      </c>
      <c r="P532" s="1136" t="str">
        <f>IFERROR(VLOOKUP(F532,Trainingsarten!$A$9:$N$84,12,FALSE),"")</f>
        <v/>
      </c>
      <c r="Q532" s="1137" t="s">
        <v>437</v>
      </c>
      <c r="R532" s="1086" t="str">
        <f>IFERROR(VLOOKUP(F532,Trainingsarten!$A$9:$N$84,14,FALSE),"")</f>
        <v/>
      </c>
      <c r="S532" s="1087">
        <f t="shared" si="100"/>
        <v>1.5555555555555556</v>
      </c>
      <c r="T532" s="1232">
        <f t="shared" si="97"/>
        <v>20.437801704124944</v>
      </c>
      <c r="U532" s="1239">
        <f t="shared" si="95"/>
        <v>37.491645307446525</v>
      </c>
      <c r="V532" s="1210">
        <f t="shared" si="96"/>
        <v>20.964412717043356</v>
      </c>
      <c r="W532" s="3284">
        <f t="shared" si="94"/>
        <v>0.54512949582571724</v>
      </c>
      <c r="X532" s="3300"/>
      <c r="Y532" s="3316"/>
      <c r="AA532" s="3301"/>
      <c r="AB532" s="3409"/>
      <c r="AE532" s="1056"/>
    </row>
    <row r="533" spans="2:31" x14ac:dyDescent="0.2">
      <c r="B533" s="2982" t="s">
        <v>761</v>
      </c>
      <c r="C533" s="1211">
        <v>43631</v>
      </c>
      <c r="D533" s="1089"/>
      <c r="E533" s="1205"/>
      <c r="F533" s="2688"/>
      <c r="G533" s="1357"/>
      <c r="H533" s="1358" t="str">
        <f>IFERROR(VLOOKUP(F533,Trainingsarten!$A$9:$K$84,10,FALSE),"")</f>
        <v/>
      </c>
      <c r="I533" s="1369" t="str">
        <f t="shared" si="99"/>
        <v/>
      </c>
      <c r="J533" s="1306"/>
      <c r="K533" s="1305" t="str">
        <f>IFERROR(VLOOKUP(F533,Trainingsarten!$A$9:$K$84,11,FALSE),"0")</f>
        <v>0</v>
      </c>
      <c r="L533" s="2806"/>
      <c r="M533" s="2829"/>
      <c r="N533" s="1208" t="str">
        <f t="shared" si="101"/>
        <v/>
      </c>
      <c r="O533" s="1670"/>
      <c r="P533" s="1136" t="str">
        <f>IFERROR(VLOOKUP(F533,Trainingsarten!$A$9:$N$84,12,FALSE),"")</f>
        <v/>
      </c>
      <c r="Q533" s="1137" t="s">
        <v>437</v>
      </c>
      <c r="R533" s="1086" t="str">
        <f>IFERROR(VLOOKUP(F533,Trainingsarten!$A$9:$N$84,14,FALSE),"")</f>
        <v/>
      </c>
      <c r="S533" s="1087" t="str">
        <f t="shared" si="100"/>
        <v/>
      </c>
      <c r="T533" s="1232">
        <f t="shared" si="97"/>
        <v>17.518115746392809</v>
      </c>
      <c r="U533" s="1239">
        <f t="shared" si="95"/>
        <v>36.598987085840655</v>
      </c>
      <c r="V533" s="1210">
        <f t="shared" si="96"/>
        <v>17.053843603321582</v>
      </c>
      <c r="W533" s="3284">
        <f t="shared" si="94"/>
        <v>0.47865028901770301</v>
      </c>
      <c r="X533" s="3300"/>
      <c r="Y533" s="3316"/>
      <c r="AA533" s="3301"/>
      <c r="AB533" s="3409"/>
      <c r="AE533" s="1056"/>
    </row>
    <row r="534" spans="2:31" ht="16" thickBot="1" x14ac:dyDescent="0.25">
      <c r="B534" s="2983">
        <f>AVERAGE(W528:W534)</f>
        <v>0.4572958593204261</v>
      </c>
      <c r="C534" s="1260">
        <v>43632</v>
      </c>
      <c r="D534" s="1108"/>
      <c r="E534" s="1261"/>
      <c r="F534" s="2689"/>
      <c r="G534" s="1361"/>
      <c r="H534" s="1362" t="str">
        <f>IFERROR(VLOOKUP(F534,Trainingsarten!$A$9:$K$84,10,FALSE),"")</f>
        <v/>
      </c>
      <c r="I534" s="1370" t="str">
        <f t="shared" si="99"/>
        <v/>
      </c>
      <c r="J534" s="1317"/>
      <c r="K534" s="1316" t="str">
        <f>IFERROR(VLOOKUP(F534,Trainingsarten!$A$9:$K$84,11,FALSE),"0")</f>
        <v>0</v>
      </c>
      <c r="L534" s="2807"/>
      <c r="M534" s="2830"/>
      <c r="N534" s="1223" t="str">
        <f t="shared" si="101"/>
        <v/>
      </c>
      <c r="O534" s="1671"/>
      <c r="P534" s="1225" t="str">
        <f>IFERROR(VLOOKUP(F534,Trainingsarten!$A$9:$N$84,12,FALSE),"")</f>
        <v/>
      </c>
      <c r="Q534" s="1226" t="s">
        <v>437</v>
      </c>
      <c r="R534" s="1105" t="str">
        <f>IFERROR(VLOOKUP(F534,Trainingsarten!$A$9:$N$84,14,FALSE),"")</f>
        <v/>
      </c>
      <c r="S534" s="1106" t="str">
        <f t="shared" si="100"/>
        <v/>
      </c>
      <c r="T534" s="1215">
        <f t="shared" si="97"/>
        <v>15.015527782622407</v>
      </c>
      <c r="U534" s="1227">
        <f t="shared" si="95"/>
        <v>35.727582631415878</v>
      </c>
      <c r="V534" s="1227">
        <f t="shared" si="96"/>
        <v>19.080871339447846</v>
      </c>
      <c r="W534" s="3287">
        <f t="shared" si="94"/>
        <v>0.42027830255212945</v>
      </c>
      <c r="X534" s="3300"/>
      <c r="Y534" s="3316"/>
      <c r="AA534" s="3301"/>
      <c r="AB534" s="3409"/>
      <c r="AE534" s="1056"/>
    </row>
    <row r="535" spans="2:31" ht="16" thickBot="1" x14ac:dyDescent="0.25">
      <c r="B535" s="2977">
        <f>B528+1</f>
        <v>25</v>
      </c>
      <c r="C535" s="1245">
        <v>43633</v>
      </c>
      <c r="D535" s="1111"/>
      <c r="E535" s="1112"/>
      <c r="F535" s="2690"/>
      <c r="G535" s="1647"/>
      <c r="H535" s="1648" t="str">
        <f>IFERROR(VLOOKUP(F535,Trainingsarten!$A$9:$K$84,10,FALSE),"")</f>
        <v/>
      </c>
      <c r="I535" s="1230" t="str">
        <f t="shared" si="99"/>
        <v/>
      </c>
      <c r="J535" s="1324"/>
      <c r="K535" s="1325" t="str">
        <f>IFERROR(VLOOKUP(F535,Trainingsarten!$A$9:$K$84,11,FALSE),"0")</f>
        <v>0</v>
      </c>
      <c r="L535" s="1326"/>
      <c r="M535" s="2831"/>
      <c r="N535" s="1119" t="str">
        <f t="shared" si="101"/>
        <v/>
      </c>
      <c r="O535" s="1649"/>
      <c r="P535" s="1277" t="str">
        <f>IFERROR(VLOOKUP(F535,Trainingsarten!$A$9:$N$84,12,FALSE),"")</f>
        <v/>
      </c>
      <c r="Q535" s="1122" t="s">
        <v>437</v>
      </c>
      <c r="R535" s="1122" t="str">
        <f>IFERROR(VLOOKUP(F535,Trainingsarten!$A$9:$N$84,14,FALSE),"")</f>
        <v/>
      </c>
      <c r="S535" s="1070" t="str">
        <f t="shared" si="100"/>
        <v/>
      </c>
      <c r="T535" s="1650">
        <f t="shared" si="97"/>
        <v>12.870452385104919</v>
      </c>
      <c r="U535" s="1651">
        <f t="shared" si="95"/>
        <v>34.876925902096453</v>
      </c>
      <c r="V535" s="1278">
        <f t="shared" si="96"/>
        <v>20.712054848793471</v>
      </c>
      <c r="W535" s="3283">
        <f t="shared" si="94"/>
        <v>0.36902485102138188</v>
      </c>
      <c r="X535" s="3300"/>
      <c r="Y535" s="3316"/>
      <c r="AA535" s="3301"/>
      <c r="AB535" s="3409"/>
      <c r="AE535" s="1056"/>
    </row>
    <row r="536" spans="2:31" x14ac:dyDescent="0.2">
      <c r="B536" s="2978" t="s">
        <v>626</v>
      </c>
      <c r="C536" s="1698">
        <v>43634</v>
      </c>
      <c r="D536" s="1699"/>
      <c r="E536" s="1700"/>
      <c r="F536" s="2698"/>
      <c r="G536" s="1749"/>
      <c r="H536" s="1750" t="str">
        <f>IFERROR(VLOOKUP(F536,Trainingsarten!$A$9:$K$84,10,FALSE),"")</f>
        <v/>
      </c>
      <c r="I536" s="1751" t="str">
        <f t="shared" si="99"/>
        <v/>
      </c>
      <c r="J536" s="1752"/>
      <c r="K536" s="1753" t="str">
        <f>IFERROR(VLOOKUP(F536,Trainingsarten!$A$9:$K$84,11,FALSE),"0")</f>
        <v>0</v>
      </c>
      <c r="L536" s="2806"/>
      <c r="M536" s="2829"/>
      <c r="N536" s="1706" t="str">
        <f t="shared" si="101"/>
        <v/>
      </c>
      <c r="O536" s="1754"/>
      <c r="P536" s="1755" t="str">
        <f>IFERROR(VLOOKUP(F536,Trainingsarten!$A$9:$N$84,12,FALSE),"")</f>
        <v/>
      </c>
      <c r="Q536" s="1756" t="s">
        <v>437</v>
      </c>
      <c r="R536" s="1086" t="str">
        <f>IFERROR(VLOOKUP(F536,Trainingsarten!$A$9:$N$84,14,FALSE),"")</f>
        <v/>
      </c>
      <c r="S536" s="1087" t="str">
        <f t="shared" si="100"/>
        <v/>
      </c>
      <c r="T536" s="1757">
        <f t="shared" si="97"/>
        <v>11.03181633008993</v>
      </c>
      <c r="U536" s="1758">
        <f t="shared" si="95"/>
        <v>34.046522904427491</v>
      </c>
      <c r="V536" s="1088">
        <f t="shared" si="96"/>
        <v>22.006473516991534</v>
      </c>
      <c r="W536" s="3284">
        <f t="shared" si="94"/>
        <v>0.32402182040901822</v>
      </c>
      <c r="X536" s="3300"/>
      <c r="Y536" s="3316"/>
      <c r="AA536" s="3301"/>
      <c r="AB536" s="3409"/>
      <c r="AE536" s="1056"/>
    </row>
    <row r="537" spans="2:31" ht="16" thickBot="1" x14ac:dyDescent="0.25">
      <c r="B537" s="2979">
        <f>SUM(H535:H541)</f>
        <v>8.2899999999999991</v>
      </c>
      <c r="C537" s="1211">
        <v>43635</v>
      </c>
      <c r="D537" s="1699"/>
      <c r="E537" s="1700"/>
      <c r="F537" s="2698"/>
      <c r="G537" s="1749"/>
      <c r="H537" s="1750" t="str">
        <f>IFERROR(VLOOKUP(F537,Trainingsarten!$A$9:$K$84,10,FALSE),"")</f>
        <v/>
      </c>
      <c r="I537" s="1751" t="str">
        <f t="shared" si="99"/>
        <v/>
      </c>
      <c r="J537" s="1752"/>
      <c r="K537" s="1753" t="str">
        <f>IFERROR(VLOOKUP(F537,Trainingsarten!$A$9:$K$84,11,FALSE),"0")</f>
        <v>0</v>
      </c>
      <c r="L537" s="2806"/>
      <c r="M537" s="2829"/>
      <c r="N537" s="1706" t="str">
        <f t="shared" si="101"/>
        <v/>
      </c>
      <c r="O537" s="1754"/>
      <c r="P537" s="1755" t="str">
        <f>IFERROR(VLOOKUP(F537,Trainingsarten!$A$9:$N$84,12,FALSE),"")</f>
        <v/>
      </c>
      <c r="Q537" s="1756" t="s">
        <v>437</v>
      </c>
      <c r="R537" s="1086" t="str">
        <f>IFERROR(VLOOKUP(F537,Trainingsarten!$A$9:$N$84,14,FALSE),"")</f>
        <v/>
      </c>
      <c r="S537" s="1087" t="str">
        <f t="shared" si="100"/>
        <v/>
      </c>
      <c r="T537" s="1757">
        <f t="shared" si="97"/>
        <v>9.4558425686485119</v>
      </c>
      <c r="U537" s="1758">
        <f t="shared" si="95"/>
        <v>33.235891406703026</v>
      </c>
      <c r="V537" s="1088">
        <f t="shared" si="96"/>
        <v>23.014706574337559</v>
      </c>
      <c r="W537" s="3284">
        <f t="shared" si="94"/>
        <v>0.28450696426157701</v>
      </c>
      <c r="X537" s="3300"/>
      <c r="Y537" s="3316"/>
      <c r="AA537" s="3301"/>
      <c r="AB537" s="3409"/>
      <c r="AE537" s="1056"/>
    </row>
    <row r="538" spans="2:31" x14ac:dyDescent="0.2">
      <c r="B538" s="2980" t="s">
        <v>628</v>
      </c>
      <c r="C538" s="1211">
        <v>43636</v>
      </c>
      <c r="D538" s="1699"/>
      <c r="E538" s="1700"/>
      <c r="F538" s="2698"/>
      <c r="G538" s="1749"/>
      <c r="H538" s="1750" t="str">
        <f>IFERROR(VLOOKUP(F538,Trainingsarten!$A$9:$K$84,10,FALSE),"")</f>
        <v/>
      </c>
      <c r="I538" s="1751" t="str">
        <f t="shared" si="99"/>
        <v/>
      </c>
      <c r="J538" s="1752"/>
      <c r="K538" s="1753" t="str">
        <f>IFERROR(VLOOKUP(F538,Trainingsarten!$A$9:$K$84,11,FALSE),"0")</f>
        <v>0</v>
      </c>
      <c r="L538" s="2806"/>
      <c r="M538" s="2829"/>
      <c r="N538" s="1706" t="str">
        <f t="shared" si="101"/>
        <v/>
      </c>
      <c r="O538" s="1754"/>
      <c r="P538" s="1755" t="str">
        <f>IFERROR(VLOOKUP(F538,Trainingsarten!$A$9:$N$84,12,FALSE),"")</f>
        <v/>
      </c>
      <c r="Q538" s="1756" t="s">
        <v>437</v>
      </c>
      <c r="R538" s="1086" t="str">
        <f>IFERROR(VLOOKUP(F538,Trainingsarten!$A$9:$N$84,14,FALSE),"")</f>
        <v/>
      </c>
      <c r="S538" s="1087" t="str">
        <f t="shared" si="100"/>
        <v/>
      </c>
      <c r="T538" s="1757">
        <f t="shared" si="97"/>
        <v>8.105007915984439</v>
      </c>
      <c r="U538" s="1758">
        <f t="shared" si="95"/>
        <v>32.444560658924381</v>
      </c>
      <c r="V538" s="1088">
        <f t="shared" si="96"/>
        <v>23.780048838054512</v>
      </c>
      <c r="W538" s="3284">
        <f t="shared" si="94"/>
        <v>0.24981099301016518</v>
      </c>
      <c r="X538" s="3300"/>
      <c r="Y538" s="3316"/>
      <c r="AA538" s="3301"/>
      <c r="AB538" s="3409"/>
      <c r="AE538" s="1056"/>
    </row>
    <row r="539" spans="2:31" ht="16" thickBot="1" x14ac:dyDescent="0.25">
      <c r="B539" s="2981">
        <f>SUM(K535:K541)</f>
        <v>45</v>
      </c>
      <c r="C539" s="1211">
        <v>43637</v>
      </c>
      <c r="D539" s="1699"/>
      <c r="E539" s="1700"/>
      <c r="F539" s="2699"/>
      <c r="G539" s="1760"/>
      <c r="H539" s="1761" t="str">
        <f>IFERROR(VLOOKUP(F539,Trainingsarten!$A$9:$K$84,10,FALSE),"")</f>
        <v/>
      </c>
      <c r="I539" s="1751" t="str">
        <f t="shared" si="99"/>
        <v/>
      </c>
      <c r="J539" s="1762"/>
      <c r="K539" s="1763" t="str">
        <f>IFERROR(VLOOKUP(F539,Trainingsarten!$A$9:$K$84,11,FALSE),"0")</f>
        <v>0</v>
      </c>
      <c r="L539" s="2801"/>
      <c r="M539" s="2823"/>
      <c r="N539" s="1706" t="str">
        <f t="shared" si="101"/>
        <v/>
      </c>
      <c r="O539" s="1764"/>
      <c r="P539" s="1755" t="str">
        <f>IFERROR(VLOOKUP(F539,Trainingsarten!$A$9:$N$84,12,FALSE),"")</f>
        <v/>
      </c>
      <c r="Q539" s="1756" t="s">
        <v>437</v>
      </c>
      <c r="R539" s="1086" t="str">
        <f>IFERROR(VLOOKUP(F539,Trainingsarten!$A$9:$N$84,14,FALSE),"")</f>
        <v/>
      </c>
      <c r="S539" s="1087" t="str">
        <f t="shared" si="100"/>
        <v/>
      </c>
      <c r="T539" s="1757">
        <f t="shared" si="97"/>
        <v>6.9471496422723762</v>
      </c>
      <c r="U539" s="1758">
        <f t="shared" si="95"/>
        <v>31.672071119426182</v>
      </c>
      <c r="V539" s="1088">
        <f t="shared" si="96"/>
        <v>24.339552742939944</v>
      </c>
      <c r="W539" s="3284">
        <f t="shared" si="94"/>
        <v>0.2193462377650231</v>
      </c>
      <c r="X539" s="3300"/>
      <c r="Y539" s="3316"/>
      <c r="AA539" s="3301"/>
      <c r="AB539" s="3409"/>
      <c r="AE539" s="1056"/>
    </row>
    <row r="540" spans="2:31" x14ac:dyDescent="0.2">
      <c r="B540" s="2982" t="s">
        <v>761</v>
      </c>
      <c r="C540" s="1211">
        <v>43638</v>
      </c>
      <c r="D540" s="1699"/>
      <c r="E540" s="1700"/>
      <c r="F540" s="2699"/>
      <c r="G540" s="1760"/>
      <c r="H540" s="1761" t="str">
        <f>IFERROR(VLOOKUP(F540,Trainingsarten!$A$9:$K$84,10,FALSE),"")</f>
        <v/>
      </c>
      <c r="I540" s="1751" t="str">
        <f t="shared" si="99"/>
        <v/>
      </c>
      <c r="J540" s="1762"/>
      <c r="K540" s="1763" t="str">
        <f>IFERROR(VLOOKUP(F540,Trainingsarten!$A$9:$K$84,11,FALSE),"0")</f>
        <v>0</v>
      </c>
      <c r="L540" s="2801"/>
      <c r="M540" s="2823"/>
      <c r="N540" s="1706" t="str">
        <f t="shared" si="101"/>
        <v/>
      </c>
      <c r="O540" s="1764"/>
      <c r="P540" s="1755" t="str">
        <f>IFERROR(VLOOKUP(F540,Trainingsarten!$A$9:$N$84,12,FALSE),"")</f>
        <v/>
      </c>
      <c r="Q540" s="1756" t="s">
        <v>437</v>
      </c>
      <c r="R540" s="1086" t="str">
        <f>IFERROR(VLOOKUP(F540,Trainingsarten!$A$9:$N$84,14,FALSE),"")</f>
        <v/>
      </c>
      <c r="S540" s="1087" t="str">
        <f t="shared" si="100"/>
        <v/>
      </c>
      <c r="T540" s="1757">
        <f t="shared" si="97"/>
        <v>5.9546996933763223</v>
      </c>
      <c r="U540" s="1758">
        <f t="shared" si="95"/>
        <v>30.917974188011272</v>
      </c>
      <c r="V540" s="1088">
        <f t="shared" si="96"/>
        <v>24.724921477153806</v>
      </c>
      <c r="W540" s="3284">
        <f t="shared" si="94"/>
        <v>0.19259669657416661</v>
      </c>
      <c r="X540" s="3300"/>
      <c r="Y540" s="3316"/>
      <c r="AA540" s="3301"/>
      <c r="AB540" s="3409"/>
      <c r="AE540" s="1056"/>
    </row>
    <row r="541" spans="2:31" ht="16" thickBot="1" x14ac:dyDescent="0.25">
      <c r="B541" s="2983">
        <f>AVERAGE(W535:W541)</f>
        <v>0.28690175056549566</v>
      </c>
      <c r="C541" s="1711">
        <v>43639</v>
      </c>
      <c r="D541" s="1722" t="s">
        <v>596</v>
      </c>
      <c r="E541" s="1741"/>
      <c r="F541" s="2700" t="s">
        <v>638</v>
      </c>
      <c r="G541" s="1765">
        <v>3.2418981481481479E-2</v>
      </c>
      <c r="H541" s="1766">
        <v>8.2899999999999991</v>
      </c>
      <c r="I541" s="1725">
        <f t="shared" si="99"/>
        <v>3.9106129651968009E-3</v>
      </c>
      <c r="J541" s="1767">
        <v>131</v>
      </c>
      <c r="K541" s="1768">
        <v>45</v>
      </c>
      <c r="L541" s="2803">
        <v>212</v>
      </c>
      <c r="M541" s="2826"/>
      <c r="N541" s="1718">
        <f t="shared" si="101"/>
        <v>1.0691032173271158</v>
      </c>
      <c r="O541" s="1769" t="s">
        <v>750</v>
      </c>
      <c r="P541" s="1720" t="str">
        <f>IFERROR(VLOOKUP(F541,Trainingsarten!$A$9:$N$84,12,FALSE),"")</f>
        <v/>
      </c>
      <c r="Q541" s="1721" t="s">
        <v>437</v>
      </c>
      <c r="R541" s="1151" t="str">
        <f>IFERROR(VLOOKUP(F541,Trainingsarten!$A$9:$N$84,14,FALSE),"")</f>
        <v/>
      </c>
      <c r="S541" s="1106">
        <f t="shared" si="100"/>
        <v>1.6183206106870229</v>
      </c>
      <c r="T541" s="1722">
        <f t="shared" si="97"/>
        <v>11.532599737179705</v>
      </c>
      <c r="U541" s="1723">
        <f t="shared" si="95"/>
        <v>31.253260516868146</v>
      </c>
      <c r="V541" s="1152">
        <f t="shared" si="96"/>
        <v>24.963274494634948</v>
      </c>
      <c r="W541" s="3285">
        <f t="shared" si="94"/>
        <v>0.36900469091713745</v>
      </c>
      <c r="X541" s="3300"/>
      <c r="Y541" s="3316"/>
      <c r="AA541" s="3301"/>
      <c r="AB541" s="3409"/>
      <c r="AE541" s="1056"/>
    </row>
    <row r="542" spans="2:31" ht="16" thickBot="1" x14ac:dyDescent="0.25">
      <c r="B542" s="2977">
        <f>B535+1</f>
        <v>26</v>
      </c>
      <c r="C542" s="1241">
        <v>43640</v>
      </c>
      <c r="D542" s="1191"/>
      <c r="E542" s="1192"/>
      <c r="F542" s="2701"/>
      <c r="G542" s="1263"/>
      <c r="H542" s="1770" t="str">
        <f>IFERROR(VLOOKUP(F542,Trainingsarten!$A$9:$K$84,10,FALSE),"")</f>
        <v/>
      </c>
      <c r="I542" s="1368" t="str">
        <f t="shared" si="99"/>
        <v/>
      </c>
      <c r="J542" s="1198"/>
      <c r="K542" s="1197" t="str">
        <f>IFERROR(VLOOKUP(F542,Trainingsarten!$A$9:$K$84,11,FALSE),"0")</f>
        <v>0</v>
      </c>
      <c r="L542" s="2800"/>
      <c r="M542" s="2822"/>
      <c r="N542" s="1199" t="str">
        <f t="shared" si="101"/>
        <v/>
      </c>
      <c r="O542" s="1771"/>
      <c r="P542" s="1267" t="str">
        <f>IFERROR(VLOOKUP(F542,Trainingsarten!$A$9:$N$84,12,FALSE),"")</f>
        <v/>
      </c>
      <c r="Q542" s="1202" t="s">
        <v>437</v>
      </c>
      <c r="R542" s="1069" t="str">
        <f>IFERROR(VLOOKUP(F542,Trainingsarten!$A$9:$N$84,14,FALSE),"")</f>
        <v/>
      </c>
      <c r="S542" s="1070" t="str">
        <f t="shared" si="100"/>
        <v/>
      </c>
      <c r="T542" s="1669">
        <f t="shared" si="97"/>
        <v>9.8850854890111766</v>
      </c>
      <c r="U542" s="1055">
        <f t="shared" si="95"/>
        <v>30.509135266466522</v>
      </c>
      <c r="V542" s="1268">
        <f t="shared" si="96"/>
        <v>19.720660779688441</v>
      </c>
      <c r="W542" s="3286">
        <f t="shared" si="94"/>
        <v>0.32400411885407193</v>
      </c>
      <c r="X542" s="3300"/>
      <c r="Y542" s="3316"/>
      <c r="AA542" s="3301"/>
      <c r="AB542" s="3409"/>
      <c r="AE542" s="1056"/>
    </row>
    <row r="543" spans="2:31" x14ac:dyDescent="0.2">
      <c r="B543" s="2978" t="s">
        <v>626</v>
      </c>
      <c r="C543" s="1211">
        <v>43641</v>
      </c>
      <c r="D543" s="1212"/>
      <c r="E543" s="1213"/>
      <c r="F543" s="2702"/>
      <c r="G543" s="1269"/>
      <c r="H543" s="1772" t="str">
        <f>IFERROR(VLOOKUP(F543,Trainingsarten!$A$9:$K$84,10,FALSE),"")</f>
        <v/>
      </c>
      <c r="I543" s="1369" t="str">
        <f t="shared" si="99"/>
        <v/>
      </c>
      <c r="J543" s="1207"/>
      <c r="K543" s="1206" t="str">
        <f>IFERROR(VLOOKUP(F543,Trainingsarten!$A$9:$K$84,11,FALSE),"0")</f>
        <v>0</v>
      </c>
      <c r="L543" s="2801"/>
      <c r="M543" s="2823"/>
      <c r="N543" s="1208" t="str">
        <f t="shared" si="101"/>
        <v/>
      </c>
      <c r="O543" s="1773"/>
      <c r="P543" s="1136" t="str">
        <f>IFERROR(VLOOKUP(F543,Trainingsarten!$A$9:$N$84,12,FALSE),"")</f>
        <v/>
      </c>
      <c r="Q543" s="1137" t="s">
        <v>437</v>
      </c>
      <c r="R543" s="1086" t="str">
        <f>IFERROR(VLOOKUP(F543,Trainingsarten!$A$9:$N$84,14,FALSE),"")</f>
        <v/>
      </c>
      <c r="S543" s="1087" t="str">
        <f t="shared" si="100"/>
        <v/>
      </c>
      <c r="T543" s="1232">
        <f t="shared" si="97"/>
        <v>8.4729304191524371</v>
      </c>
      <c r="U543" s="1239">
        <f t="shared" si="95"/>
        <v>29.782727283931607</v>
      </c>
      <c r="V543" s="1210">
        <f t="shared" si="96"/>
        <v>20.624049777455348</v>
      </c>
      <c r="W543" s="3284">
        <f t="shared" ref="W543:W606" si="102">T543/U543</f>
        <v>0.28449142143284362</v>
      </c>
      <c r="X543" s="3300"/>
      <c r="Y543" s="3316"/>
      <c r="AA543" s="3301"/>
      <c r="AB543" s="3409"/>
      <c r="AE543" s="1056"/>
    </row>
    <row r="544" spans="2:31" ht="16" thickBot="1" x14ac:dyDescent="0.25">
      <c r="B544" s="2979">
        <f>SUM(H542:H548)</f>
        <v>15.27</v>
      </c>
      <c r="C544" s="1211">
        <v>43642</v>
      </c>
      <c r="D544" s="1089" t="s">
        <v>597</v>
      </c>
      <c r="E544" s="1205"/>
      <c r="F544" s="2702" t="s">
        <v>638</v>
      </c>
      <c r="G544" s="1269">
        <v>3.3217592592592597E-2</v>
      </c>
      <c r="H544" s="1772">
        <v>8.4</v>
      </c>
      <c r="I544" s="1369">
        <f t="shared" si="99"/>
        <v>3.9544753086419755E-3</v>
      </c>
      <c r="J544" s="1207">
        <v>134</v>
      </c>
      <c r="K544" s="1206">
        <v>46</v>
      </c>
      <c r="L544" s="2801">
        <v>210</v>
      </c>
      <c r="M544" s="2823"/>
      <c r="N544" s="1208">
        <f t="shared" si="101"/>
        <v>1.0708955223880599</v>
      </c>
      <c r="O544" s="1773" t="s">
        <v>750</v>
      </c>
      <c r="P544" s="1136" t="str">
        <f>IFERROR(VLOOKUP(F544,Trainingsarten!$A$9:$N$84,12,FALSE),"")</f>
        <v/>
      </c>
      <c r="Q544" s="1137" t="s">
        <v>437</v>
      </c>
      <c r="R544" s="1086" t="str">
        <f>IFERROR(VLOOKUP(F544,Trainingsarten!$A$9:$N$84,14,FALSE),"")</f>
        <v/>
      </c>
      <c r="S544" s="1087">
        <f t="shared" si="100"/>
        <v>1.5671641791044777</v>
      </c>
      <c r="T544" s="1232">
        <f t="shared" si="97"/>
        <v>13.833940359273518</v>
      </c>
      <c r="U544" s="1239">
        <f t="shared" si="95"/>
        <v>30.168852824790378</v>
      </c>
      <c r="V544" s="1210">
        <f t="shared" si="96"/>
        <v>21.30979686477917</v>
      </c>
      <c r="W544" s="3284">
        <f t="shared" si="102"/>
        <v>0.45855042747617769</v>
      </c>
      <c r="X544" s="3300"/>
      <c r="Y544" s="3316"/>
      <c r="AA544" s="3301"/>
      <c r="AB544" s="3409"/>
      <c r="AE544" s="1056"/>
    </row>
    <row r="545" spans="2:31" x14ac:dyDescent="0.2">
      <c r="B545" s="2980" t="s">
        <v>628</v>
      </c>
      <c r="C545" s="1211">
        <v>43643</v>
      </c>
      <c r="D545" s="1089"/>
      <c r="E545" s="1205"/>
      <c r="F545" s="2702"/>
      <c r="G545" s="1269"/>
      <c r="H545" s="1772" t="str">
        <f>IFERROR(VLOOKUP(F545,Trainingsarten!$A$9:$K$84,10,FALSE),"")</f>
        <v/>
      </c>
      <c r="I545" s="1369" t="str">
        <f t="shared" si="99"/>
        <v/>
      </c>
      <c r="J545" s="1207"/>
      <c r="K545" s="1206" t="str">
        <f>IFERROR(VLOOKUP(F545,Trainingsarten!$A$9:$K$84,11,FALSE),"0")</f>
        <v>0</v>
      </c>
      <c r="L545" s="2801"/>
      <c r="M545" s="2823"/>
      <c r="N545" s="1208" t="str">
        <f t="shared" si="101"/>
        <v/>
      </c>
      <c r="O545" s="1773"/>
      <c r="P545" s="1136" t="str">
        <f>IFERROR(VLOOKUP(F545,Trainingsarten!$A$9:$N$84,12,FALSE),"")</f>
        <v/>
      </c>
      <c r="Q545" s="1137" t="s">
        <v>437</v>
      </c>
      <c r="R545" s="1086" t="str">
        <f>IFERROR(VLOOKUP(F545,Trainingsarten!$A$9:$N$84,14,FALSE),"")</f>
        <v/>
      </c>
      <c r="S545" s="1087" t="str">
        <f t="shared" si="100"/>
        <v/>
      </c>
      <c r="T545" s="1232">
        <f t="shared" si="97"/>
        <v>11.857663165091587</v>
      </c>
      <c r="U545" s="1239">
        <f t="shared" si="95"/>
        <v>29.450546805152513</v>
      </c>
      <c r="V545" s="1210">
        <f t="shared" si="96"/>
        <v>16.334912465516858</v>
      </c>
      <c r="W545" s="3284">
        <f t="shared" si="102"/>
        <v>0.40262964363761944</v>
      </c>
      <c r="X545" s="3300"/>
      <c r="Y545" s="3316"/>
      <c r="AA545" s="3301"/>
      <c r="AB545" s="3409"/>
      <c r="AE545" s="1056"/>
    </row>
    <row r="546" spans="2:31" ht="16" thickBot="1" x14ac:dyDescent="0.25">
      <c r="B546" s="2981">
        <f>SUM(K542:K548)</f>
        <v>86</v>
      </c>
      <c r="C546" s="1211">
        <v>43644</v>
      </c>
      <c r="D546" s="1089"/>
      <c r="E546" s="1205"/>
      <c r="F546" s="2702"/>
      <c r="G546" s="1269"/>
      <c r="H546" s="1772" t="str">
        <f>IFERROR(VLOOKUP(F546,Trainingsarten!$A$9:$K$84,10,FALSE),"")</f>
        <v/>
      </c>
      <c r="I546" s="1369" t="str">
        <f t="shared" si="99"/>
        <v/>
      </c>
      <c r="J546" s="1207"/>
      <c r="K546" s="1206" t="str">
        <f>IFERROR(VLOOKUP(F546,Trainingsarten!$A$9:$K$84,11,FALSE),"0")</f>
        <v>0</v>
      </c>
      <c r="L546" s="2801"/>
      <c r="M546" s="2823"/>
      <c r="N546" s="1208" t="str">
        <f t="shared" si="101"/>
        <v/>
      </c>
      <c r="O546" s="1773"/>
      <c r="P546" s="1136" t="str">
        <f>IFERROR(VLOOKUP(F546,Trainingsarten!$A$9:$N$84,12,FALSE),"")</f>
        <v/>
      </c>
      <c r="Q546" s="1137" t="s">
        <v>437</v>
      </c>
      <c r="R546" s="1086" t="str">
        <f>IFERROR(VLOOKUP(F546,Trainingsarten!$A$9:$N$84,14,FALSE),"")</f>
        <v/>
      </c>
      <c r="S546" s="1087" t="str">
        <f t="shared" si="100"/>
        <v/>
      </c>
      <c r="T546" s="1232">
        <f t="shared" si="97"/>
        <v>10.163711284364217</v>
      </c>
      <c r="U546" s="1239">
        <f t="shared" si="95"/>
        <v>28.74934330979174</v>
      </c>
      <c r="V546" s="1210">
        <f t="shared" si="96"/>
        <v>17.592883640060926</v>
      </c>
      <c r="W546" s="3284">
        <f t="shared" si="102"/>
        <v>0.35352846758425116</v>
      </c>
      <c r="X546" s="3300"/>
      <c r="Y546" s="3316"/>
      <c r="AA546" s="3301"/>
      <c r="AB546" s="3409"/>
      <c r="AE546" s="1056"/>
    </row>
    <row r="547" spans="2:31" x14ac:dyDescent="0.2">
      <c r="B547" s="2982" t="s">
        <v>761</v>
      </c>
      <c r="C547" s="1211">
        <v>43645</v>
      </c>
      <c r="D547" s="1089" t="s">
        <v>598</v>
      </c>
      <c r="E547" s="1205"/>
      <c r="F547" s="2702" t="s">
        <v>646</v>
      </c>
      <c r="G547" s="1269">
        <v>2.8587962962962964E-2</v>
      </c>
      <c r="H547" s="1772">
        <v>6.87</v>
      </c>
      <c r="I547" s="1369">
        <f t="shared" si="99"/>
        <v>4.161275540460402E-3</v>
      </c>
      <c r="J547" s="1207">
        <v>129</v>
      </c>
      <c r="K547" s="1206">
        <v>40</v>
      </c>
      <c r="L547" s="2801">
        <v>208</v>
      </c>
      <c r="M547" s="2823"/>
      <c r="N547" s="1208"/>
      <c r="O547" s="1773" t="s">
        <v>750</v>
      </c>
      <c r="P547" s="1136" t="str">
        <f>IFERROR(VLOOKUP(F547,Trainingsarten!$A$9:$N$84,12,FALSE),"")</f>
        <v/>
      </c>
      <c r="Q547" s="1137" t="s">
        <v>437</v>
      </c>
      <c r="R547" s="1086" t="str">
        <f>IFERROR(VLOOKUP(F547,Trainingsarten!$A$9:$N$84,14,FALSE),"")</f>
        <v/>
      </c>
      <c r="S547" s="1087">
        <f t="shared" si="100"/>
        <v>1.6124031007751938</v>
      </c>
      <c r="T547" s="1232">
        <f t="shared" si="97"/>
        <v>14.426038243740756</v>
      </c>
      <c r="U547" s="1239">
        <f t="shared" si="95"/>
        <v>29.017216088130031</v>
      </c>
      <c r="V547" s="1210">
        <f t="shared" si="96"/>
        <v>18.585632025427522</v>
      </c>
      <c r="W547" s="3284">
        <f t="shared" si="102"/>
        <v>0.49715445478734138</v>
      </c>
      <c r="X547" s="3300"/>
      <c r="Y547" s="3316"/>
      <c r="AA547" s="3301"/>
      <c r="AB547" s="3409"/>
      <c r="AE547" s="1056"/>
    </row>
    <row r="548" spans="2:31" ht="16" thickBot="1" x14ac:dyDescent="0.25">
      <c r="B548" s="2983">
        <f>AVERAGE(W542:W548)</f>
        <v>0.39384062807320142</v>
      </c>
      <c r="C548" s="1260">
        <v>43646</v>
      </c>
      <c r="D548" s="1108"/>
      <c r="E548" s="1261"/>
      <c r="F548" s="2703"/>
      <c r="G548" s="1275"/>
      <c r="H548" s="1774" t="str">
        <f>IFERROR(VLOOKUP(F548,Trainingsarten!$A$9:$K$84,10,FALSE),"")</f>
        <v/>
      </c>
      <c r="I548" s="1370" t="str">
        <f t="shared" si="99"/>
        <v/>
      </c>
      <c r="J548" s="1222"/>
      <c r="K548" s="1221" t="str">
        <f>IFERROR(VLOOKUP(F548,Trainingsarten!$A$9:$K$84,11,FALSE),"0")</f>
        <v>0</v>
      </c>
      <c r="L548" s="2802"/>
      <c r="M548" s="2824"/>
      <c r="N548" s="1223" t="str">
        <f t="shared" ref="N548:N611" si="103">IFERROR((L548/67)/(1/(I548*24)/3.6),"")</f>
        <v/>
      </c>
      <c r="O548" s="1775"/>
      <c r="P548" s="1225" t="str">
        <f>IFERROR(VLOOKUP(F548,Trainingsarten!$A$9:$N$84,12,FALSE),"")</f>
        <v/>
      </c>
      <c r="Q548" s="1226" t="s">
        <v>437</v>
      </c>
      <c r="R548" s="1105" t="str">
        <f>IFERROR(VLOOKUP(F548,Trainingsarten!$A$9:$N$84,14,FALSE),"")</f>
        <v/>
      </c>
      <c r="S548" s="1106" t="str">
        <f t="shared" si="100"/>
        <v/>
      </c>
      <c r="T548" s="1215">
        <f t="shared" si="97"/>
        <v>12.365175637492076</v>
      </c>
      <c r="U548" s="1227">
        <f t="shared" si="95"/>
        <v>28.326329990793603</v>
      </c>
      <c r="V548" s="1227">
        <f t="shared" si="96"/>
        <v>14.591177844389275</v>
      </c>
      <c r="W548" s="3287">
        <f t="shared" si="102"/>
        <v>0.43652586274010458</v>
      </c>
      <c r="X548" s="3300"/>
      <c r="Y548" s="3316"/>
      <c r="AA548" s="3301"/>
      <c r="AB548" s="3409"/>
      <c r="AE548" s="1056"/>
    </row>
    <row r="549" spans="2:31" ht="16" thickBot="1" x14ac:dyDescent="0.25">
      <c r="B549" s="2977">
        <f>B542+1</f>
        <v>27</v>
      </c>
      <c r="C549" s="1245">
        <v>43647</v>
      </c>
      <c r="D549" s="1111"/>
      <c r="E549" s="1112"/>
      <c r="F549" s="2704"/>
      <c r="G549" s="1489"/>
      <c r="H549" s="1776" t="str">
        <f>IFERROR(VLOOKUP(F549,Trainingsarten!$A$9:$K$84,10,FALSE),"")</f>
        <v/>
      </c>
      <c r="I549" s="1230" t="str">
        <f t="shared" si="99"/>
        <v/>
      </c>
      <c r="J549" s="1231"/>
      <c r="K549" s="1117" t="str">
        <f>IFERROR(VLOOKUP(F549,Trainingsarten!$A$9:$K$84,11,FALSE),"0")</f>
        <v>0</v>
      </c>
      <c r="L549" s="1118"/>
      <c r="M549" s="2825"/>
      <c r="N549" s="1119" t="str">
        <f t="shared" si="103"/>
        <v/>
      </c>
      <c r="O549" s="1777"/>
      <c r="P549" s="1277" t="str">
        <f>IFERROR(VLOOKUP(F549,Trainingsarten!$A$9:$N$84,12,FALSE),"")</f>
        <v/>
      </c>
      <c r="Q549" s="1122" t="s">
        <v>437</v>
      </c>
      <c r="R549" s="1122" t="str">
        <f>IFERROR(VLOOKUP(F549,Trainingsarten!$A$9:$N$84,14,FALSE),"")</f>
        <v/>
      </c>
      <c r="S549" s="1070" t="str">
        <f t="shared" si="100"/>
        <v/>
      </c>
      <c r="T549" s="1650">
        <f t="shared" si="97"/>
        <v>10.598721974993207</v>
      </c>
      <c r="U549" s="1651">
        <f t="shared" si="95"/>
        <v>27.651893562441373</v>
      </c>
      <c r="V549" s="1278">
        <f t="shared" si="96"/>
        <v>15.961154353301527</v>
      </c>
      <c r="W549" s="3283">
        <f t="shared" si="102"/>
        <v>0.38329100143033573</v>
      </c>
      <c r="X549" s="3300"/>
      <c r="Y549" s="3316"/>
      <c r="AA549" s="3301"/>
      <c r="AB549" s="3409"/>
      <c r="AE549" s="1056"/>
    </row>
    <row r="550" spans="2:31" x14ac:dyDescent="0.2">
      <c r="B550" s="2978" t="s">
        <v>626</v>
      </c>
      <c r="C550" s="1698">
        <v>43648</v>
      </c>
      <c r="D550" s="1699" t="s">
        <v>599</v>
      </c>
      <c r="E550" s="1700"/>
      <c r="F550" s="2699" t="s">
        <v>638</v>
      </c>
      <c r="G550" s="1760">
        <v>3.2824074074074075E-2</v>
      </c>
      <c r="H550" s="1761">
        <v>8.32</v>
      </c>
      <c r="I550" s="1751">
        <f t="shared" si="99"/>
        <v>3.9452012108262104E-3</v>
      </c>
      <c r="J550" s="1762">
        <v>141</v>
      </c>
      <c r="K550" s="1763">
        <v>45</v>
      </c>
      <c r="L550" s="2801">
        <v>211</v>
      </c>
      <c r="M550" s="2823"/>
      <c r="N550" s="1706">
        <f t="shared" si="103"/>
        <v>1.0734715843857636</v>
      </c>
      <c r="O550" s="1764" t="s">
        <v>750</v>
      </c>
      <c r="P550" s="1755" t="str">
        <f>IFERROR(VLOOKUP(F550,Trainingsarten!$A$9:$N$84,12,FALSE),"")</f>
        <v/>
      </c>
      <c r="Q550" s="1756" t="s">
        <v>437</v>
      </c>
      <c r="R550" s="1086" t="str">
        <f>IFERROR(VLOOKUP(F550,Trainingsarten!$A$9:$N$84,14,FALSE),"")</f>
        <v/>
      </c>
      <c r="S550" s="1087">
        <f t="shared" si="100"/>
        <v>1.4964539007092199</v>
      </c>
      <c r="T550" s="1757">
        <f t="shared" si="97"/>
        <v>15.513190264279892</v>
      </c>
      <c r="U550" s="1758">
        <f t="shared" si="95"/>
        <v>28.064943715716577</v>
      </c>
      <c r="V550" s="1088">
        <f t="shared" si="96"/>
        <v>17.053171587448166</v>
      </c>
      <c r="W550" s="3284">
        <f t="shared" si="102"/>
        <v>0.55276042672383452</v>
      </c>
      <c r="X550" s="3300"/>
      <c r="Y550" s="3316"/>
      <c r="AA550" s="3301"/>
      <c r="AB550" s="3409"/>
      <c r="AE550" s="1056"/>
    </row>
    <row r="551" spans="2:31" ht="16" thickBot="1" x14ac:dyDescent="0.25">
      <c r="B551" s="2979">
        <f>SUM(H549:H555)</f>
        <v>8.32</v>
      </c>
      <c r="C551" s="1211">
        <v>43649</v>
      </c>
      <c r="D551" s="1699"/>
      <c r="E551" s="1700"/>
      <c r="F551" s="2699"/>
      <c r="G551" s="1760"/>
      <c r="H551" s="1761"/>
      <c r="I551" s="1751" t="str">
        <f t="shared" si="99"/>
        <v/>
      </c>
      <c r="J551" s="1762"/>
      <c r="K551" s="1763" t="str">
        <f>IFERROR(VLOOKUP(F551,Trainingsarten!$A$9:$K$84,11,FALSE),"0")</f>
        <v>0</v>
      </c>
      <c r="L551" s="2801"/>
      <c r="M551" s="2823"/>
      <c r="N551" s="1706" t="str">
        <f t="shared" si="103"/>
        <v/>
      </c>
      <c r="O551" s="1764"/>
      <c r="P551" s="1755" t="str">
        <f>IFERROR(VLOOKUP(F551,Trainingsarten!$A$9:$N$84,12,FALSE),"")</f>
        <v/>
      </c>
      <c r="Q551" s="1756" t="s">
        <v>437</v>
      </c>
      <c r="R551" s="1086" t="str">
        <f>IFERROR(VLOOKUP(F551,Trainingsarten!$A$9:$N$84,14,FALSE),"")</f>
        <v/>
      </c>
      <c r="S551" s="1087" t="str">
        <f t="shared" si="100"/>
        <v/>
      </c>
      <c r="T551" s="1757">
        <f t="shared" si="97"/>
        <v>13.297020226525621</v>
      </c>
      <c r="U551" s="1758">
        <f t="shared" si="95"/>
        <v>27.396730770104277</v>
      </c>
      <c r="V551" s="1088">
        <f t="shared" si="96"/>
        <v>12.551753451436685</v>
      </c>
      <c r="W551" s="3284">
        <f t="shared" si="102"/>
        <v>0.48535061858678147</v>
      </c>
      <c r="X551" s="3300"/>
      <c r="Y551" s="3316"/>
      <c r="AA551" s="3301"/>
      <c r="AB551" s="3409"/>
      <c r="AE551" s="1056"/>
    </row>
    <row r="552" spans="2:31" x14ac:dyDescent="0.2">
      <c r="B552" s="2980" t="s">
        <v>628</v>
      </c>
      <c r="C552" s="1211">
        <v>43650</v>
      </c>
      <c r="D552" s="1699"/>
      <c r="E552" s="1700"/>
      <c r="F552" s="2699"/>
      <c r="G552" s="1760"/>
      <c r="H552" s="1761" t="str">
        <f>IFERROR(VLOOKUP(F552,Trainingsarten!$A$9:$K$84,10,FALSE),"")</f>
        <v/>
      </c>
      <c r="I552" s="1751" t="str">
        <f t="shared" si="99"/>
        <v/>
      </c>
      <c r="J552" s="1762"/>
      <c r="K552" s="1763" t="str">
        <f>IFERROR(VLOOKUP(F552,Trainingsarten!$A$9:$K$84,11,FALSE),"0")</f>
        <v>0</v>
      </c>
      <c r="L552" s="2801"/>
      <c r="M552" s="2823"/>
      <c r="N552" s="1706" t="str">
        <f t="shared" si="103"/>
        <v/>
      </c>
      <c r="O552" s="1764"/>
      <c r="P552" s="1755" t="str">
        <f>IFERROR(VLOOKUP(F552,Trainingsarten!$A$9:$N$84,12,FALSE),"")</f>
        <v/>
      </c>
      <c r="Q552" s="1756" t="s">
        <v>437</v>
      </c>
      <c r="R552" s="1086" t="str">
        <f>IFERROR(VLOOKUP(F552,Trainingsarten!$A$9:$N$84,14,FALSE),"")</f>
        <v/>
      </c>
      <c r="S552" s="1087" t="str">
        <f t="shared" si="100"/>
        <v/>
      </c>
      <c r="T552" s="1757">
        <f t="shared" si="97"/>
        <v>11.397445908450532</v>
      </c>
      <c r="U552" s="1758">
        <f t="shared" si="95"/>
        <v>26.744427656530366</v>
      </c>
      <c r="V552" s="1088">
        <f t="shared" si="96"/>
        <v>14.099710543578656</v>
      </c>
      <c r="W552" s="3284">
        <f t="shared" si="102"/>
        <v>0.42616151875912517</v>
      </c>
      <c r="X552" s="3300"/>
      <c r="Y552" s="3316"/>
      <c r="AA552" s="3301"/>
      <c r="AB552" s="3409"/>
      <c r="AE552" s="1056"/>
    </row>
    <row r="553" spans="2:31" ht="16" thickBot="1" x14ac:dyDescent="0.25">
      <c r="B553" s="2981">
        <f>SUM(K549:K555)</f>
        <v>45</v>
      </c>
      <c r="C553" s="1211">
        <v>43651</v>
      </c>
      <c r="D553" s="1699"/>
      <c r="E553" s="1700"/>
      <c r="F553" s="2699"/>
      <c r="G553" s="1760"/>
      <c r="H553" s="1761" t="str">
        <f>IFERROR(VLOOKUP(F553,Trainingsarten!$A$9:$K$84,10,FALSE),"")</f>
        <v/>
      </c>
      <c r="I553" s="1751" t="str">
        <f t="shared" si="99"/>
        <v/>
      </c>
      <c r="J553" s="1762"/>
      <c r="K553" s="1763" t="str">
        <f>IFERROR(VLOOKUP(F553,Trainingsarten!$A$9:$K$84,11,FALSE),"0")</f>
        <v>0</v>
      </c>
      <c r="L553" s="2801"/>
      <c r="M553" s="2823"/>
      <c r="N553" s="1706" t="str">
        <f t="shared" si="103"/>
        <v/>
      </c>
      <c r="O553" s="1764"/>
      <c r="P553" s="1755" t="str">
        <f>IFERROR(VLOOKUP(F553,Trainingsarten!$A$9:$N$84,12,FALSE),"")</f>
        <v/>
      </c>
      <c r="Q553" s="1756" t="s">
        <v>437</v>
      </c>
      <c r="R553" s="1086" t="str">
        <f>IFERROR(VLOOKUP(F553,Trainingsarten!$A$9:$N$84,14,FALSE),"")</f>
        <v/>
      </c>
      <c r="S553" s="1087" t="str">
        <f t="shared" si="100"/>
        <v/>
      </c>
      <c r="T553" s="1757">
        <f t="shared" si="97"/>
        <v>9.769239350100456</v>
      </c>
      <c r="U553" s="1758">
        <f t="shared" si="95"/>
        <v>26.107655569470118</v>
      </c>
      <c r="V553" s="1088">
        <f t="shared" si="96"/>
        <v>15.346981748079834</v>
      </c>
      <c r="W553" s="3284">
        <f t="shared" si="102"/>
        <v>0.37419060183728065</v>
      </c>
      <c r="X553" s="3300"/>
      <c r="Y553" s="3316"/>
      <c r="AA553" s="3301"/>
      <c r="AB553" s="3409"/>
      <c r="AE553" s="1056"/>
    </row>
    <row r="554" spans="2:31" x14ac:dyDescent="0.2">
      <c r="B554" s="2982" t="s">
        <v>761</v>
      </c>
      <c r="C554" s="1211">
        <v>43652</v>
      </c>
      <c r="D554" s="1699"/>
      <c r="E554" s="1700"/>
      <c r="F554" s="2699"/>
      <c r="G554" s="1760"/>
      <c r="H554" s="1761" t="str">
        <f>IFERROR(VLOOKUP(F554,Trainingsarten!$A$9:$K$84,10,FALSE),"")</f>
        <v/>
      </c>
      <c r="I554" s="1751" t="str">
        <f t="shared" si="99"/>
        <v/>
      </c>
      <c r="J554" s="1762"/>
      <c r="K554" s="1763" t="str">
        <f>IFERROR(VLOOKUP(F554,Trainingsarten!$A$9:$K$84,11,FALSE),"0")</f>
        <v>0</v>
      </c>
      <c r="L554" s="2801"/>
      <c r="M554" s="2823"/>
      <c r="N554" s="1706" t="str">
        <f t="shared" si="103"/>
        <v/>
      </c>
      <c r="O554" s="1764"/>
      <c r="P554" s="1755" t="str">
        <f>IFERROR(VLOOKUP(F554,Trainingsarten!$A$9:$N$84,12,FALSE),"")</f>
        <v/>
      </c>
      <c r="Q554" s="1756" t="s">
        <v>437</v>
      </c>
      <c r="R554" s="1086" t="str">
        <f>IFERROR(VLOOKUP(F554,Trainingsarten!$A$9:$N$84,14,FALSE),"")</f>
        <v/>
      </c>
      <c r="S554" s="1087" t="str">
        <f t="shared" si="100"/>
        <v/>
      </c>
      <c r="T554" s="1757">
        <f t="shared" si="97"/>
        <v>8.3736337286575342</v>
      </c>
      <c r="U554" s="1758">
        <f t="shared" si="95"/>
        <v>25.486044722577972</v>
      </c>
      <c r="V554" s="1088">
        <f t="shared" si="96"/>
        <v>16.338416219369662</v>
      </c>
      <c r="W554" s="3284">
        <f t="shared" si="102"/>
        <v>0.32855760161322206</v>
      </c>
      <c r="X554" s="3300"/>
      <c r="Y554" s="3316"/>
      <c r="AA554" s="3301"/>
      <c r="AB554" s="3409"/>
      <c r="AE554" s="1056"/>
    </row>
    <row r="555" spans="2:31" ht="16" thickBot="1" x14ac:dyDescent="0.25">
      <c r="B555" s="2983">
        <f>AVERAGE(W549:W555)</f>
        <v>0.40554305290958098</v>
      </c>
      <c r="C555" s="1711">
        <v>43653</v>
      </c>
      <c r="D555" s="1683"/>
      <c r="E555" s="1712"/>
      <c r="F555" s="2700"/>
      <c r="G555" s="1765"/>
      <c r="H555" s="1766" t="str">
        <f>IFERROR(VLOOKUP(F555,Trainingsarten!$A$9:$K$84,10,FALSE),"")</f>
        <v/>
      </c>
      <c r="I555" s="1725" t="str">
        <f t="shared" si="99"/>
        <v/>
      </c>
      <c r="J555" s="1767"/>
      <c r="K555" s="1768" t="str">
        <f>IFERROR(VLOOKUP(F555,Trainingsarten!$A$9:$K$84,11,FALSE),"0")</f>
        <v>0</v>
      </c>
      <c r="L555" s="2803"/>
      <c r="M555" s="2826"/>
      <c r="N555" s="1718" t="str">
        <f t="shared" si="103"/>
        <v/>
      </c>
      <c r="O555" s="1769"/>
      <c r="P555" s="1720" t="str">
        <f>IFERROR(VLOOKUP(F555,Trainingsarten!$A$9:$N$84,12,FALSE),"")</f>
        <v/>
      </c>
      <c r="Q555" s="1721" t="s">
        <v>437</v>
      </c>
      <c r="R555" s="1151" t="str">
        <f>IFERROR(VLOOKUP(F555,Trainingsarten!$A$9:$N$84,14,FALSE),"")</f>
        <v/>
      </c>
      <c r="S555" s="1106" t="str">
        <f t="shared" si="100"/>
        <v/>
      </c>
      <c r="T555" s="1722">
        <f t="shared" si="97"/>
        <v>7.1774003388493153</v>
      </c>
      <c r="U555" s="1723">
        <f t="shared" si="95"/>
        <v>24.879234133945165</v>
      </c>
      <c r="V555" s="1152">
        <f t="shared" si="96"/>
        <v>17.112410993920438</v>
      </c>
      <c r="W555" s="3285">
        <f t="shared" si="102"/>
        <v>0.28848960141648766</v>
      </c>
      <c r="X555" s="3300"/>
      <c r="Y555" s="3316"/>
      <c r="AA555" s="3301"/>
      <c r="AB555" s="3409"/>
      <c r="AE555" s="1056"/>
    </row>
    <row r="556" spans="2:31" ht="16" thickBot="1" x14ac:dyDescent="0.25">
      <c r="B556" s="2977">
        <f>B549+1</f>
        <v>28</v>
      </c>
      <c r="C556" s="1241">
        <v>43654</v>
      </c>
      <c r="D556" s="1347"/>
      <c r="E556" s="1348"/>
      <c r="F556" s="2687"/>
      <c r="G556" s="1349"/>
      <c r="H556" s="1697" t="str">
        <f>IFERROR(VLOOKUP(F556,Trainingsarten!$A$9:$K$84,10,FALSE),"")</f>
        <v/>
      </c>
      <c r="I556" s="1368" t="str">
        <f t="shared" si="99"/>
        <v/>
      </c>
      <c r="J556" s="1354"/>
      <c r="K556" s="1353" t="str">
        <f>IFERROR(VLOOKUP(F556,Trainingsarten!$A$9:$K$84,11,FALSE),"0")</f>
        <v>0</v>
      </c>
      <c r="L556" s="1915"/>
      <c r="M556" s="2833"/>
      <c r="N556" s="1199" t="str">
        <f t="shared" si="103"/>
        <v/>
      </c>
      <c r="O556" s="1668"/>
      <c r="P556" s="1201" t="str">
        <f>IFERROR(VLOOKUP(F556,Trainingsarten!$A$9:$N$84,12,FALSE),"")</f>
        <v/>
      </c>
      <c r="Q556" s="1202" t="s">
        <v>437</v>
      </c>
      <c r="R556" s="1069" t="str">
        <f>IFERROR(VLOOKUP(F556,Trainingsarten!$A$9:$N$84,14,FALSE),"")</f>
        <v/>
      </c>
      <c r="S556" s="1070" t="str">
        <f t="shared" si="100"/>
        <v/>
      </c>
      <c r="T556" s="1669">
        <f t="shared" si="97"/>
        <v>6.1520574332994133</v>
      </c>
      <c r="U556" s="1055">
        <f t="shared" si="95"/>
        <v>24.28687141647028</v>
      </c>
      <c r="V556" s="1203">
        <f t="shared" si="96"/>
        <v>17.701833795095851</v>
      </c>
      <c r="W556" s="3286">
        <f t="shared" si="102"/>
        <v>0.25330794270715989</v>
      </c>
      <c r="X556" s="3300"/>
      <c r="Y556" s="3316"/>
      <c r="AA556" s="3301"/>
      <c r="AB556" s="3409"/>
      <c r="AE556" s="1056"/>
    </row>
    <row r="557" spans="2:31" x14ac:dyDescent="0.2">
      <c r="B557" s="2978" t="s">
        <v>626</v>
      </c>
      <c r="C557" s="1211">
        <v>43655</v>
      </c>
      <c r="D557" s="1329"/>
      <c r="E557" s="1330"/>
      <c r="F557" s="2688"/>
      <c r="G557" s="1357"/>
      <c r="H557" s="1358" t="str">
        <f>IFERROR(VLOOKUP(F557,Trainingsarten!$A$9:$K$84,10,FALSE),"")</f>
        <v/>
      </c>
      <c r="I557" s="1369" t="str">
        <f t="shared" si="99"/>
        <v/>
      </c>
      <c r="J557" s="1306"/>
      <c r="K557" s="1305" t="str">
        <f>IFERROR(VLOOKUP(F557,Trainingsarten!$A$9:$K$84,11,FALSE),"0")</f>
        <v>0</v>
      </c>
      <c r="L557" s="2806"/>
      <c r="M557" s="2829"/>
      <c r="N557" s="1208" t="str">
        <f t="shared" si="103"/>
        <v/>
      </c>
      <c r="O557" s="1670"/>
      <c r="P557" s="1136" t="str">
        <f>IFERROR(VLOOKUP(F557,Trainingsarten!$A$9:$N$84,12,FALSE),"")</f>
        <v/>
      </c>
      <c r="Q557" s="1137" t="s">
        <v>437</v>
      </c>
      <c r="R557" s="1086" t="str">
        <f>IFERROR(VLOOKUP(F557,Trainingsarten!$A$9:$N$84,14,FALSE),"")</f>
        <v/>
      </c>
      <c r="S557" s="1087" t="str">
        <f t="shared" si="100"/>
        <v/>
      </c>
      <c r="T557" s="1232">
        <f t="shared" si="97"/>
        <v>5.2731920856852117</v>
      </c>
      <c r="U557" s="1239">
        <f t="shared" si="95"/>
        <v>23.708612573220989</v>
      </c>
      <c r="V557" s="1210">
        <f t="shared" si="96"/>
        <v>18.134813983170865</v>
      </c>
      <c r="W557" s="3284">
        <f t="shared" si="102"/>
        <v>0.2224167301818965</v>
      </c>
      <c r="X557" s="3300"/>
      <c r="Y557" s="3316"/>
      <c r="AA557" s="3301"/>
      <c r="AB557" s="3409"/>
      <c r="AE557" s="1056"/>
    </row>
    <row r="558" spans="2:31" ht="16" thickBot="1" x14ac:dyDescent="0.25">
      <c r="B558" s="2979">
        <f>SUM(H556:H562)</f>
        <v>8.0399999999999991</v>
      </c>
      <c r="C558" s="1211">
        <v>43656</v>
      </c>
      <c r="D558" s="1300"/>
      <c r="E558" s="1301"/>
      <c r="F558" s="2702"/>
      <c r="G558" s="1357"/>
      <c r="H558" s="1358" t="str">
        <f>IFERROR(VLOOKUP(F558,Trainingsarten!$A$9:$K$84,10,FALSE),"")</f>
        <v/>
      </c>
      <c r="I558" s="1369" t="str">
        <f t="shared" si="99"/>
        <v/>
      </c>
      <c r="J558" s="1306"/>
      <c r="K558" s="1305" t="str">
        <f>IFERROR(VLOOKUP(F558,Trainingsarten!$A$9:$K$84,11,FALSE),"0")</f>
        <v>0</v>
      </c>
      <c r="L558" s="2806"/>
      <c r="M558" s="2829"/>
      <c r="N558" s="1208" t="str">
        <f t="shared" si="103"/>
        <v/>
      </c>
      <c r="O558" s="1670"/>
      <c r="P558" s="1136" t="str">
        <f>IFERROR(VLOOKUP(F558,Trainingsarten!$A$9:$N$84,12,FALSE),"")</f>
        <v/>
      </c>
      <c r="Q558" s="1137" t="s">
        <v>437</v>
      </c>
      <c r="R558" s="1086" t="str">
        <f>IFERROR(VLOOKUP(F558,Trainingsarten!$A$9:$N$84,14,FALSE),"")</f>
        <v/>
      </c>
      <c r="S558" s="1087" t="str">
        <f t="shared" si="100"/>
        <v/>
      </c>
      <c r="T558" s="1232">
        <f t="shared" si="97"/>
        <v>4.5198789305873239</v>
      </c>
      <c r="U558" s="1239">
        <f t="shared" si="95"/>
        <v>23.14412179766811</v>
      </c>
      <c r="V558" s="1210">
        <f t="shared" si="96"/>
        <v>18.435420487535779</v>
      </c>
      <c r="W558" s="3284">
        <f t="shared" si="102"/>
        <v>0.19529273869629935</v>
      </c>
      <c r="X558" s="3300"/>
      <c r="Y558" s="3316"/>
      <c r="AA558" s="3301"/>
      <c r="AB558" s="3409"/>
      <c r="AE558" s="1056"/>
    </row>
    <row r="559" spans="2:31" x14ac:dyDescent="0.2">
      <c r="B559" s="2980" t="s">
        <v>628</v>
      </c>
      <c r="C559" s="1211">
        <v>43657</v>
      </c>
      <c r="D559" s="1300"/>
      <c r="E559" s="1301"/>
      <c r="F559" s="2702"/>
      <c r="G559" s="1357"/>
      <c r="H559" s="1358" t="str">
        <f>IFERROR(VLOOKUP(F559,Trainingsarten!$A$9:$K$84,10,FALSE),"")</f>
        <v/>
      </c>
      <c r="I559" s="1369" t="str">
        <f t="shared" si="99"/>
        <v/>
      </c>
      <c r="J559" s="1306"/>
      <c r="K559" s="1305" t="str">
        <f>IFERROR(VLOOKUP(F559,Trainingsarten!$A$9:$K$84,11,FALSE),"0")</f>
        <v>0</v>
      </c>
      <c r="L559" s="2806"/>
      <c r="M559" s="2829"/>
      <c r="N559" s="1208" t="str">
        <f t="shared" si="103"/>
        <v/>
      </c>
      <c r="O559" s="1670"/>
      <c r="P559" s="1136" t="str">
        <f>IFERROR(VLOOKUP(F559,Trainingsarten!$A$9:$N$84,12,FALSE),"")</f>
        <v/>
      </c>
      <c r="Q559" s="1137" t="s">
        <v>437</v>
      </c>
      <c r="R559" s="1086" t="str">
        <f>IFERROR(VLOOKUP(F559,Trainingsarten!$A$9:$N$84,14,FALSE),"")</f>
        <v/>
      </c>
      <c r="S559" s="1087" t="str">
        <f t="shared" si="100"/>
        <v/>
      </c>
      <c r="T559" s="1232">
        <f t="shared" si="97"/>
        <v>3.8741819405034206</v>
      </c>
      <c r="U559" s="1239">
        <f t="shared" si="95"/>
        <v>22.59307127867601</v>
      </c>
      <c r="V559" s="1210">
        <f t="shared" si="96"/>
        <v>18.624242867080785</v>
      </c>
      <c r="W559" s="3284">
        <f t="shared" si="102"/>
        <v>0.17147655105040918</v>
      </c>
      <c r="X559" s="3300"/>
      <c r="Y559" s="3316"/>
      <c r="AA559" s="3301"/>
      <c r="AB559" s="3409"/>
      <c r="AE559" s="1056"/>
    </row>
    <row r="560" spans="2:31" ht="16" thickBot="1" x14ac:dyDescent="0.25">
      <c r="B560" s="2981">
        <f>SUM(K556:K562)</f>
        <v>46</v>
      </c>
      <c r="C560" s="1211">
        <v>43658</v>
      </c>
      <c r="D560" s="1300"/>
      <c r="E560" s="1301"/>
      <c r="F560" s="2702"/>
      <c r="G560" s="1357"/>
      <c r="H560" s="1358" t="str">
        <f>IFERROR(VLOOKUP(F560,Trainingsarten!$A$9:$K$84,10,FALSE),"")</f>
        <v/>
      </c>
      <c r="I560" s="1369" t="str">
        <f t="shared" si="99"/>
        <v/>
      </c>
      <c r="J560" s="1306"/>
      <c r="K560" s="1305" t="str">
        <f>IFERROR(VLOOKUP(F560,Trainingsarten!$A$9:$K$84,11,FALSE),"0")</f>
        <v>0</v>
      </c>
      <c r="L560" s="2806"/>
      <c r="M560" s="2829"/>
      <c r="N560" s="1208" t="str">
        <f t="shared" si="103"/>
        <v/>
      </c>
      <c r="O560" s="1670"/>
      <c r="P560" s="1136" t="str">
        <f>IFERROR(VLOOKUP(F560,Trainingsarten!$A$9:$N$84,12,FALSE),"")</f>
        <v/>
      </c>
      <c r="Q560" s="1137" t="s">
        <v>437</v>
      </c>
      <c r="R560" s="1086" t="str">
        <f>IFERROR(VLOOKUP(F560,Trainingsarten!$A$9:$N$84,14,FALSE),"")</f>
        <v/>
      </c>
      <c r="S560" s="1087" t="str">
        <f t="shared" si="100"/>
        <v/>
      </c>
      <c r="T560" s="1232">
        <f t="shared" si="97"/>
        <v>3.3207273775743604</v>
      </c>
      <c r="U560" s="1239">
        <f t="shared" ref="U560:U623" si="104">U559+(K560-U559)/42</f>
        <v>22.055141010136104</v>
      </c>
      <c r="V560" s="1210">
        <f t="shared" ref="V560:V623" si="105">U559-T559</f>
        <v>18.718889338172591</v>
      </c>
      <c r="W560" s="3284">
        <f t="shared" si="102"/>
        <v>0.15056477653206662</v>
      </c>
      <c r="X560" s="3300"/>
      <c r="Y560" s="3316"/>
      <c r="AA560" s="3301"/>
      <c r="AB560" s="3409"/>
      <c r="AE560" s="1056"/>
    </row>
    <row r="561" spans="2:31" x14ac:dyDescent="0.2">
      <c r="B561" s="2982" t="s">
        <v>761</v>
      </c>
      <c r="C561" s="1211">
        <v>43659</v>
      </c>
      <c r="D561" s="1300"/>
      <c r="E561" s="1301"/>
      <c r="F561" s="2702"/>
      <c r="G561" s="1357"/>
      <c r="H561" s="1358" t="str">
        <f>IFERROR(VLOOKUP(F561,Trainingsarten!$A$9:$K$84,10,FALSE),"")</f>
        <v/>
      </c>
      <c r="I561" s="1369" t="str">
        <f t="shared" si="99"/>
        <v/>
      </c>
      <c r="J561" s="1306"/>
      <c r="K561" s="1305" t="str">
        <f>IFERROR(VLOOKUP(F561,Trainingsarten!$A$9:$K$84,11,FALSE),"0")</f>
        <v>0</v>
      </c>
      <c r="L561" s="2806"/>
      <c r="M561" s="2829"/>
      <c r="N561" s="1208" t="str">
        <f t="shared" si="103"/>
        <v/>
      </c>
      <c r="O561" s="1670"/>
      <c r="P561" s="1136" t="str">
        <f>IFERROR(VLOOKUP(F561,Trainingsarten!$A$9:$N$84,12,FALSE),"")</f>
        <v/>
      </c>
      <c r="Q561" s="1137" t="s">
        <v>437</v>
      </c>
      <c r="R561" s="1086" t="str">
        <f>IFERROR(VLOOKUP(F561,Trainingsarten!$A$9:$N$84,14,FALSE),"")</f>
        <v/>
      </c>
      <c r="S561" s="1087" t="str">
        <f t="shared" si="100"/>
        <v/>
      </c>
      <c r="T561" s="1232">
        <f t="shared" ref="T561:T624" si="106">T560+(K561-T560)/7</f>
        <v>2.8463377522065945</v>
      </c>
      <c r="U561" s="1239">
        <f t="shared" si="104"/>
        <v>21.530018605132863</v>
      </c>
      <c r="V561" s="1210">
        <f t="shared" si="105"/>
        <v>18.734413632561743</v>
      </c>
      <c r="W561" s="3284">
        <f t="shared" si="102"/>
        <v>0.13220321841839994</v>
      </c>
      <c r="X561" s="3300"/>
      <c r="Y561" s="3316"/>
      <c r="AA561" s="3301"/>
      <c r="AB561" s="3409"/>
      <c r="AE561" s="1056"/>
    </row>
    <row r="562" spans="2:31" ht="16" thickBot="1" x14ac:dyDescent="0.25">
      <c r="B562" s="2983">
        <f>AVERAGE(W556:W562)</f>
        <v>0.21896758954928017</v>
      </c>
      <c r="C562" s="1260">
        <v>43660</v>
      </c>
      <c r="D562" s="1310" t="s">
        <v>600</v>
      </c>
      <c r="E562" s="1311"/>
      <c r="F562" s="2703" t="s">
        <v>638</v>
      </c>
      <c r="G562" s="1361">
        <v>3.0659722222222224E-2</v>
      </c>
      <c r="H562" s="1362">
        <v>8.0399999999999991</v>
      </c>
      <c r="I562" s="1370">
        <f t="shared" si="99"/>
        <v>3.813398286346048E-3</v>
      </c>
      <c r="J562" s="1317">
        <v>143</v>
      </c>
      <c r="K562" s="1316">
        <v>46</v>
      </c>
      <c r="L562" s="2807">
        <v>216</v>
      </c>
      <c r="M562" s="2830"/>
      <c r="N562" s="1223">
        <f t="shared" si="103"/>
        <v>1.0621964802851414</v>
      </c>
      <c r="O562" s="1671" t="s">
        <v>667</v>
      </c>
      <c r="P562" s="1225" t="str">
        <f>IFERROR(VLOOKUP(F562,Trainingsarten!$A$9:$N$84,12,FALSE),"")</f>
        <v/>
      </c>
      <c r="Q562" s="1226" t="s">
        <v>437</v>
      </c>
      <c r="R562" s="1105" t="str">
        <f>IFERROR(VLOOKUP(F562,Trainingsarten!$A$9:$N$84,14,FALSE),"")</f>
        <v/>
      </c>
      <c r="S562" s="1106">
        <f t="shared" si="100"/>
        <v>1.5104895104895104</v>
      </c>
      <c r="T562" s="1108">
        <f t="shared" si="106"/>
        <v>9.0111466447485089</v>
      </c>
      <c r="U562" s="1227">
        <f t="shared" si="104"/>
        <v>22.112637209772558</v>
      </c>
      <c r="V562" s="1227">
        <f t="shared" si="105"/>
        <v>18.683680852926269</v>
      </c>
      <c r="W562" s="3287">
        <f t="shared" si="102"/>
        <v>0.40751116925872971</v>
      </c>
      <c r="X562" s="3300"/>
      <c r="Y562" s="3316"/>
      <c r="AA562" s="3301"/>
      <c r="AB562" s="3409"/>
      <c r="AE562" s="1056"/>
    </row>
    <row r="563" spans="2:31" ht="16" thickBot="1" x14ac:dyDescent="0.25">
      <c r="B563" s="2977">
        <f>B556+1</f>
        <v>29</v>
      </c>
      <c r="C563" s="1245">
        <v>43661</v>
      </c>
      <c r="D563" s="1111"/>
      <c r="E563" s="1112"/>
      <c r="F563" s="2704"/>
      <c r="G563" s="1647"/>
      <c r="H563" s="1648" t="str">
        <f>IFERROR(VLOOKUP(F563,Trainingsarten!$A$9:$K$84,10,FALSE),"")</f>
        <v/>
      </c>
      <c r="I563" s="1230" t="str">
        <f t="shared" si="99"/>
        <v/>
      </c>
      <c r="J563" s="1324"/>
      <c r="K563" s="1325" t="str">
        <f>IFERROR(VLOOKUP(F563,Trainingsarten!$A$9:$K$84,11,FALSE),"0")</f>
        <v>0</v>
      </c>
      <c r="L563" s="1326"/>
      <c r="M563" s="2831"/>
      <c r="N563" s="1119" t="str">
        <f t="shared" si="103"/>
        <v/>
      </c>
      <c r="O563" s="1649"/>
      <c r="P563" s="1277" t="str">
        <f>IFERROR(VLOOKUP(F563,Trainingsarten!$A$9:$N$84,12,FALSE),"")</f>
        <v/>
      </c>
      <c r="Q563" s="1122" t="s">
        <v>437</v>
      </c>
      <c r="R563" s="1122" t="str">
        <f>IFERROR(VLOOKUP(F563,Trainingsarten!$A$9:$N$84,14,FALSE),"")</f>
        <v/>
      </c>
      <c r="S563" s="1070" t="str">
        <f t="shared" si="100"/>
        <v/>
      </c>
      <c r="T563" s="1650">
        <f t="shared" si="106"/>
        <v>7.7238399812130076</v>
      </c>
      <c r="U563" s="1651">
        <f t="shared" si="104"/>
        <v>21.586145847635116</v>
      </c>
      <c r="V563" s="1278">
        <f t="shared" si="105"/>
        <v>13.101490565024049</v>
      </c>
      <c r="W563" s="3283">
        <f t="shared" si="102"/>
        <v>0.35781468520278703</v>
      </c>
      <c r="X563" s="3300"/>
      <c r="Y563" s="3316"/>
      <c r="AA563" s="3301"/>
      <c r="AB563" s="3409"/>
      <c r="AE563" s="1056"/>
    </row>
    <row r="564" spans="2:31" x14ac:dyDescent="0.2">
      <c r="B564" s="2978" t="s">
        <v>626</v>
      </c>
      <c r="C564" s="1698">
        <v>43662</v>
      </c>
      <c r="D564" s="1699"/>
      <c r="E564" s="1700"/>
      <c r="F564" s="2699"/>
      <c r="G564" s="1749"/>
      <c r="H564" s="1778" t="str">
        <f>IFERROR(VLOOKUP(F564,Trainingsarten!$A$9:$K$84,10,FALSE),"")</f>
        <v/>
      </c>
      <c r="I564" s="1751" t="str">
        <f t="shared" si="99"/>
        <v/>
      </c>
      <c r="J564" s="1752"/>
      <c r="K564" s="1753" t="str">
        <f>IFERROR(VLOOKUP(F564,Trainingsarten!$A$9:$K$84,11,FALSE),"0")</f>
        <v>0</v>
      </c>
      <c r="L564" s="2806"/>
      <c r="M564" s="2829"/>
      <c r="N564" s="1706" t="str">
        <f t="shared" si="103"/>
        <v/>
      </c>
      <c r="O564" s="1754"/>
      <c r="P564" s="1755" t="str">
        <f>IFERROR(VLOOKUP(F564,Trainingsarten!$A$9:$N$84,12,FALSE),"")</f>
        <v/>
      </c>
      <c r="Q564" s="1756" t="s">
        <v>437</v>
      </c>
      <c r="R564" s="1086" t="str">
        <f>IFERROR(VLOOKUP(F564,Trainingsarten!$A$9:$N$84,14,FALSE),"")</f>
        <v/>
      </c>
      <c r="S564" s="1087" t="str">
        <f t="shared" si="100"/>
        <v/>
      </c>
      <c r="T564" s="1757">
        <f t="shared" si="106"/>
        <v>6.6204342696111489</v>
      </c>
      <c r="U564" s="1758">
        <f t="shared" si="104"/>
        <v>21.072189994119995</v>
      </c>
      <c r="V564" s="1088">
        <f t="shared" si="105"/>
        <v>13.862305866422108</v>
      </c>
      <c r="W564" s="3284">
        <f t="shared" si="102"/>
        <v>0.31417874798293494</v>
      </c>
      <c r="X564" s="3300"/>
      <c r="Y564" s="3316"/>
      <c r="AA564" s="3301"/>
      <c r="AB564" s="3409"/>
      <c r="AE564" s="1056"/>
    </row>
    <row r="565" spans="2:31" ht="16" thickBot="1" x14ac:dyDescent="0.25">
      <c r="B565" s="2979">
        <f>SUM(H563:H569)</f>
        <v>17.2</v>
      </c>
      <c r="C565" s="1211">
        <v>43663</v>
      </c>
      <c r="D565" s="1699" t="s">
        <v>601</v>
      </c>
      <c r="E565" s="1700"/>
      <c r="F565" s="2699" t="s">
        <v>638</v>
      </c>
      <c r="G565" s="1749">
        <v>3.6030092592592593E-2</v>
      </c>
      <c r="H565" s="1778">
        <v>8.91</v>
      </c>
      <c r="I565" s="1751">
        <f t="shared" si="99"/>
        <v>4.0437814357567447E-3</v>
      </c>
      <c r="J565" s="1752">
        <v>146</v>
      </c>
      <c r="K565" s="1753">
        <v>48</v>
      </c>
      <c r="L565" s="2806">
        <v>207</v>
      </c>
      <c r="M565" s="2829"/>
      <c r="N565" s="1706">
        <f t="shared" si="103"/>
        <v>1.079436152570481</v>
      </c>
      <c r="O565" s="1754" t="s">
        <v>749</v>
      </c>
      <c r="P565" s="1755" t="str">
        <f>IFERROR(VLOOKUP(F565,Trainingsarten!$A$9:$N$84,12,FALSE),"")</f>
        <v/>
      </c>
      <c r="Q565" s="1756" t="s">
        <v>437</v>
      </c>
      <c r="R565" s="1086" t="str">
        <f>IFERROR(VLOOKUP(F565,Trainingsarten!$A$9:$N$84,14,FALSE),"")</f>
        <v/>
      </c>
      <c r="S565" s="1087">
        <f t="shared" si="100"/>
        <v>1.4178082191780821</v>
      </c>
      <c r="T565" s="1757">
        <f t="shared" si="106"/>
        <v>12.531800802523842</v>
      </c>
      <c r="U565" s="1758">
        <f t="shared" si="104"/>
        <v>21.713328327593327</v>
      </c>
      <c r="V565" s="1088">
        <f t="shared" si="105"/>
        <v>14.451755724508846</v>
      </c>
      <c r="W565" s="3284">
        <f t="shared" si="102"/>
        <v>0.57714785193011664</v>
      </c>
      <c r="X565" s="3300"/>
      <c r="Y565" s="3316"/>
      <c r="AA565" s="3301"/>
      <c r="AB565" s="3409"/>
      <c r="AE565" s="1056"/>
    </row>
    <row r="566" spans="2:31" x14ac:dyDescent="0.2">
      <c r="B566" s="2980" t="s">
        <v>628</v>
      </c>
      <c r="C566" s="1211">
        <v>43664</v>
      </c>
      <c r="D566" s="1699"/>
      <c r="E566" s="1700"/>
      <c r="F566" s="2699"/>
      <c r="G566" s="1749"/>
      <c r="H566" s="1778" t="str">
        <f>IFERROR(VLOOKUP(F566,Trainingsarten!$A$9:$K$84,10,FALSE),"")</f>
        <v/>
      </c>
      <c r="I566" s="1751" t="str">
        <f t="shared" si="99"/>
        <v/>
      </c>
      <c r="J566" s="1752"/>
      <c r="K566" s="1753" t="str">
        <f>IFERROR(VLOOKUP(F566,Trainingsarten!$A$9:$K$84,11,FALSE),"0")</f>
        <v>0</v>
      </c>
      <c r="L566" s="2806"/>
      <c r="M566" s="2829"/>
      <c r="N566" s="1706" t="str">
        <f t="shared" si="103"/>
        <v/>
      </c>
      <c r="O566" s="1754"/>
      <c r="P566" s="1755" t="str">
        <f>IFERROR(VLOOKUP(F566,Trainingsarten!$A$9:$N$84,12,FALSE),"")</f>
        <v/>
      </c>
      <c r="Q566" s="1756" t="s">
        <v>437</v>
      </c>
      <c r="R566" s="1086" t="str">
        <f>IFERROR(VLOOKUP(F566,Trainingsarten!$A$9:$N$84,14,FALSE),"")</f>
        <v/>
      </c>
      <c r="S566" s="1087" t="str">
        <f t="shared" si="100"/>
        <v/>
      </c>
      <c r="T566" s="1757">
        <f t="shared" si="106"/>
        <v>10.741543545020436</v>
      </c>
      <c r="U566" s="1758">
        <f t="shared" si="104"/>
        <v>21.196344319793486</v>
      </c>
      <c r="V566" s="1088">
        <f t="shared" si="105"/>
        <v>9.1815275250694857</v>
      </c>
      <c r="W566" s="3284">
        <f t="shared" si="102"/>
        <v>0.50676396754839514</v>
      </c>
      <c r="X566" s="3300"/>
      <c r="Y566" s="3316"/>
      <c r="AA566" s="3301"/>
      <c r="AB566" s="3409"/>
      <c r="AE566" s="1056"/>
    </row>
    <row r="567" spans="2:31" ht="16" thickBot="1" x14ac:dyDescent="0.25">
      <c r="B567" s="2981">
        <f>SUM(K563:K569)</f>
        <v>94</v>
      </c>
      <c r="C567" s="1211">
        <v>43665</v>
      </c>
      <c r="D567" s="1699"/>
      <c r="E567" s="1700"/>
      <c r="F567" s="2699"/>
      <c r="G567" s="1749"/>
      <c r="H567" s="1778" t="str">
        <f>IFERROR(VLOOKUP(F567,Trainingsarten!$A$9:$K$84,10,FALSE),"")</f>
        <v/>
      </c>
      <c r="I567" s="1751" t="str">
        <f t="shared" si="99"/>
        <v/>
      </c>
      <c r="J567" s="1752"/>
      <c r="K567" s="1753" t="str">
        <f>IFERROR(VLOOKUP(F567,Trainingsarten!$A$9:$K$84,11,FALSE),"0")</f>
        <v>0</v>
      </c>
      <c r="L567" s="2806"/>
      <c r="M567" s="2829"/>
      <c r="N567" s="1706" t="str">
        <f t="shared" si="103"/>
        <v/>
      </c>
      <c r="O567" s="1754"/>
      <c r="P567" s="1755" t="str">
        <f>IFERROR(VLOOKUP(F567,Trainingsarten!$A$9:$N$84,12,FALSE),"")</f>
        <v/>
      </c>
      <c r="Q567" s="1756" t="s">
        <v>437</v>
      </c>
      <c r="R567" s="1086" t="str">
        <f>IFERROR(VLOOKUP(F567,Trainingsarten!$A$9:$N$84,14,FALSE),"")</f>
        <v/>
      </c>
      <c r="S567" s="1087" t="str">
        <f t="shared" si="100"/>
        <v/>
      </c>
      <c r="T567" s="1757">
        <f t="shared" si="106"/>
        <v>9.2070373243032311</v>
      </c>
      <c r="U567" s="1758">
        <f t="shared" si="104"/>
        <v>20.691669455036497</v>
      </c>
      <c r="V567" s="1088">
        <f t="shared" si="105"/>
        <v>10.45480077477305</v>
      </c>
      <c r="W567" s="3284">
        <f t="shared" si="102"/>
        <v>0.44496348370102995</v>
      </c>
      <c r="X567" s="3300"/>
      <c r="Y567" s="3316"/>
      <c r="AA567" s="3301"/>
      <c r="AB567" s="3409"/>
      <c r="AE567" s="1056"/>
    </row>
    <row r="568" spans="2:31" x14ac:dyDescent="0.2">
      <c r="B568" s="2982" t="s">
        <v>761</v>
      </c>
      <c r="C568" s="1211">
        <v>43666</v>
      </c>
      <c r="D568" s="1699" t="s">
        <v>602</v>
      </c>
      <c r="E568" s="1700"/>
      <c r="F568" s="2699" t="s">
        <v>638</v>
      </c>
      <c r="G568" s="1749">
        <v>3.2129629629629626E-2</v>
      </c>
      <c r="H568" s="1778">
        <v>8.2899999999999991</v>
      </c>
      <c r="I568" s="1751">
        <f t="shared" si="99"/>
        <v>3.875709243622392E-3</v>
      </c>
      <c r="J568" s="1752">
        <v>147</v>
      </c>
      <c r="K568" s="1753">
        <v>46</v>
      </c>
      <c r="L568" s="2806">
        <v>215</v>
      </c>
      <c r="M568" s="2829"/>
      <c r="N568" s="1706">
        <f t="shared" si="103"/>
        <v>1.0745548493959636</v>
      </c>
      <c r="O568" s="1754" t="s">
        <v>751</v>
      </c>
      <c r="P568" s="1755" t="str">
        <f>IFERROR(VLOOKUP(F568,Trainingsarten!$A$9:$N$84,12,FALSE),"")</f>
        <v/>
      </c>
      <c r="Q568" s="1756" t="s">
        <v>437</v>
      </c>
      <c r="R568" s="1086" t="str">
        <f>IFERROR(VLOOKUP(F568,Trainingsarten!$A$9:$N$84,14,FALSE),"")</f>
        <v/>
      </c>
      <c r="S568" s="1087">
        <f t="shared" si="100"/>
        <v>1.4625850340136055</v>
      </c>
      <c r="T568" s="1757">
        <f t="shared" si="106"/>
        <v>14.463174849402769</v>
      </c>
      <c r="U568" s="1758">
        <f t="shared" si="104"/>
        <v>21.294248753726105</v>
      </c>
      <c r="V568" s="1088">
        <f t="shared" si="105"/>
        <v>11.484632130733265</v>
      </c>
      <c r="W568" s="3284">
        <f t="shared" si="102"/>
        <v>0.67920568678770488</v>
      </c>
      <c r="X568" s="3300"/>
      <c r="Y568" s="3316"/>
      <c r="AA568" s="3301"/>
      <c r="AB568" s="3409"/>
      <c r="AE568" s="1056"/>
    </row>
    <row r="569" spans="2:31" ht="16" thickBot="1" x14ac:dyDescent="0.25">
      <c r="B569" s="2983">
        <f>AVERAGE(W563:W569)</f>
        <v>0.49663573544818501</v>
      </c>
      <c r="C569" s="1711">
        <v>43667</v>
      </c>
      <c r="D569" s="1683"/>
      <c r="E569" s="1712"/>
      <c r="F569" s="2700"/>
      <c r="G569" s="1713"/>
      <c r="H569" s="1724" t="str">
        <f>IFERROR(VLOOKUP(F569,Trainingsarten!$A$9:$K$84,10,FALSE),"")</f>
        <v/>
      </c>
      <c r="I569" s="1725" t="str">
        <f t="shared" si="99"/>
        <v/>
      </c>
      <c r="J569" s="1726"/>
      <c r="K569" s="1717" t="str">
        <f>IFERROR(VLOOKUP(F569,Trainingsarten!$A$9:$K$84,11,FALSE),"0")</f>
        <v>0</v>
      </c>
      <c r="L569" s="2808"/>
      <c r="M569" s="2832"/>
      <c r="N569" s="1718" t="str">
        <f t="shared" si="103"/>
        <v/>
      </c>
      <c r="O569" s="1719"/>
      <c r="P569" s="1720" t="str">
        <f>IFERROR(VLOOKUP(F569,Trainingsarten!$A$9:$N$84,12,FALSE),"")</f>
        <v/>
      </c>
      <c r="Q569" s="1721" t="s">
        <v>437</v>
      </c>
      <c r="R569" s="1151" t="str">
        <f>IFERROR(VLOOKUP(F569,Trainingsarten!$A$9:$N$84,14,FALSE),"")</f>
        <v/>
      </c>
      <c r="S569" s="1106" t="str">
        <f t="shared" si="100"/>
        <v/>
      </c>
      <c r="T569" s="1722">
        <f t="shared" si="106"/>
        <v>12.397007013773802</v>
      </c>
      <c r="U569" s="1723">
        <f t="shared" si="104"/>
        <v>20.787242831018339</v>
      </c>
      <c r="V569" s="1152">
        <f t="shared" si="105"/>
        <v>6.8310739043233362</v>
      </c>
      <c r="W569" s="3285">
        <f t="shared" si="102"/>
        <v>0.59637572498432634</v>
      </c>
      <c r="X569" s="3300"/>
      <c r="Y569" s="3316"/>
      <c r="AA569" s="3301"/>
      <c r="AB569" s="3409"/>
      <c r="AE569" s="1056"/>
    </row>
    <row r="570" spans="2:31" ht="16" thickBot="1" x14ac:dyDescent="0.25">
      <c r="B570" s="2977">
        <f>B563+1</f>
        <v>30</v>
      </c>
      <c r="C570" s="1190">
        <v>43668</v>
      </c>
      <c r="D570" s="1191"/>
      <c r="E570" s="1192"/>
      <c r="F570" s="2701"/>
      <c r="G570" s="1349"/>
      <c r="H570" s="1697" t="str">
        <f>IFERROR(VLOOKUP(F570,Trainingsarten!$A$9:$K$84,10,FALSE),"")</f>
        <v/>
      </c>
      <c r="I570" s="1368" t="str">
        <f t="shared" si="99"/>
        <v/>
      </c>
      <c r="J570" s="1354"/>
      <c r="K570" s="1353" t="str">
        <f>IFERROR(VLOOKUP(F570,Trainingsarten!$A$9:$K$84,11,FALSE),"0")</f>
        <v>0</v>
      </c>
      <c r="L570" s="1915"/>
      <c r="M570" s="2833"/>
      <c r="N570" s="1199" t="str">
        <f t="shared" si="103"/>
        <v/>
      </c>
      <c r="O570" s="1668"/>
      <c r="P570" s="1201" t="str">
        <f>IFERROR(VLOOKUP(F570,Trainingsarten!$A$9:$N$84,12,FALSE),"")</f>
        <v/>
      </c>
      <c r="Q570" s="1202" t="s">
        <v>437</v>
      </c>
      <c r="R570" s="1069" t="str">
        <f>IFERROR(VLOOKUP(F570,Trainingsarten!$A$9:$N$84,14,FALSE),"")</f>
        <v/>
      </c>
      <c r="S570" s="1070" t="str">
        <f t="shared" si="100"/>
        <v/>
      </c>
      <c r="T570" s="1669">
        <f t="shared" si="106"/>
        <v>10.626006011806115</v>
      </c>
      <c r="U570" s="1055">
        <f t="shared" si="104"/>
        <v>20.292308477898857</v>
      </c>
      <c r="V570" s="1203">
        <f t="shared" si="105"/>
        <v>8.3902358172445375</v>
      </c>
      <c r="W570" s="3286">
        <f t="shared" si="102"/>
        <v>0.52364697803501814</v>
      </c>
      <c r="X570" s="3300"/>
      <c r="Y570" s="3316"/>
      <c r="AA570" s="3301"/>
      <c r="AB570" s="3409"/>
      <c r="AE570" s="1056"/>
    </row>
    <row r="571" spans="2:31" x14ac:dyDescent="0.2">
      <c r="B571" s="2978" t="s">
        <v>626</v>
      </c>
      <c r="C571" s="1211">
        <v>43669</v>
      </c>
      <c r="D571" s="1212" t="s">
        <v>603</v>
      </c>
      <c r="E571" s="1213"/>
      <c r="F571" s="2702" t="s">
        <v>638</v>
      </c>
      <c r="G571" s="1357">
        <v>3.75462962962963E-2</v>
      </c>
      <c r="H571" s="1358">
        <v>9.52</v>
      </c>
      <c r="I571" s="1369">
        <f t="shared" si="99"/>
        <v>3.9439386865857459E-3</v>
      </c>
      <c r="J571" s="1306">
        <v>130</v>
      </c>
      <c r="K571" s="1305">
        <v>53</v>
      </c>
      <c r="L571" s="2806">
        <v>211</v>
      </c>
      <c r="M571" s="2829"/>
      <c r="N571" s="1208">
        <f t="shared" si="103"/>
        <v>1.0731280571930266</v>
      </c>
      <c r="O571" s="1670" t="s">
        <v>749</v>
      </c>
      <c r="P571" s="1136" t="str">
        <f>IFERROR(VLOOKUP(F571,Trainingsarten!$A$9:$N$84,12,FALSE),"")</f>
        <v/>
      </c>
      <c r="Q571" s="1137" t="s">
        <v>437</v>
      </c>
      <c r="R571" s="1086" t="str">
        <f>IFERROR(VLOOKUP(F571,Trainingsarten!$A$9:$N$84,14,FALSE),"")</f>
        <v/>
      </c>
      <c r="S571" s="1087">
        <f t="shared" si="100"/>
        <v>1.6230769230769231</v>
      </c>
      <c r="T571" s="1232">
        <f t="shared" si="106"/>
        <v>16.679433724405243</v>
      </c>
      <c r="U571" s="1239">
        <f t="shared" si="104"/>
        <v>21.071063037948885</v>
      </c>
      <c r="V571" s="1210">
        <f t="shared" si="105"/>
        <v>9.6663024660927412</v>
      </c>
      <c r="W571" s="3284">
        <f t="shared" si="102"/>
        <v>0.79158007806087716</v>
      </c>
      <c r="X571" s="3300"/>
      <c r="Y571" s="3316"/>
      <c r="AA571" s="3301"/>
      <c r="AB571" s="3409"/>
      <c r="AE571" s="1056"/>
    </row>
    <row r="572" spans="2:31" ht="16" thickBot="1" x14ac:dyDescent="0.25">
      <c r="B572" s="2979">
        <f>SUM(H570:H576)</f>
        <v>29.03</v>
      </c>
      <c r="C572" s="1211">
        <v>43670</v>
      </c>
      <c r="D572" s="1089"/>
      <c r="E572" s="1205"/>
      <c r="F572" s="2702"/>
      <c r="G572" s="1357"/>
      <c r="H572" s="1358" t="str">
        <f>IFERROR(VLOOKUP(F572,Trainingsarten!$A$9:$K$84,10,FALSE),"")</f>
        <v/>
      </c>
      <c r="I572" s="1369" t="str">
        <f t="shared" si="99"/>
        <v/>
      </c>
      <c r="J572" s="1306"/>
      <c r="K572" s="1305" t="str">
        <f>IFERROR(VLOOKUP(F572,Trainingsarten!$A$9:$K$84,11,FALSE),"0")</f>
        <v>0</v>
      </c>
      <c r="L572" s="2806"/>
      <c r="M572" s="2829"/>
      <c r="N572" s="1208" t="str">
        <f t="shared" si="103"/>
        <v/>
      </c>
      <c r="O572" s="1670"/>
      <c r="P572" s="1136" t="str">
        <f>IFERROR(VLOOKUP(F572,Trainingsarten!$A$9:$N$84,12,FALSE),"")</f>
        <v/>
      </c>
      <c r="Q572" s="1137" t="s">
        <v>437</v>
      </c>
      <c r="R572" s="1086" t="str">
        <f>IFERROR(VLOOKUP(F572,Trainingsarten!$A$9:$N$84,14,FALSE),"")</f>
        <v/>
      </c>
      <c r="S572" s="1087" t="str">
        <f t="shared" si="100"/>
        <v/>
      </c>
      <c r="T572" s="1232">
        <f t="shared" si="106"/>
        <v>14.296657478061636</v>
      </c>
      <c r="U572" s="1239">
        <f t="shared" si="104"/>
        <v>20.569371060854863</v>
      </c>
      <c r="V572" s="1210">
        <f t="shared" si="105"/>
        <v>4.3916293135436426</v>
      </c>
      <c r="W572" s="3284">
        <f t="shared" si="102"/>
        <v>0.69504592219979466</v>
      </c>
      <c r="X572" s="3300"/>
      <c r="Y572" s="3316"/>
      <c r="AA572" s="3301"/>
      <c r="AB572" s="3409"/>
      <c r="AE572" s="1056"/>
    </row>
    <row r="573" spans="2:31" x14ac:dyDescent="0.2">
      <c r="B573" s="2980" t="s">
        <v>628</v>
      </c>
      <c r="C573" s="1211">
        <v>43671</v>
      </c>
      <c r="D573" s="1089"/>
      <c r="E573" s="1205"/>
      <c r="F573" s="2702"/>
      <c r="G573" s="1357"/>
      <c r="H573" s="1358" t="str">
        <f>IFERROR(VLOOKUP(F573,Trainingsarten!$A$9:$K$84,10,FALSE),"")</f>
        <v/>
      </c>
      <c r="I573" s="1369" t="str">
        <f t="shared" si="99"/>
        <v/>
      </c>
      <c r="J573" s="1306"/>
      <c r="K573" s="1305" t="str">
        <f>IFERROR(VLOOKUP(F573,Trainingsarten!$A$9:$K$84,11,FALSE),"0")</f>
        <v>0</v>
      </c>
      <c r="L573" s="2806"/>
      <c r="M573" s="2829"/>
      <c r="N573" s="1208" t="str">
        <f t="shared" si="103"/>
        <v/>
      </c>
      <c r="O573" s="1670"/>
      <c r="P573" s="1136" t="str">
        <f>IFERROR(VLOOKUP(F573,Trainingsarten!$A$9:$N$84,12,FALSE),"")</f>
        <v/>
      </c>
      <c r="Q573" s="1137" t="s">
        <v>437</v>
      </c>
      <c r="R573" s="1086" t="str">
        <f>IFERROR(VLOOKUP(F573,Trainingsarten!$A$9:$N$84,14,FALSE),"")</f>
        <v/>
      </c>
      <c r="S573" s="1087" t="str">
        <f t="shared" si="100"/>
        <v/>
      </c>
      <c r="T573" s="1232">
        <f t="shared" si="106"/>
        <v>12.254277838338545</v>
      </c>
      <c r="U573" s="1239">
        <f t="shared" si="104"/>
        <v>20.07962413083451</v>
      </c>
      <c r="V573" s="1210">
        <f t="shared" si="105"/>
        <v>6.2727135827932265</v>
      </c>
      <c r="W573" s="3284">
        <f t="shared" si="102"/>
        <v>0.6102842243705513</v>
      </c>
      <c r="X573" s="3300"/>
      <c r="Y573" s="3316"/>
      <c r="AA573" s="3301"/>
      <c r="AB573" s="3409"/>
      <c r="AE573" s="1056"/>
    </row>
    <row r="574" spans="2:31" ht="16" thickBot="1" x14ac:dyDescent="0.25">
      <c r="B574" s="2981">
        <f>SUM(K570:K576)</f>
        <v>160</v>
      </c>
      <c r="C574" s="1211">
        <v>43672</v>
      </c>
      <c r="D574" s="1089" t="s">
        <v>604</v>
      </c>
      <c r="E574" s="1205"/>
      <c r="F574" s="2702" t="s">
        <v>760</v>
      </c>
      <c r="G574" s="1357">
        <v>4.2164351851851856E-2</v>
      </c>
      <c r="H574" s="1358">
        <v>10.68</v>
      </c>
      <c r="I574" s="1369">
        <f t="shared" si="99"/>
        <v>3.9479730198363162E-3</v>
      </c>
      <c r="J574" s="1306">
        <v>132</v>
      </c>
      <c r="K574" s="1305">
        <v>59</v>
      </c>
      <c r="L574" s="2806">
        <v>211</v>
      </c>
      <c r="M574" s="2829"/>
      <c r="N574" s="1208">
        <f t="shared" si="103"/>
        <v>1.0742257812063281</v>
      </c>
      <c r="O574" s="1670" t="s">
        <v>749</v>
      </c>
      <c r="P574" s="1136" t="str">
        <f>IFERROR(VLOOKUP(F574,Trainingsarten!$A$9:$N$84,12,FALSE),"")</f>
        <v/>
      </c>
      <c r="Q574" s="1137" t="s">
        <v>437</v>
      </c>
      <c r="R574" s="1086" t="str">
        <f>IFERROR(VLOOKUP(F574,Trainingsarten!$A$9:$N$84,14,FALSE),"")</f>
        <v/>
      </c>
      <c r="S574" s="1087">
        <f t="shared" si="100"/>
        <v>1.5984848484848484</v>
      </c>
      <c r="T574" s="1232">
        <f t="shared" si="106"/>
        <v>18.932238147147324</v>
      </c>
      <c r="U574" s="1239">
        <f t="shared" si="104"/>
        <v>21.006299746767024</v>
      </c>
      <c r="V574" s="1210">
        <f t="shared" si="105"/>
        <v>7.8253462924959649</v>
      </c>
      <c r="W574" s="3284">
        <f t="shared" si="102"/>
        <v>0.90126478129786236</v>
      </c>
      <c r="X574" s="3300"/>
      <c r="Y574" s="3316"/>
      <c r="AA574" s="3301"/>
      <c r="AB574" s="3409"/>
      <c r="AE574" s="1056"/>
    </row>
    <row r="575" spans="2:31" x14ac:dyDescent="0.2">
      <c r="B575" s="2982" t="s">
        <v>761</v>
      </c>
      <c r="C575" s="1211">
        <v>43673</v>
      </c>
      <c r="D575" s="1089"/>
      <c r="E575" s="1205"/>
      <c r="F575" s="2702"/>
      <c r="G575" s="1357"/>
      <c r="H575" s="1358" t="str">
        <f>IFERROR(VLOOKUP(F575,Trainingsarten!$A$9:$K$84,10,FALSE),"")</f>
        <v/>
      </c>
      <c r="I575" s="1369" t="str">
        <f t="shared" si="99"/>
        <v/>
      </c>
      <c r="J575" s="1306"/>
      <c r="K575" s="1305" t="str">
        <f>IFERROR(VLOOKUP(F575,Trainingsarten!$A$9:$K$84,11,FALSE),"0")</f>
        <v>0</v>
      </c>
      <c r="L575" s="2806"/>
      <c r="M575" s="2829"/>
      <c r="N575" s="1208" t="str">
        <f t="shared" si="103"/>
        <v/>
      </c>
      <c r="O575" s="1670"/>
      <c r="P575" s="1136" t="str">
        <f>IFERROR(VLOOKUP(F575,Trainingsarten!$A$9:$N$84,12,FALSE),"")</f>
        <v/>
      </c>
      <c r="Q575" s="1137" t="s">
        <v>437</v>
      </c>
      <c r="R575" s="1086" t="str">
        <f>IFERROR(VLOOKUP(F575,Trainingsarten!$A$9:$N$84,14,FALSE),"")</f>
        <v/>
      </c>
      <c r="S575" s="1087" t="str">
        <f t="shared" si="100"/>
        <v/>
      </c>
      <c r="T575" s="1232">
        <f t="shared" si="106"/>
        <v>16.227632697554849</v>
      </c>
      <c r="U575" s="1239">
        <f t="shared" si="104"/>
        <v>20.506149752796379</v>
      </c>
      <c r="V575" s="1210">
        <f t="shared" si="105"/>
        <v>2.0740615996197</v>
      </c>
      <c r="W575" s="3284">
        <f t="shared" si="102"/>
        <v>0.79135444211519634</v>
      </c>
      <c r="X575" s="3300"/>
      <c r="Y575" s="3316"/>
      <c r="AA575" s="3301"/>
      <c r="AB575" s="3409"/>
      <c r="AE575" s="1056"/>
    </row>
    <row r="576" spans="2:31" ht="16" thickBot="1" x14ac:dyDescent="0.25">
      <c r="B576" s="2983">
        <f>AVERAGE(W570:W576)</f>
        <v>0.75636378955849104</v>
      </c>
      <c r="C576" s="1260">
        <v>43674</v>
      </c>
      <c r="D576" s="1108" t="s">
        <v>605</v>
      </c>
      <c r="E576" s="1261"/>
      <c r="F576" s="2703" t="s">
        <v>638</v>
      </c>
      <c r="G576" s="1361">
        <v>3.4444444444444444E-2</v>
      </c>
      <c r="H576" s="1362">
        <v>8.83</v>
      </c>
      <c r="I576" s="1370">
        <f t="shared" si="99"/>
        <v>3.9008430854410468E-3</v>
      </c>
      <c r="J576" s="1317">
        <v>143</v>
      </c>
      <c r="K576" s="1316">
        <v>48</v>
      </c>
      <c r="L576" s="2807">
        <v>214</v>
      </c>
      <c r="M576" s="2830"/>
      <c r="N576" s="1223">
        <f t="shared" si="103"/>
        <v>1.076492959889116</v>
      </c>
      <c r="O576" s="1671" t="s">
        <v>749</v>
      </c>
      <c r="P576" s="1225" t="str">
        <f>IFERROR(VLOOKUP(F576,Trainingsarten!$A$9:$N$84,12,FALSE),"")</f>
        <v/>
      </c>
      <c r="Q576" s="1226" t="s">
        <v>437</v>
      </c>
      <c r="R576" s="1105" t="str">
        <f>IFERROR(VLOOKUP(F576,Trainingsarten!$A$9:$N$84,14,FALSE),"")</f>
        <v/>
      </c>
      <c r="S576" s="1106">
        <f t="shared" si="100"/>
        <v>1.4965034965034965</v>
      </c>
      <c r="T576" s="1215">
        <f t="shared" si="106"/>
        <v>20.76654231218987</v>
      </c>
      <c r="U576" s="1227">
        <f t="shared" si="104"/>
        <v>21.160765234872656</v>
      </c>
      <c r="V576" s="1227">
        <f t="shared" si="105"/>
        <v>4.2785170552415295</v>
      </c>
      <c r="W576" s="3287">
        <f t="shared" si="102"/>
        <v>0.98137010083013854</v>
      </c>
      <c r="X576" s="3300"/>
      <c r="Y576" s="3316"/>
      <c r="AA576" s="3301"/>
      <c r="AB576" s="3409"/>
      <c r="AE576" s="1056"/>
    </row>
    <row r="577" spans="2:31" ht="16" thickBot="1" x14ac:dyDescent="0.25">
      <c r="B577" s="2977">
        <f>B570+1</f>
        <v>31</v>
      </c>
      <c r="C577" s="1245">
        <v>43675</v>
      </c>
      <c r="D577" s="1111"/>
      <c r="E577" s="1112"/>
      <c r="F577" s="2704"/>
      <c r="G577" s="1647"/>
      <c r="H577" s="1648" t="str">
        <f>IFERROR(VLOOKUP(F577,Trainingsarten!$A$9:$K$84,10,FALSE),"")</f>
        <v/>
      </c>
      <c r="I577" s="1230" t="str">
        <f t="shared" si="99"/>
        <v/>
      </c>
      <c r="J577" s="1324"/>
      <c r="K577" s="1325" t="str">
        <f>IFERROR(VLOOKUP(F577,Trainingsarten!$A$9:$K$84,11,FALSE),"0")</f>
        <v>0</v>
      </c>
      <c r="L577" s="1326"/>
      <c r="M577" s="2831"/>
      <c r="N577" s="1119" t="str">
        <f t="shared" si="103"/>
        <v/>
      </c>
      <c r="O577" s="1649"/>
      <c r="P577" s="1277" t="str">
        <f>IFERROR(VLOOKUP(F577,Trainingsarten!$A$9:$N$84,12,FALSE),"")</f>
        <v/>
      </c>
      <c r="Q577" s="1122" t="s">
        <v>437</v>
      </c>
      <c r="R577" s="1122" t="str">
        <f>IFERROR(VLOOKUP(F577,Trainingsarten!$A$9:$N$84,14,FALSE),"")</f>
        <v/>
      </c>
      <c r="S577" s="1070" t="str">
        <f t="shared" si="100"/>
        <v/>
      </c>
      <c r="T577" s="1650">
        <f t="shared" si="106"/>
        <v>17.799893410448458</v>
      </c>
      <c r="U577" s="1651">
        <f t="shared" si="104"/>
        <v>20.656937491185211</v>
      </c>
      <c r="V577" s="1278">
        <f t="shared" si="105"/>
        <v>0.39422292268278625</v>
      </c>
      <c r="W577" s="3283">
        <f t="shared" si="102"/>
        <v>0.86169082024109722</v>
      </c>
      <c r="X577" s="3300"/>
      <c r="Y577" s="3316"/>
      <c r="AA577" s="3301"/>
      <c r="AB577" s="3409"/>
      <c r="AE577" s="1056"/>
    </row>
    <row r="578" spans="2:31" x14ac:dyDescent="0.2">
      <c r="B578" s="2978" t="s">
        <v>626</v>
      </c>
      <c r="C578" s="1698">
        <v>43676</v>
      </c>
      <c r="D578" s="1699"/>
      <c r="E578" s="1700"/>
      <c r="F578" s="2699"/>
      <c r="G578" s="1749"/>
      <c r="H578" s="1778" t="str">
        <f>IFERROR(VLOOKUP(F578,Trainingsarten!$A$9:$K$84,10,FALSE),"")</f>
        <v/>
      </c>
      <c r="I578" s="1751" t="str">
        <f t="shared" ref="I578:I641" si="107">IFERROR(G578/H578,"")</f>
        <v/>
      </c>
      <c r="J578" s="1752"/>
      <c r="K578" s="1753" t="str">
        <f>IFERROR(VLOOKUP(F578,Trainingsarten!$A$9:$K$84,11,FALSE),"0")</f>
        <v>0</v>
      </c>
      <c r="L578" s="2806"/>
      <c r="M578" s="2829"/>
      <c r="N578" s="1706" t="str">
        <f t="shared" si="103"/>
        <v/>
      </c>
      <c r="O578" s="1754"/>
      <c r="P578" s="1755" t="str">
        <f>IFERROR(VLOOKUP(F578,Trainingsarten!$A$9:$N$84,12,FALSE),"")</f>
        <v/>
      </c>
      <c r="Q578" s="1756" t="s">
        <v>437</v>
      </c>
      <c r="R578" s="1086" t="str">
        <f>IFERROR(VLOOKUP(F578,Trainingsarten!$A$9:$N$84,14,FALSE),"")</f>
        <v/>
      </c>
      <c r="S578" s="1087" t="str">
        <f t="shared" si="100"/>
        <v/>
      </c>
      <c r="T578" s="1757">
        <f t="shared" si="106"/>
        <v>15.257051494670108</v>
      </c>
      <c r="U578" s="1758">
        <f t="shared" si="104"/>
        <v>20.165105646156992</v>
      </c>
      <c r="V578" s="1088">
        <f t="shared" si="105"/>
        <v>2.8570440807367525</v>
      </c>
      <c r="W578" s="3284">
        <f t="shared" si="102"/>
        <v>0.75660657387023178</v>
      </c>
      <c r="X578" s="3300"/>
      <c r="Y578" s="3316"/>
      <c r="AA578" s="3301"/>
      <c r="AB578" s="3409"/>
      <c r="AE578" s="1056"/>
    </row>
    <row r="579" spans="2:31" ht="16" thickBot="1" x14ac:dyDescent="0.25">
      <c r="B579" s="2979">
        <f>SUM(H577:H583)</f>
        <v>21.2</v>
      </c>
      <c r="C579" s="1211">
        <v>43677</v>
      </c>
      <c r="D579" s="1699" t="s">
        <v>606</v>
      </c>
      <c r="E579" s="1700"/>
      <c r="F579" s="2699" t="s">
        <v>760</v>
      </c>
      <c r="G579" s="1749">
        <v>4.1192129629629634E-2</v>
      </c>
      <c r="H579" s="1778">
        <v>10.59</v>
      </c>
      <c r="I579" s="1751">
        <f t="shared" si="107"/>
        <v>3.8897195117686151E-3</v>
      </c>
      <c r="J579" s="1752">
        <v>129</v>
      </c>
      <c r="K579" s="1753">
        <v>59</v>
      </c>
      <c r="L579" s="2806">
        <v>213</v>
      </c>
      <c r="M579" s="2829"/>
      <c r="N579" s="1706">
        <f t="shared" si="103"/>
        <v>1.0684072555071669</v>
      </c>
      <c r="O579" s="1754" t="s">
        <v>751</v>
      </c>
      <c r="P579" s="1755" t="str">
        <f>IFERROR(VLOOKUP(F579,Trainingsarten!$A$9:$N$84,12,FALSE),"")</f>
        <v/>
      </c>
      <c r="Q579" s="1756" t="s">
        <v>437</v>
      </c>
      <c r="R579" s="1086" t="str">
        <f>IFERROR(VLOOKUP(F579,Trainingsarten!$A$9:$N$84,14,FALSE),"")</f>
        <v/>
      </c>
      <c r="S579" s="1087">
        <f t="shared" si="100"/>
        <v>1.6511627906976745</v>
      </c>
      <c r="T579" s="1757">
        <f t="shared" si="106"/>
        <v>21.506044138288665</v>
      </c>
      <c r="U579" s="1758">
        <f t="shared" si="104"/>
        <v>21.089745987915158</v>
      </c>
      <c r="V579" s="1088">
        <f t="shared" si="105"/>
        <v>4.9080541514868834</v>
      </c>
      <c r="W579" s="3284">
        <f t="shared" si="102"/>
        <v>1.0197393629402676</v>
      </c>
      <c r="X579" s="3300"/>
      <c r="Y579" s="3316"/>
      <c r="AA579" s="3301"/>
      <c r="AB579" s="3409"/>
      <c r="AE579" s="1056"/>
    </row>
    <row r="580" spans="2:31" x14ac:dyDescent="0.2">
      <c r="B580" s="2980" t="s">
        <v>628</v>
      </c>
      <c r="C580" s="1211">
        <v>43678</v>
      </c>
      <c r="D580" s="1699"/>
      <c r="E580" s="1700"/>
      <c r="F580" s="2699"/>
      <c r="G580" s="1749"/>
      <c r="H580" s="1778" t="str">
        <f>IFERROR(VLOOKUP(F580,Trainingsarten!$A$9:$K$84,10,FALSE),"")</f>
        <v/>
      </c>
      <c r="I580" s="1751" t="str">
        <f t="shared" si="107"/>
        <v/>
      </c>
      <c r="J580" s="1752"/>
      <c r="K580" s="1753" t="str">
        <f>IFERROR(VLOOKUP(F580,Trainingsarten!$A$9:$K$84,11,FALSE),"0")</f>
        <v>0</v>
      </c>
      <c r="L580" s="2806"/>
      <c r="M580" s="2829"/>
      <c r="N580" s="1706" t="str">
        <f t="shared" si="103"/>
        <v/>
      </c>
      <c r="O580" s="1754"/>
      <c r="P580" s="1755" t="str">
        <f>IFERROR(VLOOKUP(F580,Trainingsarten!$A$9:$N$84,12,FALSE),"")</f>
        <v/>
      </c>
      <c r="Q580" s="1756" t="s">
        <v>437</v>
      </c>
      <c r="R580" s="1086" t="str">
        <f>IFERROR(VLOOKUP(F580,Trainingsarten!$A$9:$N$84,14,FALSE),"")</f>
        <v/>
      </c>
      <c r="S580" s="1087" t="str">
        <f t="shared" si="100"/>
        <v/>
      </c>
      <c r="T580" s="1757">
        <f t="shared" si="106"/>
        <v>18.433752118533143</v>
      </c>
      <c r="U580" s="1758">
        <f t="shared" si="104"/>
        <v>20.587609178679084</v>
      </c>
      <c r="V580" s="1088">
        <f t="shared" si="105"/>
        <v>-0.41629815037350681</v>
      </c>
      <c r="W580" s="3284">
        <f t="shared" si="102"/>
        <v>0.89538090404511284</v>
      </c>
      <c r="X580" s="3300"/>
      <c r="Y580" s="3316"/>
      <c r="AA580" s="3301"/>
      <c r="AB580" s="3409"/>
      <c r="AE580" s="1056"/>
    </row>
    <row r="581" spans="2:31" ht="16" thickBot="1" x14ac:dyDescent="0.25">
      <c r="B581" s="2981">
        <f>SUM(K577:K583)</f>
        <v>119</v>
      </c>
      <c r="C581" s="1211">
        <v>43679</v>
      </c>
      <c r="D581" s="1699" t="s">
        <v>607</v>
      </c>
      <c r="E581" s="1700"/>
      <c r="F581" s="2699" t="s">
        <v>760</v>
      </c>
      <c r="G581" s="1749">
        <v>3.9930555555555559E-2</v>
      </c>
      <c r="H581" s="1778">
        <v>10.61</v>
      </c>
      <c r="I581" s="1751">
        <f t="shared" si="107"/>
        <v>3.763483087234266E-3</v>
      </c>
      <c r="J581" s="1752">
        <v>131</v>
      </c>
      <c r="K581" s="1753">
        <v>60</v>
      </c>
      <c r="L581" s="2806">
        <v>220</v>
      </c>
      <c r="M581" s="2829"/>
      <c r="N581" s="1706">
        <f t="shared" si="103"/>
        <v>1.0677057689872973</v>
      </c>
      <c r="O581" s="1754" t="s">
        <v>750</v>
      </c>
      <c r="P581" s="1755" t="str">
        <f>IFERROR(VLOOKUP(F581,Trainingsarten!$A$9:$N$84,12,FALSE),"")</f>
        <v/>
      </c>
      <c r="Q581" s="1756" t="s">
        <v>437</v>
      </c>
      <c r="R581" s="1086" t="str">
        <f>IFERROR(VLOOKUP(F581,Trainingsarten!$A$9:$N$84,14,FALSE),"")</f>
        <v/>
      </c>
      <c r="S581" s="1087">
        <f t="shared" si="100"/>
        <v>1.6793893129770991</v>
      </c>
      <c r="T581" s="1757">
        <f t="shared" si="106"/>
        <v>24.371787530171265</v>
      </c>
      <c r="U581" s="1758">
        <f t="shared" si="104"/>
        <v>21.525999436329581</v>
      </c>
      <c r="V581" s="1088">
        <f t="shared" si="105"/>
        <v>2.1538570601459419</v>
      </c>
      <c r="W581" s="3284">
        <f t="shared" si="102"/>
        <v>1.1322023677580715</v>
      </c>
      <c r="X581" s="3300"/>
      <c r="Y581" s="3316"/>
      <c r="AA581" s="3301"/>
      <c r="AB581" s="3409"/>
      <c r="AE581" s="1056"/>
    </row>
    <row r="582" spans="2:31" x14ac:dyDescent="0.2">
      <c r="B582" s="2982" t="s">
        <v>761</v>
      </c>
      <c r="C582" s="1211">
        <v>43680</v>
      </c>
      <c r="D582" s="1699"/>
      <c r="E582" s="1700"/>
      <c r="F582" s="2699"/>
      <c r="G582" s="1749"/>
      <c r="H582" s="1778" t="str">
        <f>IFERROR(VLOOKUP(F582,Trainingsarten!$A$9:$K$84,10,FALSE),"")</f>
        <v/>
      </c>
      <c r="I582" s="1751" t="str">
        <f t="shared" si="107"/>
        <v/>
      </c>
      <c r="J582" s="1752"/>
      <c r="K582" s="1753" t="str">
        <f>IFERROR(VLOOKUP(F582,Trainingsarten!$A$9:$K$84,11,FALSE),"0")</f>
        <v>0</v>
      </c>
      <c r="L582" s="2806"/>
      <c r="M582" s="2829"/>
      <c r="N582" s="1706" t="str">
        <f t="shared" si="103"/>
        <v/>
      </c>
      <c r="O582" s="1754"/>
      <c r="P582" s="1755" t="str">
        <f>IFERROR(VLOOKUP(F582,Trainingsarten!$A$9:$N$84,12,FALSE),"")</f>
        <v/>
      </c>
      <c r="Q582" s="1756" t="s">
        <v>437</v>
      </c>
      <c r="R582" s="1086" t="str">
        <f>IFERROR(VLOOKUP(F582,Trainingsarten!$A$9:$N$84,14,FALSE),"")</f>
        <v/>
      </c>
      <c r="S582" s="1087" t="str">
        <f t="shared" si="100"/>
        <v/>
      </c>
      <c r="T582" s="1757">
        <f t="shared" si="106"/>
        <v>20.890103597289656</v>
      </c>
      <c r="U582" s="1758">
        <f t="shared" si="104"/>
        <v>21.013475640226495</v>
      </c>
      <c r="V582" s="1088">
        <f t="shared" si="105"/>
        <v>-2.8457880938416835</v>
      </c>
      <c r="W582" s="3284">
        <f t="shared" si="102"/>
        <v>0.99412890827537992</v>
      </c>
      <c r="X582" s="3300"/>
      <c r="Y582" s="3316"/>
      <c r="AA582" s="3301"/>
      <c r="AB582" s="3409"/>
      <c r="AE582" s="1056"/>
    </row>
    <row r="583" spans="2:31" ht="16" thickBot="1" x14ac:dyDescent="0.25">
      <c r="B583" s="2983">
        <f>AVERAGE(W577:W583)</f>
        <v>0.93323465895557589</v>
      </c>
      <c r="C583" s="1711">
        <v>43681</v>
      </c>
      <c r="D583" s="1683"/>
      <c r="E583" s="1712"/>
      <c r="F583" s="2700"/>
      <c r="G583" s="1713"/>
      <c r="H583" s="1724" t="str">
        <f>IFERROR(VLOOKUP(F583,Trainingsarten!$A$9:$K$84,10,FALSE),"")</f>
        <v/>
      </c>
      <c r="I583" s="1725" t="str">
        <f t="shared" si="107"/>
        <v/>
      </c>
      <c r="J583" s="1726"/>
      <c r="K583" s="1717" t="str">
        <f>IFERROR(VLOOKUP(F583,Trainingsarten!$A$9:$K$84,11,FALSE),"0")</f>
        <v>0</v>
      </c>
      <c r="L583" s="2808"/>
      <c r="M583" s="2832"/>
      <c r="N583" s="1718" t="str">
        <f t="shared" si="103"/>
        <v/>
      </c>
      <c r="O583" s="1719"/>
      <c r="P583" s="1720" t="str">
        <f>IFERROR(VLOOKUP(F583,Trainingsarten!$A$9:$N$84,12,FALSE),"")</f>
        <v/>
      </c>
      <c r="Q583" s="1721" t="s">
        <v>437</v>
      </c>
      <c r="R583" s="1151" t="str">
        <f>IFERROR(VLOOKUP(F583,Trainingsarten!$A$9:$N$84,14,FALSE),"")</f>
        <v/>
      </c>
      <c r="S583" s="1106" t="str">
        <f t="shared" si="100"/>
        <v/>
      </c>
      <c r="T583" s="1722">
        <f t="shared" si="106"/>
        <v>17.905803083391135</v>
      </c>
      <c r="U583" s="1723">
        <f t="shared" si="104"/>
        <v>20.513154791649676</v>
      </c>
      <c r="V583" s="1152">
        <f t="shared" si="105"/>
        <v>0.12337204293683968</v>
      </c>
      <c r="W583" s="3285">
        <f t="shared" si="102"/>
        <v>0.8728936755588701</v>
      </c>
      <c r="X583" s="3300"/>
      <c r="Y583" s="3316"/>
      <c r="AA583" s="3301"/>
      <c r="AB583" s="3409"/>
      <c r="AE583" s="1056"/>
    </row>
    <row r="584" spans="2:31" ht="16" thickBot="1" x14ac:dyDescent="0.25">
      <c r="B584" s="2977">
        <f>B577+1</f>
        <v>32</v>
      </c>
      <c r="C584" s="1190">
        <v>43682</v>
      </c>
      <c r="D584" s="1191"/>
      <c r="E584" s="1192"/>
      <c r="F584" s="2701"/>
      <c r="G584" s="1349"/>
      <c r="H584" s="1697" t="str">
        <f>IFERROR(VLOOKUP(F584,Trainingsarten!$A$9:$K$84,10,FALSE),"")</f>
        <v/>
      </c>
      <c r="I584" s="1368" t="str">
        <f t="shared" si="107"/>
        <v/>
      </c>
      <c r="J584" s="1354"/>
      <c r="K584" s="1353" t="str">
        <f>IFERROR(VLOOKUP(F584,Trainingsarten!$A$9:$K$84,11,FALSE),"0")</f>
        <v>0</v>
      </c>
      <c r="L584" s="1915"/>
      <c r="M584" s="2833"/>
      <c r="N584" s="1199" t="str">
        <f t="shared" si="103"/>
        <v/>
      </c>
      <c r="O584" s="1668"/>
      <c r="P584" s="1201" t="str">
        <f>IFERROR(VLOOKUP(F584,Trainingsarten!$A$9:$N$84,12,FALSE),"")</f>
        <v/>
      </c>
      <c r="Q584" s="1202" t="s">
        <v>437</v>
      </c>
      <c r="R584" s="1069" t="str">
        <f>IFERROR(VLOOKUP(F584,Trainingsarten!$A$9:$N$84,14,FALSE),"")</f>
        <v/>
      </c>
      <c r="S584" s="1070" t="str">
        <f t="shared" si="100"/>
        <v/>
      </c>
      <c r="T584" s="1669">
        <f t="shared" si="106"/>
        <v>15.347831214335258</v>
      </c>
      <c r="U584" s="1055">
        <f t="shared" si="104"/>
        <v>20.024746344229445</v>
      </c>
      <c r="V584" s="1203">
        <f t="shared" si="105"/>
        <v>2.6073517082585411</v>
      </c>
      <c r="W584" s="3286">
        <f t="shared" si="102"/>
        <v>0.76644322731998349</v>
      </c>
      <c r="X584" s="3300"/>
      <c r="Y584" s="3316"/>
      <c r="AA584" s="3301"/>
      <c r="AB584" s="3409"/>
      <c r="AE584" s="1056"/>
    </row>
    <row r="585" spans="2:31" x14ac:dyDescent="0.2">
      <c r="B585" s="2978" t="s">
        <v>626</v>
      </c>
      <c r="C585" s="1211">
        <v>43683</v>
      </c>
      <c r="D585" s="1089"/>
      <c r="E585" s="1205"/>
      <c r="F585" s="2702"/>
      <c r="G585" s="1357"/>
      <c r="H585" s="1358" t="str">
        <f>IFERROR(VLOOKUP(F585,Trainingsarten!$A$9:$K$84,10,FALSE),"")</f>
        <v/>
      </c>
      <c r="I585" s="1369" t="str">
        <f t="shared" si="107"/>
        <v/>
      </c>
      <c r="J585" s="1306"/>
      <c r="K585" s="1305" t="str">
        <f>IFERROR(VLOOKUP(F585,Trainingsarten!$A$9:$K$84,11,FALSE),"0")</f>
        <v>0</v>
      </c>
      <c r="L585" s="2806"/>
      <c r="M585" s="2829"/>
      <c r="N585" s="1208" t="str">
        <f t="shared" si="103"/>
        <v/>
      </c>
      <c r="O585" s="1670"/>
      <c r="P585" s="1136" t="str">
        <f>IFERROR(VLOOKUP(F585,Trainingsarten!$A$9:$N$84,12,FALSE),"")</f>
        <v/>
      </c>
      <c r="Q585" s="1137" t="s">
        <v>437</v>
      </c>
      <c r="R585" s="1086" t="str">
        <f>IFERROR(VLOOKUP(F585,Trainingsarten!$A$9:$N$84,14,FALSE),"")</f>
        <v/>
      </c>
      <c r="S585" s="1087" t="str">
        <f t="shared" si="100"/>
        <v/>
      </c>
      <c r="T585" s="1232">
        <f t="shared" si="106"/>
        <v>13.155283898001649</v>
      </c>
      <c r="U585" s="1239">
        <f t="shared" si="104"/>
        <v>19.54796666936684</v>
      </c>
      <c r="V585" s="1210">
        <f t="shared" si="105"/>
        <v>4.6769151298941871</v>
      </c>
      <c r="W585" s="3284">
        <f t="shared" si="102"/>
        <v>0.67297454106144894</v>
      </c>
      <c r="X585" s="3300"/>
      <c r="Y585" s="3316"/>
      <c r="AA585" s="3301"/>
      <c r="AB585" s="3409"/>
      <c r="AE585" s="1056"/>
    </row>
    <row r="586" spans="2:31" ht="16" thickBot="1" x14ac:dyDescent="0.25">
      <c r="B586" s="2979">
        <f>SUM(H584:H590)</f>
        <v>23.65</v>
      </c>
      <c r="C586" s="1211">
        <v>43684</v>
      </c>
      <c r="D586" s="1089"/>
      <c r="E586" s="1205"/>
      <c r="F586" s="2702"/>
      <c r="G586" s="1357"/>
      <c r="H586" s="1358" t="str">
        <f>IFERROR(VLOOKUP(F586,Trainingsarten!$A$9:$K$84,10,FALSE),"")</f>
        <v/>
      </c>
      <c r="I586" s="1369" t="str">
        <f t="shared" si="107"/>
        <v/>
      </c>
      <c r="J586" s="1306"/>
      <c r="K586" s="1305" t="str">
        <f>IFERROR(VLOOKUP(F586,Trainingsarten!$A$9:$K$84,11,FALSE),"0")</f>
        <v>0</v>
      </c>
      <c r="L586" s="2806"/>
      <c r="M586" s="2829"/>
      <c r="N586" s="1208" t="str">
        <f t="shared" si="103"/>
        <v/>
      </c>
      <c r="O586" s="1670"/>
      <c r="P586" s="1136" t="str">
        <f>IFERROR(VLOOKUP(F586,Trainingsarten!$A$9:$N$84,12,FALSE),"")</f>
        <v/>
      </c>
      <c r="Q586" s="1137" t="s">
        <v>437</v>
      </c>
      <c r="R586" s="1086" t="str">
        <f>IFERROR(VLOOKUP(F586,Trainingsarten!$A$9:$N$84,14,FALSE),"")</f>
        <v/>
      </c>
      <c r="S586" s="1087" t="str">
        <f t="shared" si="100"/>
        <v/>
      </c>
      <c r="T586" s="1232">
        <f t="shared" si="106"/>
        <v>11.275957626858556</v>
      </c>
      <c r="U586" s="1239">
        <f t="shared" si="104"/>
        <v>19.082538891524774</v>
      </c>
      <c r="V586" s="1210">
        <f t="shared" si="105"/>
        <v>6.392682771365191</v>
      </c>
      <c r="W586" s="3284">
        <f t="shared" si="102"/>
        <v>0.59090447507834531</v>
      </c>
      <c r="X586" s="3300"/>
      <c r="Y586" s="3316"/>
      <c r="AA586" s="3301"/>
      <c r="AB586" s="3409"/>
      <c r="AE586" s="1056"/>
    </row>
    <row r="587" spans="2:31" x14ac:dyDescent="0.2">
      <c r="B587" s="2980" t="s">
        <v>628</v>
      </c>
      <c r="C587" s="1211">
        <v>43685</v>
      </c>
      <c r="D587" s="1089" t="s">
        <v>608</v>
      </c>
      <c r="E587" s="1205"/>
      <c r="F587" s="2705" t="s">
        <v>640</v>
      </c>
      <c r="G587" s="1357">
        <v>4.4062500000000004E-2</v>
      </c>
      <c r="H587" s="1358">
        <v>11.46</v>
      </c>
      <c r="I587" s="1369">
        <f t="shared" si="107"/>
        <v>3.8448952879581153E-3</v>
      </c>
      <c r="J587" s="1306">
        <v>148</v>
      </c>
      <c r="K587" s="1305">
        <v>64</v>
      </c>
      <c r="L587" s="2806">
        <v>216</v>
      </c>
      <c r="M587" s="2829"/>
      <c r="N587" s="1208">
        <f t="shared" si="103"/>
        <v>1.0709697585371574</v>
      </c>
      <c r="O587" s="1670" t="s">
        <v>750</v>
      </c>
      <c r="P587" s="1136" t="str">
        <f>IFERROR(VLOOKUP(F587,Trainingsarten!$A$9:$N$84,12,FALSE),"")</f>
        <v/>
      </c>
      <c r="Q587" s="1137" t="s">
        <v>437</v>
      </c>
      <c r="R587" s="1086" t="str">
        <f>IFERROR(VLOOKUP(F587,Trainingsarten!$A$9:$N$84,14,FALSE),"")</f>
        <v/>
      </c>
      <c r="S587" s="1087">
        <f t="shared" ref="S587:S650" si="108">IFERROR(L587/J587,"")</f>
        <v>1.4594594594594594</v>
      </c>
      <c r="T587" s="1232">
        <f t="shared" si="106"/>
        <v>18.807963680164477</v>
      </c>
      <c r="U587" s="1239">
        <f t="shared" si="104"/>
        <v>20.152002251250373</v>
      </c>
      <c r="V587" s="1210">
        <f t="shared" si="105"/>
        <v>7.8065812646662174</v>
      </c>
      <c r="W587" s="3284">
        <f t="shared" si="102"/>
        <v>0.93330496124758511</v>
      </c>
      <c r="X587" s="3300"/>
      <c r="Y587" s="3316"/>
      <c r="AA587" s="3301"/>
      <c r="AB587" s="3409"/>
      <c r="AE587" s="1056"/>
    </row>
    <row r="588" spans="2:31" ht="16" thickBot="1" x14ac:dyDescent="0.25">
      <c r="B588" s="2981">
        <f>SUM(K584:K590)</f>
        <v>131</v>
      </c>
      <c r="C588" s="1211">
        <v>43686</v>
      </c>
      <c r="D588" s="1089"/>
      <c r="E588" s="1205"/>
      <c r="F588" s="2702"/>
      <c r="G588" s="1357"/>
      <c r="H588" s="1358" t="str">
        <f>IFERROR(VLOOKUP(F588,Trainingsarten!$A$9:$K$84,10,FALSE),"")</f>
        <v/>
      </c>
      <c r="I588" s="1369" t="str">
        <f t="shared" si="107"/>
        <v/>
      </c>
      <c r="J588" s="1306"/>
      <c r="K588" s="1305" t="str">
        <f>IFERROR(VLOOKUP(F588,Trainingsarten!$A$9:$K$84,11,FALSE),"0")</f>
        <v>0</v>
      </c>
      <c r="L588" s="2806"/>
      <c r="M588" s="2829"/>
      <c r="N588" s="1208" t="str">
        <f t="shared" si="103"/>
        <v/>
      </c>
      <c r="O588" s="1670"/>
      <c r="P588" s="1136" t="str">
        <f>IFERROR(VLOOKUP(F588,Trainingsarten!$A$9:$N$84,12,FALSE),"")</f>
        <v/>
      </c>
      <c r="Q588" s="1137" t="s">
        <v>437</v>
      </c>
      <c r="R588" s="1086" t="str">
        <f>IFERROR(VLOOKUP(F588,Trainingsarten!$A$9:$N$84,14,FALSE),"")</f>
        <v/>
      </c>
      <c r="S588" s="1087" t="str">
        <f t="shared" si="108"/>
        <v/>
      </c>
      <c r="T588" s="1232">
        <f t="shared" si="106"/>
        <v>16.121111725855265</v>
      </c>
      <c r="U588" s="1239">
        <f t="shared" si="104"/>
        <v>19.67219267383965</v>
      </c>
      <c r="V588" s="1210">
        <f t="shared" si="105"/>
        <v>1.3440385710858962</v>
      </c>
      <c r="W588" s="3284">
        <f t="shared" si="102"/>
        <v>0.81948728304666008</v>
      </c>
      <c r="X588" s="3300"/>
      <c r="Y588" s="3316"/>
      <c r="AA588" s="3301"/>
      <c r="AB588" s="3409"/>
      <c r="AE588" s="1056"/>
    </row>
    <row r="589" spans="2:31" x14ac:dyDescent="0.2">
      <c r="B589" s="2982" t="s">
        <v>761</v>
      </c>
      <c r="C589" s="1211">
        <v>43687</v>
      </c>
      <c r="D589" s="1089"/>
      <c r="E589" s="1205"/>
      <c r="F589" s="2702"/>
      <c r="G589" s="1357"/>
      <c r="H589" s="1358" t="str">
        <f>IFERROR(VLOOKUP(F589,Trainingsarten!$A$9:$K$84,10,FALSE),"")</f>
        <v/>
      </c>
      <c r="I589" s="1369" t="str">
        <f t="shared" si="107"/>
        <v/>
      </c>
      <c r="J589" s="1306"/>
      <c r="K589" s="1305" t="str">
        <f>IFERROR(VLOOKUP(F589,Trainingsarten!$A$9:$K$84,11,FALSE),"0")</f>
        <v>0</v>
      </c>
      <c r="L589" s="2806"/>
      <c r="M589" s="2829"/>
      <c r="N589" s="1208" t="str">
        <f t="shared" si="103"/>
        <v/>
      </c>
      <c r="O589" s="1670"/>
      <c r="P589" s="1136" t="str">
        <f>IFERROR(VLOOKUP(F589,Trainingsarten!$A$9:$N$84,12,FALSE),"")</f>
        <v/>
      </c>
      <c r="Q589" s="1137" t="s">
        <v>437</v>
      </c>
      <c r="R589" s="1086" t="str">
        <f>IFERROR(VLOOKUP(F589,Trainingsarten!$A$9:$N$84,14,FALSE),"")</f>
        <v/>
      </c>
      <c r="S589" s="1087" t="str">
        <f t="shared" si="108"/>
        <v/>
      </c>
      <c r="T589" s="1232">
        <f t="shared" si="106"/>
        <v>13.818095765018798</v>
      </c>
      <c r="U589" s="1239">
        <f t="shared" si="104"/>
        <v>19.203807133986324</v>
      </c>
      <c r="V589" s="1210">
        <f t="shared" si="105"/>
        <v>3.551080947984385</v>
      </c>
      <c r="W589" s="3284">
        <f t="shared" si="102"/>
        <v>0.71954980950438441</v>
      </c>
      <c r="X589" s="3300"/>
      <c r="Y589" s="3316"/>
      <c r="AA589" s="3301"/>
      <c r="AB589" s="3409"/>
      <c r="AE589" s="1056"/>
    </row>
    <row r="590" spans="2:31" ht="16" thickBot="1" x14ac:dyDescent="0.25">
      <c r="B590" s="2983">
        <f>AVERAGE(W584:W590)</f>
        <v>0.79363530768265789</v>
      </c>
      <c r="C590" s="1260">
        <v>43688</v>
      </c>
      <c r="D590" s="1108" t="s">
        <v>609</v>
      </c>
      <c r="E590" s="1261"/>
      <c r="F590" s="2703" t="s">
        <v>640</v>
      </c>
      <c r="G590" s="1361">
        <v>4.7060185185185184E-2</v>
      </c>
      <c r="H590" s="1362">
        <v>12.19</v>
      </c>
      <c r="I590" s="1370">
        <f t="shared" si="107"/>
        <v>3.8605566189651506E-3</v>
      </c>
      <c r="J590" s="1317">
        <v>147</v>
      </c>
      <c r="K590" s="1316">
        <v>67</v>
      </c>
      <c r="L590" s="2807">
        <v>215</v>
      </c>
      <c r="M590" s="2830"/>
      <c r="N590" s="1223">
        <f t="shared" si="103"/>
        <v>1.0703537276700992</v>
      </c>
      <c r="O590" s="1671" t="s">
        <v>750</v>
      </c>
      <c r="P590" s="1225" t="str">
        <f>IFERROR(VLOOKUP(F590,Trainingsarten!$A$9:$N$84,12,FALSE),"")</f>
        <v/>
      </c>
      <c r="Q590" s="1226" t="s">
        <v>437</v>
      </c>
      <c r="R590" s="1105" t="str">
        <f>IFERROR(VLOOKUP(F590,Trainingsarten!$A$9:$N$84,14,FALSE),"")</f>
        <v/>
      </c>
      <c r="S590" s="1106">
        <f t="shared" si="108"/>
        <v>1.4625850340136055</v>
      </c>
      <c r="T590" s="1215">
        <f t="shared" si="106"/>
        <v>21.415510655730397</v>
      </c>
      <c r="U590" s="1227">
        <f t="shared" si="104"/>
        <v>20.341811726034269</v>
      </c>
      <c r="V590" s="1227">
        <f t="shared" si="105"/>
        <v>5.3857113689675256</v>
      </c>
      <c r="W590" s="3287">
        <f t="shared" si="102"/>
        <v>1.0527828565201971</v>
      </c>
      <c r="X590" s="3300"/>
      <c r="Y590" s="3316"/>
      <c r="AA590" s="3301"/>
      <c r="AB590" s="3409"/>
      <c r="AE590" s="1056"/>
    </row>
    <row r="591" spans="2:31" ht="16" thickBot="1" x14ac:dyDescent="0.25">
      <c r="B591" s="2977">
        <f>B584+1</f>
        <v>33</v>
      </c>
      <c r="C591" s="1245">
        <v>43689</v>
      </c>
      <c r="D591" s="1111"/>
      <c r="E591" s="1112"/>
      <c r="F591" s="2704"/>
      <c r="G591" s="1647"/>
      <c r="H591" s="1648" t="str">
        <f>IFERROR(VLOOKUP(F591,Trainingsarten!$A$9:$K$84,10,FALSE),"")</f>
        <v/>
      </c>
      <c r="I591" s="1230" t="str">
        <f t="shared" si="107"/>
        <v/>
      </c>
      <c r="J591" s="1324"/>
      <c r="K591" s="1325" t="str">
        <f>IFERROR(VLOOKUP(F591,Trainingsarten!$A$9:$K$84,11,FALSE),"0")</f>
        <v>0</v>
      </c>
      <c r="L591" s="1326"/>
      <c r="M591" s="2831"/>
      <c r="N591" s="1119" t="str">
        <f t="shared" si="103"/>
        <v/>
      </c>
      <c r="O591" s="1649"/>
      <c r="P591" s="1277" t="str">
        <f>IFERROR(VLOOKUP(F591,Trainingsarten!$A$9:$N$84,12,FALSE),"")</f>
        <v/>
      </c>
      <c r="Q591" s="1122" t="s">
        <v>437</v>
      </c>
      <c r="R591" s="1122" t="str">
        <f>IFERROR(VLOOKUP(F591,Trainingsarten!$A$9:$N$84,14,FALSE),"")</f>
        <v/>
      </c>
      <c r="S591" s="1070" t="str">
        <f t="shared" si="108"/>
        <v/>
      </c>
      <c r="T591" s="1650">
        <f t="shared" si="106"/>
        <v>18.356151990626056</v>
      </c>
      <c r="U591" s="1651">
        <f t="shared" si="104"/>
        <v>19.857482875414405</v>
      </c>
      <c r="V591" s="1278">
        <f t="shared" si="105"/>
        <v>-1.0736989296961283</v>
      </c>
      <c r="W591" s="3283">
        <f t="shared" si="102"/>
        <v>0.9243947032860268</v>
      </c>
      <c r="X591" s="3300"/>
      <c r="Y591" s="3316"/>
      <c r="AA591" s="3301"/>
      <c r="AB591" s="3409"/>
      <c r="AE591" s="1056"/>
    </row>
    <row r="592" spans="2:31" x14ac:dyDescent="0.2">
      <c r="B592" s="2978" t="s">
        <v>626</v>
      </c>
      <c r="C592" s="1698">
        <v>43690</v>
      </c>
      <c r="D592" s="1699" t="s">
        <v>610</v>
      </c>
      <c r="E592" s="1700"/>
      <c r="F592" s="2699" t="s">
        <v>646</v>
      </c>
      <c r="G592" s="1749">
        <v>3.0752314814814816E-2</v>
      </c>
      <c r="H592" s="1778">
        <v>8.86</v>
      </c>
      <c r="I592" s="1751">
        <f t="shared" si="107"/>
        <v>3.4709158933199568E-3</v>
      </c>
      <c r="J592" s="1752">
        <v>145</v>
      </c>
      <c r="K592" s="1753">
        <v>53</v>
      </c>
      <c r="L592" s="2806">
        <v>234</v>
      </c>
      <c r="M592" s="2829"/>
      <c r="N592" s="1706">
        <f t="shared" si="103"/>
        <v>1.0473670024594859</v>
      </c>
      <c r="O592" s="1754" t="s">
        <v>667</v>
      </c>
      <c r="P592" s="1755" t="str">
        <f>IFERROR(VLOOKUP(F592,Trainingsarten!$A$9:$N$84,12,FALSE),"")</f>
        <v/>
      </c>
      <c r="Q592" s="1756" t="s">
        <v>437</v>
      </c>
      <c r="R592" s="1086" t="str">
        <f>IFERROR(VLOOKUP(F592,Trainingsarten!$A$9:$N$84,14,FALSE),"")</f>
        <v/>
      </c>
      <c r="S592" s="1087">
        <f t="shared" si="108"/>
        <v>1.6137931034482758</v>
      </c>
      <c r="T592" s="1757">
        <f t="shared" si="106"/>
        <v>23.305273134822333</v>
      </c>
      <c r="U592" s="1758">
        <f t="shared" si="104"/>
        <v>20.646590425999776</v>
      </c>
      <c r="V592" s="1088">
        <f t="shared" si="105"/>
        <v>1.5013308847883486</v>
      </c>
      <c r="W592" s="3284">
        <f t="shared" si="102"/>
        <v>1.12877102969382</v>
      </c>
      <c r="X592" s="3300"/>
      <c r="Y592" s="3316"/>
      <c r="AA592" s="3301"/>
      <c r="AB592" s="3409"/>
      <c r="AE592" s="1056"/>
    </row>
    <row r="593" spans="2:31" ht="16" thickBot="1" x14ac:dyDescent="0.25">
      <c r="B593" s="2979">
        <f>SUM(H591:H597)</f>
        <v>40.489999999999995</v>
      </c>
      <c r="C593" s="1211">
        <v>43691</v>
      </c>
      <c r="D593" s="1699" t="s">
        <v>611</v>
      </c>
      <c r="E593" s="1700"/>
      <c r="F593" s="2699" t="s">
        <v>760</v>
      </c>
      <c r="G593" s="1749">
        <v>3.3148148148148149E-2</v>
      </c>
      <c r="H593" s="1778">
        <v>8.2799999999999994</v>
      </c>
      <c r="I593" s="1751">
        <f t="shared" si="107"/>
        <v>4.0033995348005011E-3</v>
      </c>
      <c r="J593" s="1752">
        <v>127</v>
      </c>
      <c r="K593" s="1753">
        <v>44</v>
      </c>
      <c r="L593" s="2806">
        <v>206</v>
      </c>
      <c r="M593" s="2829"/>
      <c r="N593" s="1706">
        <f t="shared" si="103"/>
        <v>1.063494123584974</v>
      </c>
      <c r="O593" s="1754" t="s">
        <v>667</v>
      </c>
      <c r="P593" s="1755" t="str">
        <f>IFERROR(VLOOKUP(F593,Trainingsarten!$A$9:$N$84,12,FALSE),"")</f>
        <v/>
      </c>
      <c r="Q593" s="1756" t="s">
        <v>437</v>
      </c>
      <c r="R593" s="1086" t="str">
        <f>IFERROR(VLOOKUP(F593,Trainingsarten!$A$9:$N$84,14,FALSE),"")</f>
        <v/>
      </c>
      <c r="S593" s="1087">
        <f t="shared" si="108"/>
        <v>1.6220472440944882</v>
      </c>
      <c r="T593" s="1757">
        <f t="shared" si="106"/>
        <v>26.261662686990572</v>
      </c>
      <c r="U593" s="1758">
        <f t="shared" si="104"/>
        <v>21.202623987285495</v>
      </c>
      <c r="V593" s="1088">
        <f t="shared" si="105"/>
        <v>-2.6586827088225569</v>
      </c>
      <c r="W593" s="3284">
        <f t="shared" si="102"/>
        <v>1.2386043681545649</v>
      </c>
      <c r="X593" s="3300"/>
      <c r="Y593" s="3316"/>
      <c r="AA593" s="3301"/>
      <c r="AB593" s="3409"/>
      <c r="AE593" s="1056"/>
    </row>
    <row r="594" spans="2:31" x14ac:dyDescent="0.2">
      <c r="B594" s="2980" t="s">
        <v>628</v>
      </c>
      <c r="C594" s="1211">
        <v>43692</v>
      </c>
      <c r="D594" s="1699"/>
      <c r="E594" s="1700"/>
      <c r="F594" s="2699"/>
      <c r="G594" s="1749"/>
      <c r="H594" s="1778" t="str">
        <f>IFERROR(VLOOKUP(F594,Trainingsarten!$A$9:$K$84,10,FALSE),"")</f>
        <v/>
      </c>
      <c r="I594" s="1751" t="str">
        <f t="shared" si="107"/>
        <v/>
      </c>
      <c r="J594" s="1752"/>
      <c r="K594" s="1753" t="str">
        <f>IFERROR(VLOOKUP(F594,Trainingsarten!$A$9:$K$84,11,FALSE),"0")</f>
        <v>0</v>
      </c>
      <c r="L594" s="2806"/>
      <c r="M594" s="2829"/>
      <c r="N594" s="1706" t="str">
        <f t="shared" si="103"/>
        <v/>
      </c>
      <c r="O594" s="1754"/>
      <c r="P594" s="1755" t="str">
        <f>IFERROR(VLOOKUP(F594,Trainingsarten!$A$9:$N$84,12,FALSE),"")</f>
        <v/>
      </c>
      <c r="Q594" s="1756" t="s">
        <v>437</v>
      </c>
      <c r="R594" s="1086" t="str">
        <f>IFERROR(VLOOKUP(F594,Trainingsarten!$A$9:$N$84,14,FALSE),"")</f>
        <v/>
      </c>
      <c r="S594" s="1087" t="str">
        <f t="shared" si="108"/>
        <v/>
      </c>
      <c r="T594" s="1757">
        <f t="shared" si="106"/>
        <v>22.509996588849063</v>
      </c>
      <c r="U594" s="1758">
        <f t="shared" si="104"/>
        <v>20.69779960663584</v>
      </c>
      <c r="V594" s="1088">
        <f t="shared" si="105"/>
        <v>-5.0590386997050771</v>
      </c>
      <c r="W594" s="3284">
        <f t="shared" si="102"/>
        <v>1.0875550549649839</v>
      </c>
      <c r="X594" s="3300"/>
      <c r="Y594" s="3316"/>
      <c r="AA594" s="3301"/>
      <c r="AB594" s="3409"/>
      <c r="AE594" s="1056"/>
    </row>
    <row r="595" spans="2:31" ht="16" thickBot="1" x14ac:dyDescent="0.25">
      <c r="B595" s="2981">
        <f>SUM(K591:K597)</f>
        <v>229</v>
      </c>
      <c r="C595" s="1211">
        <v>43693</v>
      </c>
      <c r="D595" s="1699" t="s">
        <v>612</v>
      </c>
      <c r="E595" s="1700"/>
      <c r="F595" s="2699" t="s">
        <v>665</v>
      </c>
      <c r="G595" s="1749">
        <v>4.3506944444444445E-2</v>
      </c>
      <c r="H595" s="1778">
        <v>11.26</v>
      </c>
      <c r="I595" s="1751">
        <f t="shared" si="107"/>
        <v>3.8638494178014605E-3</v>
      </c>
      <c r="J595" s="1752">
        <v>140</v>
      </c>
      <c r="K595" s="1753">
        <v>63</v>
      </c>
      <c r="L595" s="2806">
        <v>216</v>
      </c>
      <c r="M595" s="2829"/>
      <c r="N595" s="1706">
        <f t="shared" si="103"/>
        <v>1.0762493041011638</v>
      </c>
      <c r="O595" s="1754" t="s">
        <v>751</v>
      </c>
      <c r="P595" s="1755" t="str">
        <f>IFERROR(VLOOKUP(F595,Trainingsarten!$A$9:$N$84,12,FALSE),"")</f>
        <v/>
      </c>
      <c r="Q595" s="1756" t="s">
        <v>437</v>
      </c>
      <c r="R595" s="1086" t="str">
        <f>IFERROR(VLOOKUP(F595,Trainingsarten!$A$9:$N$84,14,FALSE),"")</f>
        <v/>
      </c>
      <c r="S595" s="1087">
        <f t="shared" si="108"/>
        <v>1.5428571428571429</v>
      </c>
      <c r="T595" s="1757">
        <f t="shared" si="106"/>
        <v>28.294282790442054</v>
      </c>
      <c r="U595" s="1758">
        <f t="shared" si="104"/>
        <v>21.704994854096892</v>
      </c>
      <c r="V595" s="1088">
        <f t="shared" si="105"/>
        <v>-1.8121969822132229</v>
      </c>
      <c r="W595" s="3284">
        <f t="shared" si="102"/>
        <v>1.30358394372535</v>
      </c>
      <c r="X595" s="3300"/>
      <c r="Y595" s="3316"/>
      <c r="AA595" s="3301"/>
      <c r="AB595" s="3409"/>
      <c r="AE595" s="1056"/>
    </row>
    <row r="596" spans="2:31" x14ac:dyDescent="0.2">
      <c r="B596" s="2982" t="s">
        <v>761</v>
      </c>
      <c r="C596" s="1211">
        <v>43694</v>
      </c>
      <c r="D596" s="1699"/>
      <c r="E596" s="1700"/>
      <c r="F596" s="2699"/>
      <c r="G596" s="1749"/>
      <c r="H596" s="1778" t="str">
        <f>IFERROR(VLOOKUP(F596,Trainingsarten!$A$9:$K$84,10,FALSE),"")</f>
        <v/>
      </c>
      <c r="I596" s="1751" t="str">
        <f t="shared" si="107"/>
        <v/>
      </c>
      <c r="J596" s="1752"/>
      <c r="K596" s="1753" t="str">
        <f>IFERROR(VLOOKUP(F596,Trainingsarten!$A$9:$K$84,11,FALSE),"0")</f>
        <v>0</v>
      </c>
      <c r="L596" s="2806"/>
      <c r="M596" s="2829"/>
      <c r="N596" s="1706" t="str">
        <f t="shared" si="103"/>
        <v/>
      </c>
      <c r="O596" s="1754"/>
      <c r="P596" s="1755" t="str">
        <f>IFERROR(VLOOKUP(F596,Trainingsarten!$A$9:$N$84,12,FALSE),"")</f>
        <v/>
      </c>
      <c r="Q596" s="1756" t="s">
        <v>437</v>
      </c>
      <c r="R596" s="1086" t="str">
        <f>IFERROR(VLOOKUP(F596,Trainingsarten!$A$9:$N$84,14,FALSE),"")</f>
        <v/>
      </c>
      <c r="S596" s="1087" t="str">
        <f t="shared" si="108"/>
        <v/>
      </c>
      <c r="T596" s="1757">
        <f t="shared" si="106"/>
        <v>24.252242391807474</v>
      </c>
      <c r="U596" s="1758">
        <f t="shared" si="104"/>
        <v>21.188209262332681</v>
      </c>
      <c r="V596" s="1088">
        <f t="shared" si="105"/>
        <v>-6.589287936345162</v>
      </c>
      <c r="W596" s="3284">
        <f t="shared" si="102"/>
        <v>1.1446102920515269</v>
      </c>
      <c r="X596" s="3300"/>
      <c r="Y596" s="3316"/>
      <c r="AA596" s="3301"/>
      <c r="AB596" s="3409"/>
      <c r="AE596" s="1056"/>
    </row>
    <row r="597" spans="2:31" ht="16" thickBot="1" x14ac:dyDescent="0.25">
      <c r="B597" s="2983">
        <f>AVERAGE(W591:W597)</f>
        <v>1.1714412015735329</v>
      </c>
      <c r="C597" s="1740">
        <v>43695</v>
      </c>
      <c r="D597" s="1722" t="s">
        <v>613</v>
      </c>
      <c r="E597" s="1741"/>
      <c r="F597" s="2700" t="s">
        <v>665</v>
      </c>
      <c r="G597" s="1713">
        <v>4.611111111111111E-2</v>
      </c>
      <c r="H597" s="1724">
        <v>12.09</v>
      </c>
      <c r="I597" s="1725">
        <f t="shared" si="107"/>
        <v>3.813987684955427E-3</v>
      </c>
      <c r="J597" s="1726">
        <v>145</v>
      </c>
      <c r="K597" s="1717">
        <v>69</v>
      </c>
      <c r="L597" s="2808">
        <v>218</v>
      </c>
      <c r="M597" s="2832"/>
      <c r="N597" s="1718">
        <f t="shared" si="103"/>
        <v>1.0721973260249622</v>
      </c>
      <c r="O597" s="1719" t="s">
        <v>750</v>
      </c>
      <c r="P597" s="1720" t="str">
        <f>IFERROR(VLOOKUP(F597,Trainingsarten!$A$9:$N$84,12,FALSE),"")</f>
        <v/>
      </c>
      <c r="Q597" s="1721" t="s">
        <v>437</v>
      </c>
      <c r="R597" s="1151" t="str">
        <f>IFERROR(VLOOKUP(F597,Trainingsarten!$A$9:$N$84,14,FALSE),"")</f>
        <v/>
      </c>
      <c r="S597" s="1106">
        <f t="shared" si="108"/>
        <v>1.5034482758620689</v>
      </c>
      <c r="T597" s="1722">
        <f t="shared" si="106"/>
        <v>30.644779192977836</v>
      </c>
      <c r="U597" s="1723">
        <f t="shared" si="104"/>
        <v>22.326585232277139</v>
      </c>
      <c r="V597" s="1152">
        <f t="shared" si="105"/>
        <v>-3.0640331294747938</v>
      </c>
      <c r="W597" s="3285">
        <f t="shared" si="102"/>
        <v>1.372569019138459</v>
      </c>
      <c r="X597" s="3300"/>
      <c r="Y597" s="3316"/>
      <c r="AA597" s="3301"/>
      <c r="AB597" s="3409"/>
      <c r="AE597" s="1056"/>
    </row>
    <row r="598" spans="2:31" ht="16" thickBot="1" x14ac:dyDescent="0.25">
      <c r="B598" s="2977">
        <f>B591+1</f>
        <v>34</v>
      </c>
      <c r="C598" s="1190">
        <v>43696</v>
      </c>
      <c r="D598" s="1203"/>
      <c r="E598" s="1779"/>
      <c r="F598" s="2701"/>
      <c r="G598" s="1349"/>
      <c r="H598" s="1697" t="str">
        <f>IFERROR(VLOOKUP(F598,Trainingsarten!$A$9:$K$84,10,FALSE),"")</f>
        <v/>
      </c>
      <c r="I598" s="1368" t="str">
        <f t="shared" si="107"/>
        <v/>
      </c>
      <c r="J598" s="1354"/>
      <c r="K598" s="1353" t="str">
        <f>IFERROR(VLOOKUP(F598,Trainingsarten!$A$9:$K$84,11,FALSE),"0")</f>
        <v>0</v>
      </c>
      <c r="L598" s="1915"/>
      <c r="M598" s="2833"/>
      <c r="N598" s="1199" t="str">
        <f t="shared" si="103"/>
        <v/>
      </c>
      <c r="O598" s="1780"/>
      <c r="P598" s="1201" t="str">
        <f>IFERROR(VLOOKUP(F598,Trainingsarten!$A$9:$N$84,12,FALSE),"")</f>
        <v/>
      </c>
      <c r="Q598" s="1202" t="s">
        <v>437</v>
      </c>
      <c r="R598" s="1069" t="str">
        <f>IFERROR(VLOOKUP(F598,Trainingsarten!$A$9:$N$84,14,FALSE),"")</f>
        <v/>
      </c>
      <c r="S598" s="1070" t="str">
        <f t="shared" si="108"/>
        <v/>
      </c>
      <c r="T598" s="1669">
        <f t="shared" si="106"/>
        <v>26.266953593981</v>
      </c>
      <c r="U598" s="1055">
        <f t="shared" si="104"/>
        <v>21.794999869603874</v>
      </c>
      <c r="V598" s="1203">
        <f t="shared" si="105"/>
        <v>-8.3181939607006967</v>
      </c>
      <c r="W598" s="3286">
        <f t="shared" si="102"/>
        <v>1.2051825533898664</v>
      </c>
      <c r="X598" s="3300"/>
      <c r="Y598" s="3316"/>
      <c r="AA598" s="3301"/>
      <c r="AB598" s="3409"/>
      <c r="AE598" s="1056"/>
    </row>
    <row r="599" spans="2:31" x14ac:dyDescent="0.2">
      <c r="B599" s="2978" t="s">
        <v>626</v>
      </c>
      <c r="C599" s="1211">
        <v>43697</v>
      </c>
      <c r="D599" s="1210" t="s">
        <v>614</v>
      </c>
      <c r="E599" s="1395"/>
      <c r="F599" s="2702" t="s">
        <v>639</v>
      </c>
      <c r="G599" s="1357">
        <v>4.0185185185185185E-2</v>
      </c>
      <c r="H599" s="1358">
        <v>9.99</v>
      </c>
      <c r="I599" s="1369">
        <f t="shared" si="107"/>
        <v>4.0225410595780969E-3</v>
      </c>
      <c r="J599" s="1306">
        <v>140</v>
      </c>
      <c r="K599" s="1305">
        <v>55</v>
      </c>
      <c r="L599" s="2806">
        <v>209</v>
      </c>
      <c r="M599" s="2829"/>
      <c r="N599" s="1208">
        <f t="shared" si="103"/>
        <v>1.0841408572751858</v>
      </c>
      <c r="O599" s="1781" t="s">
        <v>751</v>
      </c>
      <c r="P599" s="1136" t="str">
        <f>IFERROR(VLOOKUP(F599,Trainingsarten!$A$9:$N$84,12,FALSE),"")</f>
        <v/>
      </c>
      <c r="Q599" s="1137" t="s">
        <v>437</v>
      </c>
      <c r="R599" s="1086" t="str">
        <f>IFERROR(VLOOKUP(F599,Trainingsarten!$A$9:$N$84,14,FALSE),"")</f>
        <v/>
      </c>
      <c r="S599" s="1087">
        <f t="shared" si="108"/>
        <v>1.4928571428571429</v>
      </c>
      <c r="T599" s="1232">
        <f t="shared" si="106"/>
        <v>30.371674509126571</v>
      </c>
      <c r="U599" s="1239">
        <f t="shared" si="104"/>
        <v>22.585595110803784</v>
      </c>
      <c r="V599" s="1210">
        <f t="shared" si="105"/>
        <v>-4.4719537243771263</v>
      </c>
      <c r="W599" s="3284">
        <f t="shared" si="102"/>
        <v>1.3447365172413954</v>
      </c>
      <c r="X599" s="3300"/>
      <c r="Y599" s="3316"/>
      <c r="AA599" s="3301"/>
      <c r="AB599" s="3409"/>
      <c r="AE599" s="1056"/>
    </row>
    <row r="600" spans="2:31" ht="16" thickBot="1" x14ac:dyDescent="0.25">
      <c r="B600" s="2979">
        <f>SUM(H598:H604)</f>
        <v>43.45</v>
      </c>
      <c r="C600" s="1211">
        <v>43698</v>
      </c>
      <c r="D600" s="1210" t="s">
        <v>615</v>
      </c>
      <c r="E600" s="1395"/>
      <c r="F600" s="2702" t="s">
        <v>655</v>
      </c>
      <c r="G600" s="1357">
        <v>3.5289351851851856E-2</v>
      </c>
      <c r="H600" s="1358">
        <v>9.1199999999999992</v>
      </c>
      <c r="I600" s="1369">
        <f t="shared" si="107"/>
        <v>3.8694464749837567E-3</v>
      </c>
      <c r="J600" s="1306">
        <v>146</v>
      </c>
      <c r="K600" s="1305">
        <v>57</v>
      </c>
      <c r="L600" s="2806">
        <v>210</v>
      </c>
      <c r="M600" s="2829"/>
      <c r="N600" s="1208">
        <f t="shared" si="103"/>
        <v>1.0478692065985864</v>
      </c>
      <c r="O600" s="1781" t="s">
        <v>667</v>
      </c>
      <c r="P600" s="1136" t="str">
        <f>IFERROR(VLOOKUP(F600,Trainingsarten!$A$9:$N$84,12,FALSE),"")</f>
        <v/>
      </c>
      <c r="Q600" s="1137" t="s">
        <v>437</v>
      </c>
      <c r="R600" s="1086" t="str">
        <f>IFERROR(VLOOKUP(F600,Trainingsarten!$A$9:$N$84,14,FALSE),"")</f>
        <v/>
      </c>
      <c r="S600" s="1087">
        <f t="shared" si="108"/>
        <v>1.4383561643835616</v>
      </c>
      <c r="T600" s="1232">
        <f t="shared" si="106"/>
        <v>34.175721007822773</v>
      </c>
      <c r="U600" s="1239">
        <f t="shared" si="104"/>
        <v>23.404985703403693</v>
      </c>
      <c r="V600" s="1210">
        <f t="shared" si="105"/>
        <v>-7.7860793983227872</v>
      </c>
      <c r="W600" s="3284">
        <f t="shared" si="102"/>
        <v>1.4601897835320077</v>
      </c>
      <c r="X600" s="3300"/>
      <c r="Y600" s="3316"/>
      <c r="AA600" s="3301"/>
      <c r="AB600" s="3409"/>
      <c r="AE600" s="1056"/>
    </row>
    <row r="601" spans="2:31" x14ac:dyDescent="0.2">
      <c r="B601" s="2980" t="s">
        <v>628</v>
      </c>
      <c r="C601" s="1211">
        <v>43699</v>
      </c>
      <c r="D601" s="1210"/>
      <c r="E601" s="1395"/>
      <c r="F601" s="2702"/>
      <c r="G601" s="1357"/>
      <c r="H601" s="1358" t="str">
        <f>IFERROR(VLOOKUP(F601,Trainingsarten!$A$9:$K$84,10,FALSE),"")</f>
        <v/>
      </c>
      <c r="I601" s="1369" t="str">
        <f t="shared" si="107"/>
        <v/>
      </c>
      <c r="J601" s="1306"/>
      <c r="K601" s="1305" t="str">
        <f>IFERROR(VLOOKUP(F601,Trainingsarten!$A$9:$K$84,11,FALSE),"0")</f>
        <v>0</v>
      </c>
      <c r="L601" s="2806"/>
      <c r="M601" s="2829"/>
      <c r="N601" s="1208" t="str">
        <f t="shared" si="103"/>
        <v/>
      </c>
      <c r="O601" s="1781"/>
      <c r="P601" s="1136" t="str">
        <f>IFERROR(VLOOKUP(F601,Trainingsarten!$A$9:$N$84,12,FALSE),"")</f>
        <v/>
      </c>
      <c r="Q601" s="1137" t="s">
        <v>437</v>
      </c>
      <c r="R601" s="1086" t="str">
        <f>IFERROR(VLOOKUP(F601,Trainingsarten!$A$9:$N$84,14,FALSE),"")</f>
        <v/>
      </c>
      <c r="S601" s="1087" t="str">
        <f t="shared" si="108"/>
        <v/>
      </c>
      <c r="T601" s="1232">
        <f t="shared" si="106"/>
        <v>29.293475149562376</v>
      </c>
      <c r="U601" s="1239">
        <f t="shared" si="104"/>
        <v>22.847724139036938</v>
      </c>
      <c r="V601" s="1210">
        <f t="shared" si="105"/>
        <v>-10.77073530441908</v>
      </c>
      <c r="W601" s="3284">
        <f t="shared" si="102"/>
        <v>1.2821178587110311</v>
      </c>
      <c r="X601" s="3300"/>
      <c r="Y601" s="3316"/>
      <c r="AA601" s="3301"/>
      <c r="AB601" s="3409"/>
      <c r="AE601" s="1056"/>
    </row>
    <row r="602" spans="2:31" ht="16" thickBot="1" x14ac:dyDescent="0.25">
      <c r="B602" s="2981">
        <f>SUM(K598:K604)</f>
        <v>247</v>
      </c>
      <c r="C602" s="1211">
        <v>43700</v>
      </c>
      <c r="D602" s="1210" t="s">
        <v>616</v>
      </c>
      <c r="E602" s="1395"/>
      <c r="F602" s="2702" t="s">
        <v>760</v>
      </c>
      <c r="G602" s="1357">
        <v>4.2453703703703709E-2</v>
      </c>
      <c r="H602" s="1358">
        <v>10.74</v>
      </c>
      <c r="I602" s="1369">
        <f t="shared" si="107"/>
        <v>3.9528588178495069E-3</v>
      </c>
      <c r="J602" s="1306">
        <v>142</v>
      </c>
      <c r="K602" s="1305">
        <v>61</v>
      </c>
      <c r="L602" s="2806">
        <v>211</v>
      </c>
      <c r="M602" s="2829"/>
      <c r="N602" s="1208">
        <f t="shared" si="103"/>
        <v>1.0755551849690097</v>
      </c>
      <c r="O602" s="1781" t="s">
        <v>750</v>
      </c>
      <c r="P602" s="1136" t="str">
        <f>IFERROR(VLOOKUP(F602,Trainingsarten!$A$9:$N$84,12,FALSE),"")</f>
        <v/>
      </c>
      <c r="Q602" s="1137" t="s">
        <v>437</v>
      </c>
      <c r="R602" s="1086" t="str">
        <f>IFERROR(VLOOKUP(F602,Trainingsarten!$A$9:$N$84,14,FALSE),"")</f>
        <v/>
      </c>
      <c r="S602" s="1087">
        <f t="shared" si="108"/>
        <v>1.4859154929577465</v>
      </c>
      <c r="T602" s="1232">
        <f t="shared" si="106"/>
        <v>33.82297869962489</v>
      </c>
      <c r="U602" s="1239">
        <f t="shared" si="104"/>
        <v>23.756111659536057</v>
      </c>
      <c r="V602" s="1210">
        <f t="shared" si="105"/>
        <v>-6.4457510105254379</v>
      </c>
      <c r="W602" s="3284">
        <f t="shared" si="102"/>
        <v>1.4237590386997463</v>
      </c>
      <c r="X602" s="3300"/>
      <c r="Y602" s="3316"/>
      <c r="AA602" s="3301"/>
      <c r="AB602" s="3409"/>
      <c r="AE602" s="1056"/>
    </row>
    <row r="603" spans="2:31" x14ac:dyDescent="0.2">
      <c r="B603" s="2982" t="s">
        <v>761</v>
      </c>
      <c r="C603" s="1211">
        <v>43701</v>
      </c>
      <c r="D603" s="1210"/>
      <c r="E603" s="1395"/>
      <c r="F603" s="2702"/>
      <c r="G603" s="1357"/>
      <c r="H603" s="1358" t="str">
        <f>IFERROR(VLOOKUP(F603,Trainingsarten!$A$9:$K$84,10,FALSE),"")</f>
        <v/>
      </c>
      <c r="I603" s="1369" t="str">
        <f t="shared" si="107"/>
        <v/>
      </c>
      <c r="J603" s="1306"/>
      <c r="K603" s="1305" t="str">
        <f>IFERROR(VLOOKUP(F603,Trainingsarten!$A$9:$K$84,11,FALSE),"0")</f>
        <v>0</v>
      </c>
      <c r="L603" s="2806"/>
      <c r="M603" s="2829"/>
      <c r="N603" s="1208" t="str">
        <f t="shared" si="103"/>
        <v/>
      </c>
      <c r="O603" s="1781"/>
      <c r="P603" s="1136" t="str">
        <f>IFERROR(VLOOKUP(F603,Trainingsarten!$A$9:$N$84,12,FALSE),"")</f>
        <v/>
      </c>
      <c r="Q603" s="1137" t="s">
        <v>437</v>
      </c>
      <c r="R603" s="1086" t="str">
        <f>IFERROR(VLOOKUP(F603,Trainingsarten!$A$9:$N$84,14,FALSE),"")</f>
        <v/>
      </c>
      <c r="S603" s="1087" t="str">
        <f t="shared" si="108"/>
        <v/>
      </c>
      <c r="T603" s="1232">
        <f t="shared" si="106"/>
        <v>28.991124599678479</v>
      </c>
      <c r="U603" s="1239">
        <f t="shared" si="104"/>
        <v>23.190489953356625</v>
      </c>
      <c r="V603" s="1210">
        <f t="shared" si="105"/>
        <v>-10.066867040088834</v>
      </c>
      <c r="W603" s="3284">
        <f t="shared" si="102"/>
        <v>1.2501298876388018</v>
      </c>
      <c r="X603" s="3300"/>
      <c r="Y603" s="3316"/>
      <c r="AA603" s="3301"/>
      <c r="AB603" s="3409"/>
      <c r="AE603" s="1056"/>
    </row>
    <row r="604" spans="2:31" ht="16" thickBot="1" x14ac:dyDescent="0.25">
      <c r="B604" s="2983">
        <f>AVERAGE(W598:W604)</f>
        <v>1.3453971713134931</v>
      </c>
      <c r="C604" s="1260">
        <v>43702</v>
      </c>
      <c r="D604" s="1107" t="s">
        <v>617</v>
      </c>
      <c r="E604" s="1397"/>
      <c r="F604" s="2703" t="s">
        <v>641</v>
      </c>
      <c r="G604" s="1361">
        <v>5.3391203703703705E-2</v>
      </c>
      <c r="H604" s="1362">
        <v>13.6</v>
      </c>
      <c r="I604" s="1370">
        <f t="shared" si="107"/>
        <v>3.9258238017429196E-3</v>
      </c>
      <c r="J604" s="1317">
        <v>143</v>
      </c>
      <c r="K604" s="1316">
        <v>74</v>
      </c>
      <c r="L604" s="2807">
        <v>211</v>
      </c>
      <c r="M604" s="2830"/>
      <c r="N604" s="1223">
        <f t="shared" si="103"/>
        <v>1.0681990781387183</v>
      </c>
      <c r="O604" s="1782" t="s">
        <v>751</v>
      </c>
      <c r="P604" s="1225" t="str">
        <f>IFERROR(VLOOKUP(F604,Trainingsarten!$A$9:$N$84,12,FALSE),"")</f>
        <v/>
      </c>
      <c r="Q604" s="1226" t="s">
        <v>437</v>
      </c>
      <c r="R604" s="1105" t="str">
        <f>IFERROR(VLOOKUP(F604,Trainingsarten!$A$9:$N$84,14,FALSE),"")</f>
        <v/>
      </c>
      <c r="S604" s="1106">
        <f t="shared" si="108"/>
        <v>1.4755244755244756</v>
      </c>
      <c r="T604" s="1215">
        <f t="shared" si="106"/>
        <v>35.420963942581551</v>
      </c>
      <c r="U604" s="1227">
        <f t="shared" si="104"/>
        <v>24.400240192562421</v>
      </c>
      <c r="V604" s="1227">
        <f t="shared" si="105"/>
        <v>-5.8006346463218534</v>
      </c>
      <c r="W604" s="3287">
        <f t="shared" si="102"/>
        <v>1.4516645599816029</v>
      </c>
      <c r="X604" s="3300"/>
      <c r="Y604" s="3316"/>
      <c r="AA604" s="3301"/>
      <c r="AB604" s="3409"/>
      <c r="AE604" s="1056"/>
    </row>
    <row r="605" spans="2:31" ht="16" thickBot="1" x14ac:dyDescent="0.25">
      <c r="B605" s="2977">
        <f>B598+1</f>
        <v>35</v>
      </c>
      <c r="C605" s="1245">
        <v>43703</v>
      </c>
      <c r="D605" s="1278"/>
      <c r="E605" s="1398"/>
      <c r="F605" s="2704"/>
      <c r="G605" s="1647"/>
      <c r="H605" s="1648" t="str">
        <f>IFERROR(VLOOKUP(F605,Trainingsarten!$A$9:$K$84,10,FALSE),"")</f>
        <v/>
      </c>
      <c r="I605" s="1230" t="str">
        <f t="shared" si="107"/>
        <v/>
      </c>
      <c r="J605" s="1324"/>
      <c r="K605" s="1325" t="str">
        <f>IFERROR(VLOOKUP(F605,Trainingsarten!$A$9:$K$84,11,FALSE),"0")</f>
        <v>0</v>
      </c>
      <c r="L605" s="1326"/>
      <c r="M605" s="2831"/>
      <c r="N605" s="1119" t="str">
        <f t="shared" si="103"/>
        <v/>
      </c>
      <c r="O605" s="1649"/>
      <c r="P605" s="1277" t="str">
        <f>IFERROR(VLOOKUP(F605,Trainingsarten!$A$9:$N$84,12,FALSE),"")</f>
        <v/>
      </c>
      <c r="Q605" s="1122" t="s">
        <v>437</v>
      </c>
      <c r="R605" s="1122" t="str">
        <f>IFERROR(VLOOKUP(F605,Trainingsarten!$A$9:$N$84,14,FALSE),"")</f>
        <v/>
      </c>
      <c r="S605" s="1070" t="str">
        <f t="shared" si="108"/>
        <v/>
      </c>
      <c r="T605" s="1650">
        <f t="shared" si="106"/>
        <v>30.360826236498472</v>
      </c>
      <c r="U605" s="1651">
        <f t="shared" si="104"/>
        <v>23.819282092739506</v>
      </c>
      <c r="V605" s="1278">
        <f t="shared" si="105"/>
        <v>-11.02072375001913</v>
      </c>
      <c r="W605" s="3283">
        <f t="shared" si="102"/>
        <v>1.2746322965692123</v>
      </c>
      <c r="X605" s="3300"/>
      <c r="Y605" s="3316"/>
      <c r="AA605" s="3301"/>
      <c r="AB605" s="3409"/>
      <c r="AE605" s="1056"/>
    </row>
    <row r="606" spans="2:31" x14ac:dyDescent="0.2">
      <c r="B606" s="2978" t="s">
        <v>626</v>
      </c>
      <c r="C606" s="1698">
        <v>43704</v>
      </c>
      <c r="D606" s="1783" t="s">
        <v>618</v>
      </c>
      <c r="E606" s="1784"/>
      <c r="F606" s="2699" t="s">
        <v>638</v>
      </c>
      <c r="G606" s="1749">
        <v>4.8553240740740744E-2</v>
      </c>
      <c r="H606" s="1778">
        <v>9.19</v>
      </c>
      <c r="I606" s="1751">
        <f t="shared" si="107"/>
        <v>5.2832688510055219E-3</v>
      </c>
      <c r="J606" s="1752">
        <v>124</v>
      </c>
      <c r="K606" s="1753">
        <v>39</v>
      </c>
      <c r="L606" s="2806">
        <v>160</v>
      </c>
      <c r="M606" s="2829"/>
      <c r="N606" s="1706">
        <f t="shared" si="103"/>
        <v>1.0900881880044824</v>
      </c>
      <c r="O606" s="1754" t="s">
        <v>750</v>
      </c>
      <c r="P606" s="1755" t="str">
        <f>IFERROR(VLOOKUP(F606,Trainingsarten!$A$9:$N$84,12,FALSE),"")</f>
        <v/>
      </c>
      <c r="Q606" s="1756" t="s">
        <v>437</v>
      </c>
      <c r="R606" s="1086" t="str">
        <f>IFERROR(VLOOKUP(F606,Trainingsarten!$A$9:$N$84,14,FALSE),"")</f>
        <v/>
      </c>
      <c r="S606" s="1087"/>
      <c r="T606" s="1757">
        <f t="shared" si="106"/>
        <v>31.594993916998689</v>
      </c>
      <c r="U606" s="1758">
        <f t="shared" si="104"/>
        <v>24.180727757198088</v>
      </c>
      <c r="V606" s="1088">
        <f t="shared" si="105"/>
        <v>-6.5415441437589656</v>
      </c>
      <c r="W606" s="3284">
        <f t="shared" si="102"/>
        <v>1.3066188178556177</v>
      </c>
      <c r="X606" s="3300"/>
      <c r="Y606" s="3316"/>
      <c r="AA606" s="3301"/>
      <c r="AB606" s="3409"/>
      <c r="AE606" s="1056"/>
    </row>
    <row r="607" spans="2:31" ht="16" thickBot="1" x14ac:dyDescent="0.25">
      <c r="B607" s="2979">
        <f>SUM(H605:H611)</f>
        <v>48.37</v>
      </c>
      <c r="C607" s="1211">
        <v>43705</v>
      </c>
      <c r="D607" s="1785" t="s">
        <v>619</v>
      </c>
      <c r="E607" s="1786"/>
      <c r="F607" s="2699" t="s">
        <v>652</v>
      </c>
      <c r="G607" s="1749">
        <v>4.4166666666666667E-2</v>
      </c>
      <c r="H607" s="1778">
        <v>11.57</v>
      </c>
      <c r="I607" s="1751">
        <f t="shared" si="107"/>
        <v>3.8173437049841543E-3</v>
      </c>
      <c r="J607" s="1752">
        <v>146</v>
      </c>
      <c r="K607" s="1753">
        <v>71</v>
      </c>
      <c r="L607" s="2806">
        <v>211</v>
      </c>
      <c r="M607" s="2829"/>
      <c r="N607" s="1706">
        <f t="shared" si="103"/>
        <v>1.0386821295424347</v>
      </c>
      <c r="O607" s="1754" t="s">
        <v>667</v>
      </c>
      <c r="P607" s="1755" t="str">
        <f>IFERROR(VLOOKUP(F607,Trainingsarten!$A$9:$N$84,12,FALSE),"")</f>
        <v/>
      </c>
      <c r="Q607" s="1756" t="s">
        <v>437</v>
      </c>
      <c r="R607" s="1086" t="str">
        <f>IFERROR(VLOOKUP(F607,Trainingsarten!$A$9:$N$84,14,FALSE),"")</f>
        <v/>
      </c>
      <c r="S607" s="1087">
        <f t="shared" si="108"/>
        <v>1.4452054794520548</v>
      </c>
      <c r="T607" s="1757">
        <f t="shared" si="106"/>
        <v>37.224280500284593</v>
      </c>
      <c r="U607" s="1758">
        <f t="shared" si="104"/>
        <v>25.295472334407659</v>
      </c>
      <c r="V607" s="1088">
        <f t="shared" si="105"/>
        <v>-7.4142661598006008</v>
      </c>
      <c r="W607" s="3284">
        <f t="shared" ref="W607:W670" si="109">T607/U607</f>
        <v>1.4715787872302748</v>
      </c>
      <c r="X607" s="3300"/>
      <c r="Y607" s="3316"/>
      <c r="AA607" s="3301"/>
      <c r="AB607" s="3409"/>
      <c r="AE607" s="1056"/>
    </row>
    <row r="608" spans="2:31" x14ac:dyDescent="0.2">
      <c r="B608" s="2980" t="s">
        <v>628</v>
      </c>
      <c r="C608" s="1211">
        <v>43706</v>
      </c>
      <c r="D608" s="1785"/>
      <c r="E608" s="1786"/>
      <c r="F608" s="2699"/>
      <c r="G608" s="1749"/>
      <c r="H608" s="1778" t="str">
        <f>IFERROR(VLOOKUP(F608,Trainingsarten!$A$9:$K$84,10,FALSE),"")</f>
        <v/>
      </c>
      <c r="I608" s="1751" t="str">
        <f t="shared" si="107"/>
        <v/>
      </c>
      <c r="J608" s="1752"/>
      <c r="K608" s="1753" t="str">
        <f>IFERROR(VLOOKUP(F608,Trainingsarten!$A$9:$K$84,11,FALSE),"0")</f>
        <v>0</v>
      </c>
      <c r="L608" s="2806"/>
      <c r="M608" s="2829"/>
      <c r="N608" s="1706" t="str">
        <f t="shared" si="103"/>
        <v/>
      </c>
      <c r="O608" s="1754"/>
      <c r="P608" s="1755" t="str">
        <f>IFERROR(VLOOKUP(F608,Trainingsarten!$A$9:$N$84,12,FALSE),"")</f>
        <v/>
      </c>
      <c r="Q608" s="1756" t="s">
        <v>437</v>
      </c>
      <c r="R608" s="1086" t="str">
        <f>IFERROR(VLOOKUP(F608,Trainingsarten!$A$9:$N$84,14,FALSE),"")</f>
        <v/>
      </c>
      <c r="S608" s="1087" t="str">
        <f t="shared" si="108"/>
        <v/>
      </c>
      <c r="T608" s="1757">
        <f t="shared" si="106"/>
        <v>31.906526143101079</v>
      </c>
      <c r="U608" s="1758">
        <f t="shared" si="104"/>
        <v>24.69319918358843</v>
      </c>
      <c r="V608" s="1088">
        <f t="shared" si="105"/>
        <v>-11.928808165876934</v>
      </c>
      <c r="W608" s="3284">
        <f t="shared" si="109"/>
        <v>1.2921179595192658</v>
      </c>
      <c r="X608" s="3300"/>
      <c r="Y608" s="3316"/>
      <c r="AA608" s="3301"/>
      <c r="AB608" s="3409"/>
      <c r="AE608" s="1056"/>
    </row>
    <row r="609" spans="2:31" ht="16" thickBot="1" x14ac:dyDescent="0.25">
      <c r="B609" s="2981">
        <f>SUM(K605:K611)</f>
        <v>267</v>
      </c>
      <c r="C609" s="1211">
        <v>43707</v>
      </c>
      <c r="D609" s="1785" t="s">
        <v>620</v>
      </c>
      <c r="E609" s="1786"/>
      <c r="F609" s="2699" t="s">
        <v>665</v>
      </c>
      <c r="G609" s="1749">
        <v>4.148148148148148E-2</v>
      </c>
      <c r="H609" s="1778">
        <v>10.75</v>
      </c>
      <c r="I609" s="1751">
        <f t="shared" si="107"/>
        <v>3.8587424633936261E-3</v>
      </c>
      <c r="J609" s="1752">
        <v>129</v>
      </c>
      <c r="K609" s="1753">
        <v>60</v>
      </c>
      <c r="L609" s="2806">
        <v>213</v>
      </c>
      <c r="M609" s="2829"/>
      <c r="N609" s="1706">
        <f t="shared" si="103"/>
        <v>1.0598986463033671</v>
      </c>
      <c r="O609" s="1754" t="s">
        <v>751</v>
      </c>
      <c r="P609" s="1755" t="str">
        <f>IFERROR(VLOOKUP(F609,Trainingsarten!$A$9:$N$84,12,FALSE),"")</f>
        <v/>
      </c>
      <c r="Q609" s="1756" t="s">
        <v>437</v>
      </c>
      <c r="R609" s="1086" t="str">
        <f>IFERROR(VLOOKUP(F609,Trainingsarten!$A$9:$N$84,14,FALSE),"")</f>
        <v/>
      </c>
      <c r="S609" s="1087">
        <f t="shared" si="108"/>
        <v>1.6511627906976745</v>
      </c>
      <c r="T609" s="1757">
        <f t="shared" si="106"/>
        <v>35.919879551229499</v>
      </c>
      <c r="U609" s="1758">
        <f t="shared" si="104"/>
        <v>25.533837298264896</v>
      </c>
      <c r="V609" s="1088">
        <f t="shared" si="105"/>
        <v>-7.2133269595126492</v>
      </c>
      <c r="W609" s="3284">
        <f t="shared" si="109"/>
        <v>1.4067560285453204</v>
      </c>
      <c r="X609" s="3300"/>
      <c r="Y609" s="3316"/>
      <c r="AA609" s="3301"/>
      <c r="AB609" s="3409"/>
      <c r="AE609" s="1056"/>
    </row>
    <row r="610" spans="2:31" x14ac:dyDescent="0.2">
      <c r="B610" s="2982" t="s">
        <v>761</v>
      </c>
      <c r="C610" s="1211">
        <v>43708</v>
      </c>
      <c r="D610" s="1785"/>
      <c r="E610" s="1786"/>
      <c r="F610" s="2699"/>
      <c r="G610" s="1749"/>
      <c r="H610" s="1778" t="str">
        <f>IFERROR(VLOOKUP(F610,Trainingsarten!$A$9:$K$84,10,FALSE),"")</f>
        <v/>
      </c>
      <c r="I610" s="1751" t="str">
        <f t="shared" si="107"/>
        <v/>
      </c>
      <c r="J610" s="1752"/>
      <c r="K610" s="1753" t="str">
        <f>IFERROR(VLOOKUP(F610,Trainingsarten!$A$9:$K$84,11,FALSE),"0")</f>
        <v>0</v>
      </c>
      <c r="L610" s="2806"/>
      <c r="M610" s="2829"/>
      <c r="N610" s="1706" t="str">
        <f t="shared" si="103"/>
        <v/>
      </c>
      <c r="O610" s="1754"/>
      <c r="P610" s="1755" t="str">
        <f>IFERROR(VLOOKUP(F610,Trainingsarten!$A$9:$N$84,12,FALSE),"")</f>
        <v/>
      </c>
      <c r="Q610" s="1756" t="s">
        <v>437</v>
      </c>
      <c r="R610" s="1086" t="str">
        <f>IFERROR(VLOOKUP(F610,Trainingsarten!$A$9:$N$84,14,FALSE),"")</f>
        <v/>
      </c>
      <c r="S610" s="1087" t="str">
        <f t="shared" si="108"/>
        <v/>
      </c>
      <c r="T610" s="1757">
        <f t="shared" si="106"/>
        <v>30.788468186768142</v>
      </c>
      <c r="U610" s="1758">
        <f t="shared" si="104"/>
        <v>24.925888791163352</v>
      </c>
      <c r="V610" s="1088">
        <f t="shared" si="105"/>
        <v>-10.386042252964604</v>
      </c>
      <c r="W610" s="3284">
        <f t="shared" si="109"/>
        <v>1.2352004153080862</v>
      </c>
      <c r="X610" s="3300"/>
      <c r="Y610" s="3316"/>
      <c r="AA610" s="3301"/>
      <c r="AB610" s="3409"/>
      <c r="AE610" s="1056"/>
    </row>
    <row r="611" spans="2:31" ht="16" thickBot="1" x14ac:dyDescent="0.25">
      <c r="B611" s="2983">
        <f>AVERAGE(W605:W611)</f>
        <v>1.356796760237462</v>
      </c>
      <c r="C611" s="1711">
        <v>43709</v>
      </c>
      <c r="D611" s="1661" t="s">
        <v>621</v>
      </c>
      <c r="E611" s="1787"/>
      <c r="F611" s="2700" t="s">
        <v>642</v>
      </c>
      <c r="G611" s="1713">
        <v>6.33912037037037E-2</v>
      </c>
      <c r="H611" s="1724">
        <v>16.86</v>
      </c>
      <c r="I611" s="1725">
        <f t="shared" si="107"/>
        <v>3.7598578709195554E-3</v>
      </c>
      <c r="J611" s="1726">
        <v>141</v>
      </c>
      <c r="K611" s="1717">
        <v>97</v>
      </c>
      <c r="L611" s="2808">
        <v>219</v>
      </c>
      <c r="M611" s="2832"/>
      <c r="N611" s="1718">
        <f t="shared" si="103"/>
        <v>1.0618287565730069</v>
      </c>
      <c r="O611" s="1719" t="s">
        <v>750</v>
      </c>
      <c r="P611" s="1720" t="str">
        <f>IFERROR(VLOOKUP(F611,Trainingsarten!$A$9:$N$84,12,FALSE),"")</f>
        <v/>
      </c>
      <c r="Q611" s="1721" t="s">
        <v>437</v>
      </c>
      <c r="R611" s="1151" t="str">
        <f>IFERROR(VLOOKUP(F611,Trainingsarten!$A$9:$N$84,14,FALSE),"")</f>
        <v/>
      </c>
      <c r="S611" s="1106">
        <f t="shared" si="108"/>
        <v>1.553191489361702</v>
      </c>
      <c r="T611" s="1722">
        <f t="shared" si="106"/>
        <v>40.247258445801265</v>
      </c>
      <c r="U611" s="1723">
        <f t="shared" si="104"/>
        <v>26.641939058040414</v>
      </c>
      <c r="V611" s="1152">
        <f t="shared" si="105"/>
        <v>-5.86257939560479</v>
      </c>
      <c r="W611" s="3285">
        <f t="shared" si="109"/>
        <v>1.5106730166344566</v>
      </c>
      <c r="X611" s="3300"/>
      <c r="Y611" s="3316"/>
      <c r="AA611" s="3301"/>
      <c r="AB611" s="3409"/>
      <c r="AE611" s="1056"/>
    </row>
    <row r="612" spans="2:31" ht="16" thickBot="1" x14ac:dyDescent="0.25">
      <c r="B612" s="2977">
        <f>B605+1</f>
        <v>36</v>
      </c>
      <c r="C612" s="1190">
        <v>43710</v>
      </c>
      <c r="D612" s="1191"/>
      <c r="E612" s="1192"/>
      <c r="F612" s="2701"/>
      <c r="G612" s="1349"/>
      <c r="H612" s="1697" t="str">
        <f>IFERROR(VLOOKUP(F612,Trainingsarten!$A$9:$K$84,10,FALSE),"")</f>
        <v/>
      </c>
      <c r="I612" s="1368" t="str">
        <f t="shared" si="107"/>
        <v/>
      </c>
      <c r="J612" s="1354"/>
      <c r="K612" s="1353" t="str">
        <f>IFERROR(VLOOKUP(F612,Trainingsarten!$A$9:$K$84,11,FALSE),"0")</f>
        <v>0</v>
      </c>
      <c r="L612" s="1915"/>
      <c r="M612" s="2833"/>
      <c r="N612" s="1199" t="str">
        <f t="shared" ref="N612:N675" si="110">IFERROR((L612/67)/(1/(I612*24)/3.6),"")</f>
        <v/>
      </c>
      <c r="O612" s="1668"/>
      <c r="P612" s="1201" t="str">
        <f>IFERROR(VLOOKUP(F612,Trainingsarten!$A$9:$N$84,12,FALSE),"")</f>
        <v/>
      </c>
      <c r="Q612" s="1202" t="s">
        <v>437</v>
      </c>
      <c r="R612" s="1069" t="str">
        <f>IFERROR(VLOOKUP(F612,Trainingsarten!$A$9:$N$84,14,FALSE),"")</f>
        <v/>
      </c>
      <c r="S612" s="1070" t="str">
        <f t="shared" si="108"/>
        <v/>
      </c>
      <c r="T612" s="1669">
        <f t="shared" si="106"/>
        <v>34.497650096401081</v>
      </c>
      <c r="U612" s="1055">
        <f t="shared" si="104"/>
        <v>26.00760717570612</v>
      </c>
      <c r="V612" s="1203">
        <f t="shared" si="105"/>
        <v>-13.605319387760851</v>
      </c>
      <c r="W612" s="3286">
        <f t="shared" si="109"/>
        <v>1.3264445999717178</v>
      </c>
      <c r="X612" s="3300"/>
      <c r="Y612" s="3316"/>
      <c r="AA612" s="3301"/>
      <c r="AB612" s="3409"/>
      <c r="AE612" s="1056"/>
    </row>
    <row r="613" spans="2:31" x14ac:dyDescent="0.2">
      <c r="B613" s="2978" t="s">
        <v>626</v>
      </c>
      <c r="C613" s="1211">
        <v>43711</v>
      </c>
      <c r="D613" s="1089"/>
      <c r="E613" s="1205"/>
      <c r="F613" s="2702"/>
      <c r="G613" s="1357"/>
      <c r="H613" s="1358" t="str">
        <f>IFERROR(VLOOKUP(F613,Trainingsarten!$A$9:$K$84,10,FALSE),"")</f>
        <v/>
      </c>
      <c r="I613" s="1369" t="str">
        <f t="shared" si="107"/>
        <v/>
      </c>
      <c r="J613" s="1306"/>
      <c r="K613" s="1305" t="str">
        <f>IFERROR(VLOOKUP(F613,Trainingsarten!$A$9:$K$84,11,FALSE),"0")</f>
        <v>0</v>
      </c>
      <c r="L613" s="2806"/>
      <c r="M613" s="2829"/>
      <c r="N613" s="1208" t="str">
        <f t="shared" si="110"/>
        <v/>
      </c>
      <c r="O613" s="1670"/>
      <c r="P613" s="1136" t="str">
        <f>IFERROR(VLOOKUP(F613,Trainingsarten!$A$9:$N$84,12,FALSE),"")</f>
        <v/>
      </c>
      <c r="Q613" s="1137" t="s">
        <v>437</v>
      </c>
      <c r="R613" s="1086" t="str">
        <f>IFERROR(VLOOKUP(F613,Trainingsarten!$A$9:$N$84,14,FALSE),"")</f>
        <v/>
      </c>
      <c r="S613" s="1087" t="str">
        <f t="shared" si="108"/>
        <v/>
      </c>
      <c r="T613" s="1232">
        <f t="shared" si="106"/>
        <v>29.569414368343786</v>
      </c>
      <c r="U613" s="1239">
        <f t="shared" si="104"/>
        <v>25.388378433427402</v>
      </c>
      <c r="V613" s="1210">
        <f t="shared" si="105"/>
        <v>-8.490042920694961</v>
      </c>
      <c r="W613" s="3284">
        <f t="shared" si="109"/>
        <v>1.1646830633898011</v>
      </c>
      <c r="X613" s="3300"/>
      <c r="Y613" s="3316"/>
      <c r="AA613" s="3301"/>
      <c r="AB613" s="3409"/>
      <c r="AE613" s="1056"/>
    </row>
    <row r="614" spans="2:31" ht="16" thickBot="1" x14ac:dyDescent="0.25">
      <c r="B614" s="2979">
        <f>SUM(H612:H618)</f>
        <v>33.78</v>
      </c>
      <c r="C614" s="1211">
        <v>43712</v>
      </c>
      <c r="D614" s="1089" t="s">
        <v>622</v>
      </c>
      <c r="E614" s="1205"/>
      <c r="F614" s="2702" t="s">
        <v>665</v>
      </c>
      <c r="G614" s="1357">
        <v>4.02662037037037E-2</v>
      </c>
      <c r="H614" s="1358">
        <v>10.5</v>
      </c>
      <c r="I614" s="1369">
        <f t="shared" si="107"/>
        <v>3.834876543209876E-3</v>
      </c>
      <c r="J614" s="1306">
        <v>141</v>
      </c>
      <c r="K614" s="1305">
        <v>59</v>
      </c>
      <c r="L614" s="2806">
        <v>215</v>
      </c>
      <c r="M614" s="2829"/>
      <c r="N614" s="1208">
        <f t="shared" si="110"/>
        <v>1.0632338308457712</v>
      </c>
      <c r="O614" s="1670" t="s">
        <v>750</v>
      </c>
      <c r="P614" s="1136" t="str">
        <f>IFERROR(VLOOKUP(F614,Trainingsarten!$A$9:$N$84,12,FALSE),"")</f>
        <v/>
      </c>
      <c r="Q614" s="1137" t="s">
        <v>437</v>
      </c>
      <c r="R614" s="1086" t="str">
        <f>IFERROR(VLOOKUP(F614,Trainingsarten!$A$9:$N$84,14,FALSE),"")</f>
        <v/>
      </c>
      <c r="S614" s="1087">
        <f t="shared" si="108"/>
        <v>1.5248226950354611</v>
      </c>
      <c r="T614" s="1232">
        <f t="shared" si="106"/>
        <v>33.773783744294676</v>
      </c>
      <c r="U614" s="1239">
        <f t="shared" si="104"/>
        <v>26.188655137393415</v>
      </c>
      <c r="V614" s="1210">
        <f t="shared" si="105"/>
        <v>-4.1810359349163839</v>
      </c>
      <c r="W614" s="3284">
        <f t="shared" si="109"/>
        <v>1.2896341399398876</v>
      </c>
      <c r="X614" s="3300"/>
      <c r="Y614" s="3316"/>
      <c r="AA614" s="3301"/>
      <c r="AB614" s="3409"/>
      <c r="AE614" s="1056"/>
    </row>
    <row r="615" spans="2:31" x14ac:dyDescent="0.2">
      <c r="B615" s="2980" t="s">
        <v>628</v>
      </c>
      <c r="C615" s="1211">
        <v>43713</v>
      </c>
      <c r="D615" s="1089"/>
      <c r="E615" s="1205"/>
      <c r="F615" s="2702"/>
      <c r="G615" s="1357"/>
      <c r="H615" s="1358" t="str">
        <f>IFERROR(VLOOKUP(F615,Trainingsarten!$A$9:$K$84,10,FALSE),"")</f>
        <v/>
      </c>
      <c r="I615" s="1369" t="str">
        <f t="shared" si="107"/>
        <v/>
      </c>
      <c r="J615" s="1306"/>
      <c r="K615" s="1305" t="str">
        <f>IFERROR(VLOOKUP(F615,Trainingsarten!$A$9:$K$84,11,FALSE),"0")</f>
        <v>0</v>
      </c>
      <c r="L615" s="2806"/>
      <c r="M615" s="2829"/>
      <c r="N615" s="1208" t="str">
        <f t="shared" si="110"/>
        <v/>
      </c>
      <c r="O615" s="1670"/>
      <c r="P615" s="1136" t="str">
        <f>IFERROR(VLOOKUP(F615,Trainingsarten!$A$9:$N$84,12,FALSE),"")</f>
        <v/>
      </c>
      <c r="Q615" s="1137" t="s">
        <v>437</v>
      </c>
      <c r="R615" s="1086" t="str">
        <f>IFERROR(VLOOKUP(F615,Trainingsarten!$A$9:$N$84,14,FALSE),"")</f>
        <v/>
      </c>
      <c r="S615" s="1087" t="str">
        <f t="shared" si="108"/>
        <v/>
      </c>
      <c r="T615" s="1232">
        <f t="shared" si="106"/>
        <v>28.948957495109724</v>
      </c>
      <c r="U615" s="1239">
        <f t="shared" si="104"/>
        <v>25.565115729360237</v>
      </c>
      <c r="V615" s="1210">
        <f t="shared" si="105"/>
        <v>-7.5851286069012609</v>
      </c>
      <c r="W615" s="3284">
        <f t="shared" si="109"/>
        <v>1.1323616838496575</v>
      </c>
      <c r="X615" s="3300"/>
      <c r="Y615" s="3316"/>
      <c r="AA615" s="3301"/>
      <c r="AB615" s="3409"/>
      <c r="AE615" s="1056"/>
    </row>
    <row r="616" spans="2:31" ht="16" thickBot="1" x14ac:dyDescent="0.25">
      <c r="B616" s="2981">
        <f>SUM(K612:K618)</f>
        <v>191</v>
      </c>
      <c r="C616" s="1211">
        <v>43714</v>
      </c>
      <c r="D616" s="1089" t="s">
        <v>623</v>
      </c>
      <c r="E616" s="1205"/>
      <c r="F616" s="2702" t="s">
        <v>646</v>
      </c>
      <c r="G616" s="1357">
        <v>3.5520833333333328E-2</v>
      </c>
      <c r="H616" s="1358">
        <v>10.11</v>
      </c>
      <c r="I616" s="1369">
        <f t="shared" si="107"/>
        <v>3.5134355423672927E-3</v>
      </c>
      <c r="J616" s="1306">
        <v>147</v>
      </c>
      <c r="K616" s="1305">
        <v>60</v>
      </c>
      <c r="L616" s="2806">
        <v>231</v>
      </c>
      <c r="M616" s="2829"/>
      <c r="N616" s="1208">
        <f t="shared" si="110"/>
        <v>1.0466052526684084</v>
      </c>
      <c r="O616" s="1670" t="s">
        <v>751</v>
      </c>
      <c r="P616" s="1136" t="str">
        <f>IFERROR(VLOOKUP(F616,Trainingsarten!$A$9:$N$84,12,FALSE),"")</f>
        <v/>
      </c>
      <c r="Q616" s="1137" t="s">
        <v>437</v>
      </c>
      <c r="R616" s="1086" t="str">
        <f>IFERROR(VLOOKUP(F616,Trainingsarten!$A$9:$N$84,14,FALSE),"")</f>
        <v/>
      </c>
      <c r="S616" s="1087">
        <f t="shared" si="108"/>
        <v>1.5714285714285714</v>
      </c>
      <c r="T616" s="1232">
        <f t="shared" si="106"/>
        <v>33.384820710094047</v>
      </c>
      <c r="U616" s="1239">
        <f t="shared" si="104"/>
        <v>26.384993926280231</v>
      </c>
      <c r="V616" s="1210">
        <f t="shared" si="105"/>
        <v>-3.3838417657494873</v>
      </c>
      <c r="W616" s="3284">
        <f t="shared" si="109"/>
        <v>1.2652957511899134</v>
      </c>
      <c r="X616" s="3300"/>
      <c r="Y616" s="3316"/>
      <c r="AA616" s="3301"/>
      <c r="AB616" s="3409"/>
      <c r="AE616" s="1056"/>
    </row>
    <row r="617" spans="2:31" x14ac:dyDescent="0.2">
      <c r="B617" s="2982" t="s">
        <v>761</v>
      </c>
      <c r="C617" s="1211">
        <v>43715</v>
      </c>
      <c r="D617" s="1089"/>
      <c r="E617" s="1205"/>
      <c r="F617" s="2702"/>
      <c r="G617" s="1357"/>
      <c r="H617" s="1358" t="str">
        <f>IFERROR(VLOOKUP(F617,Trainingsarten!$A$9:$K$84,10,FALSE),"")</f>
        <v/>
      </c>
      <c r="I617" s="1369" t="str">
        <f t="shared" si="107"/>
        <v/>
      </c>
      <c r="J617" s="1306"/>
      <c r="K617" s="1305" t="str">
        <f>IFERROR(VLOOKUP(F617,Trainingsarten!$A$9:$K$84,11,FALSE),"0")</f>
        <v>0</v>
      </c>
      <c r="L617" s="2806"/>
      <c r="M617" s="2829"/>
      <c r="N617" s="1208" t="str">
        <f t="shared" si="110"/>
        <v/>
      </c>
      <c r="O617" s="1670"/>
      <c r="P617" s="1136" t="str">
        <f>IFERROR(VLOOKUP(F617,Trainingsarten!$A$9:$N$84,12,FALSE),"")</f>
        <v/>
      </c>
      <c r="Q617" s="1137" t="s">
        <v>437</v>
      </c>
      <c r="R617" s="1086" t="str">
        <f>IFERROR(VLOOKUP(F617,Trainingsarten!$A$9:$N$84,14,FALSE),"")</f>
        <v/>
      </c>
      <c r="S617" s="1087" t="str">
        <f t="shared" si="108"/>
        <v/>
      </c>
      <c r="T617" s="1232">
        <f t="shared" si="106"/>
        <v>28.615560608652039</v>
      </c>
      <c r="U617" s="1239">
        <f t="shared" si="104"/>
        <v>25.75677978517832</v>
      </c>
      <c r="V617" s="1210">
        <f t="shared" si="105"/>
        <v>-6.9998267838138162</v>
      </c>
      <c r="W617" s="3284">
        <f t="shared" si="109"/>
        <v>1.1109913912887044</v>
      </c>
      <c r="X617" s="3300"/>
      <c r="Y617" s="3316"/>
      <c r="AA617" s="3301"/>
      <c r="AB617" s="3409"/>
      <c r="AE617" s="1056"/>
    </row>
    <row r="618" spans="2:31" ht="16" thickBot="1" x14ac:dyDescent="0.25">
      <c r="B618" s="2983">
        <f>AVERAGE(W612:W618)</f>
        <v>1.2265171119070719</v>
      </c>
      <c r="C618" s="1260">
        <v>43716</v>
      </c>
      <c r="D618" s="1108" t="s">
        <v>624</v>
      </c>
      <c r="E618" s="1261"/>
      <c r="F618" s="2703" t="s">
        <v>641</v>
      </c>
      <c r="G618" s="1361">
        <v>5.1053240740740746E-2</v>
      </c>
      <c r="H618" s="1362">
        <v>13.17</v>
      </c>
      <c r="I618" s="1370">
        <f t="shared" si="107"/>
        <v>3.8764799347563209E-3</v>
      </c>
      <c r="J618" s="1317">
        <v>135</v>
      </c>
      <c r="K618" s="1316">
        <v>72</v>
      </c>
      <c r="L618" s="2807">
        <v>213</v>
      </c>
      <c r="M618" s="2830"/>
      <c r="N618" s="1223">
        <f t="shared" si="110"/>
        <v>1.0647706796314556</v>
      </c>
      <c r="O618" s="1671" t="s">
        <v>750</v>
      </c>
      <c r="P618" s="1225" t="str">
        <f>IFERROR(VLOOKUP(F618,Trainingsarten!$A$9:$N$84,12,FALSE),"")</f>
        <v/>
      </c>
      <c r="Q618" s="1226" t="s">
        <v>437</v>
      </c>
      <c r="R618" s="1105" t="str">
        <f>IFERROR(VLOOKUP(F618,Trainingsarten!$A$9:$N$84,14,FALSE),"")</f>
        <v/>
      </c>
      <c r="S618" s="1106">
        <f t="shared" si="108"/>
        <v>1.5777777777777777</v>
      </c>
      <c r="T618" s="1215">
        <f t="shared" si="106"/>
        <v>34.813337664558894</v>
      </c>
      <c r="U618" s="1227">
        <f t="shared" si="104"/>
        <v>26.85780883791217</v>
      </c>
      <c r="V618" s="1227">
        <f t="shared" si="105"/>
        <v>-2.8587808234737189</v>
      </c>
      <c r="W618" s="3287">
        <f t="shared" si="109"/>
        <v>1.2962091537198221</v>
      </c>
      <c r="X618" s="3300"/>
      <c r="Y618" s="3316"/>
      <c r="AA618" s="3301"/>
      <c r="AB618" s="3409"/>
      <c r="AE618" s="1056"/>
    </row>
    <row r="619" spans="2:31" ht="16" thickBot="1" x14ac:dyDescent="0.25">
      <c r="B619" s="2977">
        <f>B612+1</f>
        <v>37</v>
      </c>
      <c r="C619" s="1245">
        <v>43717</v>
      </c>
      <c r="D619" s="1111"/>
      <c r="E619" s="1112"/>
      <c r="F619" s="2704"/>
      <c r="G619" s="1647"/>
      <c r="H619" s="1648" t="str">
        <f>IFERROR(VLOOKUP(F619,Trainingsarten!$A$9:$K$84,10,FALSE),"")</f>
        <v/>
      </c>
      <c r="I619" s="1230" t="str">
        <f t="shared" si="107"/>
        <v/>
      </c>
      <c r="J619" s="1324"/>
      <c r="K619" s="1325" t="str">
        <f>IFERROR(VLOOKUP(F619,Trainingsarten!$A$9:$K$84,11,FALSE),"0")</f>
        <v>0</v>
      </c>
      <c r="L619" s="1326"/>
      <c r="M619" s="2831"/>
      <c r="N619" s="1119" t="str">
        <f t="shared" si="110"/>
        <v/>
      </c>
      <c r="O619" s="1649"/>
      <c r="P619" s="1277" t="str">
        <f>IFERROR(VLOOKUP(F619,Trainingsarten!$A$9:$N$84,12,FALSE),"")</f>
        <v/>
      </c>
      <c r="Q619" s="1122" t="s">
        <v>437</v>
      </c>
      <c r="R619" s="1122" t="str">
        <f>IFERROR(VLOOKUP(F619,Trainingsarten!$A$9:$N$84,14,FALSE),"")</f>
        <v/>
      </c>
      <c r="S619" s="1070" t="str">
        <f t="shared" si="108"/>
        <v/>
      </c>
      <c r="T619" s="1650">
        <f t="shared" si="106"/>
        <v>29.840003712479053</v>
      </c>
      <c r="U619" s="1651">
        <f t="shared" si="104"/>
        <v>26.218337198914263</v>
      </c>
      <c r="V619" s="1278">
        <f t="shared" si="105"/>
        <v>-7.9555288266467237</v>
      </c>
      <c r="W619" s="3283">
        <f t="shared" si="109"/>
        <v>1.1381348666808193</v>
      </c>
      <c r="X619" s="3300"/>
      <c r="Y619" s="3316"/>
      <c r="AA619" s="3301"/>
      <c r="AB619" s="3409"/>
      <c r="AE619" s="1056"/>
    </row>
    <row r="620" spans="2:31" x14ac:dyDescent="0.2">
      <c r="B620" s="2978" t="s">
        <v>626</v>
      </c>
      <c r="C620" s="1698">
        <v>43718</v>
      </c>
      <c r="D620" s="1699"/>
      <c r="E620" s="1700"/>
      <c r="F620" s="2699"/>
      <c r="G620" s="1749"/>
      <c r="H620" s="1778" t="str">
        <f>IFERROR(VLOOKUP(F620,Trainingsarten!$A$9:$K$84,10,FALSE),"")</f>
        <v/>
      </c>
      <c r="I620" s="1751" t="str">
        <f t="shared" si="107"/>
        <v/>
      </c>
      <c r="J620" s="1752"/>
      <c r="K620" s="1753" t="str">
        <f>IFERROR(VLOOKUP(F620,Trainingsarten!$A$9:$K$84,11,FALSE),"0")</f>
        <v>0</v>
      </c>
      <c r="L620" s="2806"/>
      <c r="M620" s="2829"/>
      <c r="N620" s="1706" t="str">
        <f t="shared" si="110"/>
        <v/>
      </c>
      <c r="O620" s="1754"/>
      <c r="P620" s="1755" t="str">
        <f>IFERROR(VLOOKUP(F620,Trainingsarten!$A$9:$N$84,12,FALSE),"")</f>
        <v/>
      </c>
      <c r="Q620" s="1756" t="s">
        <v>437</v>
      </c>
      <c r="R620" s="1086" t="str">
        <f>IFERROR(VLOOKUP(F620,Trainingsarten!$A$9:$N$84,14,FALSE),"")</f>
        <v/>
      </c>
      <c r="S620" s="1087" t="str">
        <f t="shared" si="108"/>
        <v/>
      </c>
      <c r="T620" s="1757">
        <f t="shared" si="106"/>
        <v>25.57714603926776</v>
      </c>
      <c r="U620" s="1758">
        <f t="shared" si="104"/>
        <v>25.594091075130589</v>
      </c>
      <c r="V620" s="1088">
        <f t="shared" si="105"/>
        <v>-3.6216665135647901</v>
      </c>
      <c r="W620" s="3284">
        <f t="shared" si="109"/>
        <v>0.99933793171974394</v>
      </c>
      <c r="X620" s="3300"/>
      <c r="Y620" s="3316"/>
      <c r="AA620" s="3301"/>
      <c r="AB620" s="3409"/>
      <c r="AE620" s="1056"/>
    </row>
    <row r="621" spans="2:31" ht="16" thickBot="1" x14ac:dyDescent="0.25">
      <c r="B621" s="2979">
        <f>SUM(H619:H625)</f>
        <v>20.700000000000003</v>
      </c>
      <c r="C621" s="1211">
        <v>43719</v>
      </c>
      <c r="D621" s="1699">
        <v>122</v>
      </c>
      <c r="E621" s="1700"/>
      <c r="F621" s="2699" t="s">
        <v>665</v>
      </c>
      <c r="G621" s="1749">
        <v>3.7222222222222219E-2</v>
      </c>
      <c r="H621" s="1778">
        <v>9.9700000000000006</v>
      </c>
      <c r="I621" s="1751">
        <f t="shared" si="107"/>
        <v>3.7334224896912955E-3</v>
      </c>
      <c r="J621" s="1752">
        <v>138</v>
      </c>
      <c r="K621" s="1753">
        <v>58</v>
      </c>
      <c r="L621" s="2806">
        <v>222</v>
      </c>
      <c r="M621" s="2829"/>
      <c r="N621" s="1706">
        <f t="shared" si="110"/>
        <v>1.0688064192577731</v>
      </c>
      <c r="O621" s="1754" t="s">
        <v>750</v>
      </c>
      <c r="P621" s="1755" t="str">
        <f>IFERROR(VLOOKUP(F621,Trainingsarten!$A$9:$N$84,12,FALSE),"")</f>
        <v/>
      </c>
      <c r="Q621" s="1756" t="s">
        <v>437</v>
      </c>
      <c r="R621" s="1086" t="str">
        <f>IFERROR(VLOOKUP(F621,Trainingsarten!$A$9:$N$84,14,FALSE),"")</f>
        <v/>
      </c>
      <c r="S621" s="1087">
        <f t="shared" si="108"/>
        <v>1.6086956521739131</v>
      </c>
      <c r="T621" s="1757">
        <f t="shared" si="106"/>
        <v>30.208982319372367</v>
      </c>
      <c r="U621" s="1758">
        <f t="shared" si="104"/>
        <v>26.365660335246528</v>
      </c>
      <c r="V621" s="1088">
        <f t="shared" si="105"/>
        <v>1.6945035862828917E-2</v>
      </c>
      <c r="W621" s="3284">
        <f t="shared" si="109"/>
        <v>1.1457699877513765</v>
      </c>
      <c r="X621" s="3300"/>
      <c r="Y621" s="3316"/>
      <c r="AA621" s="3301"/>
      <c r="AB621" s="3409"/>
      <c r="AE621" s="1056"/>
    </row>
    <row r="622" spans="2:31" x14ac:dyDescent="0.2">
      <c r="B622" s="2980" t="s">
        <v>628</v>
      </c>
      <c r="C622" s="1211">
        <v>43720</v>
      </c>
      <c r="D622" s="1699"/>
      <c r="E622" s="1700"/>
      <c r="F622" s="2699"/>
      <c r="G622" s="1749"/>
      <c r="H622" s="1778" t="str">
        <f>IFERROR(VLOOKUP(F622,Trainingsarten!$A$9:$K$84,10,FALSE),"")</f>
        <v/>
      </c>
      <c r="I622" s="1751" t="str">
        <f t="shared" si="107"/>
        <v/>
      </c>
      <c r="J622" s="1752"/>
      <c r="K622" s="1753" t="str">
        <f>IFERROR(VLOOKUP(F622,Trainingsarten!$A$9:$K$84,11,FALSE),"0")</f>
        <v>0</v>
      </c>
      <c r="L622" s="2806"/>
      <c r="M622" s="2829"/>
      <c r="N622" s="1706" t="str">
        <f t="shared" si="110"/>
        <v/>
      </c>
      <c r="O622" s="1754"/>
      <c r="P622" s="1755" t="str">
        <f>IFERROR(VLOOKUP(F622,Trainingsarten!$A$9:$N$84,12,FALSE),"")</f>
        <v/>
      </c>
      <c r="Q622" s="1756" t="s">
        <v>437</v>
      </c>
      <c r="R622" s="1086" t="str">
        <f>IFERROR(VLOOKUP(F622,Trainingsarten!$A$9:$N$84,14,FALSE),"")</f>
        <v/>
      </c>
      <c r="S622" s="1087" t="str">
        <f t="shared" si="108"/>
        <v/>
      </c>
      <c r="T622" s="1757">
        <f t="shared" si="106"/>
        <v>25.893413416604886</v>
      </c>
      <c r="U622" s="1758">
        <f t="shared" si="104"/>
        <v>25.737906517740658</v>
      </c>
      <c r="V622" s="1088">
        <f t="shared" si="105"/>
        <v>-3.8433219841258399</v>
      </c>
      <c r="W622" s="3284">
        <f t="shared" si="109"/>
        <v>1.0060419404646233</v>
      </c>
      <c r="X622" s="3300"/>
      <c r="Y622" s="3316"/>
      <c r="AA622" s="3301"/>
      <c r="AB622" s="3409"/>
      <c r="AE622" s="1056"/>
    </row>
    <row r="623" spans="2:31" ht="16" thickBot="1" x14ac:dyDescent="0.25">
      <c r="B623" s="2981">
        <f>SUM(K619:K625)</f>
        <v>122</v>
      </c>
      <c r="C623" s="1211">
        <v>43721</v>
      </c>
      <c r="D623" s="1699"/>
      <c r="E623" s="1700"/>
      <c r="F623" s="2699"/>
      <c r="G623" s="1749"/>
      <c r="H623" s="1778" t="str">
        <f>IFERROR(VLOOKUP(F623,Trainingsarten!$A$9:$K$84,10,FALSE),"")</f>
        <v/>
      </c>
      <c r="I623" s="1751" t="str">
        <f t="shared" si="107"/>
        <v/>
      </c>
      <c r="J623" s="1752"/>
      <c r="K623" s="1753" t="str">
        <f>IFERROR(VLOOKUP(F623,Trainingsarten!$A$9:$K$84,11,FALSE),"0")</f>
        <v>0</v>
      </c>
      <c r="L623" s="2806"/>
      <c r="M623" s="2829"/>
      <c r="N623" s="1706" t="str">
        <f t="shared" si="110"/>
        <v/>
      </c>
      <c r="O623" s="1754"/>
      <c r="P623" s="1755" t="str">
        <f>IFERROR(VLOOKUP(F623,Trainingsarten!$A$9:$N$84,12,FALSE),"")</f>
        <v/>
      </c>
      <c r="Q623" s="1756" t="s">
        <v>437</v>
      </c>
      <c r="R623" s="1086" t="str">
        <f>IFERROR(VLOOKUP(F623,Trainingsarten!$A$9:$N$84,14,FALSE),"")</f>
        <v/>
      </c>
      <c r="S623" s="1087" t="str">
        <f t="shared" si="108"/>
        <v/>
      </c>
      <c r="T623" s="1757">
        <f t="shared" si="106"/>
        <v>22.194354357089903</v>
      </c>
      <c r="U623" s="1758">
        <f t="shared" si="104"/>
        <v>25.125099219699212</v>
      </c>
      <c r="V623" s="1088">
        <f t="shared" si="105"/>
        <v>-0.1555068988642283</v>
      </c>
      <c r="W623" s="3284">
        <f t="shared" si="109"/>
        <v>0.8833538989445473</v>
      </c>
      <c r="X623" s="3300"/>
      <c r="Y623" s="3316"/>
      <c r="AA623" s="3301"/>
      <c r="AB623" s="3409"/>
      <c r="AE623" s="1056"/>
    </row>
    <row r="624" spans="2:31" x14ac:dyDescent="0.2">
      <c r="B624" s="2982" t="s">
        <v>761</v>
      </c>
      <c r="C624" s="1211">
        <v>43722</v>
      </c>
      <c r="D624" s="1699" t="s">
        <v>669</v>
      </c>
      <c r="E624" s="1700"/>
      <c r="F624" s="2699" t="s">
        <v>665</v>
      </c>
      <c r="G624" s="1749">
        <v>3.875E-2</v>
      </c>
      <c r="H624" s="1778">
        <v>10.73</v>
      </c>
      <c r="I624" s="1751">
        <f t="shared" si="107"/>
        <v>3.6113699906803352E-3</v>
      </c>
      <c r="J624" s="1752">
        <v>148</v>
      </c>
      <c r="K624" s="1753">
        <v>64</v>
      </c>
      <c r="L624" s="2806">
        <v>227</v>
      </c>
      <c r="M624" s="2829"/>
      <c r="N624" s="1706">
        <f t="shared" si="110"/>
        <v>1.0571504082569445</v>
      </c>
      <c r="O624" s="1754" t="s">
        <v>750</v>
      </c>
      <c r="P624" s="1755" t="str">
        <f>IFERROR(VLOOKUP(F624,Trainingsarten!$A$9:$N$84,12,FALSE),"")</f>
        <v/>
      </c>
      <c r="Q624" s="1756" t="s">
        <v>437</v>
      </c>
      <c r="R624" s="1086" t="str">
        <f>IFERROR(VLOOKUP(F624,Trainingsarten!$A$9:$N$84,14,FALSE),"")</f>
        <v/>
      </c>
      <c r="S624" s="1087">
        <f t="shared" si="108"/>
        <v>1.5337837837837838</v>
      </c>
      <c r="T624" s="1757">
        <f t="shared" si="106"/>
        <v>28.166589448934204</v>
      </c>
      <c r="U624" s="1758">
        <f t="shared" ref="U624:U687" si="111">U623+(K624-U623)/42</f>
        <v>26.050692095420661</v>
      </c>
      <c r="V624" s="1088">
        <f t="shared" ref="V624:V687" si="112">U623-T623</f>
        <v>2.9307448626093091</v>
      </c>
      <c r="W624" s="3284">
        <f t="shared" si="109"/>
        <v>1.0812223086343831</v>
      </c>
      <c r="X624" s="3300"/>
      <c r="Y624" s="3316"/>
      <c r="AA624" s="3301"/>
      <c r="AB624" s="3409"/>
      <c r="AE624" s="1056"/>
    </row>
    <row r="625" spans="2:31" ht="16" thickBot="1" x14ac:dyDescent="0.25">
      <c r="B625" s="2983">
        <f>AVERAGE(W619:W625)</f>
        <v>1.0290324091040175</v>
      </c>
      <c r="C625" s="1711">
        <v>43723</v>
      </c>
      <c r="D625" s="1683"/>
      <c r="E625" s="1712"/>
      <c r="F625" s="2700"/>
      <c r="G625" s="1713"/>
      <c r="H625" s="1724" t="str">
        <f>IFERROR(VLOOKUP(F625,Trainingsarten!$A$9:$K$84,10,FALSE),"")</f>
        <v/>
      </c>
      <c r="I625" s="1725" t="str">
        <f t="shared" si="107"/>
        <v/>
      </c>
      <c r="J625" s="1726"/>
      <c r="K625" s="1717" t="str">
        <f>IFERROR(VLOOKUP(F625,Trainingsarten!$A$9:$K$84,11,FALSE),"0")</f>
        <v>0</v>
      </c>
      <c r="L625" s="2808"/>
      <c r="M625" s="2832"/>
      <c r="N625" s="1718" t="str">
        <f t="shared" si="110"/>
        <v/>
      </c>
      <c r="O625" s="1719"/>
      <c r="P625" s="1720" t="str">
        <f>IFERROR(VLOOKUP(F625,Trainingsarten!$A$9:$N$84,12,FALSE),"")</f>
        <v/>
      </c>
      <c r="Q625" s="1721" t="s">
        <v>437</v>
      </c>
      <c r="R625" s="1151" t="str">
        <f>IFERROR(VLOOKUP(F625,Trainingsarten!$A$9:$N$84,14,FALSE),"")</f>
        <v/>
      </c>
      <c r="S625" s="1106" t="str">
        <f t="shared" si="108"/>
        <v/>
      </c>
      <c r="T625" s="1722">
        <f t="shared" ref="T625:T688" si="113">T624+(K625-T624)/7</f>
        <v>24.142790956229319</v>
      </c>
      <c r="U625" s="1723">
        <f t="shared" si="111"/>
        <v>25.430437521720169</v>
      </c>
      <c r="V625" s="1152">
        <f t="shared" si="112"/>
        <v>-2.1158973535135424</v>
      </c>
      <c r="W625" s="3285">
        <f t="shared" si="109"/>
        <v>0.94936592953262922</v>
      </c>
      <c r="X625" s="3300"/>
      <c r="Y625" s="3316"/>
      <c r="AA625" s="3301"/>
      <c r="AB625" s="3409"/>
      <c r="AE625" s="1056"/>
    </row>
    <row r="626" spans="2:31" ht="16" thickBot="1" x14ac:dyDescent="0.25">
      <c r="B626" s="2977">
        <f>B619+1</f>
        <v>38</v>
      </c>
      <c r="C626" s="1190">
        <v>43724</v>
      </c>
      <c r="D626" s="1191"/>
      <c r="E626" s="1192"/>
      <c r="F626" s="2701"/>
      <c r="G626" s="1349"/>
      <c r="H626" s="1697" t="str">
        <f>IFERROR(VLOOKUP(F626,Trainingsarten!$A$9:$K$84,10,FALSE),"")</f>
        <v/>
      </c>
      <c r="I626" s="1368" t="str">
        <f t="shared" si="107"/>
        <v/>
      </c>
      <c r="J626" s="1354"/>
      <c r="K626" s="1353" t="str">
        <f>IFERROR(VLOOKUP(F626,Trainingsarten!$A$9:$K$84,11,FALSE),"0")</f>
        <v>0</v>
      </c>
      <c r="L626" s="1915"/>
      <c r="M626" s="2833"/>
      <c r="N626" s="1199" t="str">
        <f t="shared" si="110"/>
        <v/>
      </c>
      <c r="O626" s="1668"/>
      <c r="P626" s="1201" t="str">
        <f>IFERROR(VLOOKUP(F626,Trainingsarten!$A$9:$N$84,12,FALSE),"")</f>
        <v/>
      </c>
      <c r="Q626" s="1202" t="s">
        <v>437</v>
      </c>
      <c r="R626" s="1069" t="str">
        <f>IFERROR(VLOOKUP(F626,Trainingsarten!$A$9:$N$84,14,FALSE),"")</f>
        <v/>
      </c>
      <c r="S626" s="1070" t="str">
        <f t="shared" si="108"/>
        <v/>
      </c>
      <c r="T626" s="1669">
        <f t="shared" si="113"/>
        <v>20.693820819625131</v>
      </c>
      <c r="U626" s="1055">
        <f t="shared" si="111"/>
        <v>24.824950914060164</v>
      </c>
      <c r="V626" s="1203">
        <f t="shared" si="112"/>
        <v>1.2876465654908493</v>
      </c>
      <c r="W626" s="3286">
        <f t="shared" si="109"/>
        <v>0.83358959666279642</v>
      </c>
      <c r="X626" s="3300"/>
      <c r="Y626" s="3316"/>
      <c r="AA626" s="3301"/>
      <c r="AB626" s="3409"/>
      <c r="AE626" s="1056"/>
    </row>
    <row r="627" spans="2:31" x14ac:dyDescent="0.2">
      <c r="B627" s="2978" t="s">
        <v>626</v>
      </c>
      <c r="C627" s="1211">
        <v>43725</v>
      </c>
      <c r="D627" s="1089" t="s">
        <v>670</v>
      </c>
      <c r="E627" s="1205"/>
      <c r="F627" s="2702" t="s">
        <v>665</v>
      </c>
      <c r="G627" s="1357">
        <v>3.2187500000000001E-2</v>
      </c>
      <c r="H627" s="1358">
        <v>8.5299999999999994</v>
      </c>
      <c r="I627" s="1369">
        <f t="shared" si="107"/>
        <v>3.773446658851114E-3</v>
      </c>
      <c r="J627" s="1306">
        <v>140</v>
      </c>
      <c r="K627" s="1305">
        <v>48</v>
      </c>
      <c r="L627" s="2806">
        <v>218</v>
      </c>
      <c r="M627" s="2829"/>
      <c r="N627" s="1208">
        <f t="shared" si="110"/>
        <v>1.0608003359521267</v>
      </c>
      <c r="O627" s="1670" t="s">
        <v>751</v>
      </c>
      <c r="P627" s="1136" t="str">
        <f>IFERROR(VLOOKUP(F627,Trainingsarten!$A$9:$N$84,12,FALSE),"")</f>
        <v/>
      </c>
      <c r="Q627" s="1137" t="s">
        <v>437</v>
      </c>
      <c r="R627" s="1086" t="str">
        <f>IFERROR(VLOOKUP(F627,Trainingsarten!$A$9:$N$84,14,FALSE),"")</f>
        <v/>
      </c>
      <c r="S627" s="1087">
        <f t="shared" si="108"/>
        <v>1.5571428571428572</v>
      </c>
      <c r="T627" s="1232">
        <f t="shared" si="113"/>
        <v>24.594703559678685</v>
      </c>
      <c r="U627" s="1239">
        <f t="shared" si="111"/>
        <v>25.37673779705873</v>
      </c>
      <c r="V627" s="1210">
        <f t="shared" si="112"/>
        <v>4.1311300944350329</v>
      </c>
      <c r="W627" s="3284">
        <f t="shared" si="109"/>
        <v>0.9691830272419536</v>
      </c>
      <c r="X627" s="3300"/>
      <c r="Y627" s="3316"/>
      <c r="AA627" s="3301"/>
      <c r="AB627" s="3409"/>
      <c r="AE627" s="1056"/>
    </row>
    <row r="628" spans="2:31" ht="16" thickBot="1" x14ac:dyDescent="0.25">
      <c r="B628" s="2979">
        <f>SUM(H626:H632)</f>
        <v>36.229999999999997</v>
      </c>
      <c r="C628" s="1211">
        <v>43726</v>
      </c>
      <c r="D628" s="1089"/>
      <c r="E628" s="1205"/>
      <c r="F628" s="2702"/>
      <c r="G628" s="1357"/>
      <c r="H628" s="1358" t="str">
        <f>IFERROR(VLOOKUP(F628,Trainingsarten!$A$9:$K$84,10,FALSE),"")</f>
        <v/>
      </c>
      <c r="I628" s="1369" t="str">
        <f t="shared" si="107"/>
        <v/>
      </c>
      <c r="J628" s="1306"/>
      <c r="K628" s="1305" t="str">
        <f>IFERROR(VLOOKUP(F628,Trainingsarten!$A$9:$K$84,11,FALSE),"0")</f>
        <v>0</v>
      </c>
      <c r="L628" s="2806"/>
      <c r="M628" s="2829"/>
      <c r="N628" s="1208" t="str">
        <f t="shared" si="110"/>
        <v/>
      </c>
      <c r="O628" s="1670"/>
      <c r="P628" s="1136" t="str">
        <f>IFERROR(VLOOKUP(F628,Trainingsarten!$A$9:$N$84,12,FALSE),"")</f>
        <v/>
      </c>
      <c r="Q628" s="1137" t="s">
        <v>437</v>
      </c>
      <c r="R628" s="1086" t="str">
        <f>IFERROR(VLOOKUP(F628,Trainingsarten!$A$9:$N$84,14,FALSE),"")</f>
        <v/>
      </c>
      <c r="S628" s="1087" t="str">
        <f t="shared" si="108"/>
        <v/>
      </c>
      <c r="T628" s="1232">
        <f t="shared" si="113"/>
        <v>21.081174479724588</v>
      </c>
      <c r="U628" s="1239">
        <f t="shared" si="111"/>
        <v>24.772529754271616</v>
      </c>
      <c r="V628" s="1210">
        <f t="shared" si="112"/>
        <v>0.78203423738004574</v>
      </c>
      <c r="W628" s="3284">
        <f t="shared" si="109"/>
        <v>0.85098997513927643</v>
      </c>
      <c r="X628" s="3300"/>
      <c r="Y628" s="3316"/>
      <c r="AA628" s="3301"/>
      <c r="AB628" s="3409"/>
      <c r="AE628" s="1056"/>
    </row>
    <row r="629" spans="2:31" x14ac:dyDescent="0.2">
      <c r="B629" s="2980" t="s">
        <v>628</v>
      </c>
      <c r="C629" s="1211">
        <v>43727</v>
      </c>
      <c r="D629" s="1089" t="s">
        <v>671</v>
      </c>
      <c r="E629" s="1205"/>
      <c r="F629" s="2702" t="s">
        <v>665</v>
      </c>
      <c r="G629" s="1357">
        <v>4.6331018518518514E-2</v>
      </c>
      <c r="H629" s="1358">
        <v>12.73</v>
      </c>
      <c r="I629" s="1369">
        <f t="shared" si="107"/>
        <v>3.6395144162229783E-3</v>
      </c>
      <c r="J629" s="1306">
        <v>138</v>
      </c>
      <c r="K629" s="1305">
        <v>74</v>
      </c>
      <c r="L629" s="2806">
        <v>226</v>
      </c>
      <c r="M629" s="2829"/>
      <c r="N629" s="1208">
        <f t="shared" si="110"/>
        <v>1.0606957357751696</v>
      </c>
      <c r="O629" s="1670" t="s">
        <v>751</v>
      </c>
      <c r="P629" s="1136" t="str">
        <f>IFERROR(VLOOKUP(F629,Trainingsarten!$A$9:$N$84,12,FALSE),"")</f>
        <v/>
      </c>
      <c r="Q629" s="1137" t="s">
        <v>437</v>
      </c>
      <c r="R629" s="1086" t="str">
        <f>IFERROR(VLOOKUP(F629,Trainingsarten!$A$9:$N$84,14,FALSE),"")</f>
        <v/>
      </c>
      <c r="S629" s="1087">
        <f t="shared" si="108"/>
        <v>1.6376811594202898</v>
      </c>
      <c r="T629" s="1232">
        <f t="shared" si="113"/>
        <v>28.641006696906789</v>
      </c>
      <c r="U629" s="1239">
        <f t="shared" si="111"/>
        <v>25.944612379169911</v>
      </c>
      <c r="V629" s="1210">
        <f t="shared" si="112"/>
        <v>3.6913552745470284</v>
      </c>
      <c r="W629" s="3284">
        <f t="shared" si="109"/>
        <v>1.1039288727204777</v>
      </c>
      <c r="X629" s="3300"/>
      <c r="Y629" s="3316"/>
      <c r="AA629" s="3301"/>
      <c r="AB629" s="3409"/>
      <c r="AE629" s="1056"/>
    </row>
    <row r="630" spans="2:31" ht="16" thickBot="1" x14ac:dyDescent="0.25">
      <c r="B630" s="2981">
        <f>SUM(K626:K632)</f>
        <v>214</v>
      </c>
      <c r="C630" s="1211">
        <v>43728</v>
      </c>
      <c r="D630" s="1089"/>
      <c r="E630" s="1205"/>
      <c r="F630" s="2702"/>
      <c r="G630" s="1357"/>
      <c r="H630" s="1358" t="str">
        <f>IFERROR(VLOOKUP(F630,Trainingsarten!$A$9:$K$84,10,FALSE),"")</f>
        <v/>
      </c>
      <c r="I630" s="1369" t="str">
        <f t="shared" si="107"/>
        <v/>
      </c>
      <c r="J630" s="1306"/>
      <c r="K630" s="1305" t="str">
        <f>IFERROR(VLOOKUP(F630,Trainingsarten!$A$9:$K$84,11,FALSE),"0")</f>
        <v>0</v>
      </c>
      <c r="L630" s="2806"/>
      <c r="M630" s="2829"/>
      <c r="N630" s="1208" t="str">
        <f t="shared" si="110"/>
        <v/>
      </c>
      <c r="O630" s="1670"/>
      <c r="P630" s="1136" t="str">
        <f>IFERROR(VLOOKUP(F630,Trainingsarten!$A$9:$N$84,12,FALSE),"")</f>
        <v/>
      </c>
      <c r="Q630" s="1137" t="s">
        <v>437</v>
      </c>
      <c r="R630" s="1086" t="str">
        <f>IFERROR(VLOOKUP(F630,Trainingsarten!$A$9:$N$84,14,FALSE),"")</f>
        <v/>
      </c>
      <c r="S630" s="1087" t="str">
        <f t="shared" si="108"/>
        <v/>
      </c>
      <c r="T630" s="1232">
        <f t="shared" si="113"/>
        <v>24.549434311634393</v>
      </c>
      <c r="U630" s="1239">
        <f t="shared" si="111"/>
        <v>25.326883512999199</v>
      </c>
      <c r="V630" s="1210">
        <f t="shared" si="112"/>
        <v>-2.6963943177368783</v>
      </c>
      <c r="W630" s="3284">
        <f t="shared" si="109"/>
        <v>0.96930340043749263</v>
      </c>
      <c r="X630" s="3300"/>
      <c r="Y630" s="3316"/>
      <c r="AA630" s="3301"/>
      <c r="AB630" s="3409"/>
      <c r="AE630" s="1056"/>
    </row>
    <row r="631" spans="2:31" x14ac:dyDescent="0.2">
      <c r="B631" s="2982" t="s">
        <v>761</v>
      </c>
      <c r="C631" s="1211">
        <v>43729</v>
      </c>
      <c r="D631" s="1089" t="s">
        <v>672</v>
      </c>
      <c r="E631" s="1205"/>
      <c r="F631" s="2702" t="s">
        <v>829</v>
      </c>
      <c r="G631" s="1357">
        <v>5.1469907407407402E-2</v>
      </c>
      <c r="H631" s="1358">
        <v>14.97</v>
      </c>
      <c r="I631" s="1369">
        <f t="shared" si="107"/>
        <v>3.4382035676290847E-3</v>
      </c>
      <c r="J631" s="1306">
        <v>150</v>
      </c>
      <c r="K631" s="1305">
        <v>92</v>
      </c>
      <c r="L631" s="2806">
        <v>237</v>
      </c>
      <c r="M631" s="2829"/>
      <c r="N631" s="1208">
        <f t="shared" si="110"/>
        <v>1.0507971166213022</v>
      </c>
      <c r="O631" s="1670" t="s">
        <v>667</v>
      </c>
      <c r="P631" s="1136">
        <f>IFERROR(VLOOKUP(F631,Trainingsarten!$A$9:$N$84,12,FALSE),"")</f>
        <v>230.89999999999998</v>
      </c>
      <c r="Q631" s="1137" t="s">
        <v>437</v>
      </c>
      <c r="R631" s="1086">
        <f>IFERROR(VLOOKUP(F631,Trainingsarten!$A$9:$N$84,14,FALSE),"")</f>
        <v>254.10000000000002</v>
      </c>
      <c r="S631" s="1087">
        <f t="shared" si="108"/>
        <v>1.58</v>
      </c>
      <c r="T631" s="1232">
        <f t="shared" si="113"/>
        <v>34.185229409972337</v>
      </c>
      <c r="U631" s="1239">
        <f t="shared" si="111"/>
        <v>26.914338667451599</v>
      </c>
      <c r="V631" s="1210">
        <f t="shared" si="112"/>
        <v>0.77744920136480644</v>
      </c>
      <c r="W631" s="3284">
        <f t="shared" si="109"/>
        <v>1.2701493368407994</v>
      </c>
      <c r="X631" s="3300"/>
      <c r="Y631" s="3316"/>
      <c r="AA631" s="3301"/>
      <c r="AB631" s="3409"/>
      <c r="AE631" s="1056"/>
    </row>
    <row r="632" spans="2:31" ht="16" thickBot="1" x14ac:dyDescent="0.25">
      <c r="B632" s="2983">
        <f>AVERAGE(W626:W632)</f>
        <v>1.0160567550418935</v>
      </c>
      <c r="C632" s="1260">
        <v>43730</v>
      </c>
      <c r="D632" s="1108"/>
      <c r="E632" s="1261"/>
      <c r="F632" s="2703"/>
      <c r="G632" s="1361"/>
      <c r="H632" s="1362" t="str">
        <f>IFERROR(VLOOKUP(F632,Trainingsarten!$A$9:$K$84,10,FALSE),"")</f>
        <v/>
      </c>
      <c r="I632" s="1370" t="str">
        <f t="shared" si="107"/>
        <v/>
      </c>
      <c r="J632" s="1317"/>
      <c r="K632" s="1316" t="str">
        <f>IFERROR(VLOOKUP(F632,Trainingsarten!$A$9:$K$84,11,FALSE),"0")</f>
        <v>0</v>
      </c>
      <c r="L632" s="2807"/>
      <c r="M632" s="2830"/>
      <c r="N632" s="1223" t="str">
        <f t="shared" si="110"/>
        <v/>
      </c>
      <c r="O632" s="1671"/>
      <c r="P632" s="1225" t="str">
        <f>IFERROR(VLOOKUP(F632,Trainingsarten!$A$9:$N$84,12,FALSE),"")</f>
        <v/>
      </c>
      <c r="Q632" s="1226" t="s">
        <v>437</v>
      </c>
      <c r="R632" s="1105" t="str">
        <f>IFERROR(VLOOKUP(F632,Trainingsarten!$A$9:$N$84,14,FALSE),"")</f>
        <v/>
      </c>
      <c r="S632" s="1106" t="str">
        <f t="shared" si="108"/>
        <v/>
      </c>
      <c r="T632" s="1215">
        <f t="shared" si="113"/>
        <v>29.301625208547719</v>
      </c>
      <c r="U632" s="1227">
        <f t="shared" si="111"/>
        <v>26.273521080131324</v>
      </c>
      <c r="V632" s="1227">
        <f t="shared" si="112"/>
        <v>-7.2708907425207379</v>
      </c>
      <c r="W632" s="3287">
        <f t="shared" si="109"/>
        <v>1.1152530762504582</v>
      </c>
      <c r="X632" s="3300"/>
      <c r="Y632" s="3316"/>
      <c r="AA632" s="3301"/>
      <c r="AB632" s="3409"/>
      <c r="AE632" s="1056"/>
    </row>
    <row r="633" spans="2:31" ht="16" thickBot="1" x14ac:dyDescent="0.25">
      <c r="B633" s="2977">
        <f>B626+1</f>
        <v>39</v>
      </c>
      <c r="C633" s="1245">
        <v>43731</v>
      </c>
      <c r="D633" s="1111"/>
      <c r="E633" s="1112"/>
      <c r="F633" s="2704"/>
      <c r="G633" s="1647"/>
      <c r="H633" s="1648" t="str">
        <f>IFERROR(VLOOKUP(F633,Trainingsarten!$A$9:$K$84,10,FALSE),"")</f>
        <v/>
      </c>
      <c r="I633" s="1230" t="str">
        <f t="shared" si="107"/>
        <v/>
      </c>
      <c r="J633" s="1324"/>
      <c r="K633" s="1325" t="str">
        <f>IFERROR(VLOOKUP(F633,Trainingsarten!$A$9:$K$84,11,FALSE),"0")</f>
        <v>0</v>
      </c>
      <c r="L633" s="1326"/>
      <c r="M633" s="2831"/>
      <c r="N633" s="1119" t="str">
        <f t="shared" si="110"/>
        <v/>
      </c>
      <c r="O633" s="1649"/>
      <c r="P633" s="1277" t="str">
        <f>IFERROR(VLOOKUP(F633,Trainingsarten!$A$9:$N$84,12,FALSE),"")</f>
        <v/>
      </c>
      <c r="Q633" s="1122" t="s">
        <v>437</v>
      </c>
      <c r="R633" s="1122" t="str">
        <f>IFERROR(VLOOKUP(F633,Trainingsarten!$A$9:$N$84,14,FALSE),"")</f>
        <v/>
      </c>
      <c r="S633" s="1070" t="str">
        <f t="shared" si="108"/>
        <v/>
      </c>
      <c r="T633" s="1650">
        <f t="shared" si="113"/>
        <v>25.115678750183761</v>
      </c>
      <c r="U633" s="1651">
        <f t="shared" si="111"/>
        <v>25.647961054413912</v>
      </c>
      <c r="V633" s="1278">
        <f t="shared" si="112"/>
        <v>-3.0281041284163948</v>
      </c>
      <c r="W633" s="3283">
        <f t="shared" si="109"/>
        <v>0.97924660353698767</v>
      </c>
      <c r="X633" s="3300"/>
      <c r="Y633" s="3316"/>
      <c r="AA633" s="3301"/>
      <c r="AB633" s="3409"/>
      <c r="AE633" s="1056"/>
    </row>
    <row r="634" spans="2:31" x14ac:dyDescent="0.2">
      <c r="B634" s="2978" t="s">
        <v>626</v>
      </c>
      <c r="C634" s="1698">
        <v>43732</v>
      </c>
      <c r="D634" s="1699" t="s">
        <v>673</v>
      </c>
      <c r="E634" s="1700"/>
      <c r="F634" s="2699" t="s">
        <v>665</v>
      </c>
      <c r="G634" s="1749">
        <v>3.6782407407407409E-2</v>
      </c>
      <c r="H634" s="1778">
        <v>10.1</v>
      </c>
      <c r="I634" s="1751">
        <f t="shared" si="107"/>
        <v>3.6418225155848923E-3</v>
      </c>
      <c r="J634" s="1752">
        <v>138</v>
      </c>
      <c r="K634" s="1753">
        <v>59</v>
      </c>
      <c r="L634" s="2806">
        <v>227</v>
      </c>
      <c r="M634" s="2829"/>
      <c r="N634" s="1706">
        <f t="shared" si="110"/>
        <v>1.0660647258755729</v>
      </c>
      <c r="O634" s="1754" t="s">
        <v>750</v>
      </c>
      <c r="P634" s="1755" t="str">
        <f>IFERROR(VLOOKUP(F634,Trainingsarten!$A$9:$N$84,12,FALSE),"")</f>
        <v/>
      </c>
      <c r="Q634" s="1756" t="s">
        <v>437</v>
      </c>
      <c r="R634" s="1086" t="str">
        <f>IFERROR(VLOOKUP(F634,Trainingsarten!$A$9:$N$84,14,FALSE),"")</f>
        <v/>
      </c>
      <c r="S634" s="1087">
        <f t="shared" si="108"/>
        <v>1.644927536231884</v>
      </c>
      <c r="T634" s="1757">
        <f t="shared" si="113"/>
        <v>29.956296071586081</v>
      </c>
      <c r="U634" s="1758">
        <f t="shared" si="111"/>
        <v>26.44205721978501</v>
      </c>
      <c r="V634" s="1088">
        <f t="shared" si="112"/>
        <v>0.53228230423015077</v>
      </c>
      <c r="W634" s="3284">
        <f t="shared" si="109"/>
        <v>1.1329033827659816</v>
      </c>
      <c r="X634" s="3300"/>
      <c r="Y634" s="3316"/>
      <c r="AA634" s="3301"/>
      <c r="AB634" s="3409"/>
      <c r="AE634" s="1056"/>
    </row>
    <row r="635" spans="2:31" ht="16" thickBot="1" x14ac:dyDescent="0.25">
      <c r="B635" s="2979">
        <f>SUM(H633:H639)</f>
        <v>39.15</v>
      </c>
      <c r="C635" s="1211">
        <v>43733</v>
      </c>
      <c r="D635" s="1699"/>
      <c r="E635" s="1700"/>
      <c r="F635" s="2699"/>
      <c r="G635" s="1749"/>
      <c r="H635" s="1778" t="str">
        <f>IFERROR(VLOOKUP(F635,Trainingsarten!$A$9:$K$84,10,FALSE),"")</f>
        <v/>
      </c>
      <c r="I635" s="1751" t="str">
        <f t="shared" si="107"/>
        <v/>
      </c>
      <c r="J635" s="1752"/>
      <c r="K635" s="1753" t="str">
        <f>IFERROR(VLOOKUP(F635,Trainingsarten!$A$9:$K$84,11,FALSE),"0")</f>
        <v>0</v>
      </c>
      <c r="L635" s="2806"/>
      <c r="M635" s="2829"/>
      <c r="N635" s="1706" t="str">
        <f t="shared" si="110"/>
        <v/>
      </c>
      <c r="O635" s="1754"/>
      <c r="P635" s="1755" t="str">
        <f>IFERROR(VLOOKUP(F635,Trainingsarten!$A$9:$N$84,12,FALSE),"")</f>
        <v/>
      </c>
      <c r="Q635" s="1756" t="s">
        <v>437</v>
      </c>
      <c r="R635" s="1086" t="str">
        <f>IFERROR(VLOOKUP(F635,Trainingsarten!$A$9:$N$84,14,FALSE),"")</f>
        <v/>
      </c>
      <c r="S635" s="1087" t="str">
        <f t="shared" si="108"/>
        <v/>
      </c>
      <c r="T635" s="1757">
        <f t="shared" si="113"/>
        <v>25.676825204216641</v>
      </c>
      <c r="U635" s="1758">
        <f t="shared" si="111"/>
        <v>25.812484428837749</v>
      </c>
      <c r="V635" s="1088">
        <f t="shared" si="112"/>
        <v>-3.5142388518010712</v>
      </c>
      <c r="W635" s="3284">
        <f t="shared" si="109"/>
        <v>0.99474443364817877</v>
      </c>
      <c r="X635" s="3300"/>
      <c r="Y635" s="3316"/>
      <c r="AA635" s="3301"/>
      <c r="AB635" s="3409"/>
      <c r="AE635" s="1056"/>
    </row>
    <row r="636" spans="2:31" x14ac:dyDescent="0.2">
      <c r="B636" s="2980" t="s">
        <v>628</v>
      </c>
      <c r="C636" s="1211">
        <v>43734</v>
      </c>
      <c r="D636" s="1699"/>
      <c r="E636" s="1700"/>
      <c r="F636" s="2699"/>
      <c r="G636" s="1749"/>
      <c r="H636" s="1778" t="str">
        <f>IFERROR(VLOOKUP(F636,Trainingsarten!$A$9:$K$84,10,FALSE),"")</f>
        <v/>
      </c>
      <c r="I636" s="1751" t="str">
        <f t="shared" si="107"/>
        <v/>
      </c>
      <c r="J636" s="1752"/>
      <c r="K636" s="1753" t="str">
        <f>IFERROR(VLOOKUP(F636,Trainingsarten!$A$9:$K$84,11,FALSE),"0")</f>
        <v>0</v>
      </c>
      <c r="L636" s="2806"/>
      <c r="M636" s="2829"/>
      <c r="N636" s="1706" t="str">
        <f t="shared" si="110"/>
        <v/>
      </c>
      <c r="O636" s="1754"/>
      <c r="P636" s="1755" t="str">
        <f>IFERROR(VLOOKUP(F636,Trainingsarten!$A$9:$N$84,12,FALSE),"")</f>
        <v/>
      </c>
      <c r="Q636" s="1756" t="s">
        <v>437</v>
      </c>
      <c r="R636" s="1086" t="str">
        <f>IFERROR(VLOOKUP(F636,Trainingsarten!$A$9:$N$84,14,FALSE),"")</f>
        <v/>
      </c>
      <c r="S636" s="1087" t="str">
        <f t="shared" si="108"/>
        <v/>
      </c>
      <c r="T636" s="1757">
        <f t="shared" si="113"/>
        <v>22.008707317899979</v>
      </c>
      <c r="U636" s="1758">
        <f t="shared" si="111"/>
        <v>25.197901466246375</v>
      </c>
      <c r="V636" s="1088">
        <f t="shared" si="112"/>
        <v>0.13565922462110791</v>
      </c>
      <c r="W636" s="3284">
        <f t="shared" si="109"/>
        <v>0.87343413686181559</v>
      </c>
      <c r="X636" s="3300"/>
      <c r="Y636" s="3316"/>
      <c r="AA636" s="3301"/>
      <c r="AB636" s="3409"/>
      <c r="AE636" s="1056"/>
    </row>
    <row r="637" spans="2:31" ht="16" thickBot="1" x14ac:dyDescent="0.25">
      <c r="B637" s="2981">
        <f>SUM(K633:K639)</f>
        <v>225</v>
      </c>
      <c r="C637" s="1211">
        <v>43735</v>
      </c>
      <c r="D637" s="1699" t="s">
        <v>674</v>
      </c>
      <c r="E637" s="1700"/>
      <c r="F637" s="2699" t="s">
        <v>665</v>
      </c>
      <c r="G637" s="1749">
        <v>4.1944444444444444E-2</v>
      </c>
      <c r="H637" s="1778">
        <v>11.2</v>
      </c>
      <c r="I637" s="1751">
        <f t="shared" si="107"/>
        <v>3.7450396825396827E-3</v>
      </c>
      <c r="J637" s="1752">
        <v>140</v>
      </c>
      <c r="K637" s="1753">
        <v>63</v>
      </c>
      <c r="L637" s="2806">
        <v>220</v>
      </c>
      <c r="M637" s="2829"/>
      <c r="N637" s="1706">
        <f t="shared" si="110"/>
        <v>1.0624733475479746</v>
      </c>
      <c r="O637" s="1754" t="s">
        <v>751</v>
      </c>
      <c r="P637" s="1755" t="str">
        <f>IFERROR(VLOOKUP(F637,Trainingsarten!$A$9:$N$84,12,FALSE),"")</f>
        <v/>
      </c>
      <c r="Q637" s="1756" t="s">
        <v>437</v>
      </c>
      <c r="R637" s="1086" t="str">
        <f>IFERROR(VLOOKUP(F637,Trainingsarten!$A$9:$N$84,14,FALSE),"")</f>
        <v/>
      </c>
      <c r="S637" s="1087">
        <f t="shared" si="108"/>
        <v>1.5714285714285714</v>
      </c>
      <c r="T637" s="1757">
        <f t="shared" si="113"/>
        <v>27.864606272485698</v>
      </c>
      <c r="U637" s="1758">
        <f t="shared" si="111"/>
        <v>26.097951431335748</v>
      </c>
      <c r="V637" s="1088">
        <f t="shared" si="112"/>
        <v>3.1891941483463953</v>
      </c>
      <c r="W637" s="3284">
        <f t="shared" si="109"/>
        <v>1.0676932381377924</v>
      </c>
      <c r="X637" s="3300"/>
      <c r="Y637" s="3316"/>
      <c r="AA637" s="3301"/>
      <c r="AB637" s="3409"/>
      <c r="AE637" s="1056"/>
    </row>
    <row r="638" spans="2:31" x14ac:dyDescent="0.2">
      <c r="B638" s="2982" t="s">
        <v>761</v>
      </c>
      <c r="C638" s="1211">
        <v>43736</v>
      </c>
      <c r="D638" s="1699"/>
      <c r="E638" s="1700"/>
      <c r="F638" s="2699"/>
      <c r="G638" s="1749"/>
      <c r="H638" s="1778" t="str">
        <f>IFERROR(VLOOKUP(F638,Trainingsarten!$A$9:$K$84,10,FALSE),"")</f>
        <v/>
      </c>
      <c r="I638" s="1751" t="str">
        <f t="shared" si="107"/>
        <v/>
      </c>
      <c r="J638" s="1752"/>
      <c r="K638" s="1753" t="str">
        <f>IFERROR(VLOOKUP(F638,Trainingsarten!$A$9:$K$84,11,FALSE),"0")</f>
        <v>0</v>
      </c>
      <c r="L638" s="2806"/>
      <c r="M638" s="2829"/>
      <c r="N638" s="1706" t="str">
        <f t="shared" si="110"/>
        <v/>
      </c>
      <c r="O638" s="1754"/>
      <c r="P638" s="1755" t="str">
        <f>IFERROR(VLOOKUP(F638,Trainingsarten!$A$9:$N$84,12,FALSE),"")</f>
        <v/>
      </c>
      <c r="Q638" s="1756" t="s">
        <v>437</v>
      </c>
      <c r="R638" s="1086" t="str">
        <f>IFERROR(VLOOKUP(F638,Trainingsarten!$A$9:$N$84,14,FALSE),"")</f>
        <v/>
      </c>
      <c r="S638" s="1087" t="str">
        <f t="shared" si="108"/>
        <v/>
      </c>
      <c r="T638" s="1757">
        <f t="shared" si="113"/>
        <v>23.88394823355917</v>
      </c>
      <c r="U638" s="1758">
        <f t="shared" si="111"/>
        <v>25.476571635351561</v>
      </c>
      <c r="V638" s="1088">
        <f t="shared" si="112"/>
        <v>-1.7666548411499505</v>
      </c>
      <c r="W638" s="3284">
        <f t="shared" si="109"/>
        <v>0.93748674568196411</v>
      </c>
      <c r="X638" s="3300"/>
      <c r="Y638" s="3316"/>
      <c r="AA638" s="3301"/>
      <c r="AB638" s="3409"/>
      <c r="AE638" s="1056"/>
    </row>
    <row r="639" spans="2:31" ht="16" thickBot="1" x14ac:dyDescent="0.25">
      <c r="B639" s="2983">
        <f>AVERAGE(W633:W639)</f>
        <v>1.0390466727712939</v>
      </c>
      <c r="C639" s="1711">
        <v>43737</v>
      </c>
      <c r="D639" s="1683" t="s">
        <v>675</v>
      </c>
      <c r="E639" s="1712"/>
      <c r="F639" s="2700" t="s">
        <v>643</v>
      </c>
      <c r="G639" s="1713">
        <v>6.7719907407407409E-2</v>
      </c>
      <c r="H639" s="1724">
        <v>17.850000000000001</v>
      </c>
      <c r="I639" s="1725">
        <f t="shared" si="107"/>
        <v>3.7938323477539164E-3</v>
      </c>
      <c r="J639" s="1726">
        <v>143</v>
      </c>
      <c r="K639" s="1717">
        <v>103</v>
      </c>
      <c r="L639" s="2808">
        <v>219</v>
      </c>
      <c r="M639" s="2832"/>
      <c r="N639" s="1718">
        <f t="shared" si="110"/>
        <v>1.0714235544964255</v>
      </c>
      <c r="O639" s="1719" t="s">
        <v>750</v>
      </c>
      <c r="P639" s="1720" t="str">
        <f>IFERROR(VLOOKUP(F639,Trainingsarten!$A$9:$N$84,12,FALSE),"")</f>
        <v/>
      </c>
      <c r="Q639" s="1721" t="s">
        <v>437</v>
      </c>
      <c r="R639" s="1151" t="str">
        <f>IFERROR(VLOOKUP(F639,Trainingsarten!$A$9:$N$84,14,FALSE),"")</f>
        <v/>
      </c>
      <c r="S639" s="1106">
        <f t="shared" si="108"/>
        <v>1.5314685314685315</v>
      </c>
      <c r="T639" s="1722">
        <f t="shared" si="113"/>
        <v>35.186241343050717</v>
      </c>
      <c r="U639" s="1723">
        <f t="shared" si="111"/>
        <v>27.322367548795572</v>
      </c>
      <c r="V639" s="1152">
        <f t="shared" si="112"/>
        <v>1.592623401792391</v>
      </c>
      <c r="W639" s="3285">
        <f t="shared" si="109"/>
        <v>1.2878181687663375</v>
      </c>
      <c r="X639" s="3300"/>
      <c r="Y639" s="3316"/>
      <c r="AA639" s="3301"/>
      <c r="AB639" s="3409"/>
      <c r="AE639" s="1056"/>
    </row>
    <row r="640" spans="2:31" ht="16" thickBot="1" x14ac:dyDescent="0.25">
      <c r="B640" s="2977">
        <f>B633+1</f>
        <v>40</v>
      </c>
      <c r="C640" s="1190">
        <v>43738</v>
      </c>
      <c r="D640" s="1191"/>
      <c r="E640" s="1192"/>
      <c r="F640" s="2701"/>
      <c r="G640" s="1349"/>
      <c r="H640" s="1697" t="str">
        <f>IFERROR(VLOOKUP(F640,Trainingsarten!$A$9:$K$84,10,FALSE),"")</f>
        <v/>
      </c>
      <c r="I640" s="1368" t="str">
        <f t="shared" si="107"/>
        <v/>
      </c>
      <c r="J640" s="1354"/>
      <c r="K640" s="1353" t="str">
        <f>IFERROR(VLOOKUP(F640,Trainingsarten!$A$9:$K$84,11,FALSE),"0")</f>
        <v>0</v>
      </c>
      <c r="L640" s="1915"/>
      <c r="M640" s="2833"/>
      <c r="N640" s="1199" t="str">
        <f t="shared" si="110"/>
        <v/>
      </c>
      <c r="O640" s="1668"/>
      <c r="P640" s="1201" t="str">
        <f>IFERROR(VLOOKUP(F640,Trainingsarten!$A$9:$N$84,12,FALSE),"")</f>
        <v/>
      </c>
      <c r="Q640" s="1202" t="s">
        <v>437</v>
      </c>
      <c r="R640" s="1069" t="str">
        <f>IFERROR(VLOOKUP(F640,Trainingsarten!$A$9:$N$84,14,FALSE),"")</f>
        <v/>
      </c>
      <c r="S640" s="1070" t="str">
        <f t="shared" si="108"/>
        <v/>
      </c>
      <c r="T640" s="1669">
        <f t="shared" si="113"/>
        <v>30.159635436900615</v>
      </c>
      <c r="U640" s="1055">
        <f t="shared" si="111"/>
        <v>26.671834988109964</v>
      </c>
      <c r="V640" s="1203">
        <f t="shared" si="112"/>
        <v>-7.8638737942551451</v>
      </c>
      <c r="W640" s="3286">
        <f t="shared" si="109"/>
        <v>1.1307671725753206</v>
      </c>
      <c r="X640" s="3300"/>
      <c r="Y640" s="3316"/>
      <c r="AA640" s="3301"/>
      <c r="AB640" s="3409"/>
      <c r="AE640" s="1056"/>
    </row>
    <row r="641" spans="2:31" x14ac:dyDescent="0.2">
      <c r="B641" s="2978" t="s">
        <v>626</v>
      </c>
      <c r="C641" s="1211">
        <v>43739</v>
      </c>
      <c r="D641" s="1212" t="s">
        <v>676</v>
      </c>
      <c r="E641" s="1213"/>
      <c r="F641" s="2702" t="s">
        <v>760</v>
      </c>
      <c r="G641" s="1357">
        <v>4.2662037037037033E-2</v>
      </c>
      <c r="H641" s="1358">
        <v>11.2</v>
      </c>
      <c r="I641" s="1369">
        <f t="shared" si="107"/>
        <v>3.8091104497354495E-3</v>
      </c>
      <c r="J641" s="1306">
        <v>132</v>
      </c>
      <c r="K641" s="1305">
        <v>64</v>
      </c>
      <c r="L641" s="2806">
        <v>218</v>
      </c>
      <c r="M641" s="2829"/>
      <c r="N641" s="1208">
        <f t="shared" si="110"/>
        <v>1.0708262260127932</v>
      </c>
      <c r="O641" s="1670" t="s">
        <v>751</v>
      </c>
      <c r="P641" s="1136" t="str">
        <f>IFERROR(VLOOKUP(F641,Trainingsarten!$A$9:$N$84,12,FALSE),"")</f>
        <v/>
      </c>
      <c r="Q641" s="1137" t="s">
        <v>437</v>
      </c>
      <c r="R641" s="1086" t="str">
        <f>IFERROR(VLOOKUP(F641,Trainingsarten!$A$9:$N$84,14,FALSE),"")</f>
        <v/>
      </c>
      <c r="S641" s="1087">
        <f t="shared" si="108"/>
        <v>1.6515151515151516</v>
      </c>
      <c r="T641" s="1232">
        <f t="shared" si="113"/>
        <v>34.993973231629099</v>
      </c>
      <c r="U641" s="1239">
        <f t="shared" si="111"/>
        <v>27.560600821726393</v>
      </c>
      <c r="V641" s="1210">
        <f t="shared" si="112"/>
        <v>-3.4878004487906509</v>
      </c>
      <c r="W641" s="3284">
        <f t="shared" si="109"/>
        <v>1.2697101002254958</v>
      </c>
      <c r="X641" s="3300"/>
      <c r="Y641" s="3316"/>
      <c r="AA641" s="3301"/>
      <c r="AB641" s="3409"/>
      <c r="AE641" s="1056"/>
    </row>
    <row r="642" spans="2:31" ht="16" thickBot="1" x14ac:dyDescent="0.25">
      <c r="B642" s="2979">
        <f>SUM(H640:H646)</f>
        <v>28.6</v>
      </c>
      <c r="C642" s="1211">
        <v>43740</v>
      </c>
      <c r="D642" s="1089"/>
      <c r="E642" s="1205"/>
      <c r="F642" s="2702"/>
      <c r="G642" s="1357"/>
      <c r="H642" s="1358" t="str">
        <f>IFERROR(VLOOKUP(F642,Trainingsarten!$A$9:$K$84,10,FALSE),"")</f>
        <v/>
      </c>
      <c r="I642" s="1369" t="str">
        <f t="shared" ref="I642:I705" si="114">IFERROR(G642/H642,"")</f>
        <v/>
      </c>
      <c r="J642" s="1306"/>
      <c r="K642" s="1305" t="str">
        <f>IFERROR(VLOOKUP(F642,Trainingsarten!$A$9:$K$84,11,FALSE),"0")</f>
        <v>0</v>
      </c>
      <c r="L642" s="2806"/>
      <c r="M642" s="2829"/>
      <c r="N642" s="1208" t="str">
        <f t="shared" si="110"/>
        <v/>
      </c>
      <c r="O642" s="1670"/>
      <c r="P642" s="1136" t="str">
        <f>IFERROR(VLOOKUP(F642,Trainingsarten!$A$9:$N$84,12,FALSE),"")</f>
        <v/>
      </c>
      <c r="Q642" s="1137" t="s">
        <v>437</v>
      </c>
      <c r="R642" s="1086" t="str">
        <f>IFERROR(VLOOKUP(F642,Trainingsarten!$A$9:$N$84,14,FALSE),"")</f>
        <v/>
      </c>
      <c r="S642" s="1087" t="str">
        <f t="shared" si="108"/>
        <v/>
      </c>
      <c r="T642" s="1232">
        <f t="shared" si="113"/>
        <v>29.994834198539227</v>
      </c>
      <c r="U642" s="1239">
        <f t="shared" si="111"/>
        <v>26.904396040256717</v>
      </c>
      <c r="V642" s="1210">
        <f t="shared" si="112"/>
        <v>-7.4333724099027059</v>
      </c>
      <c r="W642" s="3284">
        <f t="shared" si="109"/>
        <v>1.114867405076045</v>
      </c>
      <c r="X642" s="3300"/>
      <c r="Y642" s="3316"/>
      <c r="AA642" s="3301"/>
      <c r="AB642" s="3409"/>
      <c r="AE642" s="1056"/>
    </row>
    <row r="643" spans="2:31" x14ac:dyDescent="0.2">
      <c r="B643" s="2980" t="s">
        <v>628</v>
      </c>
      <c r="C643" s="1211">
        <v>43741</v>
      </c>
      <c r="D643" s="1089"/>
      <c r="E643" s="1205"/>
      <c r="F643" s="2702"/>
      <c r="G643" s="1357"/>
      <c r="H643" s="1358" t="str">
        <f>IFERROR(VLOOKUP(F643,Trainingsarten!$A$9:$K$84,10,FALSE),"")</f>
        <v/>
      </c>
      <c r="I643" s="1369" t="str">
        <f t="shared" si="114"/>
        <v/>
      </c>
      <c r="J643" s="1306"/>
      <c r="K643" s="1305" t="str">
        <f>IFERROR(VLOOKUP(F643,Trainingsarten!$A$9:$K$84,11,FALSE),"0")</f>
        <v>0</v>
      </c>
      <c r="L643" s="2806"/>
      <c r="M643" s="2829"/>
      <c r="N643" s="1208" t="str">
        <f t="shared" si="110"/>
        <v/>
      </c>
      <c r="O643" s="1670"/>
      <c r="P643" s="1136" t="str">
        <f>IFERROR(VLOOKUP(F643,Trainingsarten!$A$9:$N$84,12,FALSE),"")</f>
        <v/>
      </c>
      <c r="Q643" s="1137" t="s">
        <v>437</v>
      </c>
      <c r="R643" s="1086" t="str">
        <f>IFERROR(VLOOKUP(F643,Trainingsarten!$A$9:$N$84,14,FALSE),"")</f>
        <v/>
      </c>
      <c r="S643" s="1087" t="str">
        <f t="shared" si="108"/>
        <v/>
      </c>
      <c r="T643" s="1232">
        <f t="shared" si="113"/>
        <v>25.709857884462195</v>
      </c>
      <c r="U643" s="1239">
        <f t="shared" si="111"/>
        <v>26.263815182155366</v>
      </c>
      <c r="V643" s="1210">
        <f t="shared" si="112"/>
        <v>-3.0904381582825096</v>
      </c>
      <c r="W643" s="3284">
        <f t="shared" si="109"/>
        <v>0.97890796543262493</v>
      </c>
      <c r="X643" s="3300"/>
      <c r="Y643" s="3316"/>
      <c r="AA643" s="3301"/>
      <c r="AB643" s="3409"/>
      <c r="AE643" s="1056"/>
    </row>
    <row r="644" spans="2:31" ht="16" thickBot="1" x14ac:dyDescent="0.25">
      <c r="B644" s="2981">
        <f>SUM(K640:K646)</f>
        <v>172</v>
      </c>
      <c r="C644" s="1211">
        <v>43742</v>
      </c>
      <c r="D644" s="1089" t="s">
        <v>677</v>
      </c>
      <c r="E644" s="1205"/>
      <c r="F644" s="2702" t="s">
        <v>638</v>
      </c>
      <c r="G644" s="1357">
        <v>3.2164351851851854E-2</v>
      </c>
      <c r="H644" s="1358">
        <v>8.84</v>
      </c>
      <c r="I644" s="1369">
        <f t="shared" si="114"/>
        <v>3.6385013407072234E-3</v>
      </c>
      <c r="J644" s="1306">
        <v>138</v>
      </c>
      <c r="K644" s="1305">
        <v>53</v>
      </c>
      <c r="L644" s="2806">
        <v>224</v>
      </c>
      <c r="M644" s="2829"/>
      <c r="N644" s="1208">
        <f t="shared" si="110"/>
        <v>1.0510164111568854</v>
      </c>
      <c r="O644" s="1670" t="s">
        <v>751</v>
      </c>
      <c r="P644" s="1136" t="str">
        <f>IFERROR(VLOOKUP(F644,Trainingsarten!$A$9:$N$84,12,FALSE),"")</f>
        <v/>
      </c>
      <c r="Q644" s="1137" t="s">
        <v>437</v>
      </c>
      <c r="R644" s="1086" t="str">
        <f>IFERROR(VLOOKUP(F644,Trainingsarten!$A$9:$N$84,14,FALSE),"")</f>
        <v/>
      </c>
      <c r="S644" s="1087">
        <f t="shared" si="108"/>
        <v>1.6231884057971016</v>
      </c>
      <c r="T644" s="1232">
        <f t="shared" si="113"/>
        <v>29.60844961525331</v>
      </c>
      <c r="U644" s="1239">
        <f t="shared" si="111"/>
        <v>26.900391011151665</v>
      </c>
      <c r="V644" s="1210">
        <f t="shared" si="112"/>
        <v>0.55395729769317015</v>
      </c>
      <c r="W644" s="3284">
        <f t="shared" si="109"/>
        <v>1.1006698602625891</v>
      </c>
      <c r="X644" s="3300"/>
      <c r="Y644" s="3316"/>
      <c r="AA644" s="3301"/>
      <c r="AB644" s="3409"/>
      <c r="AE644" s="1056"/>
    </row>
    <row r="645" spans="2:31" x14ac:dyDescent="0.2">
      <c r="B645" s="2982" t="s">
        <v>761</v>
      </c>
      <c r="C645" s="1211">
        <v>43743</v>
      </c>
      <c r="D645" s="1089"/>
      <c r="E645" s="1205"/>
      <c r="F645" s="2702"/>
      <c r="G645" s="1357"/>
      <c r="H645" s="1358" t="str">
        <f>IFERROR(VLOOKUP(F645,Trainingsarten!$A$9:$K$84,10,FALSE),"")</f>
        <v/>
      </c>
      <c r="I645" s="1369"/>
      <c r="J645" s="1306"/>
      <c r="K645" s="1305" t="str">
        <f>IFERROR(VLOOKUP(F645,Trainingsarten!$A$9:$K$84,11,FALSE),"0")</f>
        <v>0</v>
      </c>
      <c r="L645" s="2806"/>
      <c r="M645" s="2829"/>
      <c r="N645" s="1208" t="str">
        <f t="shared" si="110"/>
        <v/>
      </c>
      <c r="O645" s="1670"/>
      <c r="P645" s="1136" t="str">
        <f>IFERROR(VLOOKUP(F645,Trainingsarten!$A$9:$N$84,12,FALSE),"")</f>
        <v/>
      </c>
      <c r="Q645" s="1137" t="s">
        <v>437</v>
      </c>
      <c r="R645" s="1086" t="str">
        <f>IFERROR(VLOOKUP(F645,Trainingsarten!$A$9:$N$84,14,FALSE),"")</f>
        <v/>
      </c>
      <c r="S645" s="1087" t="str">
        <f t="shared" si="108"/>
        <v/>
      </c>
      <c r="T645" s="1232">
        <f t="shared" si="113"/>
        <v>25.378671098788551</v>
      </c>
      <c r="U645" s="1239">
        <f t="shared" si="111"/>
        <v>26.259905510886149</v>
      </c>
      <c r="V645" s="1210">
        <f t="shared" si="112"/>
        <v>-2.7080586041016446</v>
      </c>
      <c r="W645" s="3284">
        <f t="shared" si="109"/>
        <v>0.96644182852324889</v>
      </c>
      <c r="X645" s="3300"/>
      <c r="Y645" s="3316"/>
      <c r="AA645" s="3301"/>
      <c r="AB645" s="3409"/>
      <c r="AE645" s="1056"/>
    </row>
    <row r="646" spans="2:31" ht="16" thickBot="1" x14ac:dyDescent="0.25">
      <c r="B646" s="2983">
        <f>AVERAGE(W640:W646)</f>
        <v>1.094330449706256</v>
      </c>
      <c r="C646" s="1260">
        <v>43744</v>
      </c>
      <c r="D646" s="1788" t="s">
        <v>678</v>
      </c>
      <c r="E646" s="1789"/>
      <c r="F646" s="2703" t="s">
        <v>464</v>
      </c>
      <c r="G646" s="1361">
        <v>3.0879629629629632E-2</v>
      </c>
      <c r="H646" s="1362">
        <v>8.56</v>
      </c>
      <c r="I646" s="1370">
        <f t="shared" si="114"/>
        <v>3.6074333679473867E-3</v>
      </c>
      <c r="J646" s="1317">
        <v>134</v>
      </c>
      <c r="K646" s="1316">
        <v>55</v>
      </c>
      <c r="L646" s="2807">
        <v>229</v>
      </c>
      <c r="M646" s="2830"/>
      <c r="N646" s="1223">
        <f t="shared" si="110"/>
        <v>1.0653019946994002</v>
      </c>
      <c r="O646" s="1671" t="s">
        <v>667</v>
      </c>
      <c r="P646" s="1225" t="str">
        <f>IFERROR(VLOOKUP(F646,Trainingsarten!$A$9:$N$84,12,FALSE),"")</f>
        <v/>
      </c>
      <c r="Q646" s="1226" t="s">
        <v>437</v>
      </c>
      <c r="R646" s="1105" t="str">
        <f>IFERROR(VLOOKUP(F646,Trainingsarten!$A$9:$N$84,14,FALSE),"")</f>
        <v/>
      </c>
      <c r="S646" s="1106">
        <f t="shared" si="108"/>
        <v>1.708955223880597</v>
      </c>
      <c r="T646" s="1215">
        <f t="shared" si="113"/>
        <v>29.610289513247331</v>
      </c>
      <c r="U646" s="1227">
        <f t="shared" si="111"/>
        <v>26.944193474912669</v>
      </c>
      <c r="V646" s="1227">
        <f t="shared" si="112"/>
        <v>0.8812344120975979</v>
      </c>
      <c r="W646" s="3287">
        <f t="shared" si="109"/>
        <v>1.0989488158484693</v>
      </c>
      <c r="X646" s="3300"/>
      <c r="Y646" s="3316"/>
      <c r="AA646" s="3301"/>
      <c r="AB646" s="3409"/>
      <c r="AE646" s="1056"/>
    </row>
    <row r="647" spans="2:31" ht="16" thickBot="1" x14ac:dyDescent="0.25">
      <c r="B647" s="2977">
        <f>B640+1</f>
        <v>41</v>
      </c>
      <c r="C647" s="1245">
        <v>43745</v>
      </c>
      <c r="D647" s="1111"/>
      <c r="E647" s="1112"/>
      <c r="F647" s="2704"/>
      <c r="G647" s="1647"/>
      <c r="H647" s="1648" t="str">
        <f>IFERROR(VLOOKUP(F647,Trainingsarten!$A$9:$K$84,10,FALSE),"")</f>
        <v/>
      </c>
      <c r="I647" s="1230" t="str">
        <f t="shared" si="114"/>
        <v/>
      </c>
      <c r="J647" s="1324"/>
      <c r="K647" s="1325" t="str">
        <f>IFERROR(VLOOKUP(F647,Trainingsarten!$A$9:$K$84,11,FALSE),"0")</f>
        <v>0</v>
      </c>
      <c r="L647" s="1326"/>
      <c r="M647" s="2831"/>
      <c r="N647" s="1119" t="str">
        <f t="shared" si="110"/>
        <v/>
      </c>
      <c r="O647" s="1649"/>
      <c r="P647" s="1277" t="str">
        <f>IFERROR(VLOOKUP(F647,Trainingsarten!$A$9:$N$84,12,FALSE),"")</f>
        <v/>
      </c>
      <c r="Q647" s="1122" t="s">
        <v>437</v>
      </c>
      <c r="R647" s="1122" t="str">
        <f>IFERROR(VLOOKUP(F647,Trainingsarten!$A$9:$N$84,14,FALSE),"")</f>
        <v/>
      </c>
      <c r="S647" s="1070" t="str">
        <f t="shared" si="108"/>
        <v/>
      </c>
      <c r="T647" s="1650">
        <f t="shared" si="113"/>
        <v>25.380248154211998</v>
      </c>
      <c r="U647" s="1651">
        <f t="shared" si="111"/>
        <v>26.302665058843321</v>
      </c>
      <c r="V647" s="1278">
        <f t="shared" si="112"/>
        <v>-2.6660960383346612</v>
      </c>
      <c r="W647" s="3283">
        <f t="shared" si="109"/>
        <v>0.96493066757426571</v>
      </c>
      <c r="X647" s="3300"/>
      <c r="Y647" s="3316"/>
      <c r="AA647" s="3301"/>
      <c r="AB647" s="3409"/>
      <c r="AE647" s="1056"/>
    </row>
    <row r="648" spans="2:31" x14ac:dyDescent="0.2">
      <c r="B648" s="2978" t="s">
        <v>626</v>
      </c>
      <c r="C648" s="1698">
        <v>43746</v>
      </c>
      <c r="D648" s="1699" t="s">
        <v>679</v>
      </c>
      <c r="E648" s="1700"/>
      <c r="F648" s="2699" t="s">
        <v>638</v>
      </c>
      <c r="G648" s="1749">
        <v>3.6030092592592593E-2</v>
      </c>
      <c r="H648" s="1778">
        <v>8.84</v>
      </c>
      <c r="I648" s="1751">
        <f t="shared" si="114"/>
        <v>4.0758023294788E-3</v>
      </c>
      <c r="J648" s="1752">
        <v>123</v>
      </c>
      <c r="K648" s="1753">
        <v>48</v>
      </c>
      <c r="L648" s="2806">
        <v>205</v>
      </c>
      <c r="M648" s="2829"/>
      <c r="N648" s="1706">
        <f t="shared" si="110"/>
        <v>1.077471803876545</v>
      </c>
      <c r="O648" s="1754" t="s">
        <v>750</v>
      </c>
      <c r="P648" s="1755" t="str">
        <f>IFERROR(VLOOKUP(F648,Trainingsarten!$A$9:$N$84,12,FALSE),"")</f>
        <v/>
      </c>
      <c r="Q648" s="1756" t="s">
        <v>437</v>
      </c>
      <c r="R648" s="1086" t="str">
        <f>IFERROR(VLOOKUP(F648,Trainingsarten!$A$9:$N$84,14,FALSE),"")</f>
        <v/>
      </c>
      <c r="S648" s="1087">
        <f t="shared" si="108"/>
        <v>1.6666666666666667</v>
      </c>
      <c r="T648" s="1757">
        <f t="shared" si="113"/>
        <v>28.611641275038856</v>
      </c>
      <c r="U648" s="1758">
        <f t="shared" si="111"/>
        <v>26.819268271728003</v>
      </c>
      <c r="V648" s="1088">
        <f t="shared" si="112"/>
        <v>0.92241690463132286</v>
      </c>
      <c r="W648" s="3284">
        <f t="shared" si="109"/>
        <v>1.0668315401132817</v>
      </c>
      <c r="X648" s="3300"/>
      <c r="Y648" s="3316"/>
      <c r="AA648" s="3301"/>
      <c r="AB648" s="3409"/>
      <c r="AE648" s="1056"/>
    </row>
    <row r="649" spans="2:31" ht="16" thickBot="1" x14ac:dyDescent="0.25">
      <c r="B649" s="2979">
        <f>SUM(H647:H653)</f>
        <v>37.03</v>
      </c>
      <c r="C649" s="1211">
        <v>43747</v>
      </c>
      <c r="D649" s="1699"/>
      <c r="E649" s="1700"/>
      <c r="F649" s="2699"/>
      <c r="G649" s="1749"/>
      <c r="H649" s="1778" t="str">
        <f>IFERROR(VLOOKUP(F649,Trainingsarten!$A$9:$K$84,10,FALSE),"")</f>
        <v/>
      </c>
      <c r="I649" s="1751" t="str">
        <f t="shared" si="114"/>
        <v/>
      </c>
      <c r="J649" s="1752"/>
      <c r="K649" s="1753" t="str">
        <f>IFERROR(VLOOKUP(F649,Trainingsarten!$A$9:$K$84,11,FALSE),"0")</f>
        <v>0</v>
      </c>
      <c r="L649" s="2806"/>
      <c r="M649" s="2829"/>
      <c r="N649" s="1706" t="str">
        <f t="shared" si="110"/>
        <v/>
      </c>
      <c r="O649" s="1754"/>
      <c r="P649" s="1755" t="str">
        <f>IFERROR(VLOOKUP(F649,Trainingsarten!$A$9:$N$84,12,FALSE),"")</f>
        <v/>
      </c>
      <c r="Q649" s="1756" t="s">
        <v>437</v>
      </c>
      <c r="R649" s="1086" t="str">
        <f>IFERROR(VLOOKUP(F649,Trainingsarten!$A$9:$N$84,14,FALSE),"")</f>
        <v/>
      </c>
      <c r="S649" s="1087" t="str">
        <f t="shared" si="108"/>
        <v/>
      </c>
      <c r="T649" s="1757">
        <f t="shared" si="113"/>
        <v>24.524263950033305</v>
      </c>
      <c r="U649" s="1758">
        <f t="shared" si="111"/>
        <v>26.180714265258288</v>
      </c>
      <c r="V649" s="1088">
        <f t="shared" si="112"/>
        <v>-1.7923730033108534</v>
      </c>
      <c r="W649" s="3284">
        <f t="shared" si="109"/>
        <v>0.9367301327823937</v>
      </c>
      <c r="X649" s="3300"/>
      <c r="Y649" s="3316"/>
      <c r="AA649" s="3301"/>
      <c r="AB649" s="3409"/>
      <c r="AE649" s="1056"/>
    </row>
    <row r="650" spans="2:31" x14ac:dyDescent="0.2">
      <c r="B650" s="2980" t="s">
        <v>628</v>
      </c>
      <c r="C650" s="1211">
        <v>43748</v>
      </c>
      <c r="D650" s="1699" t="s">
        <v>680</v>
      </c>
      <c r="E650" s="1700"/>
      <c r="F650" s="2699" t="s">
        <v>637</v>
      </c>
      <c r="G650" s="1749">
        <v>2.7905092592592592E-2</v>
      </c>
      <c r="H650" s="1778">
        <v>7.09</v>
      </c>
      <c r="I650" s="1751">
        <f t="shared" si="114"/>
        <v>3.9358381653868254E-3</v>
      </c>
      <c r="J650" s="1752">
        <v>126</v>
      </c>
      <c r="K650" s="1753">
        <v>39</v>
      </c>
      <c r="L650" s="2806">
        <v>209</v>
      </c>
      <c r="M650" s="2829"/>
      <c r="N650" s="1706">
        <f t="shared" si="110"/>
        <v>1.0607730038102854</v>
      </c>
      <c r="O650" s="1754" t="s">
        <v>751</v>
      </c>
      <c r="P650" s="1755" t="str">
        <f>IFERROR(VLOOKUP(F650,Trainingsarten!$A$9:$N$84,12,FALSE),"")</f>
        <v/>
      </c>
      <c r="Q650" s="1756" t="s">
        <v>437</v>
      </c>
      <c r="R650" s="1086" t="str">
        <f>IFERROR(VLOOKUP(F650,Trainingsarten!$A$9:$N$84,14,FALSE),"")</f>
        <v/>
      </c>
      <c r="S650" s="1087">
        <f t="shared" si="108"/>
        <v>1.6587301587301588</v>
      </c>
      <c r="T650" s="1757">
        <f t="shared" si="113"/>
        <v>26.59222624288569</v>
      </c>
      <c r="U650" s="1758">
        <f t="shared" si="111"/>
        <v>26.485935354180711</v>
      </c>
      <c r="V650" s="1088">
        <f t="shared" si="112"/>
        <v>1.6564503152249834</v>
      </c>
      <c r="W650" s="3284">
        <f t="shared" si="109"/>
        <v>1.0040131068540195</v>
      </c>
      <c r="X650" s="3300"/>
      <c r="Y650" s="3316"/>
      <c r="AA650" s="3301"/>
      <c r="AB650" s="3409"/>
      <c r="AE650" s="1056"/>
    </row>
    <row r="651" spans="2:31" ht="16" thickBot="1" x14ac:dyDescent="0.25">
      <c r="B651" s="2981">
        <f>SUM(K647:K653)</f>
        <v>216</v>
      </c>
      <c r="C651" s="1211">
        <v>43749</v>
      </c>
      <c r="D651" s="1699"/>
      <c r="E651" s="1700"/>
      <c r="F651" s="2699"/>
      <c r="G651" s="1749"/>
      <c r="H651" s="1778" t="str">
        <f>IFERROR(VLOOKUP(F651,Trainingsarten!$A$9:$K$84,10,FALSE),"")</f>
        <v/>
      </c>
      <c r="I651" s="1751" t="str">
        <f t="shared" si="114"/>
        <v/>
      </c>
      <c r="J651" s="1752"/>
      <c r="K651" s="1753" t="str">
        <f>IFERROR(VLOOKUP(F651,Trainingsarten!$A$9:$K$84,11,FALSE),"0")</f>
        <v>0</v>
      </c>
      <c r="L651" s="2806"/>
      <c r="M651" s="2829"/>
      <c r="N651" s="1706" t="str">
        <f t="shared" si="110"/>
        <v/>
      </c>
      <c r="O651" s="1754"/>
      <c r="P651" s="1755" t="str">
        <f>IFERROR(VLOOKUP(F651,Trainingsarten!$A$9:$N$84,12,FALSE),"")</f>
        <v/>
      </c>
      <c r="Q651" s="1756" t="s">
        <v>437</v>
      </c>
      <c r="R651" s="1086" t="str">
        <f>IFERROR(VLOOKUP(F651,Trainingsarten!$A$9:$N$84,14,FALSE),"")</f>
        <v/>
      </c>
      <c r="S651" s="1087" t="str">
        <f t="shared" ref="S651:S714" si="115">IFERROR(L651/J651,"")</f>
        <v/>
      </c>
      <c r="T651" s="1757">
        <f t="shared" si="113"/>
        <v>22.793336779616308</v>
      </c>
      <c r="U651" s="1758">
        <f t="shared" si="111"/>
        <v>25.855317845747837</v>
      </c>
      <c r="V651" s="1088">
        <f t="shared" si="112"/>
        <v>-0.10629088870497938</v>
      </c>
      <c r="W651" s="3284">
        <f t="shared" si="109"/>
        <v>0.881572484066944</v>
      </c>
      <c r="X651" s="3300"/>
      <c r="Y651" s="3316"/>
      <c r="AA651" s="3301"/>
      <c r="AB651" s="3409"/>
      <c r="AE651" s="1056"/>
    </row>
    <row r="652" spans="2:31" x14ac:dyDescent="0.2">
      <c r="B652" s="2982" t="s">
        <v>761</v>
      </c>
      <c r="C652" s="1211">
        <v>43750</v>
      </c>
      <c r="D652" s="1699"/>
      <c r="E652" s="1700"/>
      <c r="F652" s="2699"/>
      <c r="G652" s="1749"/>
      <c r="H652" s="1778" t="str">
        <f>IFERROR(VLOOKUP(F652,Trainingsarten!$A$9:$K$84,10,FALSE),"")</f>
        <v/>
      </c>
      <c r="I652" s="1751" t="str">
        <f t="shared" si="114"/>
        <v/>
      </c>
      <c r="J652" s="1752"/>
      <c r="K652" s="1753" t="str">
        <f>IFERROR(VLOOKUP(F652,Trainingsarten!$A$9:$K$84,11,FALSE),"0")</f>
        <v>0</v>
      </c>
      <c r="L652" s="2806"/>
      <c r="M652" s="2829"/>
      <c r="N652" s="1706" t="str">
        <f t="shared" si="110"/>
        <v/>
      </c>
      <c r="O652" s="1754"/>
      <c r="P652" s="1755" t="str">
        <f>IFERROR(VLOOKUP(F652,Trainingsarten!$A$9:$N$84,12,FALSE),"")</f>
        <v/>
      </c>
      <c r="Q652" s="1756" t="s">
        <v>437</v>
      </c>
      <c r="R652" s="1086" t="str">
        <f>IFERROR(VLOOKUP(F652,Trainingsarten!$A$9:$N$84,14,FALSE),"")</f>
        <v/>
      </c>
      <c r="S652" s="1087" t="str">
        <f t="shared" si="115"/>
        <v/>
      </c>
      <c r="T652" s="1757">
        <f t="shared" si="113"/>
        <v>19.537145811099691</v>
      </c>
      <c r="U652" s="1758">
        <f t="shared" si="111"/>
        <v>25.239715039896698</v>
      </c>
      <c r="V652" s="1088">
        <f t="shared" si="112"/>
        <v>3.0619810661315299</v>
      </c>
      <c r="W652" s="3284">
        <f t="shared" si="109"/>
        <v>0.77406364454658494</v>
      </c>
      <c r="X652" s="3300"/>
      <c r="Y652" s="3316"/>
      <c r="AA652" s="3301"/>
      <c r="AB652" s="3409"/>
      <c r="AE652" s="1056"/>
    </row>
    <row r="653" spans="2:31" ht="16" thickBot="1" x14ac:dyDescent="0.25">
      <c r="B653" s="2983">
        <f>AVERAGE(W647:W653)</f>
        <v>0.98535983978358033</v>
      </c>
      <c r="C653" s="1790">
        <v>43751</v>
      </c>
      <c r="D653" s="1791" t="s">
        <v>681</v>
      </c>
      <c r="E653" s="1792"/>
      <c r="F653" s="2706" t="s">
        <v>158</v>
      </c>
      <c r="G653" s="1793">
        <v>7.2962962962962966E-2</v>
      </c>
      <c r="H653" s="1794">
        <v>21.1</v>
      </c>
      <c r="I653" s="1795">
        <f t="shared" si="114"/>
        <v>3.4579603299982444E-3</v>
      </c>
      <c r="J653" s="1796">
        <v>162</v>
      </c>
      <c r="K653" s="1797">
        <v>129</v>
      </c>
      <c r="L653" s="2811">
        <v>236</v>
      </c>
      <c r="M653" s="2836"/>
      <c r="N653" s="1798">
        <f t="shared" si="110"/>
        <v>1.0523760345193462</v>
      </c>
      <c r="O653" s="1799" t="s">
        <v>667</v>
      </c>
      <c r="P653" s="1800" t="str">
        <f>IFERROR(VLOOKUP(F653,Trainingsarten!$A$9:$N$84,12,FALSE),"")</f>
        <v/>
      </c>
      <c r="Q653" s="1801" t="s">
        <v>437</v>
      </c>
      <c r="R653" s="1696" t="str">
        <f>IFERROR(VLOOKUP(F653,Trainingsarten!$A$9:$N$84,14,FALSE),"")</f>
        <v/>
      </c>
      <c r="S653" s="1106">
        <f t="shared" si="115"/>
        <v>1.4567901234567902</v>
      </c>
      <c r="T653" s="1802">
        <f t="shared" si="113"/>
        <v>35.17469640951402</v>
      </c>
      <c r="U653" s="1803">
        <f t="shared" si="111"/>
        <v>27.710198015137252</v>
      </c>
      <c r="V653" s="1152">
        <f t="shared" si="112"/>
        <v>5.7025692287970067</v>
      </c>
      <c r="W653" s="3285">
        <f t="shared" si="109"/>
        <v>1.2693773025475725</v>
      </c>
      <c r="X653" s="3300"/>
      <c r="Y653" s="3316"/>
      <c r="AA653" s="3301"/>
      <c r="AB653" s="3409"/>
      <c r="AE653" s="1056"/>
    </row>
    <row r="654" spans="2:31" ht="16" thickBot="1" x14ac:dyDescent="0.25">
      <c r="B654" s="2977">
        <f>B647+1</f>
        <v>42</v>
      </c>
      <c r="C654" s="1190">
        <v>43752</v>
      </c>
      <c r="D654" s="1191"/>
      <c r="E654" s="1192"/>
      <c r="F654" s="2645"/>
      <c r="G654" s="1349"/>
      <c r="H654" s="1697" t="str">
        <f>IFERROR(VLOOKUP(F654,Trainingsarten!$A$9:$K$84,10,FALSE),"")</f>
        <v/>
      </c>
      <c r="I654" s="1368" t="str">
        <f t="shared" si="114"/>
        <v/>
      </c>
      <c r="J654" s="1354"/>
      <c r="K654" s="1353" t="str">
        <f>IFERROR(VLOOKUP(F654,Trainingsarten!$A$9:$K$84,11,FALSE),"0")</f>
        <v>0</v>
      </c>
      <c r="L654" s="1915"/>
      <c r="M654" s="2833"/>
      <c r="N654" s="1199" t="str">
        <f t="shared" si="110"/>
        <v/>
      </c>
      <c r="O654" s="1668"/>
      <c r="P654" s="1201" t="str">
        <f>IFERROR(VLOOKUP(F654,Trainingsarten!$A$9:$N$84,12,FALSE),"")</f>
        <v/>
      </c>
      <c r="Q654" s="1202" t="s">
        <v>437</v>
      </c>
      <c r="R654" s="1069" t="str">
        <f>IFERROR(VLOOKUP(F654,Trainingsarten!$A$9:$N$84,14,FALSE),"")</f>
        <v/>
      </c>
      <c r="S654" s="1070" t="str">
        <f t="shared" si="115"/>
        <v/>
      </c>
      <c r="T654" s="1669">
        <f t="shared" si="113"/>
        <v>30.149739779583445</v>
      </c>
      <c r="U654" s="1055">
        <f t="shared" si="111"/>
        <v>27.050431395729223</v>
      </c>
      <c r="V654" s="1203">
        <f t="shared" si="112"/>
        <v>-7.4644983943767684</v>
      </c>
      <c r="W654" s="3286">
        <f t="shared" si="109"/>
        <v>1.1145751924807952</v>
      </c>
      <c r="X654" s="3300"/>
      <c r="Y654" s="3316"/>
      <c r="AA654" s="3301"/>
      <c r="AB654" s="3409"/>
      <c r="AE654" s="1056"/>
    </row>
    <row r="655" spans="2:31" x14ac:dyDescent="0.2">
      <c r="B655" s="2978" t="s">
        <v>626</v>
      </c>
      <c r="C655" s="1211">
        <v>43753</v>
      </c>
      <c r="D655" s="1212"/>
      <c r="E655" s="1213"/>
      <c r="F655" s="2636"/>
      <c r="G655" s="1357"/>
      <c r="H655" s="1358" t="str">
        <f>IFERROR(VLOOKUP(F655,Trainingsarten!$A$9:$K$84,10,FALSE),"")</f>
        <v/>
      </c>
      <c r="I655" s="1369" t="str">
        <f t="shared" si="114"/>
        <v/>
      </c>
      <c r="J655" s="1306"/>
      <c r="K655" s="1305" t="str">
        <f>IFERROR(VLOOKUP(F655,Trainingsarten!$A$9:$K$84,11,FALSE),"0")</f>
        <v>0</v>
      </c>
      <c r="L655" s="2806"/>
      <c r="M655" s="2829"/>
      <c r="N655" s="1208" t="str">
        <f t="shared" si="110"/>
        <v/>
      </c>
      <c r="O655" s="1670"/>
      <c r="P655" s="1136" t="str">
        <f>IFERROR(VLOOKUP(F655,Trainingsarten!$A$9:$N$84,12,FALSE),"")</f>
        <v/>
      </c>
      <c r="Q655" s="1137" t="s">
        <v>437</v>
      </c>
      <c r="R655" s="1086" t="str">
        <f>IFERROR(VLOOKUP(F655,Trainingsarten!$A$9:$N$84,14,FALSE),"")</f>
        <v/>
      </c>
      <c r="S655" s="1087" t="str">
        <f t="shared" si="115"/>
        <v/>
      </c>
      <c r="T655" s="1232">
        <f t="shared" si="113"/>
        <v>25.842634096785808</v>
      </c>
      <c r="U655" s="1239">
        <f t="shared" si="111"/>
        <v>26.406373505354718</v>
      </c>
      <c r="V655" s="1210">
        <f t="shared" si="112"/>
        <v>-3.0993083838542219</v>
      </c>
      <c r="W655" s="3284">
        <f t="shared" si="109"/>
        <v>0.97865138851972255</v>
      </c>
      <c r="X655" s="3300"/>
      <c r="Y655" s="3316"/>
      <c r="AA655" s="3301"/>
      <c r="AB655" s="3409"/>
      <c r="AE655" s="1056"/>
    </row>
    <row r="656" spans="2:31" ht="16" thickBot="1" x14ac:dyDescent="0.25">
      <c r="B656" s="2979">
        <f>SUM(H654:H660)</f>
        <v>11.1</v>
      </c>
      <c r="C656" s="1211">
        <v>43754</v>
      </c>
      <c r="D656" s="1089"/>
      <c r="E656" s="1205"/>
      <c r="F656" s="2636"/>
      <c r="G656" s="1357"/>
      <c r="H656" s="1358" t="str">
        <f>IFERROR(VLOOKUP(F656,Trainingsarten!$A$9:$K$84,10,FALSE),"")</f>
        <v/>
      </c>
      <c r="I656" s="1369" t="str">
        <f t="shared" si="114"/>
        <v/>
      </c>
      <c r="J656" s="1306"/>
      <c r="K656" s="1305" t="str">
        <f>IFERROR(VLOOKUP(F656,Trainingsarten!$A$9:$K$84,11,FALSE),"0")</f>
        <v>0</v>
      </c>
      <c r="L656" s="2806"/>
      <c r="M656" s="2829"/>
      <c r="N656" s="1208" t="str">
        <f t="shared" si="110"/>
        <v/>
      </c>
      <c r="O656" s="1670"/>
      <c r="P656" s="1136" t="str">
        <f>IFERROR(VLOOKUP(F656,Trainingsarten!$A$9:$N$84,12,FALSE),"")</f>
        <v/>
      </c>
      <c r="Q656" s="1137" t="s">
        <v>437</v>
      </c>
      <c r="R656" s="1086" t="str">
        <f>IFERROR(VLOOKUP(F656,Trainingsarten!$A$9:$N$84,14,FALSE),"")</f>
        <v/>
      </c>
      <c r="S656" s="1087" t="str">
        <f t="shared" si="115"/>
        <v/>
      </c>
      <c r="T656" s="1232">
        <f t="shared" si="113"/>
        <v>22.150829225816405</v>
      </c>
      <c r="U656" s="1239">
        <f t="shared" si="111"/>
        <v>25.777650326655795</v>
      </c>
      <c r="V656" s="1210">
        <f t="shared" si="112"/>
        <v>0.56373940856891025</v>
      </c>
      <c r="W656" s="3284">
        <f t="shared" si="109"/>
        <v>0.85930365821243926</v>
      </c>
      <c r="X656" s="3300"/>
      <c r="Y656" s="3316"/>
      <c r="AA656" s="3301"/>
      <c r="AB656" s="3409"/>
      <c r="AE656" s="1056"/>
    </row>
    <row r="657" spans="2:31" x14ac:dyDescent="0.2">
      <c r="B657" s="2980" t="s">
        <v>628</v>
      </c>
      <c r="C657" s="1211">
        <v>43755</v>
      </c>
      <c r="D657" s="1089"/>
      <c r="E657" s="1205"/>
      <c r="F657" s="2636"/>
      <c r="G657" s="1357"/>
      <c r="H657" s="1358" t="str">
        <f>IFERROR(VLOOKUP(F657,Trainingsarten!$A$9:$K$84,10,FALSE),"")</f>
        <v/>
      </c>
      <c r="I657" s="1369" t="str">
        <f t="shared" si="114"/>
        <v/>
      </c>
      <c r="J657" s="1306"/>
      <c r="K657" s="1305" t="str">
        <f>IFERROR(VLOOKUP(F657,Trainingsarten!$A$9:$K$84,11,FALSE),"0")</f>
        <v>0</v>
      </c>
      <c r="L657" s="2806"/>
      <c r="M657" s="2829"/>
      <c r="N657" s="1208" t="str">
        <f t="shared" si="110"/>
        <v/>
      </c>
      <c r="O657" s="1670"/>
      <c r="P657" s="1136" t="str">
        <f>IFERROR(VLOOKUP(F657,Trainingsarten!$A$9:$N$84,12,FALSE),"")</f>
        <v/>
      </c>
      <c r="Q657" s="1137" t="s">
        <v>437</v>
      </c>
      <c r="R657" s="1086" t="str">
        <f>IFERROR(VLOOKUP(F657,Trainingsarten!$A$9:$N$84,14,FALSE),"")</f>
        <v/>
      </c>
      <c r="S657" s="1087" t="str">
        <f t="shared" si="115"/>
        <v/>
      </c>
      <c r="T657" s="1232">
        <f t="shared" si="113"/>
        <v>18.986425050699776</v>
      </c>
      <c r="U657" s="1239">
        <f t="shared" si="111"/>
        <v>25.163896747449705</v>
      </c>
      <c r="V657" s="1210">
        <f t="shared" si="112"/>
        <v>3.6268211008393898</v>
      </c>
      <c r="W657" s="3284">
        <f t="shared" si="109"/>
        <v>0.75451052916214179</v>
      </c>
      <c r="X657" s="3300"/>
      <c r="Y657" s="3316"/>
      <c r="AA657" s="3301"/>
      <c r="AB657" s="3409"/>
      <c r="AE657" s="1056"/>
    </row>
    <row r="658" spans="2:31" ht="16" thickBot="1" x14ac:dyDescent="0.25">
      <c r="B658" s="2981">
        <f>SUM(K654:K660)</f>
        <v>72</v>
      </c>
      <c r="C658" s="1211">
        <v>43756</v>
      </c>
      <c r="D658" s="1089"/>
      <c r="E658" s="1205"/>
      <c r="F658" s="2636"/>
      <c r="G658" s="1357"/>
      <c r="H658" s="1358" t="str">
        <f>IFERROR(VLOOKUP(F658,Trainingsarten!$A$9:$K$84,10,FALSE),"")</f>
        <v/>
      </c>
      <c r="I658" s="1369" t="str">
        <f t="shared" si="114"/>
        <v/>
      </c>
      <c r="J658" s="1306"/>
      <c r="K658" s="1305" t="str">
        <f>IFERROR(VLOOKUP(F658,Trainingsarten!$A$9:$K$84,11,FALSE),"0")</f>
        <v>0</v>
      </c>
      <c r="L658" s="2806"/>
      <c r="M658" s="2829"/>
      <c r="N658" s="1208" t="str">
        <f t="shared" si="110"/>
        <v/>
      </c>
      <c r="O658" s="1670"/>
      <c r="P658" s="1136" t="str">
        <f>IFERROR(VLOOKUP(F658,Trainingsarten!$A$9:$N$84,12,FALSE),"")</f>
        <v/>
      </c>
      <c r="Q658" s="1137" t="s">
        <v>437</v>
      </c>
      <c r="R658" s="1086" t="str">
        <f>IFERROR(VLOOKUP(F658,Trainingsarten!$A$9:$N$84,14,FALSE),"")</f>
        <v/>
      </c>
      <c r="S658" s="1087" t="str">
        <f t="shared" si="115"/>
        <v/>
      </c>
      <c r="T658" s="1232">
        <f t="shared" si="113"/>
        <v>16.274078614885521</v>
      </c>
      <c r="U658" s="1239">
        <f t="shared" si="111"/>
        <v>24.564756348700904</v>
      </c>
      <c r="V658" s="1210">
        <f t="shared" si="112"/>
        <v>6.1774716967499295</v>
      </c>
      <c r="W658" s="3284">
        <f t="shared" si="109"/>
        <v>0.66249704999602688</v>
      </c>
      <c r="X658" s="3300"/>
      <c r="Y658" s="3316"/>
      <c r="AA658" s="3301"/>
      <c r="AB658" s="3409"/>
      <c r="AE658" s="1056"/>
    </row>
    <row r="659" spans="2:31" x14ac:dyDescent="0.2">
      <c r="B659" s="2982" t="s">
        <v>761</v>
      </c>
      <c r="C659" s="1804">
        <v>43757</v>
      </c>
      <c r="D659" s="1089" t="s">
        <v>682</v>
      </c>
      <c r="E659" s="1205"/>
      <c r="F659" s="2636" t="s">
        <v>760</v>
      </c>
      <c r="G659" s="1357">
        <v>4.3043981481481482E-2</v>
      </c>
      <c r="H659" s="1358">
        <v>11.1</v>
      </c>
      <c r="I659" s="1369">
        <f t="shared" si="114"/>
        <v>3.8778361695028362E-3</v>
      </c>
      <c r="J659" s="1306">
        <v>137</v>
      </c>
      <c r="K659" s="1305">
        <v>72</v>
      </c>
      <c r="L659" s="2806">
        <v>214</v>
      </c>
      <c r="M659" s="2829"/>
      <c r="N659" s="1208">
        <f t="shared" si="110"/>
        <v>1.070143875218502</v>
      </c>
      <c r="O659" s="1670" t="s">
        <v>751</v>
      </c>
      <c r="P659" s="1136" t="str">
        <f>IFERROR(VLOOKUP(F659,Trainingsarten!$A$9:$N$84,12,FALSE),"")</f>
        <v/>
      </c>
      <c r="Q659" s="1137" t="s">
        <v>437</v>
      </c>
      <c r="R659" s="1086" t="str">
        <f>IFERROR(VLOOKUP(F659,Trainingsarten!$A$9:$N$84,14,FALSE),"")</f>
        <v/>
      </c>
      <c r="S659" s="1087">
        <f t="shared" si="115"/>
        <v>1.562043795620438</v>
      </c>
      <c r="T659" s="1232">
        <f t="shared" si="113"/>
        <v>24.234924527044733</v>
      </c>
      <c r="U659" s="1239">
        <f t="shared" si="111"/>
        <v>25.694166911827072</v>
      </c>
      <c r="V659" s="1210">
        <f t="shared" si="112"/>
        <v>8.2906777338153823</v>
      </c>
      <c r="W659" s="3284">
        <f t="shared" si="109"/>
        <v>0.94320725050981724</v>
      </c>
      <c r="X659" s="3300"/>
      <c r="Y659" s="3316"/>
      <c r="AA659" s="3301"/>
      <c r="AB659" s="3409"/>
      <c r="AE659" s="1056"/>
    </row>
    <row r="660" spans="2:31" ht="16" thickBot="1" x14ac:dyDescent="0.25">
      <c r="B660" s="2983">
        <f>AVERAGE(W654:W660)</f>
        <v>0.87727529213404909</v>
      </c>
      <c r="C660" s="1805">
        <v>43758</v>
      </c>
      <c r="D660" s="1108"/>
      <c r="E660" s="1261"/>
      <c r="F660" s="2629"/>
      <c r="G660" s="1361"/>
      <c r="H660" s="1362" t="str">
        <f>IFERROR(VLOOKUP(F660,Trainingsarten!$A$9:$K$84,10,FALSE),"")</f>
        <v/>
      </c>
      <c r="I660" s="1370" t="str">
        <f t="shared" si="114"/>
        <v/>
      </c>
      <c r="J660" s="1317"/>
      <c r="K660" s="1316" t="str">
        <f>IFERROR(VLOOKUP(F660,Trainingsarten!$A$9:$K$84,11,FALSE),"0")</f>
        <v>0</v>
      </c>
      <c r="L660" s="2807"/>
      <c r="M660" s="2830"/>
      <c r="N660" s="1223" t="str">
        <f t="shared" si="110"/>
        <v/>
      </c>
      <c r="O660" s="1671"/>
      <c r="P660" s="1225" t="str">
        <f>IFERROR(VLOOKUP(F660,Trainingsarten!$A$9:$N$84,12,FALSE),"")</f>
        <v/>
      </c>
      <c r="Q660" s="1226" t="s">
        <v>437</v>
      </c>
      <c r="R660" s="1105" t="str">
        <f>IFERROR(VLOOKUP(F660,Trainingsarten!$A$9:$N$84,14,FALSE),"")</f>
        <v/>
      </c>
      <c r="S660" s="1106" t="str">
        <f t="shared" si="115"/>
        <v/>
      </c>
      <c r="T660" s="1215">
        <f t="shared" si="113"/>
        <v>20.772792451752629</v>
      </c>
      <c r="U660" s="1227">
        <f t="shared" si="111"/>
        <v>25.082401032974047</v>
      </c>
      <c r="V660" s="1227">
        <f t="shared" si="112"/>
        <v>1.459242384782339</v>
      </c>
      <c r="W660" s="3287">
        <f t="shared" si="109"/>
        <v>0.8281819760574004</v>
      </c>
      <c r="X660" s="3300"/>
      <c r="Y660" s="3316"/>
      <c r="AA660" s="3301"/>
      <c r="AB660" s="3409"/>
      <c r="AE660" s="1056"/>
    </row>
    <row r="661" spans="2:31" ht="16" thickBot="1" x14ac:dyDescent="0.25">
      <c r="B661" s="2984">
        <f>B654+1</f>
        <v>43</v>
      </c>
      <c r="C661" s="1245">
        <v>43759</v>
      </c>
      <c r="D661" s="1111"/>
      <c r="E661" s="1112"/>
      <c r="F661" s="2685"/>
      <c r="G661" s="1647"/>
      <c r="H661" s="1648" t="str">
        <f>IFERROR(VLOOKUP(F661,Trainingsarten!$A$9:$K$84,10,FALSE),"")</f>
        <v/>
      </c>
      <c r="I661" s="1230" t="str">
        <f t="shared" si="114"/>
        <v/>
      </c>
      <c r="J661" s="1324"/>
      <c r="K661" s="1325" t="str">
        <f>IFERROR(VLOOKUP(F661,Trainingsarten!$A$9:$K$84,11,FALSE),"0")</f>
        <v>0</v>
      </c>
      <c r="L661" s="1326"/>
      <c r="M661" s="2831"/>
      <c r="N661" s="1119" t="str">
        <f t="shared" si="110"/>
        <v/>
      </c>
      <c r="O661" s="1649"/>
      <c r="P661" s="1277" t="str">
        <f>IFERROR(VLOOKUP(F661,Trainingsarten!$A$9:$N$84,12,FALSE),"")</f>
        <v/>
      </c>
      <c r="Q661" s="1122" t="s">
        <v>437</v>
      </c>
      <c r="R661" s="1122" t="str">
        <f>IFERROR(VLOOKUP(F661,Trainingsarten!$A$9:$N$84,14,FALSE),"")</f>
        <v/>
      </c>
      <c r="S661" s="1070" t="str">
        <f t="shared" si="115"/>
        <v/>
      </c>
      <c r="T661" s="1650">
        <f t="shared" si="113"/>
        <v>17.805250672930825</v>
      </c>
      <c r="U661" s="1651">
        <f t="shared" si="111"/>
        <v>24.485201008379427</v>
      </c>
      <c r="V661" s="1278">
        <f t="shared" si="112"/>
        <v>4.3096085812214184</v>
      </c>
      <c r="W661" s="3283">
        <f t="shared" si="109"/>
        <v>0.7271841740991809</v>
      </c>
      <c r="X661" s="3300"/>
      <c r="Y661" s="3316"/>
      <c r="AA661" s="3301"/>
      <c r="AB661" s="3409"/>
      <c r="AE661" s="1056"/>
    </row>
    <row r="662" spans="2:31" x14ac:dyDescent="0.2">
      <c r="B662" s="2978" t="s">
        <v>626</v>
      </c>
      <c r="C662" s="1698">
        <v>43760</v>
      </c>
      <c r="D662" s="1806" t="s">
        <v>683</v>
      </c>
      <c r="E662" s="1807"/>
      <c r="F662" s="2707" t="s">
        <v>760</v>
      </c>
      <c r="G662" s="1749">
        <v>3.6157407407407409E-2</v>
      </c>
      <c r="H662" s="1778">
        <v>9.5</v>
      </c>
      <c r="I662" s="1808">
        <f t="shared" si="114"/>
        <v>3.8060428849902538E-3</v>
      </c>
      <c r="J662" s="1809">
        <v>134</v>
      </c>
      <c r="K662" s="1753">
        <v>64</v>
      </c>
      <c r="L662" s="2806">
        <v>217</v>
      </c>
      <c r="M662" s="2829"/>
      <c r="N662" s="1810">
        <f t="shared" si="110"/>
        <v>1.0650557737627653</v>
      </c>
      <c r="O662" s="1754" t="s">
        <v>751</v>
      </c>
      <c r="P662" s="1755" t="str">
        <f>IFERROR(VLOOKUP(F662,Trainingsarten!$A$9:$N$84,12,FALSE),"")</f>
        <v/>
      </c>
      <c r="Q662" s="1756" t="s">
        <v>437</v>
      </c>
      <c r="R662" s="1086" t="str">
        <f>IFERROR(VLOOKUP(F662,Trainingsarten!$A$9:$N$84,14,FALSE),"")</f>
        <v/>
      </c>
      <c r="S662" s="1087">
        <f t="shared" si="115"/>
        <v>1.6194029850746268</v>
      </c>
      <c r="T662" s="1757">
        <f t="shared" si="113"/>
        <v>24.404500576797851</v>
      </c>
      <c r="U662" s="1758">
        <f t="shared" si="111"/>
        <v>25.426029555798966</v>
      </c>
      <c r="V662" s="1088">
        <f t="shared" si="112"/>
        <v>6.6799503354486021</v>
      </c>
      <c r="W662" s="3284">
        <f t="shared" si="109"/>
        <v>0.95982349596663108</v>
      </c>
      <c r="X662" s="3300"/>
      <c r="Y662" s="3316"/>
      <c r="AA662" s="3301"/>
      <c r="AB662" s="3409"/>
      <c r="AE662" s="1056"/>
    </row>
    <row r="663" spans="2:31" ht="16" thickBot="1" x14ac:dyDescent="0.25">
      <c r="B663" s="2979">
        <f>SUM(H661:H667)</f>
        <v>31.04</v>
      </c>
      <c r="C663" s="1211">
        <v>43761</v>
      </c>
      <c r="D663" s="1806"/>
      <c r="E663" s="1807"/>
      <c r="F663" s="2707"/>
      <c r="G663" s="1749"/>
      <c r="H663" s="1778" t="str">
        <f>IFERROR(VLOOKUP(F663,Trainingsarten!$A$9:$K$84,10,FALSE),"")</f>
        <v/>
      </c>
      <c r="I663" s="1808" t="str">
        <f t="shared" si="114"/>
        <v/>
      </c>
      <c r="J663" s="1809"/>
      <c r="K663" s="1753" t="str">
        <f>IFERROR(VLOOKUP(F663,Trainingsarten!$A$9:$K$84,11,FALSE),"0")</f>
        <v>0</v>
      </c>
      <c r="L663" s="2806"/>
      <c r="M663" s="2829"/>
      <c r="N663" s="1810" t="str">
        <f t="shared" si="110"/>
        <v/>
      </c>
      <c r="O663" s="1754"/>
      <c r="P663" s="1755" t="str">
        <f>IFERROR(VLOOKUP(F663,Trainingsarten!$A$9:$N$84,12,FALSE),"")</f>
        <v/>
      </c>
      <c r="Q663" s="1756" t="s">
        <v>437</v>
      </c>
      <c r="R663" s="1086" t="str">
        <f>IFERROR(VLOOKUP(F663,Trainingsarten!$A$9:$N$84,14,FALSE),"")</f>
        <v/>
      </c>
      <c r="S663" s="1087" t="str">
        <f t="shared" si="115"/>
        <v/>
      </c>
      <c r="T663" s="1757">
        <f t="shared" si="113"/>
        <v>20.918143351541016</v>
      </c>
      <c r="U663" s="1758">
        <f t="shared" si="111"/>
        <v>24.820647899708515</v>
      </c>
      <c r="V663" s="1088">
        <f t="shared" si="112"/>
        <v>1.0215289790011148</v>
      </c>
      <c r="W663" s="3284">
        <f t="shared" si="109"/>
        <v>0.84277185011704192</v>
      </c>
      <c r="X663" s="3300"/>
      <c r="Y663" s="3316"/>
      <c r="AA663" s="3301"/>
      <c r="AB663" s="3409"/>
      <c r="AE663" s="1056"/>
    </row>
    <row r="664" spans="2:31" x14ac:dyDescent="0.2">
      <c r="B664" s="2980" t="s">
        <v>628</v>
      </c>
      <c r="C664" s="1211">
        <v>43762</v>
      </c>
      <c r="D664" s="1806"/>
      <c r="E664" s="1807"/>
      <c r="F664" s="2707"/>
      <c r="G664" s="1749"/>
      <c r="H664" s="1778" t="str">
        <f>IFERROR(VLOOKUP(F664,Trainingsarten!$A$9:$K$84,10,FALSE),"")</f>
        <v/>
      </c>
      <c r="I664" s="1808" t="str">
        <f t="shared" si="114"/>
        <v/>
      </c>
      <c r="J664" s="1809"/>
      <c r="K664" s="1753" t="str">
        <f>IFERROR(VLOOKUP(F664,Trainingsarten!$A$9:$K$84,11,FALSE),"0")</f>
        <v>0</v>
      </c>
      <c r="L664" s="2806"/>
      <c r="M664" s="2829"/>
      <c r="N664" s="1810" t="str">
        <f t="shared" si="110"/>
        <v/>
      </c>
      <c r="O664" s="1754"/>
      <c r="P664" s="1755" t="str">
        <f>IFERROR(VLOOKUP(F664,Trainingsarten!$A$9:$N$84,12,FALSE),"")</f>
        <v/>
      </c>
      <c r="Q664" s="1756" t="s">
        <v>437</v>
      </c>
      <c r="R664" s="1086" t="str">
        <f>IFERROR(VLOOKUP(F664,Trainingsarten!$A$9:$N$84,14,FALSE),"")</f>
        <v/>
      </c>
      <c r="S664" s="1087" t="str">
        <f t="shared" si="115"/>
        <v/>
      </c>
      <c r="T664" s="1757">
        <f t="shared" si="113"/>
        <v>17.929837158463727</v>
      </c>
      <c r="U664" s="1758">
        <f t="shared" si="111"/>
        <v>24.229680092572597</v>
      </c>
      <c r="V664" s="1088">
        <f t="shared" si="112"/>
        <v>3.9025045481674994</v>
      </c>
      <c r="W664" s="3284">
        <f t="shared" si="109"/>
        <v>0.73999479522471967</v>
      </c>
      <c r="X664" s="3300"/>
      <c r="Y664" s="3316"/>
      <c r="AA664" s="3301"/>
      <c r="AB664" s="3409"/>
      <c r="AE664" s="1056"/>
    </row>
    <row r="665" spans="2:31" ht="16" thickBot="1" x14ac:dyDescent="0.25">
      <c r="B665" s="2981">
        <f>SUM(K661:K667)</f>
        <v>207</v>
      </c>
      <c r="C665" s="1211">
        <v>43763</v>
      </c>
      <c r="D665" s="1806" t="s">
        <v>684</v>
      </c>
      <c r="E665" s="1807"/>
      <c r="F665" s="2707" t="s">
        <v>760</v>
      </c>
      <c r="G665" s="1749">
        <v>3.8912037037037037E-2</v>
      </c>
      <c r="H665" s="1778">
        <v>9.94</v>
      </c>
      <c r="I665" s="1808">
        <f t="shared" si="114"/>
        <v>3.9146918548326999E-3</v>
      </c>
      <c r="J665" s="1809">
        <v>132</v>
      </c>
      <c r="K665" s="1753">
        <v>65</v>
      </c>
      <c r="L665" s="2806">
        <v>214</v>
      </c>
      <c r="M665" s="2829"/>
      <c r="N665" s="1810">
        <f t="shared" si="110"/>
        <v>1.0803147241658908</v>
      </c>
      <c r="O665" s="1754" t="s">
        <v>750</v>
      </c>
      <c r="P665" s="1755" t="str">
        <f>IFERROR(VLOOKUP(F665,Trainingsarten!$A$9:$N$84,12,FALSE),"")</f>
        <v/>
      </c>
      <c r="Q665" s="1756" t="s">
        <v>437</v>
      </c>
      <c r="R665" s="1086" t="str">
        <f>IFERROR(VLOOKUP(F665,Trainingsarten!$A$9:$N$84,14,FALSE),"")</f>
        <v/>
      </c>
      <c r="S665" s="1087">
        <f t="shared" si="115"/>
        <v>1.6212121212121211</v>
      </c>
      <c r="T665" s="1757">
        <f t="shared" si="113"/>
        <v>24.654146135826053</v>
      </c>
      <c r="U665" s="1758">
        <f t="shared" si="111"/>
        <v>25.200401995130392</v>
      </c>
      <c r="V665" s="1088">
        <f t="shared" si="112"/>
        <v>6.2998429341088702</v>
      </c>
      <c r="W665" s="3284">
        <f t="shared" si="109"/>
        <v>0.97832352597351846</v>
      </c>
      <c r="X665" s="3300"/>
      <c r="Y665" s="3316"/>
      <c r="AA665" s="3301"/>
      <c r="AB665" s="3409"/>
      <c r="AE665" s="1056"/>
    </row>
    <row r="666" spans="2:31" x14ac:dyDescent="0.2">
      <c r="B666" s="2982" t="s">
        <v>761</v>
      </c>
      <c r="C666" s="1211">
        <v>43764</v>
      </c>
      <c r="D666" s="1806"/>
      <c r="E666" s="1807"/>
      <c r="F666" s="2707"/>
      <c r="G666" s="1749"/>
      <c r="H666" s="1778" t="str">
        <f>IFERROR(VLOOKUP(F666,Trainingsarten!$A$9:$K$84,10,FALSE),"")</f>
        <v/>
      </c>
      <c r="I666" s="1808" t="str">
        <f t="shared" si="114"/>
        <v/>
      </c>
      <c r="J666" s="1809"/>
      <c r="K666" s="1753" t="str">
        <f>IFERROR(VLOOKUP(F666,Trainingsarten!$A$9:$K$84,11,FALSE),"0")</f>
        <v>0</v>
      </c>
      <c r="L666" s="2806"/>
      <c r="M666" s="2829"/>
      <c r="N666" s="1810" t="str">
        <f t="shared" si="110"/>
        <v/>
      </c>
      <c r="O666" s="1754"/>
      <c r="P666" s="1755" t="str">
        <f>IFERROR(VLOOKUP(F666,Trainingsarten!$A$9:$N$84,12,FALSE),"")</f>
        <v/>
      </c>
      <c r="Q666" s="1756" t="s">
        <v>437</v>
      </c>
      <c r="R666" s="1086" t="str">
        <f>IFERROR(VLOOKUP(F666,Trainingsarten!$A$9:$N$84,14,FALSE),"")</f>
        <v/>
      </c>
      <c r="S666" s="1087" t="str">
        <f t="shared" si="115"/>
        <v/>
      </c>
      <c r="T666" s="1757">
        <f t="shared" si="113"/>
        <v>21.132125259279473</v>
      </c>
      <c r="U666" s="1758">
        <f t="shared" si="111"/>
        <v>24.600392423817762</v>
      </c>
      <c r="V666" s="1088">
        <f t="shared" si="112"/>
        <v>0.54625585930433829</v>
      </c>
      <c r="W666" s="3284">
        <f t="shared" si="109"/>
        <v>0.85901577890357717</v>
      </c>
      <c r="X666" s="3300"/>
      <c r="Y666" s="3316"/>
      <c r="AA666" s="3301"/>
      <c r="AB666" s="3409"/>
      <c r="AE666" s="1056"/>
    </row>
    <row r="667" spans="2:31" ht="16" thickBot="1" x14ac:dyDescent="0.25">
      <c r="B667" s="2983">
        <f>AVERAGE(W661:W667)</f>
        <v>0.89113196801359484</v>
      </c>
      <c r="C667" s="1189">
        <v>43765</v>
      </c>
      <c r="D667" s="1683" t="s">
        <v>685</v>
      </c>
      <c r="E667" s="1712"/>
      <c r="F667" s="2651" t="s">
        <v>627</v>
      </c>
      <c r="G667" s="1811">
        <v>4.4074074074074071E-2</v>
      </c>
      <c r="H667" s="1812">
        <v>11.6</v>
      </c>
      <c r="I667" s="1813">
        <f t="shared" si="114"/>
        <v>3.7994891443167305E-3</v>
      </c>
      <c r="J667" s="1814">
        <v>137</v>
      </c>
      <c r="K667" s="1344">
        <v>78</v>
      </c>
      <c r="L667" s="2808">
        <v>214</v>
      </c>
      <c r="M667" s="2832"/>
      <c r="N667" s="1815">
        <f t="shared" si="110"/>
        <v>1.0485229027277407</v>
      </c>
      <c r="O667" s="1816" t="s">
        <v>667</v>
      </c>
      <c r="P667" s="1667">
        <f>IFERROR(VLOOKUP(F667,Trainingsarten!$A$9:$N$84,12,FALSE),"")</f>
        <v>279.53100000000006</v>
      </c>
      <c r="Q667" s="1817" t="s">
        <v>437</v>
      </c>
      <c r="R667" s="1151">
        <f>IFERROR(VLOOKUP(F667,Trainingsarten!$A$9:$N$84,14,FALSE),"")</f>
        <v>306.15300000000002</v>
      </c>
      <c r="S667" s="1106">
        <f t="shared" si="115"/>
        <v>1.562043795620438</v>
      </c>
      <c r="T667" s="1153">
        <f t="shared" si="113"/>
        <v>29.256107365096689</v>
      </c>
      <c r="U667" s="1152">
        <f t="shared" si="111"/>
        <v>25.8718116518221</v>
      </c>
      <c r="V667" s="1152">
        <f t="shared" si="112"/>
        <v>3.4682671645382896</v>
      </c>
      <c r="W667" s="3285">
        <f t="shared" si="109"/>
        <v>1.1308101558104935</v>
      </c>
      <c r="X667" s="3300"/>
      <c r="Y667" s="3316"/>
      <c r="AA667" s="3301"/>
      <c r="AB667" s="3409"/>
      <c r="AE667" s="1056"/>
    </row>
    <row r="668" spans="2:31" ht="16" thickBot="1" x14ac:dyDescent="0.25">
      <c r="B668" s="2977">
        <f>B661+1</f>
        <v>44</v>
      </c>
      <c r="C668" s="1190">
        <v>43766</v>
      </c>
      <c r="D668" s="1191"/>
      <c r="E668" s="1192"/>
      <c r="F668" s="2649"/>
      <c r="G668" s="1349"/>
      <c r="H668" s="1697" t="str">
        <f>IFERROR(VLOOKUP(F668,Trainingsarten!$A$9:$K$84,10,FALSE),"")</f>
        <v/>
      </c>
      <c r="I668" s="1368" t="str">
        <f t="shared" si="114"/>
        <v/>
      </c>
      <c r="J668" s="1354"/>
      <c r="K668" s="1353" t="str">
        <f>IFERROR(VLOOKUP(F668,Trainingsarten!$A$9:$K$84,11,FALSE),"0")</f>
        <v>0</v>
      </c>
      <c r="L668" s="1915"/>
      <c r="M668" s="2833"/>
      <c r="N668" s="1199" t="str">
        <f t="shared" si="110"/>
        <v/>
      </c>
      <c r="O668" s="1668"/>
      <c r="P668" s="1201" t="str">
        <f>IFERROR(VLOOKUP(F668,Trainingsarten!$A$9:$N$84,12,FALSE),"")</f>
        <v/>
      </c>
      <c r="Q668" s="1202" t="s">
        <v>437</v>
      </c>
      <c r="R668" s="1069" t="str">
        <f>IFERROR(VLOOKUP(F668,Trainingsarten!$A$9:$N$84,14,FALSE),"")</f>
        <v/>
      </c>
      <c r="S668" s="1070" t="str">
        <f t="shared" si="115"/>
        <v/>
      </c>
      <c r="T668" s="1669">
        <f t="shared" si="113"/>
        <v>25.07666345579716</v>
      </c>
      <c r="U668" s="1055">
        <f t="shared" si="111"/>
        <v>25.255816136302524</v>
      </c>
      <c r="V668" s="1203">
        <f t="shared" si="112"/>
        <v>-3.3842957132745894</v>
      </c>
      <c r="W668" s="3286">
        <f t="shared" si="109"/>
        <v>0.99290647827262835</v>
      </c>
      <c r="X668" s="3300"/>
      <c r="Y668" s="3316"/>
      <c r="AA668" s="3301"/>
      <c r="AB668" s="3409"/>
      <c r="AE668" s="1056"/>
    </row>
    <row r="669" spans="2:31" x14ac:dyDescent="0.2">
      <c r="B669" s="2978" t="s">
        <v>626</v>
      </c>
      <c r="C669" s="1204">
        <v>43767</v>
      </c>
      <c r="D669" s="1089"/>
      <c r="E669" s="1205"/>
      <c r="F669" s="2650"/>
      <c r="G669" s="1357"/>
      <c r="H669" s="1358" t="str">
        <f>IFERROR(VLOOKUP(F669,Trainingsarten!$A$9:$K$84,10,FALSE),"")</f>
        <v/>
      </c>
      <c r="I669" s="1369" t="str">
        <f t="shared" si="114"/>
        <v/>
      </c>
      <c r="J669" s="1306"/>
      <c r="K669" s="1305" t="str">
        <f>IFERROR(VLOOKUP(F669,Trainingsarten!$A$9:$K$84,11,FALSE),"0")</f>
        <v>0</v>
      </c>
      <c r="L669" s="2806"/>
      <c r="M669" s="2829"/>
      <c r="N669" s="1208" t="str">
        <f t="shared" si="110"/>
        <v/>
      </c>
      <c r="O669" s="1670"/>
      <c r="P669" s="1136" t="str">
        <f>IFERROR(VLOOKUP(F669,Trainingsarten!$A$9:$N$84,12,FALSE),"")</f>
        <v/>
      </c>
      <c r="Q669" s="1137" t="s">
        <v>437</v>
      </c>
      <c r="R669" s="1086" t="str">
        <f>IFERROR(VLOOKUP(F669,Trainingsarten!$A$9:$N$84,14,FALSE),"")</f>
        <v/>
      </c>
      <c r="S669" s="1087" t="str">
        <f t="shared" si="115"/>
        <v/>
      </c>
      <c r="T669" s="1232">
        <f t="shared" si="113"/>
        <v>21.49428296211185</v>
      </c>
      <c r="U669" s="1239">
        <f t="shared" si="111"/>
        <v>24.654487180676274</v>
      </c>
      <c r="V669" s="1210">
        <f t="shared" si="112"/>
        <v>0.17915268050536426</v>
      </c>
      <c r="W669" s="3284">
        <f t="shared" si="109"/>
        <v>0.87182032238572249</v>
      </c>
      <c r="X669" s="3300"/>
      <c r="Y669" s="3316"/>
      <c r="AA669" s="3301"/>
      <c r="AB669" s="3409"/>
      <c r="AE669" s="1056"/>
    </row>
    <row r="670" spans="2:31" ht="16" thickBot="1" x14ac:dyDescent="0.25">
      <c r="B670" s="2979">
        <f>SUM(H668:H674)</f>
        <v>21.98</v>
      </c>
      <c r="C670" s="1211">
        <v>43768</v>
      </c>
      <c r="D670" s="1089"/>
      <c r="E670" s="1205"/>
      <c r="F670" s="2636"/>
      <c r="G670" s="1357"/>
      <c r="H670" s="1358"/>
      <c r="I670" s="1369" t="str">
        <f t="shared" si="114"/>
        <v/>
      </c>
      <c r="J670" s="1306"/>
      <c r="K670" s="1305"/>
      <c r="L670" s="2806"/>
      <c r="M670" s="2829"/>
      <c r="N670" s="1208" t="str">
        <f t="shared" si="110"/>
        <v/>
      </c>
      <c r="O670" s="1670"/>
      <c r="P670" s="1136" t="str">
        <f>IFERROR(VLOOKUP(F670,Trainingsarten!$A$9:$N$84,12,FALSE),"")</f>
        <v/>
      </c>
      <c r="Q670" s="1137" t="s">
        <v>437</v>
      </c>
      <c r="R670" s="1086" t="str">
        <f>IFERROR(VLOOKUP(F670,Trainingsarten!$A$9:$N$84,14,FALSE),"")</f>
        <v/>
      </c>
      <c r="S670" s="1087" t="str">
        <f t="shared" si="115"/>
        <v/>
      </c>
      <c r="T670" s="1232">
        <f t="shared" si="113"/>
        <v>18.423671110381587</v>
      </c>
      <c r="U670" s="1239">
        <f t="shared" si="111"/>
        <v>24.067475581136364</v>
      </c>
      <c r="V670" s="1210">
        <f t="shared" si="112"/>
        <v>3.1602042185644237</v>
      </c>
      <c r="W670" s="3284">
        <f t="shared" si="109"/>
        <v>0.76550077087526847</v>
      </c>
      <c r="X670" s="3300"/>
      <c r="Y670" s="3316"/>
      <c r="AA670" s="3301"/>
      <c r="AB670" s="3409"/>
      <c r="AE670" s="1056"/>
    </row>
    <row r="671" spans="2:31" x14ac:dyDescent="0.2">
      <c r="B671" s="2980" t="s">
        <v>628</v>
      </c>
      <c r="C671" s="1211">
        <v>43769</v>
      </c>
      <c r="D671" s="1089" t="s">
        <v>686</v>
      </c>
      <c r="E671" s="1205"/>
      <c r="F671" s="2636" t="s">
        <v>665</v>
      </c>
      <c r="G671" s="1357">
        <v>3.6608796296296299E-2</v>
      </c>
      <c r="H671" s="1358">
        <v>10.6</v>
      </c>
      <c r="I671" s="1369">
        <f t="shared" si="114"/>
        <v>3.4536600279524814E-3</v>
      </c>
      <c r="J671" s="1306">
        <v>141</v>
      </c>
      <c r="K671" s="1305">
        <v>76</v>
      </c>
      <c r="L671" s="2806">
        <v>237</v>
      </c>
      <c r="M671" s="2829"/>
      <c r="N671" s="1208">
        <f t="shared" si="110"/>
        <v>1.0555209800056324</v>
      </c>
      <c r="O671" s="1670" t="s">
        <v>667</v>
      </c>
      <c r="P671" s="1136" t="str">
        <f>IFERROR(VLOOKUP(F671,Trainingsarten!$A$9:$N$84,12,FALSE),"")</f>
        <v/>
      </c>
      <c r="Q671" s="1137" t="s">
        <v>437</v>
      </c>
      <c r="R671" s="1086" t="str">
        <f>IFERROR(VLOOKUP(F671,Trainingsarten!$A$9:$N$84,14,FALSE),"")</f>
        <v/>
      </c>
      <c r="S671" s="1087">
        <f t="shared" si="115"/>
        <v>1.6808510638297873</v>
      </c>
      <c r="T671" s="1232">
        <f t="shared" si="113"/>
        <v>26.648860951755644</v>
      </c>
      <c r="U671" s="1239">
        <f t="shared" si="111"/>
        <v>25.303964257775974</v>
      </c>
      <c r="V671" s="1210">
        <f t="shared" si="112"/>
        <v>5.6438044707547768</v>
      </c>
      <c r="W671" s="3284">
        <f t="shared" ref="W671:W734" si="116">T671/U671</f>
        <v>1.0531496440746979</v>
      </c>
      <c r="X671" s="3300"/>
      <c r="Y671" s="3316"/>
      <c r="AA671" s="3301"/>
      <c r="AB671" s="3409"/>
      <c r="AE671" s="1056"/>
    </row>
    <row r="672" spans="2:31" ht="16" thickBot="1" x14ac:dyDescent="0.25">
      <c r="B672" s="2981">
        <f>SUM(K668:K674)</f>
        <v>148</v>
      </c>
      <c r="C672" s="1211">
        <v>43770</v>
      </c>
      <c r="D672" s="1089"/>
      <c r="E672" s="1205"/>
      <c r="F672" s="2636"/>
      <c r="G672" s="1357"/>
      <c r="H672" s="1358" t="str">
        <f>IFERROR(VLOOKUP(F672,Trainingsarten!$A$9:$K$84,10,FALSE),"")</f>
        <v/>
      </c>
      <c r="I672" s="1369" t="str">
        <f t="shared" si="114"/>
        <v/>
      </c>
      <c r="J672" s="1306"/>
      <c r="K672" s="1305" t="str">
        <f>IFERROR(VLOOKUP(F672,Trainingsarten!$A$9:$K$84,11,FALSE),"0")</f>
        <v>0</v>
      </c>
      <c r="L672" s="2806"/>
      <c r="M672" s="2829"/>
      <c r="N672" s="1208" t="str">
        <f t="shared" si="110"/>
        <v/>
      </c>
      <c r="O672" s="1670"/>
      <c r="P672" s="1136" t="str">
        <f>IFERROR(VLOOKUP(F672,Trainingsarten!$A$9:$N$84,12,FALSE),"")</f>
        <v/>
      </c>
      <c r="Q672" s="1137" t="s">
        <v>437</v>
      </c>
      <c r="R672" s="1086" t="str">
        <f>IFERROR(VLOOKUP(F672,Trainingsarten!$A$9:$N$84,14,FALSE),"")</f>
        <v/>
      </c>
      <c r="S672" s="1087" t="str">
        <f t="shared" si="115"/>
        <v/>
      </c>
      <c r="T672" s="1232">
        <f t="shared" si="113"/>
        <v>22.841880815790553</v>
      </c>
      <c r="U672" s="1239">
        <f t="shared" si="111"/>
        <v>24.701488918305117</v>
      </c>
      <c r="V672" s="1210">
        <f t="shared" si="112"/>
        <v>-1.3448966939796705</v>
      </c>
      <c r="W672" s="3284">
        <f t="shared" si="116"/>
        <v>0.92471676065095432</v>
      </c>
      <c r="X672" s="3300"/>
      <c r="Y672" s="3316"/>
      <c r="AA672" s="3301"/>
      <c r="AB672" s="3409"/>
      <c r="AE672" s="1056"/>
    </row>
    <row r="673" spans="2:31" x14ac:dyDescent="0.2">
      <c r="B673" s="2982" t="s">
        <v>761</v>
      </c>
      <c r="C673" s="1211">
        <v>43771</v>
      </c>
      <c r="D673" s="1089"/>
      <c r="E673" s="1205"/>
      <c r="F673" s="2636"/>
      <c r="G673" s="1357"/>
      <c r="H673" s="1358" t="str">
        <f>IFERROR(VLOOKUP(F673,Trainingsarten!$A$9:$K$84,10,FALSE),"")</f>
        <v/>
      </c>
      <c r="I673" s="1369" t="str">
        <f t="shared" si="114"/>
        <v/>
      </c>
      <c r="J673" s="1306"/>
      <c r="K673" s="1305" t="str">
        <f>IFERROR(VLOOKUP(F673,Trainingsarten!$A$9:$K$84,11,FALSE),"0")</f>
        <v>0</v>
      </c>
      <c r="L673" s="2806"/>
      <c r="M673" s="2829"/>
      <c r="N673" s="1208" t="str">
        <f t="shared" si="110"/>
        <v/>
      </c>
      <c r="O673" s="1670"/>
      <c r="P673" s="1136" t="str">
        <f>IFERROR(VLOOKUP(F673,Trainingsarten!$A$9:$N$84,12,FALSE),"")</f>
        <v/>
      </c>
      <c r="Q673" s="1137" t="s">
        <v>437</v>
      </c>
      <c r="R673" s="1086" t="str">
        <f>IFERROR(VLOOKUP(F673,Trainingsarten!$A$9:$N$84,14,FALSE),"")</f>
        <v/>
      </c>
      <c r="S673" s="1087" t="str">
        <f t="shared" si="115"/>
        <v/>
      </c>
      <c r="T673" s="1232">
        <f t="shared" si="113"/>
        <v>19.578754984963332</v>
      </c>
      <c r="U673" s="1239">
        <f t="shared" si="111"/>
        <v>24.113358229774043</v>
      </c>
      <c r="V673" s="1210">
        <f t="shared" si="112"/>
        <v>1.8596081025145637</v>
      </c>
      <c r="W673" s="3284">
        <f t="shared" si="116"/>
        <v>0.81194642398620376</v>
      </c>
      <c r="X673" s="3300"/>
      <c r="Y673" s="3316"/>
      <c r="AA673" s="3301"/>
      <c r="AB673" s="3409"/>
      <c r="AE673" s="1056"/>
    </row>
    <row r="674" spans="2:31" ht="16" thickBot="1" x14ac:dyDescent="0.25">
      <c r="B674" s="2983">
        <f>AVERAGE(W668:W674)</f>
        <v>0.92741021458181616</v>
      </c>
      <c r="C674" s="1260">
        <v>43772</v>
      </c>
      <c r="D674" s="1108" t="s">
        <v>687</v>
      </c>
      <c r="E674" s="1261"/>
      <c r="F674" s="2629" t="s">
        <v>665</v>
      </c>
      <c r="G674" s="1361">
        <v>4.5428240740740734E-2</v>
      </c>
      <c r="H674" s="1362">
        <v>11.38</v>
      </c>
      <c r="I674" s="1370">
        <f t="shared" si="114"/>
        <v>3.991936796198658E-3</v>
      </c>
      <c r="J674" s="1317">
        <v>138</v>
      </c>
      <c r="K674" s="1316">
        <v>72</v>
      </c>
      <c r="L674" s="2807">
        <v>208</v>
      </c>
      <c r="M674" s="2830"/>
      <c r="N674" s="1223">
        <f t="shared" si="110"/>
        <v>1.0707446948036616</v>
      </c>
      <c r="O674" s="1671" t="s">
        <v>751</v>
      </c>
      <c r="P674" s="1818" t="str">
        <f>IFERROR(VLOOKUP(F674,Trainingsarten!$A$9:$N$84,12,FALSE),"")</f>
        <v/>
      </c>
      <c r="Q674" s="1819" t="s">
        <v>437</v>
      </c>
      <c r="R674" s="1105" t="str">
        <f>IFERROR(VLOOKUP(F674,Trainingsarten!$A$9:$N$84,14,FALSE),"")</f>
        <v/>
      </c>
      <c r="S674" s="1106">
        <f t="shared" si="115"/>
        <v>1.5072463768115942</v>
      </c>
      <c r="T674" s="1108">
        <f t="shared" si="113"/>
        <v>27.067504272825715</v>
      </c>
      <c r="U674" s="1227">
        <f t="shared" si="111"/>
        <v>25.253516367160376</v>
      </c>
      <c r="V674" s="1227">
        <f t="shared" si="112"/>
        <v>4.534603244810711</v>
      </c>
      <c r="W674" s="3287">
        <f t="shared" si="116"/>
        <v>1.0718311018272388</v>
      </c>
      <c r="X674" s="3300"/>
      <c r="Y674" s="3316"/>
      <c r="AA674" s="3301"/>
      <c r="AB674" s="3409"/>
      <c r="AE674" s="1056"/>
    </row>
    <row r="675" spans="2:31" ht="16" thickBot="1" x14ac:dyDescent="0.25">
      <c r="B675" s="2977">
        <f>B668+1</f>
        <v>45</v>
      </c>
      <c r="C675" s="1245">
        <v>43773</v>
      </c>
      <c r="D675" s="1111"/>
      <c r="E675" s="1112"/>
      <c r="F675" s="2685"/>
      <c r="G675" s="1647"/>
      <c r="H675" s="1648" t="str">
        <f>IFERROR(VLOOKUP(F675,Trainingsarten!$A$9:$K$84,10,FALSE),"")</f>
        <v/>
      </c>
      <c r="I675" s="1230" t="str">
        <f t="shared" si="114"/>
        <v/>
      </c>
      <c r="J675" s="1324"/>
      <c r="K675" s="1325" t="str">
        <f>IFERROR(VLOOKUP(F675,Trainingsarten!$A$9:$K$84,11,FALSE),"0")</f>
        <v>0</v>
      </c>
      <c r="L675" s="1326"/>
      <c r="M675" s="2831"/>
      <c r="N675" s="1119" t="str">
        <f t="shared" si="110"/>
        <v/>
      </c>
      <c r="O675" s="1649"/>
      <c r="P675" s="1277" t="str">
        <f>IFERROR(VLOOKUP(F675,Trainingsarten!$A$9:$N$84,12,FALSE),"")</f>
        <v/>
      </c>
      <c r="Q675" s="1122" t="s">
        <v>437</v>
      </c>
      <c r="R675" s="1122" t="str">
        <f>IFERROR(VLOOKUP(F675,Trainingsarten!$A$9:$N$84,14,FALSE),"")</f>
        <v/>
      </c>
      <c r="S675" s="1070" t="str">
        <f t="shared" si="115"/>
        <v/>
      </c>
      <c r="T675" s="1650">
        <f t="shared" si="113"/>
        <v>23.200717948136326</v>
      </c>
      <c r="U675" s="1651">
        <f t="shared" si="111"/>
        <v>24.652242167942273</v>
      </c>
      <c r="V675" s="1278">
        <f t="shared" si="112"/>
        <v>-1.8139879056653392</v>
      </c>
      <c r="W675" s="3283">
        <f t="shared" si="116"/>
        <v>0.94111999184830719</v>
      </c>
      <c r="X675" s="3300"/>
      <c r="Y675" s="3316"/>
      <c r="AA675" s="3301"/>
      <c r="AB675" s="3409"/>
      <c r="AE675" s="1056"/>
    </row>
    <row r="676" spans="2:31" x14ac:dyDescent="0.2">
      <c r="B676" s="2978" t="s">
        <v>626</v>
      </c>
      <c r="C676" s="1698">
        <v>43774</v>
      </c>
      <c r="D676" s="1806"/>
      <c r="E676" s="1807"/>
      <c r="F676" s="2650"/>
      <c r="G676" s="1749"/>
      <c r="H676" s="1778" t="str">
        <f>IFERROR(VLOOKUP(F676,Trainingsarten!$A$9:$K$84,10,FALSE),"")</f>
        <v/>
      </c>
      <c r="I676" s="1808" t="str">
        <f t="shared" si="114"/>
        <v/>
      </c>
      <c r="J676" s="1809"/>
      <c r="K676" s="1753" t="str">
        <f>IFERROR(VLOOKUP(F676,Trainingsarten!$A$9:$K$84,11,FALSE),"0")</f>
        <v>0</v>
      </c>
      <c r="L676" s="2806"/>
      <c r="M676" s="2829"/>
      <c r="N676" s="1810" t="str">
        <f t="shared" ref="N676:N739" si="117">IFERROR((L676/67)/(1/(I676*24)/3.6),"")</f>
        <v/>
      </c>
      <c r="O676" s="1754"/>
      <c r="P676" s="1755" t="str">
        <f>IFERROR(VLOOKUP(F676,Trainingsarten!$A$9:$N$84,12,FALSE),"")</f>
        <v/>
      </c>
      <c r="Q676" s="1756" t="s">
        <v>437</v>
      </c>
      <c r="R676" s="1086" t="str">
        <f>IFERROR(VLOOKUP(F676,Trainingsarten!$A$9:$N$84,14,FALSE),"")</f>
        <v/>
      </c>
      <c r="S676" s="1087" t="str">
        <f t="shared" si="115"/>
        <v/>
      </c>
      <c r="T676" s="1757">
        <f t="shared" si="113"/>
        <v>19.886329669831138</v>
      </c>
      <c r="U676" s="1758">
        <f t="shared" si="111"/>
        <v>24.065284021086505</v>
      </c>
      <c r="V676" s="1088">
        <f t="shared" si="112"/>
        <v>1.4515242198059468</v>
      </c>
      <c r="W676" s="3284">
        <f t="shared" si="116"/>
        <v>0.82634926113509899</v>
      </c>
      <c r="X676" s="3300"/>
      <c r="Y676" s="3316"/>
      <c r="AA676" s="3301"/>
      <c r="AB676" s="3409"/>
      <c r="AE676" s="1056"/>
    </row>
    <row r="677" spans="2:31" ht="16" thickBot="1" x14ac:dyDescent="0.25">
      <c r="B677" s="2979">
        <f>SUM(H675:H681)</f>
        <v>36.03</v>
      </c>
      <c r="C677" s="1211">
        <v>43775</v>
      </c>
      <c r="D677" s="1806" t="s">
        <v>688</v>
      </c>
      <c r="E677" s="1807"/>
      <c r="F677" s="2636" t="s">
        <v>665</v>
      </c>
      <c r="G677" s="1749">
        <v>4.704861111111111E-2</v>
      </c>
      <c r="H677" s="1778">
        <v>12.4</v>
      </c>
      <c r="I677" s="1808">
        <f t="shared" si="114"/>
        <v>3.7942428315412184E-3</v>
      </c>
      <c r="J677" s="1809">
        <v>138</v>
      </c>
      <c r="K677" s="1753">
        <v>84</v>
      </c>
      <c r="L677" s="2806">
        <v>220</v>
      </c>
      <c r="M677" s="2829"/>
      <c r="N677" s="1810">
        <f t="shared" si="117"/>
        <v>1.076432354357246</v>
      </c>
      <c r="O677" s="1754" t="s">
        <v>749</v>
      </c>
      <c r="P677" s="1755" t="str">
        <f>IFERROR(VLOOKUP(F677,Trainingsarten!$A$9:$N$84,12,FALSE),"")</f>
        <v/>
      </c>
      <c r="Q677" s="1756" t="s">
        <v>437</v>
      </c>
      <c r="R677" s="1086" t="str">
        <f>IFERROR(VLOOKUP(F677,Trainingsarten!$A$9:$N$84,14,FALSE),"")</f>
        <v/>
      </c>
      <c r="S677" s="1087">
        <f t="shared" si="115"/>
        <v>1.5942028985507246</v>
      </c>
      <c r="T677" s="1757">
        <f t="shared" si="113"/>
        <v>29.045425431283832</v>
      </c>
      <c r="U677" s="1758">
        <f t="shared" si="111"/>
        <v>25.492301068203492</v>
      </c>
      <c r="V677" s="1088">
        <f t="shared" si="112"/>
        <v>4.1789543512553671</v>
      </c>
      <c r="W677" s="3284">
        <f t="shared" si="116"/>
        <v>1.1393802918604372</v>
      </c>
      <c r="X677" s="3300"/>
      <c r="Y677" s="3316"/>
      <c r="AA677" s="3301"/>
      <c r="AB677" s="3409"/>
      <c r="AE677" s="1056"/>
    </row>
    <row r="678" spans="2:31" x14ac:dyDescent="0.2">
      <c r="B678" s="2980" t="s">
        <v>628</v>
      </c>
      <c r="C678" s="1211">
        <v>43776</v>
      </c>
      <c r="D678" s="1806"/>
      <c r="E678" s="1807"/>
      <c r="F678" s="2636"/>
      <c r="G678" s="1749"/>
      <c r="H678" s="1778" t="str">
        <f>IFERROR(VLOOKUP(F678,Trainingsarten!$A$9:$K$84,10,FALSE),"")</f>
        <v/>
      </c>
      <c r="I678" s="1808" t="str">
        <f t="shared" si="114"/>
        <v/>
      </c>
      <c r="J678" s="1809"/>
      <c r="K678" s="1753" t="str">
        <f>IFERROR(VLOOKUP(F678,Trainingsarten!$A$9:$K$84,11,FALSE),"0")</f>
        <v>0</v>
      </c>
      <c r="L678" s="2806"/>
      <c r="M678" s="2829"/>
      <c r="N678" s="1810" t="str">
        <f t="shared" si="117"/>
        <v/>
      </c>
      <c r="O678" s="1754"/>
      <c r="P678" s="1755" t="str">
        <f>IFERROR(VLOOKUP(F678,Trainingsarten!$A$9:$N$84,12,FALSE),"")</f>
        <v/>
      </c>
      <c r="Q678" s="1756" t="s">
        <v>437</v>
      </c>
      <c r="R678" s="1086" t="str">
        <f>IFERROR(VLOOKUP(F678,Trainingsarten!$A$9:$N$84,14,FALSE),"")</f>
        <v/>
      </c>
      <c r="S678" s="1087" t="str">
        <f t="shared" si="115"/>
        <v/>
      </c>
      <c r="T678" s="1757">
        <f t="shared" si="113"/>
        <v>24.896078941100427</v>
      </c>
      <c r="U678" s="1758">
        <f t="shared" si="111"/>
        <v>24.885341518960551</v>
      </c>
      <c r="V678" s="1088">
        <f t="shared" si="112"/>
        <v>-3.5531243630803395</v>
      </c>
      <c r="W678" s="3284">
        <f t="shared" si="116"/>
        <v>1.0004314757798962</v>
      </c>
      <c r="X678" s="3300"/>
      <c r="Y678" s="3316"/>
      <c r="AA678" s="3301"/>
      <c r="AB678" s="3409"/>
      <c r="AE678" s="1056"/>
    </row>
    <row r="679" spans="2:31" ht="16" thickBot="1" x14ac:dyDescent="0.25">
      <c r="B679" s="2981">
        <f>SUM(K675:K681)</f>
        <v>239</v>
      </c>
      <c r="C679" s="1211">
        <v>43777</v>
      </c>
      <c r="D679" s="1806" t="s">
        <v>689</v>
      </c>
      <c r="E679" s="1807"/>
      <c r="F679" s="2636" t="s">
        <v>760</v>
      </c>
      <c r="G679" s="1749">
        <v>3.5393518518518519E-2</v>
      </c>
      <c r="H679" s="1778">
        <v>9.43</v>
      </c>
      <c r="I679" s="1808">
        <f t="shared" si="114"/>
        <v>3.753289344487648E-3</v>
      </c>
      <c r="J679" s="1809">
        <v>138</v>
      </c>
      <c r="K679" s="1753">
        <v>62</v>
      </c>
      <c r="L679" s="2806">
        <v>219</v>
      </c>
      <c r="M679" s="2829"/>
      <c r="N679" s="1810">
        <f t="shared" si="117"/>
        <v>1.0599737262784699</v>
      </c>
      <c r="O679" s="1754" t="s">
        <v>751</v>
      </c>
      <c r="P679" s="1755" t="str">
        <f>IFERROR(VLOOKUP(F679,Trainingsarten!$A$9:$N$84,12,FALSE),"")</f>
        <v/>
      </c>
      <c r="Q679" s="1756" t="s">
        <v>437</v>
      </c>
      <c r="R679" s="1086" t="str">
        <f>IFERROR(VLOOKUP(F679,Trainingsarten!$A$9:$N$84,14,FALSE),"")</f>
        <v/>
      </c>
      <c r="S679" s="1087">
        <f t="shared" si="115"/>
        <v>1.5869565217391304</v>
      </c>
      <c r="T679" s="1757">
        <f t="shared" si="113"/>
        <v>30.196639092371797</v>
      </c>
      <c r="U679" s="1758">
        <f t="shared" si="111"/>
        <v>25.769023863747204</v>
      </c>
      <c r="V679" s="1088">
        <f t="shared" si="112"/>
        <v>-1.0737422139875719E-2</v>
      </c>
      <c r="W679" s="3284">
        <f t="shared" si="116"/>
        <v>1.171819283960287</v>
      </c>
      <c r="X679" s="3300"/>
      <c r="Y679" s="3316"/>
      <c r="AA679" s="3301"/>
      <c r="AB679" s="3409"/>
      <c r="AE679" s="1056"/>
    </row>
    <row r="680" spans="2:31" x14ac:dyDescent="0.2">
      <c r="B680" s="2982" t="s">
        <v>761</v>
      </c>
      <c r="C680" s="1211">
        <v>43778</v>
      </c>
      <c r="D680" s="1806"/>
      <c r="E680" s="1807"/>
      <c r="F680" s="2636"/>
      <c r="G680" s="1749"/>
      <c r="H680" s="1778" t="str">
        <f>IFERROR(VLOOKUP(F680,Trainingsarten!$A$9:$K$84,10,FALSE),"")</f>
        <v/>
      </c>
      <c r="I680" s="1808" t="str">
        <f t="shared" si="114"/>
        <v/>
      </c>
      <c r="J680" s="1809"/>
      <c r="K680" s="1753" t="str">
        <f>IFERROR(VLOOKUP(F680,Trainingsarten!$A$9:$K$84,11,FALSE),"0")</f>
        <v>0</v>
      </c>
      <c r="L680" s="2806"/>
      <c r="M680" s="2829"/>
      <c r="N680" s="1810" t="str">
        <f t="shared" si="117"/>
        <v/>
      </c>
      <c r="O680" s="1754"/>
      <c r="P680" s="1755" t="str">
        <f>IFERROR(VLOOKUP(F680,Trainingsarten!$A$9:$N$84,12,FALSE),"")</f>
        <v/>
      </c>
      <c r="Q680" s="1756" t="s">
        <v>437</v>
      </c>
      <c r="R680" s="1086" t="str">
        <f>IFERROR(VLOOKUP(F680,Trainingsarten!$A$9:$N$84,14,FALSE),"")</f>
        <v/>
      </c>
      <c r="S680" s="1087" t="str">
        <f t="shared" si="115"/>
        <v/>
      </c>
      <c r="T680" s="1757">
        <f t="shared" si="113"/>
        <v>25.882833507747254</v>
      </c>
      <c r="U680" s="1758">
        <f t="shared" si="111"/>
        <v>25.155475676515128</v>
      </c>
      <c r="V680" s="1088">
        <f t="shared" si="112"/>
        <v>-4.4276152286245924</v>
      </c>
      <c r="W680" s="3284">
        <f t="shared" si="116"/>
        <v>1.0289144932334227</v>
      </c>
      <c r="X680" s="3300"/>
      <c r="Y680" s="3316"/>
      <c r="AA680" s="3301"/>
      <c r="AB680" s="3409"/>
      <c r="AE680" s="1056"/>
    </row>
    <row r="681" spans="2:31" ht="16" thickBot="1" x14ac:dyDescent="0.25">
      <c r="B681" s="2983">
        <f>AVERAGE(W675:W681)</f>
        <v>1.0618574514021346</v>
      </c>
      <c r="C681" s="1189">
        <v>43779</v>
      </c>
      <c r="D681" s="1232" t="s">
        <v>691</v>
      </c>
      <c r="E681" s="1233"/>
      <c r="F681" s="2629" t="s">
        <v>641</v>
      </c>
      <c r="G681" s="1663">
        <v>5.4155092592592595E-2</v>
      </c>
      <c r="H681" s="1820">
        <v>14.2</v>
      </c>
      <c r="I681" s="1821">
        <f t="shared" si="114"/>
        <v>3.8137389149713098E-3</v>
      </c>
      <c r="J681" s="1822">
        <v>140</v>
      </c>
      <c r="K681" s="1344">
        <v>93</v>
      </c>
      <c r="L681" s="2808">
        <v>216</v>
      </c>
      <c r="M681" s="2832"/>
      <c r="N681" s="1238">
        <f t="shared" si="117"/>
        <v>1.0622913601009041</v>
      </c>
      <c r="O681" s="1666" t="s">
        <v>751</v>
      </c>
      <c r="P681" s="1667" t="str">
        <f>IFERROR(VLOOKUP(F681,Trainingsarten!$A$9:$N$84,12,FALSE),"")</f>
        <v/>
      </c>
      <c r="Q681" s="1817" t="s">
        <v>437</v>
      </c>
      <c r="R681" s="1151" t="str">
        <f>IFERROR(VLOOKUP(F681,Trainingsarten!$A$9:$N$84,14,FALSE),"")</f>
        <v/>
      </c>
      <c r="S681" s="1106">
        <f t="shared" si="115"/>
        <v>1.5428571428571429</v>
      </c>
      <c r="T681" s="1258">
        <f t="shared" si="113"/>
        <v>35.471000149497648</v>
      </c>
      <c r="U681" s="1152">
        <f t="shared" si="111"/>
        <v>26.770821493740957</v>
      </c>
      <c r="V681" s="1152">
        <f t="shared" si="112"/>
        <v>-0.72735783123212627</v>
      </c>
      <c r="W681" s="3285">
        <f t="shared" si="116"/>
        <v>1.3249873619974941</v>
      </c>
      <c r="X681" s="3300"/>
      <c r="Y681" s="3316"/>
      <c r="AA681" s="3301"/>
      <c r="AB681" s="3409"/>
      <c r="AE681" s="1056"/>
    </row>
    <row r="682" spans="2:31" ht="16" thickBot="1" x14ac:dyDescent="0.25">
      <c r="B682" s="2977">
        <f>B675+1</f>
        <v>46</v>
      </c>
      <c r="C682" s="1190">
        <v>43780</v>
      </c>
      <c r="D682" s="1191"/>
      <c r="E682" s="1192"/>
      <c r="F682" s="2649"/>
      <c r="G682" s="1349"/>
      <c r="H682" s="1697" t="str">
        <f>IFERROR(VLOOKUP(F682,Trainingsarten!$A$9:$K$84,10,FALSE),"")</f>
        <v/>
      </c>
      <c r="I682" s="1368" t="str">
        <f t="shared" si="114"/>
        <v/>
      </c>
      <c r="J682" s="1354"/>
      <c r="K682" s="1353" t="str">
        <f>IFERROR(VLOOKUP(F682,Trainingsarten!$A$9:$K$84,11,FALSE),"0")</f>
        <v>0</v>
      </c>
      <c r="L682" s="1915"/>
      <c r="M682" s="2833"/>
      <c r="N682" s="1199" t="str">
        <f t="shared" si="117"/>
        <v/>
      </c>
      <c r="O682" s="1668"/>
      <c r="P682" s="1201" t="str">
        <f>IFERROR(VLOOKUP(F682,Trainingsarten!$A$9:$N$84,12,FALSE),"")</f>
        <v/>
      </c>
      <c r="Q682" s="1202" t="s">
        <v>437</v>
      </c>
      <c r="R682" s="1069" t="str">
        <f>IFERROR(VLOOKUP(F682,Trainingsarten!$A$9:$N$84,14,FALSE),"")</f>
        <v/>
      </c>
      <c r="S682" s="1070" t="str">
        <f t="shared" si="115"/>
        <v/>
      </c>
      <c r="T682" s="1669">
        <f t="shared" si="113"/>
        <v>30.403714413855127</v>
      </c>
      <c r="U682" s="1055">
        <f t="shared" si="111"/>
        <v>26.133420981985221</v>
      </c>
      <c r="V682" s="1203">
        <f t="shared" si="112"/>
        <v>-8.7001786557566909</v>
      </c>
      <c r="W682" s="3286">
        <f t="shared" si="116"/>
        <v>1.1634035373636533</v>
      </c>
      <c r="X682" s="3300"/>
      <c r="Y682" s="3316"/>
      <c r="AA682" s="3301"/>
      <c r="AB682" s="3409"/>
      <c r="AE682" s="1056"/>
    </row>
    <row r="683" spans="2:31" x14ac:dyDescent="0.2">
      <c r="B683" s="2978" t="s">
        <v>626</v>
      </c>
      <c r="C683" s="1204">
        <v>43781</v>
      </c>
      <c r="D683" s="1089" t="s">
        <v>692</v>
      </c>
      <c r="E683" s="1205"/>
      <c r="F683" s="2650" t="s">
        <v>760</v>
      </c>
      <c r="G683" s="1357">
        <v>3.7499999999999999E-2</v>
      </c>
      <c r="H683" s="1358">
        <v>9.68</v>
      </c>
      <c r="I683" s="1369">
        <f t="shared" si="114"/>
        <v>3.8739669421487604E-3</v>
      </c>
      <c r="J683" s="1306">
        <v>141</v>
      </c>
      <c r="K683" s="1305">
        <v>63</v>
      </c>
      <c r="L683" s="2806">
        <v>214</v>
      </c>
      <c r="M683" s="2829"/>
      <c r="N683" s="1208">
        <f t="shared" si="117"/>
        <v>1.0690761070679657</v>
      </c>
      <c r="O683" s="1670" t="s">
        <v>750</v>
      </c>
      <c r="P683" s="1136" t="str">
        <f>IFERROR(VLOOKUP(F683,Trainingsarten!$A$9:$N$84,12,FALSE),"")</f>
        <v/>
      </c>
      <c r="Q683" s="1137" t="s">
        <v>437</v>
      </c>
      <c r="R683" s="1086" t="str">
        <f>IFERROR(VLOOKUP(F683,Trainingsarten!$A$9:$N$84,14,FALSE),"")</f>
        <v/>
      </c>
      <c r="S683" s="1087">
        <f t="shared" si="115"/>
        <v>1.5177304964539007</v>
      </c>
      <c r="T683" s="1232">
        <f t="shared" si="113"/>
        <v>35.060326640447251</v>
      </c>
      <c r="U683" s="1239">
        <f t="shared" si="111"/>
        <v>27.011196672890335</v>
      </c>
      <c r="V683" s="1210">
        <f t="shared" si="112"/>
        <v>-4.2702934318699057</v>
      </c>
      <c r="W683" s="3284">
        <f t="shared" si="116"/>
        <v>1.29799234980342</v>
      </c>
      <c r="X683" s="3300"/>
      <c r="Y683" s="3316"/>
      <c r="AA683" s="3301"/>
      <c r="AB683" s="3409"/>
      <c r="AE683" s="1056"/>
    </row>
    <row r="684" spans="2:31" ht="16" thickBot="1" x14ac:dyDescent="0.25">
      <c r="B684" s="2979">
        <f>SUM(H682:H688)</f>
        <v>29.869999999999997</v>
      </c>
      <c r="C684" s="1211">
        <v>43782</v>
      </c>
      <c r="D684" s="1089"/>
      <c r="E684" s="1205"/>
      <c r="F684" s="2636"/>
      <c r="G684" s="1357"/>
      <c r="H684" s="1358" t="str">
        <f>IFERROR(VLOOKUP(F684,Trainingsarten!$A$9:$K$84,10,FALSE),"")</f>
        <v/>
      </c>
      <c r="I684" s="1369" t="str">
        <f t="shared" si="114"/>
        <v/>
      </c>
      <c r="J684" s="1306"/>
      <c r="K684" s="1305" t="str">
        <f>IFERROR(VLOOKUP(F684,Trainingsarten!$A$9:$K$84,11,FALSE),"0")</f>
        <v>0</v>
      </c>
      <c r="L684" s="2806"/>
      <c r="M684" s="2829"/>
      <c r="N684" s="1208" t="str">
        <f t="shared" si="117"/>
        <v/>
      </c>
      <c r="O684" s="1670"/>
      <c r="P684" s="1136" t="str">
        <f>IFERROR(VLOOKUP(F684,Trainingsarten!$A$9:$N$84,12,FALSE),"")</f>
        <v/>
      </c>
      <c r="Q684" s="1137" t="s">
        <v>437</v>
      </c>
      <c r="R684" s="1086" t="str">
        <f>IFERROR(VLOOKUP(F684,Trainingsarten!$A$9:$N$84,14,FALSE),"")</f>
        <v/>
      </c>
      <c r="S684" s="1087" t="str">
        <f t="shared" si="115"/>
        <v/>
      </c>
      <c r="T684" s="1232">
        <f t="shared" si="113"/>
        <v>30.051708548954785</v>
      </c>
      <c r="U684" s="1239">
        <f t="shared" si="111"/>
        <v>26.368072942583424</v>
      </c>
      <c r="V684" s="1088">
        <f t="shared" si="112"/>
        <v>-8.0491299675569152</v>
      </c>
      <c r="W684" s="3284">
        <f t="shared" si="116"/>
        <v>1.1397005998273932</v>
      </c>
      <c r="X684" s="3300"/>
      <c r="Y684" s="3316"/>
      <c r="AA684" s="3301"/>
      <c r="AB684" s="3409"/>
      <c r="AE684" s="1056"/>
    </row>
    <row r="685" spans="2:31" x14ac:dyDescent="0.2">
      <c r="B685" s="2980" t="s">
        <v>628</v>
      </c>
      <c r="C685" s="1204">
        <v>43783</v>
      </c>
      <c r="D685" s="1089">
        <v>146</v>
      </c>
      <c r="E685" s="1205"/>
      <c r="F685" s="2636" t="s">
        <v>760</v>
      </c>
      <c r="G685" s="1357">
        <v>3.6342592592592593E-2</v>
      </c>
      <c r="H685" s="1358">
        <v>9.69</v>
      </c>
      <c r="I685" s="1369">
        <f t="shared" si="114"/>
        <v>3.7505255513511451E-3</v>
      </c>
      <c r="J685" s="1306">
        <v>140</v>
      </c>
      <c r="K685" s="1305">
        <v>64</v>
      </c>
      <c r="L685" s="2806">
        <v>219</v>
      </c>
      <c r="M685" s="2829"/>
      <c r="N685" s="1208">
        <f t="shared" si="117"/>
        <v>1.0591931980962064</v>
      </c>
      <c r="O685" s="1670" t="s">
        <v>750</v>
      </c>
      <c r="P685" s="1136" t="str">
        <f>IFERROR(VLOOKUP(F685,Trainingsarten!$A$9:$N$84,12,FALSE),"")</f>
        <v/>
      </c>
      <c r="Q685" s="1137" t="s">
        <v>437</v>
      </c>
      <c r="R685" s="1086" t="str">
        <f>IFERROR(VLOOKUP(F685,Trainingsarten!$A$9:$N$84,14,FALSE),"")</f>
        <v/>
      </c>
      <c r="S685" s="1087">
        <f t="shared" si="115"/>
        <v>1.5642857142857143</v>
      </c>
      <c r="T685" s="1232">
        <f t="shared" si="113"/>
        <v>34.901464470532673</v>
      </c>
      <c r="U685" s="1239">
        <f t="shared" si="111"/>
        <v>27.264071205855249</v>
      </c>
      <c r="V685" s="1088">
        <f t="shared" si="112"/>
        <v>-3.6836356063713609</v>
      </c>
      <c r="W685" s="3284">
        <f t="shared" si="116"/>
        <v>1.2801266621925933</v>
      </c>
      <c r="X685" s="3300"/>
      <c r="Y685" s="3316"/>
      <c r="AA685" s="3301"/>
      <c r="AB685" s="3409"/>
      <c r="AE685" s="1056"/>
    </row>
    <row r="686" spans="2:31" ht="16" thickBot="1" x14ac:dyDescent="0.25">
      <c r="B686" s="2981">
        <f>SUM(K682:K688)</f>
        <v>193</v>
      </c>
      <c r="C686" s="1211">
        <v>43784</v>
      </c>
      <c r="D686" s="1089"/>
      <c r="E686" s="1205"/>
      <c r="F686" s="2636"/>
      <c r="G686" s="1357"/>
      <c r="H686" s="1358" t="str">
        <f>IFERROR(VLOOKUP(F686,Trainingsarten!$A$9:$K$84,10,FALSE),"")</f>
        <v/>
      </c>
      <c r="I686" s="1369" t="str">
        <f t="shared" si="114"/>
        <v/>
      </c>
      <c r="J686" s="1306"/>
      <c r="K686" s="1305" t="str">
        <f>IFERROR(VLOOKUP(F686,Trainingsarten!$A$9:$K$84,11,FALSE),"0")</f>
        <v>0</v>
      </c>
      <c r="L686" s="2806"/>
      <c r="M686" s="2829"/>
      <c r="N686" s="1208" t="str">
        <f t="shared" si="117"/>
        <v/>
      </c>
      <c r="O686" s="1670"/>
      <c r="P686" s="1136" t="str">
        <f>IFERROR(VLOOKUP(F686,Trainingsarten!$A$9:$N$84,12,FALSE),"")</f>
        <v/>
      </c>
      <c r="Q686" s="1137" t="s">
        <v>437</v>
      </c>
      <c r="R686" s="1086" t="str">
        <f>IFERROR(VLOOKUP(F686,Trainingsarten!$A$9:$N$84,14,FALSE),"")</f>
        <v/>
      </c>
      <c r="S686" s="1087" t="str">
        <f t="shared" si="115"/>
        <v/>
      </c>
      <c r="T686" s="1232">
        <f t="shared" si="113"/>
        <v>29.915540974742292</v>
      </c>
      <c r="U686" s="1239">
        <f t="shared" si="111"/>
        <v>26.614926653334887</v>
      </c>
      <c r="V686" s="1088">
        <f t="shared" si="112"/>
        <v>-7.6373932646774243</v>
      </c>
      <c r="W686" s="3284">
        <f t="shared" si="116"/>
        <v>1.1240136546081307</v>
      </c>
      <c r="X686" s="3300"/>
      <c r="Y686" s="3316"/>
      <c r="AA686" s="3301"/>
      <c r="AB686" s="3409"/>
      <c r="AE686" s="1056"/>
    </row>
    <row r="687" spans="2:31" x14ac:dyDescent="0.2">
      <c r="B687" s="2982" t="s">
        <v>761</v>
      </c>
      <c r="C687" s="1211">
        <v>43785</v>
      </c>
      <c r="D687" s="1089"/>
      <c r="E687" s="1205"/>
      <c r="F687" s="2636"/>
      <c r="G687" s="1357"/>
      <c r="H687" s="1358" t="str">
        <f>IFERROR(VLOOKUP(F687,Trainingsarten!$A$9:$K$84,10,FALSE),"")</f>
        <v/>
      </c>
      <c r="I687" s="1369" t="str">
        <f t="shared" si="114"/>
        <v/>
      </c>
      <c r="J687" s="1306"/>
      <c r="K687" s="1305" t="str">
        <f>IFERROR(VLOOKUP(F687,Trainingsarten!$A$9:$K$84,11,FALSE),"0")</f>
        <v>0</v>
      </c>
      <c r="L687" s="2806"/>
      <c r="M687" s="2829"/>
      <c r="N687" s="1208" t="str">
        <f t="shared" si="117"/>
        <v/>
      </c>
      <c r="O687" s="1670"/>
      <c r="P687" s="1136" t="str">
        <f>IFERROR(VLOOKUP(F687,Trainingsarten!$A$9:$N$84,12,FALSE),"")</f>
        <v/>
      </c>
      <c r="Q687" s="1137" t="s">
        <v>437</v>
      </c>
      <c r="R687" s="1086" t="str">
        <f>IFERROR(VLOOKUP(F687,Trainingsarten!$A$9:$N$84,14,FALSE),"")</f>
        <v/>
      </c>
      <c r="S687" s="1087" t="str">
        <f t="shared" si="115"/>
        <v/>
      </c>
      <c r="T687" s="1232">
        <f t="shared" si="113"/>
        <v>25.641892264064822</v>
      </c>
      <c r="U687" s="1239">
        <f t="shared" si="111"/>
        <v>25.98123792349358</v>
      </c>
      <c r="V687" s="1088">
        <f t="shared" si="112"/>
        <v>-3.3006143214074051</v>
      </c>
      <c r="W687" s="3284">
        <f t="shared" si="116"/>
        <v>0.98693881868030986</v>
      </c>
      <c r="X687" s="3300"/>
      <c r="Y687" s="3316"/>
      <c r="AA687" s="3301"/>
      <c r="AB687" s="3409"/>
      <c r="AE687" s="1056"/>
    </row>
    <row r="688" spans="2:31" ht="16" thickBot="1" x14ac:dyDescent="0.25">
      <c r="B688" s="2983">
        <f>AVERAGE(W682:W688)</f>
        <v>1.1654654125770383</v>
      </c>
      <c r="C688" s="1260">
        <v>43786</v>
      </c>
      <c r="D688" s="1108">
        <v>147</v>
      </c>
      <c r="E688" s="1261"/>
      <c r="F688" s="2629" t="s">
        <v>760</v>
      </c>
      <c r="G688" s="1361">
        <v>4.221064814814815E-2</v>
      </c>
      <c r="H688" s="1362">
        <v>10.5</v>
      </c>
      <c r="I688" s="1370">
        <f t="shared" si="114"/>
        <v>4.0200617283950623E-3</v>
      </c>
      <c r="J688" s="1317">
        <v>136</v>
      </c>
      <c r="K688" s="1316">
        <v>66</v>
      </c>
      <c r="L688" s="2807">
        <v>207</v>
      </c>
      <c r="M688" s="2830"/>
      <c r="N688" s="1223">
        <f t="shared" si="117"/>
        <v>1.0731044776119405</v>
      </c>
      <c r="O688" s="1671" t="s">
        <v>751</v>
      </c>
      <c r="P688" s="1225" t="str">
        <f>IFERROR(VLOOKUP(F688,Trainingsarten!$A$9:$N$84,12,FALSE),"")</f>
        <v/>
      </c>
      <c r="Q688" s="1226" t="s">
        <v>437</v>
      </c>
      <c r="R688" s="1105" t="str">
        <f>IFERROR(VLOOKUP(F688,Trainingsarten!$A$9:$N$84,14,FALSE),"")</f>
        <v/>
      </c>
      <c r="S688" s="1106">
        <f t="shared" si="115"/>
        <v>1.5220588235294117</v>
      </c>
      <c r="T688" s="1215">
        <f t="shared" si="113"/>
        <v>31.407336226341275</v>
      </c>
      <c r="U688" s="1227">
        <f t="shared" ref="U688:U751" si="118">U687+(K688-U687)/42</f>
        <v>26.934065591981827</v>
      </c>
      <c r="V688" s="1227">
        <f t="shared" ref="V688:V751" si="119">U687-T687</f>
        <v>0.33934565942875849</v>
      </c>
      <c r="W688" s="3287">
        <f t="shared" si="116"/>
        <v>1.166082265563767</v>
      </c>
      <c r="X688" s="3300"/>
      <c r="Y688" s="3316"/>
      <c r="AA688" s="3301"/>
      <c r="AB688" s="3409"/>
      <c r="AE688" s="1056"/>
    </row>
    <row r="689" spans="2:31" ht="16" thickBot="1" x14ac:dyDescent="0.25">
      <c r="B689" s="2977">
        <f>B682+1</f>
        <v>47</v>
      </c>
      <c r="C689" s="1245">
        <v>43787</v>
      </c>
      <c r="D689" s="1111"/>
      <c r="E689" s="1112"/>
      <c r="F689" s="2685"/>
      <c r="G689" s="1647"/>
      <c r="H689" s="1648" t="str">
        <f>IFERROR(VLOOKUP(F689,Trainingsarten!$A$9:$K$84,10,FALSE),"")</f>
        <v/>
      </c>
      <c r="I689" s="1230" t="str">
        <f t="shared" si="114"/>
        <v/>
      </c>
      <c r="J689" s="1324"/>
      <c r="K689" s="1325" t="str">
        <f>IFERROR(VLOOKUP(F689,Trainingsarten!$A$9:$K$84,11,FALSE),"0")</f>
        <v>0</v>
      </c>
      <c r="L689" s="1326"/>
      <c r="M689" s="2831"/>
      <c r="N689" s="1119" t="str">
        <f t="shared" si="117"/>
        <v/>
      </c>
      <c r="O689" s="1649"/>
      <c r="P689" s="1277" t="str">
        <f>IFERROR(VLOOKUP(F689,Trainingsarten!$A$9:$N$84,12,FALSE),"")</f>
        <v/>
      </c>
      <c r="Q689" s="1122" t="s">
        <v>437</v>
      </c>
      <c r="R689" s="1122" t="str">
        <f>IFERROR(VLOOKUP(F689,Trainingsarten!$A$9:$N$84,14,FALSE),"")</f>
        <v/>
      </c>
      <c r="S689" s="1070" t="str">
        <f t="shared" si="115"/>
        <v/>
      </c>
      <c r="T689" s="1650">
        <f t="shared" ref="T689:T752" si="120">T688+(K689-T688)/7</f>
        <v>26.920573908292521</v>
      </c>
      <c r="U689" s="1651">
        <f t="shared" si="118"/>
        <v>26.292778315982261</v>
      </c>
      <c r="V689" s="1278">
        <f t="shared" si="119"/>
        <v>-4.4732706343594479</v>
      </c>
      <c r="W689" s="3283">
        <f t="shared" si="116"/>
        <v>1.0238771112267222</v>
      </c>
      <c r="X689" s="3300"/>
      <c r="Y689" s="3316"/>
      <c r="AA689" s="3301"/>
      <c r="AB689" s="3409"/>
      <c r="AE689" s="1056"/>
    </row>
    <row r="690" spans="2:31" x14ac:dyDescent="0.2">
      <c r="B690" s="2978" t="s">
        <v>626</v>
      </c>
      <c r="C690" s="1698">
        <v>43788</v>
      </c>
      <c r="D690" s="1806">
        <v>148</v>
      </c>
      <c r="E690" s="1807"/>
      <c r="F690" s="2650" t="s">
        <v>760</v>
      </c>
      <c r="G690" s="1749">
        <v>4.0509259259259259E-2</v>
      </c>
      <c r="H690" s="1778">
        <v>10.6</v>
      </c>
      <c r="I690" s="1808">
        <f t="shared" si="114"/>
        <v>3.8216282320055906E-3</v>
      </c>
      <c r="J690" s="1809">
        <v>136</v>
      </c>
      <c r="K690" s="1753">
        <v>69</v>
      </c>
      <c r="L690" s="2806">
        <v>216</v>
      </c>
      <c r="M690" s="2829"/>
      <c r="N690" s="1810">
        <f t="shared" si="117"/>
        <v>1.0644888763728528</v>
      </c>
      <c r="O690" s="1754" t="s">
        <v>751</v>
      </c>
      <c r="P690" s="1755" t="str">
        <f>IFERROR(VLOOKUP(F690,Trainingsarten!$A$9:$N$84,12,FALSE),"")</f>
        <v/>
      </c>
      <c r="Q690" s="1756" t="s">
        <v>437</v>
      </c>
      <c r="R690" s="1086" t="str">
        <f>IFERROR(VLOOKUP(F690,Trainingsarten!$A$9:$N$84,14,FALSE),"")</f>
        <v/>
      </c>
      <c r="S690" s="1087">
        <f t="shared" si="115"/>
        <v>1.588235294117647</v>
      </c>
      <c r="T690" s="1757">
        <f t="shared" si="120"/>
        <v>32.931920492822158</v>
      </c>
      <c r="U690" s="1758">
        <f t="shared" si="118"/>
        <v>27.309616927506493</v>
      </c>
      <c r="V690" s="1088">
        <f t="shared" si="119"/>
        <v>-0.62779559231026028</v>
      </c>
      <c r="W690" s="3284">
        <f t="shared" si="116"/>
        <v>1.2058726631076553</v>
      </c>
      <c r="X690" s="3300"/>
      <c r="Y690" s="3316"/>
      <c r="AA690" s="3301"/>
      <c r="AB690" s="3409"/>
      <c r="AE690" s="1056"/>
    </row>
    <row r="691" spans="2:31" ht="16" thickBot="1" x14ac:dyDescent="0.25">
      <c r="B691" s="2979">
        <f>SUM(H689:H695)</f>
        <v>21.939999999999998</v>
      </c>
      <c r="C691" s="1211">
        <v>43789</v>
      </c>
      <c r="D691" s="1806"/>
      <c r="E691" s="1807"/>
      <c r="F691" s="2636"/>
      <c r="G691" s="1749"/>
      <c r="H691" s="1778" t="str">
        <f>IFERROR(VLOOKUP(F691,Trainingsarten!$A$9:$K$84,10,FALSE),"")</f>
        <v/>
      </c>
      <c r="I691" s="1808" t="str">
        <f t="shared" si="114"/>
        <v/>
      </c>
      <c r="J691" s="1809"/>
      <c r="K691" s="1753" t="str">
        <f>IFERROR(VLOOKUP(F691,Trainingsarten!$A$9:$K$84,11,FALSE),"0")</f>
        <v>0</v>
      </c>
      <c r="L691" s="2806"/>
      <c r="M691" s="2829"/>
      <c r="N691" s="1810" t="str">
        <f t="shared" si="117"/>
        <v/>
      </c>
      <c r="O691" s="1754"/>
      <c r="P691" s="1755" t="str">
        <f>IFERROR(VLOOKUP(F691,Trainingsarten!$A$9:$N$84,12,FALSE),"")</f>
        <v/>
      </c>
      <c r="Q691" s="1756" t="s">
        <v>437</v>
      </c>
      <c r="R691" s="1086" t="str">
        <f>IFERROR(VLOOKUP(F691,Trainingsarten!$A$9:$N$84,14,FALSE),"")</f>
        <v/>
      </c>
      <c r="S691" s="1087" t="str">
        <f t="shared" si="115"/>
        <v/>
      </c>
      <c r="T691" s="1757">
        <f t="shared" si="120"/>
        <v>28.227360422418993</v>
      </c>
      <c r="U691" s="1758">
        <f t="shared" si="118"/>
        <v>26.659387953042053</v>
      </c>
      <c r="V691" s="1088">
        <f t="shared" si="119"/>
        <v>-5.622303565315665</v>
      </c>
      <c r="W691" s="3284">
        <f t="shared" si="116"/>
        <v>1.0588150212652583</v>
      </c>
      <c r="X691" s="3300"/>
      <c r="Y691" s="3316"/>
      <c r="AA691" s="3301"/>
      <c r="AB691" s="3409"/>
      <c r="AE691" s="1056"/>
    </row>
    <row r="692" spans="2:31" x14ac:dyDescent="0.2">
      <c r="B692" s="2980" t="s">
        <v>628</v>
      </c>
      <c r="C692" s="1211">
        <v>43790</v>
      </c>
      <c r="D692" s="1806"/>
      <c r="E692" s="1807"/>
      <c r="F692" s="2636"/>
      <c r="G692" s="1749"/>
      <c r="H692" s="1778" t="str">
        <f>IFERROR(VLOOKUP(F692,Trainingsarten!$A$9:$K$84,10,FALSE),"")</f>
        <v/>
      </c>
      <c r="I692" s="1808" t="str">
        <f t="shared" si="114"/>
        <v/>
      </c>
      <c r="J692" s="1809"/>
      <c r="K692" s="1753" t="str">
        <f>IFERROR(VLOOKUP(F692,Trainingsarten!$A$9:$K$84,11,FALSE),"0")</f>
        <v>0</v>
      </c>
      <c r="L692" s="2806"/>
      <c r="M692" s="2829"/>
      <c r="N692" s="1810" t="str">
        <f t="shared" si="117"/>
        <v/>
      </c>
      <c r="O692" s="1754"/>
      <c r="P692" s="1755" t="str">
        <f>IFERROR(VLOOKUP(F692,Trainingsarten!$A$9:$N$84,12,FALSE),"")</f>
        <v/>
      </c>
      <c r="Q692" s="1756" t="s">
        <v>437</v>
      </c>
      <c r="R692" s="1086" t="str">
        <f>IFERROR(VLOOKUP(F692,Trainingsarten!$A$9:$N$84,14,FALSE),"")</f>
        <v/>
      </c>
      <c r="S692" s="1087" t="str">
        <f t="shared" si="115"/>
        <v/>
      </c>
      <c r="T692" s="1757">
        <f t="shared" si="120"/>
        <v>24.194880362073423</v>
      </c>
      <c r="U692" s="1758">
        <f t="shared" si="118"/>
        <v>26.024640620826766</v>
      </c>
      <c r="V692" s="1088">
        <f t="shared" si="119"/>
        <v>-1.5679724693769401</v>
      </c>
      <c r="W692" s="3284">
        <f t="shared" si="116"/>
        <v>0.92969123818412924</v>
      </c>
      <c r="X692" s="3300"/>
      <c r="Y692" s="3316"/>
      <c r="AA692" s="3301"/>
      <c r="AB692" s="3409"/>
      <c r="AE692" s="1056"/>
    </row>
    <row r="693" spans="2:31" ht="16" thickBot="1" x14ac:dyDescent="0.25">
      <c r="B693" s="2981">
        <f>SUM(K689:K695)</f>
        <v>141</v>
      </c>
      <c r="C693" s="1211">
        <v>43791</v>
      </c>
      <c r="D693" s="1806"/>
      <c r="E693" s="1807"/>
      <c r="F693" s="2636"/>
      <c r="G693" s="1749"/>
      <c r="H693" s="1778" t="str">
        <f>IFERROR(VLOOKUP(F693,Trainingsarten!$A$9:$K$84,10,FALSE),"")</f>
        <v/>
      </c>
      <c r="I693" s="1808" t="str">
        <f t="shared" si="114"/>
        <v/>
      </c>
      <c r="J693" s="1809"/>
      <c r="K693" s="1753" t="str">
        <f>IFERROR(VLOOKUP(F693,Trainingsarten!$A$9:$K$84,11,FALSE),"0")</f>
        <v>0</v>
      </c>
      <c r="L693" s="2806"/>
      <c r="M693" s="2829"/>
      <c r="N693" s="1810" t="str">
        <f t="shared" si="117"/>
        <v/>
      </c>
      <c r="O693" s="1754"/>
      <c r="P693" s="1755" t="str">
        <f>IFERROR(VLOOKUP(F693,Trainingsarten!$A$9:$N$84,12,FALSE),"")</f>
        <v/>
      </c>
      <c r="Q693" s="1756" t="s">
        <v>437</v>
      </c>
      <c r="R693" s="1086" t="str">
        <f>IFERROR(VLOOKUP(F693,Trainingsarten!$A$9:$N$84,14,FALSE),"")</f>
        <v/>
      </c>
      <c r="S693" s="1087" t="str">
        <f t="shared" si="115"/>
        <v/>
      </c>
      <c r="T693" s="1757">
        <f t="shared" si="120"/>
        <v>20.738468881777219</v>
      </c>
      <c r="U693" s="1758">
        <f t="shared" si="118"/>
        <v>25.405006320330891</v>
      </c>
      <c r="V693" s="1088">
        <f t="shared" si="119"/>
        <v>1.8297602587533426</v>
      </c>
      <c r="W693" s="3284">
        <f t="shared" si="116"/>
        <v>0.81631425791777201</v>
      </c>
      <c r="X693" s="3300"/>
      <c r="Y693" s="3316"/>
      <c r="AA693" s="3301"/>
      <c r="AB693" s="3409"/>
      <c r="AE693" s="1056"/>
    </row>
    <row r="694" spans="2:31" x14ac:dyDescent="0.2">
      <c r="B694" s="2982" t="s">
        <v>761</v>
      </c>
      <c r="C694" s="1211">
        <v>43792</v>
      </c>
      <c r="D694" s="1806"/>
      <c r="E694" s="1807"/>
      <c r="F694" s="2636"/>
      <c r="G694" s="1749"/>
      <c r="H694" s="1778" t="str">
        <f>IFERROR(VLOOKUP(F694,Trainingsarten!$A$9:$K$84,10,FALSE),"")</f>
        <v/>
      </c>
      <c r="I694" s="1808" t="str">
        <f t="shared" si="114"/>
        <v/>
      </c>
      <c r="J694" s="1809"/>
      <c r="K694" s="1753" t="str">
        <f>IFERROR(VLOOKUP(F694,Trainingsarten!$A$9:$K$84,11,FALSE),"0")</f>
        <v>0</v>
      </c>
      <c r="L694" s="2806"/>
      <c r="M694" s="2829"/>
      <c r="N694" s="1810" t="str">
        <f t="shared" si="117"/>
        <v/>
      </c>
      <c r="O694" s="1754"/>
      <c r="P694" s="1755" t="str">
        <f>IFERROR(VLOOKUP(F694,Trainingsarten!$A$9:$N$84,12,FALSE),"")</f>
        <v/>
      </c>
      <c r="Q694" s="1756" t="s">
        <v>437</v>
      </c>
      <c r="R694" s="1086" t="str">
        <f>IFERROR(VLOOKUP(F694,Trainingsarten!$A$9:$N$84,14,FALSE),"")</f>
        <v/>
      </c>
      <c r="S694" s="1087" t="str">
        <f t="shared" si="115"/>
        <v/>
      </c>
      <c r="T694" s="1757">
        <f t="shared" si="120"/>
        <v>17.77583047009476</v>
      </c>
      <c r="U694" s="1758">
        <f t="shared" si="118"/>
        <v>24.800125217465869</v>
      </c>
      <c r="V694" s="1088">
        <f t="shared" si="119"/>
        <v>4.6665374385536715</v>
      </c>
      <c r="W694" s="3284">
        <f t="shared" si="116"/>
        <v>0.71676373865950727</v>
      </c>
      <c r="X694" s="3300"/>
      <c r="Y694" s="3316"/>
      <c r="AA694" s="3301"/>
      <c r="AB694" s="3409"/>
      <c r="AE694" s="1056"/>
    </row>
    <row r="695" spans="2:31" ht="16" thickBot="1" x14ac:dyDescent="0.25">
      <c r="B695" s="2983">
        <f>AVERAGE(W689:W695)</f>
        <v>0.96226216737092685</v>
      </c>
      <c r="C695" s="1189">
        <v>43793</v>
      </c>
      <c r="D695" s="1232">
        <v>149</v>
      </c>
      <c r="E695" s="1233"/>
      <c r="F695" s="2629" t="s">
        <v>665</v>
      </c>
      <c r="G695" s="1663">
        <v>4.3240740740740739E-2</v>
      </c>
      <c r="H695" s="1820">
        <v>11.34</v>
      </c>
      <c r="I695" s="1821">
        <f t="shared" si="114"/>
        <v>3.8131164674374551E-3</v>
      </c>
      <c r="J695" s="1822">
        <v>138</v>
      </c>
      <c r="K695" s="1344">
        <v>72</v>
      </c>
      <c r="L695" s="2808">
        <v>211</v>
      </c>
      <c r="M695" s="2832"/>
      <c r="N695" s="1238">
        <f t="shared" si="117"/>
        <v>1.0375319171339072</v>
      </c>
      <c r="O695" s="1666" t="s">
        <v>751</v>
      </c>
      <c r="P695" s="1667" t="str">
        <f>IFERROR(VLOOKUP(F695,Trainingsarten!$A$9:$N$84,12,FALSE),"")</f>
        <v/>
      </c>
      <c r="Q695" s="1817" t="s">
        <v>437</v>
      </c>
      <c r="R695" s="1151" t="str">
        <f>IFERROR(VLOOKUP(F695,Trainingsarten!$A$9:$N$84,14,FALSE),"")</f>
        <v/>
      </c>
      <c r="S695" s="1106">
        <f t="shared" si="115"/>
        <v>1.5289855072463767</v>
      </c>
      <c r="T695" s="1258">
        <f t="shared" si="120"/>
        <v>25.522140402938366</v>
      </c>
      <c r="U695" s="1152">
        <f t="shared" si="118"/>
        <v>25.923931759907159</v>
      </c>
      <c r="V695" s="1152">
        <f t="shared" si="119"/>
        <v>7.0242947473711084</v>
      </c>
      <c r="W695" s="3285">
        <f t="shared" si="116"/>
        <v>0.98450114123544386</v>
      </c>
      <c r="X695" s="3300"/>
      <c r="Y695" s="3316"/>
      <c r="AA695" s="3301"/>
      <c r="AB695" s="3409"/>
      <c r="AE695" s="1056"/>
    </row>
    <row r="696" spans="2:31" ht="16" thickBot="1" x14ac:dyDescent="0.25">
      <c r="B696" s="2977">
        <f>B689+1</f>
        <v>48</v>
      </c>
      <c r="C696" s="1190">
        <v>43794</v>
      </c>
      <c r="D696" s="1191"/>
      <c r="E696" s="1192"/>
      <c r="F696" s="2649"/>
      <c r="G696" s="1349"/>
      <c r="H696" s="1697" t="str">
        <f>IFERROR(VLOOKUP(F696,Trainingsarten!$A$9:$K$84,10,FALSE),"")</f>
        <v/>
      </c>
      <c r="I696" s="1368" t="str">
        <f t="shared" si="114"/>
        <v/>
      </c>
      <c r="J696" s="1354"/>
      <c r="K696" s="1353" t="str">
        <f>IFERROR(VLOOKUP(F696,Trainingsarten!$A$9:$K$84,11,FALSE),"0")</f>
        <v>0</v>
      </c>
      <c r="L696" s="1915"/>
      <c r="M696" s="2833"/>
      <c r="N696" s="1199" t="str">
        <f t="shared" si="117"/>
        <v/>
      </c>
      <c r="O696" s="1668"/>
      <c r="P696" s="1201" t="str">
        <f>IFERROR(VLOOKUP(F696,Trainingsarten!$A$9:$N$84,12,FALSE),"")</f>
        <v/>
      </c>
      <c r="Q696" s="1202" t="s">
        <v>437</v>
      </c>
      <c r="R696" s="1069" t="str">
        <f>IFERROR(VLOOKUP(F696,Trainingsarten!$A$9:$N$84,14,FALSE),"")</f>
        <v/>
      </c>
      <c r="S696" s="1070" t="str">
        <f t="shared" si="115"/>
        <v/>
      </c>
      <c r="T696" s="1669">
        <f t="shared" si="120"/>
        <v>21.876120345375742</v>
      </c>
      <c r="U696" s="1055">
        <f t="shared" si="118"/>
        <v>25.306695289433179</v>
      </c>
      <c r="V696" s="1203">
        <f t="shared" si="119"/>
        <v>0.40179135696879342</v>
      </c>
      <c r="W696" s="3286">
        <f t="shared" si="116"/>
        <v>0.86444002645063367</v>
      </c>
      <c r="X696" s="3300"/>
      <c r="Y696" s="3316"/>
      <c r="AA696" s="3301"/>
      <c r="AB696" s="3409"/>
      <c r="AE696" s="1056"/>
    </row>
    <row r="697" spans="2:31" x14ac:dyDescent="0.2">
      <c r="B697" s="2978" t="s">
        <v>626</v>
      </c>
      <c r="C697" s="1204">
        <v>43795</v>
      </c>
      <c r="D697" s="1089"/>
      <c r="E697" s="1205"/>
      <c r="F697" s="2650"/>
      <c r="G697" s="1357"/>
      <c r="H697" s="1358" t="str">
        <f>IFERROR(VLOOKUP(F697,Trainingsarten!$A$9:$K$84,10,FALSE),"")</f>
        <v/>
      </c>
      <c r="I697" s="1369" t="str">
        <f t="shared" si="114"/>
        <v/>
      </c>
      <c r="J697" s="1306"/>
      <c r="K697" s="1305" t="str">
        <f>IFERROR(VLOOKUP(F697,Trainingsarten!$A$9:$K$84,11,FALSE),"0")</f>
        <v>0</v>
      </c>
      <c r="L697" s="2806"/>
      <c r="M697" s="2829"/>
      <c r="N697" s="1208" t="str">
        <f t="shared" si="117"/>
        <v/>
      </c>
      <c r="O697" s="1670"/>
      <c r="P697" s="1136" t="str">
        <f>IFERROR(VLOOKUP(F697,Trainingsarten!$A$9:$N$84,12,FALSE),"")</f>
        <v/>
      </c>
      <c r="Q697" s="1137" t="s">
        <v>437</v>
      </c>
      <c r="R697" s="1086" t="str">
        <f>IFERROR(VLOOKUP(F697,Trainingsarten!$A$9:$N$84,14,FALSE),"")</f>
        <v/>
      </c>
      <c r="S697" s="1087" t="str">
        <f t="shared" si="115"/>
        <v/>
      </c>
      <c r="T697" s="1232">
        <f t="shared" si="120"/>
        <v>18.75096029603635</v>
      </c>
      <c r="U697" s="1239">
        <f t="shared" si="118"/>
        <v>24.704154925399056</v>
      </c>
      <c r="V697" s="1210">
        <f t="shared" si="119"/>
        <v>3.4305749440574367</v>
      </c>
      <c r="W697" s="3284">
        <f t="shared" si="116"/>
        <v>0.7590205110298246</v>
      </c>
      <c r="X697" s="3300"/>
      <c r="Y697" s="3316"/>
      <c r="AA697" s="3301"/>
      <c r="AB697" s="3409"/>
      <c r="AE697" s="1056"/>
    </row>
    <row r="698" spans="2:31" ht="16" thickBot="1" x14ac:dyDescent="0.25">
      <c r="B698" s="2979">
        <f>SUM(H696:H702)</f>
        <v>33.299999999999997</v>
      </c>
      <c r="C698" s="1211">
        <v>43796</v>
      </c>
      <c r="D698" s="1089">
        <v>150</v>
      </c>
      <c r="E698" s="1205"/>
      <c r="F698" s="2636" t="s">
        <v>760</v>
      </c>
      <c r="G698" s="1357">
        <v>4.0625000000000001E-2</v>
      </c>
      <c r="H698" s="1358">
        <v>10.7</v>
      </c>
      <c r="I698" s="1369">
        <f t="shared" si="114"/>
        <v>3.7967289719626172E-3</v>
      </c>
      <c r="J698" s="1306">
        <v>152</v>
      </c>
      <c r="K698" s="1305">
        <v>72</v>
      </c>
      <c r="L698" s="2806">
        <v>220</v>
      </c>
      <c r="M698" s="2829"/>
      <c r="N698" s="1208">
        <f t="shared" si="117"/>
        <v>1.0771376761054543</v>
      </c>
      <c r="O698" s="1670" t="s">
        <v>751</v>
      </c>
      <c r="P698" s="1136" t="str">
        <f>IFERROR(VLOOKUP(F698,Trainingsarten!$A$9:$N$84,12,FALSE),"")</f>
        <v/>
      </c>
      <c r="Q698" s="1137" t="s">
        <v>437</v>
      </c>
      <c r="R698" s="1086" t="str">
        <f>IFERROR(VLOOKUP(F698,Trainingsarten!$A$9:$N$84,14,FALSE),"")</f>
        <v/>
      </c>
      <c r="S698" s="1087">
        <f t="shared" si="115"/>
        <v>1.4473684210526316</v>
      </c>
      <c r="T698" s="1232">
        <f t="shared" si="120"/>
        <v>26.357965968031156</v>
      </c>
      <c r="U698" s="1239">
        <f t="shared" si="118"/>
        <v>25.830246474794315</v>
      </c>
      <c r="V698" s="1088">
        <f t="shared" si="119"/>
        <v>5.9531946293627058</v>
      </c>
      <c r="W698" s="3284">
        <f t="shared" si="116"/>
        <v>1.0204302925932898</v>
      </c>
      <c r="X698" s="3300"/>
      <c r="Y698" s="3316"/>
      <c r="AA698" s="3301"/>
      <c r="AB698" s="3409"/>
      <c r="AE698" s="1056"/>
    </row>
    <row r="699" spans="2:31" x14ac:dyDescent="0.2">
      <c r="B699" s="2980" t="s">
        <v>628</v>
      </c>
      <c r="C699" s="1204">
        <v>43797</v>
      </c>
      <c r="D699" s="1089"/>
      <c r="E699" s="1205"/>
      <c r="F699" s="2636"/>
      <c r="G699" s="1357"/>
      <c r="H699" s="1358" t="str">
        <f>IFERROR(VLOOKUP(F699,Trainingsarten!$A$9:$K$84,10,FALSE),"")</f>
        <v/>
      </c>
      <c r="I699" s="1369" t="str">
        <f t="shared" si="114"/>
        <v/>
      </c>
      <c r="J699" s="1306"/>
      <c r="K699" s="1305" t="str">
        <f>IFERROR(VLOOKUP(F699,Trainingsarten!$A$9:$K$84,11,FALSE),"0")</f>
        <v>0</v>
      </c>
      <c r="L699" s="2806"/>
      <c r="M699" s="2829"/>
      <c r="N699" s="1208" t="str">
        <f t="shared" si="117"/>
        <v/>
      </c>
      <c r="O699" s="1670"/>
      <c r="P699" s="1136" t="str">
        <f>IFERROR(VLOOKUP(F699,Trainingsarten!$A$9:$N$84,12,FALSE),"")</f>
        <v/>
      </c>
      <c r="Q699" s="1137" t="s">
        <v>437</v>
      </c>
      <c r="R699" s="1086" t="str">
        <f>IFERROR(VLOOKUP(F699,Trainingsarten!$A$9:$N$84,14,FALSE),"")</f>
        <v/>
      </c>
      <c r="S699" s="1087" t="str">
        <f t="shared" si="115"/>
        <v/>
      </c>
      <c r="T699" s="1232">
        <f t="shared" si="120"/>
        <v>22.59254225831242</v>
      </c>
      <c r="U699" s="1239">
        <f t="shared" si="118"/>
        <v>25.215240606346832</v>
      </c>
      <c r="V699" s="1088">
        <f t="shared" si="119"/>
        <v>-0.52771949323684098</v>
      </c>
      <c r="W699" s="3284">
        <f t="shared" si="116"/>
        <v>0.89598757398435203</v>
      </c>
      <c r="X699" s="3300"/>
      <c r="Y699" s="3316"/>
      <c r="AA699" s="3301"/>
      <c r="AB699" s="3409"/>
      <c r="AE699" s="1056"/>
    </row>
    <row r="700" spans="2:31" ht="16" thickBot="1" x14ac:dyDescent="0.25">
      <c r="B700" s="2981">
        <f>SUM(K696:K702)</f>
        <v>221</v>
      </c>
      <c r="C700" s="1211">
        <v>43798</v>
      </c>
      <c r="D700" s="1089">
        <v>151</v>
      </c>
      <c r="E700" s="1205"/>
      <c r="F700" s="2636" t="s">
        <v>760</v>
      </c>
      <c r="G700" s="1357">
        <v>4.0381944444444443E-2</v>
      </c>
      <c r="H700" s="1358">
        <v>10.6</v>
      </c>
      <c r="I700" s="1369">
        <f t="shared" si="114"/>
        <v>3.8096174004192871E-3</v>
      </c>
      <c r="J700" s="1306">
        <v>141</v>
      </c>
      <c r="K700" s="1305">
        <v>69</v>
      </c>
      <c r="L700" s="2806">
        <v>216</v>
      </c>
      <c r="M700" s="2829"/>
      <c r="N700" s="1208">
        <f t="shared" si="117"/>
        <v>1.0611433399042522</v>
      </c>
      <c r="O700" s="1670" t="s">
        <v>751</v>
      </c>
      <c r="P700" s="1136" t="str">
        <f>IFERROR(VLOOKUP(F700,Trainingsarten!$A$9:$N$84,12,FALSE),"")</f>
        <v/>
      </c>
      <c r="Q700" s="1137" t="s">
        <v>437</v>
      </c>
      <c r="R700" s="1086" t="str">
        <f>IFERROR(VLOOKUP(F700,Trainingsarten!$A$9:$N$84,14,FALSE),"")</f>
        <v/>
      </c>
      <c r="S700" s="1087">
        <f t="shared" si="115"/>
        <v>1.5319148936170213</v>
      </c>
      <c r="T700" s="1232">
        <f t="shared" si="120"/>
        <v>29.222179078553502</v>
      </c>
      <c r="U700" s="1239">
        <f t="shared" si="118"/>
        <v>26.257734877624287</v>
      </c>
      <c r="V700" s="1088">
        <f t="shared" si="119"/>
        <v>2.6226983480344117</v>
      </c>
      <c r="W700" s="3284">
        <f t="shared" si="116"/>
        <v>1.1128979409208442</v>
      </c>
      <c r="X700" s="3300"/>
      <c r="Y700" s="3316"/>
      <c r="AA700" s="3301"/>
      <c r="AB700" s="3409"/>
      <c r="AE700" s="1056"/>
    </row>
    <row r="701" spans="2:31" x14ac:dyDescent="0.2">
      <c r="B701" s="2982" t="s">
        <v>761</v>
      </c>
      <c r="C701" s="1211">
        <v>43799</v>
      </c>
      <c r="D701" s="1089"/>
      <c r="E701" s="1205"/>
      <c r="F701" s="2636"/>
      <c r="G701" s="1357"/>
      <c r="H701" s="1358" t="str">
        <f>IFERROR(VLOOKUP(F701,Trainingsarten!$A$9:$K$84,10,FALSE),"")</f>
        <v/>
      </c>
      <c r="I701" s="1369" t="str">
        <f t="shared" si="114"/>
        <v/>
      </c>
      <c r="J701" s="1306"/>
      <c r="K701" s="1305" t="str">
        <f>IFERROR(VLOOKUP(F701,Trainingsarten!$A$9:$K$84,11,FALSE),"0")</f>
        <v>0</v>
      </c>
      <c r="L701" s="2806"/>
      <c r="M701" s="2829"/>
      <c r="N701" s="1208" t="str">
        <f t="shared" si="117"/>
        <v/>
      </c>
      <c r="O701" s="1670"/>
      <c r="P701" s="1136" t="str">
        <f>IFERROR(VLOOKUP(F701,Trainingsarten!$A$9:$N$84,12,FALSE),"")</f>
        <v/>
      </c>
      <c r="Q701" s="1137" t="s">
        <v>437</v>
      </c>
      <c r="R701" s="1086" t="str">
        <f>IFERROR(VLOOKUP(F701,Trainingsarten!$A$9:$N$84,14,FALSE),"")</f>
        <v/>
      </c>
      <c r="S701" s="1087" t="str">
        <f t="shared" si="115"/>
        <v/>
      </c>
      <c r="T701" s="1232">
        <f t="shared" si="120"/>
        <v>25.047582067331575</v>
      </c>
      <c r="U701" s="1239">
        <f t="shared" si="118"/>
        <v>25.632550713871328</v>
      </c>
      <c r="V701" s="1088">
        <f t="shared" si="119"/>
        <v>-2.9644442009292149</v>
      </c>
      <c r="W701" s="3284">
        <f t="shared" si="116"/>
        <v>0.97717867983293638</v>
      </c>
      <c r="X701" s="3300"/>
      <c r="Y701" s="3316"/>
      <c r="AA701" s="3301"/>
      <c r="AB701" s="3409"/>
      <c r="AE701" s="1056"/>
    </row>
    <row r="702" spans="2:31" ht="16" thickBot="1" x14ac:dyDescent="0.25">
      <c r="B702" s="2983">
        <f>AVERAGE(W696:W702)</f>
        <v>0.97881419917850876</v>
      </c>
      <c r="C702" s="1260">
        <v>43800</v>
      </c>
      <c r="D702" s="1108">
        <v>152</v>
      </c>
      <c r="E702" s="1261"/>
      <c r="F702" s="2629" t="s">
        <v>640</v>
      </c>
      <c r="G702" s="1361">
        <v>4.5694444444444447E-2</v>
      </c>
      <c r="H702" s="1362">
        <v>12</v>
      </c>
      <c r="I702" s="1370">
        <f t="shared" si="114"/>
        <v>3.8078703703703707E-3</v>
      </c>
      <c r="J702" s="1317">
        <v>133</v>
      </c>
      <c r="K702" s="1316">
        <v>80</v>
      </c>
      <c r="L702" s="2807">
        <v>216</v>
      </c>
      <c r="M702" s="2830"/>
      <c r="N702" s="1223">
        <f t="shared" si="117"/>
        <v>1.0606567164179106</v>
      </c>
      <c r="O702" s="1671" t="s">
        <v>667</v>
      </c>
      <c r="P702" s="1225" t="str">
        <f>IFERROR(VLOOKUP(F702,Trainingsarten!$A$9:$N$84,12,FALSE),"")</f>
        <v/>
      </c>
      <c r="Q702" s="1226" t="s">
        <v>437</v>
      </c>
      <c r="R702" s="1105" t="str">
        <f>IFERROR(VLOOKUP(F702,Trainingsarten!$A$9:$N$84,14,FALSE),"")</f>
        <v/>
      </c>
      <c r="S702" s="1106">
        <f t="shared" si="115"/>
        <v>1.6240601503759398</v>
      </c>
      <c r="T702" s="1215">
        <f t="shared" si="120"/>
        <v>32.89792748628421</v>
      </c>
      <c r="U702" s="1227">
        <f t="shared" si="118"/>
        <v>26.927013792112486</v>
      </c>
      <c r="V702" s="1227">
        <f t="shared" si="119"/>
        <v>0.58496864653975322</v>
      </c>
      <c r="W702" s="3287">
        <f t="shared" si="116"/>
        <v>1.2217443694376811</v>
      </c>
      <c r="X702" s="3300"/>
      <c r="Y702" s="3316"/>
      <c r="AA702" s="3301"/>
      <c r="AB702" s="3409"/>
      <c r="AE702" s="1056"/>
    </row>
    <row r="703" spans="2:31" ht="16" thickBot="1" x14ac:dyDescent="0.25">
      <c r="B703" s="2977">
        <f>B696+1</f>
        <v>49</v>
      </c>
      <c r="C703" s="1245">
        <v>43801</v>
      </c>
      <c r="D703" s="1111"/>
      <c r="E703" s="1112"/>
      <c r="F703" s="2685"/>
      <c r="G703" s="1647"/>
      <c r="H703" s="1648" t="str">
        <f>IFERROR(VLOOKUP(F703,Trainingsarten!$A$9:$K$84,10,FALSE),"")</f>
        <v/>
      </c>
      <c r="I703" s="1230" t="str">
        <f t="shared" si="114"/>
        <v/>
      </c>
      <c r="J703" s="1324"/>
      <c r="K703" s="1325" t="str">
        <f>IFERROR(VLOOKUP(F703,Trainingsarten!$A$9:$K$84,11,FALSE),"0")</f>
        <v>0</v>
      </c>
      <c r="L703" s="1326"/>
      <c r="M703" s="2831"/>
      <c r="N703" s="1119" t="str">
        <f t="shared" si="117"/>
        <v/>
      </c>
      <c r="O703" s="1649"/>
      <c r="P703" s="1277" t="str">
        <f>IFERROR(VLOOKUP(F703,Trainingsarten!$A$9:$N$84,12,FALSE),"")</f>
        <v/>
      </c>
      <c r="Q703" s="1122" t="s">
        <v>437</v>
      </c>
      <c r="R703" s="1122" t="str">
        <f>IFERROR(VLOOKUP(F703,Trainingsarten!$A$9:$N$84,14,FALSE),"")</f>
        <v/>
      </c>
      <c r="S703" s="1070" t="str">
        <f t="shared" si="115"/>
        <v/>
      </c>
      <c r="T703" s="1650">
        <f t="shared" si="120"/>
        <v>28.198223559672179</v>
      </c>
      <c r="U703" s="1651">
        <f t="shared" si="118"/>
        <v>26.285894416109809</v>
      </c>
      <c r="V703" s="1278">
        <f t="shared" si="119"/>
        <v>-5.970913694171724</v>
      </c>
      <c r="W703" s="3283">
        <f t="shared" si="116"/>
        <v>1.072751153652598</v>
      </c>
      <c r="X703" s="3300"/>
      <c r="Y703" s="3316"/>
      <c r="AA703" s="3301"/>
      <c r="AB703" s="3409"/>
      <c r="AE703" s="1056"/>
    </row>
    <row r="704" spans="2:31" x14ac:dyDescent="0.2">
      <c r="B704" s="2978" t="s">
        <v>626</v>
      </c>
      <c r="C704" s="1698">
        <v>43802</v>
      </c>
      <c r="D704" s="1823">
        <v>153</v>
      </c>
      <c r="E704" s="1824"/>
      <c r="F704" s="2650" t="s">
        <v>760</v>
      </c>
      <c r="G704" s="1825">
        <v>4.0196759259259258E-2</v>
      </c>
      <c r="H704" s="1826">
        <v>10.68</v>
      </c>
      <c r="I704" s="1827">
        <f t="shared" si="114"/>
        <v>3.7637415036759604E-3</v>
      </c>
      <c r="J704" s="1828">
        <v>142</v>
      </c>
      <c r="K704" s="1829">
        <v>72</v>
      </c>
      <c r="L704" s="2806">
        <v>221</v>
      </c>
      <c r="M704" s="2829"/>
      <c r="N704" s="1831">
        <f t="shared" si="117"/>
        <v>1.0726326233998547</v>
      </c>
      <c r="O704" s="1832" t="s">
        <v>667</v>
      </c>
      <c r="P704" s="1755" t="str">
        <f>IFERROR(VLOOKUP(F704,Trainingsarten!$A$9:$N$84,12,FALSE),"")</f>
        <v/>
      </c>
      <c r="Q704" s="1756" t="s">
        <v>437</v>
      </c>
      <c r="R704" s="1086" t="str">
        <f>IFERROR(VLOOKUP(F704,Trainingsarten!$A$9:$N$84,14,FALSE),"")</f>
        <v/>
      </c>
      <c r="S704" s="1087">
        <f t="shared" si="115"/>
        <v>1.556338028169014</v>
      </c>
      <c r="T704" s="1757">
        <f t="shared" si="120"/>
        <v>34.455620194004723</v>
      </c>
      <c r="U704" s="1758">
        <f t="shared" si="118"/>
        <v>27.374325501440527</v>
      </c>
      <c r="V704" s="1088">
        <f t="shared" si="119"/>
        <v>-1.9123291435623706</v>
      </c>
      <c r="W704" s="3284">
        <f t="shared" si="116"/>
        <v>1.2586838054582041</v>
      </c>
      <c r="X704" s="3300"/>
      <c r="Y704" s="3316"/>
      <c r="AA704" s="3301"/>
      <c r="AB704" s="3409"/>
      <c r="AE704" s="1056"/>
    </row>
    <row r="705" spans="2:31" ht="16" thickBot="1" x14ac:dyDescent="0.25">
      <c r="B705" s="2979">
        <f>SUM(H703:H709)</f>
        <v>10.68</v>
      </c>
      <c r="C705" s="1211">
        <v>43803</v>
      </c>
      <c r="D705" s="1823"/>
      <c r="E705" s="1824"/>
      <c r="F705" s="2636"/>
      <c r="G705" s="1825"/>
      <c r="H705" s="1826" t="str">
        <f>IFERROR(VLOOKUP(F705,Trainingsarten!$A$9:$K$84,10,FALSE),"")</f>
        <v/>
      </c>
      <c r="I705" s="1827" t="str">
        <f t="shared" si="114"/>
        <v/>
      </c>
      <c r="J705" s="1828"/>
      <c r="K705" s="1829" t="str">
        <f>IFERROR(VLOOKUP(F705,Trainingsarten!$A$9:$K$84,11,FALSE),"0")</f>
        <v>0</v>
      </c>
      <c r="L705" s="2806"/>
      <c r="M705" s="2829"/>
      <c r="N705" s="1831" t="str">
        <f t="shared" si="117"/>
        <v/>
      </c>
      <c r="O705" s="1832"/>
      <c r="P705" s="1755" t="str">
        <f>IFERROR(VLOOKUP(F705,Trainingsarten!$A$9:$N$84,12,FALSE),"")</f>
        <v/>
      </c>
      <c r="Q705" s="1756" t="s">
        <v>437</v>
      </c>
      <c r="R705" s="1086" t="str">
        <f>IFERROR(VLOOKUP(F705,Trainingsarten!$A$9:$N$84,14,FALSE),"")</f>
        <v/>
      </c>
      <c r="S705" s="1087" t="str">
        <f t="shared" si="115"/>
        <v/>
      </c>
      <c r="T705" s="1757">
        <f t="shared" si="120"/>
        <v>29.533388737718333</v>
      </c>
      <c r="U705" s="1758">
        <f t="shared" si="118"/>
        <v>26.722555846644322</v>
      </c>
      <c r="V705" s="1088">
        <f t="shared" si="119"/>
        <v>-7.081294692564196</v>
      </c>
      <c r="W705" s="3284">
        <f t="shared" si="116"/>
        <v>1.1051857804023255</v>
      </c>
      <c r="X705" s="3300"/>
      <c r="Y705" s="3316"/>
      <c r="AA705" s="3301"/>
      <c r="AB705" s="3409"/>
      <c r="AE705" s="1056"/>
    </row>
    <row r="706" spans="2:31" x14ac:dyDescent="0.2">
      <c r="B706" s="2980" t="s">
        <v>628</v>
      </c>
      <c r="C706" s="1211">
        <v>43804</v>
      </c>
      <c r="D706" s="1823"/>
      <c r="E706" s="1824"/>
      <c r="F706" s="2636"/>
      <c r="G706" s="1825"/>
      <c r="H706" s="1826" t="str">
        <f>IFERROR(VLOOKUP(F706,Trainingsarten!$A$9:$K$84,10,FALSE),"")</f>
        <v/>
      </c>
      <c r="I706" s="1827" t="str">
        <f t="shared" ref="I706:I732" si="121">IFERROR(G706/H706,"")</f>
        <v/>
      </c>
      <c r="J706" s="1828"/>
      <c r="K706" s="1829" t="str">
        <f>IFERROR(VLOOKUP(F706,Trainingsarten!$A$9:$K$84,11,FALSE),"0")</f>
        <v>0</v>
      </c>
      <c r="L706" s="2806"/>
      <c r="M706" s="2829"/>
      <c r="N706" s="1831" t="str">
        <f t="shared" si="117"/>
        <v/>
      </c>
      <c r="O706" s="1832"/>
      <c r="P706" s="1755" t="str">
        <f>IFERROR(VLOOKUP(F706,Trainingsarten!$A$9:$N$84,12,FALSE),"")</f>
        <v/>
      </c>
      <c r="Q706" s="1756" t="s">
        <v>437</v>
      </c>
      <c r="R706" s="1086" t="str">
        <f>IFERROR(VLOOKUP(F706,Trainingsarten!$A$9:$N$84,14,FALSE),"")</f>
        <v/>
      </c>
      <c r="S706" s="1087" t="str">
        <f t="shared" si="115"/>
        <v/>
      </c>
      <c r="T706" s="1757">
        <f t="shared" si="120"/>
        <v>25.314333203758572</v>
      </c>
      <c r="U706" s="1758">
        <f t="shared" si="118"/>
        <v>26.086304516962315</v>
      </c>
      <c r="V706" s="1088">
        <f t="shared" si="119"/>
        <v>-2.8108328910740106</v>
      </c>
      <c r="W706" s="3284">
        <f t="shared" si="116"/>
        <v>0.97040702669472489</v>
      </c>
      <c r="X706" s="3300"/>
      <c r="Y706" s="3316"/>
      <c r="AA706" s="3301"/>
      <c r="AB706" s="3409"/>
      <c r="AE706" s="1056"/>
    </row>
    <row r="707" spans="2:31" ht="16" thickBot="1" x14ac:dyDescent="0.25">
      <c r="B707" s="2981">
        <f>SUM(K703:K709)</f>
        <v>72</v>
      </c>
      <c r="C707" s="1211">
        <v>43805</v>
      </c>
      <c r="D707" s="1823"/>
      <c r="E707" s="1824"/>
      <c r="F707" s="2636"/>
      <c r="G707" s="1825"/>
      <c r="H707" s="1826" t="str">
        <f>IFERROR(VLOOKUP(F707,Trainingsarten!$A$9:$K$84,10,FALSE),"")</f>
        <v/>
      </c>
      <c r="I707" s="1827" t="str">
        <f t="shared" si="121"/>
        <v/>
      </c>
      <c r="J707" s="1828"/>
      <c r="K707" s="1829" t="str">
        <f>IFERROR(VLOOKUP(F707,Trainingsarten!$A$9:$K$84,11,FALSE),"0")</f>
        <v>0</v>
      </c>
      <c r="L707" s="2806"/>
      <c r="M707" s="2829"/>
      <c r="N707" s="1831" t="str">
        <f t="shared" si="117"/>
        <v/>
      </c>
      <c r="O707" s="1832"/>
      <c r="P707" s="1755" t="str">
        <f>IFERROR(VLOOKUP(F707,Trainingsarten!$A$9:$N$84,12,FALSE),"")</f>
        <v/>
      </c>
      <c r="Q707" s="1756" t="s">
        <v>437</v>
      </c>
      <c r="R707" s="1086" t="str">
        <f>IFERROR(VLOOKUP(F707,Trainingsarten!$A$9:$N$84,14,FALSE),"")</f>
        <v/>
      </c>
      <c r="S707" s="1087" t="str">
        <f t="shared" si="115"/>
        <v/>
      </c>
      <c r="T707" s="1757">
        <f t="shared" si="120"/>
        <v>21.697999888935918</v>
      </c>
      <c r="U707" s="1758">
        <f t="shared" si="118"/>
        <v>25.465202028463214</v>
      </c>
      <c r="V707" s="1088">
        <f t="shared" si="119"/>
        <v>0.77197131320374268</v>
      </c>
      <c r="W707" s="3284">
        <f t="shared" si="116"/>
        <v>0.85206470636609988</v>
      </c>
      <c r="X707" s="3300"/>
      <c r="Y707" s="3316"/>
      <c r="AA707" s="3301"/>
      <c r="AB707" s="3409"/>
      <c r="AE707" s="1056"/>
    </row>
    <row r="708" spans="2:31" x14ac:dyDescent="0.2">
      <c r="B708" s="2982" t="s">
        <v>761</v>
      </c>
      <c r="C708" s="1211">
        <v>43806</v>
      </c>
      <c r="D708" s="1823"/>
      <c r="E708" s="1824"/>
      <c r="F708" s="2636"/>
      <c r="G708" s="1825"/>
      <c r="H708" s="1826" t="str">
        <f>IFERROR(VLOOKUP(F708,Trainingsarten!$A$9:$K$84,10,FALSE),"")</f>
        <v/>
      </c>
      <c r="I708" s="1827" t="str">
        <f t="shared" si="121"/>
        <v/>
      </c>
      <c r="J708" s="1828"/>
      <c r="K708" s="1829" t="str">
        <f>IFERROR(VLOOKUP(F708,Trainingsarten!$A$9:$K$84,11,FALSE),"0")</f>
        <v>0</v>
      </c>
      <c r="L708" s="2806"/>
      <c r="M708" s="2829"/>
      <c r="N708" s="1831" t="str">
        <f t="shared" si="117"/>
        <v/>
      </c>
      <c r="O708" s="1832"/>
      <c r="P708" s="1755" t="str">
        <f>IFERROR(VLOOKUP(F708,Trainingsarten!$A$9:$N$84,12,FALSE),"")</f>
        <v/>
      </c>
      <c r="Q708" s="1756" t="s">
        <v>437</v>
      </c>
      <c r="R708" s="1086" t="str">
        <f>IFERROR(VLOOKUP(F708,Trainingsarten!$A$9:$N$84,14,FALSE),"")</f>
        <v/>
      </c>
      <c r="S708" s="1087" t="str">
        <f t="shared" si="115"/>
        <v/>
      </c>
      <c r="T708" s="1757">
        <f t="shared" si="120"/>
        <v>18.598285619087928</v>
      </c>
      <c r="U708" s="1758">
        <f t="shared" si="118"/>
        <v>24.858887694452186</v>
      </c>
      <c r="V708" s="1088">
        <f t="shared" si="119"/>
        <v>3.7672021395272957</v>
      </c>
      <c r="W708" s="3284">
        <f t="shared" si="116"/>
        <v>0.74815437632145343</v>
      </c>
      <c r="X708" s="3300"/>
      <c r="Y708" s="3316"/>
      <c r="AA708" s="3301"/>
      <c r="AB708" s="3409"/>
      <c r="AE708" s="1056"/>
    </row>
    <row r="709" spans="2:31" ht="16" thickBot="1" x14ac:dyDescent="0.25">
      <c r="B709" s="2983">
        <f>AVERAGE(W703:W709)</f>
        <v>0.95202326952015326</v>
      </c>
      <c r="C709" s="1833">
        <v>43807</v>
      </c>
      <c r="D709" s="1834"/>
      <c r="E709" s="1835"/>
      <c r="F709" s="2629"/>
      <c r="G709" s="1836"/>
      <c r="H709" s="1837" t="str">
        <f>IFERROR(VLOOKUP(F709,Trainingsarten!$A$9:$K$84,10,FALSE),"")</f>
        <v/>
      </c>
      <c r="I709" s="1838" t="str">
        <f t="shared" si="121"/>
        <v/>
      </c>
      <c r="J709" s="1839"/>
      <c r="K709" s="1840" t="str">
        <f>IFERROR(VLOOKUP(F709,Trainingsarten!$A$9:$K$84,11,FALSE),"0")</f>
        <v>0</v>
      </c>
      <c r="L709" s="2807"/>
      <c r="M709" s="2830"/>
      <c r="N709" s="1842" t="str">
        <f t="shared" si="117"/>
        <v/>
      </c>
      <c r="O709" s="1843"/>
      <c r="P709" s="1844" t="str">
        <f>IFERROR(VLOOKUP(F709,Trainingsarten!$A$9:$N$84,12,FALSE),"")</f>
        <v/>
      </c>
      <c r="Q709" s="1845" t="s">
        <v>437</v>
      </c>
      <c r="R709" s="1105" t="str">
        <f>IFERROR(VLOOKUP(F709,Trainingsarten!$A$9:$N$84,14,FALSE),"")</f>
        <v/>
      </c>
      <c r="S709" s="1106" t="str">
        <f t="shared" si="115"/>
        <v/>
      </c>
      <c r="T709" s="1834">
        <f t="shared" si="120"/>
        <v>15.941387673503939</v>
      </c>
      <c r="U709" s="1846">
        <f t="shared" si="118"/>
        <v>24.267009416012847</v>
      </c>
      <c r="V709" s="1107">
        <f t="shared" si="119"/>
        <v>6.2606020753642575</v>
      </c>
      <c r="W709" s="3285">
        <f t="shared" si="116"/>
        <v>0.65691603774566654</v>
      </c>
      <c r="X709" s="3300"/>
      <c r="Y709" s="3316"/>
      <c r="AA709" s="3301"/>
      <c r="AB709" s="3409"/>
      <c r="AE709" s="1056"/>
    </row>
    <row r="710" spans="2:31" ht="16" thickBot="1" x14ac:dyDescent="0.25">
      <c r="B710" s="2977">
        <f>B703+1</f>
        <v>50</v>
      </c>
      <c r="C710" s="1847">
        <v>43808</v>
      </c>
      <c r="D710" s="1111"/>
      <c r="E710" s="1112"/>
      <c r="F710" s="2708"/>
      <c r="G710" s="1848"/>
      <c r="H710" s="1849" t="str">
        <f>IFERROR(VLOOKUP(F710,Trainingsarten!$A$9:$K$84,10,FALSE),"")</f>
        <v/>
      </c>
      <c r="I710" s="1850" t="str">
        <f t="shared" si="121"/>
        <v/>
      </c>
      <c r="J710" s="1851"/>
      <c r="K710" s="1852" t="str">
        <f>IFERROR(VLOOKUP(F710,Trainingsarten!$A$9:$K$84,11,FALSE),"0")</f>
        <v>0</v>
      </c>
      <c r="L710" s="1326"/>
      <c r="M710" s="2831"/>
      <c r="N710" s="1119" t="str">
        <f t="shared" si="117"/>
        <v/>
      </c>
      <c r="O710" s="1853"/>
      <c r="P710" s="1121" t="str">
        <f>IFERROR(VLOOKUP(F710,Trainingsarten!$A$9:$N$84,12,FALSE),"")</f>
        <v/>
      </c>
      <c r="Q710" s="1122" t="s">
        <v>437</v>
      </c>
      <c r="R710" s="1122" t="str">
        <f>IFERROR(VLOOKUP(F710,Trainingsarten!$A$9:$N$84,14,FALSE),"")</f>
        <v/>
      </c>
      <c r="S710" s="1070" t="str">
        <f t="shared" si="115"/>
        <v/>
      </c>
      <c r="T710" s="1854">
        <f t="shared" si="120"/>
        <v>13.664046577289092</v>
      </c>
      <c r="U710" s="1651">
        <f t="shared" si="118"/>
        <v>23.689223477536352</v>
      </c>
      <c r="V710" s="1123">
        <f t="shared" si="119"/>
        <v>8.3256217425089076</v>
      </c>
      <c r="W710" s="3286">
        <f t="shared" si="116"/>
        <v>0.57680432582546326</v>
      </c>
      <c r="X710" s="3300"/>
      <c r="Y710" s="3316"/>
      <c r="AA710" s="3301"/>
      <c r="AB710" s="3409"/>
      <c r="AE710" s="1056"/>
    </row>
    <row r="711" spans="2:31" x14ac:dyDescent="0.2">
      <c r="B711" s="2978" t="s">
        <v>626</v>
      </c>
      <c r="C711" s="1126">
        <v>43809</v>
      </c>
      <c r="D711" s="1212"/>
      <c r="E711" s="1213"/>
      <c r="F711" s="2650"/>
      <c r="G711" s="1855"/>
      <c r="H711" s="1856" t="str">
        <f>IFERROR(VLOOKUP(F711,Trainingsarten!$A$9:$K$84,10,FALSE),"")</f>
        <v/>
      </c>
      <c r="I711" s="1857" t="str">
        <f t="shared" si="121"/>
        <v/>
      </c>
      <c r="J711" s="1858"/>
      <c r="K711" s="1859" t="str">
        <f>IFERROR(VLOOKUP(F711,Trainingsarten!$A$9:$K$84,11,FALSE),"0")</f>
        <v>0</v>
      </c>
      <c r="L711" s="2806"/>
      <c r="M711" s="2829"/>
      <c r="N711" s="1860" t="str">
        <f t="shared" si="117"/>
        <v/>
      </c>
      <c r="O711" s="1861"/>
      <c r="P711" s="1136" t="str">
        <f>IFERROR(VLOOKUP(F711,Trainingsarten!$A$9:$N$84,12,FALSE),"")</f>
        <v/>
      </c>
      <c r="Q711" s="1137" t="s">
        <v>437</v>
      </c>
      <c r="R711" s="1086" t="str">
        <f>IFERROR(VLOOKUP(F711,Trainingsarten!$A$9:$N$84,14,FALSE),"")</f>
        <v/>
      </c>
      <c r="S711" s="1087" t="str">
        <f t="shared" si="115"/>
        <v/>
      </c>
      <c r="T711" s="1709">
        <f t="shared" si="120"/>
        <v>11.71203992339065</v>
      </c>
      <c r="U711" s="1710">
        <f t="shared" si="118"/>
        <v>23.125194347118821</v>
      </c>
      <c r="V711" s="1088">
        <f t="shared" si="119"/>
        <v>10.02517690024726</v>
      </c>
      <c r="W711" s="3284">
        <f t="shared" si="116"/>
        <v>0.50646233487113845</v>
      </c>
      <c r="X711" s="3300"/>
      <c r="Y711" s="3316"/>
      <c r="AA711" s="3301"/>
      <c r="AB711" s="3409"/>
      <c r="AE711" s="1056"/>
    </row>
    <row r="712" spans="2:31" ht="16" thickBot="1" x14ac:dyDescent="0.25">
      <c r="B712" s="2979">
        <f>SUM(H710:H716)</f>
        <v>17.86</v>
      </c>
      <c r="C712" s="1126">
        <v>43810</v>
      </c>
      <c r="D712" s="1212"/>
      <c r="E712" s="1213"/>
      <c r="F712" s="2636"/>
      <c r="G712" s="1855"/>
      <c r="H712" s="1856" t="str">
        <f>IFERROR(VLOOKUP(F712,Trainingsarten!$A$9:$K$84,10,FALSE),"")</f>
        <v/>
      </c>
      <c r="I712" s="1857" t="str">
        <f t="shared" si="121"/>
        <v/>
      </c>
      <c r="J712" s="1858"/>
      <c r="K712" s="1859" t="str">
        <f>IFERROR(VLOOKUP(F712,Trainingsarten!$A$9:$K$84,11,FALSE),"0")</f>
        <v>0</v>
      </c>
      <c r="L712" s="2806"/>
      <c r="M712" s="2829"/>
      <c r="N712" s="1860" t="str">
        <f t="shared" si="117"/>
        <v/>
      </c>
      <c r="O712" s="1861"/>
      <c r="P712" s="1136" t="str">
        <f>IFERROR(VLOOKUP(F712,Trainingsarten!$A$9:$N$84,12,FALSE),"")</f>
        <v/>
      </c>
      <c r="Q712" s="1137" t="s">
        <v>437</v>
      </c>
      <c r="R712" s="1086" t="str">
        <f>IFERROR(VLOOKUP(F712,Trainingsarten!$A$9:$N$84,14,FALSE),"")</f>
        <v/>
      </c>
      <c r="S712" s="1087" t="str">
        <f t="shared" si="115"/>
        <v/>
      </c>
      <c r="T712" s="1709">
        <f t="shared" si="120"/>
        <v>10.038891362906272</v>
      </c>
      <c r="U712" s="1710">
        <f t="shared" si="118"/>
        <v>22.57459448171123</v>
      </c>
      <c r="V712" s="1088">
        <f t="shared" si="119"/>
        <v>11.413154423728171</v>
      </c>
      <c r="W712" s="3284">
        <f t="shared" si="116"/>
        <v>0.44469863549660937</v>
      </c>
      <c r="X712" s="3300"/>
      <c r="Y712" s="3316"/>
      <c r="AA712" s="3301"/>
      <c r="AB712" s="3409"/>
      <c r="AE712" s="1056"/>
    </row>
    <row r="713" spans="2:31" x14ac:dyDescent="0.2">
      <c r="B713" s="2980" t="s">
        <v>628</v>
      </c>
      <c r="C713" s="1126">
        <v>43811</v>
      </c>
      <c r="D713" s="1212"/>
      <c r="E713" s="1213"/>
      <c r="F713" s="2636"/>
      <c r="G713" s="1855"/>
      <c r="H713" s="1856" t="str">
        <f>IFERROR(VLOOKUP(F713,Trainingsarten!$A$9:$K$84,10,FALSE),"")</f>
        <v/>
      </c>
      <c r="I713" s="1857" t="str">
        <f t="shared" si="121"/>
        <v/>
      </c>
      <c r="J713" s="1858"/>
      <c r="K713" s="1859" t="str">
        <f>IFERROR(VLOOKUP(F713,Trainingsarten!$A$9:$K$84,11,FALSE),"0")</f>
        <v>0</v>
      </c>
      <c r="L713" s="2806"/>
      <c r="M713" s="2829"/>
      <c r="N713" s="1860" t="str">
        <f t="shared" si="117"/>
        <v/>
      </c>
      <c r="O713" s="1861"/>
      <c r="P713" s="1136" t="str">
        <f>IFERROR(VLOOKUP(F713,Trainingsarten!$A$9:$N$84,12,FALSE),"")</f>
        <v/>
      </c>
      <c r="Q713" s="1137" t="s">
        <v>437</v>
      </c>
      <c r="R713" s="1086" t="str">
        <f>IFERROR(VLOOKUP(F713,Trainingsarten!$A$9:$N$84,14,FALSE),"")</f>
        <v/>
      </c>
      <c r="S713" s="1087" t="str">
        <f t="shared" si="115"/>
        <v/>
      </c>
      <c r="T713" s="1709">
        <f t="shared" si="120"/>
        <v>8.6047640253482331</v>
      </c>
      <c r="U713" s="1710">
        <f t="shared" si="118"/>
        <v>22.037104136908582</v>
      </c>
      <c r="V713" s="1088">
        <f t="shared" si="119"/>
        <v>12.535703118804959</v>
      </c>
      <c r="W713" s="3284">
        <f t="shared" si="116"/>
        <v>0.39046709458238871</v>
      </c>
      <c r="X713" s="3300"/>
      <c r="Y713" s="3316"/>
      <c r="AA713" s="3301"/>
      <c r="AB713" s="3409"/>
      <c r="AE713" s="1056"/>
    </row>
    <row r="714" spans="2:31" ht="16" thickBot="1" x14ac:dyDescent="0.25">
      <c r="B714" s="2981">
        <f>SUM(K710:K716)</f>
        <v>118</v>
      </c>
      <c r="C714" s="1126">
        <v>43812</v>
      </c>
      <c r="D714" s="1212">
        <v>154</v>
      </c>
      <c r="E714" s="1213"/>
      <c r="F714" s="2636" t="s">
        <v>638</v>
      </c>
      <c r="G714" s="1855">
        <v>3.3263888888888891E-2</v>
      </c>
      <c r="H714" s="1856">
        <v>8.33</v>
      </c>
      <c r="I714" s="1857">
        <f t="shared" si="121"/>
        <v>3.993263972255569E-3</v>
      </c>
      <c r="J714" s="1858">
        <v>147</v>
      </c>
      <c r="K714" s="1859">
        <v>53</v>
      </c>
      <c r="L714" s="2806">
        <v>208</v>
      </c>
      <c r="M714" s="2829"/>
      <c r="N714" s="1860">
        <f t="shared" si="117"/>
        <v>1.0711006790776014</v>
      </c>
      <c r="O714" s="1861" t="s">
        <v>751</v>
      </c>
      <c r="P714" s="1136" t="str">
        <f>IFERROR(VLOOKUP(F714,Trainingsarten!$A$9:$N$84,12,FALSE),"")</f>
        <v/>
      </c>
      <c r="Q714" s="1137" t="s">
        <v>437</v>
      </c>
      <c r="R714" s="1086" t="str">
        <f>IFERROR(VLOOKUP(F714,Trainingsarten!$A$9:$N$84,14,FALSE),"")</f>
        <v/>
      </c>
      <c r="S714" s="1087">
        <f t="shared" si="115"/>
        <v>1.4149659863945578</v>
      </c>
      <c r="T714" s="1709">
        <f t="shared" si="120"/>
        <v>14.946940593155627</v>
      </c>
      <c r="U714" s="1710">
        <f t="shared" si="118"/>
        <v>22.774315943172663</v>
      </c>
      <c r="V714" s="1088">
        <f t="shared" si="119"/>
        <v>13.432340111560348</v>
      </c>
      <c r="W714" s="3284">
        <f t="shared" si="116"/>
        <v>0.65630689547171472</v>
      </c>
      <c r="X714" s="3300"/>
      <c r="Y714" s="3316"/>
      <c r="AA714" s="3301"/>
      <c r="AB714" s="3409"/>
      <c r="AE714" s="1056"/>
    </row>
    <row r="715" spans="2:31" x14ac:dyDescent="0.2">
      <c r="B715" s="2982" t="s">
        <v>761</v>
      </c>
      <c r="C715" s="1126">
        <v>43813</v>
      </c>
      <c r="D715" s="1212"/>
      <c r="E715" s="1213"/>
      <c r="F715" s="2636"/>
      <c r="G715" s="1855"/>
      <c r="H715" s="1856" t="str">
        <f>IFERROR(VLOOKUP(F715,Trainingsarten!$A$9:$K$84,10,FALSE),"")</f>
        <v/>
      </c>
      <c r="I715" s="1857" t="str">
        <f t="shared" si="121"/>
        <v/>
      </c>
      <c r="J715" s="1858"/>
      <c r="K715" s="1859" t="str">
        <f>IFERROR(VLOOKUP(F715,Trainingsarten!$A$9:$K$84,11,FALSE),"0")</f>
        <v>0</v>
      </c>
      <c r="L715" s="2806"/>
      <c r="M715" s="2829"/>
      <c r="N715" s="1860" t="str">
        <f t="shared" si="117"/>
        <v/>
      </c>
      <c r="O715" s="1861"/>
      <c r="P715" s="1136" t="str">
        <f>IFERROR(VLOOKUP(F715,Trainingsarten!$A$9:$N$84,12,FALSE),"")</f>
        <v/>
      </c>
      <c r="Q715" s="1137" t="s">
        <v>437</v>
      </c>
      <c r="R715" s="1086" t="str">
        <f>IFERROR(VLOOKUP(F715,Trainingsarten!$A$9:$N$84,14,FALSE),"")</f>
        <v/>
      </c>
      <c r="S715" s="1087" t="str">
        <f t="shared" ref="S715:S778" si="122">IFERROR(L715/J715,"")</f>
        <v/>
      </c>
      <c r="T715" s="1709">
        <f t="shared" si="120"/>
        <v>12.811663365561966</v>
      </c>
      <c r="U715" s="1710">
        <f t="shared" si="118"/>
        <v>22.232070325478077</v>
      </c>
      <c r="V715" s="1088">
        <f t="shared" si="119"/>
        <v>7.8273753500170358</v>
      </c>
      <c r="W715" s="3284">
        <f t="shared" si="116"/>
        <v>0.57626946919467625</v>
      </c>
      <c r="X715" s="3300"/>
      <c r="Y715" s="3316"/>
      <c r="AA715" s="3301"/>
      <c r="AB715" s="3409"/>
      <c r="AE715" s="1056"/>
    </row>
    <row r="716" spans="2:31" ht="16" thickBot="1" x14ac:dyDescent="0.25">
      <c r="B716" s="2983">
        <f>AVERAGE(W710:W716)</f>
        <v>0.57467148813721747</v>
      </c>
      <c r="C716" s="1189">
        <v>43814</v>
      </c>
      <c r="D716" s="1757">
        <v>155</v>
      </c>
      <c r="E716" s="1862"/>
      <c r="F716" s="2629" t="s">
        <v>646</v>
      </c>
      <c r="G716" s="1863">
        <v>3.4328703703703702E-2</v>
      </c>
      <c r="H716" s="1864">
        <v>9.5299999999999994</v>
      </c>
      <c r="I716" s="1865">
        <f t="shared" si="121"/>
        <v>3.6021724767789825E-3</v>
      </c>
      <c r="J716" s="1866">
        <v>152</v>
      </c>
      <c r="K716" s="1867">
        <v>65</v>
      </c>
      <c r="L716" s="2808">
        <v>227</v>
      </c>
      <c r="M716" s="2832"/>
      <c r="N716" s="1868">
        <f t="shared" si="117"/>
        <v>1.0544580351129975</v>
      </c>
      <c r="O716" s="1869" t="s">
        <v>751</v>
      </c>
      <c r="P716" s="1870" t="str">
        <f>IFERROR(VLOOKUP(F716,Trainingsarten!$A$9:$N$84,12,FALSE),"")</f>
        <v/>
      </c>
      <c r="Q716" s="1381" t="s">
        <v>437</v>
      </c>
      <c r="R716" s="1151" t="str">
        <f>IFERROR(VLOOKUP(F716,Trainingsarten!$A$9:$N$84,14,FALSE),"")</f>
        <v/>
      </c>
      <c r="S716" s="1106">
        <f t="shared" si="122"/>
        <v>1.493421052631579</v>
      </c>
      <c r="T716" s="1757">
        <f t="shared" si="120"/>
        <v>20.267140027624542</v>
      </c>
      <c r="U716" s="1758">
        <f t="shared" si="118"/>
        <v>23.250354365347647</v>
      </c>
      <c r="V716" s="1152">
        <f t="shared" si="119"/>
        <v>9.4204069599161109</v>
      </c>
      <c r="W716" s="3287">
        <f t="shared" si="116"/>
        <v>0.87169166151853195</v>
      </c>
      <c r="X716" s="3300"/>
      <c r="Y716" s="3316"/>
      <c r="AA716" s="3301"/>
      <c r="AB716" s="3409"/>
      <c r="AE716" s="1056"/>
    </row>
    <row r="717" spans="2:31" ht="16" thickBot="1" x14ac:dyDescent="0.25">
      <c r="B717" s="2977">
        <f>B710+1</f>
        <v>51</v>
      </c>
      <c r="C717" s="1871">
        <v>43815</v>
      </c>
      <c r="D717" s="1872"/>
      <c r="E717" s="1873"/>
      <c r="F717" s="2709"/>
      <c r="G717" s="1874"/>
      <c r="H717" s="1875" t="str">
        <f>IFERROR(VLOOKUP(F717,Trainingsarten!$A$9:$K$84,10,FALSE),"")</f>
        <v/>
      </c>
      <c r="I717" s="1876" t="str">
        <f t="shared" si="121"/>
        <v/>
      </c>
      <c r="J717" s="1877"/>
      <c r="K717" s="1878" t="str">
        <f>IFERROR(VLOOKUP(F717,Trainingsarten!$A$9:$K$84,11,FALSE),"0")</f>
        <v>0</v>
      </c>
      <c r="L717" s="1915"/>
      <c r="M717" s="2833"/>
      <c r="N717" s="1879" t="str">
        <f t="shared" si="117"/>
        <v/>
      </c>
      <c r="O717" s="1880"/>
      <c r="P717" s="1881" t="str">
        <f>IFERROR(VLOOKUP(F717,Trainingsarten!$A$9:$N$84,12,FALSE),"")</f>
        <v/>
      </c>
      <c r="Q717" s="1882" t="s">
        <v>437</v>
      </c>
      <c r="R717" s="1069" t="str">
        <f>IFERROR(VLOOKUP(F717,Trainingsarten!$A$9:$N$84,14,FALSE),"")</f>
        <v/>
      </c>
      <c r="S717" s="1070" t="str">
        <f t="shared" si="122"/>
        <v/>
      </c>
      <c r="T717" s="1883">
        <f t="shared" si="120"/>
        <v>17.371834309392465</v>
      </c>
      <c r="U717" s="1884">
        <f t="shared" si="118"/>
        <v>22.696774499506038</v>
      </c>
      <c r="V717" s="1203">
        <f t="shared" si="119"/>
        <v>2.9832143377231048</v>
      </c>
      <c r="W717" s="3283">
        <f t="shared" si="116"/>
        <v>0.76538780035773535</v>
      </c>
      <c r="X717" s="3300"/>
      <c r="Y717" s="3316"/>
      <c r="AA717" s="3301"/>
      <c r="AB717" s="3409"/>
      <c r="AE717" s="1056"/>
    </row>
    <row r="718" spans="2:31" x14ac:dyDescent="0.2">
      <c r="B718" s="2978" t="s">
        <v>626</v>
      </c>
      <c r="C718" s="1698">
        <v>43816</v>
      </c>
      <c r="D718" s="1823"/>
      <c r="E718" s="1824"/>
      <c r="F718" s="2650"/>
      <c r="G718" s="1825"/>
      <c r="H718" s="1826" t="str">
        <f>IFERROR(VLOOKUP(F718,Trainingsarten!$A$9:$K$84,10,FALSE),"")</f>
        <v/>
      </c>
      <c r="I718" s="1827" t="str">
        <f t="shared" si="121"/>
        <v/>
      </c>
      <c r="J718" s="1828"/>
      <c r="K718" s="1829" t="str">
        <f>IFERROR(VLOOKUP(F718,Trainingsarten!$A$9:$K$84,11,FALSE),"0")</f>
        <v>0</v>
      </c>
      <c r="L718" s="2806"/>
      <c r="M718" s="2829"/>
      <c r="N718" s="1831" t="str">
        <f t="shared" si="117"/>
        <v/>
      </c>
      <c r="O718" s="1832"/>
      <c r="P718" s="1755" t="str">
        <f>IFERROR(VLOOKUP(F718,Trainingsarten!$A$9:$N$84,12,FALSE),"")</f>
        <v/>
      </c>
      <c r="Q718" s="1756" t="s">
        <v>437</v>
      </c>
      <c r="R718" s="1086" t="str">
        <f>IFERROR(VLOOKUP(F718,Trainingsarten!$A$9:$N$84,14,FALSE),"")</f>
        <v/>
      </c>
      <c r="S718" s="1087" t="str">
        <f t="shared" si="122"/>
        <v/>
      </c>
      <c r="T718" s="1757">
        <f t="shared" si="120"/>
        <v>14.890143693764969</v>
      </c>
      <c r="U718" s="1758">
        <f t="shared" si="118"/>
        <v>22.156375106660654</v>
      </c>
      <c r="V718" s="1088">
        <f t="shared" si="119"/>
        <v>5.3249401901135727</v>
      </c>
      <c r="W718" s="3284">
        <f t="shared" si="116"/>
        <v>0.67204782470435298</v>
      </c>
      <c r="X718" s="3300"/>
      <c r="Y718" s="3316"/>
      <c r="AA718" s="3301"/>
      <c r="AB718" s="3409"/>
      <c r="AE718" s="1056"/>
    </row>
    <row r="719" spans="2:31" ht="16" thickBot="1" x14ac:dyDescent="0.25">
      <c r="B719" s="2979">
        <f>SUM(H717:H723)</f>
        <v>16.899999999999999</v>
      </c>
      <c r="C719" s="1211">
        <v>43817</v>
      </c>
      <c r="D719" s="1823"/>
      <c r="E719" s="1824"/>
      <c r="F719" s="2636"/>
      <c r="G719" s="1825"/>
      <c r="H719" s="1826"/>
      <c r="I719" s="1827" t="str">
        <f t="shared" si="121"/>
        <v/>
      </c>
      <c r="J719" s="1828"/>
      <c r="K719" s="1829" t="str">
        <f>IFERROR(VLOOKUP(F719,Trainingsarten!$A$9:$K$84,11,FALSE),"0")</f>
        <v>0</v>
      </c>
      <c r="L719" s="2806"/>
      <c r="M719" s="2829"/>
      <c r="N719" s="1831" t="str">
        <f t="shared" si="117"/>
        <v/>
      </c>
      <c r="O719" s="1832"/>
      <c r="P719" s="1755" t="str">
        <f>IFERROR(VLOOKUP(F719,Trainingsarten!$A$9:$N$84,12,FALSE),"")</f>
        <v/>
      </c>
      <c r="Q719" s="1756" t="s">
        <v>437</v>
      </c>
      <c r="R719" s="1086" t="str">
        <f>IFERROR(VLOOKUP(F719,Trainingsarten!$A$9:$N$84,14,FALSE),"")</f>
        <v/>
      </c>
      <c r="S719" s="1087" t="str">
        <f t="shared" si="122"/>
        <v/>
      </c>
      <c r="T719" s="1757">
        <f t="shared" si="120"/>
        <v>12.762980308941401</v>
      </c>
      <c r="U719" s="1758">
        <f t="shared" si="118"/>
        <v>21.628842366025875</v>
      </c>
      <c r="V719" s="1088">
        <f t="shared" si="119"/>
        <v>7.2662314128956851</v>
      </c>
      <c r="W719" s="3284">
        <f t="shared" si="116"/>
        <v>0.59009077291113921</v>
      </c>
      <c r="X719" s="3300"/>
      <c r="Y719" s="3316"/>
      <c r="AA719" s="3301"/>
      <c r="AB719" s="3409"/>
      <c r="AE719" s="1056"/>
    </row>
    <row r="720" spans="2:31" x14ac:dyDescent="0.2">
      <c r="B720" s="2980" t="s">
        <v>628</v>
      </c>
      <c r="C720" s="1211">
        <v>43818</v>
      </c>
      <c r="D720" s="1823"/>
      <c r="E720" s="1824"/>
      <c r="F720" s="2636"/>
      <c r="G720" s="1825"/>
      <c r="H720" s="1826" t="str">
        <f>IFERROR(VLOOKUP(F720,Trainingsarten!$A$9:$K$84,10,FALSE),"")</f>
        <v/>
      </c>
      <c r="I720" s="1827" t="str">
        <f t="shared" si="121"/>
        <v/>
      </c>
      <c r="J720" s="1828"/>
      <c r="K720" s="1829" t="str">
        <f>IFERROR(VLOOKUP(F720,Trainingsarten!$A$9:$K$84,11,FALSE),"0")</f>
        <v>0</v>
      </c>
      <c r="L720" s="2806"/>
      <c r="M720" s="2829"/>
      <c r="N720" s="1831" t="str">
        <f t="shared" si="117"/>
        <v/>
      </c>
      <c r="O720" s="1832"/>
      <c r="P720" s="1755" t="str">
        <f>IFERROR(VLOOKUP(F720,Trainingsarten!$A$9:$N$84,12,FALSE),"")</f>
        <v/>
      </c>
      <c r="Q720" s="1756" t="s">
        <v>437</v>
      </c>
      <c r="R720" s="1086" t="str">
        <f>IFERROR(VLOOKUP(F720,Trainingsarten!$A$9:$N$84,14,FALSE),"")</f>
        <v/>
      </c>
      <c r="S720" s="1087" t="str">
        <f t="shared" si="122"/>
        <v/>
      </c>
      <c r="T720" s="1757">
        <f t="shared" si="120"/>
        <v>10.939697407664058</v>
      </c>
      <c r="U720" s="1758">
        <f t="shared" si="118"/>
        <v>21.113869928739543</v>
      </c>
      <c r="V720" s="1088">
        <f t="shared" si="119"/>
        <v>8.8658620570844739</v>
      </c>
      <c r="W720" s="3284">
        <f t="shared" si="116"/>
        <v>0.51812848353173202</v>
      </c>
      <c r="X720" s="3300"/>
      <c r="Y720" s="3316"/>
      <c r="AA720" s="3301"/>
      <c r="AB720" s="3409"/>
      <c r="AE720" s="1056"/>
    </row>
    <row r="721" spans="2:31" ht="16" thickBot="1" x14ac:dyDescent="0.25">
      <c r="B721" s="2981">
        <f>SUM(K717:K723)</f>
        <v>107</v>
      </c>
      <c r="C721" s="1211">
        <v>43819</v>
      </c>
      <c r="D721" s="1823">
        <v>156</v>
      </c>
      <c r="E721" s="1824"/>
      <c r="F721" s="2636" t="s">
        <v>638</v>
      </c>
      <c r="G721" s="1825">
        <v>3.3240740740740744E-2</v>
      </c>
      <c r="H721" s="1826">
        <v>8.39</v>
      </c>
      <c r="I721" s="1827">
        <f t="shared" si="121"/>
        <v>3.961947644903545E-3</v>
      </c>
      <c r="J721" s="1828">
        <v>141</v>
      </c>
      <c r="K721" s="1829">
        <v>53</v>
      </c>
      <c r="L721" s="2806">
        <v>210</v>
      </c>
      <c r="M721" s="2829"/>
      <c r="N721" s="1831">
        <f t="shared" si="117"/>
        <v>1.0729190756586557</v>
      </c>
      <c r="O721" s="1832" t="s">
        <v>751</v>
      </c>
      <c r="P721" s="1755" t="str">
        <f>IFERROR(VLOOKUP(F721,Trainingsarten!$A$9:$N$84,12,FALSE),"")</f>
        <v/>
      </c>
      <c r="Q721" s="1756" t="s">
        <v>437</v>
      </c>
      <c r="R721" s="1086" t="str">
        <f>IFERROR(VLOOKUP(F721,Trainingsarten!$A$9:$N$84,14,FALSE),"")</f>
        <v/>
      </c>
      <c r="S721" s="1087">
        <f t="shared" si="122"/>
        <v>1.4893617021276595</v>
      </c>
      <c r="T721" s="1757">
        <f t="shared" si="120"/>
        <v>16.948312063712049</v>
      </c>
      <c r="U721" s="1758">
        <f t="shared" si="118"/>
        <v>21.873063501864792</v>
      </c>
      <c r="V721" s="1088">
        <f t="shared" si="119"/>
        <v>10.174172521075485</v>
      </c>
      <c r="W721" s="3284">
        <f t="shared" si="116"/>
        <v>0.77484857401283169</v>
      </c>
      <c r="X721" s="3300"/>
      <c r="Y721" s="3316"/>
      <c r="AA721" s="3301"/>
      <c r="AB721" s="3409"/>
      <c r="AE721" s="1056"/>
    </row>
    <row r="722" spans="2:31" x14ac:dyDescent="0.2">
      <c r="B722" s="2982" t="s">
        <v>761</v>
      </c>
      <c r="C722" s="1211">
        <v>43820</v>
      </c>
      <c r="D722" s="1823"/>
      <c r="E722" s="1824"/>
      <c r="F722" s="2636"/>
      <c r="G722" s="1825"/>
      <c r="H722" s="1826" t="str">
        <f>IFERROR(VLOOKUP(F722,Trainingsarten!$A$9:$K$84,10,FALSE),"")</f>
        <v/>
      </c>
      <c r="I722" s="1827" t="str">
        <f t="shared" si="121"/>
        <v/>
      </c>
      <c r="J722" s="1828"/>
      <c r="K722" s="1829" t="str">
        <f>IFERROR(VLOOKUP(F722,Trainingsarten!$A$9:$K$84,11,FALSE),"0")</f>
        <v>0</v>
      </c>
      <c r="L722" s="2806"/>
      <c r="M722" s="2829"/>
      <c r="N722" s="1831" t="str">
        <f t="shared" si="117"/>
        <v/>
      </c>
      <c r="O722" s="1832"/>
      <c r="P722" s="1755" t="str">
        <f>IFERROR(VLOOKUP(F722,Trainingsarten!$A$9:$N$84,12,FALSE),"")</f>
        <v/>
      </c>
      <c r="Q722" s="1756" t="s">
        <v>437</v>
      </c>
      <c r="R722" s="1086" t="str">
        <f>IFERROR(VLOOKUP(F722,Trainingsarten!$A$9:$N$84,14,FALSE),"")</f>
        <v/>
      </c>
      <c r="S722" s="1087" t="str">
        <f t="shared" si="122"/>
        <v/>
      </c>
      <c r="T722" s="1757">
        <f t="shared" si="120"/>
        <v>14.527124626038898</v>
      </c>
      <c r="U722" s="1758">
        <f t="shared" si="118"/>
        <v>21.352276275629915</v>
      </c>
      <c r="V722" s="1088">
        <f t="shared" si="119"/>
        <v>4.9247514381527431</v>
      </c>
      <c r="W722" s="3284">
        <f t="shared" si="116"/>
        <v>0.6803548454746815</v>
      </c>
      <c r="X722" s="3300"/>
      <c r="Y722" s="3316"/>
      <c r="AA722" s="3301"/>
      <c r="AB722" s="3409"/>
      <c r="AE722" s="1056"/>
    </row>
    <row r="723" spans="2:31" ht="16" thickBot="1" x14ac:dyDescent="0.25">
      <c r="B723" s="2983">
        <f>AVERAGE(W717:W723)</f>
        <v>0.70173302414554961</v>
      </c>
      <c r="C723" s="1833">
        <v>43821</v>
      </c>
      <c r="D723" s="1834">
        <v>157</v>
      </c>
      <c r="E723" s="1835"/>
      <c r="F723" s="2629" t="s">
        <v>638</v>
      </c>
      <c r="G723" s="1836">
        <v>3.2997685185185185E-2</v>
      </c>
      <c r="H723" s="1837">
        <v>8.51</v>
      </c>
      <c r="I723" s="1838">
        <f t="shared" si="121"/>
        <v>3.877518823170997E-3</v>
      </c>
      <c r="J723" s="1839">
        <v>142</v>
      </c>
      <c r="K723" s="1840">
        <v>54</v>
      </c>
      <c r="L723" s="2807">
        <v>213</v>
      </c>
      <c r="M723" s="2830"/>
      <c r="N723" s="1842">
        <f t="shared" si="117"/>
        <v>1.0650560359191119</v>
      </c>
      <c r="O723" s="1843" t="s">
        <v>783</v>
      </c>
      <c r="P723" s="1844" t="str">
        <f>IFERROR(VLOOKUP(F723,Trainingsarten!$A$9:$N$84,12,FALSE),"")</f>
        <v/>
      </c>
      <c r="Q723" s="1845" t="s">
        <v>437</v>
      </c>
      <c r="R723" s="1105" t="str">
        <f>IFERROR(VLOOKUP(F723,Trainingsarten!$A$9:$N$84,14,FALSE),"")</f>
        <v/>
      </c>
      <c r="S723" s="1106">
        <f t="shared" si="122"/>
        <v>1.5</v>
      </c>
      <c r="T723" s="1834">
        <f t="shared" si="120"/>
        <v>20.166106822319055</v>
      </c>
      <c r="U723" s="1846">
        <f t="shared" si="118"/>
        <v>22.12960303097206</v>
      </c>
      <c r="V723" s="1107">
        <f t="shared" si="119"/>
        <v>6.8251516495910174</v>
      </c>
      <c r="W723" s="3285">
        <f t="shared" si="116"/>
        <v>0.91127286802637431</v>
      </c>
      <c r="X723" s="3300"/>
      <c r="Y723" s="3316"/>
      <c r="AA723" s="3301"/>
      <c r="AB723" s="3409"/>
      <c r="AE723" s="1056"/>
    </row>
    <row r="724" spans="2:31" ht="16" thickBot="1" x14ac:dyDescent="0.25">
      <c r="B724" s="2977">
        <f>B717+1</f>
        <v>52</v>
      </c>
      <c r="C724" s="1885">
        <v>43822</v>
      </c>
      <c r="D724" s="1886"/>
      <c r="E724" s="1887"/>
      <c r="F724" s="2710"/>
      <c r="G724" s="1888"/>
      <c r="H724" s="1889" t="str">
        <f>IFERROR(VLOOKUP(F724,Trainingsarten!$A$9:$K$84,10,FALSE),"")</f>
        <v/>
      </c>
      <c r="I724" s="1890" t="str">
        <f t="shared" si="121"/>
        <v/>
      </c>
      <c r="J724" s="1891"/>
      <c r="K724" s="1892" t="str">
        <f>IFERROR(VLOOKUP(F724,Trainingsarten!$A$9:$K$84,11,FALSE),"0")</f>
        <v>0</v>
      </c>
      <c r="L724" s="1915"/>
      <c r="M724" s="2833"/>
      <c r="N724" s="1893" t="str">
        <f t="shared" si="117"/>
        <v/>
      </c>
      <c r="O724" s="1894"/>
      <c r="P724" s="1895" t="str">
        <f>IFERROR(VLOOKUP(F724,Trainingsarten!$A$9:$N$84,12,FALSE),"")</f>
        <v/>
      </c>
      <c r="Q724" s="1896" t="s">
        <v>437</v>
      </c>
      <c r="R724" s="1069" t="str">
        <f>IFERROR(VLOOKUP(F724,Trainingsarten!$A$9:$N$84,14,FALSE),"")</f>
        <v/>
      </c>
      <c r="S724" s="1070" t="str">
        <f t="shared" si="122"/>
        <v/>
      </c>
      <c r="T724" s="1897">
        <f t="shared" si="120"/>
        <v>17.285234419130617</v>
      </c>
      <c r="U724" s="1898">
        <f t="shared" si="118"/>
        <v>21.602707720710821</v>
      </c>
      <c r="V724" s="1203">
        <f t="shared" si="119"/>
        <v>1.9634962086530052</v>
      </c>
      <c r="W724" s="3286">
        <f t="shared" si="116"/>
        <v>0.80014203046218224</v>
      </c>
      <c r="X724" s="3300"/>
      <c r="Y724" s="3316"/>
      <c r="AA724" s="3301"/>
      <c r="AB724" s="3409"/>
      <c r="AE724" s="1056"/>
    </row>
    <row r="725" spans="2:31" x14ac:dyDescent="0.2">
      <c r="B725" s="2978" t="s">
        <v>626</v>
      </c>
      <c r="C725" s="1899">
        <v>43823</v>
      </c>
      <c r="D725" s="1900"/>
      <c r="E725" s="1901"/>
      <c r="F725" s="2650"/>
      <c r="G725" s="1825"/>
      <c r="H725" s="1826" t="str">
        <f>IFERROR(VLOOKUP(F725,Trainingsarten!$A$9:$K$84,10,FALSE),"")</f>
        <v/>
      </c>
      <c r="I725" s="1902" t="str">
        <f t="shared" si="121"/>
        <v/>
      </c>
      <c r="J725" s="1830"/>
      <c r="K725" s="1829" t="str">
        <f>IFERROR(VLOOKUP(F725,Trainingsarten!$A$9:$K$84,11,FALSE),"0")</f>
        <v>0</v>
      </c>
      <c r="L725" s="2806"/>
      <c r="M725" s="2829"/>
      <c r="N725" s="1831" t="str">
        <f t="shared" si="117"/>
        <v/>
      </c>
      <c r="O725" s="1832"/>
      <c r="P725" s="1755" t="str">
        <f>IFERROR(VLOOKUP(F725,Trainingsarten!$A$9:$N$84,12,FALSE),"")</f>
        <v/>
      </c>
      <c r="Q725" s="1756" t="s">
        <v>437</v>
      </c>
      <c r="R725" s="1086" t="str">
        <f>IFERROR(VLOOKUP(F725,Trainingsarten!$A$9:$N$84,14,FALSE),"")</f>
        <v/>
      </c>
      <c r="S725" s="1087" t="str">
        <f t="shared" si="122"/>
        <v/>
      </c>
      <c r="T725" s="1757">
        <f t="shared" si="120"/>
        <v>14.815915216397672</v>
      </c>
      <c r="U725" s="1758">
        <f t="shared" si="118"/>
        <v>21.088357536884374</v>
      </c>
      <c r="V725" s="1088">
        <f t="shared" si="119"/>
        <v>4.317473301580204</v>
      </c>
      <c r="W725" s="3284">
        <f t="shared" si="116"/>
        <v>0.70256373406435513</v>
      </c>
      <c r="X725" s="3300"/>
      <c r="Y725" s="3316"/>
      <c r="AA725" s="3301"/>
      <c r="AB725" s="3409"/>
      <c r="AE725" s="1056"/>
    </row>
    <row r="726" spans="2:31" ht="16" thickBot="1" x14ac:dyDescent="0.25">
      <c r="B726" s="2979">
        <f>SUM(H724:H730)</f>
        <v>17.619999999999997</v>
      </c>
      <c r="C726" s="1899">
        <v>43824</v>
      </c>
      <c r="D726" s="1823"/>
      <c r="E726" s="1824"/>
      <c r="F726" s="2636"/>
      <c r="G726" s="1825"/>
      <c r="H726" s="1826" t="str">
        <f>IFERROR(VLOOKUP(F726,Trainingsarten!$A$9:$K$84,10,FALSE),"")</f>
        <v/>
      </c>
      <c r="I726" s="1902" t="str">
        <f t="shared" si="121"/>
        <v/>
      </c>
      <c r="J726" s="1830"/>
      <c r="K726" s="1829" t="str">
        <f>IFERROR(VLOOKUP(F726,Trainingsarten!$A$9:$K$84,11,FALSE),"0")</f>
        <v>0</v>
      </c>
      <c r="L726" s="2806"/>
      <c r="M726" s="2829"/>
      <c r="N726" s="1831" t="str">
        <f t="shared" si="117"/>
        <v/>
      </c>
      <c r="O726" s="1832"/>
      <c r="P726" s="1755" t="str">
        <f>IFERROR(VLOOKUP(F726,Trainingsarten!$A$9:$N$84,12,FALSE),"")</f>
        <v/>
      </c>
      <c r="Q726" s="1756" t="s">
        <v>437</v>
      </c>
      <c r="R726" s="1086" t="str">
        <f>IFERROR(VLOOKUP(F726,Trainingsarten!$A$9:$N$84,14,FALSE),"")</f>
        <v/>
      </c>
      <c r="S726" s="1087" t="str">
        <f t="shared" si="122"/>
        <v/>
      </c>
      <c r="T726" s="1757">
        <f t="shared" si="120"/>
        <v>12.699355899769433</v>
      </c>
      <c r="U726" s="1758">
        <f t="shared" si="118"/>
        <v>20.586253786006175</v>
      </c>
      <c r="V726" s="1088">
        <f t="shared" si="119"/>
        <v>6.2724423204867019</v>
      </c>
      <c r="W726" s="3284">
        <f t="shared" si="116"/>
        <v>0.61688522991016548</v>
      </c>
      <c r="X726" s="3300"/>
      <c r="Y726" s="3316"/>
      <c r="AA726" s="3301"/>
      <c r="AB726" s="3409"/>
      <c r="AE726" s="1056"/>
    </row>
    <row r="727" spans="2:31" x14ac:dyDescent="0.2">
      <c r="B727" s="2980" t="s">
        <v>628</v>
      </c>
      <c r="C727" s="1899">
        <v>43825</v>
      </c>
      <c r="D727" s="1823">
        <v>158</v>
      </c>
      <c r="E727" s="1824"/>
      <c r="F727" s="2636" t="s">
        <v>638</v>
      </c>
      <c r="G727" s="1825">
        <v>2.9571759259259259E-2</v>
      </c>
      <c r="H727" s="1826">
        <v>8.09</v>
      </c>
      <c r="I727" s="1902">
        <f t="shared" si="121"/>
        <v>3.6553472508355079E-3</v>
      </c>
      <c r="J727" s="1830">
        <v>147</v>
      </c>
      <c r="K727" s="1829">
        <v>55</v>
      </c>
      <c r="L727" s="2806">
        <v>226</v>
      </c>
      <c r="M727" s="2829"/>
      <c r="N727" s="1831">
        <f t="shared" si="117"/>
        <v>1.0653100381897682</v>
      </c>
      <c r="O727" s="1832" t="s">
        <v>783</v>
      </c>
      <c r="P727" s="1755" t="str">
        <f>IFERROR(VLOOKUP(F727,Trainingsarten!$A$9:$N$84,12,FALSE),"")</f>
        <v/>
      </c>
      <c r="Q727" s="1756" t="s">
        <v>437</v>
      </c>
      <c r="R727" s="1086" t="str">
        <f>IFERROR(VLOOKUP(F727,Trainingsarten!$A$9:$N$84,14,FALSE),"")</f>
        <v/>
      </c>
      <c r="S727" s="1087">
        <f t="shared" si="122"/>
        <v>1.5374149659863945</v>
      </c>
      <c r="T727" s="1757">
        <f t="shared" si="120"/>
        <v>18.742305056945227</v>
      </c>
      <c r="U727" s="1758">
        <f t="shared" si="118"/>
        <v>21.405628695863172</v>
      </c>
      <c r="V727" s="1088">
        <f t="shared" si="119"/>
        <v>7.886897886236742</v>
      </c>
      <c r="W727" s="3284">
        <f t="shared" si="116"/>
        <v>0.8755783501265415</v>
      </c>
      <c r="X727" s="3300"/>
      <c r="Y727" s="3316"/>
      <c r="AA727" s="3301"/>
      <c r="AB727" s="3409"/>
      <c r="AE727" s="1056"/>
    </row>
    <row r="728" spans="2:31" ht="16" thickBot="1" x14ac:dyDescent="0.25">
      <c r="B728" s="2981">
        <f>SUM(K724:K730)</f>
        <v>118</v>
      </c>
      <c r="C728" s="1899">
        <v>43826</v>
      </c>
      <c r="D728" s="1823"/>
      <c r="E728" s="1824"/>
      <c r="F728" s="2636"/>
      <c r="G728" s="1825"/>
      <c r="H728" s="1826" t="str">
        <f>IFERROR(VLOOKUP(F728,Trainingsarten!$A$9:$K$84,10,FALSE),"")</f>
        <v/>
      </c>
      <c r="I728" s="1902" t="str">
        <f t="shared" si="121"/>
        <v/>
      </c>
      <c r="J728" s="1830"/>
      <c r="K728" s="1829" t="str">
        <f>IFERROR(VLOOKUP(F728,Trainingsarten!$A$9:$K$84,11,FALSE),"0")</f>
        <v>0</v>
      </c>
      <c r="L728" s="2806"/>
      <c r="M728" s="2829"/>
      <c r="N728" s="1831" t="str">
        <f t="shared" si="117"/>
        <v/>
      </c>
      <c r="O728" s="1832"/>
      <c r="P728" s="1755" t="str">
        <f>IFERROR(VLOOKUP(F728,Trainingsarten!$A$9:$N$84,12,FALSE),"")</f>
        <v/>
      </c>
      <c r="Q728" s="1756" t="s">
        <v>437</v>
      </c>
      <c r="R728" s="1086" t="str">
        <f>IFERROR(VLOOKUP(F728,Trainingsarten!$A$9:$N$84,14,FALSE),"")</f>
        <v/>
      </c>
      <c r="S728" s="1087" t="str">
        <f t="shared" si="122"/>
        <v/>
      </c>
      <c r="T728" s="1757">
        <f t="shared" si="120"/>
        <v>16.06483290595305</v>
      </c>
      <c r="U728" s="1758">
        <f t="shared" si="118"/>
        <v>20.89597086977119</v>
      </c>
      <c r="V728" s="1088">
        <f t="shared" si="119"/>
        <v>2.6633236389179444</v>
      </c>
      <c r="W728" s="3284">
        <f t="shared" si="116"/>
        <v>0.76880050255013388</v>
      </c>
      <c r="X728" s="3300"/>
      <c r="Y728" s="3316"/>
      <c r="AA728" s="3301"/>
      <c r="AB728" s="3409"/>
      <c r="AE728" s="1056"/>
    </row>
    <row r="729" spans="2:31" x14ac:dyDescent="0.2">
      <c r="B729" s="2982" t="s">
        <v>761</v>
      </c>
      <c r="C729" s="1899">
        <v>43827</v>
      </c>
      <c r="D729" s="1823">
        <v>159</v>
      </c>
      <c r="E729" s="1824"/>
      <c r="F729" s="2636" t="s">
        <v>639</v>
      </c>
      <c r="G729" s="1825">
        <v>3.6006944444444446E-2</v>
      </c>
      <c r="H729" s="1826">
        <v>9.5299999999999994</v>
      </c>
      <c r="I729" s="1902">
        <f t="shared" si="121"/>
        <v>3.7782732890287983E-3</v>
      </c>
      <c r="J729" s="1830">
        <v>142</v>
      </c>
      <c r="K729" s="1829">
        <v>63</v>
      </c>
      <c r="L729" s="2806">
        <v>220</v>
      </c>
      <c r="M729" s="2829"/>
      <c r="N729" s="1831">
        <f t="shared" si="117"/>
        <v>1.0719017713113344</v>
      </c>
      <c r="O729" s="1832" t="s">
        <v>783</v>
      </c>
      <c r="P729" s="1755" t="str">
        <f>IFERROR(VLOOKUP(F729,Trainingsarten!$A$9:$N$84,12,FALSE),"")</f>
        <v/>
      </c>
      <c r="Q729" s="1756" t="s">
        <v>437</v>
      </c>
      <c r="R729" s="1086" t="str">
        <f>IFERROR(VLOOKUP(F729,Trainingsarten!$A$9:$N$84,14,FALSE),"")</f>
        <v/>
      </c>
      <c r="S729" s="1087">
        <f t="shared" si="122"/>
        <v>1.5492957746478873</v>
      </c>
      <c r="T729" s="1757">
        <f t="shared" si="120"/>
        <v>22.769856776531185</v>
      </c>
      <c r="U729" s="1758">
        <f t="shared" si="118"/>
        <v>21.898447753824257</v>
      </c>
      <c r="V729" s="1088">
        <f t="shared" si="119"/>
        <v>4.83113796381814</v>
      </c>
      <c r="W729" s="3284">
        <f t="shared" si="116"/>
        <v>1.0397931868278083</v>
      </c>
      <c r="X729" s="3300"/>
      <c r="Y729" s="3316"/>
      <c r="AA729" s="3301"/>
      <c r="AB729" s="3409"/>
      <c r="AE729" s="1056"/>
    </row>
    <row r="730" spans="2:31" ht="16" thickBot="1" x14ac:dyDescent="0.25">
      <c r="B730" s="2983">
        <f>AVERAGE(W724:W730)</f>
        <v>0.81667888194212446</v>
      </c>
      <c r="C730" s="1903">
        <v>43828</v>
      </c>
      <c r="D730" s="1834"/>
      <c r="E730" s="1835"/>
      <c r="F730" s="2629"/>
      <c r="G730" s="1836"/>
      <c r="H730" s="1837" t="str">
        <f>IFERROR(VLOOKUP(F730,Trainingsarten!$A$9:$K$84,10,FALSE),"")</f>
        <v/>
      </c>
      <c r="I730" s="1904" t="str">
        <f t="shared" si="121"/>
        <v/>
      </c>
      <c r="J730" s="1841"/>
      <c r="K730" s="1840" t="str">
        <f>IFERROR(VLOOKUP(F730,Trainingsarten!$A$9:$K$84,11,FALSE),"0")</f>
        <v>0</v>
      </c>
      <c r="L730" s="2807"/>
      <c r="M730" s="2830"/>
      <c r="N730" s="1842" t="str">
        <f t="shared" si="117"/>
        <v/>
      </c>
      <c r="O730" s="1843"/>
      <c r="P730" s="1905" t="str">
        <f>IFERROR(VLOOKUP(F730,Trainingsarten!$A$9:$N$84,12,FALSE),"")</f>
        <v/>
      </c>
      <c r="Q730" s="1906" t="s">
        <v>437</v>
      </c>
      <c r="R730" s="1105" t="str">
        <f>IFERROR(VLOOKUP(F730,Trainingsarten!$A$9:$N$84,14,FALSE),"")</f>
        <v/>
      </c>
      <c r="S730" s="1106" t="str">
        <f t="shared" si="122"/>
        <v/>
      </c>
      <c r="T730" s="1907">
        <f t="shared" si="120"/>
        <v>19.517020094169588</v>
      </c>
      <c r="U730" s="1908">
        <f t="shared" si="118"/>
        <v>21.377056140637965</v>
      </c>
      <c r="V730" s="1107">
        <f t="shared" si="119"/>
        <v>-0.87140902270692777</v>
      </c>
      <c r="W730" s="3287">
        <f t="shared" si="116"/>
        <v>0.91298913965368544</v>
      </c>
      <c r="X730" s="3300"/>
      <c r="Y730" s="3316"/>
      <c r="AA730" s="3301"/>
      <c r="AB730" s="3409"/>
      <c r="AE730" s="1056"/>
    </row>
    <row r="731" spans="2:31" ht="16" thickBot="1" x14ac:dyDescent="0.25">
      <c r="B731" s="2977">
        <v>1</v>
      </c>
      <c r="C731" s="1909">
        <v>43829</v>
      </c>
      <c r="D731" s="1910"/>
      <c r="E731" s="1911"/>
      <c r="F731" s="2711"/>
      <c r="G731" s="1912"/>
      <c r="H731" s="1913" t="str">
        <f>IFERROR(VLOOKUP(F731,Trainingsarten!$A$9:$K$84,10,FALSE),"")</f>
        <v/>
      </c>
      <c r="I731" s="1914" t="str">
        <f t="shared" si="121"/>
        <v/>
      </c>
      <c r="J731" s="1915"/>
      <c r="K731" s="1916" t="str">
        <f>IFERROR(VLOOKUP(F731,Trainingsarten!$A$9:$K$84,11,FALSE),"0")</f>
        <v>0</v>
      </c>
      <c r="L731" s="1915"/>
      <c r="M731" s="2833"/>
      <c r="N731" s="1917" t="str">
        <f t="shared" si="117"/>
        <v/>
      </c>
      <c r="O731" s="1918"/>
      <c r="P731" s="1919" t="str">
        <f>IFERROR(VLOOKUP(F731,Trainingsarten!$A$9:$N$84,12,FALSE),"")</f>
        <v/>
      </c>
      <c r="Q731" s="1920" t="s">
        <v>437</v>
      </c>
      <c r="R731" s="1069" t="str">
        <f>IFERROR(VLOOKUP(F731,Trainingsarten!$A$9:$N$84,14,FALSE),"")</f>
        <v/>
      </c>
      <c r="S731" s="1070" t="str">
        <f t="shared" si="122"/>
        <v/>
      </c>
      <c r="T731" s="1921">
        <f t="shared" si="120"/>
        <v>16.728874366431075</v>
      </c>
      <c r="U731" s="1922">
        <f t="shared" si="118"/>
        <v>20.868078613479916</v>
      </c>
      <c r="V731" s="1923">
        <f t="shared" si="119"/>
        <v>1.8600360464683767</v>
      </c>
      <c r="W731" s="3283">
        <f t="shared" si="116"/>
        <v>0.80164900067152867</v>
      </c>
      <c r="X731" s="3300"/>
      <c r="Y731" s="3316"/>
      <c r="AA731" s="3301"/>
      <c r="AB731" s="3409"/>
      <c r="AE731" s="1056"/>
    </row>
    <row r="732" spans="2:31" ht="16" thickBot="1" x14ac:dyDescent="0.25">
      <c r="B732" s="2978" t="s">
        <v>626</v>
      </c>
      <c r="C732" s="1924">
        <v>43830</v>
      </c>
      <c r="D732" s="1925">
        <v>160</v>
      </c>
      <c r="E732" s="1926"/>
      <c r="F732" s="2712" t="s">
        <v>829</v>
      </c>
      <c r="G732" s="1927">
        <v>4.4895833333333329E-2</v>
      </c>
      <c r="H732" s="1928">
        <v>12.39</v>
      </c>
      <c r="I732" s="1929">
        <f t="shared" si="121"/>
        <v>3.6235539413505512E-3</v>
      </c>
      <c r="J732" s="1930">
        <v>150</v>
      </c>
      <c r="K732" s="1931">
        <v>86</v>
      </c>
      <c r="L732" s="2813">
        <v>226</v>
      </c>
      <c r="M732" s="2838"/>
      <c r="N732" s="1932">
        <f t="shared" si="117"/>
        <v>1.0560442340356329</v>
      </c>
      <c r="O732" s="1933" t="s">
        <v>751</v>
      </c>
      <c r="P732" s="1934">
        <f>IFERROR(VLOOKUP(F732,Trainingsarten!$A$9:$N$84,12,FALSE),"")</f>
        <v>230.89999999999998</v>
      </c>
      <c r="Q732" s="1935" t="s">
        <v>437</v>
      </c>
      <c r="R732" s="1935">
        <f>IFERROR(VLOOKUP(F732,Trainingsarten!$A$9:$N$84,14,FALSE),"")</f>
        <v>254.10000000000002</v>
      </c>
      <c r="S732" s="1936">
        <f t="shared" si="122"/>
        <v>1.5066666666666666</v>
      </c>
      <c r="T732" s="1937">
        <f t="shared" si="120"/>
        <v>26.624749456940922</v>
      </c>
      <c r="U732" s="1938">
        <f t="shared" si="118"/>
        <v>22.418838646492301</v>
      </c>
      <c r="V732" s="1938">
        <f t="shared" si="119"/>
        <v>4.1392042470488413</v>
      </c>
      <c r="W732" s="3289">
        <f t="shared" si="116"/>
        <v>1.1876060966747128</v>
      </c>
      <c r="X732" s="3300"/>
      <c r="Y732" s="3316"/>
      <c r="AA732" s="3301"/>
      <c r="AB732" s="3409"/>
      <c r="AE732" s="1056"/>
    </row>
    <row r="733" spans="2:31" ht="17" thickTop="1" thickBot="1" x14ac:dyDescent="0.25">
      <c r="B733" s="2979">
        <f>SUM(H731:H737)</f>
        <v>32.480000000000004</v>
      </c>
      <c r="C733" s="1245">
        <v>43831</v>
      </c>
      <c r="D733" s="1111"/>
      <c r="E733" s="1112"/>
      <c r="F733" s="2644"/>
      <c r="G733" s="1647"/>
      <c r="H733" s="1648" t="str">
        <f>IFERROR(VLOOKUP(F733,Trainingsarten!$A$9:$K$84,10,FALSE),"")</f>
        <v/>
      </c>
      <c r="I733" s="1399" t="str">
        <f t="shared" ref="I733:I796" si="123">IFERROR(G733/H733,"")</f>
        <v/>
      </c>
      <c r="J733" s="1326"/>
      <c r="K733" s="1325" t="str">
        <f>IFERROR(VLOOKUP(F733,Trainingsarten!$A$9:$K$84,11,FALSE),"0")</f>
        <v>0</v>
      </c>
      <c r="L733" s="1326"/>
      <c r="M733" s="2831"/>
      <c r="N733" s="1119" t="str">
        <f t="shared" si="117"/>
        <v/>
      </c>
      <c r="O733" s="1649"/>
      <c r="P733" s="1277" t="str">
        <f>IFERROR(VLOOKUP(F733,Trainingsarten!$A$9:$N$84,12,FALSE),"")</f>
        <v/>
      </c>
      <c r="Q733" s="1122" t="s">
        <v>437</v>
      </c>
      <c r="R733" s="1122" t="str">
        <f>IFERROR(VLOOKUP(F733,Trainingsarten!$A$9:$N$84,14,FALSE),"")</f>
        <v/>
      </c>
      <c r="S733" s="1125" t="str">
        <f t="shared" si="122"/>
        <v/>
      </c>
      <c r="T733" s="1650">
        <f t="shared" si="120"/>
        <v>22.821213820235076</v>
      </c>
      <c r="U733" s="1651">
        <f t="shared" si="118"/>
        <v>21.885056773956769</v>
      </c>
      <c r="V733" s="1278">
        <f t="shared" si="119"/>
        <v>-4.2059108104486214</v>
      </c>
      <c r="W733" s="3286">
        <f t="shared" si="116"/>
        <v>1.0427760848851138</v>
      </c>
      <c r="X733" s="3300"/>
      <c r="Y733" s="3316"/>
      <c r="AA733" s="3301"/>
      <c r="AB733" s="3409"/>
      <c r="AE733" s="1056"/>
    </row>
    <row r="734" spans="2:31" x14ac:dyDescent="0.2">
      <c r="B734" s="2980" t="s">
        <v>628</v>
      </c>
      <c r="C734" s="1939">
        <v>43832</v>
      </c>
      <c r="D734" s="1940">
        <v>1</v>
      </c>
      <c r="E734" s="1941" t="s">
        <v>836</v>
      </c>
      <c r="F734" s="2713" t="s">
        <v>827</v>
      </c>
      <c r="G734" s="1942">
        <v>3.605324074074074E-2</v>
      </c>
      <c r="H734" s="1943">
        <v>9.5500000000000007</v>
      </c>
      <c r="I734" s="1944">
        <f t="shared" si="123"/>
        <v>3.7752084545278259E-3</v>
      </c>
      <c r="J734" s="1945">
        <v>144</v>
      </c>
      <c r="K734" s="1946">
        <v>64</v>
      </c>
      <c r="L734" s="2806">
        <v>219</v>
      </c>
      <c r="M734" s="2829"/>
      <c r="N734" s="1947">
        <f t="shared" si="117"/>
        <v>1.066163944674533</v>
      </c>
      <c r="O734" s="1948" t="s">
        <v>783</v>
      </c>
      <c r="P734" s="1949">
        <f>IFERROR(VLOOKUP(F734,Trainingsarten!$A$9:$N$84,12,FALSE),"")</f>
        <v>194.60000000000002</v>
      </c>
      <c r="Q734" s="1950" t="s">
        <v>437</v>
      </c>
      <c r="R734" s="1086">
        <f>IFERROR(VLOOKUP(F734,Trainingsarten!$A$9:$N$84,14,FALSE),"")</f>
        <v>212.96</v>
      </c>
      <c r="S734" s="1087">
        <f t="shared" si="122"/>
        <v>1.5208333333333333</v>
      </c>
      <c r="T734" s="1951">
        <f t="shared" si="120"/>
        <v>28.703897560201494</v>
      </c>
      <c r="U734" s="1952">
        <f t="shared" si="118"/>
        <v>22.887793517433991</v>
      </c>
      <c r="V734" s="1953">
        <f t="shared" si="119"/>
        <v>-0.93615704627830709</v>
      </c>
      <c r="W734" s="3284">
        <f t="shared" si="116"/>
        <v>1.2541137938149121</v>
      </c>
      <c r="X734" s="3300"/>
      <c r="Y734" s="3316"/>
      <c r="AA734" s="3301"/>
      <c r="AB734" s="3409"/>
      <c r="AE734" s="1056"/>
    </row>
    <row r="735" spans="2:31" ht="16" thickBot="1" x14ac:dyDescent="0.25">
      <c r="B735" s="2981">
        <f>SUM(K731:K737)</f>
        <v>218</v>
      </c>
      <c r="C735" s="1939">
        <v>43833</v>
      </c>
      <c r="D735" s="1940"/>
      <c r="E735" s="1941"/>
      <c r="F735" s="2713"/>
      <c r="G735" s="1942"/>
      <c r="H735" s="1943" t="str">
        <f>IFERROR(VLOOKUP(F735,Trainingsarten!$A$9:$K$84,10,FALSE),"")</f>
        <v/>
      </c>
      <c r="I735" s="1944" t="str">
        <f t="shared" si="123"/>
        <v/>
      </c>
      <c r="J735" s="1945"/>
      <c r="K735" s="1946" t="str">
        <f>IFERROR(VLOOKUP(F735,Trainingsarten!$A$9:$K$84,11,FALSE),"0")</f>
        <v>0</v>
      </c>
      <c r="L735" s="2806"/>
      <c r="M735" s="2829"/>
      <c r="N735" s="1947" t="str">
        <f t="shared" si="117"/>
        <v/>
      </c>
      <c r="O735" s="1948"/>
      <c r="P735" s="1949" t="str">
        <f>IFERROR(VLOOKUP(F735,Trainingsarten!$A$9:$N$84,12,FALSE),"")</f>
        <v/>
      </c>
      <c r="Q735" s="1950" t="s">
        <v>437</v>
      </c>
      <c r="R735" s="1086" t="str">
        <f>IFERROR(VLOOKUP(F735,Trainingsarten!$A$9:$N$84,14,FALSE),"")</f>
        <v/>
      </c>
      <c r="S735" s="1087" t="str">
        <f t="shared" si="122"/>
        <v/>
      </c>
      <c r="T735" s="1951">
        <f t="shared" si="120"/>
        <v>24.603340765886994</v>
      </c>
      <c r="U735" s="1952">
        <f t="shared" si="118"/>
        <v>22.342846052733183</v>
      </c>
      <c r="V735" s="1953">
        <f t="shared" si="119"/>
        <v>-5.8161040427675026</v>
      </c>
      <c r="W735" s="3284">
        <f t="shared" ref="W735:W798" si="124">T735/U735</f>
        <v>1.1011730872521179</v>
      </c>
      <c r="X735" s="3300"/>
      <c r="Y735" s="3316"/>
      <c r="AA735" s="3301"/>
      <c r="AB735" s="3409"/>
      <c r="AE735" s="1056"/>
    </row>
    <row r="736" spans="2:31" x14ac:dyDescent="0.2">
      <c r="B736" s="2982" t="s">
        <v>761</v>
      </c>
      <c r="C736" s="1939">
        <v>43834</v>
      </c>
      <c r="D736" s="1940">
        <v>2</v>
      </c>
      <c r="E736" s="1941" t="s">
        <v>836</v>
      </c>
      <c r="F736" s="2713" t="s">
        <v>818</v>
      </c>
      <c r="G736" s="1942">
        <v>4.0173611111111111E-2</v>
      </c>
      <c r="H736" s="1943">
        <v>10.54</v>
      </c>
      <c r="I736" s="1944">
        <f t="shared" si="123"/>
        <v>3.8115380560826482E-3</v>
      </c>
      <c r="J736" s="1945">
        <v>147</v>
      </c>
      <c r="K736" s="1946">
        <v>68</v>
      </c>
      <c r="L736" s="2806">
        <v>216</v>
      </c>
      <c r="M736" s="2829"/>
      <c r="N736" s="1947">
        <f t="shared" si="117"/>
        <v>1.0616783256393554</v>
      </c>
      <c r="O736" s="1948" t="s">
        <v>783</v>
      </c>
      <c r="P736" s="1949">
        <f>IFERROR(VLOOKUP(F736,Trainingsarten!$A$9:$N$84,12,FALSE),"")</f>
        <v>194.60000000000002</v>
      </c>
      <c r="Q736" s="1950" t="s">
        <v>437</v>
      </c>
      <c r="R736" s="1086">
        <f>IFERROR(VLOOKUP(F736,Trainingsarten!$A$9:$N$84,14,FALSE),"")</f>
        <v>212.96</v>
      </c>
      <c r="S736" s="1087">
        <f t="shared" si="122"/>
        <v>1.4693877551020409</v>
      </c>
      <c r="T736" s="1951">
        <f t="shared" si="120"/>
        <v>30.802863513617424</v>
      </c>
      <c r="U736" s="1952">
        <f t="shared" si="118"/>
        <v>23.429921146715728</v>
      </c>
      <c r="V736" s="1953">
        <f t="shared" si="119"/>
        <v>-2.2604947131538111</v>
      </c>
      <c r="W736" s="3284">
        <f t="shared" si="124"/>
        <v>1.3146806308366596</v>
      </c>
      <c r="X736" s="3300"/>
      <c r="Y736" s="3316"/>
      <c r="AA736" s="3301"/>
      <c r="AB736" s="3409"/>
      <c r="AE736" s="1056"/>
    </row>
    <row r="737" spans="2:31" ht="16" thickBot="1" x14ac:dyDescent="0.25">
      <c r="B737" s="2983">
        <f>AVERAGE(W731:W737)</f>
        <v>1.1223360598245873</v>
      </c>
      <c r="C737" s="1260">
        <v>43835</v>
      </c>
      <c r="D737" s="1108"/>
      <c r="E737" s="1261"/>
      <c r="F737" s="2714"/>
      <c r="G737" s="1954"/>
      <c r="H737" s="1955" t="str">
        <f>IFERROR(VLOOKUP(F737,Trainingsarten!$A$9:$K$84,10,FALSE),"")</f>
        <v/>
      </c>
      <c r="I737" s="1956" t="str">
        <f t="shared" si="123"/>
        <v/>
      </c>
      <c r="J737" s="1957"/>
      <c r="K737" s="1958" t="str">
        <f>IFERROR(VLOOKUP(F737,Trainingsarten!$A$9:$K$84,11,FALSE),"0")</f>
        <v>0</v>
      </c>
      <c r="L737" s="2807"/>
      <c r="M737" s="2830"/>
      <c r="N737" s="1223" t="str">
        <f t="shared" si="117"/>
        <v/>
      </c>
      <c r="O737" s="1959"/>
      <c r="P737" s="1960" t="str">
        <f>IFERROR(VLOOKUP(F737,Trainingsarten!$A$9:$N$84,12,FALSE),"")</f>
        <v/>
      </c>
      <c r="Q737" s="1961" t="s">
        <v>437</v>
      </c>
      <c r="R737" s="1105" t="str">
        <f>IFERROR(VLOOKUP(F737,Trainingsarten!$A$9:$N$84,14,FALSE),"")</f>
        <v/>
      </c>
      <c r="S737" s="1106" t="str">
        <f t="shared" si="122"/>
        <v/>
      </c>
      <c r="T737" s="1962">
        <f t="shared" si="120"/>
        <v>26.402454440243506</v>
      </c>
      <c r="U737" s="1963">
        <f t="shared" si="118"/>
        <v>22.872065881317734</v>
      </c>
      <c r="V737" s="1963">
        <f t="shared" si="119"/>
        <v>-7.3729423669016967</v>
      </c>
      <c r="W737" s="3285">
        <f t="shared" si="124"/>
        <v>1.154353724637067</v>
      </c>
      <c r="X737" s="3300"/>
      <c r="Y737" s="3316"/>
      <c r="AA737" s="3301"/>
      <c r="AB737" s="3409"/>
      <c r="AE737" s="1056"/>
    </row>
    <row r="738" spans="2:31" ht="16" thickBot="1" x14ac:dyDescent="0.25">
      <c r="B738" s="2985">
        <f>B731+1</f>
        <v>2</v>
      </c>
      <c r="C738" s="1964">
        <v>43836</v>
      </c>
      <c r="D738" s="1910">
        <v>3</v>
      </c>
      <c r="E738" s="1911" t="s">
        <v>836</v>
      </c>
      <c r="F738" s="2711" t="s">
        <v>627</v>
      </c>
      <c r="G738" s="1912">
        <v>3.4236111111111113E-2</v>
      </c>
      <c r="H738" s="1913">
        <v>9.14</v>
      </c>
      <c r="I738" s="1914">
        <f t="shared" si="123"/>
        <v>3.7457451981522004E-3</v>
      </c>
      <c r="J738" s="1915">
        <v>144</v>
      </c>
      <c r="K738" s="1916">
        <v>65</v>
      </c>
      <c r="L738" s="1915">
        <v>216</v>
      </c>
      <c r="M738" s="2833"/>
      <c r="N738" s="1917">
        <f t="shared" si="117"/>
        <v>1.0433521669551586</v>
      </c>
      <c r="O738" s="1918" t="s">
        <v>667</v>
      </c>
      <c r="P738" s="1965">
        <f>IFERROR(VLOOKUP(F738,Trainingsarten!$A$9:$N$84,12,FALSE),"")</f>
        <v>279.53100000000006</v>
      </c>
      <c r="Q738" s="1920" t="s">
        <v>437</v>
      </c>
      <c r="R738" s="1069">
        <f>IFERROR(VLOOKUP(F738,Trainingsarten!$A$9:$N$84,14,FALSE),"")</f>
        <v>306.15300000000002</v>
      </c>
      <c r="S738" s="1070">
        <f t="shared" si="122"/>
        <v>1.5</v>
      </c>
      <c r="T738" s="1921">
        <f t="shared" si="120"/>
        <v>31.916389520208721</v>
      </c>
      <c r="U738" s="1922">
        <f t="shared" si="118"/>
        <v>23.87511193176255</v>
      </c>
      <c r="V738" s="1966">
        <f t="shared" si="119"/>
        <v>-3.5303885589257717</v>
      </c>
      <c r="W738" s="3286">
        <f t="shared" si="124"/>
        <v>1.3368058592323648</v>
      </c>
      <c r="X738" s="3300"/>
      <c r="Y738" s="3316"/>
      <c r="AA738" s="3301"/>
      <c r="AB738" s="3409"/>
      <c r="AE738" s="1056"/>
    </row>
    <row r="739" spans="2:31" x14ac:dyDescent="0.2">
      <c r="B739" s="2978" t="s">
        <v>626</v>
      </c>
      <c r="C739" s="1939">
        <v>43837</v>
      </c>
      <c r="D739" s="1967"/>
      <c r="E739" s="1968"/>
      <c r="F739" s="2715"/>
      <c r="G739" s="1942"/>
      <c r="H739" s="1943" t="str">
        <f>IFERROR(VLOOKUP(F739,Trainingsarten!$A$9:$K$84,10,FALSE),"")</f>
        <v/>
      </c>
      <c r="I739" s="1944" t="str">
        <f t="shared" si="123"/>
        <v/>
      </c>
      <c r="J739" s="1945"/>
      <c r="K739" s="1946" t="str">
        <f>IFERROR(VLOOKUP(F739,Trainingsarten!$A$9:$K$84,11,FALSE),"0")</f>
        <v>0</v>
      </c>
      <c r="L739" s="2806"/>
      <c r="M739" s="2829"/>
      <c r="N739" s="1947" t="str">
        <f t="shared" si="117"/>
        <v/>
      </c>
      <c r="O739" s="1948"/>
      <c r="P739" s="1949" t="str">
        <f>IFERROR(VLOOKUP(F739,Trainingsarten!$A$9:$N$84,12,FALSE),"")</f>
        <v/>
      </c>
      <c r="Q739" s="1950" t="s">
        <v>437</v>
      </c>
      <c r="R739" s="1086" t="str">
        <f>IFERROR(VLOOKUP(F739,Trainingsarten!$A$9:$N$84,14,FALSE),"")</f>
        <v/>
      </c>
      <c r="S739" s="1087" t="str">
        <f t="shared" si="122"/>
        <v/>
      </c>
      <c r="T739" s="1951">
        <f t="shared" si="120"/>
        <v>27.356905303036047</v>
      </c>
      <c r="U739" s="1952">
        <f t="shared" si="118"/>
        <v>23.306656885768202</v>
      </c>
      <c r="V739" s="1953">
        <f t="shared" si="119"/>
        <v>-8.0412775884461709</v>
      </c>
      <c r="W739" s="3284">
        <f t="shared" si="124"/>
        <v>1.1737807544479302</v>
      </c>
      <c r="X739" s="3300"/>
      <c r="Y739" s="3316"/>
      <c r="AA739" s="3301"/>
      <c r="AB739" s="3409"/>
      <c r="AE739" s="1056"/>
    </row>
    <row r="740" spans="2:31" ht="16" thickBot="1" x14ac:dyDescent="0.25">
      <c r="B740" s="2979">
        <f>SUM(H738:H744)</f>
        <v>18.66</v>
      </c>
      <c r="C740" s="1939">
        <v>43838</v>
      </c>
      <c r="D740" s="1940"/>
      <c r="E740" s="1941"/>
      <c r="F740" s="2715"/>
      <c r="G740" s="1942"/>
      <c r="H740" s="1943" t="str">
        <f>IFERROR(VLOOKUP(F740,Trainingsarten!$A$9:$K$84,10,FALSE),"")</f>
        <v/>
      </c>
      <c r="I740" s="1944" t="str">
        <f t="shared" si="123"/>
        <v/>
      </c>
      <c r="J740" s="1945"/>
      <c r="K740" s="1946" t="str">
        <f>IFERROR(VLOOKUP(F740,Trainingsarten!$A$9:$K$84,11,FALSE),"0")</f>
        <v>0</v>
      </c>
      <c r="L740" s="2806"/>
      <c r="M740" s="2829"/>
      <c r="N740" s="1947" t="str">
        <f t="shared" ref="N740:N803" si="125">IFERROR((L740/67)/(1/(I740*24)/3.6),"")</f>
        <v/>
      </c>
      <c r="O740" s="1948"/>
      <c r="P740" s="1949" t="str">
        <f>IFERROR(VLOOKUP(F740,Trainingsarten!$A$9:$N$84,12,FALSE),"")</f>
        <v/>
      </c>
      <c r="Q740" s="1950" t="s">
        <v>437</v>
      </c>
      <c r="R740" s="1086" t="str">
        <f>IFERROR(VLOOKUP(F740,Trainingsarten!$A$9:$N$84,14,FALSE),"")</f>
        <v/>
      </c>
      <c r="S740" s="1087" t="str">
        <f t="shared" si="122"/>
        <v/>
      </c>
      <c r="T740" s="1951">
        <f t="shared" si="120"/>
        <v>23.448775974030898</v>
      </c>
      <c r="U740" s="1952">
        <f t="shared" si="118"/>
        <v>22.751736483726102</v>
      </c>
      <c r="V740" s="1953">
        <f t="shared" si="119"/>
        <v>-4.050248417267845</v>
      </c>
      <c r="W740" s="3284">
        <f t="shared" si="124"/>
        <v>1.0306367600030606</v>
      </c>
      <c r="X740" s="3300"/>
      <c r="Y740" s="3316"/>
      <c r="AA740" s="3301"/>
      <c r="AB740" s="3409"/>
      <c r="AE740" s="1056"/>
    </row>
    <row r="741" spans="2:31" x14ac:dyDescent="0.2">
      <c r="B741" s="2980" t="s">
        <v>628</v>
      </c>
      <c r="C741" s="1939">
        <v>43839</v>
      </c>
      <c r="D741" s="1940"/>
      <c r="E741" s="1941"/>
      <c r="F741" s="2715"/>
      <c r="G741" s="1942"/>
      <c r="H741" s="1943" t="str">
        <f>IFERROR(VLOOKUP(F741,Trainingsarten!$A$9:$K$84,10,FALSE),"")</f>
        <v/>
      </c>
      <c r="I741" s="1944" t="str">
        <f t="shared" si="123"/>
        <v/>
      </c>
      <c r="J741" s="1945"/>
      <c r="K741" s="1946" t="str">
        <f>IFERROR(VLOOKUP(F741,Trainingsarten!$A$9:$K$84,11,FALSE),"0")</f>
        <v>0</v>
      </c>
      <c r="L741" s="2806"/>
      <c r="M741" s="2829"/>
      <c r="N741" s="1947" t="str">
        <f t="shared" si="125"/>
        <v/>
      </c>
      <c r="O741" s="1948"/>
      <c r="P741" s="1949" t="str">
        <f>IFERROR(VLOOKUP(F741,Trainingsarten!$A$9:$N$84,12,FALSE),"")</f>
        <v/>
      </c>
      <c r="Q741" s="1950" t="s">
        <v>437</v>
      </c>
      <c r="R741" s="1086" t="str">
        <f>IFERROR(VLOOKUP(F741,Trainingsarten!$A$9:$N$84,14,FALSE),"")</f>
        <v/>
      </c>
      <c r="S741" s="1087" t="str">
        <f t="shared" si="122"/>
        <v/>
      </c>
      <c r="T741" s="1951">
        <f t="shared" si="120"/>
        <v>20.098950834883627</v>
      </c>
      <c r="U741" s="1952">
        <f t="shared" si="118"/>
        <v>22.210028472208815</v>
      </c>
      <c r="V741" s="1953">
        <f t="shared" si="119"/>
        <v>-0.69703949030479606</v>
      </c>
      <c r="W741" s="3284">
        <f t="shared" si="124"/>
        <v>0.90494935024658985</v>
      </c>
      <c r="X741" s="3300"/>
      <c r="Y741" s="3316"/>
      <c r="AA741" s="3301"/>
      <c r="AB741" s="3409"/>
      <c r="AE741" s="1056"/>
    </row>
    <row r="742" spans="2:31" ht="16" thickBot="1" x14ac:dyDescent="0.25">
      <c r="B742" s="2981">
        <f>SUM(K738:K744)</f>
        <v>128</v>
      </c>
      <c r="C742" s="1939">
        <v>43840</v>
      </c>
      <c r="D742" s="1940"/>
      <c r="E742" s="1941"/>
      <c r="F742" s="2715"/>
      <c r="G742" s="1942"/>
      <c r="H742" s="1943"/>
      <c r="I742" s="1944" t="str">
        <f t="shared" si="123"/>
        <v/>
      </c>
      <c r="J742" s="1945"/>
      <c r="K742" s="1946" t="str">
        <f>IFERROR(VLOOKUP(F742,Trainingsarten!$A$9:$K$84,11,FALSE),"0")</f>
        <v>0</v>
      </c>
      <c r="L742" s="2806"/>
      <c r="M742" s="2829"/>
      <c r="N742" s="1947" t="str">
        <f t="shared" si="125"/>
        <v/>
      </c>
      <c r="O742" s="1948"/>
      <c r="P742" s="1949" t="str">
        <f>IFERROR(VLOOKUP(F742,Trainingsarten!$A$9:$N$84,12,FALSE),"")</f>
        <v/>
      </c>
      <c r="Q742" s="1950" t="s">
        <v>437</v>
      </c>
      <c r="R742" s="1086" t="str">
        <f>IFERROR(VLOOKUP(F742,Trainingsarten!$A$9:$N$84,14,FALSE),"")</f>
        <v/>
      </c>
      <c r="S742" s="1087" t="str">
        <f t="shared" si="122"/>
        <v/>
      </c>
      <c r="T742" s="1951">
        <f t="shared" si="120"/>
        <v>17.227672144185966</v>
      </c>
      <c r="U742" s="1952">
        <f t="shared" si="118"/>
        <v>21.681218270489559</v>
      </c>
      <c r="V742" s="1953">
        <f t="shared" si="119"/>
        <v>2.111077637325188</v>
      </c>
      <c r="W742" s="3284">
        <f t="shared" si="124"/>
        <v>0.79458967338724951</v>
      </c>
      <c r="X742" s="3300"/>
      <c r="Y742" s="3316"/>
      <c r="AA742" s="3301"/>
      <c r="AB742" s="3409"/>
      <c r="AE742" s="1056"/>
    </row>
    <row r="743" spans="2:31" x14ac:dyDescent="0.2">
      <c r="B743" s="2982" t="s">
        <v>761</v>
      </c>
      <c r="C743" s="1939">
        <v>43841</v>
      </c>
      <c r="D743" s="1940">
        <v>4</v>
      </c>
      <c r="E743" s="1941" t="s">
        <v>836</v>
      </c>
      <c r="F743" s="2715" t="s">
        <v>818</v>
      </c>
      <c r="G743" s="1942">
        <v>3.6388888888888887E-2</v>
      </c>
      <c r="H743" s="1943">
        <v>9.52</v>
      </c>
      <c r="I743" s="1944">
        <f t="shared" si="123"/>
        <v>3.8223622782446311E-3</v>
      </c>
      <c r="J743" s="1945">
        <v>139</v>
      </c>
      <c r="K743" s="1946">
        <v>63</v>
      </c>
      <c r="L743" s="2806">
        <v>216</v>
      </c>
      <c r="M743" s="2829"/>
      <c r="N743" s="1947">
        <f t="shared" si="125"/>
        <v>1.0646933400225762</v>
      </c>
      <c r="O743" s="1948" t="s">
        <v>783</v>
      </c>
      <c r="P743" s="1949">
        <f>IFERROR(VLOOKUP(F743,Trainingsarten!$A$9:$N$84,12,FALSE),"")</f>
        <v>194.60000000000002</v>
      </c>
      <c r="Q743" s="1950" t="s">
        <v>437</v>
      </c>
      <c r="R743" s="1086">
        <f>IFERROR(VLOOKUP(F743,Trainingsarten!$A$9:$N$84,14,FALSE),"")</f>
        <v>212.96</v>
      </c>
      <c r="S743" s="1087">
        <f t="shared" si="122"/>
        <v>1.5539568345323742</v>
      </c>
      <c r="T743" s="1951">
        <f t="shared" si="120"/>
        <v>23.766576123587971</v>
      </c>
      <c r="U743" s="1952">
        <f t="shared" si="118"/>
        <v>22.664998787858856</v>
      </c>
      <c r="V743" s="1953">
        <f t="shared" si="119"/>
        <v>4.4535461263035927</v>
      </c>
      <c r="W743" s="3284">
        <f t="shared" si="124"/>
        <v>1.0486025764236619</v>
      </c>
      <c r="X743" s="3300"/>
      <c r="Y743" s="3316"/>
      <c r="AA743" s="3301"/>
      <c r="AB743" s="3409"/>
      <c r="AE743" s="1056"/>
    </row>
    <row r="744" spans="2:31" ht="16" thickBot="1" x14ac:dyDescent="0.25">
      <c r="B744" s="2983">
        <f>AVERAGE(W738:W744)</f>
        <v>1.0300127410265749</v>
      </c>
      <c r="C744" s="1260">
        <v>43842</v>
      </c>
      <c r="D744" s="1108"/>
      <c r="E744" s="1261"/>
      <c r="F744" s="2716"/>
      <c r="G744" s="1954"/>
      <c r="H744" s="1955" t="str">
        <f>IFERROR(VLOOKUP(F744,Trainingsarten!$A$9:$K$84,10,FALSE),"")</f>
        <v/>
      </c>
      <c r="I744" s="1956" t="str">
        <f t="shared" si="123"/>
        <v/>
      </c>
      <c r="J744" s="1957"/>
      <c r="K744" s="1958" t="str">
        <f>IFERROR(VLOOKUP(F744,Trainingsarten!$A$9:$K$84,11,FALSE),"0")</f>
        <v>0</v>
      </c>
      <c r="L744" s="2807"/>
      <c r="M744" s="2830"/>
      <c r="N744" s="1223" t="str">
        <f t="shared" si="125"/>
        <v/>
      </c>
      <c r="O744" s="1959"/>
      <c r="P744" s="1960" t="str">
        <f>IFERROR(VLOOKUP(F744,Trainingsarten!$A$9:$N$84,12,FALSE),"")</f>
        <v/>
      </c>
      <c r="Q744" s="1961" t="s">
        <v>437</v>
      </c>
      <c r="R744" s="1105" t="str">
        <f>IFERROR(VLOOKUP(F744,Trainingsarten!$A$9:$N$84,14,FALSE),"")</f>
        <v/>
      </c>
      <c r="S744" s="1106" t="str">
        <f t="shared" si="122"/>
        <v/>
      </c>
      <c r="T744" s="1962">
        <f t="shared" si="120"/>
        <v>20.371350963075404</v>
      </c>
      <c r="U744" s="1963">
        <f t="shared" si="118"/>
        <v>22.125355959576503</v>
      </c>
      <c r="V744" s="1963">
        <f t="shared" si="119"/>
        <v>-1.1015773357291145</v>
      </c>
      <c r="W744" s="3287">
        <f t="shared" si="124"/>
        <v>0.92072421344516653</v>
      </c>
      <c r="X744" s="3300"/>
      <c r="Y744" s="3316"/>
      <c r="AA744" s="3301"/>
      <c r="AB744" s="3409"/>
      <c r="AE744" s="1056"/>
    </row>
    <row r="745" spans="2:31" ht="16" thickBot="1" x14ac:dyDescent="0.25">
      <c r="B745" s="2985">
        <f>B738+1</f>
        <v>3</v>
      </c>
      <c r="C745" s="1969">
        <v>43843</v>
      </c>
      <c r="D745" s="1970"/>
      <c r="E745" s="1971"/>
      <c r="F745" s="2717"/>
      <c r="G745" s="1972"/>
      <c r="H745" s="1973" t="str">
        <f>IFERROR(VLOOKUP(F745,Trainingsarten!$A$9:$K$84,10,FALSE),"")</f>
        <v/>
      </c>
      <c r="I745" s="1974" t="str">
        <f t="shared" si="123"/>
        <v/>
      </c>
      <c r="J745" s="1975"/>
      <c r="K745" s="1976" t="str">
        <f>IFERROR(VLOOKUP(F745,Trainingsarten!$A$9:$K$84,11,FALSE),"0")</f>
        <v>0</v>
      </c>
      <c r="L745" s="1915"/>
      <c r="M745" s="2833"/>
      <c r="N745" s="1977" t="str">
        <f t="shared" si="125"/>
        <v/>
      </c>
      <c r="O745" s="1978"/>
      <c r="P745" s="1979" t="str">
        <f>IFERROR(VLOOKUP(F745,Trainingsarten!$A$9:$N$84,12,FALSE),"")</f>
        <v/>
      </c>
      <c r="Q745" s="1980" t="s">
        <v>437</v>
      </c>
      <c r="R745" s="1069" t="str">
        <f>IFERROR(VLOOKUP(F745,Trainingsarten!$A$9:$N$84,14,FALSE),"")</f>
        <v/>
      </c>
      <c r="S745" s="1070" t="str">
        <f t="shared" si="122"/>
        <v/>
      </c>
      <c r="T745" s="1981">
        <f t="shared" si="120"/>
        <v>17.461157968350346</v>
      </c>
      <c r="U745" s="1922">
        <f t="shared" si="118"/>
        <v>21.598561770062776</v>
      </c>
      <c r="V745" s="1982">
        <f t="shared" si="119"/>
        <v>1.7540049965010986</v>
      </c>
      <c r="W745" s="3283">
        <f t="shared" si="124"/>
        <v>0.80844077278112181</v>
      </c>
      <c r="X745" s="3300"/>
      <c r="Y745" s="3316"/>
      <c r="AA745" s="3301"/>
      <c r="AB745" s="3409"/>
      <c r="AE745" s="1056"/>
    </row>
    <row r="746" spans="2:31" x14ac:dyDescent="0.2">
      <c r="B746" s="2978" t="s">
        <v>626</v>
      </c>
      <c r="C746" s="1983">
        <v>43844</v>
      </c>
      <c r="D746" s="1984">
        <v>5</v>
      </c>
      <c r="E746" s="1985" t="s">
        <v>836</v>
      </c>
      <c r="F746" s="2650" t="s">
        <v>827</v>
      </c>
      <c r="G746" s="1986">
        <v>3.366898148148148E-2</v>
      </c>
      <c r="H746" s="1987">
        <v>8.65</v>
      </c>
      <c r="I746" s="1988">
        <f t="shared" si="123"/>
        <v>3.8923678013273386E-3</v>
      </c>
      <c r="J746" s="1989">
        <v>139</v>
      </c>
      <c r="K746" s="1990">
        <v>56</v>
      </c>
      <c r="L746" s="2806">
        <v>212</v>
      </c>
      <c r="M746" s="2829"/>
      <c r="N746" s="1991">
        <f t="shared" si="125"/>
        <v>1.0641152618410834</v>
      </c>
      <c r="O746" s="1992" t="s">
        <v>783</v>
      </c>
      <c r="P746" s="1993">
        <f>IFERROR(VLOOKUP(F746,Trainingsarten!$A$9:$N$84,12,FALSE),"")</f>
        <v>194.60000000000002</v>
      </c>
      <c r="Q746" s="1994" t="s">
        <v>437</v>
      </c>
      <c r="R746" s="1086">
        <f>IFERROR(VLOOKUP(F746,Trainingsarten!$A$9:$N$84,14,FALSE),"")</f>
        <v>212.96</v>
      </c>
      <c r="S746" s="1087">
        <f t="shared" si="122"/>
        <v>1.525179856115108</v>
      </c>
      <c r="T746" s="1995">
        <f t="shared" si="120"/>
        <v>22.96670683001458</v>
      </c>
      <c r="U746" s="1996">
        <f t="shared" si="118"/>
        <v>22.417643632680328</v>
      </c>
      <c r="V746" s="1997">
        <f t="shared" si="119"/>
        <v>4.1374038017124306</v>
      </c>
      <c r="W746" s="3284">
        <f t="shared" si="124"/>
        <v>1.02449245809822</v>
      </c>
      <c r="X746" s="3300"/>
      <c r="Y746" s="3316"/>
      <c r="AA746" s="3301"/>
      <c r="AB746" s="3409"/>
      <c r="AE746" s="1056"/>
    </row>
    <row r="747" spans="2:31" ht="16" thickBot="1" x14ac:dyDescent="0.25">
      <c r="B747" s="2979">
        <f>SUM(H745:H751)</f>
        <v>27.14</v>
      </c>
      <c r="C747" s="1998">
        <v>43845</v>
      </c>
      <c r="D747" s="1984"/>
      <c r="E747" s="1985"/>
      <c r="F747" s="2636"/>
      <c r="G747" s="1986"/>
      <c r="H747" s="1987" t="str">
        <f>IFERROR(VLOOKUP(F747,Trainingsarten!$A$9:$K$84,10,FALSE),"")</f>
        <v/>
      </c>
      <c r="I747" s="1988" t="str">
        <f t="shared" si="123"/>
        <v/>
      </c>
      <c r="J747" s="1989"/>
      <c r="K747" s="1990" t="str">
        <f>IFERROR(VLOOKUP(F747,Trainingsarten!$A$9:$K$84,11,FALSE),"0")</f>
        <v>0</v>
      </c>
      <c r="L747" s="2806"/>
      <c r="M747" s="2829"/>
      <c r="N747" s="1991" t="str">
        <f t="shared" si="125"/>
        <v/>
      </c>
      <c r="O747" s="1992"/>
      <c r="P747" s="1993" t="str">
        <f>IFERROR(VLOOKUP(F747,Trainingsarten!$A$9:$N$84,12,FALSE),"")</f>
        <v/>
      </c>
      <c r="Q747" s="1994" t="s">
        <v>437</v>
      </c>
      <c r="R747" s="1086" t="str">
        <f>IFERROR(VLOOKUP(F747,Trainingsarten!$A$9:$N$84,14,FALSE),"")</f>
        <v/>
      </c>
      <c r="S747" s="1087" t="str">
        <f t="shared" si="122"/>
        <v/>
      </c>
      <c r="T747" s="1995">
        <f t="shared" si="120"/>
        <v>19.685748711441068</v>
      </c>
      <c r="U747" s="1996">
        <f t="shared" si="118"/>
        <v>21.883890212854606</v>
      </c>
      <c r="V747" s="1997">
        <f t="shared" si="119"/>
        <v>-0.54906319733425235</v>
      </c>
      <c r="W747" s="3284">
        <f t="shared" si="124"/>
        <v>0.89955435345209556</v>
      </c>
      <c r="X747" s="3300"/>
      <c r="Y747" s="3316"/>
      <c r="AA747" s="3301"/>
      <c r="AB747" s="3409"/>
      <c r="AE747" s="1056"/>
    </row>
    <row r="748" spans="2:31" x14ac:dyDescent="0.2">
      <c r="B748" s="2980" t="s">
        <v>628</v>
      </c>
      <c r="C748" s="1998">
        <v>43846</v>
      </c>
      <c r="D748" s="1984">
        <v>6</v>
      </c>
      <c r="E748" s="1985" t="s">
        <v>836</v>
      </c>
      <c r="F748" s="2636" t="s">
        <v>802</v>
      </c>
      <c r="G748" s="1986">
        <v>3.7534722222222219E-2</v>
      </c>
      <c r="H748" s="1987">
        <v>10.130000000000001</v>
      </c>
      <c r="I748" s="1988">
        <f t="shared" si="123"/>
        <v>3.7053032795875832E-3</v>
      </c>
      <c r="J748" s="1989">
        <v>144</v>
      </c>
      <c r="K748" s="1990">
        <v>68</v>
      </c>
      <c r="L748" s="2806">
        <v>223</v>
      </c>
      <c r="M748" s="2829"/>
      <c r="N748" s="1991">
        <f t="shared" si="125"/>
        <v>1.0655346171413416</v>
      </c>
      <c r="O748" s="1992" t="s">
        <v>783</v>
      </c>
      <c r="P748" s="1993">
        <f>IFERROR(VLOOKUP(F748,Trainingsarten!$A$9:$N$84,12,FALSE),"")</f>
        <v>194.60000000000002</v>
      </c>
      <c r="Q748" s="1994" t="s">
        <v>437</v>
      </c>
      <c r="R748" s="1086">
        <f>IFERROR(VLOOKUP(F748,Trainingsarten!$A$9:$N$84,14,FALSE),"")</f>
        <v>212.96</v>
      </c>
      <c r="S748" s="1087">
        <f t="shared" si="122"/>
        <v>1.5486111111111112</v>
      </c>
      <c r="T748" s="1995">
        <f t="shared" si="120"/>
        <v>26.587784609806629</v>
      </c>
      <c r="U748" s="1996">
        <f t="shared" si="118"/>
        <v>22.981892826834258</v>
      </c>
      <c r="V748" s="1997">
        <f t="shared" si="119"/>
        <v>2.1981415014135379</v>
      </c>
      <c r="W748" s="3284">
        <f t="shared" si="124"/>
        <v>1.1569014271427651</v>
      </c>
      <c r="X748" s="3300"/>
      <c r="Y748" s="3316"/>
      <c r="AA748" s="3301"/>
      <c r="AB748" s="3409"/>
      <c r="AE748" s="1056"/>
    </row>
    <row r="749" spans="2:31" ht="16" thickBot="1" x14ac:dyDescent="0.25">
      <c r="B749" s="2981">
        <f>SUM(K745:K751)</f>
        <v>177.21678925829104</v>
      </c>
      <c r="C749" s="1998">
        <v>43847</v>
      </c>
      <c r="D749" s="1984"/>
      <c r="E749" s="1985"/>
      <c r="F749" s="2636"/>
      <c r="G749" s="1986"/>
      <c r="H749" s="1987" t="str">
        <f>IFERROR(VLOOKUP(F749,Trainingsarten!$A$9:$K$84,10,FALSE),"")</f>
        <v/>
      </c>
      <c r="I749" s="1988" t="str">
        <f t="shared" si="123"/>
        <v/>
      </c>
      <c r="J749" s="1989"/>
      <c r="K749" s="1990" t="str">
        <f>IFERROR(VLOOKUP(F749,Trainingsarten!$A$9:$K$84,11,FALSE),"0")</f>
        <v>0</v>
      </c>
      <c r="L749" s="2806"/>
      <c r="M749" s="2829"/>
      <c r="N749" s="1991" t="str">
        <f t="shared" si="125"/>
        <v/>
      </c>
      <c r="O749" s="1992"/>
      <c r="P749" s="1993" t="str">
        <f>IFERROR(VLOOKUP(F749,Trainingsarten!$A$9:$N$84,12,FALSE),"")</f>
        <v/>
      </c>
      <c r="Q749" s="1994" t="s">
        <v>437</v>
      </c>
      <c r="R749" s="1086" t="str">
        <f>IFERROR(VLOOKUP(F749,Trainingsarten!$A$9:$N$84,14,FALSE),"")</f>
        <v/>
      </c>
      <c r="S749" s="1087" t="str">
        <f t="shared" si="122"/>
        <v/>
      </c>
      <c r="T749" s="1995">
        <f t="shared" si="120"/>
        <v>22.789529665548539</v>
      </c>
      <c r="U749" s="1996">
        <f t="shared" si="118"/>
        <v>22.434704902385825</v>
      </c>
      <c r="V749" s="1997">
        <f t="shared" si="119"/>
        <v>-3.6058917829723711</v>
      </c>
      <c r="W749" s="3284">
        <f t="shared" si="124"/>
        <v>1.0158158872473058</v>
      </c>
      <c r="X749" s="3300"/>
      <c r="Y749" s="3316"/>
      <c r="AA749" s="3301"/>
      <c r="AB749" s="3409"/>
      <c r="AE749" s="1056"/>
    </row>
    <row r="750" spans="2:31" x14ac:dyDescent="0.2">
      <c r="B750" s="2982" t="s">
        <v>761</v>
      </c>
      <c r="C750" s="1998">
        <v>43848</v>
      </c>
      <c r="D750" s="1984"/>
      <c r="E750" s="1985"/>
      <c r="F750" s="2636"/>
      <c r="G750" s="1986"/>
      <c r="H750" s="1987" t="str">
        <f>IFERROR(VLOOKUP(F750,Trainingsarten!$A$9:$K$84,10,FALSE),"")</f>
        <v/>
      </c>
      <c r="I750" s="1988" t="str">
        <f t="shared" si="123"/>
        <v/>
      </c>
      <c r="J750" s="1989"/>
      <c r="K750" s="1990" t="str">
        <f>IFERROR(VLOOKUP(F750,Trainingsarten!$A$9:$K$84,11,FALSE),"0")</f>
        <v>0</v>
      </c>
      <c r="L750" s="2806"/>
      <c r="M750" s="2829"/>
      <c r="N750" s="1991" t="str">
        <f t="shared" si="125"/>
        <v/>
      </c>
      <c r="O750" s="1992"/>
      <c r="P750" s="1993" t="str">
        <f>IFERROR(VLOOKUP(F750,Trainingsarten!$A$9:$N$84,12,FALSE),"")</f>
        <v/>
      </c>
      <c r="Q750" s="1994" t="s">
        <v>437</v>
      </c>
      <c r="R750" s="1086" t="str">
        <f>IFERROR(VLOOKUP(F750,Trainingsarten!$A$9:$N$84,14,FALSE),"")</f>
        <v/>
      </c>
      <c r="S750" s="1087" t="str">
        <f t="shared" si="122"/>
        <v/>
      </c>
      <c r="T750" s="1995">
        <f t="shared" si="120"/>
        <v>19.533882570470176</v>
      </c>
      <c r="U750" s="1996">
        <f t="shared" si="118"/>
        <v>21.90054526185283</v>
      </c>
      <c r="V750" s="1997">
        <f t="shared" si="119"/>
        <v>-0.35482476316271416</v>
      </c>
      <c r="W750" s="3284">
        <f t="shared" si="124"/>
        <v>0.89193590099763431</v>
      </c>
      <c r="X750" s="3300"/>
      <c r="Y750" s="3316"/>
      <c r="AA750" s="3301"/>
      <c r="AB750" s="3409"/>
      <c r="AE750" s="1056"/>
    </row>
    <row r="751" spans="2:31" ht="16" thickBot="1" x14ac:dyDescent="0.25">
      <c r="B751" s="2983">
        <f>AVERAGE(W745:W751)</f>
        <v>0.98174129803694155</v>
      </c>
      <c r="C751" s="1999">
        <v>43849</v>
      </c>
      <c r="D751" s="1108">
        <v>7</v>
      </c>
      <c r="E751" s="1261" t="s">
        <v>836</v>
      </c>
      <c r="F751" s="2629" t="s">
        <v>825</v>
      </c>
      <c r="G751" s="2000">
        <v>3.4305555555555554E-2</v>
      </c>
      <c r="H751" s="2001">
        <v>8.36</v>
      </c>
      <c r="I751" s="2002">
        <f t="shared" si="123"/>
        <v>4.1035353535353539E-3</v>
      </c>
      <c r="J751" s="2003">
        <v>131</v>
      </c>
      <c r="K751" s="2004">
        <f>IFERROR(VLOOKUP(F751,Trainingsarten!$A$9:$K$84,11,FALSE),"0")</f>
        <v>53.216789258291044</v>
      </c>
      <c r="L751" s="2807">
        <v>204</v>
      </c>
      <c r="M751" s="2830"/>
      <c r="N751" s="1223">
        <f t="shared" si="125"/>
        <v>1.0795115332428766</v>
      </c>
      <c r="O751" s="2005" t="s">
        <v>783</v>
      </c>
      <c r="P751" s="1818">
        <f>IFERROR(VLOOKUP(F751,Trainingsarten!$A$9:$N$84,12,FALSE),"")</f>
        <v>169.39999999999998</v>
      </c>
      <c r="Q751" s="1819" t="s">
        <v>437</v>
      </c>
      <c r="R751" s="1105">
        <f>IFERROR(VLOOKUP(F751,Trainingsarten!$A$9:$N$84,14,FALSE),"")</f>
        <v>193.60000000000002</v>
      </c>
      <c r="S751" s="1106">
        <f t="shared" si="122"/>
        <v>1.5572519083969465</v>
      </c>
      <c r="T751" s="2006">
        <f t="shared" si="120"/>
        <v>24.345726383016014</v>
      </c>
      <c r="U751" s="2007">
        <f t="shared" si="118"/>
        <v>22.646170118910884</v>
      </c>
      <c r="V751" s="2007">
        <f t="shared" si="119"/>
        <v>2.3666626913826541</v>
      </c>
      <c r="W751" s="3285">
        <f t="shared" si="124"/>
        <v>1.0750482865394488</v>
      </c>
      <c r="X751" s="3300"/>
      <c r="Y751" s="3316"/>
      <c r="AA751" s="3301"/>
      <c r="AB751" s="3409"/>
      <c r="AE751" s="1056"/>
    </row>
    <row r="752" spans="2:31" ht="16" thickBot="1" x14ac:dyDescent="0.25">
      <c r="B752" s="2985">
        <f>B745+1</f>
        <v>4</v>
      </c>
      <c r="C752" s="1110">
        <v>43850</v>
      </c>
      <c r="D752" s="1111"/>
      <c r="E752" s="1112"/>
      <c r="F752" s="2685"/>
      <c r="G752" s="1647"/>
      <c r="H752" s="1648" t="str">
        <f>IFERROR(VLOOKUP(F752,Trainingsarten!$A$9:$K$84,10,FALSE),"")</f>
        <v/>
      </c>
      <c r="I752" s="1399" t="str">
        <f t="shared" si="123"/>
        <v/>
      </c>
      <c r="J752" s="1326"/>
      <c r="K752" s="1325" t="str">
        <f>IFERROR(VLOOKUP(F752,Trainingsarten!$A$9:$K$84,11,FALSE),"0")</f>
        <v>0</v>
      </c>
      <c r="L752" s="1326"/>
      <c r="M752" s="2831"/>
      <c r="N752" s="1119" t="str">
        <f t="shared" si="125"/>
        <v/>
      </c>
      <c r="O752" s="1649"/>
      <c r="P752" s="1277" t="str">
        <f>IFERROR(VLOOKUP(F752,Trainingsarten!$A$9:$N$84,12,FALSE),"")</f>
        <v/>
      </c>
      <c r="Q752" s="1122" t="s">
        <v>437</v>
      </c>
      <c r="R752" s="1122" t="str">
        <f>IFERROR(VLOOKUP(F752,Trainingsarten!$A$9:$N$84,14,FALSE),"")</f>
        <v/>
      </c>
      <c r="S752" s="1070" t="str">
        <f t="shared" si="122"/>
        <v/>
      </c>
      <c r="T752" s="1650">
        <f t="shared" si="120"/>
        <v>20.867765471156584</v>
      </c>
      <c r="U752" s="1651">
        <f t="shared" ref="U752:U815" si="126">U751+(K752-U751)/42</f>
        <v>22.10697559227015</v>
      </c>
      <c r="V752" s="1278">
        <f t="shared" ref="V752:V815" si="127">U751-T751</f>
        <v>-1.6995562641051301</v>
      </c>
      <c r="W752" s="3286">
        <f t="shared" si="124"/>
        <v>0.94394483696146736</v>
      </c>
      <c r="X752" s="3300"/>
      <c r="Y752" s="3316"/>
      <c r="AA752" s="3301"/>
      <c r="AB752" s="3409"/>
      <c r="AE752" s="1056"/>
    </row>
    <row r="753" spans="2:31" x14ac:dyDescent="0.2">
      <c r="B753" s="2978" t="s">
        <v>626</v>
      </c>
      <c r="C753" s="2008">
        <v>43851</v>
      </c>
      <c r="D753" s="2009">
        <v>8</v>
      </c>
      <c r="E753" s="2010" t="s">
        <v>836</v>
      </c>
      <c r="F753" s="2650" t="s">
        <v>802</v>
      </c>
      <c r="G753" s="2011">
        <v>3.7835648148148153E-2</v>
      </c>
      <c r="H753" s="1826">
        <v>10.01</v>
      </c>
      <c r="I753" s="1902">
        <f t="shared" si="123"/>
        <v>3.7797850297850303E-3</v>
      </c>
      <c r="J753" s="2012">
        <v>139</v>
      </c>
      <c r="K753" s="2013">
        <v>67</v>
      </c>
      <c r="L753" s="2806">
        <v>219</v>
      </c>
      <c r="M753" s="2829"/>
      <c r="N753" s="1831">
        <f t="shared" si="125"/>
        <v>1.0674564241728424</v>
      </c>
      <c r="O753" s="2014" t="s">
        <v>751</v>
      </c>
      <c r="P753" s="1755">
        <f>IFERROR(VLOOKUP(F753,Trainingsarten!$A$9:$N$84,12,FALSE),"")</f>
        <v>194.60000000000002</v>
      </c>
      <c r="Q753" s="1756" t="s">
        <v>437</v>
      </c>
      <c r="R753" s="1086">
        <f>IFERROR(VLOOKUP(F753,Trainingsarten!$A$9:$N$84,14,FALSE),"")</f>
        <v>212.96</v>
      </c>
      <c r="S753" s="1087">
        <f t="shared" si="122"/>
        <v>1.5755395683453237</v>
      </c>
      <c r="T753" s="2015">
        <f t="shared" ref="T753:T816" si="128">T752+(K753-T752)/7</f>
        <v>27.458084689562785</v>
      </c>
      <c r="U753" s="2016">
        <f t="shared" si="126"/>
        <v>23.175857125787527</v>
      </c>
      <c r="V753" s="2017">
        <f t="shared" si="127"/>
        <v>1.2392101211135653</v>
      </c>
      <c r="W753" s="3284">
        <f t="shared" si="124"/>
        <v>1.1847710546597421</v>
      </c>
      <c r="X753" s="3300"/>
      <c r="Y753" s="3316"/>
      <c r="AA753" s="3301"/>
      <c r="AB753" s="3409"/>
      <c r="AE753" s="1056"/>
    </row>
    <row r="754" spans="2:31" ht="16" thickBot="1" x14ac:dyDescent="0.25">
      <c r="B754" s="2979">
        <f>SUM(H752:H758)</f>
        <v>32.28</v>
      </c>
      <c r="C754" s="2008">
        <v>43852</v>
      </c>
      <c r="D754" s="2009"/>
      <c r="E754" s="2010"/>
      <c r="F754" s="2636"/>
      <c r="G754" s="2011"/>
      <c r="H754" s="1826" t="str">
        <f>IFERROR(VLOOKUP(F754,Trainingsarten!$A$9:$K$84,10,FALSE),"")</f>
        <v/>
      </c>
      <c r="I754" s="1902" t="str">
        <f t="shared" si="123"/>
        <v/>
      </c>
      <c r="J754" s="2012"/>
      <c r="K754" s="2013" t="str">
        <f>IFERROR(VLOOKUP(F754,Trainingsarten!$A$9:$K$84,11,FALSE),"0")</f>
        <v>0</v>
      </c>
      <c r="L754" s="2806"/>
      <c r="M754" s="2829"/>
      <c r="N754" s="1831" t="str">
        <f t="shared" si="125"/>
        <v/>
      </c>
      <c r="O754" s="2014"/>
      <c r="P754" s="1755" t="str">
        <f>IFERROR(VLOOKUP(F754,Trainingsarten!$A$9:$N$84,12,FALSE),"")</f>
        <v/>
      </c>
      <c r="Q754" s="1756" t="s">
        <v>437</v>
      </c>
      <c r="R754" s="1086" t="str">
        <f>IFERROR(VLOOKUP(F754,Trainingsarten!$A$9:$N$84,14,FALSE),"")</f>
        <v/>
      </c>
      <c r="S754" s="1087" t="str">
        <f t="shared" si="122"/>
        <v/>
      </c>
      <c r="T754" s="2015">
        <f t="shared" si="128"/>
        <v>23.535501162482387</v>
      </c>
      <c r="U754" s="2016">
        <f t="shared" si="126"/>
        <v>22.624051003744967</v>
      </c>
      <c r="V754" s="2017">
        <f t="shared" si="127"/>
        <v>-4.2822275637752583</v>
      </c>
      <c r="W754" s="3284">
        <f t="shared" si="124"/>
        <v>1.040286779701237</v>
      </c>
      <c r="X754" s="3300"/>
      <c r="Y754" s="3316"/>
      <c r="AA754" s="3301"/>
      <c r="AB754" s="3409"/>
      <c r="AE754" s="1056"/>
    </row>
    <row r="755" spans="2:31" x14ac:dyDescent="0.2">
      <c r="B755" s="2980" t="s">
        <v>628</v>
      </c>
      <c r="C755" s="2008">
        <v>43853</v>
      </c>
      <c r="D755" s="2009"/>
      <c r="E755" s="2010"/>
      <c r="F755" s="2636"/>
      <c r="G755" s="2011"/>
      <c r="H755" s="1826" t="str">
        <f>IFERROR(VLOOKUP(F755,Trainingsarten!$A$9:$K$84,10,FALSE),"")</f>
        <v/>
      </c>
      <c r="I755" s="1902" t="str">
        <f t="shared" si="123"/>
        <v/>
      </c>
      <c r="J755" s="2012"/>
      <c r="K755" s="2013" t="str">
        <f>IFERROR(VLOOKUP(F755,Trainingsarten!$A$9:$K$84,11,FALSE),"0")</f>
        <v>0</v>
      </c>
      <c r="L755" s="2806"/>
      <c r="M755" s="2829"/>
      <c r="N755" s="1831" t="str">
        <f t="shared" si="125"/>
        <v/>
      </c>
      <c r="O755" s="2014"/>
      <c r="P755" s="1755" t="str">
        <f>IFERROR(VLOOKUP(F755,Trainingsarten!$A$9:$N$84,12,FALSE),"")</f>
        <v/>
      </c>
      <c r="Q755" s="1756" t="s">
        <v>437</v>
      </c>
      <c r="R755" s="1086" t="str">
        <f>IFERROR(VLOOKUP(F755,Trainingsarten!$A$9:$N$84,14,FALSE),"")</f>
        <v/>
      </c>
      <c r="S755" s="1087" t="str">
        <f t="shared" si="122"/>
        <v/>
      </c>
      <c r="T755" s="2015">
        <f t="shared" si="128"/>
        <v>20.173286710699188</v>
      </c>
      <c r="U755" s="2016">
        <f t="shared" si="126"/>
        <v>22.085383122703419</v>
      </c>
      <c r="V755" s="2017">
        <f t="shared" si="127"/>
        <v>-0.91145015873741997</v>
      </c>
      <c r="W755" s="3284">
        <f t="shared" si="124"/>
        <v>0.91342253827425668</v>
      </c>
      <c r="X755" s="3300"/>
      <c r="Y755" s="3316"/>
      <c r="AA755" s="3301"/>
      <c r="AB755" s="3409"/>
      <c r="AE755" s="1056"/>
    </row>
    <row r="756" spans="2:31" ht="16" thickBot="1" x14ac:dyDescent="0.25">
      <c r="B756" s="2981">
        <f>SUM(K752:K758)</f>
        <v>220</v>
      </c>
      <c r="C756" s="2008">
        <v>43854</v>
      </c>
      <c r="D756" s="2009">
        <v>9</v>
      </c>
      <c r="E756" s="2010" t="s">
        <v>836</v>
      </c>
      <c r="F756" s="2636" t="s">
        <v>829</v>
      </c>
      <c r="G756" s="2011">
        <v>3.6793981481481483E-2</v>
      </c>
      <c r="H756" s="1826">
        <v>10.84</v>
      </c>
      <c r="I756" s="1902">
        <f t="shared" si="123"/>
        <v>3.3942787344540112E-3</v>
      </c>
      <c r="J756" s="2012">
        <v>152</v>
      </c>
      <c r="K756" s="2013">
        <v>78</v>
      </c>
      <c r="L756" s="2806">
        <v>238</v>
      </c>
      <c r="M756" s="2829"/>
      <c r="N756" s="1831">
        <f t="shared" si="125"/>
        <v>1.0417497383929062</v>
      </c>
      <c r="O756" s="2014" t="s">
        <v>751</v>
      </c>
      <c r="P756" s="1755">
        <f>IFERROR(VLOOKUP(F756,Trainingsarten!$A$9:$N$84,12,FALSE),"")</f>
        <v>230.89999999999998</v>
      </c>
      <c r="Q756" s="1756" t="s">
        <v>437</v>
      </c>
      <c r="R756" s="1086">
        <f>IFERROR(VLOOKUP(F756,Trainingsarten!$A$9:$N$84,14,FALSE),"")</f>
        <v>254.10000000000002</v>
      </c>
      <c r="S756" s="1087">
        <f t="shared" si="122"/>
        <v>1.5657894736842106</v>
      </c>
      <c r="T756" s="2015">
        <f t="shared" si="128"/>
        <v>28.434245752027877</v>
      </c>
      <c r="U756" s="2016">
        <f t="shared" si="126"/>
        <v>23.416683524543814</v>
      </c>
      <c r="V756" s="2017">
        <f t="shared" si="127"/>
        <v>1.9120964120042316</v>
      </c>
      <c r="W756" s="3284">
        <f t="shared" si="124"/>
        <v>1.2142729657777964</v>
      </c>
      <c r="X756" s="3300"/>
      <c r="Y756" s="3316"/>
      <c r="AA756" s="3301"/>
      <c r="AB756" s="3409"/>
      <c r="AE756" s="1056"/>
    </row>
    <row r="757" spans="2:31" x14ac:dyDescent="0.2">
      <c r="B757" s="2982" t="s">
        <v>761</v>
      </c>
      <c r="C757" s="2008">
        <v>43855</v>
      </c>
      <c r="D757" s="2009"/>
      <c r="E757" s="2010"/>
      <c r="F757" s="2636"/>
      <c r="G757" s="2011"/>
      <c r="H757" s="1826" t="str">
        <f>IFERROR(VLOOKUP(F757,Trainingsarten!$A$9:$K$84,10,FALSE),"")</f>
        <v/>
      </c>
      <c r="I757" s="1902" t="str">
        <f t="shared" si="123"/>
        <v/>
      </c>
      <c r="J757" s="2012"/>
      <c r="K757" s="2013" t="str">
        <f>IFERROR(VLOOKUP(F757,Trainingsarten!$A$9:$K$84,11,FALSE),"0")</f>
        <v>0</v>
      </c>
      <c r="L757" s="2806"/>
      <c r="M757" s="2829"/>
      <c r="N757" s="1831" t="str">
        <f t="shared" si="125"/>
        <v/>
      </c>
      <c r="O757" s="2014"/>
      <c r="P757" s="1755" t="str">
        <f>IFERROR(VLOOKUP(F757,Trainingsarten!$A$9:$N$84,12,FALSE),"")</f>
        <v/>
      </c>
      <c r="Q757" s="1756" t="s">
        <v>437</v>
      </c>
      <c r="R757" s="1086" t="str">
        <f>IFERROR(VLOOKUP(F757,Trainingsarten!$A$9:$N$84,14,FALSE),"")</f>
        <v/>
      </c>
      <c r="S757" s="1087" t="str">
        <f t="shared" si="122"/>
        <v/>
      </c>
      <c r="T757" s="2015">
        <f t="shared" si="128"/>
        <v>24.372210644595324</v>
      </c>
      <c r="U757" s="2016">
        <f t="shared" si="126"/>
        <v>22.859143440626102</v>
      </c>
      <c r="V757" s="2017">
        <f t="shared" si="127"/>
        <v>-5.0175622274840634</v>
      </c>
      <c r="W757" s="3284">
        <f t="shared" si="124"/>
        <v>1.0661908967805043</v>
      </c>
      <c r="X757" s="3300"/>
      <c r="Y757" s="3316"/>
      <c r="AA757" s="3301"/>
      <c r="AB757" s="3409"/>
      <c r="AE757" s="1056"/>
    </row>
    <row r="758" spans="2:31" ht="16" thickBot="1" x14ac:dyDescent="0.25">
      <c r="B758" s="2983">
        <f>AVERAGE(W752:W758)</f>
        <v>1.0963224763317354</v>
      </c>
      <c r="C758" s="1260">
        <v>43856</v>
      </c>
      <c r="D758" s="2018">
        <v>10</v>
      </c>
      <c r="E758" s="2019" t="s">
        <v>836</v>
      </c>
      <c r="F758" s="2718" t="s">
        <v>818</v>
      </c>
      <c r="G758" s="2020">
        <v>4.3391203703703703E-2</v>
      </c>
      <c r="H758" s="2021">
        <v>11.43</v>
      </c>
      <c r="I758" s="2022">
        <f t="shared" si="123"/>
        <v>3.7962557921000614E-3</v>
      </c>
      <c r="J758" s="2023">
        <v>137</v>
      </c>
      <c r="K758" s="2024">
        <v>75</v>
      </c>
      <c r="L758" s="2808">
        <v>219</v>
      </c>
      <c r="M758" s="2832"/>
      <c r="N758" s="2025">
        <f t="shared" si="125"/>
        <v>1.0721079641164257</v>
      </c>
      <c r="O758" s="2026" t="s">
        <v>783</v>
      </c>
      <c r="P758" s="2027">
        <f>IFERROR(VLOOKUP(F758,Trainingsarten!$A$9:$N$84,12,FALSE),"")</f>
        <v>194.60000000000002</v>
      </c>
      <c r="Q758" s="1151" t="s">
        <v>437</v>
      </c>
      <c r="R758" s="1151">
        <f>IFERROR(VLOOKUP(F758,Trainingsarten!$A$9:$N$84,14,FALSE),"")</f>
        <v>212.96</v>
      </c>
      <c r="S758" s="1106">
        <f t="shared" si="122"/>
        <v>1.5985401459854014</v>
      </c>
      <c r="T758" s="2028">
        <f t="shared" si="128"/>
        <v>31.604751981081705</v>
      </c>
      <c r="U758" s="2029">
        <f t="shared" si="126"/>
        <v>24.100592406325482</v>
      </c>
      <c r="V758" s="2029">
        <f t="shared" si="127"/>
        <v>-1.5130672039692215</v>
      </c>
      <c r="W758" s="3287">
        <f t="shared" si="124"/>
        <v>1.3113682621671436</v>
      </c>
      <c r="X758" s="3300"/>
      <c r="Y758" s="3316"/>
      <c r="AA758" s="3301"/>
      <c r="AB758" s="3409"/>
      <c r="AE758" s="1056"/>
    </row>
    <row r="759" spans="2:31" ht="16" thickBot="1" x14ac:dyDescent="0.25">
      <c r="B759" s="2985">
        <f>B752+1</f>
        <v>5</v>
      </c>
      <c r="C759" s="1245">
        <v>43857</v>
      </c>
      <c r="D759" s="2030"/>
      <c r="E759" s="2031"/>
      <c r="F759" s="2719"/>
      <c r="G759" s="2032"/>
      <c r="H759" s="2033" t="str">
        <f>IFERROR(VLOOKUP(F759,Trainingsarten!$A$9:$K$84,10,FALSE),"")</f>
        <v/>
      </c>
      <c r="I759" s="2034" t="str">
        <f t="shared" si="123"/>
        <v/>
      </c>
      <c r="J759" s="2035"/>
      <c r="K759" s="2036" t="str">
        <f>IFERROR(VLOOKUP(F759,Trainingsarten!$A$9:$K$84,11,FALSE),"0")</f>
        <v>0</v>
      </c>
      <c r="L759" s="1915"/>
      <c r="M759" s="2833"/>
      <c r="N759" s="2037" t="str">
        <f t="shared" si="125"/>
        <v/>
      </c>
      <c r="O759" s="2038"/>
      <c r="P759" s="2039" t="str">
        <f>IFERROR(VLOOKUP(F759,Trainingsarten!$A$9:$N$84,12,FALSE),"")</f>
        <v/>
      </c>
      <c r="Q759" s="1069" t="s">
        <v>437</v>
      </c>
      <c r="R759" s="1069" t="str">
        <f>IFERROR(VLOOKUP(F759,Trainingsarten!$A$9:$N$84,14,FALSE),"")</f>
        <v/>
      </c>
      <c r="S759" s="1070" t="str">
        <f t="shared" si="122"/>
        <v/>
      </c>
      <c r="T759" s="1650">
        <f t="shared" si="128"/>
        <v>27.089787412355747</v>
      </c>
      <c r="U759" s="1651">
        <f t="shared" si="126"/>
        <v>23.526768777603447</v>
      </c>
      <c r="V759" s="1278">
        <f t="shared" si="127"/>
        <v>-7.5041595747562226</v>
      </c>
      <c r="W759" s="3283">
        <f t="shared" si="124"/>
        <v>1.1514453033662724</v>
      </c>
      <c r="X759" s="3300"/>
      <c r="Y759" s="3316"/>
      <c r="AA759" s="3301"/>
      <c r="AB759" s="3409"/>
      <c r="AE759" s="1056"/>
    </row>
    <row r="760" spans="2:31" x14ac:dyDescent="0.2">
      <c r="B760" s="2978" t="s">
        <v>626</v>
      </c>
      <c r="C760" s="2008">
        <v>43858</v>
      </c>
      <c r="D760" s="2040">
        <v>11</v>
      </c>
      <c r="E760" s="2041" t="s">
        <v>836</v>
      </c>
      <c r="F760" s="2720" t="s">
        <v>823</v>
      </c>
      <c r="G760" s="2042">
        <v>4.5648148148148153E-2</v>
      </c>
      <c r="H760" s="2043">
        <v>11.44</v>
      </c>
      <c r="I760" s="2044">
        <f t="shared" si="123"/>
        <v>3.9902227402227406E-3</v>
      </c>
      <c r="J760" s="2045">
        <v>132</v>
      </c>
      <c r="K760" s="2046">
        <v>72</v>
      </c>
      <c r="L760" s="2806">
        <v>208</v>
      </c>
      <c r="M760" s="2829"/>
      <c r="N760" s="2047">
        <f t="shared" si="125"/>
        <v>1.0702849389416556</v>
      </c>
      <c r="O760" s="2048" t="s">
        <v>751</v>
      </c>
      <c r="P760" s="1993" t="str">
        <f>IFERROR(VLOOKUP(F760,Trainingsarten!$A$9:$N$84,12,FALSE),"")</f>
        <v/>
      </c>
      <c r="Q760" s="1994" t="s">
        <v>437</v>
      </c>
      <c r="R760" s="1086" t="str">
        <f>IFERROR(VLOOKUP(F760,Trainingsarten!$A$9:$N$84,14,FALSE),"")</f>
        <v/>
      </c>
      <c r="S760" s="1087">
        <f t="shared" si="122"/>
        <v>1.5757575757575757</v>
      </c>
      <c r="T760" s="2015">
        <f t="shared" si="128"/>
        <v>33.505532067733498</v>
      </c>
      <c r="U760" s="2016">
        <f t="shared" si="126"/>
        <v>24.680893330517652</v>
      </c>
      <c r="V760" s="2017">
        <f t="shared" si="127"/>
        <v>-3.5630186347523001</v>
      </c>
      <c r="W760" s="3284">
        <f t="shared" si="124"/>
        <v>1.3575494054870485</v>
      </c>
      <c r="X760" s="3300"/>
      <c r="Y760" s="3316"/>
      <c r="AA760" s="3301"/>
      <c r="AB760" s="3409"/>
      <c r="AE760" s="1056"/>
    </row>
    <row r="761" spans="2:31" ht="16" thickBot="1" x14ac:dyDescent="0.25">
      <c r="B761" s="2979">
        <f>SUM(H759:H765)</f>
        <v>41.72</v>
      </c>
      <c r="C761" s="2008">
        <v>43859</v>
      </c>
      <c r="D761" s="2040">
        <v>12</v>
      </c>
      <c r="E761" s="2041" t="s">
        <v>836</v>
      </c>
      <c r="F761" s="2720" t="s">
        <v>801</v>
      </c>
      <c r="G761" s="2042">
        <v>3.1481481481481485E-2</v>
      </c>
      <c r="H761" s="2043">
        <v>8.42</v>
      </c>
      <c r="I761" s="2044">
        <f t="shared" si="123"/>
        <v>3.738893287586875E-3</v>
      </c>
      <c r="J761" s="2045">
        <v>136</v>
      </c>
      <c r="K761" s="2046">
        <v>56</v>
      </c>
      <c r="L761" s="2806">
        <v>220</v>
      </c>
      <c r="M761" s="2829"/>
      <c r="N761" s="2047">
        <f t="shared" si="125"/>
        <v>1.0607296061261393</v>
      </c>
      <c r="O761" s="2048" t="s">
        <v>783</v>
      </c>
      <c r="P761" s="1993">
        <f>IFERROR(VLOOKUP(F761,Trainingsarten!$A$9:$N$84,12,FALSE),"")</f>
        <v>194.60000000000002</v>
      </c>
      <c r="Q761" s="1994" t="s">
        <v>437</v>
      </c>
      <c r="R761" s="1086">
        <f>IFERROR(VLOOKUP(F761,Trainingsarten!$A$9:$N$84,14,FALSE),"")</f>
        <v>212.96</v>
      </c>
      <c r="S761" s="1087">
        <f t="shared" si="122"/>
        <v>1.6176470588235294</v>
      </c>
      <c r="T761" s="2015">
        <f t="shared" si="128"/>
        <v>36.719027486628711</v>
      </c>
      <c r="U761" s="2016">
        <f t="shared" si="126"/>
        <v>25.426586346457707</v>
      </c>
      <c r="V761" s="2017">
        <f t="shared" si="127"/>
        <v>-8.8246387372158459</v>
      </c>
      <c r="W761" s="3284">
        <f t="shared" si="124"/>
        <v>1.4441194341349013</v>
      </c>
      <c r="X761" s="3300"/>
      <c r="Y761" s="3316"/>
      <c r="AA761" s="3301"/>
      <c r="AB761" s="3409"/>
      <c r="AE761" s="1056"/>
    </row>
    <row r="762" spans="2:31" x14ac:dyDescent="0.2">
      <c r="B762" s="2980" t="s">
        <v>628</v>
      </c>
      <c r="C762" s="2008">
        <v>43860</v>
      </c>
      <c r="D762" s="2040"/>
      <c r="E762" s="2041"/>
      <c r="F762" s="2720"/>
      <c r="G762" s="2042"/>
      <c r="H762" s="2043" t="str">
        <f>IFERROR(VLOOKUP(F762,Trainingsarten!$A$9:$K$84,10,FALSE),"")</f>
        <v/>
      </c>
      <c r="I762" s="2044" t="str">
        <f t="shared" si="123"/>
        <v/>
      </c>
      <c r="J762" s="2045"/>
      <c r="K762" s="2046" t="str">
        <f>IFERROR(VLOOKUP(F762,Trainingsarten!$A$9:$K$84,11,FALSE),"0")</f>
        <v>0</v>
      </c>
      <c r="L762" s="2806"/>
      <c r="M762" s="2829"/>
      <c r="N762" s="2047" t="str">
        <f t="shared" si="125"/>
        <v/>
      </c>
      <c r="O762" s="2048"/>
      <c r="P762" s="1993" t="str">
        <f>IFERROR(VLOOKUP(F762,Trainingsarten!$A$9:$N$84,12,FALSE),"")</f>
        <v/>
      </c>
      <c r="Q762" s="1994" t="s">
        <v>437</v>
      </c>
      <c r="R762" s="1086" t="str">
        <f>IFERROR(VLOOKUP(F762,Trainingsarten!$A$9:$N$84,14,FALSE),"")</f>
        <v/>
      </c>
      <c r="S762" s="1087" t="str">
        <f t="shared" si="122"/>
        <v/>
      </c>
      <c r="T762" s="2015">
        <f t="shared" si="128"/>
        <v>31.473452131396037</v>
      </c>
      <c r="U762" s="2016">
        <f t="shared" si="126"/>
        <v>24.82119143344681</v>
      </c>
      <c r="V762" s="2017">
        <f t="shared" si="127"/>
        <v>-11.292441140171004</v>
      </c>
      <c r="W762" s="3284">
        <f t="shared" si="124"/>
        <v>1.2680073080208889</v>
      </c>
      <c r="X762" s="3300"/>
      <c r="Y762" s="3316"/>
      <c r="AA762" s="3301"/>
      <c r="AB762" s="3409"/>
      <c r="AE762" s="1056"/>
    </row>
    <row r="763" spans="2:31" ht="16" thickBot="1" x14ac:dyDescent="0.25">
      <c r="B763" s="2981">
        <f>SUM(K759:K765)</f>
        <v>277</v>
      </c>
      <c r="C763" s="2008">
        <v>43861</v>
      </c>
      <c r="D763" s="2040">
        <v>13</v>
      </c>
      <c r="E763" s="2041" t="s">
        <v>836</v>
      </c>
      <c r="F763" s="2721" t="s">
        <v>829</v>
      </c>
      <c r="G763" s="2042">
        <v>4.2754629629629635E-2</v>
      </c>
      <c r="H763" s="2043">
        <v>11.46</v>
      </c>
      <c r="I763" s="2044">
        <f t="shared" si="123"/>
        <v>3.7307704737896711E-3</v>
      </c>
      <c r="J763" s="2045">
        <v>150</v>
      </c>
      <c r="K763" s="2046">
        <v>80</v>
      </c>
      <c r="L763" s="2806">
        <v>218</v>
      </c>
      <c r="M763" s="2829"/>
      <c r="N763" s="2047">
        <f t="shared" si="125"/>
        <v>1.0488031048943762</v>
      </c>
      <c r="O763" s="2048" t="s">
        <v>751</v>
      </c>
      <c r="P763" s="1993">
        <f>IFERROR(VLOOKUP(F763,Trainingsarten!$A$9:$N$84,12,FALSE),"")</f>
        <v>230.89999999999998</v>
      </c>
      <c r="Q763" s="1994" t="s">
        <v>437</v>
      </c>
      <c r="R763" s="1086">
        <f>IFERROR(VLOOKUP(F763,Trainingsarten!$A$9:$N$84,14,FALSE),"")</f>
        <v>254.10000000000002</v>
      </c>
      <c r="S763" s="1087">
        <f t="shared" si="122"/>
        <v>1.4533333333333334</v>
      </c>
      <c r="T763" s="2015">
        <f t="shared" si="128"/>
        <v>38.405816112625175</v>
      </c>
      <c r="U763" s="2016">
        <f t="shared" si="126"/>
        <v>26.134972589793314</v>
      </c>
      <c r="V763" s="2017">
        <f t="shared" si="127"/>
        <v>-6.6522606979492274</v>
      </c>
      <c r="W763" s="3284">
        <f t="shared" si="124"/>
        <v>1.4695181324821471</v>
      </c>
      <c r="X763" s="3300"/>
      <c r="Y763" s="3316"/>
      <c r="AA763" s="3301"/>
      <c r="AB763" s="3409"/>
      <c r="AE763" s="1056"/>
    </row>
    <row r="764" spans="2:31" x14ac:dyDescent="0.2">
      <c r="B764" s="2982" t="s">
        <v>761</v>
      </c>
      <c r="C764" s="2008">
        <v>43862</v>
      </c>
      <c r="D764" s="2040"/>
      <c r="E764" s="2041"/>
      <c r="F764" s="2722"/>
      <c r="G764" s="2042"/>
      <c r="H764" s="2043" t="str">
        <f>IFERROR(VLOOKUP(F764,Trainingsarten!$A$9:$K$84,10,FALSE),"")</f>
        <v/>
      </c>
      <c r="I764" s="2044" t="str">
        <f t="shared" si="123"/>
        <v/>
      </c>
      <c r="J764" s="2045"/>
      <c r="K764" s="2046" t="str">
        <f>IFERROR(VLOOKUP(F764,Trainingsarten!$A$9:$K$84,11,FALSE),"0")</f>
        <v>0</v>
      </c>
      <c r="L764" s="2806"/>
      <c r="M764" s="2829"/>
      <c r="N764" s="2047" t="str">
        <f t="shared" si="125"/>
        <v/>
      </c>
      <c r="O764" s="2048"/>
      <c r="P764" s="1993" t="str">
        <f>IFERROR(VLOOKUP(F764,Trainingsarten!$A$9:$N$84,12,FALSE),"")</f>
        <v/>
      </c>
      <c r="Q764" s="1994" t="s">
        <v>437</v>
      </c>
      <c r="R764" s="1086" t="str">
        <f>IFERROR(VLOOKUP(F764,Trainingsarten!$A$9:$N$84,14,FALSE),"")</f>
        <v/>
      </c>
      <c r="S764" s="1087" t="str">
        <f t="shared" si="122"/>
        <v/>
      </c>
      <c r="T764" s="2015">
        <f t="shared" si="128"/>
        <v>32.919270953678719</v>
      </c>
      <c r="U764" s="2016">
        <f t="shared" si="126"/>
        <v>25.512711337655379</v>
      </c>
      <c r="V764" s="2017">
        <f t="shared" si="127"/>
        <v>-12.270843522831861</v>
      </c>
      <c r="W764" s="3284">
        <f t="shared" si="124"/>
        <v>1.2903086041306657</v>
      </c>
      <c r="X764" s="3300"/>
      <c r="Y764" s="3316"/>
      <c r="AA764" s="3301"/>
      <c r="AB764" s="3409"/>
      <c r="AE764" s="1056"/>
    </row>
    <row r="765" spans="2:31" ht="16" thickBot="1" x14ac:dyDescent="0.25">
      <c r="B765" s="2983">
        <f>AVERAGE(W759:W765)</f>
        <v>1.3450122524321488</v>
      </c>
      <c r="C765" s="2049">
        <v>43863</v>
      </c>
      <c r="D765" s="2050">
        <v>14</v>
      </c>
      <c r="E765" s="2051" t="s">
        <v>836</v>
      </c>
      <c r="F765" s="2723" t="s">
        <v>802</v>
      </c>
      <c r="G765" s="2052">
        <v>3.7673611111111109E-2</v>
      </c>
      <c r="H765" s="2053">
        <v>10.4</v>
      </c>
      <c r="I765" s="2054">
        <f t="shared" si="123"/>
        <v>3.6224626068376065E-3</v>
      </c>
      <c r="J765" s="2055">
        <v>139</v>
      </c>
      <c r="K765" s="2056">
        <v>69</v>
      </c>
      <c r="L765" s="2807">
        <v>226</v>
      </c>
      <c r="M765" s="2830"/>
      <c r="N765" s="1223">
        <f t="shared" si="125"/>
        <v>1.0557261768082664</v>
      </c>
      <c r="O765" s="2057" t="s">
        <v>783</v>
      </c>
      <c r="P765" s="1818">
        <f>IFERROR(VLOOKUP(F765,Trainingsarten!$A$9:$N$84,12,FALSE),"")</f>
        <v>194.60000000000002</v>
      </c>
      <c r="Q765" s="1819" t="s">
        <v>437</v>
      </c>
      <c r="R765" s="1105">
        <f>IFERROR(VLOOKUP(F765,Trainingsarten!$A$9:$N$84,14,FALSE),"")</f>
        <v>212.96</v>
      </c>
      <c r="S765" s="1106">
        <f t="shared" si="122"/>
        <v>1.6258992805755397</v>
      </c>
      <c r="T765" s="2015">
        <f t="shared" si="128"/>
        <v>38.073660817438899</v>
      </c>
      <c r="U765" s="2016">
        <f t="shared" si="126"/>
        <v>26.548122972473109</v>
      </c>
      <c r="V765" s="2016">
        <f t="shared" si="127"/>
        <v>-7.4065596160233405</v>
      </c>
      <c r="W765" s="3285">
        <f t="shared" si="124"/>
        <v>1.4341375794031181</v>
      </c>
      <c r="X765" s="3300"/>
      <c r="Y765" s="3316"/>
      <c r="AA765" s="3301"/>
      <c r="AB765" s="3409"/>
      <c r="AE765" s="1056"/>
    </row>
    <row r="766" spans="2:31" ht="16" thickBot="1" x14ac:dyDescent="0.25">
      <c r="B766" s="2985">
        <f>B759+1</f>
        <v>6</v>
      </c>
      <c r="C766" s="1909">
        <v>43864</v>
      </c>
      <c r="D766" s="1278"/>
      <c r="E766" s="1398"/>
      <c r="F766" s="2724"/>
      <c r="G766" s="1647"/>
      <c r="H766" s="1648" t="str">
        <f>IFERROR(VLOOKUP(F766,Trainingsarten!$A$9:$K$84,10,FALSE),"")</f>
        <v/>
      </c>
      <c r="I766" s="1399" t="str">
        <f t="shared" si="123"/>
        <v/>
      </c>
      <c r="J766" s="1326"/>
      <c r="K766" s="1325" t="str">
        <f>IFERROR(VLOOKUP(F766,Trainingsarten!$A$9:$K$84,11,FALSE),"0")</f>
        <v>0</v>
      </c>
      <c r="L766" s="1326"/>
      <c r="M766" s="2831"/>
      <c r="N766" s="1119" t="str">
        <f t="shared" si="125"/>
        <v/>
      </c>
      <c r="O766" s="1649"/>
      <c r="P766" s="1277" t="str">
        <f>IFERROR(VLOOKUP(F766,Trainingsarten!$A$9:$N$84,12,FALSE),"")</f>
        <v/>
      </c>
      <c r="Q766" s="1122" t="s">
        <v>437</v>
      </c>
      <c r="R766" s="1122" t="str">
        <f>IFERROR(VLOOKUP(F766,Trainingsarten!$A$9:$N$84,14,FALSE),"")</f>
        <v/>
      </c>
      <c r="S766" s="1070" t="str">
        <f t="shared" si="122"/>
        <v/>
      </c>
      <c r="T766" s="1921">
        <f t="shared" si="128"/>
        <v>32.634566414947628</v>
      </c>
      <c r="U766" s="2058">
        <f t="shared" si="126"/>
        <v>25.916024806461845</v>
      </c>
      <c r="V766" s="1966">
        <f t="shared" si="127"/>
        <v>-11.52553784496579</v>
      </c>
      <c r="W766" s="3286">
        <f t="shared" si="124"/>
        <v>1.2592427526466403</v>
      </c>
      <c r="X766" s="3295"/>
      <c r="Y766" s="3318"/>
      <c r="AA766" s="3301"/>
      <c r="AB766" s="3409"/>
      <c r="AE766" s="1056"/>
    </row>
    <row r="767" spans="2:31" x14ac:dyDescent="0.2">
      <c r="B767" s="2978" t="s">
        <v>626</v>
      </c>
      <c r="C767" s="2059">
        <v>43865</v>
      </c>
      <c r="D767" s="2040">
        <v>15</v>
      </c>
      <c r="E767" s="2041" t="s">
        <v>836</v>
      </c>
      <c r="F767" s="2722" t="s">
        <v>802</v>
      </c>
      <c r="G767" s="2011">
        <v>3.7326388888888888E-2</v>
      </c>
      <c r="H767" s="1826">
        <v>10.16</v>
      </c>
      <c r="I767" s="1902">
        <f t="shared" si="123"/>
        <v>3.673857174103237E-3</v>
      </c>
      <c r="J767" s="2012">
        <v>141</v>
      </c>
      <c r="K767" s="2013">
        <v>67</v>
      </c>
      <c r="L767" s="2806">
        <v>223</v>
      </c>
      <c r="M767" s="2829"/>
      <c r="N767" s="1831">
        <f t="shared" si="125"/>
        <v>1.0564916558937596</v>
      </c>
      <c r="O767" s="2014" t="s">
        <v>783</v>
      </c>
      <c r="P767" s="1755">
        <f>IFERROR(VLOOKUP(F767,Trainingsarten!$A$9:$N$84,12,FALSE),"")</f>
        <v>194.60000000000002</v>
      </c>
      <c r="Q767" s="1756" t="s">
        <v>437</v>
      </c>
      <c r="R767" s="1086">
        <f>IFERROR(VLOOKUP(F767,Trainingsarten!$A$9:$N$84,14,FALSE),"")</f>
        <v>212.96</v>
      </c>
      <c r="S767" s="1087">
        <f t="shared" si="122"/>
        <v>1.5815602836879432</v>
      </c>
      <c r="T767" s="2015">
        <f t="shared" si="128"/>
        <v>37.543914069955107</v>
      </c>
      <c r="U767" s="2016">
        <f t="shared" si="126"/>
        <v>26.894214692022278</v>
      </c>
      <c r="V767" s="2017">
        <f t="shared" si="127"/>
        <v>-6.7185416084857827</v>
      </c>
      <c r="W767" s="3284">
        <f t="shared" si="124"/>
        <v>1.3959847684673941</v>
      </c>
      <c r="X767" s="3295"/>
      <c r="Y767" s="3318"/>
      <c r="AA767" s="3301"/>
      <c r="AB767" s="3409"/>
      <c r="AE767" s="1056"/>
    </row>
    <row r="768" spans="2:31" ht="16" thickBot="1" x14ac:dyDescent="0.25">
      <c r="B768" s="2979">
        <f>SUM(H766:H772)</f>
        <v>30.740000000000002</v>
      </c>
      <c r="C768" s="2008">
        <v>43866</v>
      </c>
      <c r="D768" s="2040"/>
      <c r="E768" s="2041"/>
      <c r="F768" s="2722"/>
      <c r="G768" s="2011"/>
      <c r="H768" s="1826" t="str">
        <f>IFERROR(VLOOKUP(F768,Trainingsarten!$A$9:$K$84,10,FALSE),"")</f>
        <v/>
      </c>
      <c r="I768" s="1902" t="str">
        <f t="shared" si="123"/>
        <v/>
      </c>
      <c r="J768" s="2012"/>
      <c r="K768" s="2013" t="str">
        <f>IFERROR(VLOOKUP(F768,Trainingsarten!$A$9:$K$84,11,FALSE),"0")</f>
        <v>0</v>
      </c>
      <c r="L768" s="2806"/>
      <c r="M768" s="2829"/>
      <c r="N768" s="1831" t="str">
        <f t="shared" si="125"/>
        <v/>
      </c>
      <c r="O768" s="2014"/>
      <c r="P768" s="1755" t="str">
        <f>IFERROR(VLOOKUP(F768,Trainingsarten!$A$9:$N$84,12,FALSE),"")</f>
        <v/>
      </c>
      <c r="Q768" s="1756" t="s">
        <v>437</v>
      </c>
      <c r="R768" s="1086" t="str">
        <f>IFERROR(VLOOKUP(F768,Trainingsarten!$A$9:$N$84,14,FALSE),"")</f>
        <v/>
      </c>
      <c r="S768" s="1087" t="str">
        <f t="shared" si="122"/>
        <v/>
      </c>
      <c r="T768" s="2015">
        <f t="shared" si="128"/>
        <v>32.180497774247236</v>
      </c>
      <c r="U768" s="2016">
        <f t="shared" si="126"/>
        <v>26.253876246974126</v>
      </c>
      <c r="V768" s="2017">
        <f t="shared" si="127"/>
        <v>-10.64969937793283</v>
      </c>
      <c r="W768" s="3284">
        <f t="shared" si="124"/>
        <v>1.2257427235323461</v>
      </c>
      <c r="X768" s="3295"/>
      <c r="Y768" s="3318"/>
      <c r="AA768" s="3301"/>
      <c r="AB768" s="3409"/>
      <c r="AE768" s="1056"/>
    </row>
    <row r="769" spans="2:31" x14ac:dyDescent="0.2">
      <c r="B769" s="2980" t="s">
        <v>628</v>
      </c>
      <c r="C769" s="2008">
        <v>43867</v>
      </c>
      <c r="D769" s="2040">
        <v>16</v>
      </c>
      <c r="E769" s="2041" t="s">
        <v>836</v>
      </c>
      <c r="F769" s="2722" t="s">
        <v>802</v>
      </c>
      <c r="G769" s="2011">
        <v>3.7002314814814814E-2</v>
      </c>
      <c r="H769" s="1826">
        <v>10.050000000000001</v>
      </c>
      <c r="I769" s="1902">
        <f t="shared" si="123"/>
        <v>3.6818223696333148E-3</v>
      </c>
      <c r="J769" s="2012">
        <v>140</v>
      </c>
      <c r="K769" s="2013">
        <v>67</v>
      </c>
      <c r="L769" s="2806">
        <v>223</v>
      </c>
      <c r="M769" s="2829"/>
      <c r="N769" s="1831">
        <f t="shared" si="125"/>
        <v>1.0587822083611791</v>
      </c>
      <c r="O769" s="2014" t="s">
        <v>751</v>
      </c>
      <c r="P769" s="1755">
        <f>IFERROR(VLOOKUP(F769,Trainingsarten!$A$9:$N$84,12,FALSE),"")</f>
        <v>194.60000000000002</v>
      </c>
      <c r="Q769" s="1756" t="s">
        <v>437</v>
      </c>
      <c r="R769" s="1086">
        <f>IFERROR(VLOOKUP(F769,Trainingsarten!$A$9:$N$84,14,FALSE),"")</f>
        <v>212.96</v>
      </c>
      <c r="S769" s="1087">
        <f t="shared" si="122"/>
        <v>1.5928571428571427</v>
      </c>
      <c r="T769" s="2015">
        <f t="shared" si="128"/>
        <v>37.154712377926202</v>
      </c>
      <c r="U769" s="2016">
        <f t="shared" si="126"/>
        <v>27.224022050617599</v>
      </c>
      <c r="V769" s="2017">
        <f t="shared" si="127"/>
        <v>-5.9266215272731095</v>
      </c>
      <c r="W769" s="3284">
        <f t="shared" si="124"/>
        <v>1.3647767515337919</v>
      </c>
      <c r="X769" s="3295"/>
      <c r="Y769" s="3318"/>
      <c r="AA769" s="3301"/>
      <c r="AB769" s="3409"/>
      <c r="AE769" s="1056"/>
    </row>
    <row r="770" spans="2:31" ht="16" thickBot="1" x14ac:dyDescent="0.25">
      <c r="B770" s="2981">
        <f>SUM(K766:K772)</f>
        <v>203</v>
      </c>
      <c r="C770" s="2008">
        <v>43868</v>
      </c>
      <c r="D770" s="2040"/>
      <c r="E770" s="2041"/>
      <c r="F770" s="2722"/>
      <c r="G770" s="2011"/>
      <c r="H770" s="1826" t="str">
        <f>IFERROR(VLOOKUP(F770,Trainingsarten!$A$9:$K$84,10,FALSE),"")</f>
        <v/>
      </c>
      <c r="I770" s="1902" t="str">
        <f t="shared" si="123"/>
        <v/>
      </c>
      <c r="J770" s="2012"/>
      <c r="K770" s="2013" t="str">
        <f>IFERROR(VLOOKUP(F770,Trainingsarten!$A$9:$K$84,11,FALSE),"0")</f>
        <v>0</v>
      </c>
      <c r="L770" s="2806"/>
      <c r="M770" s="2829"/>
      <c r="N770" s="1831" t="str">
        <f t="shared" si="125"/>
        <v/>
      </c>
      <c r="O770" s="2014"/>
      <c r="P770" s="1755" t="str">
        <f>IFERROR(VLOOKUP(F770,Trainingsarten!$A$9:$N$84,12,FALSE),"")</f>
        <v/>
      </c>
      <c r="Q770" s="1756" t="s">
        <v>437</v>
      </c>
      <c r="R770" s="1086" t="str">
        <f>IFERROR(VLOOKUP(F770,Trainingsarten!$A$9:$N$84,14,FALSE),"")</f>
        <v/>
      </c>
      <c r="S770" s="1087" t="str">
        <f t="shared" si="122"/>
        <v/>
      </c>
      <c r="T770" s="2015">
        <f t="shared" si="128"/>
        <v>31.846896323936747</v>
      </c>
      <c r="U770" s="2016">
        <f t="shared" si="126"/>
        <v>26.575831049412418</v>
      </c>
      <c r="V770" s="2017">
        <f t="shared" si="127"/>
        <v>-9.9306903273086036</v>
      </c>
      <c r="W770" s="3284">
        <f t="shared" si="124"/>
        <v>1.1983405623223538</v>
      </c>
      <c r="X770" s="3295"/>
      <c r="Y770" s="3318"/>
      <c r="AA770" s="3301"/>
      <c r="AB770" s="3409"/>
      <c r="AE770" s="1056"/>
    </row>
    <row r="771" spans="2:31" x14ac:dyDescent="0.2">
      <c r="B771" s="2982" t="s">
        <v>761</v>
      </c>
      <c r="C771" s="2008">
        <v>43869</v>
      </c>
      <c r="D771" s="2040">
        <v>17</v>
      </c>
      <c r="E771" s="2041" t="s">
        <v>836</v>
      </c>
      <c r="F771" s="2722" t="s">
        <v>819</v>
      </c>
      <c r="G771" s="2011">
        <v>3.8715277777777779E-2</v>
      </c>
      <c r="H771" s="1826">
        <v>10.53</v>
      </c>
      <c r="I771" s="1902">
        <f t="shared" si="123"/>
        <v>3.6766645562941861E-3</v>
      </c>
      <c r="J771" s="2012">
        <v>136</v>
      </c>
      <c r="K771" s="2013">
        <v>69</v>
      </c>
      <c r="L771" s="2806">
        <v>222</v>
      </c>
      <c r="M771" s="2829"/>
      <c r="N771" s="1831">
        <f t="shared" si="125"/>
        <v>1.0525577241995152</v>
      </c>
      <c r="O771" s="2014" t="s">
        <v>783</v>
      </c>
      <c r="P771" s="1755">
        <f>IFERROR(VLOOKUP(F771,Trainingsarten!$A$9:$N$84,12,FALSE),"")</f>
        <v>194.60000000000002</v>
      </c>
      <c r="Q771" s="1756" t="s">
        <v>437</v>
      </c>
      <c r="R771" s="1086">
        <f>IFERROR(VLOOKUP(F771,Trainingsarten!$A$9:$N$84,14,FALSE),"")</f>
        <v>212.96</v>
      </c>
      <c r="S771" s="1087">
        <f t="shared" si="122"/>
        <v>1.6323529411764706</v>
      </c>
      <c r="T771" s="2015">
        <f t="shared" si="128"/>
        <v>37.154482563374351</v>
      </c>
      <c r="U771" s="2016">
        <f t="shared" si="126"/>
        <v>27.585930310140693</v>
      </c>
      <c r="V771" s="2017">
        <f t="shared" si="127"/>
        <v>-5.2710652745243287</v>
      </c>
      <c r="W771" s="3284">
        <f t="shared" si="124"/>
        <v>1.3468634969224229</v>
      </c>
      <c r="X771" s="3295"/>
      <c r="Y771" s="3318"/>
      <c r="AA771" s="3301"/>
      <c r="AB771" s="3409"/>
      <c r="AE771" s="1056"/>
    </row>
    <row r="772" spans="2:31" ht="16" thickBot="1" x14ac:dyDescent="0.25">
      <c r="B772" s="2983">
        <f>AVERAGE(W766:W772)</f>
        <v>1.2819375580544605</v>
      </c>
      <c r="C772" s="1260">
        <v>43870</v>
      </c>
      <c r="D772" s="1996"/>
      <c r="E772" s="2060"/>
      <c r="F772" s="2723"/>
      <c r="G772" s="2061"/>
      <c r="H772" s="2062" t="str">
        <f>IFERROR(VLOOKUP(F772,Trainingsarten!$A$9:$K$84,10,FALSE),"")</f>
        <v/>
      </c>
      <c r="I772" s="2063" t="str">
        <f t="shared" si="123"/>
        <v/>
      </c>
      <c r="J772" s="2064"/>
      <c r="K772" s="2065" t="str">
        <f>IFERROR(VLOOKUP(F772,Trainingsarten!$A$9:$K$84,11,FALSE),"0")</f>
        <v>0</v>
      </c>
      <c r="L772" s="2808"/>
      <c r="M772" s="2832"/>
      <c r="N772" s="2066" t="str">
        <f t="shared" si="125"/>
        <v/>
      </c>
      <c r="O772" s="2067"/>
      <c r="P772" s="2027" t="str">
        <f>IFERROR(VLOOKUP(F772,Trainingsarten!$A$9:$N$84,12,FALSE),"")</f>
        <v/>
      </c>
      <c r="Q772" s="1151" t="s">
        <v>437</v>
      </c>
      <c r="R772" s="1151" t="str">
        <f>IFERROR(VLOOKUP(F772,Trainingsarten!$A$9:$N$84,14,FALSE),"")</f>
        <v/>
      </c>
      <c r="S772" s="1106" t="str">
        <f t="shared" si="122"/>
        <v/>
      </c>
      <c r="T772" s="2028">
        <f t="shared" si="128"/>
        <v>31.846699340035158</v>
      </c>
      <c r="U772" s="2029">
        <f t="shared" si="126"/>
        <v>26.929122445613533</v>
      </c>
      <c r="V772" s="2029">
        <f t="shared" si="127"/>
        <v>-9.5685522532336584</v>
      </c>
      <c r="W772" s="3287">
        <f t="shared" si="124"/>
        <v>1.1826118509562737</v>
      </c>
      <c r="X772" s="3295"/>
      <c r="Y772" s="3318"/>
      <c r="AA772" s="3301"/>
      <c r="AB772" s="3409"/>
      <c r="AE772" s="1056"/>
    </row>
    <row r="773" spans="2:31" ht="16" thickBot="1" x14ac:dyDescent="0.25">
      <c r="B773" s="2985">
        <f>B766+1</f>
        <v>7</v>
      </c>
      <c r="C773" s="1909">
        <v>43871</v>
      </c>
      <c r="D773" s="2068"/>
      <c r="E773" s="2069"/>
      <c r="F773" s="2724"/>
      <c r="G773" s="2032"/>
      <c r="H773" s="2033" t="str">
        <f>IFERROR(VLOOKUP(F773,Trainingsarten!$A$9:$K$84,10,FALSE),"")</f>
        <v/>
      </c>
      <c r="I773" s="2034" t="str">
        <f t="shared" si="123"/>
        <v/>
      </c>
      <c r="J773" s="2035"/>
      <c r="K773" s="2036" t="str">
        <f>IFERROR(VLOOKUP(F773,Trainingsarten!$A$9:$K$84,11,FALSE),"0")</f>
        <v>0</v>
      </c>
      <c r="L773" s="1915"/>
      <c r="M773" s="2833"/>
      <c r="N773" s="2037" t="str">
        <f t="shared" si="125"/>
        <v/>
      </c>
      <c r="O773" s="2038"/>
      <c r="P773" s="2039" t="str">
        <f>IFERROR(VLOOKUP(F773,Trainingsarten!$A$9:$N$84,12,FALSE),"")</f>
        <v/>
      </c>
      <c r="Q773" s="1069" t="s">
        <v>437</v>
      </c>
      <c r="R773" s="1069" t="str">
        <f>IFERROR(VLOOKUP(F773,Trainingsarten!$A$9:$N$84,14,FALSE),"")</f>
        <v/>
      </c>
      <c r="S773" s="1070" t="str">
        <f t="shared" si="122"/>
        <v/>
      </c>
      <c r="T773" s="1921">
        <f t="shared" si="128"/>
        <v>27.297170862887278</v>
      </c>
      <c r="U773" s="2058">
        <f t="shared" si="126"/>
        <v>26.287952863575114</v>
      </c>
      <c r="V773" s="1966">
        <f t="shared" si="127"/>
        <v>-4.9175768944216252</v>
      </c>
      <c r="W773" s="3283">
        <f t="shared" si="124"/>
        <v>1.0383908935225818</v>
      </c>
      <c r="X773" s="3295"/>
      <c r="Y773" s="3318"/>
      <c r="AA773" s="3301"/>
      <c r="AB773" s="3409"/>
      <c r="AE773" s="1056"/>
    </row>
    <row r="774" spans="2:31" x14ac:dyDescent="0.2">
      <c r="B774" s="2978" t="s">
        <v>626</v>
      </c>
      <c r="C774" s="2008">
        <v>43872</v>
      </c>
      <c r="D774" s="2040">
        <v>18</v>
      </c>
      <c r="E774" s="2041" t="s">
        <v>836</v>
      </c>
      <c r="F774" s="2722" t="s">
        <v>802</v>
      </c>
      <c r="G774" s="2070">
        <v>3.6655092592592593E-2</v>
      </c>
      <c r="H774" s="2071">
        <v>10.17</v>
      </c>
      <c r="I774" s="2072">
        <f t="shared" si="123"/>
        <v>3.6042372264102843E-3</v>
      </c>
      <c r="J774" s="2073">
        <v>140</v>
      </c>
      <c r="K774" s="2074">
        <v>67</v>
      </c>
      <c r="L774" s="2806">
        <v>225</v>
      </c>
      <c r="M774" s="2829"/>
      <c r="N774" s="1991">
        <f t="shared" si="125"/>
        <v>1.0457667415136707</v>
      </c>
      <c r="O774" s="2075" t="s">
        <v>783</v>
      </c>
      <c r="P774" s="1993">
        <f>IFERROR(VLOOKUP(F774,Trainingsarten!$A$9:$N$84,12,FALSE),"")</f>
        <v>194.60000000000002</v>
      </c>
      <c r="Q774" s="1994" t="s">
        <v>437</v>
      </c>
      <c r="R774" s="1086">
        <f>IFERROR(VLOOKUP(F774,Trainingsarten!$A$9:$N$84,14,FALSE),"")</f>
        <v>212.96</v>
      </c>
      <c r="S774" s="1087">
        <f t="shared" si="122"/>
        <v>1.6071428571428572</v>
      </c>
      <c r="T774" s="2015">
        <f t="shared" si="128"/>
        <v>32.969003596760523</v>
      </c>
      <c r="U774" s="2016">
        <f t="shared" si="126"/>
        <v>27.257287319204277</v>
      </c>
      <c r="V774" s="2017">
        <f t="shared" si="127"/>
        <v>-1.0092179993121633</v>
      </c>
      <c r="W774" s="3284">
        <f t="shared" si="124"/>
        <v>1.2095482287238475</v>
      </c>
      <c r="X774" s="3295"/>
      <c r="Y774" s="3318"/>
      <c r="AA774" s="3301"/>
      <c r="AB774" s="3409"/>
      <c r="AE774" s="1056"/>
    </row>
    <row r="775" spans="2:31" ht="16" thickBot="1" x14ac:dyDescent="0.25">
      <c r="B775" s="2979">
        <f>SUM(H773:H779)</f>
        <v>39.71</v>
      </c>
      <c r="C775" s="2008">
        <v>43873</v>
      </c>
      <c r="D775" s="2040"/>
      <c r="E775" s="2041"/>
      <c r="F775" s="2722"/>
      <c r="G775" s="2070"/>
      <c r="H775" s="2071" t="str">
        <f>IFERROR(VLOOKUP(F775,Trainingsarten!$A$9:$K$84,10,FALSE),"")</f>
        <v/>
      </c>
      <c r="I775" s="2072" t="str">
        <f t="shared" si="123"/>
        <v/>
      </c>
      <c r="J775" s="2073"/>
      <c r="K775" s="2074" t="str">
        <f>IFERROR(VLOOKUP(F775,Trainingsarten!$A$9:$K$84,11,FALSE),"0")</f>
        <v>0</v>
      </c>
      <c r="L775" s="2806"/>
      <c r="M775" s="2829"/>
      <c r="N775" s="1991" t="str">
        <f t="shared" si="125"/>
        <v/>
      </c>
      <c r="O775" s="2075"/>
      <c r="P775" s="1993" t="str">
        <f>IFERROR(VLOOKUP(F775,Trainingsarten!$A$9:$N$84,12,FALSE),"")</f>
        <v/>
      </c>
      <c r="Q775" s="1994" t="s">
        <v>437</v>
      </c>
      <c r="R775" s="1086" t="str">
        <f>IFERROR(VLOOKUP(F775,Trainingsarten!$A$9:$N$84,14,FALSE),"")</f>
        <v/>
      </c>
      <c r="S775" s="1087" t="str">
        <f t="shared" si="122"/>
        <v/>
      </c>
      <c r="T775" s="2015">
        <f t="shared" si="128"/>
        <v>28.259145940080447</v>
      </c>
      <c r="U775" s="2016">
        <f t="shared" si="126"/>
        <v>26.608304287794653</v>
      </c>
      <c r="V775" s="2017">
        <f t="shared" si="127"/>
        <v>-5.7117162775562456</v>
      </c>
      <c r="W775" s="3284">
        <f t="shared" si="124"/>
        <v>1.0620423471721587</v>
      </c>
      <c r="X775" s="3295"/>
      <c r="Y775" s="3318"/>
      <c r="AA775" s="3301"/>
      <c r="AB775" s="3409"/>
      <c r="AE775" s="1056"/>
    </row>
    <row r="776" spans="2:31" x14ac:dyDescent="0.2">
      <c r="B776" s="2980" t="s">
        <v>628</v>
      </c>
      <c r="C776" s="2008">
        <v>43874</v>
      </c>
      <c r="D776" s="2040">
        <v>19</v>
      </c>
      <c r="E776" s="2041" t="s">
        <v>836</v>
      </c>
      <c r="F776" s="2722" t="s">
        <v>801</v>
      </c>
      <c r="G776" s="2070">
        <v>3.0115740740740738E-2</v>
      </c>
      <c r="H776" s="2071">
        <v>8.7100000000000009</v>
      </c>
      <c r="I776" s="2072">
        <f t="shared" si="123"/>
        <v>3.4576051367096136E-3</v>
      </c>
      <c r="J776" s="2073">
        <v>145</v>
      </c>
      <c r="K776" s="2074">
        <v>62</v>
      </c>
      <c r="L776" s="2806">
        <v>237</v>
      </c>
      <c r="M776" s="2829"/>
      <c r="N776" s="1991">
        <f t="shared" si="125"/>
        <v>1.0567266994533646</v>
      </c>
      <c r="O776" s="2075" t="s">
        <v>783</v>
      </c>
      <c r="P776" s="1993">
        <f>IFERROR(VLOOKUP(F776,Trainingsarten!$A$9:$N$84,12,FALSE),"")</f>
        <v>194.60000000000002</v>
      </c>
      <c r="Q776" s="1994" t="s">
        <v>437</v>
      </c>
      <c r="R776" s="1086">
        <f>IFERROR(VLOOKUP(F776,Trainingsarten!$A$9:$N$84,14,FALSE),"")</f>
        <v>212.96</v>
      </c>
      <c r="S776" s="1087">
        <f t="shared" si="122"/>
        <v>1.6344827586206896</v>
      </c>
      <c r="T776" s="2015">
        <f t="shared" si="128"/>
        <v>33.079267948640386</v>
      </c>
      <c r="U776" s="2016">
        <f t="shared" si="126"/>
        <v>27.450963709513829</v>
      </c>
      <c r="V776" s="2017">
        <f t="shared" si="127"/>
        <v>-1.6508416522857949</v>
      </c>
      <c r="W776" s="3284">
        <f t="shared" si="124"/>
        <v>1.2050312075993137</v>
      </c>
      <c r="X776" s="3295"/>
      <c r="Y776" s="3318"/>
      <c r="AA776" s="3301"/>
      <c r="AB776" s="3409"/>
      <c r="AE776" s="1056"/>
    </row>
    <row r="777" spans="2:31" ht="16" thickBot="1" x14ac:dyDescent="0.25">
      <c r="B777" s="2981">
        <f>SUM(K773:K779)</f>
        <v>275</v>
      </c>
      <c r="C777" s="2008">
        <v>43875</v>
      </c>
      <c r="D777" s="2040">
        <v>20</v>
      </c>
      <c r="E777" s="2041" t="s">
        <v>836</v>
      </c>
      <c r="F777" s="2722" t="s">
        <v>802</v>
      </c>
      <c r="G777" s="2070">
        <v>3.4201388888888885E-2</v>
      </c>
      <c r="H777" s="2071">
        <v>9.43</v>
      </c>
      <c r="I777" s="2072">
        <f t="shared" si="123"/>
        <v>3.6268705078355127E-3</v>
      </c>
      <c r="J777" s="2073">
        <v>137</v>
      </c>
      <c r="K777" s="2074">
        <v>63</v>
      </c>
      <c r="L777" s="2806">
        <v>226</v>
      </c>
      <c r="M777" s="2829"/>
      <c r="N777" s="1991">
        <f t="shared" si="125"/>
        <v>1.0570108102119307</v>
      </c>
      <c r="O777" s="2075" t="s">
        <v>751</v>
      </c>
      <c r="P777" s="1993">
        <f>IFERROR(VLOOKUP(F777,Trainingsarten!$A$9:$N$84,12,FALSE),"")</f>
        <v>194.60000000000002</v>
      </c>
      <c r="Q777" s="1994" t="s">
        <v>437</v>
      </c>
      <c r="R777" s="1086">
        <f>IFERROR(VLOOKUP(F777,Trainingsarten!$A$9:$N$84,14,FALSE),"")</f>
        <v>212.96</v>
      </c>
      <c r="S777" s="1087">
        <f t="shared" si="122"/>
        <v>1.6496350364963503</v>
      </c>
      <c r="T777" s="2015">
        <f t="shared" si="128"/>
        <v>37.353658241691761</v>
      </c>
      <c r="U777" s="2016">
        <f t="shared" si="126"/>
        <v>28.297369335477786</v>
      </c>
      <c r="V777" s="2017">
        <f t="shared" si="127"/>
        <v>-5.6283042391265568</v>
      </c>
      <c r="W777" s="3284">
        <f t="shared" si="124"/>
        <v>1.3200399584444644</v>
      </c>
      <c r="X777" s="3295"/>
      <c r="Y777" s="3318"/>
      <c r="AA777" s="3301"/>
      <c r="AB777" s="3409"/>
      <c r="AE777" s="1056"/>
    </row>
    <row r="778" spans="2:31" x14ac:dyDescent="0.2">
      <c r="B778" s="2982" t="s">
        <v>761</v>
      </c>
      <c r="C778" s="2008">
        <v>43876</v>
      </c>
      <c r="D778" s="2040"/>
      <c r="E778" s="2041"/>
      <c r="F778" s="2722"/>
      <c r="G778" s="2070"/>
      <c r="H778" s="2071" t="str">
        <f>IFERROR(VLOOKUP(F778,Trainingsarten!$A$9:$K$84,10,FALSE),"")</f>
        <v/>
      </c>
      <c r="I778" s="2072" t="str">
        <f t="shared" si="123"/>
        <v/>
      </c>
      <c r="J778" s="2073"/>
      <c r="K778" s="2074" t="str">
        <f>IFERROR(VLOOKUP(F778,Trainingsarten!$A$9:$K$84,11,FALSE),"0")</f>
        <v>0</v>
      </c>
      <c r="L778" s="2806"/>
      <c r="M778" s="2829"/>
      <c r="N778" s="1991" t="str">
        <f t="shared" si="125"/>
        <v/>
      </c>
      <c r="O778" s="2075"/>
      <c r="P778" s="1993" t="str">
        <f>IFERROR(VLOOKUP(F778,Trainingsarten!$A$9:$N$84,12,FALSE),"")</f>
        <v/>
      </c>
      <c r="Q778" s="1994" t="s">
        <v>437</v>
      </c>
      <c r="R778" s="1086" t="str">
        <f>IFERROR(VLOOKUP(F778,Trainingsarten!$A$9:$N$84,14,FALSE),"")</f>
        <v/>
      </c>
      <c r="S778" s="1087" t="str">
        <f t="shared" si="122"/>
        <v/>
      </c>
      <c r="T778" s="2015">
        <f t="shared" si="128"/>
        <v>32.017421350021507</v>
      </c>
      <c r="U778" s="2016">
        <f t="shared" si="126"/>
        <v>27.623622446537837</v>
      </c>
      <c r="V778" s="2017">
        <f t="shared" si="127"/>
        <v>-9.0562889062139753</v>
      </c>
      <c r="W778" s="3284">
        <f t="shared" si="124"/>
        <v>1.1590594757073347</v>
      </c>
      <c r="X778" s="3295"/>
      <c r="Y778" s="3318"/>
      <c r="AA778" s="3301"/>
      <c r="AB778" s="3409"/>
      <c r="AE778" s="1056"/>
    </row>
    <row r="779" spans="2:31" ht="16" thickBot="1" x14ac:dyDescent="0.25">
      <c r="B779" s="2983">
        <f>AVERAGE(W773:W779)</f>
        <v>1.1931453717605909</v>
      </c>
      <c r="C779" s="1260">
        <v>43877</v>
      </c>
      <c r="D779" s="2076">
        <v>21</v>
      </c>
      <c r="E779" s="2077" t="s">
        <v>836</v>
      </c>
      <c r="F779" s="2723" t="s">
        <v>829</v>
      </c>
      <c r="G779" s="2078">
        <v>3.9548611111111111E-2</v>
      </c>
      <c r="H779" s="2079">
        <v>11.4</v>
      </c>
      <c r="I779" s="2080">
        <f t="shared" si="123"/>
        <v>3.4691764132553605E-3</v>
      </c>
      <c r="J779" s="2081">
        <v>149</v>
      </c>
      <c r="K779" s="2082">
        <v>83</v>
      </c>
      <c r="L779" s="2807">
        <v>234</v>
      </c>
      <c r="M779" s="2830"/>
      <c r="N779" s="1223">
        <f t="shared" si="125"/>
        <v>1.0468421052631578</v>
      </c>
      <c r="O779" s="2083" t="s">
        <v>783</v>
      </c>
      <c r="P779" s="2084">
        <f>IFERROR(VLOOKUP(F779,Trainingsarten!$A$9:$N$84,12,FALSE),"")</f>
        <v>230.89999999999998</v>
      </c>
      <c r="Q779" s="2085" t="s">
        <v>437</v>
      </c>
      <c r="R779" s="1105">
        <f>IFERROR(VLOOKUP(F779,Trainingsarten!$A$9:$N$84,14,FALSE),"")</f>
        <v>254.10000000000002</v>
      </c>
      <c r="S779" s="1106">
        <f t="shared" ref="S779:S842" si="129">IFERROR(L779/J779,"")</f>
        <v>1.5704697986577181</v>
      </c>
      <c r="T779" s="2028">
        <f t="shared" si="128"/>
        <v>39.300646871447007</v>
      </c>
      <c r="U779" s="2029">
        <f t="shared" si="126"/>
        <v>28.942107626382175</v>
      </c>
      <c r="V779" s="2029">
        <f t="shared" si="127"/>
        <v>-4.3937989034836704</v>
      </c>
      <c r="W779" s="3285">
        <f t="shared" si="124"/>
        <v>1.357905491154435</v>
      </c>
      <c r="X779" s="3295"/>
      <c r="Y779" s="3318"/>
      <c r="AA779" s="3301"/>
      <c r="AB779" s="3409"/>
      <c r="AE779" s="1056"/>
    </row>
    <row r="780" spans="2:31" ht="16" thickBot="1" x14ac:dyDescent="0.25">
      <c r="B780" s="2985">
        <f>B773+1</f>
        <v>8</v>
      </c>
      <c r="C780" s="1909">
        <v>43878</v>
      </c>
      <c r="D780" s="1278"/>
      <c r="E780" s="1398"/>
      <c r="F780" s="2724"/>
      <c r="G780" s="1647"/>
      <c r="H780" s="1648" t="str">
        <f>IFERROR(VLOOKUP(F780,Trainingsarten!$A$9:$K$84,10,FALSE),"")</f>
        <v/>
      </c>
      <c r="I780" s="1399" t="str">
        <f t="shared" si="123"/>
        <v/>
      </c>
      <c r="J780" s="1326"/>
      <c r="K780" s="1325" t="str">
        <f>IFERROR(VLOOKUP(F780,Trainingsarten!$A$9:$K$84,11,FALSE),"0")</f>
        <v>0</v>
      </c>
      <c r="L780" s="1326"/>
      <c r="M780" s="2831"/>
      <c r="N780" s="1119" t="str">
        <f t="shared" si="125"/>
        <v/>
      </c>
      <c r="O780" s="1649"/>
      <c r="P780" s="1277" t="str">
        <f>IFERROR(VLOOKUP(F780,Trainingsarten!$A$9:$N$84,12,FALSE),"")</f>
        <v/>
      </c>
      <c r="Q780" s="1122" t="s">
        <v>437</v>
      </c>
      <c r="R780" s="1122" t="str">
        <f>IFERROR(VLOOKUP(F780,Trainingsarten!$A$9:$N$84,14,FALSE),"")</f>
        <v/>
      </c>
      <c r="S780" s="1070" t="str">
        <f t="shared" si="129"/>
        <v/>
      </c>
      <c r="T780" s="1921">
        <f t="shared" si="128"/>
        <v>33.686268746954575</v>
      </c>
      <c r="U780" s="2058">
        <f t="shared" si="126"/>
        <v>28.253009825754027</v>
      </c>
      <c r="V780" s="1966">
        <f t="shared" si="127"/>
        <v>-10.358539245064833</v>
      </c>
      <c r="W780" s="3286">
        <f t="shared" si="124"/>
        <v>1.1923072605258453</v>
      </c>
      <c r="X780" s="3295"/>
      <c r="Y780" s="3318"/>
      <c r="AA780" s="3301"/>
      <c r="AB780" s="3409"/>
      <c r="AE780" s="1056"/>
    </row>
    <row r="781" spans="2:31" x14ac:dyDescent="0.2">
      <c r="B781" s="2978" t="s">
        <v>626</v>
      </c>
      <c r="C781" s="2008">
        <v>43879</v>
      </c>
      <c r="D781" s="2040">
        <v>22</v>
      </c>
      <c r="E781" s="2041" t="s">
        <v>836</v>
      </c>
      <c r="F781" s="2722" t="s">
        <v>801</v>
      </c>
      <c r="G781" s="2011">
        <v>3.1145833333333334E-2</v>
      </c>
      <c r="H781" s="1826">
        <v>8.41</v>
      </c>
      <c r="I781" s="1902">
        <f t="shared" si="123"/>
        <v>3.7034284581847006E-3</v>
      </c>
      <c r="J781" s="2012">
        <v>133</v>
      </c>
      <c r="K781" s="2013">
        <v>54</v>
      </c>
      <c r="L781" s="2806">
        <v>222</v>
      </c>
      <c r="M781" s="2829"/>
      <c r="N781" s="1831">
        <f t="shared" si="125"/>
        <v>1.0602197100111808</v>
      </c>
      <c r="O781" s="2014" t="s">
        <v>783</v>
      </c>
      <c r="P781" s="1755">
        <f>IFERROR(VLOOKUP(F781,Trainingsarten!$A$9:$N$84,12,FALSE),"")</f>
        <v>194.60000000000002</v>
      </c>
      <c r="Q781" s="1756" t="s">
        <v>437</v>
      </c>
      <c r="R781" s="1086">
        <f>IFERROR(VLOOKUP(F781,Trainingsarten!$A$9:$N$84,14,FALSE),"")</f>
        <v>212.96</v>
      </c>
      <c r="S781" s="1087">
        <f t="shared" si="129"/>
        <v>1.6691729323308271</v>
      </c>
      <c r="T781" s="2015">
        <f t="shared" si="128"/>
        <v>36.588230354532492</v>
      </c>
      <c r="U781" s="2016">
        <f t="shared" si="126"/>
        <v>28.866033401331311</v>
      </c>
      <c r="V781" s="2017">
        <f t="shared" si="127"/>
        <v>-5.4332589212005473</v>
      </c>
      <c r="W781" s="3284">
        <f t="shared" si="124"/>
        <v>1.2675184652438263</v>
      </c>
      <c r="X781" s="3295"/>
      <c r="Y781" s="3318"/>
      <c r="AA781" s="3301"/>
      <c r="AB781" s="3409"/>
      <c r="AE781" s="1056"/>
    </row>
    <row r="782" spans="2:31" ht="16" thickBot="1" x14ac:dyDescent="0.25">
      <c r="B782" s="2979">
        <f>SUM(H780:H786)</f>
        <v>19.78</v>
      </c>
      <c r="C782" s="2008">
        <v>43880</v>
      </c>
      <c r="D782" s="2040"/>
      <c r="E782" s="2041"/>
      <c r="F782" s="2722"/>
      <c r="G782" s="2011"/>
      <c r="H782" s="1826" t="str">
        <f>IFERROR(VLOOKUP(F782,Trainingsarten!$A$9:$K$84,10,FALSE),"")</f>
        <v/>
      </c>
      <c r="I782" s="1902" t="str">
        <f t="shared" si="123"/>
        <v/>
      </c>
      <c r="J782" s="2012"/>
      <c r="K782" s="2013" t="str">
        <f>IFERROR(VLOOKUP(F782,Trainingsarten!$A$9:$K$84,11,FALSE),"0")</f>
        <v>0</v>
      </c>
      <c r="L782" s="2806"/>
      <c r="M782" s="2829"/>
      <c r="N782" s="1831" t="str">
        <f t="shared" si="125"/>
        <v/>
      </c>
      <c r="O782" s="2014"/>
      <c r="P782" s="1755" t="str">
        <f>IFERROR(VLOOKUP(F782,Trainingsarten!$A$9:$N$84,12,FALSE),"")</f>
        <v/>
      </c>
      <c r="Q782" s="1756" t="s">
        <v>437</v>
      </c>
      <c r="R782" s="1086" t="str">
        <f>IFERROR(VLOOKUP(F782,Trainingsarten!$A$9:$N$84,14,FALSE),"")</f>
        <v/>
      </c>
      <c r="S782" s="1087" t="str">
        <f t="shared" si="129"/>
        <v/>
      </c>
      <c r="T782" s="2015">
        <f t="shared" si="128"/>
        <v>31.361340303884994</v>
      </c>
      <c r="U782" s="2016">
        <f t="shared" si="126"/>
        <v>28.178746891775802</v>
      </c>
      <c r="V782" s="2017">
        <f t="shared" si="127"/>
        <v>-7.7221969532011805</v>
      </c>
      <c r="W782" s="3284">
        <f t="shared" si="124"/>
        <v>1.1129430426531159</v>
      </c>
      <c r="X782" s="3295"/>
      <c r="Y782" s="3318"/>
      <c r="AA782" s="3301"/>
      <c r="AB782" s="3409"/>
      <c r="AE782" s="1056"/>
    </row>
    <row r="783" spans="2:31" x14ac:dyDescent="0.2">
      <c r="B783" s="2980" t="s">
        <v>628</v>
      </c>
      <c r="C783" s="2008">
        <v>43881</v>
      </c>
      <c r="D783" s="2040"/>
      <c r="E783" s="2041"/>
      <c r="F783" s="2722"/>
      <c r="G783" s="2011"/>
      <c r="H783" s="1826" t="str">
        <f>IFERROR(VLOOKUP(F783,Trainingsarten!$A$9:$K$84,10,FALSE),"")</f>
        <v/>
      </c>
      <c r="I783" s="1902" t="str">
        <f t="shared" si="123"/>
        <v/>
      </c>
      <c r="J783" s="2012"/>
      <c r="K783" s="2013" t="str">
        <f>IFERROR(VLOOKUP(F783,Trainingsarten!$A$9:$K$84,11,FALSE),"0")</f>
        <v>0</v>
      </c>
      <c r="L783" s="2806"/>
      <c r="M783" s="2829"/>
      <c r="N783" s="1831" t="str">
        <f t="shared" si="125"/>
        <v/>
      </c>
      <c r="O783" s="2014"/>
      <c r="P783" s="1755" t="str">
        <f>IFERROR(VLOOKUP(F783,Trainingsarten!$A$9:$N$84,12,FALSE),"")</f>
        <v/>
      </c>
      <c r="Q783" s="1756" t="s">
        <v>437</v>
      </c>
      <c r="R783" s="1086" t="str">
        <f>IFERROR(VLOOKUP(F783,Trainingsarten!$A$9:$N$84,14,FALSE),"")</f>
        <v/>
      </c>
      <c r="S783" s="1087" t="str">
        <f t="shared" si="129"/>
        <v/>
      </c>
      <c r="T783" s="2015">
        <f t="shared" si="128"/>
        <v>26.881148831901424</v>
      </c>
      <c r="U783" s="2016">
        <f t="shared" si="126"/>
        <v>27.507824346733521</v>
      </c>
      <c r="V783" s="2017">
        <f t="shared" si="127"/>
        <v>-3.1825934121091919</v>
      </c>
      <c r="W783" s="3284">
        <f t="shared" si="124"/>
        <v>0.9772182813539555</v>
      </c>
      <c r="X783" s="3295"/>
      <c r="Y783" s="3318"/>
      <c r="AA783" s="3301"/>
      <c r="AB783" s="3409"/>
      <c r="AE783" s="1056"/>
    </row>
    <row r="784" spans="2:31" ht="16" thickBot="1" x14ac:dyDescent="0.25">
      <c r="B784" s="2981">
        <f>SUM(K780:K786)</f>
        <v>127</v>
      </c>
      <c r="C784" s="2008">
        <v>43882</v>
      </c>
      <c r="D784" s="2040"/>
      <c r="E784" s="2041"/>
      <c r="F784" s="2722"/>
      <c r="G784" s="2011"/>
      <c r="H784" s="1826" t="str">
        <f>IFERROR(VLOOKUP(F784,Trainingsarten!$A$9:$K$84,10,FALSE),"")</f>
        <v/>
      </c>
      <c r="I784" s="1902" t="str">
        <f t="shared" si="123"/>
        <v/>
      </c>
      <c r="J784" s="2012"/>
      <c r="K784" s="2013" t="str">
        <f>IFERROR(VLOOKUP(F784,Trainingsarten!$A$9:$K$84,11,FALSE),"0")</f>
        <v>0</v>
      </c>
      <c r="L784" s="2806"/>
      <c r="M784" s="2829"/>
      <c r="N784" s="1831" t="str">
        <f t="shared" si="125"/>
        <v/>
      </c>
      <c r="O784" s="2014"/>
      <c r="P784" s="1755" t="str">
        <f>IFERROR(VLOOKUP(F784,Trainingsarten!$A$9:$N$84,12,FALSE),"")</f>
        <v/>
      </c>
      <c r="Q784" s="1756" t="s">
        <v>437</v>
      </c>
      <c r="R784" s="1086" t="str">
        <f>IFERROR(VLOOKUP(F784,Trainingsarten!$A$9:$N$84,14,FALSE),"")</f>
        <v/>
      </c>
      <c r="S784" s="1087" t="str">
        <f t="shared" si="129"/>
        <v/>
      </c>
      <c r="T784" s="2015">
        <f t="shared" si="128"/>
        <v>23.040984713058364</v>
      </c>
      <c r="U784" s="2016">
        <f t="shared" si="126"/>
        <v>26.852876148001769</v>
      </c>
      <c r="V784" s="2017">
        <f t="shared" si="127"/>
        <v>0.62667551483209749</v>
      </c>
      <c r="W784" s="3284">
        <f t="shared" si="124"/>
        <v>0.85804532021322921</v>
      </c>
      <c r="X784" s="3295"/>
      <c r="Y784" s="3318"/>
      <c r="AA784" s="3301"/>
      <c r="AB784" s="3409"/>
      <c r="AE784" s="1056"/>
    </row>
    <row r="785" spans="2:31" x14ac:dyDescent="0.2">
      <c r="B785" s="2982" t="s">
        <v>761</v>
      </c>
      <c r="C785" s="2008">
        <v>43883</v>
      </c>
      <c r="D785" s="2040"/>
      <c r="E785" s="2041"/>
      <c r="F785" s="2722"/>
      <c r="G785" s="2011"/>
      <c r="H785" s="1826" t="str">
        <f>IFERROR(VLOOKUP(F785,Trainingsarten!$A$9:$K$84,10,FALSE),"")</f>
        <v/>
      </c>
      <c r="I785" s="1902" t="str">
        <f t="shared" si="123"/>
        <v/>
      </c>
      <c r="J785" s="2012"/>
      <c r="K785" s="2013" t="str">
        <f>IFERROR(VLOOKUP(F785,Trainingsarten!$A$9:$K$84,11,FALSE),"0")</f>
        <v>0</v>
      </c>
      <c r="L785" s="2806"/>
      <c r="M785" s="2829"/>
      <c r="N785" s="1831" t="str">
        <f t="shared" si="125"/>
        <v/>
      </c>
      <c r="O785" s="2014"/>
      <c r="P785" s="1755" t="str">
        <f>IFERROR(VLOOKUP(F785,Trainingsarten!$A$9:$N$84,12,FALSE),"")</f>
        <v/>
      </c>
      <c r="Q785" s="1756" t="s">
        <v>437</v>
      </c>
      <c r="R785" s="1086" t="str">
        <f>IFERROR(VLOOKUP(F785,Trainingsarten!$A$9:$N$84,14,FALSE),"")</f>
        <v/>
      </c>
      <c r="S785" s="1087" t="str">
        <f t="shared" si="129"/>
        <v/>
      </c>
      <c r="T785" s="2015">
        <f t="shared" si="128"/>
        <v>19.749415468335741</v>
      </c>
      <c r="U785" s="2016">
        <f t="shared" si="126"/>
        <v>26.213521954001727</v>
      </c>
      <c r="V785" s="2017">
        <f t="shared" si="127"/>
        <v>3.811891434943405</v>
      </c>
      <c r="W785" s="3284">
        <f t="shared" si="124"/>
        <v>0.75340564701649393</v>
      </c>
      <c r="X785" s="3295"/>
      <c r="Y785" s="3318"/>
      <c r="AA785" s="3301"/>
      <c r="AB785" s="3409"/>
      <c r="AE785" s="1056"/>
    </row>
    <row r="786" spans="2:31" ht="16" thickBot="1" x14ac:dyDescent="0.25">
      <c r="B786" s="2983">
        <f>AVERAGE(W780:W786)</f>
        <v>1.0232149903314731</v>
      </c>
      <c r="C786" s="1260">
        <v>43884</v>
      </c>
      <c r="D786" s="1996">
        <v>23</v>
      </c>
      <c r="E786" s="2060" t="s">
        <v>836</v>
      </c>
      <c r="F786" s="2723" t="s">
        <v>818</v>
      </c>
      <c r="G786" s="2061">
        <v>4.2905092592592592E-2</v>
      </c>
      <c r="H786" s="2062">
        <v>11.37</v>
      </c>
      <c r="I786" s="2063">
        <f t="shared" si="123"/>
        <v>3.7735349685657517E-3</v>
      </c>
      <c r="J786" s="2064">
        <v>135</v>
      </c>
      <c r="K786" s="2065">
        <v>73</v>
      </c>
      <c r="L786" s="2808">
        <v>219</v>
      </c>
      <c r="M786" s="2832"/>
      <c r="N786" s="2066">
        <f t="shared" si="125"/>
        <v>1.0656913322569213</v>
      </c>
      <c r="O786" s="2067" t="s">
        <v>783</v>
      </c>
      <c r="P786" s="2027">
        <f>IFERROR(VLOOKUP(F786,Trainingsarten!$A$9:$N$84,12,FALSE),"")</f>
        <v>194.60000000000002</v>
      </c>
      <c r="Q786" s="1151" t="s">
        <v>437</v>
      </c>
      <c r="R786" s="1151">
        <f>IFERROR(VLOOKUP(F786,Trainingsarten!$A$9:$N$84,14,FALSE),"")</f>
        <v>212.96</v>
      </c>
      <c r="S786" s="1106">
        <f t="shared" si="129"/>
        <v>1.6222222222222222</v>
      </c>
      <c r="T786" s="2028">
        <f t="shared" si="128"/>
        <v>27.356641830002062</v>
      </c>
      <c r="U786" s="2029">
        <f t="shared" si="126"/>
        <v>27.327485717001686</v>
      </c>
      <c r="V786" s="2029">
        <f t="shared" si="127"/>
        <v>6.4641064856659867</v>
      </c>
      <c r="W786" s="3287">
        <f t="shared" si="124"/>
        <v>1.0010669153138461</v>
      </c>
      <c r="X786" s="3295"/>
      <c r="Y786" s="3318"/>
      <c r="AA786" s="3301"/>
      <c r="AB786" s="3409"/>
      <c r="AE786" s="1056"/>
    </row>
    <row r="787" spans="2:31" ht="16" thickBot="1" x14ac:dyDescent="0.25">
      <c r="B787" s="2985">
        <f>B780+1</f>
        <v>9</v>
      </c>
      <c r="C787" s="1245">
        <v>43885</v>
      </c>
      <c r="D787" s="2068"/>
      <c r="E787" s="2069"/>
      <c r="F787" s="2724"/>
      <c r="G787" s="2032"/>
      <c r="H787" s="2033" t="str">
        <f>IFERROR(VLOOKUP(F787,Trainingsarten!$A$9:$K$84,10,FALSE),"")</f>
        <v/>
      </c>
      <c r="I787" s="2034" t="str">
        <f t="shared" si="123"/>
        <v/>
      </c>
      <c r="J787" s="2035"/>
      <c r="K787" s="2036" t="str">
        <f>IFERROR(VLOOKUP(F787,Trainingsarten!$A$9:$K$84,11,FALSE),"0")</f>
        <v>0</v>
      </c>
      <c r="L787" s="1915"/>
      <c r="M787" s="2833"/>
      <c r="N787" s="2037" t="str">
        <f t="shared" si="125"/>
        <v/>
      </c>
      <c r="O787" s="2038"/>
      <c r="P787" s="2039" t="str">
        <f>IFERROR(VLOOKUP(F787,Trainingsarten!$A$9:$N$84,12,FALSE),"")</f>
        <v/>
      </c>
      <c r="Q787" s="1069" t="s">
        <v>437</v>
      </c>
      <c r="R787" s="1069" t="str">
        <f>IFERROR(VLOOKUP(F787,Trainingsarten!$A$9:$N$84,14,FALSE),"")</f>
        <v/>
      </c>
      <c r="S787" s="1070" t="str">
        <f t="shared" si="129"/>
        <v/>
      </c>
      <c r="T787" s="1650">
        <f t="shared" si="128"/>
        <v>23.448550140001768</v>
      </c>
      <c r="U787" s="1651">
        <f t="shared" si="126"/>
        <v>26.676831295168313</v>
      </c>
      <c r="V787" s="1278">
        <f t="shared" si="127"/>
        <v>-2.9156113000375683E-2</v>
      </c>
      <c r="W787" s="3283">
        <f t="shared" si="124"/>
        <v>0.87898558417801109</v>
      </c>
      <c r="X787" s="3295"/>
      <c r="Y787" s="3318"/>
      <c r="AA787" s="3301"/>
      <c r="AB787" s="3409"/>
      <c r="AE787" s="1056"/>
    </row>
    <row r="788" spans="2:31" x14ac:dyDescent="0.2">
      <c r="B788" s="2978" t="s">
        <v>626</v>
      </c>
      <c r="C788" s="1211">
        <v>43886</v>
      </c>
      <c r="D788" s="2040"/>
      <c r="E788" s="2041"/>
      <c r="F788" s="2725"/>
      <c r="G788" s="2070"/>
      <c r="H788" s="2071" t="str">
        <f>IFERROR(VLOOKUP(F788,Trainingsarten!$A$9:$K$84,10,FALSE),"")</f>
        <v/>
      </c>
      <c r="I788" s="2072" t="str">
        <f t="shared" si="123"/>
        <v/>
      </c>
      <c r="J788" s="2073"/>
      <c r="K788" s="2074" t="str">
        <f>IFERROR(VLOOKUP(F788,Trainingsarten!$A$9:$K$84,11,FALSE),"0")</f>
        <v>0</v>
      </c>
      <c r="L788" s="2806"/>
      <c r="M788" s="2829"/>
      <c r="N788" s="1991" t="str">
        <f t="shared" si="125"/>
        <v/>
      </c>
      <c r="O788" s="2075"/>
      <c r="P788" s="1993" t="str">
        <f>IFERROR(VLOOKUP(F788,Trainingsarten!$A$9:$N$84,12,FALSE),"")</f>
        <v/>
      </c>
      <c r="Q788" s="1994" t="s">
        <v>437</v>
      </c>
      <c r="R788" s="1086" t="str">
        <f>IFERROR(VLOOKUP(F788,Trainingsarten!$A$9:$N$84,14,FALSE),"")</f>
        <v/>
      </c>
      <c r="S788" s="1087" t="str">
        <f t="shared" si="129"/>
        <v/>
      </c>
      <c r="T788" s="1757">
        <f t="shared" si="128"/>
        <v>20.098757262858658</v>
      </c>
      <c r="U788" s="1758">
        <f t="shared" si="126"/>
        <v>26.041668645283352</v>
      </c>
      <c r="V788" s="1088">
        <f t="shared" si="127"/>
        <v>3.2282811551665453</v>
      </c>
      <c r="W788" s="3284">
        <f t="shared" si="124"/>
        <v>0.7717922202538634</v>
      </c>
      <c r="X788" s="3295"/>
      <c r="Y788" s="3318"/>
      <c r="AA788" s="3301"/>
      <c r="AB788" s="3409"/>
      <c r="AE788" s="1056"/>
    </row>
    <row r="789" spans="2:31" ht="16" thickBot="1" x14ac:dyDescent="0.25">
      <c r="B789" s="2979">
        <f>SUM(H787:H793)</f>
        <v>21.73</v>
      </c>
      <c r="C789" s="1211">
        <v>43887</v>
      </c>
      <c r="D789" s="2040">
        <v>24</v>
      </c>
      <c r="E789" s="2041" t="s">
        <v>836</v>
      </c>
      <c r="F789" s="2725" t="s">
        <v>818</v>
      </c>
      <c r="G789" s="2070">
        <v>3.695601851851852E-2</v>
      </c>
      <c r="H789" s="2071">
        <v>10.18</v>
      </c>
      <c r="I789" s="2072">
        <f t="shared" si="123"/>
        <v>3.630257221858401E-3</v>
      </c>
      <c r="J789" s="2073">
        <v>137</v>
      </c>
      <c r="K789" s="2074">
        <v>66</v>
      </c>
      <c r="L789" s="2806">
        <v>225</v>
      </c>
      <c r="M789" s="2829"/>
      <c r="N789" s="1991">
        <f t="shared" si="125"/>
        <v>1.0533164237750345</v>
      </c>
      <c r="O789" s="2075" t="s">
        <v>783</v>
      </c>
      <c r="P789" s="1993">
        <f>IFERROR(VLOOKUP(F789,Trainingsarten!$A$9:$N$84,12,FALSE),"")</f>
        <v>194.60000000000002</v>
      </c>
      <c r="Q789" s="1994" t="s">
        <v>437</v>
      </c>
      <c r="R789" s="1086">
        <f>IFERROR(VLOOKUP(F789,Trainingsarten!$A$9:$N$84,14,FALSE),"")</f>
        <v>212.96</v>
      </c>
      <c r="S789" s="1087">
        <f t="shared" si="129"/>
        <v>1.6423357664233578</v>
      </c>
      <c r="T789" s="1757">
        <f t="shared" si="128"/>
        <v>26.65607765387885</v>
      </c>
      <c r="U789" s="1758">
        <f t="shared" si="126"/>
        <v>26.99305748706232</v>
      </c>
      <c r="V789" s="1088">
        <f t="shared" si="127"/>
        <v>5.9429113824246933</v>
      </c>
      <c r="W789" s="3284">
        <f t="shared" si="124"/>
        <v>0.98751605543962617</v>
      </c>
      <c r="X789" s="3295"/>
      <c r="Y789" s="3318"/>
      <c r="AA789" s="3301"/>
      <c r="AB789" s="3409"/>
      <c r="AE789" s="1056"/>
    </row>
    <row r="790" spans="2:31" x14ac:dyDescent="0.2">
      <c r="B790" s="2980" t="s">
        <v>628</v>
      </c>
      <c r="C790" s="1211">
        <v>43888</v>
      </c>
      <c r="D790" s="2040"/>
      <c r="E790" s="2041"/>
      <c r="F790" s="2725"/>
      <c r="G790" s="2070"/>
      <c r="H790" s="2071" t="str">
        <f>IFERROR(VLOOKUP(F790,Trainingsarten!$A$9:$K$84,10,FALSE),"")</f>
        <v/>
      </c>
      <c r="I790" s="2072" t="str">
        <f t="shared" si="123"/>
        <v/>
      </c>
      <c r="J790" s="2073"/>
      <c r="K790" s="2074" t="str">
        <f>IFERROR(VLOOKUP(F790,Trainingsarten!$A$9:$K$84,11,FALSE),"0")</f>
        <v>0</v>
      </c>
      <c r="L790" s="2806"/>
      <c r="M790" s="2829"/>
      <c r="N790" s="1991" t="str">
        <f t="shared" si="125"/>
        <v/>
      </c>
      <c r="O790" s="2075"/>
      <c r="P790" s="1993" t="str">
        <f>IFERROR(VLOOKUP(F790,Trainingsarten!$A$9:$N$84,12,FALSE),"")</f>
        <v/>
      </c>
      <c r="Q790" s="1994" t="s">
        <v>437</v>
      </c>
      <c r="R790" s="1086" t="str">
        <f>IFERROR(VLOOKUP(F790,Trainingsarten!$A$9:$N$84,14,FALSE),"")</f>
        <v/>
      </c>
      <c r="S790" s="1087" t="str">
        <f t="shared" si="129"/>
        <v/>
      </c>
      <c r="T790" s="1757">
        <f t="shared" si="128"/>
        <v>22.848066560467586</v>
      </c>
      <c r="U790" s="1758">
        <f t="shared" si="126"/>
        <v>26.350365642132264</v>
      </c>
      <c r="V790" s="1088">
        <f t="shared" si="127"/>
        <v>0.33697983318347013</v>
      </c>
      <c r="W790" s="3284">
        <f t="shared" si="124"/>
        <v>0.86708726819089132</v>
      </c>
      <c r="X790" s="3295"/>
      <c r="Y790" s="3318"/>
      <c r="AA790" s="3301"/>
      <c r="AB790" s="3409"/>
      <c r="AE790" s="1056"/>
    </row>
    <row r="791" spans="2:31" ht="16" thickBot="1" x14ac:dyDescent="0.25">
      <c r="B791" s="2981">
        <f>SUM(K787:K793)</f>
        <v>135</v>
      </c>
      <c r="C791" s="1211">
        <v>43889</v>
      </c>
      <c r="D791" s="2040"/>
      <c r="E791" s="2041"/>
      <c r="F791" s="2725"/>
      <c r="G791" s="2070"/>
      <c r="H791" s="2071" t="str">
        <f>IFERROR(VLOOKUP(F791,Trainingsarten!$A$9:$K$84,10,FALSE),"")</f>
        <v/>
      </c>
      <c r="I791" s="2072" t="str">
        <f t="shared" si="123"/>
        <v/>
      </c>
      <c r="J791" s="2073"/>
      <c r="K791" s="2074" t="str">
        <f>IFERROR(VLOOKUP(F791,Trainingsarten!$A$9:$K$84,11,FALSE),"0")</f>
        <v>0</v>
      </c>
      <c r="L791" s="2806"/>
      <c r="M791" s="2829"/>
      <c r="N791" s="1991" t="str">
        <f t="shared" si="125"/>
        <v/>
      </c>
      <c r="O791" s="2075"/>
      <c r="P791" s="1993" t="str">
        <f>IFERROR(VLOOKUP(F791,Trainingsarten!$A$9:$N$84,12,FALSE),"")</f>
        <v/>
      </c>
      <c r="Q791" s="1994" t="s">
        <v>437</v>
      </c>
      <c r="R791" s="1086" t="str">
        <f>IFERROR(VLOOKUP(F791,Trainingsarten!$A$9:$N$84,14,FALSE),"")</f>
        <v/>
      </c>
      <c r="S791" s="1087" t="str">
        <f t="shared" si="129"/>
        <v/>
      </c>
      <c r="T791" s="1757">
        <f t="shared" si="128"/>
        <v>19.584057051829358</v>
      </c>
      <c r="U791" s="1758">
        <f t="shared" si="126"/>
        <v>25.722975983986256</v>
      </c>
      <c r="V791" s="1088">
        <f t="shared" si="127"/>
        <v>3.5022990816646775</v>
      </c>
      <c r="W791" s="3284">
        <f t="shared" si="124"/>
        <v>0.7613449184115143</v>
      </c>
      <c r="X791" s="3295"/>
      <c r="Y791" s="3318"/>
      <c r="AA791" s="3301"/>
      <c r="AB791" s="3409"/>
      <c r="AE791" s="1056"/>
    </row>
    <row r="792" spans="2:31" x14ac:dyDescent="0.2">
      <c r="B792" s="2982" t="s">
        <v>761</v>
      </c>
      <c r="C792" s="1211">
        <v>43890</v>
      </c>
      <c r="D792" s="2040"/>
      <c r="E792" s="2041"/>
      <c r="F792" s="2725"/>
      <c r="G792" s="2070"/>
      <c r="H792" s="2071" t="str">
        <f>IFERROR(VLOOKUP(F792,Trainingsarten!$A$9:$K$84,10,FALSE),"")</f>
        <v/>
      </c>
      <c r="I792" s="2072" t="str">
        <f t="shared" si="123"/>
        <v/>
      </c>
      <c r="J792" s="2073"/>
      <c r="K792" s="2074" t="str">
        <f>IFERROR(VLOOKUP(F792,Trainingsarten!$A$9:$K$84,11,FALSE),"0")</f>
        <v>0</v>
      </c>
      <c r="L792" s="2806"/>
      <c r="M792" s="2829"/>
      <c r="N792" s="1991" t="str">
        <f t="shared" si="125"/>
        <v/>
      </c>
      <c r="O792" s="2075"/>
      <c r="P792" s="1993" t="str">
        <f>IFERROR(VLOOKUP(F792,Trainingsarten!$A$9:$N$84,12,FALSE),"")</f>
        <v/>
      </c>
      <c r="Q792" s="1994" t="s">
        <v>437</v>
      </c>
      <c r="R792" s="1086" t="str">
        <f>IFERROR(VLOOKUP(F792,Trainingsarten!$A$9:$N$84,14,FALSE),"")</f>
        <v/>
      </c>
      <c r="S792" s="1087" t="str">
        <f t="shared" si="129"/>
        <v/>
      </c>
      <c r="T792" s="1757">
        <f t="shared" si="128"/>
        <v>16.786334615853736</v>
      </c>
      <c r="U792" s="1758">
        <f t="shared" si="126"/>
        <v>25.110524174843725</v>
      </c>
      <c r="V792" s="1088">
        <f t="shared" si="127"/>
        <v>6.1389189321568978</v>
      </c>
      <c r="W792" s="3284">
        <f t="shared" si="124"/>
        <v>0.66849797714181747</v>
      </c>
      <c r="X792" s="3295"/>
      <c r="Y792" s="3318"/>
      <c r="AA792" s="3301"/>
      <c r="AB792" s="3409"/>
      <c r="AE792" s="1056"/>
    </row>
    <row r="793" spans="2:31" ht="16" thickBot="1" x14ac:dyDescent="0.25">
      <c r="B793" s="2983">
        <f>AVERAGE(W787:W793)</f>
        <v>0.83745658946327362</v>
      </c>
      <c r="C793" s="2086">
        <v>43891</v>
      </c>
      <c r="D793" s="2076">
        <v>25</v>
      </c>
      <c r="E793" s="2077" t="s">
        <v>836</v>
      </c>
      <c r="F793" s="2726" t="s">
        <v>803</v>
      </c>
      <c r="G793" s="2078">
        <v>4.6689814814814816E-2</v>
      </c>
      <c r="H793" s="2079">
        <v>11.55</v>
      </c>
      <c r="I793" s="2080">
        <f t="shared" si="123"/>
        <v>4.0424082090748754E-3</v>
      </c>
      <c r="J793" s="2081">
        <v>128</v>
      </c>
      <c r="K793" s="2082">
        <v>69</v>
      </c>
      <c r="L793" s="2807">
        <v>203</v>
      </c>
      <c r="M793" s="2830"/>
      <c r="N793" s="1223">
        <f t="shared" si="125"/>
        <v>1.0582180009045681</v>
      </c>
      <c r="O793" s="2083" t="s">
        <v>783</v>
      </c>
      <c r="P793" s="2084">
        <f>IFERROR(VLOOKUP(F793,Trainingsarten!$A$9:$N$84,12,FALSE),"")</f>
        <v>194.60000000000002</v>
      </c>
      <c r="Q793" s="2085" t="s">
        <v>437</v>
      </c>
      <c r="R793" s="1105">
        <f>IFERROR(VLOOKUP(F793,Trainingsarten!$A$9:$N$84,14,FALSE),"")</f>
        <v>212.96</v>
      </c>
      <c r="S793" s="1106">
        <f t="shared" si="129"/>
        <v>1.5859375</v>
      </c>
      <c r="T793" s="1951">
        <f t="shared" si="128"/>
        <v>24.245429670731774</v>
      </c>
      <c r="U793" s="1952">
        <f t="shared" si="126"/>
        <v>26.155511694490304</v>
      </c>
      <c r="V793" s="1952">
        <f t="shared" si="127"/>
        <v>8.324189558989989</v>
      </c>
      <c r="W793" s="3285">
        <f t="shared" si="124"/>
        <v>0.92697210262719154</v>
      </c>
      <c r="X793" s="3295"/>
      <c r="Y793" s="3318"/>
      <c r="AA793" s="3301"/>
      <c r="AB793" s="3409"/>
      <c r="AE793" s="1056"/>
    </row>
    <row r="794" spans="2:31" ht="16" thickBot="1" x14ac:dyDescent="0.25">
      <c r="B794" s="2985">
        <f>B787+1</f>
        <v>10</v>
      </c>
      <c r="C794" s="1909">
        <v>43892</v>
      </c>
      <c r="D794" s="1123"/>
      <c r="E794" s="2087"/>
      <c r="F794" s="2724"/>
      <c r="G794" s="1647"/>
      <c r="H794" s="1648" t="str">
        <f>IFERROR(VLOOKUP(F794,Trainingsarten!$A$9:$K$84,10,FALSE),"")</f>
        <v/>
      </c>
      <c r="I794" s="1399" t="str">
        <f t="shared" si="123"/>
        <v/>
      </c>
      <c r="J794" s="1326"/>
      <c r="K794" s="1325" t="str">
        <f>IFERROR(VLOOKUP(F794,Trainingsarten!$A$9:$K$84,11,FALSE),"0")</f>
        <v>0</v>
      </c>
      <c r="L794" s="1326"/>
      <c r="M794" s="2831"/>
      <c r="N794" s="1119" t="str">
        <f t="shared" si="125"/>
        <v/>
      </c>
      <c r="O794" s="1649"/>
      <c r="P794" s="1277" t="str">
        <f>IFERROR(VLOOKUP(F794,Trainingsarten!$A$9:$N$84,12,FALSE),"")</f>
        <v/>
      </c>
      <c r="Q794" s="1122" t="s">
        <v>437</v>
      </c>
      <c r="R794" s="1122" t="str">
        <f>IFERROR(VLOOKUP(F794,Trainingsarten!$A$9:$N$84,14,FALSE),"")</f>
        <v/>
      </c>
      <c r="S794" s="1070" t="str">
        <f t="shared" si="129"/>
        <v/>
      </c>
      <c r="T794" s="1921">
        <f t="shared" si="128"/>
        <v>20.781796860627235</v>
      </c>
      <c r="U794" s="2088">
        <f t="shared" si="126"/>
        <v>25.532761416050057</v>
      </c>
      <c r="V794" s="1966">
        <f t="shared" si="127"/>
        <v>1.9100820237585303</v>
      </c>
      <c r="W794" s="3286">
        <f t="shared" si="124"/>
        <v>0.81392672425802193</v>
      </c>
      <c r="X794" s="3295"/>
      <c r="Y794" s="3318"/>
      <c r="AA794" s="3301"/>
      <c r="AB794" s="3409"/>
      <c r="AE794" s="1056"/>
    </row>
    <row r="795" spans="2:31" x14ac:dyDescent="0.2">
      <c r="B795" s="2978" t="s">
        <v>626</v>
      </c>
      <c r="C795" s="1939">
        <v>43893</v>
      </c>
      <c r="D795" s="2089"/>
      <c r="E795" s="2090"/>
      <c r="F795" s="2722"/>
      <c r="G795" s="2091"/>
      <c r="H795" s="1826" t="str">
        <f>IFERROR(VLOOKUP(F795,Trainingsarten!$A$9:$K$84,10,FALSE),"")</f>
        <v/>
      </c>
      <c r="I795" s="1902" t="str">
        <f t="shared" si="123"/>
        <v/>
      </c>
      <c r="J795" s="2092"/>
      <c r="K795" s="2093" t="str">
        <f>IFERROR(VLOOKUP(F795,Trainingsarten!$A$9:$K$84,11,FALSE),"0")</f>
        <v>0</v>
      </c>
      <c r="L795" s="2806"/>
      <c r="M795" s="2829"/>
      <c r="N795" s="1831" t="str">
        <f t="shared" si="125"/>
        <v/>
      </c>
      <c r="O795" s="2094"/>
      <c r="P795" s="1755" t="str">
        <f>IFERROR(VLOOKUP(F795,Trainingsarten!$A$9:$N$84,12,FALSE),"")</f>
        <v/>
      </c>
      <c r="Q795" s="1756" t="s">
        <v>437</v>
      </c>
      <c r="R795" s="1086" t="str">
        <f>IFERROR(VLOOKUP(F795,Trainingsarten!$A$9:$N$84,14,FALSE),"")</f>
        <v/>
      </c>
      <c r="S795" s="1087" t="str">
        <f t="shared" si="129"/>
        <v/>
      </c>
      <c r="T795" s="1951">
        <f t="shared" si="128"/>
        <v>17.812968737680489</v>
      </c>
      <c r="U795" s="1952">
        <f t="shared" si="126"/>
        <v>24.924838525191724</v>
      </c>
      <c r="V795" s="1953">
        <f t="shared" si="127"/>
        <v>4.7509645554228221</v>
      </c>
      <c r="W795" s="3284">
        <f t="shared" si="124"/>
        <v>0.71466736764118999</v>
      </c>
      <c r="X795" s="3295"/>
      <c r="Y795" s="3318"/>
      <c r="AA795" s="3301"/>
      <c r="AB795" s="3409"/>
      <c r="AE795" s="1056"/>
    </row>
    <row r="796" spans="2:31" ht="16" thickBot="1" x14ac:dyDescent="0.25">
      <c r="B796" s="2979">
        <f>SUM(H794:H800)</f>
        <v>35.199999999999996</v>
      </c>
      <c r="C796" s="1939">
        <v>43894</v>
      </c>
      <c r="D796" s="2089">
        <v>26</v>
      </c>
      <c r="E796" s="2090" t="s">
        <v>836</v>
      </c>
      <c r="F796" s="2722" t="s">
        <v>818</v>
      </c>
      <c r="G796" s="2091">
        <v>4.0462962962962964E-2</v>
      </c>
      <c r="H796" s="1826">
        <v>11.11</v>
      </c>
      <c r="I796" s="1902">
        <f t="shared" si="123"/>
        <v>3.6420308697536425E-3</v>
      </c>
      <c r="J796" s="2092">
        <v>140</v>
      </c>
      <c r="K796" s="2093">
        <v>73</v>
      </c>
      <c r="L796" s="2806">
        <v>226</v>
      </c>
      <c r="M796" s="2829"/>
      <c r="N796" s="1831">
        <f t="shared" si="125"/>
        <v>1.0614291279874259</v>
      </c>
      <c r="O796" s="2094" t="s">
        <v>783</v>
      </c>
      <c r="P796" s="1755">
        <f>IFERROR(VLOOKUP(F796,Trainingsarten!$A$9:$N$84,12,FALSE),"")</f>
        <v>194.60000000000002</v>
      </c>
      <c r="Q796" s="1756" t="s">
        <v>437</v>
      </c>
      <c r="R796" s="1086">
        <f>IFERROR(VLOOKUP(F796,Trainingsarten!$A$9:$N$84,14,FALSE),"")</f>
        <v>212.96</v>
      </c>
      <c r="S796" s="1087">
        <f t="shared" si="129"/>
        <v>1.6142857142857143</v>
      </c>
      <c r="T796" s="1951">
        <f t="shared" si="128"/>
        <v>25.696830346583276</v>
      </c>
      <c r="U796" s="1952">
        <f t="shared" si="126"/>
        <v>26.069485226972873</v>
      </c>
      <c r="V796" s="1953">
        <f t="shared" si="127"/>
        <v>7.1118697875112353</v>
      </c>
      <c r="W796" s="3284">
        <f t="shared" si="124"/>
        <v>0.98570532263506194</v>
      </c>
      <c r="X796" s="3295"/>
      <c r="Y796" s="3318"/>
      <c r="AA796" s="3301"/>
      <c r="AB796" s="3409"/>
      <c r="AE796" s="1056"/>
    </row>
    <row r="797" spans="2:31" x14ac:dyDescent="0.2">
      <c r="B797" s="2980" t="s">
        <v>628</v>
      </c>
      <c r="C797" s="1939">
        <v>43895</v>
      </c>
      <c r="D797" s="2089"/>
      <c r="E797" s="2090"/>
      <c r="F797" s="2722"/>
      <c r="G797" s="2091"/>
      <c r="H797" s="1826" t="str">
        <f>IFERROR(VLOOKUP(F797,Trainingsarten!$A$9:$K$84,10,FALSE),"")</f>
        <v/>
      </c>
      <c r="I797" s="1902" t="str">
        <f t="shared" ref="I797:I860" si="130">IFERROR(G797/H797,"")</f>
        <v/>
      </c>
      <c r="J797" s="2092"/>
      <c r="K797" s="2093" t="str">
        <f>IFERROR(VLOOKUP(F797,Trainingsarten!$A$9:$K$84,11,FALSE),"0")</f>
        <v>0</v>
      </c>
      <c r="L797" s="2806"/>
      <c r="M797" s="2829"/>
      <c r="N797" s="1831" t="str">
        <f t="shared" si="125"/>
        <v/>
      </c>
      <c r="O797" s="2094"/>
      <c r="P797" s="1755" t="str">
        <f>IFERROR(VLOOKUP(F797,Trainingsarten!$A$9:$N$84,12,FALSE),"")</f>
        <v/>
      </c>
      <c r="Q797" s="1756" t="s">
        <v>437</v>
      </c>
      <c r="R797" s="1086" t="str">
        <f>IFERROR(VLOOKUP(F797,Trainingsarten!$A$9:$N$84,14,FALSE),"")</f>
        <v/>
      </c>
      <c r="S797" s="1087" t="str">
        <f t="shared" si="129"/>
        <v/>
      </c>
      <c r="T797" s="1951">
        <f t="shared" si="128"/>
        <v>22.025854582785666</v>
      </c>
      <c r="U797" s="1952">
        <f t="shared" si="126"/>
        <v>25.448783197759234</v>
      </c>
      <c r="V797" s="1953">
        <f t="shared" si="127"/>
        <v>0.3726548803895966</v>
      </c>
      <c r="W797" s="3284">
        <f t="shared" si="124"/>
        <v>0.86549735646005432</v>
      </c>
      <c r="X797" s="3295"/>
      <c r="Y797" s="3318"/>
      <c r="AA797" s="3301"/>
      <c r="AB797" s="3409"/>
      <c r="AE797" s="1056"/>
    </row>
    <row r="798" spans="2:31" ht="16" thickBot="1" x14ac:dyDescent="0.25">
      <c r="B798" s="2981">
        <f>SUM(K794:K800)</f>
        <v>229</v>
      </c>
      <c r="C798" s="1939">
        <v>43896</v>
      </c>
      <c r="D798" s="2089">
        <v>27</v>
      </c>
      <c r="E798" s="2090" t="s">
        <v>836</v>
      </c>
      <c r="F798" s="2722" t="s">
        <v>802</v>
      </c>
      <c r="G798" s="2091">
        <v>3.408564814814815E-2</v>
      </c>
      <c r="H798" s="1826">
        <v>9.26</v>
      </c>
      <c r="I798" s="1902">
        <f t="shared" si="130"/>
        <v>3.6809555235581158E-3</v>
      </c>
      <c r="J798" s="2092">
        <v>141</v>
      </c>
      <c r="K798" s="2093">
        <v>59</v>
      </c>
      <c r="L798" s="2806">
        <v>222</v>
      </c>
      <c r="M798" s="2829"/>
      <c r="N798" s="1831">
        <f t="shared" si="125"/>
        <v>1.0537861448696044</v>
      </c>
      <c r="O798" s="2094" t="s">
        <v>783</v>
      </c>
      <c r="P798" s="1755">
        <f>IFERROR(VLOOKUP(F798,Trainingsarten!$A$9:$N$84,12,FALSE),"")</f>
        <v>194.60000000000002</v>
      </c>
      <c r="Q798" s="1756" t="s">
        <v>437</v>
      </c>
      <c r="R798" s="1086">
        <f>IFERROR(VLOOKUP(F798,Trainingsarten!$A$9:$N$84,14,FALSE),"")</f>
        <v>212.96</v>
      </c>
      <c r="S798" s="1087">
        <f t="shared" si="129"/>
        <v>1.574468085106383</v>
      </c>
      <c r="T798" s="1951">
        <f t="shared" si="128"/>
        <v>27.307875356673428</v>
      </c>
      <c r="U798" s="1952">
        <f t="shared" si="126"/>
        <v>26.247621693050679</v>
      </c>
      <c r="V798" s="1953">
        <f t="shared" si="127"/>
        <v>3.4229286149735678</v>
      </c>
      <c r="W798" s="3284">
        <f t="shared" si="124"/>
        <v>1.0403942755660587</v>
      </c>
      <c r="X798" s="3295"/>
      <c r="Y798" s="3318"/>
      <c r="AA798" s="3301"/>
      <c r="AB798" s="3409"/>
      <c r="AE798" s="1056"/>
    </row>
    <row r="799" spans="2:31" x14ac:dyDescent="0.2">
      <c r="B799" s="2982" t="s">
        <v>761</v>
      </c>
      <c r="C799" s="1939">
        <v>43897</v>
      </c>
      <c r="D799" s="2089"/>
      <c r="E799" s="2090"/>
      <c r="F799" s="2722"/>
      <c r="G799" s="2091"/>
      <c r="H799" s="1826" t="str">
        <f>IFERROR(VLOOKUP(F799,Trainingsarten!$A$9:$K$84,10,FALSE),"")</f>
        <v/>
      </c>
      <c r="I799" s="1902" t="str">
        <f t="shared" si="130"/>
        <v/>
      </c>
      <c r="J799" s="2092"/>
      <c r="K799" s="2093" t="str">
        <f>IFERROR(VLOOKUP(F799,Trainingsarten!$A$9:$K$84,11,FALSE),"0")</f>
        <v>0</v>
      </c>
      <c r="L799" s="2806"/>
      <c r="M799" s="2829"/>
      <c r="N799" s="1831" t="str">
        <f t="shared" si="125"/>
        <v/>
      </c>
      <c r="O799" s="2094"/>
      <c r="P799" s="1755" t="str">
        <f>IFERROR(VLOOKUP(F799,Trainingsarten!$A$9:$N$84,12,FALSE),"")</f>
        <v/>
      </c>
      <c r="Q799" s="1756" t="s">
        <v>437</v>
      </c>
      <c r="R799" s="1086" t="str">
        <f>IFERROR(VLOOKUP(F799,Trainingsarten!$A$9:$N$84,14,FALSE),"")</f>
        <v/>
      </c>
      <c r="S799" s="1087" t="str">
        <f t="shared" si="129"/>
        <v/>
      </c>
      <c r="T799" s="1951">
        <f t="shared" si="128"/>
        <v>23.406750305720081</v>
      </c>
      <c r="U799" s="1952">
        <f t="shared" si="126"/>
        <v>25.622678319406614</v>
      </c>
      <c r="V799" s="1953">
        <f t="shared" si="127"/>
        <v>-1.0602536636227491</v>
      </c>
      <c r="W799" s="3284">
        <f t="shared" ref="W799:W862" si="131">T799/U799</f>
        <v>0.9135169248872711</v>
      </c>
      <c r="X799" s="3295"/>
      <c r="Y799" s="3318"/>
      <c r="AA799" s="3301"/>
      <c r="AB799" s="3409"/>
      <c r="AE799" s="1056"/>
    </row>
    <row r="800" spans="2:31" ht="16" thickBot="1" x14ac:dyDescent="0.25">
      <c r="B800" s="2983">
        <f>AVERAGE(W794:W800)</f>
        <v>0.93931352607071184</v>
      </c>
      <c r="C800" s="1260">
        <v>43898</v>
      </c>
      <c r="D800" s="2095">
        <v>28</v>
      </c>
      <c r="E800" s="2096" t="s">
        <v>836</v>
      </c>
      <c r="F800" s="2723" t="s">
        <v>804</v>
      </c>
      <c r="G800" s="2097">
        <v>5.4363425925925933E-2</v>
      </c>
      <c r="H800" s="2098">
        <v>14.83</v>
      </c>
      <c r="I800" s="2099">
        <f t="shared" si="130"/>
        <v>3.6657738318223825E-3</v>
      </c>
      <c r="J800" s="2100">
        <v>142</v>
      </c>
      <c r="K800" s="2101">
        <v>97</v>
      </c>
      <c r="L800" s="2808">
        <v>225</v>
      </c>
      <c r="M800" s="2832"/>
      <c r="N800" s="2102">
        <f t="shared" si="125"/>
        <v>1.063621541651151</v>
      </c>
      <c r="O800" s="2103" t="s">
        <v>751</v>
      </c>
      <c r="P800" s="2027">
        <f>IFERROR(VLOOKUP(F800,Trainingsarten!$A$9:$N$84,12,FALSE),"")</f>
        <v>194.60000000000002</v>
      </c>
      <c r="Q800" s="1151" t="s">
        <v>437</v>
      </c>
      <c r="R800" s="1151">
        <f>IFERROR(VLOOKUP(F800,Trainingsarten!$A$9:$N$84,14,FALSE),"")</f>
        <v>212.96</v>
      </c>
      <c r="S800" s="1106">
        <f t="shared" si="129"/>
        <v>1.5845070422535212</v>
      </c>
      <c r="T800" s="2104">
        <f t="shared" si="128"/>
        <v>33.920071690617213</v>
      </c>
      <c r="U800" s="2105">
        <f t="shared" si="126"/>
        <v>27.322138359420741</v>
      </c>
      <c r="V800" s="2105">
        <f t="shared" si="127"/>
        <v>2.2159280136865327</v>
      </c>
      <c r="W800" s="3287">
        <f t="shared" si="131"/>
        <v>1.2414867110473251</v>
      </c>
      <c r="X800" s="3295"/>
      <c r="Y800" s="3318"/>
      <c r="AA800" s="3301"/>
      <c r="AB800" s="3409"/>
      <c r="AE800" s="1056"/>
    </row>
    <row r="801" spans="2:31" ht="16" thickBot="1" x14ac:dyDescent="0.25">
      <c r="B801" s="2985">
        <f>B794+1</f>
        <v>11</v>
      </c>
      <c r="C801" s="1909">
        <v>43899</v>
      </c>
      <c r="D801" s="2106">
        <v>29</v>
      </c>
      <c r="E801" s="2107" t="s">
        <v>836</v>
      </c>
      <c r="F801" s="2724" t="s">
        <v>824</v>
      </c>
      <c r="G801" s="2032">
        <v>3.7071759259259256E-2</v>
      </c>
      <c r="H801" s="2033">
        <v>9.19</v>
      </c>
      <c r="I801" s="2034">
        <f t="shared" si="130"/>
        <v>4.0339237496473624E-3</v>
      </c>
      <c r="J801" s="2035">
        <v>132</v>
      </c>
      <c r="K801" s="2036">
        <v>55</v>
      </c>
      <c r="L801" s="1915">
        <v>206</v>
      </c>
      <c r="M801" s="2833"/>
      <c r="N801" s="2037">
        <f t="shared" si="125"/>
        <v>1.071602812921248</v>
      </c>
      <c r="O801" s="2038" t="s">
        <v>751</v>
      </c>
      <c r="P801" s="2039">
        <f>IFERROR(VLOOKUP(F801,Trainingsarten!$A$9:$N$84,12,FALSE),"")</f>
        <v>169.39999999999998</v>
      </c>
      <c r="Q801" s="1069" t="s">
        <v>437</v>
      </c>
      <c r="R801" s="1069">
        <f>IFERROR(VLOOKUP(F801,Trainingsarten!$A$9:$N$84,14,FALSE),"")</f>
        <v>193.60000000000002</v>
      </c>
      <c r="S801" s="1070">
        <f t="shared" si="129"/>
        <v>1.5606060606060606</v>
      </c>
      <c r="T801" s="1921">
        <f t="shared" si="128"/>
        <v>36.93149002052904</v>
      </c>
      <c r="U801" s="2088">
        <f t="shared" si="126"/>
        <v>27.98113506514882</v>
      </c>
      <c r="V801" s="1966">
        <f t="shared" si="127"/>
        <v>-6.5979333311964723</v>
      </c>
      <c r="W801" s="3283">
        <f t="shared" si="131"/>
        <v>1.3198710464940395</v>
      </c>
      <c r="X801" s="3295"/>
      <c r="Y801" s="3318"/>
      <c r="AA801" s="3301"/>
      <c r="AB801" s="3409"/>
      <c r="AE801" s="1056"/>
    </row>
    <row r="802" spans="2:31" x14ac:dyDescent="0.2">
      <c r="B802" s="2978" t="s">
        <v>626</v>
      </c>
      <c r="C802" s="1939">
        <v>43900</v>
      </c>
      <c r="D802" s="2108"/>
      <c r="E802" s="2109"/>
      <c r="F802" s="2722"/>
      <c r="G802" s="2110"/>
      <c r="H802" s="2111" t="str">
        <f>IFERROR(VLOOKUP(F802,Trainingsarten!$A$9:$K$84,10,FALSE),"")</f>
        <v/>
      </c>
      <c r="I802" s="2112" t="str">
        <f t="shared" si="130"/>
        <v/>
      </c>
      <c r="J802" s="2113"/>
      <c r="K802" s="2114" t="str">
        <f>IFERROR(VLOOKUP(F802,Trainingsarten!$A$9:$K$84,11,FALSE),"0")</f>
        <v>0</v>
      </c>
      <c r="L802" s="2806"/>
      <c r="M802" s="2829"/>
      <c r="N802" s="2115" t="str">
        <f t="shared" si="125"/>
        <v/>
      </c>
      <c r="O802" s="2116"/>
      <c r="P802" s="1993" t="str">
        <f>IFERROR(VLOOKUP(F802,Trainingsarten!$A$9:$N$84,12,FALSE),"")</f>
        <v/>
      </c>
      <c r="Q802" s="1994" t="s">
        <v>437</v>
      </c>
      <c r="R802" s="1086" t="str">
        <f>IFERROR(VLOOKUP(F802,Trainingsarten!$A$9:$N$84,14,FALSE),"")</f>
        <v/>
      </c>
      <c r="S802" s="1087" t="str">
        <f t="shared" si="129"/>
        <v/>
      </c>
      <c r="T802" s="1951">
        <f t="shared" si="128"/>
        <v>31.655562874739175</v>
      </c>
      <c r="U802" s="1952">
        <f t="shared" si="126"/>
        <v>27.314917563597657</v>
      </c>
      <c r="V802" s="1953">
        <f t="shared" si="127"/>
        <v>-8.9503549553802202</v>
      </c>
      <c r="W802" s="3284">
        <f t="shared" si="131"/>
        <v>1.1589111627752542</v>
      </c>
      <c r="X802" s="3295"/>
      <c r="Y802" s="3318"/>
      <c r="AA802" s="3301"/>
      <c r="AB802" s="3409"/>
      <c r="AE802" s="1056"/>
    </row>
    <row r="803" spans="2:31" ht="16" thickBot="1" x14ac:dyDescent="0.25">
      <c r="B803" s="2979">
        <f>SUM(H801:H807)</f>
        <v>42.069999999999993</v>
      </c>
      <c r="C803" s="1939">
        <v>43901</v>
      </c>
      <c r="D803" s="2108">
        <v>30</v>
      </c>
      <c r="E803" s="2109" t="s">
        <v>836</v>
      </c>
      <c r="F803" s="2722" t="s">
        <v>827</v>
      </c>
      <c r="G803" s="2110">
        <v>3.2685185185185185E-2</v>
      </c>
      <c r="H803" s="2111">
        <v>9.2899999999999991</v>
      </c>
      <c r="I803" s="2112">
        <f t="shared" si="130"/>
        <v>3.5183191803213336E-3</v>
      </c>
      <c r="J803" s="2113">
        <v>139</v>
      </c>
      <c r="K803" s="2114">
        <v>61</v>
      </c>
      <c r="L803" s="2806">
        <v>230</v>
      </c>
      <c r="M803" s="2829"/>
      <c r="N803" s="2115">
        <f t="shared" si="125"/>
        <v>1.0435229664379932</v>
      </c>
      <c r="O803" s="2116" t="s">
        <v>821</v>
      </c>
      <c r="P803" s="1993">
        <f>IFERROR(VLOOKUP(F803,Trainingsarten!$A$9:$N$84,12,FALSE),"")</f>
        <v>194.60000000000002</v>
      </c>
      <c r="Q803" s="1994" t="s">
        <v>437</v>
      </c>
      <c r="R803" s="1086">
        <f>IFERROR(VLOOKUP(F803,Trainingsarten!$A$9:$N$84,14,FALSE),"")</f>
        <v>212.96</v>
      </c>
      <c r="S803" s="1087">
        <f t="shared" si="129"/>
        <v>1.6546762589928057</v>
      </c>
      <c r="T803" s="1951">
        <f t="shared" si="128"/>
        <v>35.847625321205008</v>
      </c>
      <c r="U803" s="1952">
        <f t="shared" si="126"/>
        <v>28.116943335892952</v>
      </c>
      <c r="V803" s="1953">
        <f t="shared" si="127"/>
        <v>-4.3406453111415182</v>
      </c>
      <c r="W803" s="3284">
        <f t="shared" si="131"/>
        <v>1.2749474540300894</v>
      </c>
      <c r="X803" s="3295"/>
      <c r="Y803" s="3318"/>
      <c r="AA803" s="3301"/>
      <c r="AB803" s="3409"/>
      <c r="AE803" s="1056"/>
    </row>
    <row r="804" spans="2:31" x14ac:dyDescent="0.2">
      <c r="B804" s="2980" t="s">
        <v>628</v>
      </c>
      <c r="C804" s="1939">
        <v>43902</v>
      </c>
      <c r="D804" s="2108"/>
      <c r="E804" s="2109"/>
      <c r="F804" s="2722"/>
      <c r="G804" s="2110"/>
      <c r="H804" s="2111" t="str">
        <f>IFERROR(VLOOKUP(F804,Trainingsarten!$A$9:$K$84,10,FALSE),"")</f>
        <v/>
      </c>
      <c r="I804" s="2112" t="str">
        <f t="shared" si="130"/>
        <v/>
      </c>
      <c r="J804" s="2113"/>
      <c r="K804" s="2114" t="str">
        <f>IFERROR(VLOOKUP(F804,Trainingsarten!$A$9:$K$84,11,FALSE),"0")</f>
        <v>0</v>
      </c>
      <c r="L804" s="2806"/>
      <c r="M804" s="2829"/>
      <c r="N804" s="2115" t="str">
        <f t="shared" ref="N804:N867" si="132">IFERROR((L804/67)/(1/(I804*24)/3.6),"")</f>
        <v/>
      </c>
      <c r="O804" s="2116"/>
      <c r="P804" s="1993" t="str">
        <f>IFERROR(VLOOKUP(F804,Trainingsarten!$A$9:$N$84,12,FALSE),"")</f>
        <v/>
      </c>
      <c r="Q804" s="1994" t="s">
        <v>437</v>
      </c>
      <c r="R804" s="1086" t="str">
        <f>IFERROR(VLOOKUP(F804,Trainingsarten!$A$9:$N$84,14,FALSE),"")</f>
        <v/>
      </c>
      <c r="S804" s="1087" t="str">
        <f t="shared" si="129"/>
        <v/>
      </c>
      <c r="T804" s="1951">
        <f t="shared" si="128"/>
        <v>30.726535989604294</v>
      </c>
      <c r="U804" s="1952">
        <f t="shared" si="126"/>
        <v>27.447492304085976</v>
      </c>
      <c r="V804" s="1953">
        <f t="shared" si="127"/>
        <v>-7.7306819853120565</v>
      </c>
      <c r="W804" s="3284">
        <f t="shared" si="131"/>
        <v>1.1194660571971518</v>
      </c>
      <c r="X804" s="3295"/>
      <c r="Y804" s="3318"/>
      <c r="AA804" s="3301"/>
      <c r="AB804" s="3409"/>
      <c r="AE804" s="1056"/>
    </row>
    <row r="805" spans="2:31" ht="16" thickBot="1" x14ac:dyDescent="0.25">
      <c r="B805" s="2981">
        <f>SUM(K801:K807)</f>
        <v>265</v>
      </c>
      <c r="C805" s="1939">
        <v>43903</v>
      </c>
      <c r="D805" s="2108">
        <v>31</v>
      </c>
      <c r="E805" s="2109" t="s">
        <v>835</v>
      </c>
      <c r="F805" s="2722" t="s">
        <v>826</v>
      </c>
      <c r="G805" s="2110">
        <v>3.0671296296296294E-2</v>
      </c>
      <c r="H805" s="2111">
        <v>8.65</v>
      </c>
      <c r="I805" s="2112">
        <f t="shared" si="130"/>
        <v>3.5458146007278949E-3</v>
      </c>
      <c r="J805" s="2113">
        <v>142</v>
      </c>
      <c r="K805" s="2114">
        <v>56</v>
      </c>
      <c r="L805" s="2806">
        <v>228</v>
      </c>
      <c r="M805" s="2829"/>
      <c r="N805" s="2115">
        <f t="shared" si="132"/>
        <v>1.0425329997411783</v>
      </c>
      <c r="O805" s="2116" t="s">
        <v>821</v>
      </c>
      <c r="P805" s="1993">
        <f>IFERROR(VLOOKUP(F805,Trainingsarten!$A$9:$N$84,12,FALSE),"")</f>
        <v>194.60000000000002</v>
      </c>
      <c r="Q805" s="1994" t="s">
        <v>437</v>
      </c>
      <c r="R805" s="1086">
        <f>IFERROR(VLOOKUP(F805,Trainingsarten!$A$9:$N$84,14,FALSE),"")</f>
        <v>212.96</v>
      </c>
      <c r="S805" s="1087">
        <f t="shared" si="129"/>
        <v>1.6056338028169015</v>
      </c>
      <c r="T805" s="1951">
        <f t="shared" si="128"/>
        <v>34.337030848232253</v>
      </c>
      <c r="U805" s="1952">
        <f t="shared" si="126"/>
        <v>28.127313915893453</v>
      </c>
      <c r="V805" s="1953">
        <f t="shared" si="127"/>
        <v>-3.2790436855183174</v>
      </c>
      <c r="W805" s="3284">
        <f t="shared" si="131"/>
        <v>1.2207717719120692</v>
      </c>
      <c r="X805" s="3295"/>
      <c r="Y805" s="3318"/>
      <c r="AA805" s="3301"/>
      <c r="AB805" s="3409"/>
      <c r="AE805" s="1056"/>
    </row>
    <row r="806" spans="2:31" x14ac:dyDescent="0.2">
      <c r="B806" s="2982" t="s">
        <v>761</v>
      </c>
      <c r="C806" s="1939">
        <v>43904</v>
      </c>
      <c r="D806" s="2108"/>
      <c r="E806" s="2109"/>
      <c r="F806" s="2722"/>
      <c r="G806" s="2110"/>
      <c r="H806" s="2111"/>
      <c r="I806" s="2112" t="str">
        <f t="shared" si="130"/>
        <v/>
      </c>
      <c r="J806" s="2113"/>
      <c r="K806" s="2114"/>
      <c r="L806" s="2806"/>
      <c r="M806" s="2829"/>
      <c r="N806" s="2115" t="str">
        <f t="shared" si="132"/>
        <v/>
      </c>
      <c r="O806" s="2116"/>
      <c r="P806" s="1993" t="str">
        <f>IFERROR(VLOOKUP(F806,Trainingsarten!$A$9:$N$84,12,FALSE),"")</f>
        <v/>
      </c>
      <c r="Q806" s="1994" t="s">
        <v>437</v>
      </c>
      <c r="R806" s="1086" t="str">
        <f>IFERROR(VLOOKUP(F806,Trainingsarten!$A$9:$N$84,14,FALSE),"")</f>
        <v/>
      </c>
      <c r="S806" s="1087" t="str">
        <f t="shared" si="129"/>
        <v/>
      </c>
      <c r="T806" s="1951">
        <f t="shared" si="128"/>
        <v>29.431740727056216</v>
      </c>
      <c r="U806" s="1952">
        <f t="shared" si="126"/>
        <v>27.457615965515036</v>
      </c>
      <c r="V806" s="1953">
        <f t="shared" si="127"/>
        <v>-6.2097169323388002</v>
      </c>
      <c r="W806" s="3284">
        <f t="shared" si="131"/>
        <v>1.0718971655813292</v>
      </c>
      <c r="X806" s="3295"/>
      <c r="Y806" s="3318"/>
      <c r="AA806" s="3301"/>
      <c r="AB806" s="3409"/>
      <c r="AE806" s="1056"/>
    </row>
    <row r="807" spans="2:31" ht="16" thickBot="1" x14ac:dyDescent="0.25">
      <c r="B807" s="2983">
        <f>AVERAGE(W801:W807)</f>
        <v>1.2132951154635563</v>
      </c>
      <c r="C807" s="2117">
        <v>43905</v>
      </c>
      <c r="D807" s="2118">
        <v>32</v>
      </c>
      <c r="E807" s="2119" t="s">
        <v>835</v>
      </c>
      <c r="F807" s="2723" t="s">
        <v>804</v>
      </c>
      <c r="G807" s="2120">
        <v>5.5682870370370369E-2</v>
      </c>
      <c r="H807" s="2121">
        <v>14.94</v>
      </c>
      <c r="I807" s="2122">
        <f t="shared" si="130"/>
        <v>3.7270997570529028E-3</v>
      </c>
      <c r="J807" s="2123">
        <v>141</v>
      </c>
      <c r="K807" s="2124">
        <v>93</v>
      </c>
      <c r="L807" s="2807">
        <v>217.7</v>
      </c>
      <c r="M807" s="2830"/>
      <c r="N807" s="1223">
        <f t="shared" si="132"/>
        <v>1.0463292972886571</v>
      </c>
      <c r="O807" s="2125" t="s">
        <v>751</v>
      </c>
      <c r="P807" s="2126">
        <f>IFERROR(VLOOKUP(F807,Trainingsarten!$A$9:$N$84,12,FALSE),"")</f>
        <v>194.60000000000002</v>
      </c>
      <c r="Q807" s="2127" t="s">
        <v>437</v>
      </c>
      <c r="R807" s="1105">
        <f>IFERROR(VLOOKUP(F807,Trainingsarten!$A$9:$N$84,14,FALSE),"")</f>
        <v>212.96</v>
      </c>
      <c r="S807" s="1106">
        <f t="shared" si="129"/>
        <v>1.5439716312056737</v>
      </c>
      <c r="T807" s="2104">
        <f t="shared" si="128"/>
        <v>38.512920623191043</v>
      </c>
      <c r="U807" s="2105">
        <f t="shared" si="126"/>
        <v>29.01814891871706</v>
      </c>
      <c r="V807" s="2105">
        <f t="shared" si="127"/>
        <v>-1.9741247615411801</v>
      </c>
      <c r="W807" s="3285">
        <f t="shared" si="131"/>
        <v>1.3272011502549612</v>
      </c>
      <c r="X807" s="3295"/>
      <c r="Y807" s="3318"/>
      <c r="AA807" s="3301"/>
      <c r="AB807" s="3409"/>
      <c r="AE807" s="1056"/>
    </row>
    <row r="808" spans="2:31" ht="16" thickBot="1" x14ac:dyDescent="0.25">
      <c r="B808" s="2985">
        <f>B801+1</f>
        <v>12</v>
      </c>
      <c r="C808" s="1909">
        <v>43906</v>
      </c>
      <c r="D808" s="1278"/>
      <c r="E808" s="1398"/>
      <c r="F808" s="2724"/>
      <c r="G808" s="1647"/>
      <c r="H808" s="1648" t="str">
        <f>IFERROR(VLOOKUP(F808,Trainingsarten!$A$9:$K$84,10,FALSE),"")</f>
        <v/>
      </c>
      <c r="I808" s="1399" t="str">
        <f t="shared" si="130"/>
        <v/>
      </c>
      <c r="J808" s="1326"/>
      <c r="K808" s="1325" t="str">
        <f>IFERROR(VLOOKUP(F808,Trainingsarten!$A$9:$K$84,11,FALSE),"0")</f>
        <v>0</v>
      </c>
      <c r="L808" s="1326"/>
      <c r="M808" s="2831"/>
      <c r="N808" s="1119" t="str">
        <f t="shared" si="132"/>
        <v/>
      </c>
      <c r="O808" s="1649"/>
      <c r="P808" s="1277" t="str">
        <f>IFERROR(VLOOKUP(F808,Trainingsarten!$A$9:$N$84,12,FALSE),"")</f>
        <v/>
      </c>
      <c r="Q808" s="1122" t="s">
        <v>437</v>
      </c>
      <c r="R808" s="1122" t="str">
        <f>IFERROR(VLOOKUP(F808,Trainingsarten!$A$9:$N$84,14,FALSE),"")</f>
        <v/>
      </c>
      <c r="S808" s="1070" t="str">
        <f t="shared" si="129"/>
        <v/>
      </c>
      <c r="T808" s="1921">
        <f t="shared" si="128"/>
        <v>33.01107481987804</v>
      </c>
      <c r="U808" s="2088">
        <f t="shared" si="126"/>
        <v>28.327240611128559</v>
      </c>
      <c r="V808" s="1966">
        <f t="shared" si="127"/>
        <v>-9.4947717044739832</v>
      </c>
      <c r="W808" s="3286">
        <f t="shared" si="131"/>
        <v>1.1653473514433808</v>
      </c>
      <c r="X808" s="3295"/>
      <c r="Y808" s="3318"/>
      <c r="AA808" s="3301"/>
      <c r="AB808" s="3409"/>
      <c r="AE808" s="1056"/>
    </row>
    <row r="809" spans="2:31" x14ac:dyDescent="0.2">
      <c r="B809" s="2978" t="s">
        <v>626</v>
      </c>
      <c r="C809" s="1939">
        <v>43907</v>
      </c>
      <c r="D809" s="2108">
        <v>33</v>
      </c>
      <c r="E809" s="2109" t="s">
        <v>836</v>
      </c>
      <c r="F809" s="2722" t="s">
        <v>833</v>
      </c>
      <c r="G809" s="1942">
        <v>3.3287037037037039E-2</v>
      </c>
      <c r="H809" s="1826">
        <v>10.09</v>
      </c>
      <c r="I809" s="1902">
        <f t="shared" si="130"/>
        <v>3.2990125903901921E-3</v>
      </c>
      <c r="J809" s="1945">
        <v>148</v>
      </c>
      <c r="K809" s="1946">
        <v>71</v>
      </c>
      <c r="L809" s="2806">
        <v>242</v>
      </c>
      <c r="M809" s="2829"/>
      <c r="N809" s="1831">
        <f t="shared" si="132"/>
        <v>1.0295282753723949</v>
      </c>
      <c r="O809" s="1948" t="s">
        <v>821</v>
      </c>
      <c r="P809" s="1755" t="str">
        <f>IFERROR(VLOOKUP(F809,Trainingsarten!$A$9:$N$84,12,FALSE),"")</f>
        <v/>
      </c>
      <c r="Q809" s="1756" t="s">
        <v>437</v>
      </c>
      <c r="R809" s="1086" t="str">
        <f>IFERROR(VLOOKUP(F809,Trainingsarten!$A$9:$N$84,14,FALSE),"")</f>
        <v/>
      </c>
      <c r="S809" s="1087">
        <f t="shared" si="129"/>
        <v>1.6351351351351351</v>
      </c>
      <c r="T809" s="1951">
        <f t="shared" si="128"/>
        <v>38.438064131324033</v>
      </c>
      <c r="U809" s="1952">
        <f t="shared" si="126"/>
        <v>29.343258691815976</v>
      </c>
      <c r="V809" s="1953">
        <f t="shared" si="127"/>
        <v>-4.6838342087494809</v>
      </c>
      <c r="W809" s="3284">
        <f t="shared" si="131"/>
        <v>1.3099453109495525</v>
      </c>
      <c r="X809" s="3295"/>
      <c r="Y809" s="3318"/>
      <c r="AA809" s="3301"/>
      <c r="AB809" s="3409"/>
      <c r="AE809" s="1056"/>
    </row>
    <row r="810" spans="2:31" ht="16" thickBot="1" x14ac:dyDescent="0.25">
      <c r="B810" s="2979">
        <f>SUM(H808:H814)</f>
        <v>43.18</v>
      </c>
      <c r="C810" s="1939">
        <v>43908</v>
      </c>
      <c r="D810" s="2108"/>
      <c r="E810" s="2109"/>
      <c r="F810" s="2722"/>
      <c r="G810" s="1942"/>
      <c r="H810" s="1826" t="str">
        <f>IFERROR(VLOOKUP(F810,Trainingsarten!$A$9:$K$84,10,FALSE),"")</f>
        <v/>
      </c>
      <c r="I810" s="1902" t="str">
        <f t="shared" si="130"/>
        <v/>
      </c>
      <c r="J810" s="1945"/>
      <c r="K810" s="1946" t="str">
        <f>IFERROR(VLOOKUP(F810,Trainingsarten!$A$9:$K$84,11,FALSE),"0")</f>
        <v>0</v>
      </c>
      <c r="L810" s="2806"/>
      <c r="M810" s="2829"/>
      <c r="N810" s="1831" t="str">
        <f t="shared" si="132"/>
        <v/>
      </c>
      <c r="O810" s="1948"/>
      <c r="P810" s="1755" t="str">
        <f>IFERROR(VLOOKUP(F810,Trainingsarten!$A$9:$N$84,12,FALSE),"")</f>
        <v/>
      </c>
      <c r="Q810" s="1756" t="s">
        <v>437</v>
      </c>
      <c r="R810" s="1086" t="str">
        <f>IFERROR(VLOOKUP(F810,Trainingsarten!$A$9:$N$84,14,FALSE),"")</f>
        <v/>
      </c>
      <c r="S810" s="1087" t="str">
        <f t="shared" si="129"/>
        <v/>
      </c>
      <c r="T810" s="1951">
        <f t="shared" si="128"/>
        <v>32.94691211256346</v>
      </c>
      <c r="U810" s="1952">
        <f t="shared" si="126"/>
        <v>28.644609675344167</v>
      </c>
      <c r="V810" s="1953">
        <f t="shared" si="127"/>
        <v>-9.0948054395080575</v>
      </c>
      <c r="W810" s="3284">
        <f t="shared" si="131"/>
        <v>1.150195882784973</v>
      </c>
      <c r="X810" s="3295"/>
      <c r="Y810" s="3318"/>
      <c r="AA810" s="3301"/>
      <c r="AB810" s="3409"/>
      <c r="AE810" s="1056"/>
    </row>
    <row r="811" spans="2:31" x14ac:dyDescent="0.2">
      <c r="B811" s="2980" t="s">
        <v>628</v>
      </c>
      <c r="C811" s="1939">
        <v>43909</v>
      </c>
      <c r="D811" s="2108">
        <v>34</v>
      </c>
      <c r="E811" s="2109" t="s">
        <v>835</v>
      </c>
      <c r="F811" s="2722" t="s">
        <v>827</v>
      </c>
      <c r="G811" s="1942">
        <v>3.498842592592593E-2</v>
      </c>
      <c r="H811" s="1826">
        <v>9.35</v>
      </c>
      <c r="I811" s="1902">
        <f t="shared" si="130"/>
        <v>3.7420776391364633E-3</v>
      </c>
      <c r="J811" s="1945">
        <v>145</v>
      </c>
      <c r="K811" s="1946">
        <v>58</v>
      </c>
      <c r="L811" s="2806">
        <v>217</v>
      </c>
      <c r="M811" s="2829"/>
      <c r="N811" s="1831">
        <f t="shared" si="132"/>
        <v>1.0471561976215182</v>
      </c>
      <c r="O811" s="1948" t="s">
        <v>783</v>
      </c>
      <c r="P811" s="1755">
        <f>IFERROR(VLOOKUP(F811,Trainingsarten!$A$9:$N$84,12,FALSE),"")</f>
        <v>194.60000000000002</v>
      </c>
      <c r="Q811" s="1756" t="s">
        <v>437</v>
      </c>
      <c r="R811" s="1086">
        <f>IFERROR(VLOOKUP(F811,Trainingsarten!$A$9:$N$84,14,FALSE),"")</f>
        <v>212.96</v>
      </c>
      <c r="S811" s="1087">
        <f t="shared" si="129"/>
        <v>1.4965517241379311</v>
      </c>
      <c r="T811" s="1951">
        <f t="shared" si="128"/>
        <v>36.525924667911539</v>
      </c>
      <c r="U811" s="1952">
        <f t="shared" si="126"/>
        <v>29.343547540216925</v>
      </c>
      <c r="V811" s="1953">
        <f t="shared" si="127"/>
        <v>-4.3023024372192928</v>
      </c>
      <c r="W811" s="3284">
        <f t="shared" si="131"/>
        <v>1.2447685344742581</v>
      </c>
      <c r="X811" s="3295"/>
      <c r="Y811" s="3318"/>
      <c r="AA811" s="3301"/>
      <c r="AB811" s="3409"/>
      <c r="AE811" s="1056"/>
    </row>
    <row r="812" spans="2:31" ht="16" thickBot="1" x14ac:dyDescent="0.25">
      <c r="B812" s="2981">
        <f>SUM(K808:K814)</f>
        <v>276</v>
      </c>
      <c r="C812" s="1939">
        <v>43910</v>
      </c>
      <c r="D812" s="2108">
        <v>35</v>
      </c>
      <c r="E812" s="2109" t="s">
        <v>835</v>
      </c>
      <c r="F812" s="2722" t="s">
        <v>824</v>
      </c>
      <c r="G812" s="1942">
        <v>3.1354166666666662E-2</v>
      </c>
      <c r="H812" s="1826">
        <v>7.96</v>
      </c>
      <c r="I812" s="1902">
        <f t="shared" si="130"/>
        <v>3.9389656616415402E-3</v>
      </c>
      <c r="J812" s="1945">
        <v>134</v>
      </c>
      <c r="K812" s="1946">
        <v>48</v>
      </c>
      <c r="L812" s="2806">
        <v>207.6</v>
      </c>
      <c r="M812" s="2829"/>
      <c r="N812" s="1831">
        <f t="shared" si="132"/>
        <v>1.0545046126153153</v>
      </c>
      <c r="O812" s="1948" t="s">
        <v>783</v>
      </c>
      <c r="P812" s="1755">
        <f>IFERROR(VLOOKUP(F812,Trainingsarten!$A$9:$N$84,12,FALSE),"")</f>
        <v>169.39999999999998</v>
      </c>
      <c r="Q812" s="1756" t="s">
        <v>437</v>
      </c>
      <c r="R812" s="1086">
        <f>IFERROR(VLOOKUP(F812,Trainingsarten!$A$9:$N$84,14,FALSE),"")</f>
        <v>193.60000000000002</v>
      </c>
      <c r="S812" s="1087">
        <f t="shared" si="129"/>
        <v>1.5492537313432835</v>
      </c>
      <c r="T812" s="1951">
        <f t="shared" si="128"/>
        <v>38.165078286781316</v>
      </c>
      <c r="U812" s="1952">
        <f t="shared" si="126"/>
        <v>29.787748789259378</v>
      </c>
      <c r="V812" s="1953">
        <f t="shared" si="127"/>
        <v>-7.1823771276946147</v>
      </c>
      <c r="W812" s="3284">
        <f t="shared" si="131"/>
        <v>1.281234058900838</v>
      </c>
      <c r="X812" s="3295"/>
      <c r="Y812" s="3318"/>
      <c r="AA812" s="3301"/>
      <c r="AB812" s="3409"/>
      <c r="AE812" s="1056"/>
    </row>
    <row r="813" spans="2:31" x14ac:dyDescent="0.2">
      <c r="B813" s="2982" t="s">
        <v>761</v>
      </c>
      <c r="C813" s="1939">
        <v>43911</v>
      </c>
      <c r="D813" s="2108"/>
      <c r="E813" s="2109"/>
      <c r="F813" s="2722"/>
      <c r="G813" s="1942"/>
      <c r="H813" s="1826" t="str">
        <f>IFERROR(VLOOKUP(F813,Trainingsarten!$A$9:$K$84,10,FALSE),"")</f>
        <v/>
      </c>
      <c r="I813" s="1902" t="str">
        <f t="shared" si="130"/>
        <v/>
      </c>
      <c r="J813" s="1945"/>
      <c r="K813" s="1946" t="str">
        <f>IFERROR(VLOOKUP(F813,Trainingsarten!$A$9:$K$84,11,FALSE),"0")</f>
        <v>0</v>
      </c>
      <c r="L813" s="2806"/>
      <c r="M813" s="2829"/>
      <c r="N813" s="1831" t="str">
        <f t="shared" si="132"/>
        <v/>
      </c>
      <c r="O813" s="1948"/>
      <c r="P813" s="1755" t="str">
        <f>IFERROR(VLOOKUP(F813,Trainingsarten!$A$9:$N$84,12,FALSE),"")</f>
        <v/>
      </c>
      <c r="Q813" s="1756" t="s">
        <v>437</v>
      </c>
      <c r="R813" s="1086" t="str">
        <f>IFERROR(VLOOKUP(F813,Trainingsarten!$A$9:$N$84,14,FALSE),"")</f>
        <v/>
      </c>
      <c r="S813" s="1087" t="str">
        <f t="shared" si="129"/>
        <v/>
      </c>
      <c r="T813" s="1951">
        <f t="shared" si="128"/>
        <v>32.712924245812559</v>
      </c>
      <c r="U813" s="1952">
        <f t="shared" si="126"/>
        <v>29.078516675229395</v>
      </c>
      <c r="V813" s="1953">
        <f t="shared" si="127"/>
        <v>-8.3773294975219379</v>
      </c>
      <c r="W813" s="3284">
        <f t="shared" si="131"/>
        <v>1.1249860029373211</v>
      </c>
      <c r="X813" s="3295"/>
      <c r="Y813" s="3318"/>
      <c r="AA813" s="3301"/>
      <c r="AB813" s="3409"/>
      <c r="AE813" s="1056"/>
    </row>
    <row r="814" spans="2:31" ht="16" thickBot="1" x14ac:dyDescent="0.25">
      <c r="B814" s="2983">
        <f>AVERAGE(W808:W814)</f>
        <v>1.2355091870523935</v>
      </c>
      <c r="C814" s="2117">
        <v>43912</v>
      </c>
      <c r="D814" s="1996">
        <v>36</v>
      </c>
      <c r="E814" s="2060" t="s">
        <v>835</v>
      </c>
      <c r="F814" s="2723" t="s">
        <v>805</v>
      </c>
      <c r="G814" s="2097">
        <v>5.8854166666666673E-2</v>
      </c>
      <c r="H814" s="2098">
        <v>15.78</v>
      </c>
      <c r="I814" s="2099">
        <f t="shared" si="130"/>
        <v>3.7296683565694977E-3</v>
      </c>
      <c r="J814" s="2100">
        <v>140</v>
      </c>
      <c r="K814" s="2101">
        <v>99</v>
      </c>
      <c r="L814" s="2808">
        <v>218.7</v>
      </c>
      <c r="M814" s="2832"/>
      <c r="N814" s="2102">
        <f t="shared" si="132"/>
        <v>1.051859996594972</v>
      </c>
      <c r="O814" s="2103" t="s">
        <v>751</v>
      </c>
      <c r="P814" s="2027">
        <f>IFERROR(VLOOKUP(F814,Trainingsarten!$A$9:$N$84,12,FALSE),"")</f>
        <v>194.60000000000002</v>
      </c>
      <c r="Q814" s="1151" t="s">
        <v>437</v>
      </c>
      <c r="R814" s="1151">
        <f>IFERROR(VLOOKUP(F814,Trainingsarten!$A$9:$N$84,14,FALSE),"")</f>
        <v>212.96</v>
      </c>
      <c r="S814" s="1106">
        <f t="shared" si="129"/>
        <v>1.5621428571428571</v>
      </c>
      <c r="T814" s="2104">
        <f t="shared" si="128"/>
        <v>42.182506496410767</v>
      </c>
      <c r="U814" s="2105">
        <f t="shared" si="126"/>
        <v>30.743313897247742</v>
      </c>
      <c r="V814" s="2105">
        <f t="shared" si="127"/>
        <v>-3.6344075705831642</v>
      </c>
      <c r="W814" s="3287">
        <f t="shared" si="131"/>
        <v>1.3720871678764306</v>
      </c>
      <c r="X814" s="3295"/>
      <c r="Y814" s="3318"/>
      <c r="AA814" s="3301"/>
      <c r="AB814" s="3409"/>
      <c r="AE814" s="1056"/>
    </row>
    <row r="815" spans="2:31" ht="16" thickBot="1" x14ac:dyDescent="0.25">
      <c r="B815" s="2985">
        <f>B808+1</f>
        <v>13</v>
      </c>
      <c r="C815" s="1909">
        <v>43913</v>
      </c>
      <c r="D815" s="2068"/>
      <c r="E815" s="2069"/>
      <c r="F815" s="2724"/>
      <c r="G815" s="2032"/>
      <c r="H815" s="2033" t="str">
        <f>IFERROR(VLOOKUP(F815,Trainingsarten!$A$9:$K$84,10,FALSE),"")</f>
        <v/>
      </c>
      <c r="I815" s="2034" t="str">
        <f t="shared" si="130"/>
        <v/>
      </c>
      <c r="J815" s="2035"/>
      <c r="K815" s="2036" t="str">
        <f>IFERROR(VLOOKUP(F815,Trainingsarten!$A$9:$K$84,11,FALSE),"0")</f>
        <v>0</v>
      </c>
      <c r="L815" s="1915"/>
      <c r="M815" s="2833"/>
      <c r="N815" s="2037" t="str">
        <f t="shared" si="132"/>
        <v/>
      </c>
      <c r="O815" s="2038"/>
      <c r="P815" s="2039" t="str">
        <f>IFERROR(VLOOKUP(F815,Trainingsarten!$A$9:$N$84,12,FALSE),"")</f>
        <v/>
      </c>
      <c r="Q815" s="1069" t="s">
        <v>437</v>
      </c>
      <c r="R815" s="1069" t="str">
        <f>IFERROR(VLOOKUP(F815,Trainingsarten!$A$9:$N$84,14,FALSE),"")</f>
        <v/>
      </c>
      <c r="S815" s="1070" t="str">
        <f t="shared" si="129"/>
        <v/>
      </c>
      <c r="T815" s="2128">
        <f t="shared" si="128"/>
        <v>36.156434139780657</v>
      </c>
      <c r="U815" s="2129">
        <f t="shared" si="126"/>
        <v>30.011330233027557</v>
      </c>
      <c r="V815" s="1966">
        <f t="shared" si="127"/>
        <v>-11.439192599163025</v>
      </c>
      <c r="W815" s="3283">
        <f t="shared" si="131"/>
        <v>1.204759464476866</v>
      </c>
      <c r="X815" s="3295"/>
      <c r="Y815" s="3318"/>
      <c r="AA815" s="3301"/>
      <c r="AB815" s="3409"/>
      <c r="AE815" s="1056"/>
    </row>
    <row r="816" spans="2:31" x14ac:dyDescent="0.2">
      <c r="B816" s="2978" t="s">
        <v>626</v>
      </c>
      <c r="C816" s="1939">
        <v>43914</v>
      </c>
      <c r="D816" s="2108">
        <v>37</v>
      </c>
      <c r="E816" s="2109" t="s">
        <v>835</v>
      </c>
      <c r="F816" s="2722" t="s">
        <v>827</v>
      </c>
      <c r="G816" s="2110">
        <v>3.4004629629629628E-2</v>
      </c>
      <c r="H816" s="2111">
        <v>9.33</v>
      </c>
      <c r="I816" s="2112">
        <f t="shared" si="130"/>
        <v>3.6446548370449761E-3</v>
      </c>
      <c r="J816" s="2113">
        <v>137</v>
      </c>
      <c r="K816" s="2114">
        <v>59</v>
      </c>
      <c r="L816" s="2806">
        <v>222.1</v>
      </c>
      <c r="M816" s="2829"/>
      <c r="N816" s="2115">
        <f t="shared" si="132"/>
        <v>1.0438639599430501</v>
      </c>
      <c r="O816" s="2116" t="s">
        <v>783</v>
      </c>
      <c r="P816" s="1993">
        <f>IFERROR(VLOOKUP(F816,Trainingsarten!$A$9:$N$84,12,FALSE),"")</f>
        <v>194.60000000000002</v>
      </c>
      <c r="Q816" s="1994" t="s">
        <v>437</v>
      </c>
      <c r="R816" s="1086">
        <f>IFERROR(VLOOKUP(F816,Trainingsarten!$A$9:$N$84,14,FALSE),"")</f>
        <v>212.96</v>
      </c>
      <c r="S816" s="1087">
        <f t="shared" si="129"/>
        <v>1.6211678832116787</v>
      </c>
      <c r="T816" s="1951">
        <f t="shared" si="128"/>
        <v>39.41980069124056</v>
      </c>
      <c r="U816" s="1952">
        <f t="shared" ref="U816:U879" si="133">U815+(K816-U815)/42</f>
        <v>30.70153665605071</v>
      </c>
      <c r="V816" s="1953">
        <f t="shared" ref="V816:V879" si="134">U815-T815</f>
        <v>-6.1451039067530999</v>
      </c>
      <c r="W816" s="3284">
        <f t="shared" si="131"/>
        <v>1.283968328128346</v>
      </c>
      <c r="X816" s="3295"/>
      <c r="Y816" s="3318"/>
      <c r="AA816" s="3301"/>
      <c r="AB816" s="3409"/>
      <c r="AE816" s="1056"/>
    </row>
    <row r="817" spans="2:31" ht="16" thickBot="1" x14ac:dyDescent="0.25">
      <c r="B817" s="2979">
        <f>SUM(H815:H821)</f>
        <v>49.27</v>
      </c>
      <c r="C817" s="1939">
        <v>43915</v>
      </c>
      <c r="D817" s="2108"/>
      <c r="E817" s="2109"/>
      <c r="F817" s="2722"/>
      <c r="G817" s="2110"/>
      <c r="H817" s="2111" t="str">
        <f>IFERROR(VLOOKUP(F817,Trainingsarten!$A$9:$K$84,10,FALSE),"")</f>
        <v/>
      </c>
      <c r="I817" s="2112" t="str">
        <f t="shared" si="130"/>
        <v/>
      </c>
      <c r="J817" s="2113"/>
      <c r="K817" s="2114" t="str">
        <f>IFERROR(VLOOKUP(F817,Trainingsarten!$A$9:$K$84,11,FALSE),"0")</f>
        <v>0</v>
      </c>
      <c r="L817" s="2806"/>
      <c r="M817" s="2829"/>
      <c r="N817" s="2115" t="str">
        <f t="shared" si="132"/>
        <v/>
      </c>
      <c r="O817" s="2116"/>
      <c r="P817" s="1993" t="str">
        <f>IFERROR(VLOOKUP(F817,Trainingsarten!$A$9:$N$84,12,FALSE),"")</f>
        <v/>
      </c>
      <c r="Q817" s="1994" t="s">
        <v>437</v>
      </c>
      <c r="R817" s="1086" t="str">
        <f>IFERROR(VLOOKUP(F817,Trainingsarten!$A$9:$N$84,14,FALSE),"")</f>
        <v/>
      </c>
      <c r="S817" s="1087" t="str">
        <f t="shared" si="129"/>
        <v/>
      </c>
      <c r="T817" s="1951">
        <f t="shared" ref="T817:T880" si="135">T816+(K817-T816)/7</f>
        <v>33.788400592491911</v>
      </c>
      <c r="U817" s="1952">
        <f t="shared" si="133"/>
        <v>29.970547688049503</v>
      </c>
      <c r="V817" s="1953">
        <f t="shared" si="134"/>
        <v>-8.7182640351898506</v>
      </c>
      <c r="W817" s="3284">
        <f t="shared" si="131"/>
        <v>1.1273868246980598</v>
      </c>
      <c r="X817" s="3295"/>
      <c r="Y817" s="3318"/>
      <c r="AA817" s="3301"/>
      <c r="AB817" s="3409"/>
      <c r="AE817" s="1056"/>
    </row>
    <row r="818" spans="2:31" x14ac:dyDescent="0.2">
      <c r="B818" s="2980" t="s">
        <v>628</v>
      </c>
      <c r="C818" s="1939">
        <v>43916</v>
      </c>
      <c r="D818" s="2108">
        <v>38</v>
      </c>
      <c r="E818" s="2109" t="s">
        <v>836</v>
      </c>
      <c r="F818" s="2722" t="s">
        <v>829</v>
      </c>
      <c r="G818" s="2110">
        <v>2.8576388888888887E-2</v>
      </c>
      <c r="H818" s="2111">
        <v>8.84</v>
      </c>
      <c r="I818" s="2112">
        <f t="shared" si="130"/>
        <v>3.2326231774761184E-3</v>
      </c>
      <c r="J818" s="2113">
        <v>151</v>
      </c>
      <c r="K818" s="2114">
        <v>63</v>
      </c>
      <c r="L818" s="2806">
        <v>249.2</v>
      </c>
      <c r="M818" s="2829"/>
      <c r="N818" s="2115">
        <f t="shared" si="132"/>
        <v>1.0388242047680152</v>
      </c>
      <c r="O818" s="2116" t="s">
        <v>821</v>
      </c>
      <c r="P818" s="1993">
        <f>IFERROR(VLOOKUP(F818,Trainingsarten!$A$9:$N$84,12,FALSE),"")</f>
        <v>230.89999999999998</v>
      </c>
      <c r="Q818" s="1994" t="s">
        <v>437</v>
      </c>
      <c r="R818" s="1086">
        <f>IFERROR(VLOOKUP(F818,Trainingsarten!$A$9:$N$84,14,FALSE),"")</f>
        <v>254.10000000000002</v>
      </c>
      <c r="S818" s="1087">
        <f t="shared" si="129"/>
        <v>1.6503311258278146</v>
      </c>
      <c r="T818" s="1951">
        <f t="shared" si="135"/>
        <v>37.961486222135925</v>
      </c>
      <c r="U818" s="1952">
        <f t="shared" si="133"/>
        <v>30.756963219286419</v>
      </c>
      <c r="V818" s="1953">
        <f t="shared" si="134"/>
        <v>-3.8178529044424074</v>
      </c>
      <c r="W818" s="3284">
        <f t="shared" si="131"/>
        <v>1.2342403881515795</v>
      </c>
      <c r="X818" s="3295"/>
      <c r="Y818" s="3318"/>
      <c r="AA818" s="3301"/>
      <c r="AB818" s="3409"/>
      <c r="AE818" s="1056"/>
    </row>
    <row r="819" spans="2:31" ht="16" thickBot="1" x14ac:dyDescent="0.25">
      <c r="B819" s="2981">
        <f>SUM(K815:K821)</f>
        <v>315</v>
      </c>
      <c r="C819" s="1939">
        <v>43917</v>
      </c>
      <c r="D819" s="2108">
        <v>39</v>
      </c>
      <c r="E819" s="2109" t="s">
        <v>835</v>
      </c>
      <c r="F819" s="2722" t="s">
        <v>824</v>
      </c>
      <c r="G819" s="2110">
        <v>3.5428240740740739E-2</v>
      </c>
      <c r="H819" s="2111">
        <v>9.16</v>
      </c>
      <c r="I819" s="2112">
        <f t="shared" si="130"/>
        <v>3.867711871259906E-3</v>
      </c>
      <c r="J819" s="2113">
        <v>135</v>
      </c>
      <c r="K819" s="2114">
        <v>56</v>
      </c>
      <c r="L819" s="2806">
        <v>211.4</v>
      </c>
      <c r="M819" s="2829"/>
      <c r="N819" s="2115">
        <f t="shared" si="132"/>
        <v>1.0543821286580199</v>
      </c>
      <c r="O819" s="2116" t="s">
        <v>783</v>
      </c>
      <c r="P819" s="1993">
        <f>IFERROR(VLOOKUP(F819,Trainingsarten!$A$9:$N$84,12,FALSE),"")</f>
        <v>169.39999999999998</v>
      </c>
      <c r="Q819" s="1994" t="s">
        <v>437</v>
      </c>
      <c r="R819" s="1086">
        <f>IFERROR(VLOOKUP(F819,Trainingsarten!$A$9:$N$84,14,FALSE),"")</f>
        <v>193.60000000000002</v>
      </c>
      <c r="S819" s="1087">
        <f t="shared" si="129"/>
        <v>1.5659259259259259</v>
      </c>
      <c r="T819" s="1951">
        <f t="shared" si="135"/>
        <v>40.538416761830796</v>
      </c>
      <c r="U819" s="1952">
        <f t="shared" si="133"/>
        <v>31.357987904541503</v>
      </c>
      <c r="V819" s="1953">
        <f t="shared" si="134"/>
        <v>-7.2045230028495055</v>
      </c>
      <c r="W819" s="3284">
        <f t="shared" si="131"/>
        <v>1.292762051099577</v>
      </c>
      <c r="X819" s="3295"/>
      <c r="Y819" s="3318"/>
      <c r="AA819" s="3301"/>
      <c r="AB819" s="3409"/>
      <c r="AE819" s="1056"/>
    </row>
    <row r="820" spans="2:31" x14ac:dyDescent="0.2">
      <c r="B820" s="2982" t="s">
        <v>761</v>
      </c>
      <c r="C820" s="1939">
        <v>43918</v>
      </c>
      <c r="D820" s="2130">
        <v>40</v>
      </c>
      <c r="E820" s="2131" t="s">
        <v>835</v>
      </c>
      <c r="F820" s="2722" t="s">
        <v>802</v>
      </c>
      <c r="G820" s="2110">
        <v>3.876157407407408E-2</v>
      </c>
      <c r="H820" s="2111">
        <v>10.37</v>
      </c>
      <c r="I820" s="2112">
        <f t="shared" si="130"/>
        <v>3.7378567091681855E-3</v>
      </c>
      <c r="J820" s="2113">
        <v>136</v>
      </c>
      <c r="K820" s="2114">
        <v>65</v>
      </c>
      <c r="L820" s="2806">
        <v>217.9</v>
      </c>
      <c r="M820" s="2829"/>
      <c r="N820" s="2115">
        <f t="shared" si="132"/>
        <v>1.0503131881575734</v>
      </c>
      <c r="O820" s="2116" t="s">
        <v>783</v>
      </c>
      <c r="P820" s="1993">
        <f>IFERROR(VLOOKUP(F820,Trainingsarten!$A$9:$N$84,12,FALSE),"")</f>
        <v>194.60000000000002</v>
      </c>
      <c r="Q820" s="1994" t="s">
        <v>437</v>
      </c>
      <c r="R820" s="1086">
        <f>IFERROR(VLOOKUP(F820,Trainingsarten!$A$9:$N$84,14,FALSE),"")</f>
        <v>212.96</v>
      </c>
      <c r="S820" s="1087">
        <f t="shared" si="129"/>
        <v>1.6022058823529413</v>
      </c>
      <c r="T820" s="1951">
        <f t="shared" si="135"/>
        <v>44.032928652997825</v>
      </c>
      <c r="U820" s="1952">
        <f t="shared" si="133"/>
        <v>32.158988192528611</v>
      </c>
      <c r="V820" s="1953">
        <f t="shared" si="134"/>
        <v>-9.1804288572892929</v>
      </c>
      <c r="W820" s="3284">
        <f t="shared" si="131"/>
        <v>1.3692261830310894</v>
      </c>
      <c r="X820" s="3295"/>
      <c r="Y820" s="3318"/>
      <c r="AA820" s="3301"/>
      <c r="AB820" s="3409"/>
      <c r="AE820" s="1056"/>
    </row>
    <row r="821" spans="2:31" ht="16" thickBot="1" x14ac:dyDescent="0.25">
      <c r="B821" s="2983">
        <f>AVERAGE(W815:W821)</f>
        <v>1.2804306617017855</v>
      </c>
      <c r="C821" s="2117">
        <v>43919</v>
      </c>
      <c r="D821" s="2050">
        <v>41</v>
      </c>
      <c r="E821" s="2051" t="s">
        <v>835</v>
      </c>
      <c r="F821" s="2723" t="s">
        <v>802</v>
      </c>
      <c r="G821" s="2120">
        <v>4.2905092592592592E-2</v>
      </c>
      <c r="H821" s="2121">
        <v>11.57</v>
      </c>
      <c r="I821" s="2122">
        <f t="shared" si="130"/>
        <v>3.7083053234738626E-3</v>
      </c>
      <c r="J821" s="2123">
        <v>138</v>
      </c>
      <c r="K821" s="2124">
        <v>72</v>
      </c>
      <c r="L821" s="2807">
        <v>219.5</v>
      </c>
      <c r="M821" s="2830"/>
      <c r="N821" s="1223">
        <f t="shared" si="132"/>
        <v>1.0496607283375687</v>
      </c>
      <c r="O821" s="2125" t="s">
        <v>751</v>
      </c>
      <c r="P821" s="2126">
        <f>IFERROR(VLOOKUP(F821,Trainingsarten!$A$9:$N$84,12,FALSE),"")</f>
        <v>194.60000000000002</v>
      </c>
      <c r="Q821" s="2127" t="s">
        <v>437</v>
      </c>
      <c r="R821" s="1105">
        <f>IFERROR(VLOOKUP(F821,Trainingsarten!$A$9:$N$84,14,FALSE),"")</f>
        <v>212.96</v>
      </c>
      <c r="S821" s="1106">
        <f t="shared" si="129"/>
        <v>1.5905797101449275</v>
      </c>
      <c r="T821" s="2104">
        <f t="shared" si="135"/>
        <v>48.02822455971242</v>
      </c>
      <c r="U821" s="2105">
        <f t="shared" si="133"/>
        <v>33.107583711754117</v>
      </c>
      <c r="V821" s="2105">
        <f t="shared" si="134"/>
        <v>-11.873940460469214</v>
      </c>
      <c r="W821" s="3285">
        <f t="shared" si="131"/>
        <v>1.4506713923269809</v>
      </c>
      <c r="X821" s="3295"/>
      <c r="Y821" s="3318"/>
      <c r="AA821" s="3301"/>
      <c r="AB821" s="3409"/>
      <c r="AE821" s="1056"/>
    </row>
    <row r="822" spans="2:31" ht="16" thickBot="1" x14ac:dyDescent="0.25">
      <c r="B822" s="2985">
        <f>B815+1</f>
        <v>14</v>
      </c>
      <c r="C822" s="1909">
        <v>43920</v>
      </c>
      <c r="D822" s="1278"/>
      <c r="E822" s="1398"/>
      <c r="F822" s="2724"/>
      <c r="G822" s="1489"/>
      <c r="H822" s="1776" t="str">
        <f>IFERROR(VLOOKUP(F822,Trainingsarten!$A$9:$K$84,10,FALSE),"")</f>
        <v/>
      </c>
      <c r="I822" s="1399" t="str">
        <f t="shared" si="130"/>
        <v/>
      </c>
      <c r="J822" s="1118"/>
      <c r="K822" s="1117" t="str">
        <f>IFERROR(VLOOKUP(F822,Trainingsarten!$A$9:$K$84,11,FALSE),"0")</f>
        <v>0</v>
      </c>
      <c r="L822" s="1118"/>
      <c r="M822" s="2825"/>
      <c r="N822" s="1119" t="str">
        <f t="shared" si="132"/>
        <v/>
      </c>
      <c r="O822" s="1777"/>
      <c r="P822" s="1277" t="str">
        <f>IFERROR(VLOOKUP(F822,Trainingsarten!$A$9:$N$84,12,FALSE),"")</f>
        <v/>
      </c>
      <c r="Q822" s="1122" t="s">
        <v>437</v>
      </c>
      <c r="R822" s="1122" t="str">
        <f>IFERROR(VLOOKUP(F822,Trainingsarten!$A$9:$N$84,14,FALSE),"")</f>
        <v/>
      </c>
      <c r="S822" s="1070" t="str">
        <f t="shared" si="129"/>
        <v/>
      </c>
      <c r="T822" s="1921">
        <f t="shared" si="135"/>
        <v>41.167049622610648</v>
      </c>
      <c r="U822" s="2088">
        <f t="shared" si="133"/>
        <v>32.319307909093304</v>
      </c>
      <c r="V822" s="1966">
        <f t="shared" si="134"/>
        <v>-14.920640847958303</v>
      </c>
      <c r="W822" s="3286">
        <f t="shared" si="131"/>
        <v>1.2737602469212517</v>
      </c>
      <c r="X822" s="3305"/>
      <c r="Y822" s="3319"/>
      <c r="AA822" s="3301"/>
      <c r="AB822" s="3409"/>
      <c r="AE822" s="1056"/>
    </row>
    <row r="823" spans="2:31" x14ac:dyDescent="0.2">
      <c r="B823" s="2978" t="s">
        <v>626</v>
      </c>
      <c r="C823" s="1939">
        <v>43921</v>
      </c>
      <c r="D823" s="2132"/>
      <c r="E823" s="2133"/>
      <c r="F823" s="2722"/>
      <c r="G823" s="2134"/>
      <c r="H823" s="2135" t="str">
        <f>IFERROR(VLOOKUP(F823,Trainingsarten!$A$9:$K$84,10,FALSE),"")</f>
        <v/>
      </c>
      <c r="I823" s="1902" t="str">
        <f t="shared" si="130"/>
        <v/>
      </c>
      <c r="J823" s="2136"/>
      <c r="K823" s="2137" t="str">
        <f>IFERROR(VLOOKUP(F823,Trainingsarten!$A$9:$K$84,11,FALSE),"0")</f>
        <v>0</v>
      </c>
      <c r="L823" s="2801"/>
      <c r="M823" s="2823"/>
      <c r="N823" s="1831" t="str">
        <f t="shared" si="132"/>
        <v/>
      </c>
      <c r="O823" s="2138"/>
      <c r="P823" s="1755" t="str">
        <f>IFERROR(VLOOKUP(F823,Trainingsarten!$A$9:$N$84,12,FALSE),"")</f>
        <v/>
      </c>
      <c r="Q823" s="1756" t="s">
        <v>437</v>
      </c>
      <c r="R823" s="1086" t="str">
        <f>IFERROR(VLOOKUP(F823,Trainingsarten!$A$9:$N$84,14,FALSE),"")</f>
        <v/>
      </c>
      <c r="S823" s="1087" t="str">
        <f t="shared" si="129"/>
        <v/>
      </c>
      <c r="T823" s="1951">
        <f t="shared" si="135"/>
        <v>35.286042533666269</v>
      </c>
      <c r="U823" s="1952">
        <f t="shared" si="133"/>
        <v>31.549800577924415</v>
      </c>
      <c r="V823" s="1953">
        <f t="shared" si="134"/>
        <v>-8.847741713517344</v>
      </c>
      <c r="W823" s="3284">
        <f t="shared" si="131"/>
        <v>1.1184236314430502</v>
      </c>
      <c r="X823" s="3305"/>
      <c r="Y823" s="3319"/>
      <c r="AA823" s="3301"/>
      <c r="AB823" s="3409"/>
      <c r="AE823" s="1056"/>
    </row>
    <row r="824" spans="2:31" ht="16" thickBot="1" x14ac:dyDescent="0.25">
      <c r="B824" s="2979">
        <f>SUM(H822:H828)</f>
        <v>33.950000000000003</v>
      </c>
      <c r="C824" s="1939">
        <v>43922</v>
      </c>
      <c r="D824" s="2132">
        <v>42</v>
      </c>
      <c r="E824" s="2133" t="s">
        <v>835</v>
      </c>
      <c r="F824" s="2722" t="s">
        <v>827</v>
      </c>
      <c r="G824" s="2134">
        <v>3.5335648148148151E-2</v>
      </c>
      <c r="H824" s="2135">
        <v>9.64</v>
      </c>
      <c r="I824" s="1902">
        <f t="shared" si="130"/>
        <v>3.6655236668203472E-3</v>
      </c>
      <c r="J824" s="2136">
        <v>142</v>
      </c>
      <c r="K824" s="2137">
        <v>64</v>
      </c>
      <c r="L824" s="2801">
        <v>222</v>
      </c>
      <c r="M824" s="2823"/>
      <c r="N824" s="1831">
        <f t="shared" si="132"/>
        <v>1.0493683037096673</v>
      </c>
      <c r="O824" s="2138" t="s">
        <v>783</v>
      </c>
      <c r="P824" s="1755">
        <f>IFERROR(VLOOKUP(F824,Trainingsarten!$A$9:$N$84,12,FALSE),"")</f>
        <v>194.60000000000002</v>
      </c>
      <c r="Q824" s="1756" t="s">
        <v>437</v>
      </c>
      <c r="R824" s="1086">
        <f>IFERROR(VLOOKUP(F824,Trainingsarten!$A$9:$N$84,14,FALSE),"")</f>
        <v>212.96</v>
      </c>
      <c r="S824" s="1087">
        <f t="shared" si="129"/>
        <v>1.5633802816901408</v>
      </c>
      <c r="T824" s="1951">
        <f t="shared" si="135"/>
        <v>39.388036457428228</v>
      </c>
      <c r="U824" s="1952">
        <f t="shared" si="133"/>
        <v>32.322424373688122</v>
      </c>
      <c r="V824" s="1953">
        <f t="shared" si="134"/>
        <v>-3.7362419557418534</v>
      </c>
      <c r="W824" s="3284">
        <f t="shared" si="131"/>
        <v>1.2185978378989364</v>
      </c>
      <c r="X824" s="3305"/>
      <c r="Y824" s="3319"/>
      <c r="AA824" s="3301"/>
      <c r="AB824" s="3409"/>
      <c r="AE824" s="1056"/>
    </row>
    <row r="825" spans="2:31" x14ac:dyDescent="0.2">
      <c r="B825" s="2980" t="s">
        <v>628</v>
      </c>
      <c r="C825" s="1939">
        <v>43923</v>
      </c>
      <c r="D825" s="2132"/>
      <c r="E825" s="2133"/>
      <c r="F825" s="2722"/>
      <c r="G825" s="1942"/>
      <c r="H825" s="1826" t="str">
        <f>IFERROR(VLOOKUP(F825,Trainingsarten!$A$9:$K$84,10,FALSE),"")</f>
        <v/>
      </c>
      <c r="I825" s="1902" t="str">
        <f t="shared" si="130"/>
        <v/>
      </c>
      <c r="J825" s="1945"/>
      <c r="K825" s="1946" t="str">
        <f>IFERROR(VLOOKUP(F825,Trainingsarten!$A$9:$K$84,11,FALSE),"0")</f>
        <v>0</v>
      </c>
      <c r="L825" s="2806"/>
      <c r="M825" s="2829"/>
      <c r="N825" s="1831" t="str">
        <f t="shared" si="132"/>
        <v/>
      </c>
      <c r="O825" s="1948"/>
      <c r="P825" s="1755" t="str">
        <f>IFERROR(VLOOKUP(F825,Trainingsarten!$A$9:$N$84,12,FALSE),"")</f>
        <v/>
      </c>
      <c r="Q825" s="1756" t="s">
        <v>437</v>
      </c>
      <c r="R825" s="1086" t="str">
        <f>IFERROR(VLOOKUP(F825,Trainingsarten!$A$9:$N$84,14,FALSE),"")</f>
        <v/>
      </c>
      <c r="S825" s="1087" t="str">
        <f t="shared" si="129"/>
        <v/>
      </c>
      <c r="T825" s="1951">
        <f t="shared" si="135"/>
        <v>33.761174106367051</v>
      </c>
      <c r="U825" s="1952">
        <f t="shared" si="133"/>
        <v>31.552842840981263</v>
      </c>
      <c r="V825" s="1953">
        <f t="shared" si="134"/>
        <v>-7.0656120837401062</v>
      </c>
      <c r="W825" s="3284">
        <f t="shared" si="131"/>
        <v>1.0699883454722368</v>
      </c>
      <c r="X825" s="3295"/>
      <c r="Y825" s="3318"/>
      <c r="AA825" s="3301"/>
      <c r="AB825" s="3409"/>
      <c r="AE825" s="1056"/>
    </row>
    <row r="826" spans="2:31" ht="16" thickBot="1" x14ac:dyDescent="0.25">
      <c r="B826" s="2981">
        <f>SUM(K822:K828)</f>
        <v>219</v>
      </c>
      <c r="C826" s="1939">
        <v>43924</v>
      </c>
      <c r="D826" s="2132">
        <v>43</v>
      </c>
      <c r="E826" s="2133" t="s">
        <v>836</v>
      </c>
      <c r="F826" s="2722" t="s">
        <v>827</v>
      </c>
      <c r="G826" s="1942">
        <v>3.4305555555555554E-2</v>
      </c>
      <c r="H826" s="1826">
        <v>9.7100000000000009</v>
      </c>
      <c r="I826" s="1902">
        <f t="shared" si="130"/>
        <v>3.5330129305412516E-3</v>
      </c>
      <c r="J826" s="1945">
        <v>141</v>
      </c>
      <c r="K826" s="1946">
        <v>64</v>
      </c>
      <c r="L826" s="2806">
        <v>231.3</v>
      </c>
      <c r="M826" s="2829"/>
      <c r="N826" s="1831">
        <f t="shared" si="132"/>
        <v>1.0538038950458828</v>
      </c>
      <c r="O826" s="1948" t="s">
        <v>783</v>
      </c>
      <c r="P826" s="1755">
        <f>IFERROR(VLOOKUP(F826,Trainingsarten!$A$9:$N$84,12,FALSE),"")</f>
        <v>194.60000000000002</v>
      </c>
      <c r="Q826" s="1756" t="s">
        <v>437</v>
      </c>
      <c r="R826" s="1086">
        <f>IFERROR(VLOOKUP(F826,Trainingsarten!$A$9:$N$84,14,FALSE),"")</f>
        <v>212.96</v>
      </c>
      <c r="S826" s="1087">
        <f t="shared" si="129"/>
        <v>1.6404255319148937</v>
      </c>
      <c r="T826" s="1951">
        <f t="shared" si="135"/>
        <v>38.081006376886045</v>
      </c>
      <c r="U826" s="1952">
        <f t="shared" si="133"/>
        <v>32.325394201910278</v>
      </c>
      <c r="V826" s="1953">
        <f t="shared" si="134"/>
        <v>-2.2083312653857874</v>
      </c>
      <c r="W826" s="3284">
        <f t="shared" si="131"/>
        <v>1.1780523429668071</v>
      </c>
      <c r="X826" s="3295"/>
      <c r="Y826" s="3318"/>
      <c r="AA826" s="3301"/>
      <c r="AB826" s="3409"/>
      <c r="AE826" s="1056"/>
    </row>
    <row r="827" spans="2:31" x14ac:dyDescent="0.2">
      <c r="B827" s="2982" t="s">
        <v>761</v>
      </c>
      <c r="C827" s="1939">
        <v>43925</v>
      </c>
      <c r="D827" s="2132"/>
      <c r="E827" s="2133"/>
      <c r="F827" s="2722"/>
      <c r="G827" s="1942"/>
      <c r="H827" s="1826" t="str">
        <f>IFERROR(VLOOKUP(F827,Trainingsarten!$A$9:$K$84,10,FALSE),"")</f>
        <v/>
      </c>
      <c r="I827" s="1902" t="str">
        <f t="shared" si="130"/>
        <v/>
      </c>
      <c r="J827" s="1945"/>
      <c r="K827" s="1946" t="str">
        <f>IFERROR(VLOOKUP(F827,Trainingsarten!$A$9:$K$84,11,FALSE),"0")</f>
        <v>0</v>
      </c>
      <c r="L827" s="2806"/>
      <c r="M827" s="2829"/>
      <c r="N827" s="1831" t="str">
        <f t="shared" si="132"/>
        <v/>
      </c>
      <c r="O827" s="1948"/>
      <c r="P827" s="1755" t="str">
        <f>IFERROR(VLOOKUP(F827,Trainingsarten!$A$9:$N$84,12,FALSE),"")</f>
        <v/>
      </c>
      <c r="Q827" s="1756" t="s">
        <v>437</v>
      </c>
      <c r="R827" s="1086" t="str">
        <f>IFERROR(VLOOKUP(F827,Trainingsarten!$A$9:$N$84,14,FALSE),"")</f>
        <v/>
      </c>
      <c r="S827" s="1087" t="str">
        <f t="shared" si="129"/>
        <v/>
      </c>
      <c r="T827" s="1951">
        <f t="shared" si="135"/>
        <v>32.64086260875947</v>
      </c>
      <c r="U827" s="1952">
        <f t="shared" si="133"/>
        <v>31.555741959007651</v>
      </c>
      <c r="V827" s="1953">
        <f t="shared" si="134"/>
        <v>-5.7556121749757665</v>
      </c>
      <c r="W827" s="3284">
        <f t="shared" si="131"/>
        <v>1.0343874230928063</v>
      </c>
      <c r="X827" s="3295"/>
      <c r="Y827" s="3318"/>
      <c r="AA827" s="3301"/>
      <c r="AB827" s="3409"/>
      <c r="AE827" s="1056"/>
    </row>
    <row r="828" spans="2:31" ht="16" thickBot="1" x14ac:dyDescent="0.25">
      <c r="B828" s="2983">
        <f>AVERAGE(W822:W828)</f>
        <v>1.162293280484241</v>
      </c>
      <c r="C828" s="2117">
        <v>43926</v>
      </c>
      <c r="D828" s="2139">
        <v>44</v>
      </c>
      <c r="E828" s="2140" t="s">
        <v>835</v>
      </c>
      <c r="F828" s="2723" t="s">
        <v>804</v>
      </c>
      <c r="G828" s="2097">
        <v>5.4201388888888889E-2</v>
      </c>
      <c r="H828" s="2098">
        <v>14.6</v>
      </c>
      <c r="I828" s="2099">
        <f t="shared" si="130"/>
        <v>3.7124238964992393E-3</v>
      </c>
      <c r="J828" s="2100">
        <v>136</v>
      </c>
      <c r="K828" s="2101">
        <v>91</v>
      </c>
      <c r="L828" s="2808">
        <v>219</v>
      </c>
      <c r="M828" s="2832"/>
      <c r="N828" s="2102">
        <f t="shared" si="132"/>
        <v>1.0484328358208956</v>
      </c>
      <c r="O828" s="2103" t="s">
        <v>751</v>
      </c>
      <c r="P828" s="2027">
        <f>IFERROR(VLOOKUP(F828,Trainingsarten!$A$9:$N$84,12,FALSE),"")</f>
        <v>194.60000000000002</v>
      </c>
      <c r="Q828" s="1151" t="s">
        <v>437</v>
      </c>
      <c r="R828" s="1151">
        <f>IFERROR(VLOOKUP(F828,Trainingsarten!$A$9:$N$84,14,FALSE),"")</f>
        <v>212.96</v>
      </c>
      <c r="S828" s="1106">
        <f t="shared" si="129"/>
        <v>1.6102941176470589</v>
      </c>
      <c r="T828" s="2104">
        <f t="shared" si="135"/>
        <v>40.977882236079544</v>
      </c>
      <c r="U828" s="2105">
        <f t="shared" si="133"/>
        <v>32.971081436174138</v>
      </c>
      <c r="V828" s="2105">
        <f t="shared" si="134"/>
        <v>-1.0851206497518184</v>
      </c>
      <c r="W828" s="3287">
        <f t="shared" si="131"/>
        <v>1.242843135594599</v>
      </c>
      <c r="X828" s="3295"/>
      <c r="Y828" s="3318"/>
      <c r="AA828" s="3301"/>
      <c r="AB828" s="3409"/>
      <c r="AE828" s="1056"/>
    </row>
    <row r="829" spans="2:31" ht="16" thickBot="1" x14ac:dyDescent="0.25">
      <c r="B829" s="2985">
        <f>B822+1</f>
        <v>15</v>
      </c>
      <c r="C829" s="1909">
        <v>43927</v>
      </c>
      <c r="D829" s="2068"/>
      <c r="E829" s="2069"/>
      <c r="F829" s="2724"/>
      <c r="G829" s="2032"/>
      <c r="H829" s="2141" t="str">
        <f>IFERROR(VLOOKUP(F829,Trainingsarten!$A$9:$K$84,10,FALSE),"")</f>
        <v/>
      </c>
      <c r="I829" s="2034" t="str">
        <f t="shared" si="130"/>
        <v/>
      </c>
      <c r="J829" s="2035"/>
      <c r="K829" s="2036" t="str">
        <f>IFERROR(VLOOKUP(F829,Trainingsarten!$A$9:$K$84,11,FALSE),"0")</f>
        <v>0</v>
      </c>
      <c r="L829" s="1915"/>
      <c r="M829" s="2833"/>
      <c r="N829" s="2037" t="str">
        <f t="shared" si="132"/>
        <v/>
      </c>
      <c r="O829" s="2038"/>
      <c r="P829" s="2039" t="str">
        <f>IFERROR(VLOOKUP(F829,Trainingsarten!$A$9:$N$84,12,FALSE),"")</f>
        <v/>
      </c>
      <c r="Q829" s="1069" t="s">
        <v>437</v>
      </c>
      <c r="R829" s="1069" t="str">
        <f>IFERROR(VLOOKUP(F829,Trainingsarten!$A$9:$N$84,14,FALSE),"")</f>
        <v/>
      </c>
      <c r="S829" s="1070" t="str">
        <f t="shared" si="129"/>
        <v/>
      </c>
      <c r="T829" s="1921">
        <f t="shared" si="135"/>
        <v>35.12389905949675</v>
      </c>
      <c r="U829" s="1922">
        <f t="shared" si="133"/>
        <v>32.186055687693802</v>
      </c>
      <c r="V829" s="1966">
        <f t="shared" si="134"/>
        <v>-8.0068007999054061</v>
      </c>
      <c r="W829" s="3283">
        <f t="shared" si="131"/>
        <v>1.0912768995464772</v>
      </c>
      <c r="X829" s="3295"/>
      <c r="Y829" s="3318"/>
      <c r="AA829" s="3301"/>
      <c r="AB829" s="3409"/>
      <c r="AE829" s="1056"/>
    </row>
    <row r="830" spans="2:31" x14ac:dyDescent="0.2">
      <c r="B830" s="2978" t="s">
        <v>626</v>
      </c>
      <c r="C830" s="1939">
        <v>43928</v>
      </c>
      <c r="D830" s="2142">
        <v>45</v>
      </c>
      <c r="E830" s="2143" t="s">
        <v>835</v>
      </c>
      <c r="F830" s="2722" t="s">
        <v>827</v>
      </c>
      <c r="G830" s="2110">
        <v>3.5995370370370372E-2</v>
      </c>
      <c r="H830" s="2144">
        <v>9.6999999999999993</v>
      </c>
      <c r="I830" s="2112">
        <f t="shared" si="130"/>
        <v>3.7108629247804511E-3</v>
      </c>
      <c r="J830" s="2113"/>
      <c r="K830" s="2114">
        <v>60</v>
      </c>
      <c r="L830" s="2806">
        <v>218</v>
      </c>
      <c r="M830" s="2829"/>
      <c r="N830" s="2115">
        <f t="shared" si="132"/>
        <v>1.0432066471764891</v>
      </c>
      <c r="O830" s="2116" t="s">
        <v>783</v>
      </c>
      <c r="P830" s="1993">
        <f>IFERROR(VLOOKUP(F830,Trainingsarten!$A$9:$N$84,12,FALSE),"")</f>
        <v>194.60000000000002</v>
      </c>
      <c r="Q830" s="1994" t="s">
        <v>437</v>
      </c>
      <c r="R830" s="1086">
        <f>IFERROR(VLOOKUP(F830,Trainingsarten!$A$9:$N$84,14,FALSE),"")</f>
        <v>212.96</v>
      </c>
      <c r="S830" s="1087" t="str">
        <f t="shared" si="129"/>
        <v/>
      </c>
      <c r="T830" s="1951">
        <f t="shared" si="135"/>
        <v>38.677627765282928</v>
      </c>
      <c r="U830" s="1952">
        <f t="shared" si="133"/>
        <v>32.848292457034425</v>
      </c>
      <c r="V830" s="1953">
        <f t="shared" si="134"/>
        <v>-2.9378433718029484</v>
      </c>
      <c r="W830" s="3284">
        <f t="shared" si="131"/>
        <v>1.1774623541200284</v>
      </c>
      <c r="X830" s="3295"/>
      <c r="Y830" s="3318"/>
      <c r="AA830" s="3301"/>
      <c r="AB830" s="3409"/>
      <c r="AE830" s="1056"/>
    </row>
    <row r="831" spans="2:31" ht="16" thickBot="1" x14ac:dyDescent="0.25">
      <c r="B831" s="2979">
        <f>SUM(H829:H835)</f>
        <v>45.7</v>
      </c>
      <c r="C831" s="1939">
        <v>43929</v>
      </c>
      <c r="D831" s="2142"/>
      <c r="E831" s="2143"/>
      <c r="F831" s="2722"/>
      <c r="G831" s="2110"/>
      <c r="H831" s="2144" t="str">
        <f>IFERROR(VLOOKUP(F831,Trainingsarten!$A$9:$K$84,10,FALSE),"")</f>
        <v/>
      </c>
      <c r="I831" s="2112" t="str">
        <f t="shared" si="130"/>
        <v/>
      </c>
      <c r="J831" s="2113"/>
      <c r="K831" s="2114" t="str">
        <f>IFERROR(VLOOKUP(F831,Trainingsarten!$A$9:$K$84,11,FALSE),"0")</f>
        <v>0</v>
      </c>
      <c r="L831" s="2806"/>
      <c r="M831" s="2829"/>
      <c r="N831" s="2115" t="str">
        <f t="shared" si="132"/>
        <v/>
      </c>
      <c r="O831" s="2116"/>
      <c r="P831" s="1993" t="str">
        <f>IFERROR(VLOOKUP(F831,Trainingsarten!$A$9:$N$84,12,FALSE),"")</f>
        <v/>
      </c>
      <c r="Q831" s="1994" t="s">
        <v>437</v>
      </c>
      <c r="R831" s="1086" t="str">
        <f>IFERROR(VLOOKUP(F831,Trainingsarten!$A$9:$N$84,14,FALSE),"")</f>
        <v/>
      </c>
      <c r="S831" s="1087" t="str">
        <f t="shared" si="129"/>
        <v/>
      </c>
      <c r="T831" s="1951">
        <f t="shared" si="135"/>
        <v>33.152252370242508</v>
      </c>
      <c r="U831" s="1952">
        <f t="shared" si="133"/>
        <v>32.06619025567646</v>
      </c>
      <c r="V831" s="1953">
        <f t="shared" si="134"/>
        <v>-5.8293353082485027</v>
      </c>
      <c r="W831" s="3284">
        <f t="shared" si="131"/>
        <v>1.0338693841053908</v>
      </c>
      <c r="X831" s="3295"/>
      <c r="Y831" s="3318"/>
      <c r="AA831" s="3301"/>
      <c r="AB831" s="3409"/>
      <c r="AE831" s="1056"/>
    </row>
    <row r="832" spans="2:31" x14ac:dyDescent="0.2">
      <c r="B832" s="2980" t="s">
        <v>628</v>
      </c>
      <c r="C832" s="1939">
        <v>43930</v>
      </c>
      <c r="D832" s="2142">
        <v>46</v>
      </c>
      <c r="E832" s="2143" t="s">
        <v>836</v>
      </c>
      <c r="F832" s="2722" t="s">
        <v>829</v>
      </c>
      <c r="G832" s="2110">
        <v>3.0706018518518521E-2</v>
      </c>
      <c r="H832" s="2144">
        <v>9.73</v>
      </c>
      <c r="I832" s="2112">
        <f t="shared" si="130"/>
        <v>3.1558086863842259E-3</v>
      </c>
      <c r="J832" s="2113">
        <v>156</v>
      </c>
      <c r="K832" s="2114">
        <v>70</v>
      </c>
      <c r="L832" s="2806">
        <v>253.6</v>
      </c>
      <c r="M832" s="2829"/>
      <c r="N832" s="2115">
        <f t="shared" si="132"/>
        <v>1.032045527756899</v>
      </c>
      <c r="O832" s="2116" t="s">
        <v>821</v>
      </c>
      <c r="P832" s="1993">
        <f>IFERROR(VLOOKUP(F832,Trainingsarten!$A$9:$N$84,12,FALSE),"")</f>
        <v>230.89999999999998</v>
      </c>
      <c r="Q832" s="1994" t="s">
        <v>437</v>
      </c>
      <c r="R832" s="1086">
        <f>IFERROR(VLOOKUP(F832,Trainingsarten!$A$9:$N$84,14,FALSE),"")</f>
        <v>254.10000000000002</v>
      </c>
      <c r="S832" s="1087">
        <f t="shared" si="129"/>
        <v>1.6256410256410256</v>
      </c>
      <c r="T832" s="1951">
        <f t="shared" si="135"/>
        <v>38.416216317350724</v>
      </c>
      <c r="U832" s="1952">
        <f t="shared" si="133"/>
        <v>32.96937620196988</v>
      </c>
      <c r="V832" s="1953">
        <f t="shared" si="134"/>
        <v>-1.0860621145660474</v>
      </c>
      <c r="W832" s="3284">
        <f t="shared" si="131"/>
        <v>1.1652090740817658</v>
      </c>
      <c r="X832" s="3295"/>
      <c r="Y832" s="3318"/>
      <c r="AA832" s="3301"/>
      <c r="AB832" s="3409"/>
      <c r="AE832" s="1056"/>
    </row>
    <row r="833" spans="2:31" ht="16" thickBot="1" x14ac:dyDescent="0.25">
      <c r="B833" s="2981">
        <f>SUM(K829:K835)</f>
        <v>294</v>
      </c>
      <c r="C833" s="1939">
        <v>43931</v>
      </c>
      <c r="D833" s="2142">
        <v>47</v>
      </c>
      <c r="E833" s="2143" t="s">
        <v>835</v>
      </c>
      <c r="F833" s="2722" t="s">
        <v>827</v>
      </c>
      <c r="G833" s="2110">
        <v>3.6284722222222225E-2</v>
      </c>
      <c r="H833" s="2144">
        <v>9.56</v>
      </c>
      <c r="I833" s="2112">
        <f t="shared" si="130"/>
        <v>3.7954730357973037E-3</v>
      </c>
      <c r="J833" s="2113">
        <v>141</v>
      </c>
      <c r="K833" s="2114">
        <v>59</v>
      </c>
      <c r="L833" s="2806">
        <v>216</v>
      </c>
      <c r="M833" s="2829"/>
      <c r="N833" s="2115">
        <f t="shared" si="132"/>
        <v>1.0572035221382627</v>
      </c>
      <c r="O833" s="2116" t="s">
        <v>783</v>
      </c>
      <c r="P833" s="1993">
        <f>IFERROR(VLOOKUP(F833,Trainingsarten!$A$9:$N$84,12,FALSE),"")</f>
        <v>194.60000000000002</v>
      </c>
      <c r="Q833" s="1994" t="s">
        <v>437</v>
      </c>
      <c r="R833" s="1086">
        <f>IFERROR(VLOOKUP(F833,Trainingsarten!$A$9:$N$84,14,FALSE),"")</f>
        <v>212.96</v>
      </c>
      <c r="S833" s="1087">
        <f t="shared" si="129"/>
        <v>1.5319148936170213</v>
      </c>
      <c r="T833" s="1951">
        <f t="shared" si="135"/>
        <v>41.356756843443478</v>
      </c>
      <c r="U833" s="1952">
        <f t="shared" si="133"/>
        <v>33.589152959065835</v>
      </c>
      <c r="V833" s="1953">
        <f t="shared" si="134"/>
        <v>-5.4468401153808443</v>
      </c>
      <c r="W833" s="3284">
        <f t="shared" si="131"/>
        <v>1.2312533422275878</v>
      </c>
      <c r="X833" s="3295"/>
      <c r="Y833" s="3318"/>
      <c r="AA833" s="3301"/>
      <c r="AB833" s="3409"/>
      <c r="AE833" s="1056"/>
    </row>
    <row r="834" spans="2:31" x14ac:dyDescent="0.2">
      <c r="B834" s="2982" t="s">
        <v>761</v>
      </c>
      <c r="C834" s="1939">
        <v>43932</v>
      </c>
      <c r="D834" s="2142"/>
      <c r="E834" s="2143"/>
      <c r="F834" s="2722"/>
      <c r="G834" s="2110"/>
      <c r="H834" s="2144" t="str">
        <f>IFERROR(VLOOKUP(F834,Trainingsarten!$A$9:$K$84,10,FALSE),"")</f>
        <v/>
      </c>
      <c r="I834" s="2112" t="str">
        <f t="shared" si="130"/>
        <v/>
      </c>
      <c r="J834" s="2113"/>
      <c r="K834" s="2114" t="str">
        <f>IFERROR(VLOOKUP(F834,Trainingsarten!$A$9:$K$84,11,FALSE),"0")</f>
        <v>0</v>
      </c>
      <c r="L834" s="2806"/>
      <c r="M834" s="2829"/>
      <c r="N834" s="2115" t="str">
        <f t="shared" si="132"/>
        <v/>
      </c>
      <c r="O834" s="2116"/>
      <c r="P834" s="1993" t="str">
        <f>IFERROR(VLOOKUP(F834,Trainingsarten!$A$9:$N$84,12,FALSE),"")</f>
        <v/>
      </c>
      <c r="Q834" s="1994" t="s">
        <v>437</v>
      </c>
      <c r="R834" s="1086" t="str">
        <f>IFERROR(VLOOKUP(F834,Trainingsarten!$A$9:$N$84,14,FALSE),"")</f>
        <v/>
      </c>
      <c r="S834" s="1087" t="str">
        <f t="shared" si="129"/>
        <v/>
      </c>
      <c r="T834" s="1951">
        <f t="shared" si="135"/>
        <v>35.448648722951553</v>
      </c>
      <c r="U834" s="1952">
        <f t="shared" si="133"/>
        <v>32.789411221945223</v>
      </c>
      <c r="V834" s="1953">
        <f t="shared" si="134"/>
        <v>-7.7676038843776425</v>
      </c>
      <c r="W834" s="3284">
        <f t="shared" si="131"/>
        <v>1.0811004956144672</v>
      </c>
      <c r="X834" s="3295"/>
      <c r="Y834" s="3318"/>
      <c r="AA834" s="3301"/>
      <c r="AB834" s="3409"/>
      <c r="AE834" s="1056"/>
    </row>
    <row r="835" spans="2:31" ht="16" thickBot="1" x14ac:dyDescent="0.25">
      <c r="B835" s="2983">
        <f>AVERAGE(W829:W835)</f>
        <v>1.1564762658110086</v>
      </c>
      <c r="C835" s="2117">
        <v>43933</v>
      </c>
      <c r="D835" s="2145">
        <v>48</v>
      </c>
      <c r="E835" s="2146" t="s">
        <v>835</v>
      </c>
      <c r="F835" s="2723" t="s">
        <v>809</v>
      </c>
      <c r="G835" s="2120">
        <v>6.3495370370370369E-2</v>
      </c>
      <c r="H835" s="2147">
        <v>16.71</v>
      </c>
      <c r="I835" s="2122">
        <f t="shared" si="130"/>
        <v>3.7998426313806321E-3</v>
      </c>
      <c r="J835" s="2123">
        <v>140</v>
      </c>
      <c r="K835" s="2148">
        <v>105</v>
      </c>
      <c r="L835" s="2807">
        <v>214</v>
      </c>
      <c r="M835" s="2830"/>
      <c r="N835" s="1223">
        <f t="shared" si="132"/>
        <v>1.0486204524951541</v>
      </c>
      <c r="O835" s="2125" t="s">
        <v>751</v>
      </c>
      <c r="P835" s="2126">
        <f>IFERROR(VLOOKUP(F835,Trainingsarten!$A$9:$N$84,12,FALSE),"")</f>
        <v>194.60000000000002</v>
      </c>
      <c r="Q835" s="2127" t="s">
        <v>437</v>
      </c>
      <c r="R835" s="1105">
        <f>IFERROR(VLOOKUP(F835,Trainingsarten!$A$9:$N$84,14,FALSE),"")</f>
        <v>212.96</v>
      </c>
      <c r="S835" s="1106">
        <f t="shared" si="129"/>
        <v>1.5285714285714285</v>
      </c>
      <c r="T835" s="2104">
        <f t="shared" si="135"/>
        <v>45.384556048244185</v>
      </c>
      <c r="U835" s="2105">
        <f t="shared" si="133"/>
        <v>34.508710954756047</v>
      </c>
      <c r="V835" s="2105">
        <f t="shared" si="134"/>
        <v>-2.6592375010063307</v>
      </c>
      <c r="W835" s="3285">
        <f t="shared" si="131"/>
        <v>1.315162310981344</v>
      </c>
      <c r="X835" s="3295"/>
      <c r="Y835" s="3318"/>
      <c r="AA835" s="3301"/>
      <c r="AB835" s="3409"/>
      <c r="AE835" s="1056"/>
    </row>
    <row r="836" spans="2:31" ht="16" thickBot="1" x14ac:dyDescent="0.25">
      <c r="B836" s="2985">
        <f>B829+1</f>
        <v>16</v>
      </c>
      <c r="C836" s="1909">
        <v>43934</v>
      </c>
      <c r="D836" s="1111"/>
      <c r="E836" s="1112"/>
      <c r="F836" s="2724"/>
      <c r="G836" s="1647"/>
      <c r="H836" s="1648" t="str">
        <f>IFERROR(VLOOKUP(F836,Trainingsarten!$A$9:$K$84,10,FALSE),"")</f>
        <v/>
      </c>
      <c r="I836" s="1399" t="str">
        <f t="shared" si="130"/>
        <v/>
      </c>
      <c r="J836" s="1326"/>
      <c r="K836" s="1325" t="str">
        <f>IFERROR(VLOOKUP(F836,Trainingsarten!$A$9:$K$84,11,FALSE),"0")</f>
        <v>0</v>
      </c>
      <c r="L836" s="1326"/>
      <c r="M836" s="2831"/>
      <c r="N836" s="1119" t="str">
        <f t="shared" si="132"/>
        <v/>
      </c>
      <c r="O836" s="1649"/>
      <c r="P836" s="1277" t="str">
        <f>IFERROR(VLOOKUP(F836,Trainingsarten!$A$9:$N$84,12,FALSE),"")</f>
        <v/>
      </c>
      <c r="Q836" s="1122" t="s">
        <v>437</v>
      </c>
      <c r="R836" s="1122" t="str">
        <f>IFERROR(VLOOKUP(F836,Trainingsarten!$A$9:$N$84,14,FALSE),"")</f>
        <v/>
      </c>
      <c r="S836" s="1070" t="str">
        <f t="shared" si="129"/>
        <v/>
      </c>
      <c r="T836" s="2149">
        <f t="shared" si="135"/>
        <v>38.901048041352162</v>
      </c>
      <c r="U836" s="1922">
        <f t="shared" si="133"/>
        <v>33.687074979642809</v>
      </c>
      <c r="V836" s="1966">
        <f t="shared" si="134"/>
        <v>-10.875845093488138</v>
      </c>
      <c r="W836" s="3286">
        <f t="shared" si="131"/>
        <v>1.1547766633006924</v>
      </c>
      <c r="X836" s="3295"/>
      <c r="Y836" s="3318"/>
      <c r="AA836" s="3301"/>
      <c r="AB836" s="3409"/>
      <c r="AE836" s="1056"/>
    </row>
    <row r="837" spans="2:31" x14ac:dyDescent="0.2">
      <c r="B837" s="2978" t="s">
        <v>626</v>
      </c>
      <c r="C837" s="2150">
        <v>43935</v>
      </c>
      <c r="D837" s="1984">
        <v>49</v>
      </c>
      <c r="E837" s="1985" t="s">
        <v>835</v>
      </c>
      <c r="F837" s="2722" t="s">
        <v>827</v>
      </c>
      <c r="G837" s="2091">
        <v>3.6249999999999998E-2</v>
      </c>
      <c r="H837" s="1826">
        <v>9.83</v>
      </c>
      <c r="I837" s="1902">
        <f t="shared" si="130"/>
        <v>3.687690742624618E-3</v>
      </c>
      <c r="J837" s="2092">
        <v>138</v>
      </c>
      <c r="K837" s="2093">
        <v>60</v>
      </c>
      <c r="L837" s="2806">
        <v>219</v>
      </c>
      <c r="M837" s="2829"/>
      <c r="N837" s="1831">
        <f t="shared" si="132"/>
        <v>1.0414478978454622</v>
      </c>
      <c r="O837" s="2094" t="s">
        <v>783</v>
      </c>
      <c r="P837" s="1755">
        <f>IFERROR(VLOOKUP(F837,Trainingsarten!$A$9:$N$84,12,FALSE),"")</f>
        <v>194.60000000000002</v>
      </c>
      <c r="Q837" s="1756" t="s">
        <v>437</v>
      </c>
      <c r="R837" s="1086">
        <f>IFERROR(VLOOKUP(F837,Trainingsarten!$A$9:$N$84,14,FALSE),"")</f>
        <v>212.96</v>
      </c>
      <c r="S837" s="1087">
        <f t="shared" si="129"/>
        <v>1.5869565217391304</v>
      </c>
      <c r="T837" s="1951">
        <f t="shared" si="135"/>
        <v>41.91518403544471</v>
      </c>
      <c r="U837" s="1952">
        <f t="shared" si="133"/>
        <v>34.313573194413216</v>
      </c>
      <c r="V837" s="1953">
        <f t="shared" si="134"/>
        <v>-5.2139730617093534</v>
      </c>
      <c r="W837" s="3284">
        <f t="shared" si="131"/>
        <v>1.2215336420361245</v>
      </c>
      <c r="X837" s="3295"/>
      <c r="Y837" s="3318"/>
      <c r="AA837" s="3301"/>
      <c r="AB837" s="3409"/>
      <c r="AE837" s="1056"/>
    </row>
    <row r="838" spans="2:31" ht="16" thickBot="1" x14ac:dyDescent="0.25">
      <c r="B838" s="2979">
        <f>SUM(H836:H842)</f>
        <v>45.7</v>
      </c>
      <c r="C838" s="1939">
        <v>43936</v>
      </c>
      <c r="D838" s="1984"/>
      <c r="E838" s="1985"/>
      <c r="F838" s="2722"/>
      <c r="G838" s="2091"/>
      <c r="H838" s="1826" t="str">
        <f>IFERROR(VLOOKUP(F838,Trainingsarten!$A$9:$K$84,10,FALSE),"")</f>
        <v/>
      </c>
      <c r="I838" s="1902" t="str">
        <f t="shared" si="130"/>
        <v/>
      </c>
      <c r="J838" s="2092"/>
      <c r="K838" s="2093" t="str">
        <f>IFERROR(VLOOKUP(F838,Trainingsarten!$A$9:$K$84,11,FALSE),"0")</f>
        <v>0</v>
      </c>
      <c r="L838" s="2806"/>
      <c r="M838" s="2829"/>
      <c r="N838" s="1831" t="str">
        <f t="shared" si="132"/>
        <v/>
      </c>
      <c r="O838" s="2094"/>
      <c r="P838" s="1755" t="str">
        <f>IFERROR(VLOOKUP(F838,Trainingsarten!$A$9:$N$84,12,FALSE),"")</f>
        <v/>
      </c>
      <c r="Q838" s="1756" t="s">
        <v>437</v>
      </c>
      <c r="R838" s="1086" t="str">
        <f>IFERROR(VLOOKUP(F838,Trainingsarten!$A$9:$N$84,14,FALSE),"")</f>
        <v/>
      </c>
      <c r="S838" s="1087" t="str">
        <f t="shared" si="129"/>
        <v/>
      </c>
      <c r="T838" s="1951">
        <f t="shared" si="135"/>
        <v>35.927300601809755</v>
      </c>
      <c r="U838" s="1952">
        <f t="shared" si="133"/>
        <v>33.496583356450998</v>
      </c>
      <c r="V838" s="1953">
        <f t="shared" si="134"/>
        <v>-7.6016108410314942</v>
      </c>
      <c r="W838" s="3284">
        <f t="shared" si="131"/>
        <v>1.0725661247146459</v>
      </c>
      <c r="X838" s="3295"/>
      <c r="Y838" s="3318"/>
      <c r="AA838" s="3301"/>
      <c r="AB838" s="3409"/>
      <c r="AE838" s="1056"/>
    </row>
    <row r="839" spans="2:31" x14ac:dyDescent="0.2">
      <c r="B839" s="2980" t="s">
        <v>628</v>
      </c>
      <c r="C839" s="1939">
        <v>43937</v>
      </c>
      <c r="D839" s="1984">
        <v>50</v>
      </c>
      <c r="E839" s="1985" t="s">
        <v>836</v>
      </c>
      <c r="F839" s="2722" t="s">
        <v>829</v>
      </c>
      <c r="G839" s="2091">
        <v>2.9814814814814811E-2</v>
      </c>
      <c r="H839" s="1826">
        <v>9.44</v>
      </c>
      <c r="I839" s="1902">
        <f t="shared" si="130"/>
        <v>3.1583490269930948E-3</v>
      </c>
      <c r="J839" s="2092">
        <v>155</v>
      </c>
      <c r="K839" s="2093">
        <v>68</v>
      </c>
      <c r="L839" s="2806">
        <v>256.60000000000002</v>
      </c>
      <c r="M839" s="2829"/>
      <c r="N839" s="1831">
        <f t="shared" si="132"/>
        <v>1.0450948646597522</v>
      </c>
      <c r="O839" s="2094" t="s">
        <v>821</v>
      </c>
      <c r="P839" s="1755">
        <f>IFERROR(VLOOKUP(F839,Trainingsarten!$A$9:$N$84,12,FALSE),"")</f>
        <v>230.89999999999998</v>
      </c>
      <c r="Q839" s="1756" t="s">
        <v>437</v>
      </c>
      <c r="R839" s="1086">
        <f>IFERROR(VLOOKUP(F839,Trainingsarten!$A$9:$N$84,14,FALSE),"")</f>
        <v>254.10000000000002</v>
      </c>
      <c r="S839" s="1087">
        <f t="shared" si="129"/>
        <v>1.6554838709677422</v>
      </c>
      <c r="T839" s="1951">
        <f t="shared" si="135"/>
        <v>40.50911480155122</v>
      </c>
      <c r="U839" s="1952">
        <f t="shared" si="133"/>
        <v>34.3180932765355</v>
      </c>
      <c r="V839" s="1953">
        <f t="shared" si="134"/>
        <v>-2.4307172453587569</v>
      </c>
      <c r="W839" s="3284">
        <f t="shared" si="131"/>
        <v>1.1804010926576955</v>
      </c>
      <c r="X839" s="3295"/>
      <c r="Y839" s="3318"/>
      <c r="AA839" s="3301"/>
      <c r="AB839" s="3409"/>
      <c r="AE839" s="1056"/>
    </row>
    <row r="840" spans="2:31" ht="16" thickBot="1" x14ac:dyDescent="0.25">
      <c r="B840" s="2981">
        <f>SUM(K836:K842)</f>
        <v>286</v>
      </c>
      <c r="C840" s="1939">
        <v>43938</v>
      </c>
      <c r="D840" s="1984">
        <v>51</v>
      </c>
      <c r="E840" s="1985" t="s">
        <v>835</v>
      </c>
      <c r="F840" s="2722" t="s">
        <v>824</v>
      </c>
      <c r="G840" s="2091">
        <v>3.9837962962962964E-2</v>
      </c>
      <c r="H840" s="1826">
        <v>9.75</v>
      </c>
      <c r="I840" s="1902">
        <f t="shared" si="130"/>
        <v>4.0859449192782527E-3</v>
      </c>
      <c r="J840" s="2092">
        <v>138</v>
      </c>
      <c r="K840" s="2093">
        <v>57</v>
      </c>
      <c r="L840" s="2806">
        <v>204.4</v>
      </c>
      <c r="M840" s="2829"/>
      <c r="N840" s="1831">
        <f t="shared" si="132"/>
        <v>1.07699165709912</v>
      </c>
      <c r="O840" s="2094" t="s">
        <v>783</v>
      </c>
      <c r="P840" s="1755">
        <f>IFERROR(VLOOKUP(F840,Trainingsarten!$A$9:$N$84,12,FALSE),"")</f>
        <v>169.39999999999998</v>
      </c>
      <c r="Q840" s="1756" t="s">
        <v>437</v>
      </c>
      <c r="R840" s="1086">
        <f>IFERROR(VLOOKUP(F840,Trainingsarten!$A$9:$N$84,14,FALSE),"")</f>
        <v>193.60000000000002</v>
      </c>
      <c r="S840" s="1087">
        <f t="shared" si="129"/>
        <v>1.481159420289855</v>
      </c>
      <c r="T840" s="1951">
        <f t="shared" si="135"/>
        <v>42.864955544186763</v>
      </c>
      <c r="U840" s="1952">
        <f t="shared" si="133"/>
        <v>34.858138674713224</v>
      </c>
      <c r="V840" s="1953">
        <f t="shared" si="134"/>
        <v>-6.1910215250157208</v>
      </c>
      <c r="W840" s="3284">
        <f t="shared" si="131"/>
        <v>1.2296972005358922</v>
      </c>
      <c r="X840" s="3295"/>
      <c r="Y840" s="3318"/>
      <c r="AA840" s="3301"/>
      <c r="AB840" s="3409"/>
      <c r="AE840" s="1056"/>
    </row>
    <row r="841" spans="2:31" x14ac:dyDescent="0.2">
      <c r="B841" s="2982" t="s">
        <v>761</v>
      </c>
      <c r="C841" s="1939">
        <v>43939</v>
      </c>
      <c r="D841" s="1984"/>
      <c r="E841" s="1985"/>
      <c r="F841" s="2722"/>
      <c r="G841" s="2091"/>
      <c r="H841" s="1826" t="str">
        <f>IFERROR(VLOOKUP(F841,Trainingsarten!$A$9:$K$84,10,FALSE),"")</f>
        <v/>
      </c>
      <c r="I841" s="1902" t="str">
        <f t="shared" si="130"/>
        <v/>
      </c>
      <c r="J841" s="2092"/>
      <c r="K841" s="2093" t="str">
        <f>IFERROR(VLOOKUP(F841,Trainingsarten!$A$9:$K$84,11,FALSE),"0")</f>
        <v>0</v>
      </c>
      <c r="L841" s="2806"/>
      <c r="M841" s="2829"/>
      <c r="N841" s="1831" t="str">
        <f t="shared" si="132"/>
        <v/>
      </c>
      <c r="O841" s="2094"/>
      <c r="P841" s="1755" t="str">
        <f>IFERROR(VLOOKUP(F841,Trainingsarten!$A$9:$N$84,12,FALSE),"")</f>
        <v/>
      </c>
      <c r="Q841" s="1756" t="s">
        <v>437</v>
      </c>
      <c r="R841" s="1086" t="str">
        <f>IFERROR(VLOOKUP(F841,Trainingsarten!$A$9:$N$84,14,FALSE),"")</f>
        <v/>
      </c>
      <c r="S841" s="1087" t="str">
        <f t="shared" si="129"/>
        <v/>
      </c>
      <c r="T841" s="1951">
        <f t="shared" si="135"/>
        <v>36.7413904664458</v>
      </c>
      <c r="U841" s="1952">
        <f t="shared" si="133"/>
        <v>34.028182991981957</v>
      </c>
      <c r="V841" s="1953">
        <f t="shared" si="134"/>
        <v>-8.0068168694735391</v>
      </c>
      <c r="W841" s="3284">
        <f t="shared" si="131"/>
        <v>1.0797341272998078</v>
      </c>
      <c r="X841" s="3295"/>
      <c r="Y841" s="3318"/>
      <c r="AA841" s="3301"/>
      <c r="AB841" s="3409"/>
      <c r="AE841" s="1056"/>
    </row>
    <row r="842" spans="2:31" ht="16" thickBot="1" x14ac:dyDescent="0.25">
      <c r="B842" s="2983">
        <f>AVERAGE(W836:W842)</f>
        <v>1.1754008822698196</v>
      </c>
      <c r="C842" s="1309">
        <v>43940</v>
      </c>
      <c r="D842" s="2151">
        <v>52</v>
      </c>
      <c r="E842" s="2152" t="s">
        <v>835</v>
      </c>
      <c r="F842" s="2723" t="s">
        <v>809</v>
      </c>
      <c r="G842" s="2097">
        <v>6.4097222222222222E-2</v>
      </c>
      <c r="H842" s="2098">
        <v>16.68</v>
      </c>
      <c r="I842" s="2153">
        <f t="shared" si="130"/>
        <v>3.8427591260325072E-3</v>
      </c>
      <c r="J842" s="2100">
        <v>141</v>
      </c>
      <c r="K842" s="2093">
        <v>101</v>
      </c>
      <c r="L842" s="2808">
        <v>213.7</v>
      </c>
      <c r="M842" s="2832"/>
      <c r="N842" s="2154">
        <f t="shared" si="132"/>
        <v>1.0589772361215504</v>
      </c>
      <c r="O842" s="2103" t="s">
        <v>751</v>
      </c>
      <c r="P842" s="2027">
        <f>IFERROR(VLOOKUP(F842,Trainingsarten!$A$9:$N$84,12,FALSE),"")</f>
        <v>194.60000000000002</v>
      </c>
      <c r="Q842" s="1151" t="s">
        <v>437</v>
      </c>
      <c r="R842" s="1151">
        <f>IFERROR(VLOOKUP(F842,Trainingsarten!$A$9:$N$84,14,FALSE),"")</f>
        <v>212.96</v>
      </c>
      <c r="S842" s="1106">
        <f t="shared" si="129"/>
        <v>1.5156028368794325</v>
      </c>
      <c r="T842" s="2155">
        <f t="shared" si="135"/>
        <v>45.921191828382113</v>
      </c>
      <c r="U842" s="2156">
        <f t="shared" si="133"/>
        <v>35.622750063601437</v>
      </c>
      <c r="V842" s="2156">
        <f t="shared" si="134"/>
        <v>-2.713207474463843</v>
      </c>
      <c r="W842" s="3290">
        <f t="shared" si="131"/>
        <v>1.2890973253438791</v>
      </c>
      <c r="X842" s="3305"/>
      <c r="Y842" s="3319"/>
      <c r="AA842" s="3301"/>
      <c r="AB842" s="3409"/>
      <c r="AE842" s="1056"/>
    </row>
    <row r="843" spans="2:31" ht="16" thickBot="1" x14ac:dyDescent="0.25">
      <c r="B843" s="2985">
        <f>B836+1</f>
        <v>17</v>
      </c>
      <c r="C843" s="2157">
        <v>43941</v>
      </c>
      <c r="D843" s="2158"/>
      <c r="E843" s="2159"/>
      <c r="F843" s="2724"/>
      <c r="G843" s="2032"/>
      <c r="H843" s="2033" t="str">
        <f>IFERROR(VLOOKUP(F843,Trainingsarten!$A$9:$K$84,10,FALSE),"")</f>
        <v/>
      </c>
      <c r="I843" s="2160" t="str">
        <f t="shared" si="130"/>
        <v/>
      </c>
      <c r="J843" s="2035"/>
      <c r="K843" s="2036" t="str">
        <f>IFERROR(VLOOKUP(F843,Trainingsarten!$A$9:$K$84,11,FALSE),"0")</f>
        <v>0</v>
      </c>
      <c r="L843" s="1915"/>
      <c r="M843" s="2833"/>
      <c r="N843" s="2161" t="str">
        <f t="shared" si="132"/>
        <v/>
      </c>
      <c r="O843" s="2038"/>
      <c r="P843" s="2039" t="str">
        <f>IFERROR(VLOOKUP(F843,Trainingsarten!$A$9:$N$84,12,FALSE),"")</f>
        <v/>
      </c>
      <c r="Q843" s="1069" t="s">
        <v>437</v>
      </c>
      <c r="R843" s="1069" t="str">
        <f>IFERROR(VLOOKUP(F843,Trainingsarten!$A$9:$N$84,14,FALSE),"")</f>
        <v/>
      </c>
      <c r="S843" s="1070" t="str">
        <f t="shared" ref="S843:S906" si="136">IFERROR(L843/J843,"")</f>
        <v/>
      </c>
      <c r="T843" s="2162">
        <f t="shared" si="135"/>
        <v>39.361021567184672</v>
      </c>
      <c r="U843" s="2163">
        <f t="shared" si="133"/>
        <v>34.774589347801403</v>
      </c>
      <c r="V843" s="2164">
        <f t="shared" si="134"/>
        <v>-10.298441764780677</v>
      </c>
      <c r="W843" s="3291">
        <f t="shared" si="131"/>
        <v>1.1318903344482842</v>
      </c>
      <c r="X843" s="3305"/>
      <c r="Y843" s="3319"/>
      <c r="AA843" s="3301"/>
      <c r="AB843" s="3409"/>
      <c r="AE843" s="1056"/>
    </row>
    <row r="844" spans="2:31" x14ac:dyDescent="0.2">
      <c r="B844" s="2978" t="s">
        <v>626</v>
      </c>
      <c r="C844" s="2165">
        <v>43942</v>
      </c>
      <c r="D844" s="2166">
        <v>53</v>
      </c>
      <c r="E844" s="2167" t="s">
        <v>836</v>
      </c>
      <c r="F844" s="2722" t="s">
        <v>818</v>
      </c>
      <c r="G844" s="2110">
        <v>4.2106481481481488E-2</v>
      </c>
      <c r="H844" s="2111">
        <v>11.27</v>
      </c>
      <c r="I844" s="2168">
        <f t="shared" si="130"/>
        <v>3.7361562982681003E-3</v>
      </c>
      <c r="J844" s="2113">
        <v>144</v>
      </c>
      <c r="K844" s="2114">
        <v>71</v>
      </c>
      <c r="L844" s="2806">
        <v>219.3</v>
      </c>
      <c r="M844" s="2829"/>
      <c r="N844" s="2169">
        <f t="shared" si="132"/>
        <v>1.0565805400680717</v>
      </c>
      <c r="O844" s="2116" t="s">
        <v>783</v>
      </c>
      <c r="P844" s="1993">
        <f>IFERROR(VLOOKUP(F844,Trainingsarten!$A$9:$N$84,12,FALSE),"")</f>
        <v>194.60000000000002</v>
      </c>
      <c r="Q844" s="1994" t="s">
        <v>437</v>
      </c>
      <c r="R844" s="1086">
        <f>IFERROR(VLOOKUP(F844,Trainingsarten!$A$9:$N$84,14,FALSE),"")</f>
        <v>212.96</v>
      </c>
      <c r="S844" s="1087">
        <f t="shared" si="136"/>
        <v>1.5229166666666667</v>
      </c>
      <c r="T844" s="2170">
        <f t="shared" si="135"/>
        <v>43.880875629015435</v>
      </c>
      <c r="U844" s="2171">
        <f t="shared" si="133"/>
        <v>35.637099125234705</v>
      </c>
      <c r="V844" s="2172">
        <f t="shared" si="134"/>
        <v>-4.5864322193832692</v>
      </c>
      <c r="W844" s="3292">
        <f t="shared" si="131"/>
        <v>1.2313256888505635</v>
      </c>
      <c r="X844" s="3305"/>
      <c r="Y844" s="3319"/>
      <c r="AA844" s="3301"/>
      <c r="AB844" s="3409"/>
      <c r="AE844" s="1056"/>
    </row>
    <row r="845" spans="2:31" ht="16" thickBot="1" x14ac:dyDescent="0.25">
      <c r="B845" s="2979">
        <f>SUM(H843:H849)</f>
        <v>51.15</v>
      </c>
      <c r="C845" s="2165">
        <v>43943</v>
      </c>
      <c r="D845" s="2166"/>
      <c r="E845" s="2167"/>
      <c r="F845" s="2722"/>
      <c r="G845" s="2110"/>
      <c r="H845" s="2111" t="str">
        <f>IFERROR(VLOOKUP(F845,Trainingsarten!$A$9:$K$84,10,FALSE),"")</f>
        <v/>
      </c>
      <c r="I845" s="2168" t="str">
        <f t="shared" si="130"/>
        <v/>
      </c>
      <c r="J845" s="2113"/>
      <c r="K845" s="2114" t="str">
        <f>IFERROR(VLOOKUP(F845,Trainingsarten!$A$9:$K$84,11,FALSE),"0")</f>
        <v>0</v>
      </c>
      <c r="L845" s="2806"/>
      <c r="M845" s="2829"/>
      <c r="N845" s="2169" t="str">
        <f t="shared" si="132"/>
        <v/>
      </c>
      <c r="O845" s="2116"/>
      <c r="P845" s="1993" t="str">
        <f>IFERROR(VLOOKUP(F845,Trainingsarten!$A$9:$N$84,12,FALSE),"")</f>
        <v/>
      </c>
      <c r="Q845" s="1994" t="s">
        <v>437</v>
      </c>
      <c r="R845" s="1086" t="str">
        <f>IFERROR(VLOOKUP(F845,Trainingsarten!$A$9:$N$84,14,FALSE),"")</f>
        <v/>
      </c>
      <c r="S845" s="1087" t="str">
        <f t="shared" si="136"/>
        <v/>
      </c>
      <c r="T845" s="2170">
        <f t="shared" si="135"/>
        <v>37.612179110584655</v>
      </c>
      <c r="U845" s="2171">
        <f t="shared" si="133"/>
        <v>34.788596765110071</v>
      </c>
      <c r="V845" s="2172">
        <f t="shared" si="134"/>
        <v>-8.2437765037807296</v>
      </c>
      <c r="W845" s="3292">
        <f t="shared" si="131"/>
        <v>1.0811640194785435</v>
      </c>
      <c r="X845" s="3305"/>
      <c r="Y845" s="3319"/>
      <c r="AA845" s="3301"/>
      <c r="AB845" s="3409"/>
      <c r="AE845" s="1056"/>
    </row>
    <row r="846" spans="2:31" x14ac:dyDescent="0.2">
      <c r="B846" s="2980" t="s">
        <v>628</v>
      </c>
      <c r="C846" s="2165">
        <v>43944</v>
      </c>
      <c r="D846" s="2173">
        <v>54</v>
      </c>
      <c r="E846" s="2174" t="s">
        <v>836</v>
      </c>
      <c r="F846" s="2722" t="s">
        <v>829</v>
      </c>
      <c r="G846" s="2110">
        <v>3.3148148148148149E-2</v>
      </c>
      <c r="H846" s="2111">
        <v>10.32</v>
      </c>
      <c r="I846" s="2168">
        <f t="shared" si="130"/>
        <v>3.2120298593166811E-3</v>
      </c>
      <c r="J846" s="2113">
        <v>156</v>
      </c>
      <c r="K846" s="2114">
        <v>74</v>
      </c>
      <c r="L846" s="2806">
        <v>250.6</v>
      </c>
      <c r="M846" s="2829"/>
      <c r="N846" s="2169">
        <f t="shared" si="132"/>
        <v>1.0380053222260788</v>
      </c>
      <c r="O846" s="2116" t="s">
        <v>821</v>
      </c>
      <c r="P846" s="1993">
        <f>IFERROR(VLOOKUP(F846,Trainingsarten!$A$9:$N$84,12,FALSE),"")</f>
        <v>230.89999999999998</v>
      </c>
      <c r="Q846" s="1994" t="s">
        <v>437</v>
      </c>
      <c r="R846" s="1086">
        <f>IFERROR(VLOOKUP(F846,Trainingsarten!$A$9:$N$84,14,FALSE),"")</f>
        <v>254.10000000000002</v>
      </c>
      <c r="S846" s="1087">
        <f t="shared" si="136"/>
        <v>1.6064102564102565</v>
      </c>
      <c r="T846" s="2170">
        <f>T845+(K846-T845)/7</f>
        <v>42.81043923764399</v>
      </c>
      <c r="U846" s="2171">
        <f t="shared" si="133"/>
        <v>35.722201604036023</v>
      </c>
      <c r="V846" s="2172">
        <f t="shared" si="134"/>
        <v>-2.8235823454745841</v>
      </c>
      <c r="W846" s="3292">
        <f t="shared" si="131"/>
        <v>1.1984266734782414</v>
      </c>
      <c r="X846" s="3305"/>
      <c r="Y846" s="3319"/>
      <c r="AA846" s="3301"/>
      <c r="AB846" s="3409"/>
      <c r="AE846" s="1056"/>
    </row>
    <row r="847" spans="2:31" ht="16" thickBot="1" x14ac:dyDescent="0.25">
      <c r="B847" s="2981">
        <f>SUM(K843:K849)</f>
        <v>321</v>
      </c>
      <c r="C847" s="2165">
        <v>43945</v>
      </c>
      <c r="D847" s="2173">
        <v>55</v>
      </c>
      <c r="E847" s="2174" t="s">
        <v>836</v>
      </c>
      <c r="F847" s="2722" t="s">
        <v>824</v>
      </c>
      <c r="G847" s="2110">
        <v>3.9456018518518522E-2</v>
      </c>
      <c r="H847" s="2111">
        <v>9.8800000000000008</v>
      </c>
      <c r="I847" s="2168">
        <f t="shared" si="130"/>
        <v>3.9935241415504572E-3</v>
      </c>
      <c r="J847" s="2113">
        <v>128</v>
      </c>
      <c r="K847" s="2114">
        <v>59</v>
      </c>
      <c r="L847" s="2806">
        <v>209</v>
      </c>
      <c r="M847" s="2829"/>
      <c r="N847" s="2169">
        <f t="shared" si="132"/>
        <v>1.0763203214695751</v>
      </c>
      <c r="O847" s="2116" t="s">
        <v>783</v>
      </c>
      <c r="P847" s="1993">
        <f>IFERROR(VLOOKUP(F847,Trainingsarten!$A$9:$N$84,12,FALSE),"")</f>
        <v>169.39999999999998</v>
      </c>
      <c r="Q847" s="1994" t="s">
        <v>437</v>
      </c>
      <c r="R847" s="1086">
        <f>IFERROR(VLOOKUP(F847,Trainingsarten!$A$9:$N$84,14,FALSE),"")</f>
        <v>193.60000000000002</v>
      </c>
      <c r="S847" s="1087">
        <f t="shared" si="136"/>
        <v>1.6328125</v>
      </c>
      <c r="T847" s="2170">
        <f t="shared" si="135"/>
        <v>45.123233632266277</v>
      </c>
      <c r="U847" s="2171">
        <f t="shared" si="133"/>
        <v>36.276434899178021</v>
      </c>
      <c r="V847" s="2172">
        <f t="shared" si="134"/>
        <v>-7.0882376336079673</v>
      </c>
      <c r="W847" s="3292">
        <f t="shared" si="131"/>
        <v>1.2438717795085403</v>
      </c>
      <c r="X847" s="3300"/>
      <c r="Y847" s="3316"/>
      <c r="AA847" s="3301"/>
      <c r="AB847" s="3409"/>
      <c r="AE847" s="1056"/>
    </row>
    <row r="848" spans="2:31" x14ac:dyDescent="0.2">
      <c r="B848" s="2982" t="s">
        <v>761</v>
      </c>
      <c r="C848" s="1939">
        <v>43946</v>
      </c>
      <c r="D848" s="2142"/>
      <c r="E848" s="2143"/>
      <c r="F848" s="2722"/>
      <c r="G848" s="2110"/>
      <c r="H848" s="2111" t="str">
        <f>IFERROR(VLOOKUP(F848,Trainingsarten!$A$9:$K$84,10,FALSE),"")</f>
        <v/>
      </c>
      <c r="I848" s="2112" t="str">
        <f t="shared" si="130"/>
        <v/>
      </c>
      <c r="J848" s="2113"/>
      <c r="K848" s="2114" t="str">
        <f>IFERROR(VLOOKUP(F848,Trainingsarten!$A$9:$K$84,11,FALSE),"0")</f>
        <v>0</v>
      </c>
      <c r="L848" s="2806"/>
      <c r="M848" s="2829"/>
      <c r="N848" s="2115" t="str">
        <f t="shared" si="132"/>
        <v/>
      </c>
      <c r="O848" s="2116"/>
      <c r="P848" s="1993" t="str">
        <f>IFERROR(VLOOKUP(F848,Trainingsarten!$A$9:$N$84,12,FALSE),"")</f>
        <v/>
      </c>
      <c r="Q848" s="1994" t="s">
        <v>437</v>
      </c>
      <c r="R848" s="1086" t="str">
        <f>IFERROR(VLOOKUP(F848,Trainingsarten!$A$9:$N$84,14,FALSE),"")</f>
        <v/>
      </c>
      <c r="S848" s="1087" t="str">
        <f t="shared" si="136"/>
        <v/>
      </c>
      <c r="T848" s="1951">
        <f t="shared" si="135"/>
        <v>38.677057399085378</v>
      </c>
      <c r="U848" s="1952">
        <f t="shared" si="133"/>
        <v>35.412710258721404</v>
      </c>
      <c r="V848" s="1953">
        <f t="shared" si="134"/>
        <v>-8.8467987330882565</v>
      </c>
      <c r="W848" s="3284">
        <f t="shared" si="131"/>
        <v>1.0921800990806694</v>
      </c>
      <c r="X848" s="3300"/>
      <c r="Y848" s="3316"/>
      <c r="AA848" s="3301"/>
      <c r="AB848" s="3409"/>
      <c r="AE848" s="1056"/>
    </row>
    <row r="849" spans="2:31" ht="16" thickBot="1" x14ac:dyDescent="0.25">
      <c r="B849" s="2983">
        <f>AVERAGE(W843:W849)</f>
        <v>1.1876817353044316</v>
      </c>
      <c r="C849" s="1260">
        <v>43947</v>
      </c>
      <c r="D849" s="1108">
        <v>56</v>
      </c>
      <c r="E849" s="1261" t="s">
        <v>835</v>
      </c>
      <c r="F849" s="2723" t="s">
        <v>811</v>
      </c>
      <c r="G849" s="2120">
        <v>7.633101851851852E-2</v>
      </c>
      <c r="H849" s="2121">
        <v>19.68</v>
      </c>
      <c r="I849" s="2122">
        <f t="shared" si="130"/>
        <v>3.878608664558868E-3</v>
      </c>
      <c r="J849" s="2123">
        <v>138</v>
      </c>
      <c r="K849" s="2124">
        <v>117</v>
      </c>
      <c r="L849" s="2807">
        <v>212</v>
      </c>
      <c r="M849" s="2830"/>
      <c r="N849" s="1223">
        <f t="shared" si="132"/>
        <v>1.0603537192088337</v>
      </c>
      <c r="O849" s="2125" t="s">
        <v>751</v>
      </c>
      <c r="P849" s="2126">
        <f>IFERROR(VLOOKUP(F849,Trainingsarten!$A$9:$N$84,12,FALSE),"")</f>
        <v>194.60000000000002</v>
      </c>
      <c r="Q849" s="2127" t="s">
        <v>437</v>
      </c>
      <c r="R849" s="1105">
        <f>IFERROR(VLOOKUP(F849,Trainingsarten!$A$9:$N$84,14,FALSE),"")</f>
        <v>212.96</v>
      </c>
      <c r="S849" s="1106">
        <f t="shared" si="136"/>
        <v>1.536231884057971</v>
      </c>
      <c r="T849" s="2104">
        <f>T848+(K849-T848)/7</f>
        <v>49.866049199216036</v>
      </c>
      <c r="U849" s="2105">
        <f t="shared" si="133"/>
        <v>37.355264776370895</v>
      </c>
      <c r="V849" s="2105">
        <f t="shared" si="134"/>
        <v>-3.2643471403639737</v>
      </c>
      <c r="W849" s="3285">
        <f>T849/U849</f>
        <v>1.3349135522861786</v>
      </c>
      <c r="X849" s="3300"/>
      <c r="Y849" s="3316"/>
      <c r="AA849" s="3301"/>
      <c r="AB849" s="3409"/>
      <c r="AE849" s="1056"/>
    </row>
    <row r="850" spans="2:31" ht="16" thickBot="1" x14ac:dyDescent="0.25">
      <c r="B850" s="2985">
        <f>B843+1</f>
        <v>18</v>
      </c>
      <c r="C850" s="1909">
        <v>43948</v>
      </c>
      <c r="D850" s="1111"/>
      <c r="E850" s="1112"/>
      <c r="F850" s="2724"/>
      <c r="G850" s="1647"/>
      <c r="H850" s="1648" t="str">
        <f>IFERROR(VLOOKUP(F850,Trainingsarten!$A$9:$K$84,10,FALSE),"")</f>
        <v/>
      </c>
      <c r="I850" s="1399" t="str">
        <f t="shared" si="130"/>
        <v/>
      </c>
      <c r="J850" s="1326"/>
      <c r="K850" s="1325" t="str">
        <f>IFERROR(VLOOKUP(F850,Trainingsarten!$A$9:$K$84,11,FALSE),"0")</f>
        <v>0</v>
      </c>
      <c r="L850" s="1326"/>
      <c r="M850" s="2831"/>
      <c r="N850" s="1119" t="str">
        <f t="shared" si="132"/>
        <v/>
      </c>
      <c r="O850" s="1649"/>
      <c r="P850" s="1277" t="str">
        <f>IFERROR(VLOOKUP(F850,Trainingsarten!$A$9:$N$84,12,FALSE),"")</f>
        <v/>
      </c>
      <c r="Q850" s="1122" t="s">
        <v>437</v>
      </c>
      <c r="R850" s="1122" t="str">
        <f>IFERROR(VLOOKUP(F850,Trainingsarten!$A$9:$N$84,14,FALSE),"")</f>
        <v/>
      </c>
      <c r="S850" s="1070" t="str">
        <f t="shared" si="136"/>
        <v/>
      </c>
      <c r="T850" s="1921">
        <f t="shared" si="135"/>
        <v>42.742327885042315</v>
      </c>
      <c r="U850" s="2088">
        <f t="shared" si="133"/>
        <v>36.465853710266828</v>
      </c>
      <c r="V850" s="1966">
        <f t="shared" si="134"/>
        <v>-12.510784422845141</v>
      </c>
      <c r="W850" s="3286">
        <f t="shared" si="131"/>
        <v>1.1721192166415226</v>
      </c>
      <c r="X850" s="3300"/>
      <c r="Y850" s="3316"/>
      <c r="AA850" s="3301"/>
      <c r="AB850" s="3409"/>
      <c r="AE850" s="1056"/>
    </row>
    <row r="851" spans="2:31" x14ac:dyDescent="0.2">
      <c r="B851" s="2978" t="s">
        <v>626</v>
      </c>
      <c r="C851" s="1939">
        <v>43949</v>
      </c>
      <c r="D851" s="1984"/>
      <c r="E851" s="1985"/>
      <c r="F851" s="2722"/>
      <c r="G851" s="1942"/>
      <c r="H851" s="1826" t="str">
        <f>IFERROR(VLOOKUP(F851,Trainingsarten!$A$9:$K$84,10,FALSE),"")</f>
        <v/>
      </c>
      <c r="I851" s="1902" t="str">
        <f t="shared" si="130"/>
        <v/>
      </c>
      <c r="J851" s="1945"/>
      <c r="K851" s="1946" t="str">
        <f>IFERROR(VLOOKUP(F851,Trainingsarten!$A$9:$K$84,11,FALSE),"0")</f>
        <v>0</v>
      </c>
      <c r="L851" s="2806"/>
      <c r="M851" s="2829"/>
      <c r="N851" s="1831" t="str">
        <f t="shared" si="132"/>
        <v/>
      </c>
      <c r="O851" s="1948"/>
      <c r="P851" s="1755" t="str">
        <f>IFERROR(VLOOKUP(F851,Trainingsarten!$A$9:$N$84,12,FALSE),"")</f>
        <v/>
      </c>
      <c r="Q851" s="1756" t="s">
        <v>437</v>
      </c>
      <c r="R851" s="1086" t="str">
        <f>IFERROR(VLOOKUP(F851,Trainingsarten!$A$9:$N$84,14,FALSE),"")</f>
        <v/>
      </c>
      <c r="S851" s="1087" t="str">
        <f t="shared" si="136"/>
        <v/>
      </c>
      <c r="T851" s="1951">
        <f t="shared" si="135"/>
        <v>36.636281044321983</v>
      </c>
      <c r="U851" s="1952">
        <f t="shared" si="133"/>
        <v>35.597619098117619</v>
      </c>
      <c r="V851" s="1953">
        <f t="shared" si="134"/>
        <v>-6.2764741747754869</v>
      </c>
      <c r="W851" s="3284">
        <f t="shared" si="131"/>
        <v>1.02917784875841</v>
      </c>
      <c r="X851" s="3300"/>
      <c r="Y851" s="3316"/>
      <c r="AA851" s="3301"/>
      <c r="AB851" s="3409"/>
      <c r="AE851" s="1056"/>
    </row>
    <row r="852" spans="2:31" ht="16" thickBot="1" x14ac:dyDescent="0.25">
      <c r="B852" s="2979">
        <f>SUM(H850:H856)</f>
        <v>33.75</v>
      </c>
      <c r="C852" s="1939">
        <v>43950</v>
      </c>
      <c r="D852" s="1984">
        <v>57</v>
      </c>
      <c r="E852" s="1985" t="s">
        <v>835</v>
      </c>
      <c r="F852" s="2722" t="s">
        <v>824</v>
      </c>
      <c r="G852" s="1942">
        <v>4.1006944444444443E-2</v>
      </c>
      <c r="H852" s="1826">
        <v>9.81</v>
      </c>
      <c r="I852" s="1902">
        <f t="shared" si="130"/>
        <v>4.1801166610035108E-3</v>
      </c>
      <c r="J852" s="1945">
        <v>132</v>
      </c>
      <c r="K852" s="1946">
        <v>55</v>
      </c>
      <c r="L852" s="2806">
        <v>197</v>
      </c>
      <c r="M852" s="2829"/>
      <c r="N852" s="1831">
        <f t="shared" si="132"/>
        <v>1.0619243233374411</v>
      </c>
      <c r="O852" s="1948" t="s">
        <v>783</v>
      </c>
      <c r="P852" s="1755">
        <f>IFERROR(VLOOKUP(F852,Trainingsarten!$A$9:$N$84,12,FALSE),"")</f>
        <v>169.39999999999998</v>
      </c>
      <c r="Q852" s="1756" t="s">
        <v>437</v>
      </c>
      <c r="R852" s="1086">
        <f>IFERROR(VLOOKUP(F852,Trainingsarten!$A$9:$N$84,14,FALSE),"")</f>
        <v>193.60000000000002</v>
      </c>
      <c r="S852" s="1087">
        <f t="shared" si="136"/>
        <v>1.4924242424242424</v>
      </c>
      <c r="T852" s="1951">
        <f t="shared" si="135"/>
        <v>39.259669466561697</v>
      </c>
      <c r="U852" s="1952">
        <f t="shared" si="133"/>
        <v>36.059580548162437</v>
      </c>
      <c r="V852" s="1953">
        <f t="shared" si="134"/>
        <v>-1.038661946204364</v>
      </c>
      <c r="W852" s="3284">
        <f t="shared" si="131"/>
        <v>1.088744485369848</v>
      </c>
      <c r="X852" s="3300"/>
      <c r="Y852" s="3316"/>
      <c r="AA852" s="3301"/>
      <c r="AB852" s="3409"/>
      <c r="AE852" s="1056"/>
    </row>
    <row r="853" spans="2:31" x14ac:dyDescent="0.2">
      <c r="B853" s="2980" t="s">
        <v>628</v>
      </c>
      <c r="C853" s="1939">
        <v>43951</v>
      </c>
      <c r="D853" s="1984"/>
      <c r="E853" s="1985"/>
      <c r="F853" s="2722"/>
      <c r="G853" s="1942"/>
      <c r="H853" s="1826" t="str">
        <f>IFERROR(VLOOKUP(F853,Trainingsarten!$A$9:$K$84,10,FALSE),"")</f>
        <v/>
      </c>
      <c r="I853" s="1902" t="str">
        <f t="shared" si="130"/>
        <v/>
      </c>
      <c r="J853" s="1945"/>
      <c r="K853" s="1946" t="str">
        <f>IFERROR(VLOOKUP(F853,Trainingsarten!$A$9:$K$84,11,FALSE),"0")</f>
        <v>0</v>
      </c>
      <c r="L853" s="2806"/>
      <c r="M853" s="2829"/>
      <c r="N853" s="1831" t="str">
        <f t="shared" si="132"/>
        <v/>
      </c>
      <c r="O853" s="1948"/>
      <c r="P853" s="1755" t="str">
        <f>IFERROR(VLOOKUP(F853,Trainingsarten!$A$9:$N$84,12,FALSE),"")</f>
        <v/>
      </c>
      <c r="Q853" s="1756" t="s">
        <v>437</v>
      </c>
      <c r="R853" s="1086" t="str">
        <f>IFERROR(VLOOKUP(F853,Trainingsarten!$A$9:$N$84,14,FALSE),"")</f>
        <v/>
      </c>
      <c r="S853" s="1087" t="str">
        <f t="shared" si="136"/>
        <v/>
      </c>
      <c r="T853" s="1951">
        <f t="shared" si="135"/>
        <v>33.651145257052882</v>
      </c>
      <c r="U853" s="1952">
        <f t="shared" si="133"/>
        <v>35.201019106539519</v>
      </c>
      <c r="V853" s="1953">
        <f t="shared" si="134"/>
        <v>-3.2000889183992598</v>
      </c>
      <c r="W853" s="3284">
        <f t="shared" si="131"/>
        <v>0.95597076764181788</v>
      </c>
      <c r="X853" s="3300"/>
      <c r="Y853" s="3316"/>
      <c r="AA853" s="3301"/>
      <c r="AB853" s="3409"/>
      <c r="AE853" s="1056"/>
    </row>
    <row r="854" spans="2:31" ht="16" thickBot="1" x14ac:dyDescent="0.25">
      <c r="B854" s="2981">
        <f>SUM(K850:K856)</f>
        <v>190</v>
      </c>
      <c r="C854" s="1939">
        <v>43952</v>
      </c>
      <c r="D854" s="1984">
        <v>58</v>
      </c>
      <c r="E854" s="1985" t="s">
        <v>835</v>
      </c>
      <c r="F854" s="2722" t="s">
        <v>827</v>
      </c>
      <c r="G854" s="1942">
        <v>3.9918981481481479E-2</v>
      </c>
      <c r="H854" s="1826">
        <v>10.32</v>
      </c>
      <c r="I854" s="1902">
        <f t="shared" si="130"/>
        <v>3.8681183606086703E-3</v>
      </c>
      <c r="J854" s="1945">
        <v>140</v>
      </c>
      <c r="K854" s="1946">
        <v>61</v>
      </c>
      <c r="L854" s="2806">
        <v>211</v>
      </c>
      <c r="M854" s="2829"/>
      <c r="N854" s="1831">
        <f t="shared" si="132"/>
        <v>1.0524976859886614</v>
      </c>
      <c r="O854" s="1948" t="s">
        <v>783</v>
      </c>
      <c r="P854" s="1755">
        <f>IFERROR(VLOOKUP(F854,Trainingsarten!$A$9:$N$84,12,FALSE),"")</f>
        <v>194.60000000000002</v>
      </c>
      <c r="Q854" s="1756" t="s">
        <v>437</v>
      </c>
      <c r="R854" s="1086">
        <f>IFERROR(VLOOKUP(F854,Trainingsarten!$A$9:$N$84,14,FALSE),"")</f>
        <v>212.96</v>
      </c>
      <c r="S854" s="1087">
        <f t="shared" si="136"/>
        <v>1.5071428571428571</v>
      </c>
      <c r="T854" s="1951">
        <f t="shared" si="135"/>
        <v>37.558124506045324</v>
      </c>
      <c r="U854" s="1952">
        <f t="shared" si="133"/>
        <v>35.815280556383819</v>
      </c>
      <c r="V854" s="1953">
        <f t="shared" si="134"/>
        <v>1.5498738494866373</v>
      </c>
      <c r="W854" s="3284">
        <f t="shared" si="131"/>
        <v>1.0486620214217715</v>
      </c>
      <c r="X854" s="3300"/>
      <c r="Y854" s="3316"/>
      <c r="AA854" s="3301"/>
      <c r="AB854" s="3409"/>
      <c r="AE854" s="1056"/>
    </row>
    <row r="855" spans="2:31" x14ac:dyDescent="0.2">
      <c r="B855" s="2982" t="s">
        <v>761</v>
      </c>
      <c r="C855" s="1939">
        <v>43953</v>
      </c>
      <c r="D855" s="1984"/>
      <c r="E855" s="1985"/>
      <c r="F855" s="2722"/>
      <c r="G855" s="1942"/>
      <c r="H855" s="1826" t="str">
        <f>IFERROR(VLOOKUP(F855,Trainingsarten!$A$9:$K$84,10,FALSE),"")</f>
        <v/>
      </c>
      <c r="I855" s="1902" t="str">
        <f t="shared" si="130"/>
        <v/>
      </c>
      <c r="J855" s="1945"/>
      <c r="K855" s="1946" t="str">
        <f>IFERROR(VLOOKUP(F855,Trainingsarten!$A$9:$K$84,11,FALSE),"0")</f>
        <v>0</v>
      </c>
      <c r="L855" s="2806"/>
      <c r="M855" s="2829"/>
      <c r="N855" s="1831" t="str">
        <f t="shared" si="132"/>
        <v/>
      </c>
      <c r="O855" s="1948"/>
      <c r="P855" s="1755" t="str">
        <f>IFERROR(VLOOKUP(F855,Trainingsarten!$A$9:$N$84,12,FALSE),"")</f>
        <v/>
      </c>
      <c r="Q855" s="1756" t="s">
        <v>437</v>
      </c>
      <c r="R855" s="1086" t="str">
        <f>IFERROR(VLOOKUP(F855,Trainingsarten!$A$9:$N$84,14,FALSE),"")</f>
        <v/>
      </c>
      <c r="S855" s="1087" t="str">
        <f t="shared" si="136"/>
        <v/>
      </c>
      <c r="T855" s="1951">
        <f t="shared" si="135"/>
        <v>32.192678148038851</v>
      </c>
      <c r="U855" s="1952">
        <f t="shared" si="133"/>
        <v>34.962535781231821</v>
      </c>
      <c r="V855" s="1953">
        <f t="shared" si="134"/>
        <v>-1.7428439496615056</v>
      </c>
      <c r="W855" s="3284">
        <f t="shared" si="131"/>
        <v>0.92077640905326286</v>
      </c>
      <c r="X855" s="3300"/>
      <c r="Y855" s="3316"/>
      <c r="AA855" s="3301"/>
      <c r="AB855" s="3409"/>
      <c r="AE855" s="1056"/>
    </row>
    <row r="856" spans="2:31" ht="16" thickBot="1" x14ac:dyDescent="0.25">
      <c r="B856" s="2983">
        <f>AVERAGE(W850:W856)</f>
        <v>1.0398262717201676</v>
      </c>
      <c r="C856" s="2086">
        <v>43954</v>
      </c>
      <c r="D856" s="1951">
        <v>59</v>
      </c>
      <c r="E856" s="2175" t="s">
        <v>835</v>
      </c>
      <c r="F856" s="2723" t="s">
        <v>804</v>
      </c>
      <c r="G856" s="2176">
        <v>5.7592592592592591E-2</v>
      </c>
      <c r="H856" s="2177">
        <v>13.62</v>
      </c>
      <c r="I856" s="2178">
        <f t="shared" si="130"/>
        <v>4.2285310273562846E-3</v>
      </c>
      <c r="J856" s="2179">
        <v>138</v>
      </c>
      <c r="K856" s="2180">
        <v>74</v>
      </c>
      <c r="L856" s="2808">
        <v>194</v>
      </c>
      <c r="M856" s="2832"/>
      <c r="N856" s="2181">
        <f t="shared" si="132"/>
        <v>1.0578648607184344</v>
      </c>
      <c r="O856" s="2182" t="s">
        <v>751</v>
      </c>
      <c r="P856" s="2183">
        <f>IFERROR(VLOOKUP(F856,Trainingsarten!$A$9:$N$84,12,FALSE),"")</f>
        <v>194.60000000000002</v>
      </c>
      <c r="Q856" s="1151" t="s">
        <v>437</v>
      </c>
      <c r="R856" s="1151">
        <f>IFERROR(VLOOKUP(F856,Trainingsarten!$A$9:$N$84,14,FALSE),"")</f>
        <v>212.96</v>
      </c>
      <c r="S856" s="1106">
        <f t="shared" si="136"/>
        <v>1.4057971014492754</v>
      </c>
      <c r="T856" s="1951">
        <f t="shared" si="135"/>
        <v>38.165152698319012</v>
      </c>
      <c r="U856" s="1952">
        <f t="shared" si="133"/>
        <v>35.891999215012014</v>
      </c>
      <c r="V856" s="1952">
        <f t="shared" si="134"/>
        <v>2.7698576331929701</v>
      </c>
      <c r="W856" s="3287">
        <f t="shared" si="131"/>
        <v>1.0633331531545405</v>
      </c>
      <c r="X856" s="3300"/>
      <c r="Y856" s="3316"/>
      <c r="AA856" s="3301"/>
      <c r="AB856" s="3409"/>
      <c r="AE856" s="1056"/>
    </row>
    <row r="857" spans="2:31" ht="16" thickBot="1" x14ac:dyDescent="0.25">
      <c r="B857" s="2985">
        <f>B850+1</f>
        <v>19</v>
      </c>
      <c r="C857" s="1964">
        <v>43955</v>
      </c>
      <c r="D857" s="1910"/>
      <c r="E857" s="1911"/>
      <c r="F857" s="2724"/>
      <c r="G857" s="1912"/>
      <c r="H857" s="1913" t="str">
        <f>IFERROR(VLOOKUP(F857,Trainingsarten!$A$9:$K$84,10,FALSE),"")</f>
        <v/>
      </c>
      <c r="I857" s="1914" t="str">
        <f t="shared" si="130"/>
        <v/>
      </c>
      <c r="J857" s="1915"/>
      <c r="K857" s="1916" t="str">
        <f>IFERROR(VLOOKUP(F857,Trainingsarten!$A$9:$K$84,11,FALSE),"0")</f>
        <v>0</v>
      </c>
      <c r="L857" s="1915"/>
      <c r="M857" s="2833"/>
      <c r="N857" s="1917" t="str">
        <f t="shared" si="132"/>
        <v/>
      </c>
      <c r="O857" s="1918"/>
      <c r="P857" s="1965" t="str">
        <f>IFERROR(VLOOKUP(F857,Trainingsarten!$A$9:$N$84,12,FALSE),"")</f>
        <v/>
      </c>
      <c r="Q857" s="1920" t="s">
        <v>437</v>
      </c>
      <c r="R857" s="1069" t="str">
        <f>IFERROR(VLOOKUP(F857,Trainingsarten!$A$9:$N$84,14,FALSE),"")</f>
        <v/>
      </c>
      <c r="S857" s="1070" t="str">
        <f t="shared" si="136"/>
        <v/>
      </c>
      <c r="T857" s="1921">
        <f t="shared" si="135"/>
        <v>32.712988027130585</v>
      </c>
      <c r="U857" s="1922">
        <f t="shared" si="133"/>
        <v>35.037427805130775</v>
      </c>
      <c r="V857" s="1966">
        <f t="shared" si="134"/>
        <v>-2.2731534833069986</v>
      </c>
      <c r="W857" s="3283">
        <f t="shared" si="131"/>
        <v>0.93365837837959653</v>
      </c>
      <c r="X857" s="3300"/>
      <c r="Y857" s="3316"/>
      <c r="AA857" s="3301"/>
      <c r="AB857" s="3409"/>
      <c r="AE857" s="1056"/>
    </row>
    <row r="858" spans="2:31" x14ac:dyDescent="0.2">
      <c r="B858" s="2978" t="s">
        <v>626</v>
      </c>
      <c r="C858" s="1983">
        <v>43956</v>
      </c>
      <c r="D858" s="1984">
        <v>60</v>
      </c>
      <c r="E858" s="1985" t="s">
        <v>835</v>
      </c>
      <c r="F858" s="2722" t="s">
        <v>827</v>
      </c>
      <c r="G858" s="1942">
        <v>3.8217592592592588E-2</v>
      </c>
      <c r="H858" s="1943">
        <v>9.8000000000000007</v>
      </c>
      <c r="I858" s="1944">
        <f t="shared" si="130"/>
        <v>3.899754346182917E-3</v>
      </c>
      <c r="J858" s="1945">
        <v>142</v>
      </c>
      <c r="K858" s="1946">
        <v>58</v>
      </c>
      <c r="L858" s="2806">
        <v>210</v>
      </c>
      <c r="M858" s="2829"/>
      <c r="N858" s="1991">
        <f t="shared" si="132"/>
        <v>1.0560767590618336</v>
      </c>
      <c r="O858" s="1948" t="s">
        <v>783</v>
      </c>
      <c r="P858" s="1949">
        <f>IFERROR(VLOOKUP(F858,Trainingsarten!$A$9:$N$84,12,FALSE),"")</f>
        <v>194.60000000000002</v>
      </c>
      <c r="Q858" s="1950" t="s">
        <v>437</v>
      </c>
      <c r="R858" s="1086">
        <f>IFERROR(VLOOKUP(F858,Trainingsarten!$A$9:$N$84,14,FALSE),"")</f>
        <v>212.96</v>
      </c>
      <c r="S858" s="1087">
        <f t="shared" si="136"/>
        <v>1.4788732394366197</v>
      </c>
      <c r="T858" s="1951">
        <f t="shared" si="135"/>
        <v>36.32541830896907</v>
      </c>
      <c r="U858" s="1952">
        <f t="shared" si="133"/>
        <v>35.584155714532422</v>
      </c>
      <c r="V858" s="1953">
        <f t="shared" si="134"/>
        <v>2.3244397780001904</v>
      </c>
      <c r="W858" s="3284">
        <f t="shared" si="131"/>
        <v>1.020831254235264</v>
      </c>
      <c r="X858" s="3300"/>
      <c r="Y858" s="3316"/>
      <c r="AA858" s="3301"/>
      <c r="AB858" s="3409"/>
      <c r="AE858" s="1056"/>
    </row>
    <row r="859" spans="2:31" ht="16" thickBot="1" x14ac:dyDescent="0.25">
      <c r="B859" s="2979">
        <f>SUM(H857:H863)</f>
        <v>50.620000000000005</v>
      </c>
      <c r="C859" s="1939">
        <v>43957</v>
      </c>
      <c r="D859" s="1984"/>
      <c r="E859" s="1985"/>
      <c r="F859" s="2722"/>
      <c r="G859" s="1942"/>
      <c r="H859" s="1943" t="str">
        <f>IFERROR(VLOOKUP(F859,Trainingsarten!$A$9:$K$84,10,FALSE),"")</f>
        <v/>
      </c>
      <c r="I859" s="1944" t="str">
        <f t="shared" si="130"/>
        <v/>
      </c>
      <c r="J859" s="1945"/>
      <c r="K859" s="1946" t="str">
        <f>IFERROR(VLOOKUP(F859,Trainingsarten!$A$9:$K$84,11,FALSE),"0")</f>
        <v>0</v>
      </c>
      <c r="L859" s="2806"/>
      <c r="M859" s="2829"/>
      <c r="N859" s="1991" t="str">
        <f t="shared" si="132"/>
        <v/>
      </c>
      <c r="O859" s="1948"/>
      <c r="P859" s="1949" t="str">
        <f>IFERROR(VLOOKUP(F859,Trainingsarten!$A$9:$N$84,12,FALSE),"")</f>
        <v/>
      </c>
      <c r="Q859" s="1950" t="s">
        <v>437</v>
      </c>
      <c r="R859" s="1086" t="str">
        <f>IFERROR(VLOOKUP(F859,Trainingsarten!$A$9:$N$84,14,FALSE),"")</f>
        <v/>
      </c>
      <c r="S859" s="1087" t="str">
        <f t="shared" si="136"/>
        <v/>
      </c>
      <c r="T859" s="1951">
        <f t="shared" si="135"/>
        <v>31.136072836259203</v>
      </c>
      <c r="U859" s="1952">
        <f t="shared" si="133"/>
        <v>34.736913911805459</v>
      </c>
      <c r="V859" s="1953">
        <f t="shared" si="134"/>
        <v>-0.74126259443664821</v>
      </c>
      <c r="W859" s="3284">
        <f t="shared" si="131"/>
        <v>0.89633963786510984</v>
      </c>
      <c r="X859" s="3300"/>
      <c r="Y859" s="3316"/>
      <c r="AA859" s="3301"/>
      <c r="AB859" s="3409"/>
      <c r="AE859" s="1056"/>
    </row>
    <row r="860" spans="2:31" x14ac:dyDescent="0.2">
      <c r="B860" s="2980" t="s">
        <v>628</v>
      </c>
      <c r="C860" s="1939">
        <v>43958</v>
      </c>
      <c r="D860" s="1984">
        <v>61</v>
      </c>
      <c r="E860" s="1985" t="s">
        <v>836</v>
      </c>
      <c r="F860" s="2722" t="s">
        <v>829</v>
      </c>
      <c r="G860" s="1942">
        <v>3.1863425925925927E-2</v>
      </c>
      <c r="H860" s="1943">
        <v>9.7899999999999991</v>
      </c>
      <c r="I860" s="1944">
        <f t="shared" si="130"/>
        <v>3.2546911058147017E-3</v>
      </c>
      <c r="J860" s="1945">
        <v>154</v>
      </c>
      <c r="K860" s="1946">
        <v>68</v>
      </c>
      <c r="L860" s="2806">
        <v>248</v>
      </c>
      <c r="M860" s="2829"/>
      <c r="N860" s="1991">
        <f t="shared" si="132"/>
        <v>1.0408793621270565</v>
      </c>
      <c r="O860" s="1948" t="s">
        <v>821</v>
      </c>
      <c r="P860" s="1949">
        <f>IFERROR(VLOOKUP(F860,Trainingsarten!$A$9:$N$84,12,FALSE),"")</f>
        <v>230.89999999999998</v>
      </c>
      <c r="Q860" s="1950" t="s">
        <v>437</v>
      </c>
      <c r="R860" s="1086">
        <f>IFERROR(VLOOKUP(F860,Trainingsarten!$A$9:$N$84,14,FALSE),"")</f>
        <v>254.10000000000002</v>
      </c>
      <c r="S860" s="1087">
        <f t="shared" si="136"/>
        <v>1.6103896103896105</v>
      </c>
      <c r="T860" s="1951">
        <f t="shared" si="135"/>
        <v>36.402348145365032</v>
      </c>
      <c r="U860" s="1952">
        <f t="shared" si="133"/>
        <v>35.528892152000566</v>
      </c>
      <c r="V860" s="1953">
        <f t="shared" si="134"/>
        <v>3.6008410755462563</v>
      </c>
      <c r="W860" s="3284">
        <f t="shared" si="131"/>
        <v>1.024584385846528</v>
      </c>
      <c r="X860" s="3300"/>
      <c r="Y860" s="3316"/>
      <c r="AA860" s="3301"/>
      <c r="AB860" s="3409"/>
      <c r="AE860" s="1056"/>
    </row>
    <row r="861" spans="2:31" ht="16" thickBot="1" x14ac:dyDescent="0.25">
      <c r="B861" s="2981">
        <f>SUM(K857:K863)</f>
        <v>310</v>
      </c>
      <c r="C861" s="1939">
        <v>43959</v>
      </c>
      <c r="D861" s="1984">
        <v>62</v>
      </c>
      <c r="E861" s="1985" t="s">
        <v>835</v>
      </c>
      <c r="F861" s="2722" t="s">
        <v>824</v>
      </c>
      <c r="G861" s="1942">
        <v>3.9629629629629633E-2</v>
      </c>
      <c r="H861" s="1943">
        <v>9.65</v>
      </c>
      <c r="I861" s="1944">
        <f t="shared" ref="I861:I924" si="137">IFERROR(G861/H861,"")</f>
        <v>4.1066973709460754E-3</v>
      </c>
      <c r="J861" s="1945">
        <v>133</v>
      </c>
      <c r="K861" s="1946">
        <v>56</v>
      </c>
      <c r="L861" s="2806">
        <v>203</v>
      </c>
      <c r="M861" s="2829"/>
      <c r="N861" s="1991">
        <f t="shared" si="132"/>
        <v>1.075047560126827</v>
      </c>
      <c r="O861" s="1948" t="s">
        <v>858</v>
      </c>
      <c r="P861" s="1949">
        <f>IFERROR(VLOOKUP(F861,Trainingsarten!$A$9:$N$84,12,FALSE),"")</f>
        <v>169.39999999999998</v>
      </c>
      <c r="Q861" s="1950" t="s">
        <v>437</v>
      </c>
      <c r="R861" s="1086">
        <f>IFERROR(VLOOKUP(F861,Trainingsarten!$A$9:$N$84,14,FALSE),"")</f>
        <v>193.60000000000002</v>
      </c>
      <c r="S861" s="1087">
        <f t="shared" si="136"/>
        <v>1.5263157894736843</v>
      </c>
      <c r="T861" s="1951">
        <f t="shared" si="135"/>
        <v>39.202012696027168</v>
      </c>
      <c r="U861" s="1952">
        <f t="shared" si="133"/>
        <v>36.016299481714839</v>
      </c>
      <c r="V861" s="1953">
        <f t="shared" si="134"/>
        <v>-0.87345599336446611</v>
      </c>
      <c r="W861" s="3284">
        <f t="shared" si="131"/>
        <v>1.0884519859107038</v>
      </c>
      <c r="X861" s="3300"/>
      <c r="Y861" s="3316"/>
      <c r="AA861" s="3301"/>
      <c r="AB861" s="3409"/>
      <c r="AE861" s="1056"/>
    </row>
    <row r="862" spans="2:31" x14ac:dyDescent="0.2">
      <c r="B862" s="2982" t="s">
        <v>761</v>
      </c>
      <c r="C862" s="1939">
        <v>43960</v>
      </c>
      <c r="D862" s="1984"/>
      <c r="E862" s="1985"/>
      <c r="F862" s="2722"/>
      <c r="G862" s="1942"/>
      <c r="H862" s="1943" t="str">
        <f>IFERROR(VLOOKUP(F862,Trainingsarten!$A$9:$K$84,10,FALSE),"")</f>
        <v/>
      </c>
      <c r="I862" s="1944" t="str">
        <f t="shared" si="137"/>
        <v/>
      </c>
      <c r="J862" s="1945"/>
      <c r="K862" s="1946" t="str">
        <f>IFERROR(VLOOKUP(F862,Trainingsarten!$A$9:$K$84,11,FALSE),"0")</f>
        <v>0</v>
      </c>
      <c r="L862" s="2806"/>
      <c r="M862" s="2829"/>
      <c r="N862" s="1991" t="str">
        <f t="shared" si="132"/>
        <v/>
      </c>
      <c r="O862" s="1948"/>
      <c r="P862" s="1949" t="str">
        <f>IFERROR(VLOOKUP(F862,Trainingsarten!$A$9:$N$84,12,FALSE),"")</f>
        <v/>
      </c>
      <c r="Q862" s="1950" t="s">
        <v>437</v>
      </c>
      <c r="R862" s="1086" t="str">
        <f>IFERROR(VLOOKUP(F862,Trainingsarten!$A$9:$N$84,14,FALSE),"")</f>
        <v/>
      </c>
      <c r="S862" s="1087" t="str">
        <f t="shared" si="136"/>
        <v/>
      </c>
      <c r="T862" s="1951">
        <f t="shared" si="135"/>
        <v>33.601725168023286</v>
      </c>
      <c r="U862" s="1952">
        <f t="shared" si="133"/>
        <v>35.158768541674007</v>
      </c>
      <c r="V862" s="1953">
        <f t="shared" si="134"/>
        <v>-3.1857132143123295</v>
      </c>
      <c r="W862" s="3284">
        <f t="shared" si="131"/>
        <v>0.95571393884842293</v>
      </c>
      <c r="X862" s="3300"/>
      <c r="Y862" s="3316"/>
      <c r="AA862" s="3301"/>
      <c r="AB862" s="3409"/>
      <c r="AE862" s="1056"/>
    </row>
    <row r="863" spans="2:31" ht="16" thickBot="1" x14ac:dyDescent="0.25">
      <c r="B863" s="2983">
        <f>AVERAGE(W857:W863)</f>
        <v>1.0256615187015294</v>
      </c>
      <c r="C863" s="1260">
        <v>43961</v>
      </c>
      <c r="D863" s="1108">
        <v>63</v>
      </c>
      <c r="E863" s="1261" t="s">
        <v>835</v>
      </c>
      <c r="F863" s="2723" t="s">
        <v>811</v>
      </c>
      <c r="G863" s="1954">
        <v>8.3182870370370365E-2</v>
      </c>
      <c r="H863" s="1955">
        <v>21.38</v>
      </c>
      <c r="I863" s="1956">
        <f t="shared" si="137"/>
        <v>3.8906861726085299E-3</v>
      </c>
      <c r="J863" s="1957">
        <v>140</v>
      </c>
      <c r="K863" s="1958">
        <v>128</v>
      </c>
      <c r="L863" s="2807">
        <v>212.2</v>
      </c>
      <c r="M863" s="2830"/>
      <c r="N863" s="1223">
        <f t="shared" si="132"/>
        <v>1.0646589782611731</v>
      </c>
      <c r="O863" s="1959" t="s">
        <v>858</v>
      </c>
      <c r="P863" s="1960">
        <f>IFERROR(VLOOKUP(F863,Trainingsarten!$A$9:$N$84,12,FALSE),"")</f>
        <v>194.60000000000002</v>
      </c>
      <c r="Q863" s="1961" t="s">
        <v>437</v>
      </c>
      <c r="R863" s="1105">
        <f>IFERROR(VLOOKUP(F863,Trainingsarten!$A$9:$N$84,14,FALSE),"")</f>
        <v>212.96</v>
      </c>
      <c r="S863" s="1106">
        <f t="shared" si="136"/>
        <v>1.5157142857142856</v>
      </c>
      <c r="T863" s="1962">
        <f t="shared" si="135"/>
        <v>47.087193001162817</v>
      </c>
      <c r="U863" s="1963">
        <f t="shared" si="133"/>
        <v>37.369274052586533</v>
      </c>
      <c r="V863" s="1963">
        <f t="shared" si="134"/>
        <v>1.5570433736507212</v>
      </c>
      <c r="W863" s="3285">
        <f t="shared" ref="W863:W926" si="138">T863/U863</f>
        <v>1.260051049825081</v>
      </c>
      <c r="X863" s="3300"/>
      <c r="Y863" s="3316"/>
      <c r="AA863" s="3301"/>
      <c r="AB863" s="3409"/>
      <c r="AE863" s="1056"/>
    </row>
    <row r="864" spans="2:31" ht="16" thickBot="1" x14ac:dyDescent="0.25">
      <c r="B864" s="2985">
        <f>B857+1</f>
        <v>20</v>
      </c>
      <c r="C864" s="1110">
        <v>43962</v>
      </c>
      <c r="D864" s="1111"/>
      <c r="E864" s="1112"/>
      <c r="F864" s="2724"/>
      <c r="G864" s="1647"/>
      <c r="H864" s="1648" t="str">
        <f>IFERROR(VLOOKUP(F864,Trainingsarten!$A$9:$K$84,10,FALSE),"")</f>
        <v/>
      </c>
      <c r="I864" s="1399" t="str">
        <f t="shared" si="137"/>
        <v/>
      </c>
      <c r="J864" s="1326"/>
      <c r="K864" s="1325" t="str">
        <f>IFERROR(VLOOKUP(F864,Trainingsarten!$A$9:$K$84,11,FALSE),"0")</f>
        <v>0</v>
      </c>
      <c r="L864" s="1326"/>
      <c r="M864" s="2831"/>
      <c r="N864" s="1119" t="str">
        <f t="shared" si="132"/>
        <v/>
      </c>
      <c r="O864" s="1649"/>
      <c r="P864" s="1277" t="str">
        <f>IFERROR(VLOOKUP(F864,Trainingsarten!$A$9:$N$84,12,FALSE),"")</f>
        <v/>
      </c>
      <c r="Q864" s="1122" t="s">
        <v>437</v>
      </c>
      <c r="R864" s="1122" t="str">
        <f>IFERROR(VLOOKUP(F864,Trainingsarten!$A$9:$N$84,14,FALSE),"")</f>
        <v/>
      </c>
      <c r="S864" s="1070" t="str">
        <f t="shared" si="136"/>
        <v/>
      </c>
      <c r="T864" s="1650">
        <f t="shared" si="135"/>
        <v>40.360451143853844</v>
      </c>
      <c r="U864" s="1651">
        <f t="shared" si="133"/>
        <v>36.479529432286853</v>
      </c>
      <c r="V864" s="1278">
        <f t="shared" si="134"/>
        <v>-9.7179189485762834</v>
      </c>
      <c r="W864" s="3286">
        <f t="shared" si="138"/>
        <v>1.1063862876512907</v>
      </c>
      <c r="X864" s="3300"/>
      <c r="Y864" s="3316"/>
      <c r="AA864" s="3301"/>
      <c r="AB864" s="3409"/>
      <c r="AE864" s="1056"/>
    </row>
    <row r="865" spans="2:31" x14ac:dyDescent="0.2">
      <c r="B865" s="2978" t="s">
        <v>626</v>
      </c>
      <c r="C865" s="1211">
        <v>43963</v>
      </c>
      <c r="D865" s="1823">
        <v>64</v>
      </c>
      <c r="E865" s="1824" t="s">
        <v>836</v>
      </c>
      <c r="F865" s="2722" t="s">
        <v>827</v>
      </c>
      <c r="G865" s="1825">
        <v>3.4895833333333334E-2</v>
      </c>
      <c r="H865" s="1826">
        <v>9.85</v>
      </c>
      <c r="I865" s="1902">
        <f t="shared" si="137"/>
        <v>3.5427241962774961E-3</v>
      </c>
      <c r="J865" s="1830">
        <v>141</v>
      </c>
      <c r="K865" s="1829">
        <v>64</v>
      </c>
      <c r="L865" s="2806">
        <v>231.5</v>
      </c>
      <c r="M865" s="2829"/>
      <c r="N865" s="1831">
        <f t="shared" si="132"/>
        <v>1.0576142131979698</v>
      </c>
      <c r="O865" s="1832" t="s">
        <v>783</v>
      </c>
      <c r="P865" s="1755">
        <f>IFERROR(VLOOKUP(F865,Trainingsarten!$A$9:$N$84,12,FALSE),"")</f>
        <v>194.60000000000002</v>
      </c>
      <c r="Q865" s="1756" t="s">
        <v>437</v>
      </c>
      <c r="R865" s="1086">
        <f>IFERROR(VLOOKUP(F865,Trainingsarten!$A$9:$N$84,14,FALSE),"")</f>
        <v>212.96</v>
      </c>
      <c r="S865" s="1087">
        <f t="shared" si="136"/>
        <v>1.6418439716312057</v>
      </c>
      <c r="T865" s="1757">
        <f t="shared" si="135"/>
        <v>43.737529551874722</v>
      </c>
      <c r="U865" s="1758">
        <f t="shared" si="133"/>
        <v>37.134778731518118</v>
      </c>
      <c r="V865" s="1088">
        <f t="shared" si="134"/>
        <v>-3.880921711566991</v>
      </c>
      <c r="W865" s="3284">
        <f t="shared" si="138"/>
        <v>1.1778050400702273</v>
      </c>
      <c r="X865" s="3300"/>
      <c r="Y865" s="3316"/>
      <c r="AA865" s="3301"/>
      <c r="AB865" s="3409"/>
      <c r="AE865" s="1056"/>
    </row>
    <row r="866" spans="2:31" ht="16" thickBot="1" x14ac:dyDescent="0.25">
      <c r="B866" s="2979">
        <f>SUM(H864:H870)</f>
        <v>51.71</v>
      </c>
      <c r="C866" s="1211">
        <v>43964</v>
      </c>
      <c r="D866" s="1823"/>
      <c r="E866" s="1824"/>
      <c r="F866" s="2722"/>
      <c r="G866" s="1825"/>
      <c r="H866" s="1826" t="str">
        <f>IFERROR(VLOOKUP(F866,Trainingsarten!$A$9:$K$84,10,FALSE),"")</f>
        <v/>
      </c>
      <c r="I866" s="1902" t="str">
        <f t="shared" si="137"/>
        <v/>
      </c>
      <c r="J866" s="1830"/>
      <c r="K866" s="1829" t="str">
        <f>IFERROR(VLOOKUP(F866,Trainingsarten!$A$9:$K$84,11,FALSE),"0")</f>
        <v>0</v>
      </c>
      <c r="L866" s="2806"/>
      <c r="M866" s="2829"/>
      <c r="N866" s="1831" t="str">
        <f t="shared" si="132"/>
        <v/>
      </c>
      <c r="O866" s="1832"/>
      <c r="P866" s="1755" t="str">
        <f>IFERROR(VLOOKUP(F866,Trainingsarten!$A$9:$N$84,12,FALSE),"")</f>
        <v/>
      </c>
      <c r="Q866" s="1756" t="s">
        <v>437</v>
      </c>
      <c r="R866" s="1086" t="str">
        <f>IFERROR(VLOOKUP(F866,Trainingsarten!$A$9:$N$84,14,FALSE),"")</f>
        <v/>
      </c>
      <c r="S866" s="1087" t="str">
        <f t="shared" si="136"/>
        <v/>
      </c>
      <c r="T866" s="1757">
        <f t="shared" si="135"/>
        <v>37.489311044464046</v>
      </c>
      <c r="U866" s="1758">
        <f t="shared" si="133"/>
        <v>36.250617333148639</v>
      </c>
      <c r="V866" s="1088">
        <f t="shared" si="134"/>
        <v>-6.6027508203566043</v>
      </c>
      <c r="W866" s="3284">
        <f t="shared" si="138"/>
        <v>1.0341702790860532</v>
      </c>
      <c r="X866" s="3300"/>
      <c r="Y866" s="3316"/>
      <c r="AA866" s="3301"/>
      <c r="AB866" s="3409"/>
      <c r="AE866" s="1056"/>
    </row>
    <row r="867" spans="2:31" x14ac:dyDescent="0.2">
      <c r="B867" s="2980" t="s">
        <v>628</v>
      </c>
      <c r="C867" s="1211">
        <v>43965</v>
      </c>
      <c r="D867" s="1823">
        <v>65</v>
      </c>
      <c r="E867" s="1824" t="s">
        <v>836</v>
      </c>
      <c r="F867" s="2722" t="s">
        <v>830</v>
      </c>
      <c r="G867" s="1825">
        <v>3.7430555555555557E-2</v>
      </c>
      <c r="H867" s="1826">
        <v>11.63</v>
      </c>
      <c r="I867" s="1902">
        <f t="shared" si="137"/>
        <v>3.2184484570555076E-3</v>
      </c>
      <c r="J867" s="1830">
        <v>156</v>
      </c>
      <c r="K867" s="1829">
        <v>81</v>
      </c>
      <c r="L867" s="2806">
        <v>249</v>
      </c>
      <c r="M867" s="2829"/>
      <c r="N867" s="1831">
        <f t="shared" si="132"/>
        <v>1.0334389959061099</v>
      </c>
      <c r="O867" s="1832" t="s">
        <v>821</v>
      </c>
      <c r="P867" s="1755">
        <f>IFERROR(VLOOKUP(F867,Trainingsarten!$A$9:$N$84,12,FALSE),"")</f>
        <v>230.89999999999998</v>
      </c>
      <c r="Q867" s="1756" t="s">
        <v>437</v>
      </c>
      <c r="R867" s="1086">
        <f>IFERROR(VLOOKUP(F867,Trainingsarten!$A$9:$N$84,14,FALSE),"")</f>
        <v>254.10000000000002</v>
      </c>
      <c r="S867" s="1087">
        <f t="shared" si="136"/>
        <v>1.5961538461538463</v>
      </c>
      <c r="T867" s="1757">
        <f t="shared" si="135"/>
        <v>43.705123752397753</v>
      </c>
      <c r="U867" s="1758">
        <f t="shared" si="133"/>
        <v>37.316078825216529</v>
      </c>
      <c r="V867" s="1088">
        <f t="shared" si="134"/>
        <v>-1.2386937113154062</v>
      </c>
      <c r="W867" s="3284">
        <f t="shared" si="138"/>
        <v>1.1712142628143394</v>
      </c>
      <c r="X867" s="3300"/>
      <c r="Y867" s="3316"/>
      <c r="AA867" s="3301"/>
      <c r="AB867" s="3409"/>
      <c r="AE867" s="1056"/>
    </row>
    <row r="868" spans="2:31" ht="16" thickBot="1" x14ac:dyDescent="0.25">
      <c r="B868" s="2981">
        <f>SUM(K864:K870)</f>
        <v>322</v>
      </c>
      <c r="C868" s="1211">
        <v>43966</v>
      </c>
      <c r="D868" s="1823">
        <v>66</v>
      </c>
      <c r="E868" s="1824" t="s">
        <v>836</v>
      </c>
      <c r="F868" s="2722" t="s">
        <v>824</v>
      </c>
      <c r="G868" s="1825">
        <v>3.5555555555555556E-2</v>
      </c>
      <c r="H868" s="1826">
        <v>8.82</v>
      </c>
      <c r="I868" s="1902">
        <f t="shared" si="137"/>
        <v>4.0312421264802212E-3</v>
      </c>
      <c r="J868" s="1830">
        <v>131</v>
      </c>
      <c r="K868" s="1829">
        <v>50</v>
      </c>
      <c r="L868" s="2806">
        <v>203</v>
      </c>
      <c r="M868" s="2829"/>
      <c r="N868" s="1831">
        <f t="shared" ref="N868:N931" si="139">IFERROR((L868/67)/(1/(I868*24)/3.6),"")</f>
        <v>1.0552949538024163</v>
      </c>
      <c r="O868" s="1832" t="s">
        <v>751</v>
      </c>
      <c r="P868" s="1755">
        <f>IFERROR(VLOOKUP(F868,Trainingsarten!$A$9:$N$84,12,FALSE),"")</f>
        <v>169.39999999999998</v>
      </c>
      <c r="Q868" s="1756" t="s">
        <v>437</v>
      </c>
      <c r="R868" s="1086">
        <f>IFERROR(VLOOKUP(F868,Trainingsarten!$A$9:$N$84,14,FALSE),"")</f>
        <v>193.60000000000002</v>
      </c>
      <c r="S868" s="1087">
        <f t="shared" si="136"/>
        <v>1.5496183206106871</v>
      </c>
      <c r="T868" s="1757">
        <f t="shared" si="135"/>
        <v>44.604391787769501</v>
      </c>
      <c r="U868" s="1758">
        <f t="shared" si="133"/>
        <v>37.61807694842566</v>
      </c>
      <c r="V868" s="1088">
        <f t="shared" si="134"/>
        <v>-6.3890449271812244</v>
      </c>
      <c r="W868" s="3284">
        <f t="shared" si="138"/>
        <v>1.185716958602697</v>
      </c>
      <c r="X868" s="3300"/>
      <c r="Y868" s="3316"/>
      <c r="AA868" s="3301"/>
      <c r="AB868" s="3409"/>
      <c r="AE868" s="1056"/>
    </row>
    <row r="869" spans="2:31" x14ac:dyDescent="0.2">
      <c r="B869" s="2982" t="s">
        <v>761</v>
      </c>
      <c r="C869" s="1211">
        <v>43967</v>
      </c>
      <c r="D869" s="1823"/>
      <c r="E869" s="1824"/>
      <c r="F869" s="2722"/>
      <c r="G869" s="1825"/>
      <c r="H869" s="1826" t="str">
        <f>IFERROR(VLOOKUP(F869,Trainingsarten!$A$9:$K$84,10,FALSE),"")</f>
        <v/>
      </c>
      <c r="I869" s="1902" t="str">
        <f t="shared" si="137"/>
        <v/>
      </c>
      <c r="J869" s="1830"/>
      <c r="K869" s="1829" t="str">
        <f>IFERROR(VLOOKUP(F869,Trainingsarten!$A$9:$K$84,11,FALSE),"0")</f>
        <v>0</v>
      </c>
      <c r="L869" s="2806"/>
      <c r="M869" s="2829"/>
      <c r="N869" s="1831" t="str">
        <f t="shared" si="139"/>
        <v/>
      </c>
      <c r="O869" s="1832"/>
      <c r="P869" s="1755" t="str">
        <f>IFERROR(VLOOKUP(F869,Trainingsarten!$A$9:$N$84,12,FALSE),"")</f>
        <v/>
      </c>
      <c r="Q869" s="1756" t="s">
        <v>437</v>
      </c>
      <c r="R869" s="1086" t="str">
        <f>IFERROR(VLOOKUP(F869,Trainingsarten!$A$9:$N$84,14,FALSE),"")</f>
        <v/>
      </c>
      <c r="S869" s="1087" t="str">
        <f t="shared" si="136"/>
        <v/>
      </c>
      <c r="T869" s="1757">
        <f t="shared" si="135"/>
        <v>38.232335818088146</v>
      </c>
      <c r="U869" s="1758">
        <f t="shared" si="133"/>
        <v>36.722408449653621</v>
      </c>
      <c r="V869" s="1088">
        <f t="shared" si="134"/>
        <v>-6.9863148393438408</v>
      </c>
      <c r="W869" s="3284">
        <f t="shared" si="138"/>
        <v>1.0411173295048073</v>
      </c>
      <c r="X869" s="3300"/>
      <c r="Y869" s="3316"/>
      <c r="AA869" s="3301"/>
      <c r="AB869" s="3409"/>
      <c r="AE869" s="1056"/>
    </row>
    <row r="870" spans="2:31" ht="16" thickBot="1" x14ac:dyDescent="0.25">
      <c r="B870" s="2983">
        <f>AVERAGE(W864:W870)</f>
        <v>1.146597955875577</v>
      </c>
      <c r="C870" s="2184">
        <v>43968</v>
      </c>
      <c r="D870" s="2185">
        <v>67</v>
      </c>
      <c r="E870" s="2186" t="s">
        <v>835</v>
      </c>
      <c r="F870" s="2723" t="s">
        <v>811</v>
      </c>
      <c r="G870" s="2097">
        <v>8.3703703703703711E-2</v>
      </c>
      <c r="H870" s="1826">
        <v>21.41</v>
      </c>
      <c r="I870" s="1902">
        <f t="shared" ref="I870" si="140">IFERROR(G870/H870,"")</f>
        <v>3.909561125815213E-3</v>
      </c>
      <c r="J870" s="1830">
        <v>135</v>
      </c>
      <c r="K870" s="1829">
        <v>127</v>
      </c>
      <c r="L870" s="2806">
        <v>210.2</v>
      </c>
      <c r="M870" s="2829"/>
      <c r="N870" s="1831">
        <f t="shared" ref="N870" si="141">IFERROR((L870/67)/(1/(I870*24)/3.6),"")</f>
        <v>1.0597408101947061</v>
      </c>
      <c r="O870" s="1832" t="s">
        <v>858</v>
      </c>
      <c r="P870" s="1755">
        <f>IFERROR(VLOOKUP(F870,Trainingsarten!$A$9:$N$84,12,FALSE),"")</f>
        <v>194.60000000000002</v>
      </c>
      <c r="Q870" s="1756" t="s">
        <v>437</v>
      </c>
      <c r="R870" s="1086">
        <f>IFERROR(VLOOKUP(F870,Trainingsarten!$A$9:$N$84,14,FALSE),"")</f>
        <v>212.96</v>
      </c>
      <c r="S870" s="1106">
        <f t="shared" si="136"/>
        <v>1.557037037037037</v>
      </c>
      <c r="T870" s="2187">
        <f t="shared" si="135"/>
        <v>50.91343070121841</v>
      </c>
      <c r="U870" s="2188">
        <f t="shared" si="133"/>
        <v>38.871874915138058</v>
      </c>
      <c r="V870" s="2188">
        <f t="shared" si="134"/>
        <v>-1.5099273684345249</v>
      </c>
      <c r="W870" s="3287">
        <f t="shared" si="138"/>
        <v>1.3097755333996239</v>
      </c>
      <c r="X870" s="3300"/>
      <c r="Y870" s="3316"/>
      <c r="AA870" s="3301"/>
      <c r="AB870" s="3409"/>
      <c r="AE870" s="1056"/>
    </row>
    <row r="871" spans="2:31" ht="16" thickBot="1" x14ac:dyDescent="0.25">
      <c r="B871" s="2985">
        <f>B864+1</f>
        <v>21</v>
      </c>
      <c r="C871" s="2189">
        <v>43969</v>
      </c>
      <c r="D871" s="2106"/>
      <c r="E871" s="2107"/>
      <c r="F871" s="2724"/>
      <c r="G871" s="2032"/>
      <c r="H871" s="2033" t="str">
        <f>IFERROR(VLOOKUP(F871,Trainingsarten!$A$9:$K$84,10,FALSE),"")</f>
        <v/>
      </c>
      <c r="I871" s="2034" t="str">
        <f t="shared" si="137"/>
        <v/>
      </c>
      <c r="J871" s="2035"/>
      <c r="K871" s="2036" t="str">
        <f>IFERROR(VLOOKUP(F871,Trainingsarten!$A$9:$K$84,11,FALSE),"0")</f>
        <v>0</v>
      </c>
      <c r="L871" s="1915"/>
      <c r="M871" s="2833"/>
      <c r="N871" s="2037" t="str">
        <f t="shared" si="139"/>
        <v/>
      </c>
      <c r="O871" s="2038"/>
      <c r="P871" s="2039" t="str">
        <f>IFERROR(VLOOKUP(F871,Trainingsarten!$A$9:$N$84,12,FALSE),"")</f>
        <v/>
      </c>
      <c r="Q871" s="1069" t="s">
        <v>437</v>
      </c>
      <c r="R871" s="1069" t="str">
        <f>IFERROR(VLOOKUP(F871,Trainingsarten!$A$9:$N$84,14,FALSE),"")</f>
        <v/>
      </c>
      <c r="S871" s="1070" t="str">
        <f t="shared" si="136"/>
        <v/>
      </c>
      <c r="T871" s="2190">
        <f t="shared" si="135"/>
        <v>43.640083458187206</v>
      </c>
      <c r="U871" s="1922">
        <f t="shared" si="133"/>
        <v>37.946354083825248</v>
      </c>
      <c r="V871" s="2030">
        <f t="shared" si="134"/>
        <v>-12.041555786080352</v>
      </c>
      <c r="W871" s="3283">
        <f t="shared" si="138"/>
        <v>1.1500468098143037</v>
      </c>
      <c r="X871" s="3300"/>
      <c r="Y871" s="3316"/>
      <c r="AA871" s="3301"/>
      <c r="AB871" s="3409"/>
      <c r="AE871" s="1056"/>
    </row>
    <row r="872" spans="2:31" x14ac:dyDescent="0.2">
      <c r="B872" s="2978" t="s">
        <v>626</v>
      </c>
      <c r="C872" s="2191">
        <v>43970</v>
      </c>
      <c r="D872" s="2142">
        <v>68</v>
      </c>
      <c r="E872" s="2143" t="s">
        <v>836</v>
      </c>
      <c r="F872" s="2722" t="s">
        <v>827</v>
      </c>
      <c r="G872" s="2110">
        <v>3.366898148148148E-2</v>
      </c>
      <c r="H872" s="2111">
        <v>9.8000000000000007</v>
      </c>
      <c r="I872" s="2112">
        <f t="shared" si="137"/>
        <v>3.4356103552532122E-3</v>
      </c>
      <c r="J872" s="2113">
        <v>148</v>
      </c>
      <c r="K872" s="2114">
        <v>64</v>
      </c>
      <c r="L872" s="2806">
        <v>236.7</v>
      </c>
      <c r="M872" s="2829"/>
      <c r="N872" s="2115">
        <f t="shared" si="139"/>
        <v>1.048675449284191</v>
      </c>
      <c r="O872" s="2116" t="s">
        <v>783</v>
      </c>
      <c r="P872" s="1993">
        <f>IFERROR(VLOOKUP(F872,Trainingsarten!$A$9:$N$84,12,FALSE),"")</f>
        <v>194.60000000000002</v>
      </c>
      <c r="Q872" s="1994" t="s">
        <v>437</v>
      </c>
      <c r="R872" s="1086">
        <f>IFERROR(VLOOKUP(F872,Trainingsarten!$A$9:$N$84,14,FALSE),"")</f>
        <v>212.96</v>
      </c>
      <c r="S872" s="1087">
        <f t="shared" si="136"/>
        <v>1.5993243243243243</v>
      </c>
      <c r="T872" s="1995">
        <f t="shared" si="135"/>
        <v>46.548642964160464</v>
      </c>
      <c r="U872" s="1996">
        <f t="shared" si="133"/>
        <v>38.566678986591313</v>
      </c>
      <c r="V872" s="1997">
        <f t="shared" si="134"/>
        <v>-5.6937293743619577</v>
      </c>
      <c r="W872" s="3284">
        <f t="shared" si="138"/>
        <v>1.20696529199064</v>
      </c>
      <c r="X872" s="3300"/>
      <c r="Y872" s="3316"/>
      <c r="AA872" s="3301"/>
      <c r="AB872" s="3409"/>
      <c r="AE872" s="1056"/>
    </row>
    <row r="873" spans="2:31" ht="16" thickBot="1" x14ac:dyDescent="0.25">
      <c r="B873" s="2979">
        <f>SUM(H871:H877)</f>
        <v>55.129999999999995</v>
      </c>
      <c r="C873" s="1998">
        <v>43971</v>
      </c>
      <c r="D873" s="2142"/>
      <c r="E873" s="2143"/>
      <c r="F873" s="2722"/>
      <c r="G873" s="2110"/>
      <c r="H873" s="2111" t="str">
        <f>IFERROR(VLOOKUP(F873,Trainingsarten!$A$9:$K$84,10,FALSE),"")</f>
        <v/>
      </c>
      <c r="I873" s="2112" t="str">
        <f t="shared" si="137"/>
        <v/>
      </c>
      <c r="J873" s="2113"/>
      <c r="K873" s="2114" t="str">
        <f>IFERROR(VLOOKUP(F873,Trainingsarten!$A$9:$K$84,11,FALSE),"0")</f>
        <v>0</v>
      </c>
      <c r="L873" s="2806"/>
      <c r="M873" s="2829"/>
      <c r="N873" s="2115" t="str">
        <f t="shared" si="139"/>
        <v/>
      </c>
      <c r="O873" s="2116"/>
      <c r="P873" s="1993" t="str">
        <f>IFERROR(VLOOKUP(F873,Trainingsarten!$A$9:$N$84,12,FALSE),"")</f>
        <v/>
      </c>
      <c r="Q873" s="1994" t="s">
        <v>437</v>
      </c>
      <c r="R873" s="1086" t="str">
        <f>IFERROR(VLOOKUP(F873,Trainingsarten!$A$9:$N$84,14,FALSE),"")</f>
        <v/>
      </c>
      <c r="S873" s="1087" t="str">
        <f t="shared" si="136"/>
        <v/>
      </c>
      <c r="T873" s="1995">
        <f t="shared" si="135"/>
        <v>39.898836826423256</v>
      </c>
      <c r="U873" s="1996">
        <f t="shared" si="133"/>
        <v>37.648424725005803</v>
      </c>
      <c r="V873" s="1997">
        <f t="shared" si="134"/>
        <v>-7.9819639775691513</v>
      </c>
      <c r="W873" s="3284">
        <f t="shared" si="138"/>
        <v>1.0597744027234888</v>
      </c>
      <c r="X873" s="3300"/>
      <c r="Y873" s="3316"/>
      <c r="AA873" s="3301"/>
      <c r="AB873" s="3409"/>
      <c r="AE873" s="1056"/>
    </row>
    <row r="874" spans="2:31" x14ac:dyDescent="0.2">
      <c r="B874" s="2980" t="s">
        <v>628</v>
      </c>
      <c r="C874" s="1998">
        <v>43972</v>
      </c>
      <c r="D874" s="2142"/>
      <c r="E874" s="2143"/>
      <c r="F874" s="2722"/>
      <c r="G874" s="2110"/>
      <c r="H874" s="2111" t="str">
        <f>IFERROR(VLOOKUP(F874,Trainingsarten!$A$9:$K$84,10,FALSE),"")</f>
        <v/>
      </c>
      <c r="I874" s="2112" t="str">
        <f t="shared" si="137"/>
        <v/>
      </c>
      <c r="J874" s="2113"/>
      <c r="K874" s="2114" t="str">
        <f>IFERROR(VLOOKUP(F874,Trainingsarten!$A$9:$K$84,11,FALSE),"0")</f>
        <v>0</v>
      </c>
      <c r="L874" s="2806"/>
      <c r="M874" s="2829"/>
      <c r="N874" s="2115" t="str">
        <f t="shared" si="139"/>
        <v/>
      </c>
      <c r="O874" s="2116"/>
      <c r="P874" s="1993" t="str">
        <f>IFERROR(VLOOKUP(F874,Trainingsarten!$A$9:$N$84,12,FALSE),"")</f>
        <v/>
      </c>
      <c r="Q874" s="1994" t="s">
        <v>437</v>
      </c>
      <c r="R874" s="1086" t="str">
        <f>IFERROR(VLOOKUP(F874,Trainingsarten!$A$9:$N$84,14,FALSE),"")</f>
        <v/>
      </c>
      <c r="S874" s="1087" t="str">
        <f t="shared" si="136"/>
        <v/>
      </c>
      <c r="T874" s="1995">
        <f t="shared" si="135"/>
        <v>34.199002994077077</v>
      </c>
      <c r="U874" s="1996">
        <f t="shared" si="133"/>
        <v>36.75203366012471</v>
      </c>
      <c r="V874" s="1997">
        <f t="shared" si="134"/>
        <v>-2.250412101417453</v>
      </c>
      <c r="W874" s="3284">
        <f t="shared" si="138"/>
        <v>0.93053362190355127</v>
      </c>
      <c r="X874" s="3300"/>
      <c r="Y874" s="3316"/>
      <c r="AA874" s="3301"/>
      <c r="AB874" s="3409"/>
      <c r="AE874" s="1056"/>
    </row>
    <row r="875" spans="2:31" ht="16" thickBot="1" x14ac:dyDescent="0.25">
      <c r="B875" s="2981">
        <f>SUM(K871:K877)</f>
        <v>335</v>
      </c>
      <c r="C875" s="1998">
        <v>43973</v>
      </c>
      <c r="D875" s="2142">
        <v>69</v>
      </c>
      <c r="E875" s="2143" t="s">
        <v>836</v>
      </c>
      <c r="F875" s="2722" t="s">
        <v>818</v>
      </c>
      <c r="G875" s="2110">
        <v>4.3969907407407409E-2</v>
      </c>
      <c r="H875" s="2111">
        <v>11.95</v>
      </c>
      <c r="I875" s="2112">
        <f t="shared" si="137"/>
        <v>3.6794901596156832E-3</v>
      </c>
      <c r="J875" s="2113">
        <v>144</v>
      </c>
      <c r="K875" s="2114">
        <v>75</v>
      </c>
      <c r="L875" s="2806">
        <v>222.8</v>
      </c>
      <c r="M875" s="2829"/>
      <c r="N875" s="2115">
        <f t="shared" si="139"/>
        <v>1.0571625554237185</v>
      </c>
      <c r="O875" s="2116" t="s">
        <v>858</v>
      </c>
      <c r="P875" s="1993">
        <f>IFERROR(VLOOKUP(F875,Trainingsarten!$A$9:$N$84,12,FALSE),"")</f>
        <v>194.60000000000002</v>
      </c>
      <c r="Q875" s="1994" t="s">
        <v>437</v>
      </c>
      <c r="R875" s="1086">
        <f>IFERROR(VLOOKUP(F875,Trainingsarten!$A$9:$N$84,14,FALSE),"")</f>
        <v>212.96</v>
      </c>
      <c r="S875" s="1087">
        <f t="shared" si="136"/>
        <v>1.5472222222222223</v>
      </c>
      <c r="T875" s="1995">
        <f t="shared" si="135"/>
        <v>40.027716852066064</v>
      </c>
      <c r="U875" s="1996">
        <f t="shared" si="133"/>
        <v>37.662699525359834</v>
      </c>
      <c r="V875" s="1997">
        <f t="shared" si="134"/>
        <v>2.5530306660476327</v>
      </c>
      <c r="W875" s="3284">
        <f t="shared" si="138"/>
        <v>1.0627946843033322</v>
      </c>
      <c r="X875" s="3300"/>
      <c r="Y875" s="3316"/>
      <c r="AA875" s="3301"/>
      <c r="AB875" s="3409"/>
      <c r="AE875" s="1056"/>
    </row>
    <row r="876" spans="2:31" x14ac:dyDescent="0.2">
      <c r="B876" s="2982" t="s">
        <v>761</v>
      </c>
      <c r="C876" s="1998">
        <v>43974</v>
      </c>
      <c r="D876" s="2142">
        <v>70</v>
      </c>
      <c r="E876" s="2143" t="s">
        <v>835</v>
      </c>
      <c r="F876" s="2722" t="s">
        <v>824</v>
      </c>
      <c r="G876" s="2110">
        <v>4.6388888888888889E-2</v>
      </c>
      <c r="H876" s="2111">
        <v>11.27</v>
      </c>
      <c r="I876" s="2112">
        <f t="shared" si="137"/>
        <v>4.1161392093069116E-3</v>
      </c>
      <c r="J876" s="2113">
        <v>135</v>
      </c>
      <c r="K876" s="2114">
        <v>63</v>
      </c>
      <c r="L876" s="2806">
        <v>199.5</v>
      </c>
      <c r="M876" s="2829"/>
      <c r="N876" s="2115">
        <f t="shared" si="139"/>
        <v>1.0589413182534533</v>
      </c>
      <c r="O876" s="2116" t="s">
        <v>751</v>
      </c>
      <c r="P876" s="1993">
        <f>IFERROR(VLOOKUP(F876,Trainingsarten!$A$9:$N$84,12,FALSE),"")</f>
        <v>169.39999999999998</v>
      </c>
      <c r="Q876" s="1994" t="s">
        <v>437</v>
      </c>
      <c r="R876" s="1086">
        <f>IFERROR(VLOOKUP(F876,Trainingsarten!$A$9:$N$84,14,FALSE),"")</f>
        <v>193.60000000000002</v>
      </c>
      <c r="S876" s="1087">
        <f t="shared" si="136"/>
        <v>1.4777777777777779</v>
      </c>
      <c r="T876" s="1995">
        <f t="shared" si="135"/>
        <v>43.309471587485199</v>
      </c>
      <c r="U876" s="1996">
        <f t="shared" si="133"/>
        <v>38.26596858427984</v>
      </c>
      <c r="V876" s="1997">
        <f t="shared" si="134"/>
        <v>-2.36501732670623</v>
      </c>
      <c r="W876" s="3284">
        <f t="shared" si="138"/>
        <v>1.131801263362697</v>
      </c>
      <c r="X876" s="3300"/>
      <c r="Y876" s="3316"/>
      <c r="AA876" s="3301"/>
      <c r="AB876" s="3409"/>
      <c r="AE876" s="1056"/>
    </row>
    <row r="877" spans="2:31" ht="16" thickBot="1" x14ac:dyDescent="0.25">
      <c r="B877" s="2983">
        <f>AVERAGE(W871:W877)</f>
        <v>1.1324168297273112</v>
      </c>
      <c r="C877" s="2192">
        <v>43975</v>
      </c>
      <c r="D877" s="1108">
        <v>71</v>
      </c>
      <c r="E877" s="1261" t="s">
        <v>835</v>
      </c>
      <c r="F877" s="2723" t="s">
        <v>812</v>
      </c>
      <c r="G877" s="2078">
        <v>8.4305555555555564E-2</v>
      </c>
      <c r="H877" s="2079">
        <v>22.11</v>
      </c>
      <c r="I877" s="2080">
        <f t="shared" si="137"/>
        <v>3.8130056786773209E-3</v>
      </c>
      <c r="J877" s="2081">
        <v>140</v>
      </c>
      <c r="K877" s="2082">
        <v>133</v>
      </c>
      <c r="L877" s="2807">
        <v>214.7</v>
      </c>
      <c r="M877" s="2830"/>
      <c r="N877" s="1223">
        <f t="shared" si="139"/>
        <v>1.055694931043561</v>
      </c>
      <c r="O877" s="2083" t="s">
        <v>858</v>
      </c>
      <c r="P877" s="2084">
        <f>IFERROR(VLOOKUP(F877,Trainingsarten!$A$9:$N$84,12,FALSE),"")</f>
        <v>194.60000000000002</v>
      </c>
      <c r="Q877" s="2085" t="s">
        <v>437</v>
      </c>
      <c r="R877" s="1105">
        <f>IFERROR(VLOOKUP(F877,Trainingsarten!$A$9:$N$84,14,FALSE),"")</f>
        <v>212.96</v>
      </c>
      <c r="S877" s="1106">
        <f t="shared" si="136"/>
        <v>1.5335714285714286</v>
      </c>
      <c r="T877" s="2193">
        <f t="shared" si="135"/>
        <v>56.122404217844455</v>
      </c>
      <c r="U877" s="2194">
        <f t="shared" si="133"/>
        <v>40.521540760844601</v>
      </c>
      <c r="V877" s="2194">
        <f t="shared" si="134"/>
        <v>-5.0435030032053589</v>
      </c>
      <c r="W877" s="3285">
        <f t="shared" si="138"/>
        <v>1.3850017339931642</v>
      </c>
      <c r="X877" s="3300"/>
      <c r="Y877" s="3316"/>
      <c r="AA877" s="3301"/>
      <c r="AB877" s="3409"/>
      <c r="AE877" s="1056"/>
    </row>
    <row r="878" spans="2:31" ht="16" thickBot="1" x14ac:dyDescent="0.25">
      <c r="B878" s="2985">
        <f>B871+1</f>
        <v>22</v>
      </c>
      <c r="C878" s="1245">
        <v>43976</v>
      </c>
      <c r="D878" s="1111"/>
      <c r="E878" s="1112"/>
      <c r="F878" s="2724"/>
      <c r="G878" s="1647"/>
      <c r="H878" s="1648" t="str">
        <f>IFERROR(VLOOKUP(F878,Trainingsarten!$A$9:$K$84,10,FALSE),"")</f>
        <v/>
      </c>
      <c r="I878" s="1399" t="str">
        <f t="shared" si="137"/>
        <v/>
      </c>
      <c r="J878" s="1326"/>
      <c r="K878" s="1325" t="str">
        <f>IFERROR(VLOOKUP(F878,Trainingsarten!$A$9:$K$84,11,FALSE),"0")</f>
        <v>0</v>
      </c>
      <c r="L878" s="1326"/>
      <c r="M878" s="2831"/>
      <c r="N878" s="1119" t="str">
        <f t="shared" si="139"/>
        <v/>
      </c>
      <c r="O878" s="1649"/>
      <c r="P878" s="1277" t="str">
        <f>IFERROR(VLOOKUP(F878,Trainingsarten!$A$9:$N$84,12,FALSE),"")</f>
        <v/>
      </c>
      <c r="Q878" s="1122" t="s">
        <v>437</v>
      </c>
      <c r="R878" s="1122" t="str">
        <f>IFERROR(VLOOKUP(F878,Trainingsarten!$A$9:$N$84,14,FALSE),"")</f>
        <v/>
      </c>
      <c r="S878" s="1070" t="str">
        <f t="shared" si="136"/>
        <v/>
      </c>
      <c r="T878" s="1650">
        <f t="shared" si="135"/>
        <v>48.104917901009529</v>
      </c>
      <c r="U878" s="1651">
        <f t="shared" si="133"/>
        <v>39.556742171300684</v>
      </c>
      <c r="V878" s="1278">
        <f t="shared" si="134"/>
        <v>-15.600863456999853</v>
      </c>
      <c r="W878" s="3286">
        <f t="shared" si="138"/>
        <v>1.2160990835061929</v>
      </c>
      <c r="X878" s="3300"/>
      <c r="Y878" s="3316"/>
      <c r="AA878" s="3301"/>
      <c r="AB878" s="3409"/>
      <c r="AE878" s="1056"/>
    </row>
    <row r="879" spans="2:31" x14ac:dyDescent="0.2">
      <c r="B879" s="2978" t="s">
        <v>626</v>
      </c>
      <c r="C879" s="1211">
        <v>43977</v>
      </c>
      <c r="D879" s="1823">
        <v>72</v>
      </c>
      <c r="E879" s="1824" t="s">
        <v>836</v>
      </c>
      <c r="F879" s="2722" t="s">
        <v>817</v>
      </c>
      <c r="G879" s="1825">
        <v>4.2094907407407407E-2</v>
      </c>
      <c r="H879" s="1826">
        <v>10.79</v>
      </c>
      <c r="I879" s="1902">
        <f t="shared" si="137"/>
        <v>3.9012889163491577E-3</v>
      </c>
      <c r="J879" s="1830">
        <v>129</v>
      </c>
      <c r="K879" s="1829">
        <v>64</v>
      </c>
      <c r="L879" s="2806">
        <v>212</v>
      </c>
      <c r="M879" s="2829"/>
      <c r="N879" s="1831">
        <f t="shared" si="139"/>
        <v>1.0665541615370784</v>
      </c>
      <c r="O879" s="1832" t="s">
        <v>783</v>
      </c>
      <c r="P879" s="1755">
        <f>IFERROR(VLOOKUP(F879,Trainingsarten!$A$9:$N$84,12,FALSE),"")</f>
        <v>169.39999999999998</v>
      </c>
      <c r="Q879" s="1756" t="s">
        <v>437</v>
      </c>
      <c r="R879" s="1086">
        <f>IFERROR(VLOOKUP(F879,Trainingsarten!$A$9:$N$84,14,FALSE),"")</f>
        <v>193.60000000000002</v>
      </c>
      <c r="S879" s="1087">
        <f t="shared" si="136"/>
        <v>1.6434108527131783</v>
      </c>
      <c r="T879" s="1757">
        <f t="shared" si="135"/>
        <v>50.375643915151024</v>
      </c>
      <c r="U879" s="1758">
        <f t="shared" si="133"/>
        <v>40.138724500555426</v>
      </c>
      <c r="V879" s="1088">
        <f t="shared" si="134"/>
        <v>-8.548175729708845</v>
      </c>
      <c r="W879" s="3284">
        <f t="shared" si="138"/>
        <v>1.2550384832097479</v>
      </c>
      <c r="X879" s="3300"/>
      <c r="Y879" s="3316"/>
      <c r="AA879" s="3301"/>
      <c r="AB879" s="3409"/>
      <c r="AE879" s="1056"/>
    </row>
    <row r="880" spans="2:31" ht="16" thickBot="1" x14ac:dyDescent="0.25">
      <c r="B880" s="2979">
        <f>SUM(H878:H884)</f>
        <v>35.18</v>
      </c>
      <c r="C880" s="1211">
        <v>43978</v>
      </c>
      <c r="D880" s="1823"/>
      <c r="E880" s="1824"/>
      <c r="F880" s="2722"/>
      <c r="G880" s="1825"/>
      <c r="H880" s="1826" t="str">
        <f>IFERROR(VLOOKUP(F880,Trainingsarten!$A$9:$K$84,10,FALSE),"")</f>
        <v/>
      </c>
      <c r="I880" s="1902" t="str">
        <f t="shared" si="137"/>
        <v/>
      </c>
      <c r="J880" s="1830"/>
      <c r="K880" s="1829" t="str">
        <f>IFERROR(VLOOKUP(F880,Trainingsarten!$A$9:$K$84,11,FALSE),"0")</f>
        <v>0</v>
      </c>
      <c r="L880" s="2806"/>
      <c r="M880" s="2829"/>
      <c r="N880" s="1831" t="str">
        <f t="shared" si="139"/>
        <v/>
      </c>
      <c r="O880" s="1832"/>
      <c r="P880" s="1755" t="str">
        <f>IFERROR(VLOOKUP(F880,Trainingsarten!$A$9:$N$84,12,FALSE),"")</f>
        <v/>
      </c>
      <c r="Q880" s="1756" t="s">
        <v>437</v>
      </c>
      <c r="R880" s="1086" t="str">
        <f>IFERROR(VLOOKUP(F880,Trainingsarten!$A$9:$N$84,14,FALSE),"")</f>
        <v/>
      </c>
      <c r="S880" s="1087" t="str">
        <f t="shared" si="136"/>
        <v/>
      </c>
      <c r="T880" s="1757">
        <f t="shared" si="135"/>
        <v>43.179123355843736</v>
      </c>
      <c r="U880" s="1758">
        <f t="shared" ref="U880:U943" si="142">U879+(K880-U879)/42</f>
        <v>39.183040583875538</v>
      </c>
      <c r="V880" s="1088">
        <f t="shared" ref="V880:V943" si="143">U879-T879</f>
        <v>-10.236919414595597</v>
      </c>
      <c r="W880" s="3284">
        <f t="shared" si="138"/>
        <v>1.1019850096475834</v>
      </c>
      <c r="X880" s="3300"/>
      <c r="Y880" s="3316"/>
      <c r="AA880" s="3301"/>
      <c r="AB880" s="3409"/>
      <c r="AE880" s="1056"/>
    </row>
    <row r="881" spans="2:31" x14ac:dyDescent="0.2">
      <c r="B881" s="2980" t="s">
        <v>628</v>
      </c>
      <c r="C881" s="1211">
        <v>43979</v>
      </c>
      <c r="D881" s="1823">
        <v>73</v>
      </c>
      <c r="E881" s="1824" t="s">
        <v>836</v>
      </c>
      <c r="F881" s="2722" t="s">
        <v>827</v>
      </c>
      <c r="G881" s="1825">
        <v>3.4976851851851849E-2</v>
      </c>
      <c r="H881" s="1826">
        <v>9.8800000000000008</v>
      </c>
      <c r="I881" s="1902">
        <f t="shared" si="137"/>
        <v>3.5401671914829804E-3</v>
      </c>
      <c r="J881" s="1830">
        <v>141</v>
      </c>
      <c r="K881" s="1829">
        <v>64</v>
      </c>
      <c r="L881" s="2806">
        <v>231.8</v>
      </c>
      <c r="M881" s="2829"/>
      <c r="N881" s="1831">
        <f t="shared" si="139"/>
        <v>1.0582204362801375</v>
      </c>
      <c r="O881" s="1832" t="s">
        <v>783</v>
      </c>
      <c r="P881" s="1755">
        <f>IFERROR(VLOOKUP(F881,Trainingsarten!$A$9:$N$84,12,FALSE),"")</f>
        <v>194.60000000000002</v>
      </c>
      <c r="Q881" s="1756" t="s">
        <v>437</v>
      </c>
      <c r="R881" s="1086">
        <f>IFERROR(VLOOKUP(F881,Trainingsarten!$A$9:$N$84,14,FALSE),"")</f>
        <v>212.96</v>
      </c>
      <c r="S881" s="1087">
        <f t="shared" si="136"/>
        <v>1.6439716312056738</v>
      </c>
      <c r="T881" s="1757">
        <f t="shared" ref="T881:T944" si="144">T880+(K881-T880)/7</f>
        <v>46.153534305008918</v>
      </c>
      <c r="U881" s="1758">
        <f t="shared" si="142"/>
        <v>39.77392056997374</v>
      </c>
      <c r="V881" s="1088">
        <f t="shared" si="143"/>
        <v>-3.9960827719681973</v>
      </c>
      <c r="W881" s="3284">
        <f t="shared" si="138"/>
        <v>1.1603969043939635</v>
      </c>
      <c r="X881" s="3300"/>
      <c r="Y881" s="3316"/>
      <c r="AA881" s="3301"/>
      <c r="AB881" s="3409"/>
      <c r="AE881" s="1056"/>
    </row>
    <row r="882" spans="2:31" ht="16" thickBot="1" x14ac:dyDescent="0.25">
      <c r="B882" s="2981">
        <f>SUM(K878:K884)</f>
        <v>215</v>
      </c>
      <c r="C882" s="1211">
        <v>43980</v>
      </c>
      <c r="D882" s="1823"/>
      <c r="E882" s="1824"/>
      <c r="F882" s="2722"/>
      <c r="G882" s="1825"/>
      <c r="H882" s="1826" t="str">
        <f>IFERROR(VLOOKUP(F882,Trainingsarten!$A$9:$K$84,10,FALSE),"")</f>
        <v/>
      </c>
      <c r="I882" s="1902" t="str">
        <f t="shared" si="137"/>
        <v/>
      </c>
      <c r="J882" s="1830"/>
      <c r="K882" s="1829" t="str">
        <f>IFERROR(VLOOKUP(F882,Trainingsarten!$A$9:$K$84,11,FALSE),"0")</f>
        <v>0</v>
      </c>
      <c r="L882" s="2806"/>
      <c r="M882" s="2829"/>
      <c r="N882" s="1831" t="str">
        <f t="shared" si="139"/>
        <v/>
      </c>
      <c r="O882" s="1832"/>
      <c r="P882" s="1755" t="str">
        <f>IFERROR(VLOOKUP(F882,Trainingsarten!$A$9:$N$84,12,FALSE),"")</f>
        <v/>
      </c>
      <c r="Q882" s="1756" t="s">
        <v>437</v>
      </c>
      <c r="R882" s="1086" t="str">
        <f>IFERROR(VLOOKUP(F882,Trainingsarten!$A$9:$N$84,14,FALSE),"")</f>
        <v/>
      </c>
      <c r="S882" s="1087" t="str">
        <f t="shared" si="136"/>
        <v/>
      </c>
      <c r="T882" s="1757">
        <f t="shared" si="144"/>
        <v>39.560172261436215</v>
      </c>
      <c r="U882" s="1758">
        <f t="shared" si="142"/>
        <v>38.826922461164841</v>
      </c>
      <c r="V882" s="1088">
        <f t="shared" si="143"/>
        <v>-6.3796137350351785</v>
      </c>
      <c r="W882" s="3284">
        <f t="shared" si="138"/>
        <v>1.0188850867849435</v>
      </c>
      <c r="X882" s="3300"/>
      <c r="Y882" s="3316"/>
      <c r="AA882" s="3301"/>
      <c r="AB882" s="3409"/>
      <c r="AE882" s="1056"/>
    </row>
    <row r="883" spans="2:31" x14ac:dyDescent="0.2">
      <c r="B883" s="2982" t="s">
        <v>761</v>
      </c>
      <c r="C883" s="1211">
        <v>43981</v>
      </c>
      <c r="D883" s="1823">
        <v>74</v>
      </c>
      <c r="E883" s="1824" t="s">
        <v>836</v>
      </c>
      <c r="F883" s="2722" t="s">
        <v>804</v>
      </c>
      <c r="G883" s="1825">
        <v>5.5821759259259258E-2</v>
      </c>
      <c r="H883" s="1826">
        <v>14.51</v>
      </c>
      <c r="I883" s="1902">
        <f t="shared" si="137"/>
        <v>3.8471233121474334E-3</v>
      </c>
      <c r="J883" s="1830">
        <v>133</v>
      </c>
      <c r="K883" s="1829">
        <v>87</v>
      </c>
      <c r="L883" s="2806">
        <v>215.4</v>
      </c>
      <c r="M883" s="2829"/>
      <c r="N883" s="1831">
        <f t="shared" si="139"/>
        <v>1.0686137198226648</v>
      </c>
      <c r="O883" s="1832" t="s">
        <v>858</v>
      </c>
      <c r="P883" s="1755">
        <f>IFERROR(VLOOKUP(F883,Trainingsarten!$A$9:$N$84,12,FALSE),"")</f>
        <v>194.60000000000002</v>
      </c>
      <c r="Q883" s="1756" t="s">
        <v>437</v>
      </c>
      <c r="R883" s="1086">
        <f>IFERROR(VLOOKUP(F883,Trainingsarten!$A$9:$N$84,14,FALSE),"")</f>
        <v>212.96</v>
      </c>
      <c r="S883" s="1087">
        <f t="shared" si="136"/>
        <v>1.6195488721804512</v>
      </c>
      <c r="T883" s="1757">
        <f t="shared" si="144"/>
        <v>46.337290509802472</v>
      </c>
      <c r="U883" s="1758">
        <f t="shared" si="142"/>
        <v>39.973900497803776</v>
      </c>
      <c r="V883" s="1088">
        <f t="shared" si="143"/>
        <v>-0.73324980027137343</v>
      </c>
      <c r="W883" s="3284">
        <f t="shared" si="138"/>
        <v>1.1591886188926774</v>
      </c>
      <c r="X883" s="3300"/>
      <c r="Y883" s="3316"/>
      <c r="AA883" s="3301"/>
      <c r="AB883" s="3409"/>
      <c r="AE883" s="1056"/>
    </row>
    <row r="884" spans="2:31" ht="16" thickBot="1" x14ac:dyDescent="0.25">
      <c r="B884" s="2983">
        <f>AVERAGE(W878:W884)</f>
        <v>1.1327739056584525</v>
      </c>
      <c r="C884" s="2195">
        <v>43982</v>
      </c>
      <c r="D884" s="1995"/>
      <c r="E884" s="2196"/>
      <c r="F884" s="2723"/>
      <c r="G884" s="2097"/>
      <c r="H884" s="2098" t="str">
        <f>IFERROR(VLOOKUP(F884,Trainingsarten!$A$9:$K$84,10,FALSE),"")</f>
        <v/>
      </c>
      <c r="I884" s="2099" t="str">
        <f t="shared" si="137"/>
        <v/>
      </c>
      <c r="J884" s="2100"/>
      <c r="K884" s="2101" t="str">
        <f>IFERROR(VLOOKUP(F884,Trainingsarten!$A$9:$K$84,11,FALSE),"0")</f>
        <v>0</v>
      </c>
      <c r="L884" s="2808"/>
      <c r="M884" s="2832"/>
      <c r="N884" s="2102" t="str">
        <f t="shared" si="139"/>
        <v/>
      </c>
      <c r="O884" s="2103"/>
      <c r="P884" s="2027" t="str">
        <f>IFERROR(VLOOKUP(F884,Trainingsarten!$A$9:$N$84,12,FALSE),"")</f>
        <v/>
      </c>
      <c r="Q884" s="1151" t="s">
        <v>437</v>
      </c>
      <c r="R884" s="1151" t="str">
        <f>IFERROR(VLOOKUP(F884,Trainingsarten!$A$9:$N$84,14,FALSE),"")</f>
        <v/>
      </c>
      <c r="S884" s="1106" t="str">
        <f t="shared" si="136"/>
        <v/>
      </c>
      <c r="T884" s="1995">
        <f t="shared" si="144"/>
        <v>39.717677579830692</v>
      </c>
      <c r="U884" s="1996">
        <f t="shared" si="142"/>
        <v>39.022140962141783</v>
      </c>
      <c r="V884" s="1996">
        <f t="shared" si="143"/>
        <v>-6.3633900119986961</v>
      </c>
      <c r="W884" s="3287">
        <f t="shared" si="138"/>
        <v>1.0178241531740582</v>
      </c>
      <c r="X884" s="3300"/>
      <c r="Y884" s="3316"/>
      <c r="AA884" s="3301"/>
      <c r="AB884" s="3409"/>
      <c r="AE884" s="1056"/>
    </row>
    <row r="885" spans="2:31" ht="16" thickBot="1" x14ac:dyDescent="0.25">
      <c r="B885" s="2985">
        <f>B878+1</f>
        <v>23</v>
      </c>
      <c r="C885" s="2189">
        <v>43983</v>
      </c>
      <c r="D885" s="2068">
        <v>75</v>
      </c>
      <c r="E885" s="2069" t="s">
        <v>836</v>
      </c>
      <c r="F885" s="2724" t="s">
        <v>818</v>
      </c>
      <c r="G885" s="2197">
        <v>3.5960648148148151E-2</v>
      </c>
      <c r="H885" s="2033">
        <v>9.49</v>
      </c>
      <c r="I885" s="2034">
        <f t="shared" si="137"/>
        <v>3.7893201420598683E-3</v>
      </c>
      <c r="J885" s="2035">
        <v>132</v>
      </c>
      <c r="K885" s="2036">
        <v>58</v>
      </c>
      <c r="L885" s="1915">
        <v>216.1</v>
      </c>
      <c r="M885" s="2833"/>
      <c r="N885" s="2037">
        <f t="shared" si="139"/>
        <v>1.0559783275403805</v>
      </c>
      <c r="O885" s="2038" t="s">
        <v>751</v>
      </c>
      <c r="P885" s="2039">
        <f>IFERROR(VLOOKUP(F885,Trainingsarten!$A$9:$N$84,12,FALSE),"")</f>
        <v>194.60000000000002</v>
      </c>
      <c r="Q885" s="1069" t="s">
        <v>437</v>
      </c>
      <c r="R885" s="1069">
        <f>IFERROR(VLOOKUP(F885,Trainingsarten!$A$9:$N$84,14,FALSE),"")</f>
        <v>212.96</v>
      </c>
      <c r="S885" s="1070">
        <f t="shared" si="136"/>
        <v>1.637121212121212</v>
      </c>
      <c r="T885" s="2190">
        <f t="shared" si="144"/>
        <v>42.329437925569167</v>
      </c>
      <c r="U885" s="1922">
        <f t="shared" si="142"/>
        <v>39.473994748757455</v>
      </c>
      <c r="V885" s="2030">
        <f t="shared" si="143"/>
        <v>-0.69553661768890862</v>
      </c>
      <c r="W885" s="3283">
        <f t="shared" si="138"/>
        <v>1.0723373247371066</v>
      </c>
      <c r="X885" s="3300"/>
      <c r="Y885" s="3316"/>
      <c r="AA885" s="3301"/>
      <c r="AB885" s="3409"/>
      <c r="AE885" s="1056"/>
    </row>
    <row r="886" spans="2:31" x14ac:dyDescent="0.2">
      <c r="B886" s="2978" t="s">
        <v>626</v>
      </c>
      <c r="C886" s="2191">
        <v>43984</v>
      </c>
      <c r="D886" s="2198"/>
      <c r="E886" s="2199"/>
      <c r="F886" s="2722"/>
      <c r="G886" s="2200"/>
      <c r="H886" s="2111" t="str">
        <f>IFERROR(VLOOKUP(F886,Trainingsarten!$A$9:$K$84,10,FALSE),"")</f>
        <v/>
      </c>
      <c r="I886" s="2112" t="str">
        <f t="shared" si="137"/>
        <v/>
      </c>
      <c r="J886" s="2113"/>
      <c r="K886" s="2114" t="str">
        <f>IFERROR(VLOOKUP(F886,Trainingsarten!$A$9:$K$84,11,FALSE),"0")</f>
        <v>0</v>
      </c>
      <c r="L886" s="2806"/>
      <c r="M886" s="2829"/>
      <c r="N886" s="1991" t="str">
        <f t="shared" si="139"/>
        <v/>
      </c>
      <c r="O886" s="2116"/>
      <c r="P886" s="1993" t="str">
        <f>IFERROR(VLOOKUP(F886,Trainingsarten!$A$9:$N$84,12,FALSE),"")</f>
        <v/>
      </c>
      <c r="Q886" s="1994" t="s">
        <v>437</v>
      </c>
      <c r="R886" s="1086" t="str">
        <f>IFERROR(VLOOKUP(F886,Trainingsarten!$A$9:$N$84,14,FALSE),"")</f>
        <v/>
      </c>
      <c r="S886" s="1087" t="str">
        <f t="shared" si="136"/>
        <v/>
      </c>
      <c r="T886" s="1995">
        <f t="shared" si="144"/>
        <v>36.282375364773571</v>
      </c>
      <c r="U886" s="1996">
        <f t="shared" si="142"/>
        <v>38.534137730929899</v>
      </c>
      <c r="V886" s="1997">
        <f t="shared" si="143"/>
        <v>-2.8554431768117112</v>
      </c>
      <c r="W886" s="3284">
        <f t="shared" si="138"/>
        <v>0.9415644802569717</v>
      </c>
      <c r="X886" s="3300"/>
      <c r="Y886" s="3316"/>
      <c r="AA886" s="3301"/>
      <c r="AB886" s="3409"/>
      <c r="AE886" s="1056"/>
    </row>
    <row r="887" spans="2:31" ht="16" thickBot="1" x14ac:dyDescent="0.25">
      <c r="B887" s="2979">
        <f>SUM(H885:H891)</f>
        <v>54.41</v>
      </c>
      <c r="C887" s="1998">
        <v>43985</v>
      </c>
      <c r="D887" s="2198">
        <v>76</v>
      </c>
      <c r="E887" s="2199" t="s">
        <v>835</v>
      </c>
      <c r="F887" s="2722" t="s">
        <v>818</v>
      </c>
      <c r="G887" s="2200">
        <v>3.8842592592592588E-2</v>
      </c>
      <c r="H887" s="2111">
        <v>10.56</v>
      </c>
      <c r="I887" s="2112">
        <f t="shared" si="137"/>
        <v>3.6782758136924797E-3</v>
      </c>
      <c r="J887" s="2113">
        <v>138</v>
      </c>
      <c r="K887" s="2114">
        <v>65</v>
      </c>
      <c r="L887" s="2806">
        <v>221.1</v>
      </c>
      <c r="M887" s="2829"/>
      <c r="N887" s="1991">
        <f t="shared" si="139"/>
        <v>1.0487499999999998</v>
      </c>
      <c r="O887" s="2116" t="s">
        <v>783</v>
      </c>
      <c r="P887" s="1993">
        <f>IFERROR(VLOOKUP(F887,Trainingsarten!$A$9:$N$84,12,FALSE),"")</f>
        <v>194.60000000000002</v>
      </c>
      <c r="Q887" s="1994" t="s">
        <v>437</v>
      </c>
      <c r="R887" s="1086">
        <f>IFERROR(VLOOKUP(F887,Trainingsarten!$A$9:$N$84,14,FALSE),"")</f>
        <v>212.96</v>
      </c>
      <c r="S887" s="1087">
        <f t="shared" si="136"/>
        <v>1.6021739130434782</v>
      </c>
      <c r="T887" s="1995">
        <f t="shared" si="144"/>
        <v>40.38489316980592</v>
      </c>
      <c r="U887" s="1996">
        <f t="shared" si="142"/>
        <v>39.164277308764902</v>
      </c>
      <c r="V887" s="1997">
        <f t="shared" si="143"/>
        <v>2.2517623661563277</v>
      </c>
      <c r="W887" s="3284">
        <f t="shared" si="138"/>
        <v>1.0311665615943293</v>
      </c>
      <c r="X887" s="3300"/>
      <c r="Y887" s="3316"/>
      <c r="AA887" s="3301"/>
      <c r="AB887" s="3409"/>
      <c r="AE887" s="1056"/>
    </row>
    <row r="888" spans="2:31" x14ac:dyDescent="0.2">
      <c r="B888" s="2980" t="s">
        <v>628</v>
      </c>
      <c r="C888" s="1998">
        <v>43986</v>
      </c>
      <c r="D888" s="2198"/>
      <c r="E888" s="2199"/>
      <c r="F888" s="2722"/>
      <c r="G888" s="2200"/>
      <c r="H888" s="2111" t="str">
        <f>IFERROR(VLOOKUP(F888,Trainingsarten!$A$9:$K$84,10,FALSE),"")</f>
        <v/>
      </c>
      <c r="I888" s="2112" t="str">
        <f t="shared" si="137"/>
        <v/>
      </c>
      <c r="J888" s="2113"/>
      <c r="K888" s="2114" t="str">
        <f>IFERROR(VLOOKUP(F888,Trainingsarten!$A$9:$K$84,11,FALSE),"0")</f>
        <v>0</v>
      </c>
      <c r="L888" s="2806"/>
      <c r="M888" s="2829"/>
      <c r="N888" s="1991" t="str">
        <f t="shared" si="139"/>
        <v/>
      </c>
      <c r="O888" s="2116"/>
      <c r="P888" s="1993" t="str">
        <f>IFERROR(VLOOKUP(F888,Trainingsarten!$A$9:$N$84,12,FALSE),"")</f>
        <v/>
      </c>
      <c r="Q888" s="1994" t="s">
        <v>437</v>
      </c>
      <c r="R888" s="1086" t="str">
        <f>IFERROR(VLOOKUP(F888,Trainingsarten!$A$9:$N$84,14,FALSE),"")</f>
        <v/>
      </c>
      <c r="S888" s="1087" t="str">
        <f t="shared" si="136"/>
        <v/>
      </c>
      <c r="T888" s="1995">
        <f t="shared" si="144"/>
        <v>34.615622716976503</v>
      </c>
      <c r="U888" s="1996">
        <f t="shared" si="142"/>
        <v>38.231794515699072</v>
      </c>
      <c r="V888" s="1997">
        <f t="shared" si="143"/>
        <v>-1.2206158610410185</v>
      </c>
      <c r="W888" s="3284">
        <f t="shared" si="138"/>
        <v>0.90541454188770387</v>
      </c>
      <c r="X888" s="3300"/>
      <c r="Y888" s="3316"/>
      <c r="AA888" s="3301"/>
      <c r="AB888" s="3409"/>
      <c r="AE888" s="1056"/>
    </row>
    <row r="889" spans="2:31" ht="16" thickBot="1" x14ac:dyDescent="0.25">
      <c r="B889" s="2981">
        <f>SUM(K885:K891)</f>
        <v>332</v>
      </c>
      <c r="C889" s="1998">
        <v>43987</v>
      </c>
      <c r="D889" s="2198">
        <v>77</v>
      </c>
      <c r="E889" s="2199" t="s">
        <v>835</v>
      </c>
      <c r="F889" s="2722" t="s">
        <v>818</v>
      </c>
      <c r="G889" s="2200">
        <v>4.3819444444444446E-2</v>
      </c>
      <c r="H889" s="2111">
        <v>11.41</v>
      </c>
      <c r="I889" s="2112">
        <f t="shared" si="137"/>
        <v>3.8404421073132732E-3</v>
      </c>
      <c r="J889" s="2113">
        <v>139</v>
      </c>
      <c r="K889" s="2114">
        <v>69</v>
      </c>
      <c r="L889" s="2806">
        <v>214.3</v>
      </c>
      <c r="M889" s="2829"/>
      <c r="N889" s="1991">
        <f t="shared" si="139"/>
        <v>1.0613101887582248</v>
      </c>
      <c r="O889" s="2116" t="s">
        <v>858</v>
      </c>
      <c r="P889" s="1993">
        <f>IFERROR(VLOOKUP(F889,Trainingsarten!$A$9:$N$84,12,FALSE),"")</f>
        <v>194.60000000000002</v>
      </c>
      <c r="Q889" s="1994" t="s">
        <v>437</v>
      </c>
      <c r="R889" s="1086">
        <f>IFERROR(VLOOKUP(F889,Trainingsarten!$A$9:$N$84,14,FALSE),"")</f>
        <v>212.96</v>
      </c>
      <c r="S889" s="1087">
        <f t="shared" si="136"/>
        <v>1.541726618705036</v>
      </c>
      <c r="T889" s="1995">
        <f t="shared" si="144"/>
        <v>39.527676614551289</v>
      </c>
      <c r="U889" s="1996">
        <f t="shared" si="142"/>
        <v>38.964370836753858</v>
      </c>
      <c r="V889" s="1997">
        <f t="shared" si="143"/>
        <v>3.6161717987225686</v>
      </c>
      <c r="W889" s="3284">
        <f t="shared" si="138"/>
        <v>1.0144569452990135</v>
      </c>
      <c r="X889" s="3300"/>
      <c r="Y889" s="3316"/>
      <c r="AA889" s="3301"/>
      <c r="AB889" s="3409"/>
      <c r="AE889" s="1056"/>
    </row>
    <row r="890" spans="2:31" x14ac:dyDescent="0.2">
      <c r="B890" s="2982" t="s">
        <v>761</v>
      </c>
      <c r="C890" s="1998">
        <v>43988</v>
      </c>
      <c r="D890" s="2198"/>
      <c r="E890" s="2199"/>
      <c r="F890" s="2722"/>
      <c r="G890" s="2200"/>
      <c r="H890" s="2111" t="str">
        <f>IFERROR(VLOOKUP(F890,Trainingsarten!$A$9:$K$84,10,FALSE),"")</f>
        <v/>
      </c>
      <c r="I890" s="2112" t="str">
        <f t="shared" si="137"/>
        <v/>
      </c>
      <c r="J890" s="2113"/>
      <c r="K890" s="2114" t="str">
        <f>IFERROR(VLOOKUP(F890,Trainingsarten!$A$9:$K$84,11,FALSE),"0")</f>
        <v>0</v>
      </c>
      <c r="L890" s="2806"/>
      <c r="M890" s="2829"/>
      <c r="N890" s="1991" t="str">
        <f t="shared" si="139"/>
        <v/>
      </c>
      <c r="O890" s="2116"/>
      <c r="P890" s="1993" t="str">
        <f>IFERROR(VLOOKUP(F890,Trainingsarten!$A$9:$N$84,12,FALSE),"")</f>
        <v/>
      </c>
      <c r="Q890" s="1994" t="s">
        <v>437</v>
      </c>
      <c r="R890" s="1086" t="str">
        <f>IFERROR(VLOOKUP(F890,Trainingsarten!$A$9:$N$84,14,FALSE),"")</f>
        <v/>
      </c>
      <c r="S890" s="1087" t="str">
        <f t="shared" si="136"/>
        <v/>
      </c>
      <c r="T890" s="1995">
        <f t="shared" si="144"/>
        <v>33.880865669615389</v>
      </c>
      <c r="U890" s="1996">
        <f t="shared" si="142"/>
        <v>38.036647721593049</v>
      </c>
      <c r="V890" s="1997">
        <f t="shared" si="143"/>
        <v>-0.56330577779743152</v>
      </c>
      <c r="W890" s="3284">
        <f t="shared" si="138"/>
        <v>0.89074268367718268</v>
      </c>
      <c r="X890" s="3300"/>
      <c r="Y890" s="3316"/>
      <c r="AA890" s="3301"/>
      <c r="AB890" s="3409"/>
      <c r="AE890" s="1056"/>
    </row>
    <row r="891" spans="2:31" ht="16" thickBot="1" x14ac:dyDescent="0.25">
      <c r="B891" s="2983">
        <f>AVERAGE(W885:W891)</f>
        <v>1.0096617104235885</v>
      </c>
      <c r="C891" s="1999">
        <v>43989</v>
      </c>
      <c r="D891" s="2201">
        <v>78</v>
      </c>
      <c r="E891" s="2202" t="s">
        <v>835</v>
      </c>
      <c r="F891" s="2723" t="s">
        <v>812</v>
      </c>
      <c r="G891" s="2203">
        <v>8.7037037037037038E-2</v>
      </c>
      <c r="H891" s="2053">
        <v>22.95</v>
      </c>
      <c r="I891" s="2054">
        <f t="shared" si="137"/>
        <v>3.7924634874525942E-3</v>
      </c>
      <c r="J891" s="2055">
        <v>139</v>
      </c>
      <c r="K891" s="2056">
        <v>140</v>
      </c>
      <c r="L891" s="2807">
        <v>216.9</v>
      </c>
      <c r="M891" s="2830"/>
      <c r="N891" s="1223">
        <f t="shared" si="139"/>
        <v>1.0607667544629791</v>
      </c>
      <c r="O891" s="2057" t="s">
        <v>858</v>
      </c>
      <c r="P891" s="1818">
        <f>IFERROR(VLOOKUP(F891,Trainingsarten!$A$9:$N$84,12,FALSE),"")</f>
        <v>194.60000000000002</v>
      </c>
      <c r="Q891" s="1819" t="s">
        <v>437</v>
      </c>
      <c r="R891" s="1105">
        <f>IFERROR(VLOOKUP(F891,Trainingsarten!$A$9:$N$84,14,FALSE),"")</f>
        <v>212.96</v>
      </c>
      <c r="S891" s="1106">
        <f t="shared" si="136"/>
        <v>1.5604316546762591</v>
      </c>
      <c r="T891" s="2204">
        <f t="shared" si="144"/>
        <v>49.04074200252748</v>
      </c>
      <c r="U891" s="2007">
        <f t="shared" si="142"/>
        <v>40.464346585364645</v>
      </c>
      <c r="V891" s="2007">
        <f t="shared" si="143"/>
        <v>4.1557820519776598</v>
      </c>
      <c r="W891" s="3285">
        <f t="shared" si="138"/>
        <v>1.2119494355128124</v>
      </c>
      <c r="X891" s="3300"/>
      <c r="Y891" s="3316"/>
      <c r="AA891" s="3301"/>
      <c r="AB891" s="3409"/>
      <c r="AE891" s="1056"/>
    </row>
    <row r="892" spans="2:31" ht="16" thickBot="1" x14ac:dyDescent="0.25">
      <c r="B892" s="2985">
        <f>B885+1</f>
        <v>24</v>
      </c>
      <c r="C892" s="1245">
        <v>43990</v>
      </c>
      <c r="D892" s="1278"/>
      <c r="E892" s="1398"/>
      <c r="F892" s="2724"/>
      <c r="G892" s="1647"/>
      <c r="H892" s="1648" t="str">
        <f>IFERROR(VLOOKUP(F892,Trainingsarten!$A$9:$K$84,10,FALSE),"")</f>
        <v/>
      </c>
      <c r="I892" s="1399" t="str">
        <f t="shared" si="137"/>
        <v/>
      </c>
      <c r="J892" s="1326"/>
      <c r="K892" s="1325" t="str">
        <f>IFERROR(VLOOKUP(F892,Trainingsarten!$A$9:$K$84,11,FALSE),"0")</f>
        <v>0</v>
      </c>
      <c r="L892" s="1326"/>
      <c r="M892" s="2831"/>
      <c r="N892" s="1119" t="str">
        <f t="shared" si="139"/>
        <v/>
      </c>
      <c r="O892" s="1649"/>
      <c r="P892" s="1277" t="str">
        <f>IFERROR(VLOOKUP(F892,Trainingsarten!$A$9:$N$84,12,FALSE),"")</f>
        <v/>
      </c>
      <c r="Q892" s="1122" t="s">
        <v>437</v>
      </c>
      <c r="R892" s="1122" t="str">
        <f>IFERROR(VLOOKUP(F892,Trainingsarten!$A$9:$N$84,14,FALSE),"")</f>
        <v/>
      </c>
      <c r="S892" s="1070" t="str">
        <f t="shared" si="136"/>
        <v/>
      </c>
      <c r="T892" s="1650">
        <f t="shared" si="144"/>
        <v>42.034921716452125</v>
      </c>
      <c r="U892" s="1651">
        <f t="shared" si="142"/>
        <v>39.500909761903578</v>
      </c>
      <c r="V892" s="1278">
        <f t="shared" si="143"/>
        <v>-8.5763954171628356</v>
      </c>
      <c r="W892" s="3286">
        <f t="shared" si="138"/>
        <v>1.0641507238649086</v>
      </c>
      <c r="X892" s="3300"/>
      <c r="Y892" s="3316"/>
      <c r="AA892" s="3301"/>
      <c r="AB892" s="3409"/>
      <c r="AE892" s="1056"/>
    </row>
    <row r="893" spans="2:31" x14ac:dyDescent="0.2">
      <c r="B893" s="2978" t="s">
        <v>626</v>
      </c>
      <c r="C893" s="1211">
        <v>43991</v>
      </c>
      <c r="D893" s="2198">
        <v>79</v>
      </c>
      <c r="E893" s="2199" t="s">
        <v>836</v>
      </c>
      <c r="F893" s="2722" t="s">
        <v>831</v>
      </c>
      <c r="G893" s="1825">
        <v>4.9826388888888885E-2</v>
      </c>
      <c r="H893" s="1826">
        <v>15.08</v>
      </c>
      <c r="I893" s="1902">
        <f t="shared" si="137"/>
        <v>3.3041371942234008E-3</v>
      </c>
      <c r="J893" s="1830">
        <v>153</v>
      </c>
      <c r="K893" s="1829">
        <v>103</v>
      </c>
      <c r="L893" s="2806">
        <v>245</v>
      </c>
      <c r="M893" s="2829"/>
      <c r="N893" s="1831">
        <f t="shared" si="139"/>
        <v>1.0439100914525516</v>
      </c>
      <c r="O893" s="1832" t="s">
        <v>821</v>
      </c>
      <c r="P893" s="1755" t="str">
        <f>IFERROR(VLOOKUP(F893,Trainingsarten!$A$9:$N$84,12,FALSE),"")</f>
        <v/>
      </c>
      <c r="Q893" s="1756" t="s">
        <v>437</v>
      </c>
      <c r="R893" s="1086" t="str">
        <f>IFERROR(VLOOKUP(F893,Trainingsarten!$A$9:$N$84,14,FALSE),"")</f>
        <v/>
      </c>
      <c r="S893" s="1087">
        <f t="shared" si="136"/>
        <v>1.6013071895424837</v>
      </c>
      <c r="T893" s="1757">
        <f t="shared" si="144"/>
        <v>50.744218614101825</v>
      </c>
      <c r="U893" s="1758">
        <f t="shared" si="142"/>
        <v>41.012792862810635</v>
      </c>
      <c r="V893" s="1088">
        <f t="shared" si="143"/>
        <v>-2.5340119545485464</v>
      </c>
      <c r="W893" s="3284">
        <f t="shared" si="138"/>
        <v>1.2372778119218357</v>
      </c>
      <c r="X893" s="3300"/>
      <c r="Y893" s="3316"/>
      <c r="AA893" s="3301"/>
      <c r="AB893" s="3409"/>
      <c r="AE893" s="1056"/>
    </row>
    <row r="894" spans="2:31" ht="16" thickBot="1" x14ac:dyDescent="0.25">
      <c r="B894" s="2979">
        <f>SUM(H892:H898)</f>
        <v>57.16</v>
      </c>
      <c r="C894" s="1211">
        <v>43992</v>
      </c>
      <c r="D894" s="2198"/>
      <c r="E894" s="2199"/>
      <c r="F894" s="2722"/>
      <c r="G894" s="1825"/>
      <c r="H894" s="1826" t="str">
        <f>IFERROR(VLOOKUP(F894,Trainingsarten!$A$9:$K$84,10,FALSE),"")</f>
        <v/>
      </c>
      <c r="I894" s="1902" t="str">
        <f t="shared" si="137"/>
        <v/>
      </c>
      <c r="J894" s="1830"/>
      <c r="K894" s="1829" t="str">
        <f>IFERROR(VLOOKUP(F894,Trainingsarten!$A$9:$K$84,11,FALSE),"0")</f>
        <v>0</v>
      </c>
      <c r="L894" s="2806"/>
      <c r="M894" s="2829"/>
      <c r="N894" s="1831" t="str">
        <f t="shared" si="139"/>
        <v/>
      </c>
      <c r="O894" s="1832"/>
      <c r="P894" s="1755" t="str">
        <f>IFERROR(VLOOKUP(F894,Trainingsarten!$A$9:$N$84,12,FALSE),"")</f>
        <v/>
      </c>
      <c r="Q894" s="1756" t="s">
        <v>437</v>
      </c>
      <c r="R894" s="1086" t="str">
        <f>IFERROR(VLOOKUP(F894,Trainingsarten!$A$9:$N$84,14,FALSE),"")</f>
        <v/>
      </c>
      <c r="S894" s="1087" t="str">
        <f t="shared" si="136"/>
        <v/>
      </c>
      <c r="T894" s="1757">
        <f t="shared" si="144"/>
        <v>43.495044526372993</v>
      </c>
      <c r="U894" s="1758">
        <f t="shared" si="142"/>
        <v>40.036297794648476</v>
      </c>
      <c r="V894" s="1088">
        <f t="shared" si="143"/>
        <v>-9.7314257512911908</v>
      </c>
      <c r="W894" s="3284">
        <f t="shared" si="138"/>
        <v>1.0863902738825875</v>
      </c>
      <c r="X894" s="3300"/>
      <c r="Y894" s="3316"/>
      <c r="AA894" s="3301"/>
      <c r="AB894" s="3409"/>
      <c r="AE894" s="1056"/>
    </row>
    <row r="895" spans="2:31" x14ac:dyDescent="0.2">
      <c r="B895" s="2980" t="s">
        <v>628</v>
      </c>
      <c r="C895" s="1211">
        <v>43993</v>
      </c>
      <c r="D895" s="2198">
        <v>80</v>
      </c>
      <c r="E895" s="2199" t="s">
        <v>836</v>
      </c>
      <c r="F895" s="2722" t="s">
        <v>818</v>
      </c>
      <c r="G895" s="1825">
        <v>4.6354166666666669E-2</v>
      </c>
      <c r="H895" s="1826">
        <v>12.22</v>
      </c>
      <c r="I895" s="1902">
        <f t="shared" si="137"/>
        <v>3.7933033278777957E-3</v>
      </c>
      <c r="J895" s="1830">
        <v>143</v>
      </c>
      <c r="K895" s="1829">
        <v>75</v>
      </c>
      <c r="L895" s="2806">
        <v>217.8</v>
      </c>
      <c r="M895" s="2829"/>
      <c r="N895" s="1831">
        <f t="shared" si="139"/>
        <v>1.0654041576080318</v>
      </c>
      <c r="O895" s="1832" t="s">
        <v>751</v>
      </c>
      <c r="P895" s="1755">
        <f>IFERROR(VLOOKUP(F895,Trainingsarten!$A$9:$N$84,12,FALSE),"")</f>
        <v>194.60000000000002</v>
      </c>
      <c r="Q895" s="1756" t="s">
        <v>437</v>
      </c>
      <c r="R895" s="1086">
        <f>IFERROR(VLOOKUP(F895,Trainingsarten!$A$9:$N$84,14,FALSE),"")</f>
        <v>212.96</v>
      </c>
      <c r="S895" s="1087">
        <f t="shared" si="136"/>
        <v>1.5230769230769232</v>
      </c>
      <c r="T895" s="1757">
        <f t="shared" si="144"/>
        <v>47.995752451176848</v>
      </c>
      <c r="U895" s="1758">
        <f t="shared" si="142"/>
        <v>40.868766894775895</v>
      </c>
      <c r="V895" s="1088">
        <f t="shared" si="143"/>
        <v>-3.4587467317245171</v>
      </c>
      <c r="W895" s="3284">
        <f t="shared" si="138"/>
        <v>1.1743870955233535</v>
      </c>
      <c r="X895" s="3300"/>
      <c r="Y895" s="3316"/>
      <c r="AA895" s="3301"/>
      <c r="AB895" s="3409"/>
      <c r="AE895" s="1056"/>
    </row>
    <row r="896" spans="2:31" ht="16" thickBot="1" x14ac:dyDescent="0.25">
      <c r="B896" s="2981">
        <f>SUM(K892:K898)</f>
        <v>346</v>
      </c>
      <c r="C896" s="1211">
        <v>43994</v>
      </c>
      <c r="D896" s="2198">
        <v>81</v>
      </c>
      <c r="E896" s="2199" t="s">
        <v>836</v>
      </c>
      <c r="F896" s="2722" t="s">
        <v>824</v>
      </c>
      <c r="G896" s="1825">
        <v>3.3958333333333333E-2</v>
      </c>
      <c r="H896" s="1826">
        <v>8.3800000000000008</v>
      </c>
      <c r="I896" s="1902">
        <f t="shared" si="137"/>
        <v>4.0523070803500398E-3</v>
      </c>
      <c r="J896" s="1830">
        <v>130</v>
      </c>
      <c r="K896" s="1829">
        <v>48</v>
      </c>
      <c r="L896" s="2806">
        <v>204.1</v>
      </c>
      <c r="M896" s="2829"/>
      <c r="N896" s="1831">
        <f t="shared" si="139"/>
        <v>1.0665575463968937</v>
      </c>
      <c r="O896" s="1832" t="s">
        <v>783</v>
      </c>
      <c r="P896" s="1755">
        <f>IFERROR(VLOOKUP(F896,Trainingsarten!$A$9:$N$84,12,FALSE),"")</f>
        <v>169.39999999999998</v>
      </c>
      <c r="Q896" s="1756" t="s">
        <v>437</v>
      </c>
      <c r="R896" s="1086">
        <f>IFERROR(VLOOKUP(F896,Trainingsarten!$A$9:$N$84,14,FALSE),"")</f>
        <v>193.60000000000002</v>
      </c>
      <c r="S896" s="1087">
        <f t="shared" si="136"/>
        <v>1.57</v>
      </c>
      <c r="T896" s="1757">
        <f t="shared" si="144"/>
        <v>47.996359243865868</v>
      </c>
      <c r="U896" s="1758">
        <f t="shared" si="142"/>
        <v>41.038558159185996</v>
      </c>
      <c r="V896" s="1088">
        <f t="shared" si="143"/>
        <v>-7.1269855564009532</v>
      </c>
      <c r="W896" s="3284">
        <f t="shared" si="138"/>
        <v>1.1695430199494583</v>
      </c>
      <c r="X896" s="3300"/>
      <c r="Y896" s="3316"/>
      <c r="AA896" s="3301"/>
      <c r="AB896" s="3409"/>
      <c r="AE896" s="1056"/>
    </row>
    <row r="897" spans="2:31" x14ac:dyDescent="0.2">
      <c r="B897" s="2982" t="s">
        <v>761</v>
      </c>
      <c r="C897" s="1211">
        <v>43995</v>
      </c>
      <c r="D897" s="2198"/>
      <c r="E897" s="2199"/>
      <c r="F897" s="2722"/>
      <c r="G897" s="1825"/>
      <c r="H897" s="1826" t="str">
        <f>IFERROR(VLOOKUP(F897,Trainingsarten!$A$9:$K$84,10,FALSE),"")</f>
        <v/>
      </c>
      <c r="I897" s="1902" t="str">
        <f t="shared" si="137"/>
        <v/>
      </c>
      <c r="J897" s="1830"/>
      <c r="K897" s="1829" t="str">
        <f>IFERROR(VLOOKUP(F897,Trainingsarten!$A$9:$K$84,11,FALSE),"0")</f>
        <v>0</v>
      </c>
      <c r="L897" s="2806"/>
      <c r="M897" s="2829"/>
      <c r="N897" s="1831" t="str">
        <f t="shared" si="139"/>
        <v/>
      </c>
      <c r="O897" s="1832"/>
      <c r="P897" s="1755" t="str">
        <f>IFERROR(VLOOKUP(F897,Trainingsarten!$A$9:$N$84,12,FALSE),"")</f>
        <v/>
      </c>
      <c r="Q897" s="1756" t="s">
        <v>437</v>
      </c>
      <c r="R897" s="1086" t="str">
        <f>IFERROR(VLOOKUP(F897,Trainingsarten!$A$9:$N$84,14,FALSE),"")</f>
        <v/>
      </c>
      <c r="S897" s="1087" t="str">
        <f t="shared" si="136"/>
        <v/>
      </c>
      <c r="T897" s="1757">
        <f t="shared" si="144"/>
        <v>41.139736494742174</v>
      </c>
      <c r="U897" s="1758">
        <f t="shared" si="142"/>
        <v>40.061449631586328</v>
      </c>
      <c r="V897" s="1088">
        <f t="shared" si="143"/>
        <v>-6.9578010846798719</v>
      </c>
      <c r="W897" s="3284">
        <f t="shared" si="138"/>
        <v>1.0269158223946462</v>
      </c>
      <c r="X897" s="3300"/>
      <c r="Y897" s="3316"/>
      <c r="AA897" s="3301"/>
      <c r="AB897" s="3409"/>
      <c r="AE897" s="1056"/>
    </row>
    <row r="898" spans="2:31" ht="16" thickBot="1" x14ac:dyDescent="0.25">
      <c r="B898" s="2983">
        <f>AVERAGE(W892:W898)</f>
        <v>1.1439232308886571</v>
      </c>
      <c r="C898" s="2195">
        <v>43996</v>
      </c>
      <c r="D898" s="2205">
        <v>82</v>
      </c>
      <c r="E898" s="2206" t="s">
        <v>835</v>
      </c>
      <c r="F898" s="2723" t="s">
        <v>812</v>
      </c>
      <c r="G898" s="2097">
        <v>8.3379629629629637E-2</v>
      </c>
      <c r="H898" s="2098">
        <v>21.48</v>
      </c>
      <c r="I898" s="2099">
        <f t="shared" si="137"/>
        <v>3.8817332229808955E-3</v>
      </c>
      <c r="J898" s="2100">
        <v>140</v>
      </c>
      <c r="K898" s="2101">
        <v>120</v>
      </c>
      <c r="L898" s="2808">
        <v>211.7</v>
      </c>
      <c r="M898" s="2832"/>
      <c r="N898" s="2102">
        <f t="shared" si="139"/>
        <v>1.0597062175157732</v>
      </c>
      <c r="O898" s="2103" t="s">
        <v>858</v>
      </c>
      <c r="P898" s="2027">
        <f>IFERROR(VLOOKUP(F898,Trainingsarten!$A$9:$N$84,12,FALSE),"")</f>
        <v>194.60000000000002</v>
      </c>
      <c r="Q898" s="1151" t="s">
        <v>437</v>
      </c>
      <c r="R898" s="1151">
        <f>IFERROR(VLOOKUP(F898,Trainingsarten!$A$9:$N$84,14,FALSE),"")</f>
        <v>212.96</v>
      </c>
      <c r="S898" s="1106">
        <f t="shared" si="136"/>
        <v>1.512142857142857</v>
      </c>
      <c r="T898" s="1995">
        <f t="shared" si="144"/>
        <v>52.405488424064721</v>
      </c>
      <c r="U898" s="1996">
        <f t="shared" si="142"/>
        <v>41.964748449881888</v>
      </c>
      <c r="V898" s="1996">
        <f t="shared" si="143"/>
        <v>-1.0782868631558458</v>
      </c>
      <c r="W898" s="3287">
        <f t="shared" si="138"/>
        <v>1.2487978686838099</v>
      </c>
      <c r="X898" s="3300"/>
      <c r="Y898" s="3316"/>
      <c r="AA898" s="3301"/>
      <c r="AB898" s="3409"/>
      <c r="AE898" s="1056"/>
    </row>
    <row r="899" spans="2:31" ht="16" thickBot="1" x14ac:dyDescent="0.25">
      <c r="B899" s="2985">
        <f>B892+1</f>
        <v>25</v>
      </c>
      <c r="C899" s="2189">
        <v>43997</v>
      </c>
      <c r="D899" s="2068"/>
      <c r="E899" s="2069"/>
      <c r="F899" s="2724"/>
      <c r="G899" s="2207"/>
      <c r="H899" s="2033" t="str">
        <f>IFERROR(VLOOKUP(F899,Trainingsarten!$A$9:$K$84,10,FALSE),"")</f>
        <v/>
      </c>
      <c r="I899" s="2034" t="str">
        <f t="shared" si="137"/>
        <v/>
      </c>
      <c r="J899" s="2035"/>
      <c r="K899" s="2036" t="str">
        <f>IFERROR(VLOOKUP(F899,Trainingsarten!$A$9:$K$84,11,FALSE),"0")</f>
        <v>0</v>
      </c>
      <c r="L899" s="1915"/>
      <c r="M899" s="2833"/>
      <c r="N899" s="2037" t="str">
        <f t="shared" si="139"/>
        <v/>
      </c>
      <c r="O899" s="2038"/>
      <c r="P899" s="2039" t="str">
        <f>IFERROR(VLOOKUP(F899,Trainingsarten!$A$9:$N$84,12,FALSE),"")</f>
        <v/>
      </c>
      <c r="Q899" s="1069" t="s">
        <v>437</v>
      </c>
      <c r="R899" s="1069" t="str">
        <f>IFERROR(VLOOKUP(F899,Trainingsarten!$A$9:$N$84,14,FALSE),"")</f>
        <v/>
      </c>
      <c r="S899" s="1070" t="str">
        <f t="shared" si="136"/>
        <v/>
      </c>
      <c r="T899" s="2190">
        <f t="shared" si="144"/>
        <v>44.918990077769763</v>
      </c>
      <c r="U899" s="1922">
        <f t="shared" si="142"/>
        <v>40.965587772503746</v>
      </c>
      <c r="V899" s="2030">
        <f t="shared" si="143"/>
        <v>-10.440739974182833</v>
      </c>
      <c r="W899" s="3283">
        <f t="shared" si="138"/>
        <v>1.0965054456735894</v>
      </c>
      <c r="X899" s="3300"/>
      <c r="Y899" s="3316"/>
      <c r="AA899" s="3301"/>
      <c r="AB899" s="3409"/>
      <c r="AE899" s="1056"/>
    </row>
    <row r="900" spans="2:31" x14ac:dyDescent="0.2">
      <c r="B900" s="2978" t="s">
        <v>626</v>
      </c>
      <c r="C900" s="1998">
        <v>43998</v>
      </c>
      <c r="D900" s="2198">
        <v>83</v>
      </c>
      <c r="E900" s="2199" t="s">
        <v>836</v>
      </c>
      <c r="F900" s="2722" t="s">
        <v>827</v>
      </c>
      <c r="G900" s="2208">
        <v>3.3425925925925921E-2</v>
      </c>
      <c r="H900" s="2111">
        <v>9.61</v>
      </c>
      <c r="I900" s="2112">
        <f t="shared" si="137"/>
        <v>3.478244112999576E-3</v>
      </c>
      <c r="J900" s="2113">
        <v>138</v>
      </c>
      <c r="K900" s="2114">
        <v>63</v>
      </c>
      <c r="L900" s="2806">
        <v>235.6</v>
      </c>
      <c r="M900" s="2829"/>
      <c r="N900" s="1991">
        <f t="shared" si="139"/>
        <v>1.0567549350024072</v>
      </c>
      <c r="O900" s="2116" t="s">
        <v>783</v>
      </c>
      <c r="P900" s="1993">
        <f>IFERROR(VLOOKUP(F900,Trainingsarten!$A$9:$N$84,12,FALSE),"")</f>
        <v>194.60000000000002</v>
      </c>
      <c r="Q900" s="1994" t="s">
        <v>437</v>
      </c>
      <c r="R900" s="1086">
        <f>IFERROR(VLOOKUP(F900,Trainingsarten!$A$9:$N$84,14,FALSE),"")</f>
        <v>212.96</v>
      </c>
      <c r="S900" s="1087">
        <f t="shared" si="136"/>
        <v>1.7072463768115942</v>
      </c>
      <c r="T900" s="1995">
        <f t="shared" si="144"/>
        <v>47.501991495231223</v>
      </c>
      <c r="U900" s="1996">
        <f t="shared" si="142"/>
        <v>41.490216635063177</v>
      </c>
      <c r="V900" s="1997">
        <f t="shared" si="143"/>
        <v>-3.9534023052660174</v>
      </c>
      <c r="W900" s="3284">
        <f t="shared" si="138"/>
        <v>1.1448962031952257</v>
      </c>
      <c r="X900" s="3300"/>
      <c r="Y900" s="3316"/>
      <c r="AA900" s="3301"/>
      <c r="AB900" s="3409"/>
      <c r="AE900" s="1056"/>
    </row>
    <row r="901" spans="2:31" ht="16" thickBot="1" x14ac:dyDescent="0.25">
      <c r="B901" s="2979">
        <f>SUM(H899:H905)</f>
        <v>59</v>
      </c>
      <c r="C901" s="1998">
        <v>43999</v>
      </c>
      <c r="D901" s="2198"/>
      <c r="E901" s="2199"/>
      <c r="F901" s="2722"/>
      <c r="G901" s="2208"/>
      <c r="H901" s="2111" t="str">
        <f>IFERROR(VLOOKUP(F901,Trainingsarten!$A$9:$K$84,10,FALSE),"")</f>
        <v/>
      </c>
      <c r="I901" s="2112" t="str">
        <f t="shared" si="137"/>
        <v/>
      </c>
      <c r="J901" s="2113"/>
      <c r="K901" s="2114" t="str">
        <f>IFERROR(VLOOKUP(F901,Trainingsarten!$A$9:$K$84,11,FALSE),"0")</f>
        <v>0</v>
      </c>
      <c r="L901" s="2806"/>
      <c r="M901" s="2829"/>
      <c r="N901" s="1991" t="str">
        <f t="shared" si="139"/>
        <v/>
      </c>
      <c r="O901" s="2116"/>
      <c r="P901" s="1993" t="str">
        <f>IFERROR(VLOOKUP(F901,Trainingsarten!$A$9:$N$84,12,FALSE),"")</f>
        <v/>
      </c>
      <c r="Q901" s="1994" t="s">
        <v>437</v>
      </c>
      <c r="R901" s="1086" t="str">
        <f>IFERROR(VLOOKUP(F901,Trainingsarten!$A$9:$N$84,14,FALSE),"")</f>
        <v/>
      </c>
      <c r="S901" s="1087" t="str">
        <f t="shared" si="136"/>
        <v/>
      </c>
      <c r="T901" s="1995">
        <f t="shared" si="144"/>
        <v>40.715992710198194</v>
      </c>
      <c r="U901" s="1996">
        <f t="shared" si="142"/>
        <v>40.502354334228343</v>
      </c>
      <c r="V901" s="1997">
        <f t="shared" si="143"/>
        <v>-6.0117748601680461</v>
      </c>
      <c r="W901" s="3284">
        <f t="shared" si="138"/>
        <v>1.005274715000686</v>
      </c>
      <c r="X901" s="3300"/>
      <c r="Y901" s="3316"/>
      <c r="AA901" s="3301"/>
      <c r="AB901" s="3409"/>
      <c r="AE901" s="1056"/>
    </row>
    <row r="902" spans="2:31" x14ac:dyDescent="0.2">
      <c r="B902" s="2980" t="s">
        <v>628</v>
      </c>
      <c r="C902" s="1998">
        <v>44000</v>
      </c>
      <c r="D902" s="2198">
        <v>84</v>
      </c>
      <c r="E902" s="2199" t="s">
        <v>836</v>
      </c>
      <c r="F902" s="2722" t="s">
        <v>831</v>
      </c>
      <c r="G902" s="2208">
        <v>4.1342592592592591E-2</v>
      </c>
      <c r="H902" s="2111">
        <v>13.19</v>
      </c>
      <c r="I902" s="2112">
        <f t="shared" si="137"/>
        <v>3.1343891275657765E-3</v>
      </c>
      <c r="J902" s="2113">
        <v>157</v>
      </c>
      <c r="K902" s="2114">
        <v>94</v>
      </c>
      <c r="L902" s="2806">
        <v>257.39999999999998</v>
      </c>
      <c r="M902" s="2829"/>
      <c r="N902" s="1991">
        <f t="shared" si="139"/>
        <v>1.0404001222092718</v>
      </c>
      <c r="O902" s="2116" t="s">
        <v>821</v>
      </c>
      <c r="P902" s="1993" t="str">
        <f>IFERROR(VLOOKUP(F902,Trainingsarten!$A$9:$N$84,12,FALSE),"")</f>
        <v/>
      </c>
      <c r="Q902" s="1994" t="s">
        <v>437</v>
      </c>
      <c r="R902" s="1086" t="str">
        <f>IFERROR(VLOOKUP(F902,Trainingsarten!$A$9:$N$84,14,FALSE),"")</f>
        <v/>
      </c>
      <c r="S902" s="1087">
        <f t="shared" si="136"/>
        <v>1.6394904458598725</v>
      </c>
      <c r="T902" s="1995">
        <f t="shared" si="144"/>
        <v>48.327993751598449</v>
      </c>
      <c r="U902" s="1996">
        <f t="shared" si="142"/>
        <v>41.776107802460999</v>
      </c>
      <c r="V902" s="1997">
        <f t="shared" si="143"/>
        <v>-0.21363837596985036</v>
      </c>
      <c r="W902" s="3284">
        <f t="shared" si="138"/>
        <v>1.1568333263624786</v>
      </c>
      <c r="X902" s="3300"/>
      <c r="Y902" s="3316"/>
      <c r="AA902" s="3301"/>
      <c r="AB902" s="3409"/>
      <c r="AE902" s="1056"/>
    </row>
    <row r="903" spans="2:31" ht="16" thickBot="1" x14ac:dyDescent="0.25">
      <c r="B903" s="2981">
        <f>SUM(K899:K905)</f>
        <v>372</v>
      </c>
      <c r="C903" s="1998">
        <v>44001</v>
      </c>
      <c r="D903" s="2198"/>
      <c r="E903" s="2199"/>
      <c r="F903" s="2722"/>
      <c r="G903" s="2208"/>
      <c r="H903" s="2111" t="str">
        <f>IFERROR(VLOOKUP(F903,Trainingsarten!$A$9:$K$84,10,FALSE),"")</f>
        <v/>
      </c>
      <c r="I903" s="2112" t="str">
        <f t="shared" si="137"/>
        <v/>
      </c>
      <c r="J903" s="2113"/>
      <c r="K903" s="2114" t="str">
        <f>IFERROR(VLOOKUP(F903,Trainingsarten!$A$9:$K$84,11,FALSE),"0")</f>
        <v>0</v>
      </c>
      <c r="L903" s="2806"/>
      <c r="M903" s="2829"/>
      <c r="N903" s="1991" t="str">
        <f t="shared" si="139"/>
        <v/>
      </c>
      <c r="O903" s="2116"/>
      <c r="P903" s="1993" t="str">
        <f>IFERROR(VLOOKUP(F903,Trainingsarten!$A$9:$N$84,12,FALSE),"")</f>
        <v/>
      </c>
      <c r="Q903" s="1994" t="s">
        <v>437</v>
      </c>
      <c r="R903" s="1086" t="str">
        <f>IFERROR(VLOOKUP(F903,Trainingsarten!$A$9:$N$84,14,FALSE),"")</f>
        <v/>
      </c>
      <c r="S903" s="1087" t="str">
        <f t="shared" si="136"/>
        <v/>
      </c>
      <c r="T903" s="1995">
        <f t="shared" si="144"/>
        <v>41.423994644227243</v>
      </c>
      <c r="U903" s="1996">
        <f t="shared" si="142"/>
        <v>40.781438569069067</v>
      </c>
      <c r="V903" s="1997">
        <f t="shared" si="143"/>
        <v>-6.5518859491374499</v>
      </c>
      <c r="W903" s="3284">
        <f t="shared" si="138"/>
        <v>1.0157560914402251</v>
      </c>
      <c r="X903" s="3300"/>
      <c r="Y903" s="3316"/>
      <c r="AA903" s="3301"/>
      <c r="AB903" s="3409"/>
      <c r="AE903" s="1056"/>
    </row>
    <row r="904" spans="2:31" x14ac:dyDescent="0.2">
      <c r="B904" s="2982" t="s">
        <v>761</v>
      </c>
      <c r="C904" s="1998">
        <v>44002</v>
      </c>
      <c r="D904" s="2198">
        <v>85</v>
      </c>
      <c r="E904" s="2199" t="s">
        <v>835</v>
      </c>
      <c r="F904" s="2722" t="s">
        <v>824</v>
      </c>
      <c r="G904" s="2208">
        <v>4.2847222222222224E-2</v>
      </c>
      <c r="H904" s="2111">
        <v>10.69</v>
      </c>
      <c r="I904" s="2112">
        <f t="shared" si="137"/>
        <v>4.0081592350067561E-3</v>
      </c>
      <c r="J904" s="2113">
        <v>135</v>
      </c>
      <c r="K904" s="2114">
        <v>62</v>
      </c>
      <c r="L904" s="2806">
        <v>205.8</v>
      </c>
      <c r="M904" s="2829"/>
      <c r="N904" s="1991">
        <f t="shared" si="139"/>
        <v>1.0637247811457216</v>
      </c>
      <c r="O904" s="2116" t="s">
        <v>751</v>
      </c>
      <c r="P904" s="1993">
        <f>IFERROR(VLOOKUP(F904,Trainingsarten!$A$9:$N$84,12,FALSE),"")</f>
        <v>169.39999999999998</v>
      </c>
      <c r="Q904" s="1994" t="s">
        <v>437</v>
      </c>
      <c r="R904" s="1086">
        <f>IFERROR(VLOOKUP(F904,Trainingsarten!$A$9:$N$84,14,FALSE),"")</f>
        <v>193.60000000000002</v>
      </c>
      <c r="S904" s="1087">
        <f t="shared" si="136"/>
        <v>1.5244444444444445</v>
      </c>
      <c r="T904" s="1995">
        <f t="shared" si="144"/>
        <v>44.363423980766207</v>
      </c>
      <c r="U904" s="1996">
        <f t="shared" si="142"/>
        <v>41.286642412662658</v>
      </c>
      <c r="V904" s="1997">
        <f t="shared" si="143"/>
        <v>-0.64255607515817559</v>
      </c>
      <c r="W904" s="3284">
        <f t="shared" si="138"/>
        <v>1.0745224457186642</v>
      </c>
      <c r="X904" s="3300"/>
      <c r="Y904" s="3316"/>
      <c r="AA904" s="3301"/>
      <c r="AB904" s="3409"/>
      <c r="AE904" s="1056"/>
    </row>
    <row r="905" spans="2:31" ht="16" thickBot="1" x14ac:dyDescent="0.25">
      <c r="B905" s="2983">
        <f>AVERAGE(W899:W905)</f>
        <v>1.1223459063814989</v>
      </c>
      <c r="C905" s="1999">
        <v>44003</v>
      </c>
      <c r="D905" s="2201">
        <v>86</v>
      </c>
      <c r="E905" s="2202" t="s">
        <v>835</v>
      </c>
      <c r="F905" s="2727" t="s">
        <v>859</v>
      </c>
      <c r="G905" s="2209">
        <v>9.9074074074074078E-2</v>
      </c>
      <c r="H905" s="2053">
        <v>25.51</v>
      </c>
      <c r="I905" s="2054">
        <f t="shared" si="137"/>
        <v>3.8837347735818924E-3</v>
      </c>
      <c r="J905" s="2055">
        <v>139</v>
      </c>
      <c r="K905" s="2056">
        <v>153</v>
      </c>
      <c r="L905" s="2807">
        <v>212.8</v>
      </c>
      <c r="M905" s="2830"/>
      <c r="N905" s="1223">
        <f t="shared" si="139"/>
        <v>1.0657617440043998</v>
      </c>
      <c r="O905" s="2057" t="s">
        <v>858</v>
      </c>
      <c r="P905" s="1818">
        <f>IFERROR(VLOOKUP(F905,Trainingsarten!$A$9:$N$84,12,FALSE),"")</f>
        <v>194.60000000000002</v>
      </c>
      <c r="Q905" s="1819" t="s">
        <v>437</v>
      </c>
      <c r="R905" s="1105">
        <f>IFERROR(VLOOKUP(F905,Trainingsarten!$A$9:$N$84,14,FALSE),"")</f>
        <v>212.96</v>
      </c>
      <c r="S905" s="1106">
        <f t="shared" si="136"/>
        <v>1.5309352517985613</v>
      </c>
      <c r="T905" s="2204">
        <f t="shared" si="144"/>
        <v>59.882934840656745</v>
      </c>
      <c r="U905" s="2007">
        <f t="shared" si="142"/>
        <v>43.946484259980217</v>
      </c>
      <c r="V905" s="2007">
        <f t="shared" si="143"/>
        <v>-3.0767815681035486</v>
      </c>
      <c r="W905" s="3285">
        <f t="shared" si="138"/>
        <v>1.3626331172796233</v>
      </c>
      <c r="X905" s="3300"/>
      <c r="Y905" s="3316"/>
      <c r="AA905" s="3301"/>
      <c r="AB905" s="3409"/>
      <c r="AE905" s="1056"/>
    </row>
    <row r="906" spans="2:31" ht="16" thickBot="1" x14ac:dyDescent="0.25">
      <c r="B906" s="2985">
        <f>B899+1</f>
        <v>26</v>
      </c>
      <c r="C906" s="1245">
        <v>44004</v>
      </c>
      <c r="D906" s="2068"/>
      <c r="E906" s="2069"/>
      <c r="F906" s="2724"/>
      <c r="G906" s="2210"/>
      <c r="H906" s="1648" t="str">
        <f>IFERROR(VLOOKUP(F906,Trainingsarten!$A$9:$K$84,10,FALSE),"")</f>
        <v/>
      </c>
      <c r="I906" s="1399" t="str">
        <f t="shared" si="137"/>
        <v/>
      </c>
      <c r="J906" s="1326"/>
      <c r="K906" s="1325" t="str">
        <f>IFERROR(VLOOKUP(F906,Trainingsarten!$A$9:$K$84,11,FALSE),"0")</f>
        <v>0</v>
      </c>
      <c r="L906" s="1326"/>
      <c r="M906" s="2831"/>
      <c r="N906" s="1119" t="str">
        <f t="shared" si="139"/>
        <v/>
      </c>
      <c r="O906" s="1649"/>
      <c r="P906" s="1277" t="str">
        <f>IFERROR(VLOOKUP(F906,Trainingsarten!$A$9:$N$84,12,FALSE),"")</f>
        <v/>
      </c>
      <c r="Q906" s="1122" t="s">
        <v>437</v>
      </c>
      <c r="R906" s="1122" t="str">
        <f>IFERROR(VLOOKUP(F906,Trainingsarten!$A$9:$N$84,14,FALSE),"")</f>
        <v/>
      </c>
      <c r="S906" s="1070" t="str">
        <f t="shared" si="136"/>
        <v/>
      </c>
      <c r="T906" s="1650">
        <f t="shared" si="144"/>
        <v>51.328229863420063</v>
      </c>
      <c r="U906" s="1651">
        <f t="shared" si="142"/>
        <v>42.900139396647354</v>
      </c>
      <c r="V906" s="1278">
        <f t="shared" si="143"/>
        <v>-15.936450580676528</v>
      </c>
      <c r="W906" s="3286">
        <f t="shared" si="138"/>
        <v>1.1964583468796692</v>
      </c>
      <c r="X906" s="3300"/>
      <c r="Y906" s="3316"/>
      <c r="AA906" s="3301"/>
      <c r="AB906" s="3409"/>
      <c r="AE906" s="1056"/>
    </row>
    <row r="907" spans="2:31" x14ac:dyDescent="0.2">
      <c r="B907" s="2978" t="s">
        <v>626</v>
      </c>
      <c r="C907" s="1211">
        <v>44005</v>
      </c>
      <c r="D907" s="2198"/>
      <c r="E907" s="2199"/>
      <c r="F907" s="2728"/>
      <c r="G907" s="2208"/>
      <c r="H907" s="1826" t="str">
        <f>IFERROR(VLOOKUP(F907,Trainingsarten!$A$9:$K$84,10,FALSE),"")</f>
        <v/>
      </c>
      <c r="I907" s="1902" t="str">
        <f t="shared" si="137"/>
        <v/>
      </c>
      <c r="J907" s="1830"/>
      <c r="K907" s="1829" t="str">
        <f>IFERROR(VLOOKUP(F907,Trainingsarten!$A$9:$K$84,11,FALSE),"0")</f>
        <v>0</v>
      </c>
      <c r="L907" s="2806"/>
      <c r="M907" s="2829"/>
      <c r="N907" s="1831" t="str">
        <f t="shared" si="139"/>
        <v/>
      </c>
      <c r="O907" s="1832"/>
      <c r="P907" s="1755" t="str">
        <f>IFERROR(VLOOKUP(F907,Trainingsarten!$A$9:$N$84,12,FALSE),"")</f>
        <v/>
      </c>
      <c r="Q907" s="1756" t="s">
        <v>437</v>
      </c>
      <c r="R907" s="1086" t="str">
        <f>IFERROR(VLOOKUP(F907,Trainingsarten!$A$9:$N$84,14,FALSE),"")</f>
        <v/>
      </c>
      <c r="S907" s="1087" t="str">
        <f t="shared" ref="S907:S970" si="145">IFERROR(L907/J907,"")</f>
        <v/>
      </c>
      <c r="T907" s="1757">
        <f t="shared" si="144"/>
        <v>43.995625597217199</v>
      </c>
      <c r="U907" s="1758">
        <f t="shared" si="142"/>
        <v>41.87870750625099</v>
      </c>
      <c r="V907" s="1088">
        <f t="shared" si="143"/>
        <v>-8.4280904667727086</v>
      </c>
      <c r="W907" s="3284">
        <f t="shared" si="138"/>
        <v>1.0505487923821486</v>
      </c>
      <c r="X907" s="3300"/>
      <c r="Y907" s="3316"/>
      <c r="AA907" s="3301"/>
      <c r="AB907" s="3409"/>
      <c r="AE907" s="3294"/>
    </row>
    <row r="908" spans="2:31" ht="16" thickBot="1" x14ac:dyDescent="0.25">
      <c r="B908" s="2979">
        <f>SUM(H906:H912)</f>
        <v>27.259999999999998</v>
      </c>
      <c r="C908" s="1211">
        <v>44006</v>
      </c>
      <c r="D908" s="2198"/>
      <c r="E908" s="2199"/>
      <c r="F908" s="2728"/>
      <c r="G908" s="2208"/>
      <c r="H908" s="1826" t="str">
        <f>IFERROR(VLOOKUP(F908,Trainingsarten!$A$9:$K$84,10,FALSE),"")</f>
        <v/>
      </c>
      <c r="I908" s="1902" t="str">
        <f t="shared" si="137"/>
        <v/>
      </c>
      <c r="J908" s="1830"/>
      <c r="K908" s="1829" t="str">
        <f>IFERROR(VLOOKUP(F908,Trainingsarten!$A$9:$K$84,11,FALSE),"0")</f>
        <v>0</v>
      </c>
      <c r="L908" s="2806"/>
      <c r="M908" s="2829"/>
      <c r="N908" s="1831" t="str">
        <f t="shared" si="139"/>
        <v/>
      </c>
      <c r="O908" s="1832"/>
      <c r="P908" s="1755" t="str">
        <f>IFERROR(VLOOKUP(F908,Trainingsarten!$A$9:$N$84,12,FALSE),"")</f>
        <v/>
      </c>
      <c r="Q908" s="1756" t="s">
        <v>437</v>
      </c>
      <c r="R908" s="1086" t="str">
        <f>IFERROR(VLOOKUP(F908,Trainingsarten!$A$9:$N$84,14,FALSE),"")</f>
        <v/>
      </c>
      <c r="S908" s="1087" t="str">
        <f t="shared" si="145"/>
        <v/>
      </c>
      <c r="T908" s="1757">
        <f t="shared" si="144"/>
        <v>37.710536226186171</v>
      </c>
      <c r="U908" s="1758">
        <f t="shared" si="142"/>
        <v>40.881595422768825</v>
      </c>
      <c r="V908" s="1088">
        <f t="shared" si="143"/>
        <v>-2.1169180909662089</v>
      </c>
      <c r="W908" s="3284">
        <f t="shared" si="138"/>
        <v>0.92243308599408169</v>
      </c>
      <c r="X908" s="3300"/>
      <c r="Y908" s="3316"/>
      <c r="AA908" s="3301"/>
      <c r="AB908" s="3409"/>
      <c r="AE908" s="3294"/>
    </row>
    <row r="909" spans="2:31" x14ac:dyDescent="0.2">
      <c r="B909" s="2980" t="s">
        <v>628</v>
      </c>
      <c r="C909" s="1211">
        <v>44007</v>
      </c>
      <c r="D909" s="2198">
        <v>87</v>
      </c>
      <c r="E909" s="2199" t="s">
        <v>836</v>
      </c>
      <c r="F909" s="2728" t="s">
        <v>802</v>
      </c>
      <c r="G909" s="2208">
        <v>3.8437499999999999E-2</v>
      </c>
      <c r="H909" s="1826">
        <v>10.36</v>
      </c>
      <c r="I909" s="1902">
        <f t="shared" si="137"/>
        <v>3.7101833976833976E-3</v>
      </c>
      <c r="J909" s="1830">
        <v>137</v>
      </c>
      <c r="K909" s="1829">
        <v>64</v>
      </c>
      <c r="L909" s="2806">
        <v>220.4</v>
      </c>
      <c r="M909" s="2829"/>
      <c r="N909" s="1831">
        <f t="shared" si="139"/>
        <v>1.0544983576326863</v>
      </c>
      <c r="O909" s="1832" t="s">
        <v>783</v>
      </c>
      <c r="P909" s="1755">
        <f>IFERROR(VLOOKUP(F909,Trainingsarten!$A$9:$N$84,12,FALSE),"")</f>
        <v>194.60000000000002</v>
      </c>
      <c r="Q909" s="1756" t="s">
        <v>437</v>
      </c>
      <c r="R909" s="1086">
        <f>IFERROR(VLOOKUP(F909,Trainingsarten!$A$9:$N$84,14,FALSE),"")</f>
        <v>212.96</v>
      </c>
      <c r="S909" s="1087">
        <f t="shared" si="145"/>
        <v>1.6087591240875914</v>
      </c>
      <c r="T909" s="1757">
        <f t="shared" si="144"/>
        <v>41.466173908159575</v>
      </c>
      <c r="U909" s="1758">
        <f t="shared" si="142"/>
        <v>41.432033626988613</v>
      </c>
      <c r="V909" s="1088">
        <f t="shared" si="143"/>
        <v>3.1710591965826538</v>
      </c>
      <c r="W909" s="3284">
        <f t="shared" si="138"/>
        <v>1.0008240068898941</v>
      </c>
      <c r="X909" s="3300"/>
      <c r="Y909" s="3316"/>
      <c r="AA909" s="3301"/>
      <c r="AB909" s="3409"/>
      <c r="AE909" s="3294"/>
    </row>
    <row r="910" spans="2:31" ht="16" thickBot="1" x14ac:dyDescent="0.25">
      <c r="B910" s="2981">
        <f>SUM(K906:K912)</f>
        <v>166</v>
      </c>
      <c r="C910" s="1211">
        <v>44008</v>
      </c>
      <c r="D910" s="2198"/>
      <c r="E910" s="2199"/>
      <c r="F910" s="2728"/>
      <c r="G910" s="2208"/>
      <c r="H910" s="1826" t="str">
        <f>IFERROR(VLOOKUP(F910,Trainingsarten!$A$9:$K$84,10,FALSE),"")</f>
        <v/>
      </c>
      <c r="I910" s="1902" t="str">
        <f t="shared" si="137"/>
        <v/>
      </c>
      <c r="J910" s="1830"/>
      <c r="K910" s="1829" t="str">
        <f>IFERROR(VLOOKUP(F910,Trainingsarten!$A$9:$K$84,11,FALSE),"0")</f>
        <v>0</v>
      </c>
      <c r="L910" s="2806"/>
      <c r="M910" s="2829"/>
      <c r="N910" s="1831" t="str">
        <f t="shared" si="139"/>
        <v/>
      </c>
      <c r="O910" s="1832"/>
      <c r="P910" s="1755" t="str">
        <f>IFERROR(VLOOKUP(F910,Trainingsarten!$A$9:$N$84,12,FALSE),"")</f>
        <v/>
      </c>
      <c r="Q910" s="1756" t="s">
        <v>437</v>
      </c>
      <c r="R910" s="1086" t="str">
        <f>IFERROR(VLOOKUP(F910,Trainingsarten!$A$9:$N$84,14,FALSE),"")</f>
        <v/>
      </c>
      <c r="S910" s="1087" t="str">
        <f t="shared" si="145"/>
        <v/>
      </c>
      <c r="T910" s="1757">
        <f t="shared" si="144"/>
        <v>35.542434778422496</v>
      </c>
      <c r="U910" s="1758">
        <f t="shared" si="142"/>
        <v>40.445556635869835</v>
      </c>
      <c r="V910" s="1088">
        <f t="shared" si="143"/>
        <v>-3.4140281170962794E-2</v>
      </c>
      <c r="W910" s="3284">
        <f t="shared" si="138"/>
        <v>0.87877229873259</v>
      </c>
      <c r="X910" s="3300"/>
      <c r="Y910" s="3316"/>
      <c r="AA910" s="3301"/>
      <c r="AB910" s="3409"/>
      <c r="AE910" s="3294"/>
    </row>
    <row r="911" spans="2:31" x14ac:dyDescent="0.2">
      <c r="B911" s="2982" t="s">
        <v>761</v>
      </c>
      <c r="C911" s="1211">
        <v>44009</v>
      </c>
      <c r="D911" s="2198">
        <v>88</v>
      </c>
      <c r="E911" s="2199" t="s">
        <v>836</v>
      </c>
      <c r="F911" s="2728" t="s">
        <v>863</v>
      </c>
      <c r="G911" s="2208">
        <v>6.5787037037037033E-2</v>
      </c>
      <c r="H911" s="1826">
        <v>16.899999999999999</v>
      </c>
      <c r="I911" s="1902">
        <f t="shared" si="137"/>
        <v>3.8927240850317774E-3</v>
      </c>
      <c r="J911" s="1830">
        <v>147</v>
      </c>
      <c r="K911" s="1829">
        <v>102</v>
      </c>
      <c r="L911" s="2806">
        <v>213.3</v>
      </c>
      <c r="M911" s="2829"/>
      <c r="N911" s="1831">
        <f t="shared" si="139"/>
        <v>1.0707384968647886</v>
      </c>
      <c r="O911" s="1832" t="s">
        <v>858</v>
      </c>
      <c r="P911" s="1755" t="str">
        <f>IFERROR(VLOOKUP(F911,Trainingsarten!$A$9:$N$84,12,FALSE),"")</f>
        <v/>
      </c>
      <c r="Q911" s="1756" t="s">
        <v>437</v>
      </c>
      <c r="R911" s="1086" t="str">
        <f>IFERROR(VLOOKUP(F911,Trainingsarten!$A$9:$N$84,14,FALSE),"")</f>
        <v/>
      </c>
      <c r="S911" s="1087">
        <f t="shared" si="145"/>
        <v>1.4510204081632654</v>
      </c>
      <c r="T911" s="1757">
        <f t="shared" si="144"/>
        <v>45.036372667219283</v>
      </c>
      <c r="U911" s="1758">
        <f t="shared" si="142"/>
        <v>41.911138620730078</v>
      </c>
      <c r="V911" s="1088">
        <f t="shared" si="143"/>
        <v>4.9031218574473385</v>
      </c>
      <c r="W911" s="3284">
        <f t="shared" si="138"/>
        <v>1.0745681016870154</v>
      </c>
      <c r="X911" s="3300"/>
      <c r="Y911" s="3316"/>
      <c r="AA911" s="3301"/>
      <c r="AB911" s="3409"/>
      <c r="AE911" s="3294"/>
    </row>
    <row r="912" spans="2:31" ht="16" thickBot="1" x14ac:dyDescent="0.25">
      <c r="B912" s="2983">
        <f>AVERAGE(W906:W912)</f>
        <v>1.0095896919718255</v>
      </c>
      <c r="C912" s="2195">
        <v>44010</v>
      </c>
      <c r="D912" s="2201"/>
      <c r="E912" s="2202"/>
      <c r="F912" s="2729"/>
      <c r="G912" s="2209"/>
      <c r="H912" s="2021" t="str">
        <f>IFERROR(VLOOKUP(F912,Trainingsarten!$A$9:$K$84,10,FALSE),"")</f>
        <v/>
      </c>
      <c r="I912" s="2022" t="str">
        <f t="shared" si="137"/>
        <v/>
      </c>
      <c r="J912" s="2023"/>
      <c r="K912" s="2024" t="str">
        <f>IFERROR(VLOOKUP(F912,Trainingsarten!$A$9:$K$84,11,FALSE),"0")</f>
        <v>0</v>
      </c>
      <c r="L912" s="2808"/>
      <c r="M912" s="2832"/>
      <c r="N912" s="2025" t="str">
        <f t="shared" si="139"/>
        <v/>
      </c>
      <c r="O912" s="2026"/>
      <c r="P912" s="2027" t="str">
        <f>IFERROR(VLOOKUP(F912,Trainingsarten!$A$9:$N$84,12,FALSE),"")</f>
        <v/>
      </c>
      <c r="Q912" s="1151" t="s">
        <v>437</v>
      </c>
      <c r="R912" s="1151" t="str">
        <f>IFERROR(VLOOKUP(F912,Trainingsarten!$A$9:$N$84,14,FALSE),"")</f>
        <v/>
      </c>
      <c r="S912" s="1106" t="str">
        <f t="shared" si="145"/>
        <v/>
      </c>
      <c r="T912" s="1995">
        <f t="shared" si="144"/>
        <v>38.602605143330813</v>
      </c>
      <c r="U912" s="1996">
        <f t="shared" si="142"/>
        <v>40.913254367855551</v>
      </c>
      <c r="V912" s="1996">
        <f t="shared" si="143"/>
        <v>-3.1252340464892043</v>
      </c>
      <c r="W912" s="3287">
        <f t="shared" si="138"/>
        <v>0.94352321123737948</v>
      </c>
      <c r="X912" s="3300"/>
      <c r="Y912" s="3316"/>
      <c r="AA912" s="3301"/>
      <c r="AB912" s="3409"/>
      <c r="AE912" s="3294"/>
    </row>
    <row r="913" spans="2:31" ht="16" thickBot="1" x14ac:dyDescent="0.25">
      <c r="B913" s="2985">
        <f>B906+1</f>
        <v>27</v>
      </c>
      <c r="C913" s="2189">
        <v>44011</v>
      </c>
      <c r="D913" s="1111"/>
      <c r="E913" s="2087"/>
      <c r="F913" s="2730"/>
      <c r="G913" s="1647"/>
      <c r="H913" s="2033" t="str">
        <f>IFERROR(VLOOKUP(F913,Trainingsarten!$A$9:$K$84,10,FALSE),"")</f>
        <v/>
      </c>
      <c r="I913" s="2034" t="str">
        <f t="shared" si="137"/>
        <v/>
      </c>
      <c r="J913" s="2035"/>
      <c r="K913" s="2036" t="str">
        <f>IFERROR(VLOOKUP(F913,Trainingsarten!$A$9:$K$84,11,FALSE),"0")</f>
        <v>0</v>
      </c>
      <c r="L913" s="1915"/>
      <c r="M913" s="2833"/>
      <c r="N913" s="2037" t="str">
        <f t="shared" si="139"/>
        <v/>
      </c>
      <c r="O913" s="2038"/>
      <c r="P913" s="2039" t="str">
        <f>IFERROR(VLOOKUP(F913,Trainingsarten!$A$9:$N$84,12,FALSE),"")</f>
        <v/>
      </c>
      <c r="Q913" s="1069" t="s">
        <v>437</v>
      </c>
      <c r="R913" s="1069" t="str">
        <f>IFERROR(VLOOKUP(F913,Trainingsarten!$A$9:$N$84,14,FALSE),"")</f>
        <v/>
      </c>
      <c r="S913" s="1070" t="str">
        <f t="shared" si="145"/>
        <v/>
      </c>
      <c r="T913" s="2190">
        <f t="shared" si="144"/>
        <v>33.087947265712124</v>
      </c>
      <c r="U913" s="1922">
        <f t="shared" si="142"/>
        <v>39.939129263858987</v>
      </c>
      <c r="V913" s="2030">
        <f t="shared" si="143"/>
        <v>2.3106492245247381</v>
      </c>
      <c r="W913" s="3283">
        <f t="shared" si="138"/>
        <v>0.82845940498891857</v>
      </c>
      <c r="X913" s="3300"/>
      <c r="Y913" s="3316"/>
      <c r="AA913" s="3301"/>
      <c r="AB913" s="3409"/>
      <c r="AE913" s="1056"/>
    </row>
    <row r="914" spans="2:31" x14ac:dyDescent="0.2">
      <c r="B914" s="2978" t="s">
        <v>626</v>
      </c>
      <c r="C914" s="2211">
        <v>44012</v>
      </c>
      <c r="D914" s="2212">
        <v>89</v>
      </c>
      <c r="E914" s="2213" t="s">
        <v>836</v>
      </c>
      <c r="F914" s="2731" t="s">
        <v>862</v>
      </c>
      <c r="G914" s="2042">
        <v>4.1585648148148149E-2</v>
      </c>
      <c r="H914" s="2043">
        <v>9.74</v>
      </c>
      <c r="I914" s="2044">
        <f t="shared" ref="I914" si="146">IFERROR(G914/H914,"")</f>
        <v>4.2695737318427258E-3</v>
      </c>
      <c r="J914" s="2045">
        <v>146</v>
      </c>
      <c r="K914" s="2046">
        <v>68</v>
      </c>
      <c r="L914" s="2806">
        <v>211.1</v>
      </c>
      <c r="M914" s="2829">
        <v>248</v>
      </c>
      <c r="N914" s="2047"/>
      <c r="O914" s="2048" t="s">
        <v>783</v>
      </c>
      <c r="P914" s="1993" t="str">
        <f>IFERROR(VLOOKUP(F914,Trainingsarten!$A$9:$N$84,12,FALSE),"")</f>
        <v/>
      </c>
      <c r="Q914" s="1994" t="s">
        <v>437</v>
      </c>
      <c r="R914" s="1086" t="str">
        <f>IFERROR(VLOOKUP(F914,Trainingsarten!$A$9:$N$84,14,FALSE),"")</f>
        <v/>
      </c>
      <c r="S914" s="1087">
        <f t="shared" si="145"/>
        <v>1.4458904109589041</v>
      </c>
      <c r="T914" s="1995">
        <f t="shared" si="144"/>
        <v>38.075383370610389</v>
      </c>
      <c r="U914" s="1996">
        <f t="shared" si="142"/>
        <v>40.607245233767109</v>
      </c>
      <c r="V914" s="1997">
        <f t="shared" si="143"/>
        <v>6.8511819981468634</v>
      </c>
      <c r="W914" s="3284">
        <f t="shared" si="138"/>
        <v>0.93764999697513729</v>
      </c>
      <c r="X914" s="3300"/>
      <c r="Y914" s="3316"/>
      <c r="AA914" s="3301"/>
      <c r="AB914" s="3409"/>
      <c r="AE914" s="3294"/>
    </row>
    <row r="915" spans="2:31" ht="16" thickBot="1" x14ac:dyDescent="0.25">
      <c r="B915" s="2979">
        <f>SUM(H913:H919)</f>
        <v>28.729999999999997</v>
      </c>
      <c r="C915" s="1998">
        <v>44013</v>
      </c>
      <c r="D915" s="2212"/>
      <c r="E915" s="2213"/>
      <c r="F915" s="2732"/>
      <c r="G915" s="2042"/>
      <c r="H915" s="2043" t="str">
        <f>IFERROR(VLOOKUP(F915,Trainingsarten!$A$9:$K$84,10,FALSE),"")</f>
        <v/>
      </c>
      <c r="I915" s="2044" t="str">
        <f t="shared" si="137"/>
        <v/>
      </c>
      <c r="J915" s="2045"/>
      <c r="K915" s="2046" t="str">
        <f>IFERROR(VLOOKUP(F915,Trainingsarten!$A$9:$K$84,11,FALSE),"0")</f>
        <v>0</v>
      </c>
      <c r="L915" s="2806"/>
      <c r="M915" s="2829"/>
      <c r="N915" s="2047" t="str">
        <f t="shared" si="139"/>
        <v/>
      </c>
      <c r="O915" s="2048"/>
      <c r="P915" s="1993" t="str">
        <f>IFERROR(VLOOKUP(F915,Trainingsarten!$A$9:$N$84,12,FALSE),"")</f>
        <v/>
      </c>
      <c r="Q915" s="1994" t="s">
        <v>437</v>
      </c>
      <c r="R915" s="1086" t="str">
        <f>IFERROR(VLOOKUP(F915,Trainingsarten!$A$9:$N$84,14,FALSE),"")</f>
        <v/>
      </c>
      <c r="S915" s="1087" t="str">
        <f t="shared" si="145"/>
        <v/>
      </c>
      <c r="T915" s="1995">
        <f t="shared" si="144"/>
        <v>32.636042889094618</v>
      </c>
      <c r="U915" s="1996">
        <f t="shared" si="142"/>
        <v>39.640406061534563</v>
      </c>
      <c r="V915" s="1997">
        <f t="shared" si="143"/>
        <v>2.5318618631567205</v>
      </c>
      <c r="W915" s="3284">
        <f t="shared" si="138"/>
        <v>0.82330243636841316</v>
      </c>
      <c r="X915" s="3300"/>
      <c r="Y915" s="3316"/>
      <c r="AA915" s="3301"/>
      <c r="AB915" s="3409"/>
      <c r="AE915" s="3294"/>
    </row>
    <row r="916" spans="2:31" x14ac:dyDescent="0.2">
      <c r="B916" s="2980" t="s">
        <v>628</v>
      </c>
      <c r="C916" s="1998">
        <v>44014</v>
      </c>
      <c r="D916" s="2212"/>
      <c r="E916" s="2213"/>
      <c r="F916" s="2732"/>
      <c r="G916" s="2042"/>
      <c r="H916" s="2043" t="str">
        <f>IFERROR(VLOOKUP(F916,Trainingsarten!$A$9:$K$84,10,FALSE),"")</f>
        <v/>
      </c>
      <c r="I916" s="2044" t="str">
        <f t="shared" si="137"/>
        <v/>
      </c>
      <c r="J916" s="2045"/>
      <c r="K916" s="2046" t="str">
        <f>IFERROR(VLOOKUP(F916,Trainingsarten!$A$9:$K$84,11,FALSE),"0")</f>
        <v>0</v>
      </c>
      <c r="L916" s="2806"/>
      <c r="M916" s="2829"/>
      <c r="N916" s="2047" t="str">
        <f t="shared" si="139"/>
        <v/>
      </c>
      <c r="O916" s="2048"/>
      <c r="P916" s="1993" t="str">
        <f>IFERROR(VLOOKUP(F916,Trainingsarten!$A$9:$N$84,12,FALSE),"")</f>
        <v/>
      </c>
      <c r="Q916" s="1994" t="s">
        <v>437</v>
      </c>
      <c r="R916" s="1086" t="str">
        <f>IFERROR(VLOOKUP(F916,Trainingsarten!$A$9:$N$84,14,FALSE),"")</f>
        <v/>
      </c>
      <c r="S916" s="1087" t="str">
        <f t="shared" si="145"/>
        <v/>
      </c>
      <c r="T916" s="1995">
        <f t="shared" si="144"/>
        <v>27.973751047795389</v>
      </c>
      <c r="U916" s="1996">
        <f t="shared" si="142"/>
        <v>38.696586869593261</v>
      </c>
      <c r="V916" s="1997">
        <f t="shared" si="143"/>
        <v>7.0043631724399447</v>
      </c>
      <c r="W916" s="3284">
        <f t="shared" si="138"/>
        <v>0.72289970022592387</v>
      </c>
      <c r="X916" s="3300"/>
      <c r="Y916" s="3316"/>
      <c r="AA916" s="3301"/>
      <c r="AB916" s="3409"/>
      <c r="AE916" s="3294"/>
    </row>
    <row r="917" spans="2:31" ht="16" thickBot="1" x14ac:dyDescent="0.25">
      <c r="B917" s="2981">
        <f>SUM(K913:K919)</f>
        <v>180</v>
      </c>
      <c r="C917" s="1998">
        <v>44015</v>
      </c>
      <c r="D917" s="2212">
        <v>90</v>
      </c>
      <c r="E917" s="2213" t="s">
        <v>836</v>
      </c>
      <c r="F917" s="2732" t="s">
        <v>825</v>
      </c>
      <c r="G917" s="2042">
        <v>3.4641203703703702E-2</v>
      </c>
      <c r="H917" s="2043">
        <v>8.73</v>
      </c>
      <c r="I917" s="2044">
        <f t="shared" si="137"/>
        <v>3.9680645708709853E-3</v>
      </c>
      <c r="J917" s="2045">
        <v>126</v>
      </c>
      <c r="K917" s="2046">
        <v>51</v>
      </c>
      <c r="L917" s="2806">
        <v>208.4</v>
      </c>
      <c r="M917" s="2829"/>
      <c r="N917" s="2047">
        <f t="shared" si="139"/>
        <v>1.0663883332478499</v>
      </c>
      <c r="O917" s="2048" t="s">
        <v>858</v>
      </c>
      <c r="P917" s="1993">
        <f>IFERROR(VLOOKUP(F917,Trainingsarten!$A$9:$N$84,12,FALSE),"")</f>
        <v>169.39999999999998</v>
      </c>
      <c r="Q917" s="1994" t="s">
        <v>437</v>
      </c>
      <c r="R917" s="1086">
        <f>IFERROR(VLOOKUP(F917,Trainingsarten!$A$9:$N$84,14,FALSE),"")</f>
        <v>193.60000000000002</v>
      </c>
      <c r="S917" s="1087">
        <f t="shared" si="145"/>
        <v>1.6539682539682541</v>
      </c>
      <c r="T917" s="1995">
        <f t="shared" si="144"/>
        <v>31.26321518382462</v>
      </c>
      <c r="U917" s="1996">
        <f t="shared" si="142"/>
        <v>38.989525277460089</v>
      </c>
      <c r="V917" s="1997">
        <f t="shared" si="143"/>
        <v>10.722835821797872</v>
      </c>
      <c r="W917" s="3284">
        <f t="shared" si="138"/>
        <v>0.80183626144065767</v>
      </c>
      <c r="X917" s="3300"/>
      <c r="Y917" s="3316"/>
      <c r="AA917" s="3301"/>
      <c r="AB917" s="3409"/>
      <c r="AE917" s="3294"/>
    </row>
    <row r="918" spans="2:31" x14ac:dyDescent="0.2">
      <c r="B918" s="2982" t="s">
        <v>761</v>
      </c>
      <c r="C918" s="1998">
        <v>44016</v>
      </c>
      <c r="D918" s="2212"/>
      <c r="E918" s="2213"/>
      <c r="F918" s="2732"/>
      <c r="G918" s="2042"/>
      <c r="H918" s="2043" t="str">
        <f>IFERROR(VLOOKUP(F918,Trainingsarten!$A$9:$K$84,10,FALSE),"")</f>
        <v/>
      </c>
      <c r="I918" s="2044" t="str">
        <f t="shared" si="137"/>
        <v/>
      </c>
      <c r="J918" s="2045"/>
      <c r="K918" s="2046" t="str">
        <f>IFERROR(VLOOKUP(F918,Trainingsarten!$A$9:$K$84,11,FALSE),"0")</f>
        <v>0</v>
      </c>
      <c r="L918" s="2806"/>
      <c r="M918" s="2829"/>
      <c r="N918" s="2047" t="str">
        <f t="shared" si="139"/>
        <v/>
      </c>
      <c r="O918" s="2048"/>
      <c r="P918" s="1993" t="str">
        <f>IFERROR(VLOOKUP(F918,Trainingsarten!$A$9:$N$84,12,FALSE),"")</f>
        <v/>
      </c>
      <c r="Q918" s="1994" t="s">
        <v>437</v>
      </c>
      <c r="R918" s="1086" t="str">
        <f>IFERROR(VLOOKUP(F918,Trainingsarten!$A$9:$N$84,14,FALSE),"")</f>
        <v/>
      </c>
      <c r="S918" s="1087" t="str">
        <f t="shared" si="145"/>
        <v/>
      </c>
      <c r="T918" s="1995">
        <f t="shared" si="144"/>
        <v>26.797041586135389</v>
      </c>
      <c r="U918" s="1996">
        <f t="shared" si="142"/>
        <v>38.061203247044375</v>
      </c>
      <c r="V918" s="1997">
        <f t="shared" si="143"/>
        <v>7.7263100936354689</v>
      </c>
      <c r="W918" s="3284">
        <f t="shared" si="138"/>
        <v>0.7040513515088701</v>
      </c>
      <c r="X918" s="3300"/>
      <c r="Y918" s="3316"/>
      <c r="AA918" s="3301"/>
      <c r="AB918" s="3409"/>
      <c r="AE918" s="3294"/>
    </row>
    <row r="919" spans="2:31" ht="16" thickBot="1" x14ac:dyDescent="0.25">
      <c r="B919" s="2983">
        <f>AVERAGE(W913:W919)</f>
        <v>0.80555004290807275</v>
      </c>
      <c r="C919" s="2214">
        <v>44017</v>
      </c>
      <c r="D919" s="1108">
        <v>91</v>
      </c>
      <c r="E919" s="2215" t="s">
        <v>836</v>
      </c>
      <c r="F919" s="2653" t="s">
        <v>817</v>
      </c>
      <c r="G919" s="2052">
        <v>4.0196759259259258E-2</v>
      </c>
      <c r="H919" s="2053">
        <v>10.26</v>
      </c>
      <c r="I919" s="2054">
        <f t="shared" si="137"/>
        <v>3.9178127933001223E-3</v>
      </c>
      <c r="J919" s="2055">
        <v>126</v>
      </c>
      <c r="K919" s="2056">
        <v>61</v>
      </c>
      <c r="L919" s="2807">
        <v>211.2</v>
      </c>
      <c r="M919" s="2830"/>
      <c r="N919" s="1223">
        <f t="shared" si="139"/>
        <v>1.0670297634633845</v>
      </c>
      <c r="O919" s="2057" t="s">
        <v>751</v>
      </c>
      <c r="P919" s="1818">
        <f>IFERROR(VLOOKUP(F919,Trainingsarten!$A$9:$N$84,12,FALSE),"")</f>
        <v>169.39999999999998</v>
      </c>
      <c r="Q919" s="1819" t="s">
        <v>437</v>
      </c>
      <c r="R919" s="1105">
        <f>IFERROR(VLOOKUP(F919,Trainingsarten!$A$9:$N$84,14,FALSE),"")</f>
        <v>193.60000000000002</v>
      </c>
      <c r="S919" s="1106">
        <f t="shared" si="145"/>
        <v>1.676190476190476</v>
      </c>
      <c r="T919" s="2204">
        <f t="shared" si="144"/>
        <v>31.683178502401763</v>
      </c>
      <c r="U919" s="2007">
        <f t="shared" si="142"/>
        <v>38.607365074495696</v>
      </c>
      <c r="V919" s="2007">
        <f t="shared" si="143"/>
        <v>11.264161660908986</v>
      </c>
      <c r="W919" s="3285">
        <f t="shared" si="138"/>
        <v>0.82065114884858847</v>
      </c>
      <c r="X919" s="3300"/>
      <c r="Y919" s="3316"/>
      <c r="AA919" s="3301"/>
      <c r="AB919" s="3409"/>
      <c r="AE919" s="3294"/>
    </row>
    <row r="920" spans="2:31" ht="16" thickBot="1" x14ac:dyDescent="0.25">
      <c r="B920" s="2985">
        <f>B913+1</f>
        <v>28</v>
      </c>
      <c r="C920" s="1245">
        <v>44018</v>
      </c>
      <c r="D920" s="1111"/>
      <c r="E920" s="2087"/>
      <c r="F920" s="2654"/>
      <c r="G920" s="1647"/>
      <c r="H920" s="1648" t="str">
        <f>IFERROR(VLOOKUP(F920,Trainingsarten!$A$9:$K$84,10,FALSE),"")</f>
        <v/>
      </c>
      <c r="I920" s="1399" t="str">
        <f t="shared" si="137"/>
        <v/>
      </c>
      <c r="J920" s="1326"/>
      <c r="K920" s="1325" t="str">
        <f>IFERROR(VLOOKUP(F920,Trainingsarten!$A$9:$K$84,11,FALSE),"0")</f>
        <v>0</v>
      </c>
      <c r="L920" s="1326"/>
      <c r="M920" s="2831"/>
      <c r="N920" s="1119" t="str">
        <f t="shared" si="139"/>
        <v/>
      </c>
      <c r="O920" s="1649"/>
      <c r="P920" s="1277" t="str">
        <f>IFERROR(VLOOKUP(F920,Trainingsarten!$A$9:$N$84,12,FALSE),"")</f>
        <v/>
      </c>
      <c r="Q920" s="1122" t="s">
        <v>437</v>
      </c>
      <c r="R920" s="1122" t="str">
        <f>IFERROR(VLOOKUP(F920,Trainingsarten!$A$9:$N$84,14,FALSE),"")</f>
        <v/>
      </c>
      <c r="S920" s="1070" t="str">
        <f t="shared" si="145"/>
        <v/>
      </c>
      <c r="T920" s="1650">
        <f t="shared" si="144"/>
        <v>27.157010144915795</v>
      </c>
      <c r="U920" s="1651">
        <f t="shared" si="142"/>
        <v>37.688142096531514</v>
      </c>
      <c r="V920" s="1278">
        <f t="shared" si="143"/>
        <v>6.9241865720939337</v>
      </c>
      <c r="W920" s="3286">
        <f t="shared" si="138"/>
        <v>0.72057174045241901</v>
      </c>
      <c r="X920" s="3300"/>
      <c r="Y920" s="3316"/>
      <c r="AA920" s="3301"/>
      <c r="AB920" s="3409"/>
      <c r="AE920" s="3294"/>
    </row>
    <row r="921" spans="2:31" x14ac:dyDescent="0.2">
      <c r="B921" s="2978" t="s">
        <v>626</v>
      </c>
      <c r="C921" s="2216">
        <v>44019</v>
      </c>
      <c r="D921" s="2217">
        <v>92</v>
      </c>
      <c r="E921" s="2218" t="s">
        <v>836</v>
      </c>
      <c r="F921" s="2733" t="s">
        <v>862</v>
      </c>
      <c r="G921" s="2219">
        <v>8.3252314814814821E-2</v>
      </c>
      <c r="H921" s="1826">
        <v>16.239999999999998</v>
      </c>
      <c r="I921" s="1902">
        <f t="shared" si="137"/>
        <v>5.1263740649516521E-3</v>
      </c>
      <c r="J921" s="2220">
        <v>141</v>
      </c>
      <c r="K921" s="2221">
        <v>113</v>
      </c>
      <c r="L921" s="2806">
        <v>187</v>
      </c>
      <c r="M921" s="2829">
        <v>676</v>
      </c>
      <c r="N921" s="1831"/>
      <c r="O921" s="2222" t="s">
        <v>783</v>
      </c>
      <c r="P921" s="1755" t="str">
        <f>IFERROR(VLOOKUP(F921,Trainingsarten!$A$9:$N$84,12,FALSE),"")</f>
        <v/>
      </c>
      <c r="Q921" s="1756" t="s">
        <v>437</v>
      </c>
      <c r="R921" s="1086" t="str">
        <f>IFERROR(VLOOKUP(F921,Trainingsarten!$A$9:$N$84,14,FALSE),"")</f>
        <v/>
      </c>
      <c r="S921" s="1087">
        <f t="shared" si="145"/>
        <v>1.3262411347517731</v>
      </c>
      <c r="T921" s="1951">
        <f t="shared" si="144"/>
        <v>39.42029440992782</v>
      </c>
      <c r="U921" s="1952">
        <f t="shared" si="142"/>
        <v>39.481281570423619</v>
      </c>
      <c r="V921" s="2223">
        <f t="shared" si="143"/>
        <v>10.53113195161572</v>
      </c>
      <c r="W921" s="3284">
        <f t="shared" si="138"/>
        <v>0.99845528923910398</v>
      </c>
      <c r="X921" s="3300"/>
      <c r="Y921" s="3316"/>
      <c r="AA921" s="3301"/>
      <c r="AB921" s="3409"/>
      <c r="AE921" s="3294"/>
    </row>
    <row r="922" spans="2:31" ht="16" thickBot="1" x14ac:dyDescent="0.25">
      <c r="B922" s="2979">
        <f>SUM(H920:H926)</f>
        <v>42.17</v>
      </c>
      <c r="C922" s="2216">
        <v>44020</v>
      </c>
      <c r="D922" s="2217"/>
      <c r="E922" s="2218"/>
      <c r="F922" s="2728"/>
      <c r="G922" s="2219"/>
      <c r="H922" s="1826" t="str">
        <f>IFERROR(VLOOKUP(F922,Trainingsarten!$A$9:$K$84,10,FALSE),"")</f>
        <v/>
      </c>
      <c r="I922" s="1902" t="str">
        <f t="shared" si="137"/>
        <v/>
      </c>
      <c r="J922" s="2220"/>
      <c r="K922" s="2221" t="str">
        <f>IFERROR(VLOOKUP(F922,Trainingsarten!$A$9:$K$84,11,FALSE),"0")</f>
        <v>0</v>
      </c>
      <c r="L922" s="2806"/>
      <c r="M922" s="2829"/>
      <c r="N922" s="1831" t="str">
        <f t="shared" si="139"/>
        <v/>
      </c>
      <c r="O922" s="2222"/>
      <c r="P922" s="1755" t="str">
        <f>IFERROR(VLOOKUP(F922,Trainingsarten!$A$9:$N$84,12,FALSE),"")</f>
        <v/>
      </c>
      <c r="Q922" s="1756" t="s">
        <v>437</v>
      </c>
      <c r="R922" s="1086" t="str">
        <f>IFERROR(VLOOKUP(F922,Trainingsarten!$A$9:$N$84,14,FALSE),"")</f>
        <v/>
      </c>
      <c r="S922" s="1087" t="str">
        <f t="shared" si="145"/>
        <v/>
      </c>
      <c r="T922" s="1951">
        <f t="shared" si="144"/>
        <v>33.788823779938134</v>
      </c>
      <c r="U922" s="1952">
        <f t="shared" si="142"/>
        <v>38.541251056842107</v>
      </c>
      <c r="V922" s="2223">
        <f t="shared" si="143"/>
        <v>6.0987160495798776E-2</v>
      </c>
      <c r="W922" s="3284">
        <f t="shared" si="138"/>
        <v>0.87669244908799371</v>
      </c>
      <c r="X922" s="3300"/>
      <c r="Y922" s="3316"/>
      <c r="AA922" s="3301"/>
      <c r="AB922" s="3409"/>
      <c r="AE922" s="3294"/>
    </row>
    <row r="923" spans="2:31" x14ac:dyDescent="0.2">
      <c r="B923" s="2980" t="s">
        <v>628</v>
      </c>
      <c r="C923" s="2216">
        <v>44021</v>
      </c>
      <c r="D923" s="2217"/>
      <c r="E923" s="2218"/>
      <c r="F923" s="2728"/>
      <c r="G923" s="2219"/>
      <c r="H923" s="1826" t="str">
        <f>IFERROR(VLOOKUP(F923,Trainingsarten!$A$9:$K$84,10,FALSE),"")</f>
        <v/>
      </c>
      <c r="I923" s="1902" t="str">
        <f t="shared" si="137"/>
        <v/>
      </c>
      <c r="J923" s="2220"/>
      <c r="K923" s="2221" t="str">
        <f>IFERROR(VLOOKUP(F923,Trainingsarten!$A$9:$K$84,11,FALSE),"0")</f>
        <v>0</v>
      </c>
      <c r="L923" s="2806"/>
      <c r="M923" s="2829"/>
      <c r="N923" s="1831" t="str">
        <f t="shared" si="139"/>
        <v/>
      </c>
      <c r="O923" s="2222"/>
      <c r="P923" s="1755" t="str">
        <f>IFERROR(VLOOKUP(F923,Trainingsarten!$A$9:$N$84,12,FALSE),"")</f>
        <v/>
      </c>
      <c r="Q923" s="1756" t="s">
        <v>437</v>
      </c>
      <c r="R923" s="1086" t="str">
        <f>IFERROR(VLOOKUP(F923,Trainingsarten!$A$9:$N$84,14,FALSE),"")</f>
        <v/>
      </c>
      <c r="S923" s="1087" t="str">
        <f t="shared" si="145"/>
        <v/>
      </c>
      <c r="T923" s="1951">
        <f t="shared" si="144"/>
        <v>28.961848954232686</v>
      </c>
      <c r="U923" s="1952">
        <f t="shared" si="142"/>
        <v>37.623602222155391</v>
      </c>
      <c r="V923" s="2223">
        <f t="shared" si="143"/>
        <v>4.7524272769039726</v>
      </c>
      <c r="W923" s="3284">
        <f t="shared" si="138"/>
        <v>0.76977873578457989</v>
      </c>
      <c r="X923" s="3300"/>
      <c r="Y923" s="3316"/>
      <c r="AA923" s="3301"/>
      <c r="AB923" s="3409"/>
      <c r="AE923" s="3294"/>
    </row>
    <row r="924" spans="2:31" ht="16" thickBot="1" x14ac:dyDescent="0.25">
      <c r="B924" s="2981">
        <f>SUM(K920:K926)</f>
        <v>260</v>
      </c>
      <c r="C924" s="2216">
        <v>44022</v>
      </c>
      <c r="D924" s="2217">
        <v>93</v>
      </c>
      <c r="E924" s="2218" t="s">
        <v>836</v>
      </c>
      <c r="F924" s="2728" t="s">
        <v>818</v>
      </c>
      <c r="G924" s="2219">
        <v>4.6620370370370368E-2</v>
      </c>
      <c r="H924" s="1826">
        <v>10.68</v>
      </c>
      <c r="I924" s="1902">
        <f t="shared" si="137"/>
        <v>4.365203218199473E-3</v>
      </c>
      <c r="J924" s="2220">
        <v>121</v>
      </c>
      <c r="K924" s="2221">
        <v>60</v>
      </c>
      <c r="L924" s="2806">
        <v>195</v>
      </c>
      <c r="M924" s="2829"/>
      <c r="N924" s="1831"/>
      <c r="O924" s="2222" t="s">
        <v>858</v>
      </c>
      <c r="P924" s="1755">
        <f>IFERROR(VLOOKUP(F924,Trainingsarten!$A$9:$N$84,12,FALSE),"")</f>
        <v>194.60000000000002</v>
      </c>
      <c r="Q924" s="1756" t="s">
        <v>437</v>
      </c>
      <c r="R924" s="1086">
        <f>IFERROR(VLOOKUP(F924,Trainingsarten!$A$9:$N$84,14,FALSE),"")</f>
        <v>212.96</v>
      </c>
      <c r="S924" s="1087">
        <f t="shared" si="145"/>
        <v>1.6115702479338843</v>
      </c>
      <c r="T924" s="1951">
        <f t="shared" si="144"/>
        <v>33.395870532199446</v>
      </c>
      <c r="U924" s="1952">
        <f t="shared" si="142"/>
        <v>38.156373597818359</v>
      </c>
      <c r="V924" s="2223">
        <f t="shared" si="143"/>
        <v>8.6617532679227054</v>
      </c>
      <c r="W924" s="3284">
        <f t="shared" si="138"/>
        <v>0.87523701503197615</v>
      </c>
      <c r="X924" s="3300"/>
      <c r="Y924" s="3316"/>
      <c r="AA924" s="3301"/>
      <c r="AB924" s="3409"/>
      <c r="AE924" s="3294"/>
    </row>
    <row r="925" spans="2:31" x14ac:dyDescent="0.2">
      <c r="B925" s="2982" t="s">
        <v>761</v>
      </c>
      <c r="C925" s="2216">
        <v>44023</v>
      </c>
      <c r="D925" s="2217"/>
      <c r="E925" s="2218"/>
      <c r="F925" s="2728"/>
      <c r="G925" s="2219"/>
      <c r="H925" s="1826" t="str">
        <f>IFERROR(VLOOKUP(F925,Trainingsarten!$A$9:$K$84,10,FALSE),"")</f>
        <v/>
      </c>
      <c r="I925" s="1902" t="str">
        <f t="shared" ref="I925:I988" si="147">IFERROR(G925/H925,"")</f>
        <v/>
      </c>
      <c r="J925" s="2220"/>
      <c r="K925" s="2221" t="str">
        <f>IFERROR(VLOOKUP(F925,Trainingsarten!$A$9:$K$84,11,FALSE),"0")</f>
        <v>0</v>
      </c>
      <c r="L925" s="2806"/>
      <c r="M925" s="2829"/>
      <c r="N925" s="1831" t="str">
        <f t="shared" si="139"/>
        <v/>
      </c>
      <c r="O925" s="2222"/>
      <c r="P925" s="1755" t="str">
        <f>IFERROR(VLOOKUP(F925,Trainingsarten!$A$9:$N$84,12,FALSE),"")</f>
        <v/>
      </c>
      <c r="Q925" s="1756" t="s">
        <v>437</v>
      </c>
      <c r="R925" s="1086" t="str">
        <f>IFERROR(VLOOKUP(F925,Trainingsarten!$A$9:$N$84,14,FALSE),"")</f>
        <v/>
      </c>
      <c r="S925" s="1087" t="str">
        <f t="shared" si="145"/>
        <v/>
      </c>
      <c r="T925" s="1951">
        <f t="shared" si="144"/>
        <v>28.625031884742384</v>
      </c>
      <c r="U925" s="1952">
        <f t="shared" si="142"/>
        <v>37.247888512156017</v>
      </c>
      <c r="V925" s="2223">
        <f t="shared" si="143"/>
        <v>4.7605030656189129</v>
      </c>
      <c r="W925" s="3284">
        <f t="shared" si="138"/>
        <v>0.76850079368661328</v>
      </c>
      <c r="X925" s="3300"/>
      <c r="Y925" s="3316"/>
      <c r="AA925" s="3301"/>
      <c r="AB925" s="3409"/>
      <c r="AE925" s="3294"/>
    </row>
    <row r="926" spans="2:31" ht="16" thickBot="1" x14ac:dyDescent="0.25">
      <c r="B926" s="2983">
        <f>AVERAGE(W920:W926)</f>
        <v>0.85300503660326454</v>
      </c>
      <c r="C926" s="2195">
        <v>44024</v>
      </c>
      <c r="D926" s="1995">
        <v>94</v>
      </c>
      <c r="E926" s="2224" t="s">
        <v>835</v>
      </c>
      <c r="F926" s="2729" t="s">
        <v>804</v>
      </c>
      <c r="G926" s="2097">
        <v>6.1307870370370367E-2</v>
      </c>
      <c r="H926" s="2098">
        <v>15.25</v>
      </c>
      <c r="I926" s="2099">
        <f t="shared" si="147"/>
        <v>4.0201882210078926E-3</v>
      </c>
      <c r="J926" s="2100">
        <v>132</v>
      </c>
      <c r="K926" s="2101">
        <v>87</v>
      </c>
      <c r="L926" s="2808">
        <v>203.8</v>
      </c>
      <c r="M926" s="2832"/>
      <c r="N926" s="2102">
        <f t="shared" si="139"/>
        <v>1.0565486665035477</v>
      </c>
      <c r="O926" s="2103" t="s">
        <v>858</v>
      </c>
      <c r="P926" s="2027">
        <f>IFERROR(VLOOKUP(F926,Trainingsarten!$A$9:$N$84,12,FALSE),"")</f>
        <v>194.60000000000002</v>
      </c>
      <c r="Q926" s="1151" t="s">
        <v>437</v>
      </c>
      <c r="R926" s="1151">
        <f>IFERROR(VLOOKUP(F926,Trainingsarten!$A$9:$N$84,14,FALSE),"")</f>
        <v>212.96</v>
      </c>
      <c r="S926" s="1106">
        <f t="shared" si="145"/>
        <v>1.5439393939393939</v>
      </c>
      <c r="T926" s="1995">
        <f t="shared" si="144"/>
        <v>36.964313044064902</v>
      </c>
      <c r="U926" s="1996">
        <f t="shared" si="142"/>
        <v>38.432462595199922</v>
      </c>
      <c r="V926" s="1996">
        <f t="shared" si="143"/>
        <v>8.6228566274136327</v>
      </c>
      <c r="W926" s="3287">
        <f t="shared" si="138"/>
        <v>0.96179923294016589</v>
      </c>
      <c r="X926" s="3300"/>
      <c r="Y926" s="3316"/>
      <c r="AA926" s="3301"/>
      <c r="AB926" s="3409"/>
      <c r="AE926" s="3294"/>
    </row>
    <row r="927" spans="2:31" ht="16" thickBot="1" x14ac:dyDescent="0.25">
      <c r="B927" s="2985">
        <f>B920+1</f>
        <v>29</v>
      </c>
      <c r="C927" s="2189">
        <v>44025</v>
      </c>
      <c r="D927" s="2106"/>
      <c r="E927" s="2069"/>
      <c r="F927" s="2724"/>
      <c r="G927" s="2032"/>
      <c r="H927" s="2033" t="str">
        <f>IFERROR(VLOOKUP(F927,Trainingsarten!$A$9:$K$84,10,FALSE),"")</f>
        <v/>
      </c>
      <c r="I927" s="2034" t="str">
        <f t="shared" si="147"/>
        <v/>
      </c>
      <c r="J927" s="2035"/>
      <c r="K927" s="2036" t="str">
        <f>IFERROR(VLOOKUP(F927,Trainingsarten!$A$9:$K$84,11,FALSE),"0")</f>
        <v>0</v>
      </c>
      <c r="L927" s="1915"/>
      <c r="M927" s="2833"/>
      <c r="N927" s="2037" t="str">
        <f t="shared" si="139"/>
        <v/>
      </c>
      <c r="O927" s="2038"/>
      <c r="P927" s="2039" t="str">
        <f>IFERROR(VLOOKUP(F927,Trainingsarten!$A$9:$N$84,12,FALSE),"")</f>
        <v/>
      </c>
      <c r="Q927" s="1069" t="s">
        <v>437</v>
      </c>
      <c r="R927" s="1069" t="str">
        <f>IFERROR(VLOOKUP(F927,Trainingsarten!$A$9:$N$84,14,FALSE),"")</f>
        <v/>
      </c>
      <c r="S927" s="1070" t="str">
        <f t="shared" si="145"/>
        <v/>
      </c>
      <c r="T927" s="2190">
        <f t="shared" si="144"/>
        <v>31.683696894912771</v>
      </c>
      <c r="U927" s="1922">
        <f t="shared" si="142"/>
        <v>37.517403961980875</v>
      </c>
      <c r="V927" s="2030">
        <f t="shared" si="143"/>
        <v>1.4681495511350207</v>
      </c>
      <c r="W927" s="3283">
        <f t="shared" ref="W927:W990" si="148">T927/U927</f>
        <v>0.84450664355721883</v>
      </c>
      <c r="X927" s="3300"/>
      <c r="Y927" s="3316"/>
      <c r="AA927" s="3301"/>
      <c r="AB927" s="3409"/>
      <c r="AE927" s="3294"/>
    </row>
    <row r="928" spans="2:31" x14ac:dyDescent="0.2">
      <c r="B928" s="2978" t="s">
        <v>626</v>
      </c>
      <c r="C928" s="2191">
        <v>44026</v>
      </c>
      <c r="D928" s="1984">
        <v>95</v>
      </c>
      <c r="E928" s="2218" t="s">
        <v>836</v>
      </c>
      <c r="F928" s="2733" t="s">
        <v>862</v>
      </c>
      <c r="G928" s="2110">
        <v>7.4166666666666659E-2</v>
      </c>
      <c r="H928" s="2111">
        <v>15.32</v>
      </c>
      <c r="I928" s="2112">
        <f t="shared" si="147"/>
        <v>4.8411662315056567E-3</v>
      </c>
      <c r="J928" s="2113">
        <v>142</v>
      </c>
      <c r="K928" s="2114">
        <v>104</v>
      </c>
      <c r="L928" s="2806">
        <v>195.9</v>
      </c>
      <c r="M928" s="2829">
        <v>567</v>
      </c>
      <c r="N928" s="1991"/>
      <c r="O928" s="2116" t="s">
        <v>783</v>
      </c>
      <c r="P928" s="1993" t="str">
        <f>IFERROR(VLOOKUP(F928,Trainingsarten!$A$9:$N$84,12,FALSE),"")</f>
        <v/>
      </c>
      <c r="Q928" s="1994" t="s">
        <v>437</v>
      </c>
      <c r="R928" s="1086" t="str">
        <f>IFERROR(VLOOKUP(F928,Trainingsarten!$A$9:$N$84,14,FALSE),"")</f>
        <v/>
      </c>
      <c r="S928" s="1087">
        <f t="shared" si="145"/>
        <v>1.3795774647887324</v>
      </c>
      <c r="T928" s="1995">
        <f t="shared" si="144"/>
        <v>42.014597338496657</v>
      </c>
      <c r="U928" s="1996">
        <f t="shared" si="142"/>
        <v>39.100322915267043</v>
      </c>
      <c r="V928" s="1997">
        <f t="shared" si="143"/>
        <v>5.8337070670681044</v>
      </c>
      <c r="W928" s="3284">
        <f t="shared" si="148"/>
        <v>1.0745332571688739</v>
      </c>
      <c r="X928" s="3300"/>
      <c r="Y928" s="3316"/>
      <c r="AA928" s="3301"/>
      <c r="AB928" s="3409"/>
      <c r="AE928" s="3294"/>
    </row>
    <row r="929" spans="2:31" ht="16" thickBot="1" x14ac:dyDescent="0.25">
      <c r="B929" s="2979">
        <f>SUM(H927:H933)</f>
        <v>41.04</v>
      </c>
      <c r="C929" s="1998">
        <v>44027</v>
      </c>
      <c r="D929" s="1984"/>
      <c r="E929" s="2218"/>
      <c r="F929" s="2728"/>
      <c r="G929" s="2110"/>
      <c r="H929" s="2111" t="str">
        <f>IFERROR(VLOOKUP(F929,Trainingsarten!$A$9:$K$84,10,FALSE),"")</f>
        <v/>
      </c>
      <c r="I929" s="2112" t="str">
        <f t="shared" si="147"/>
        <v/>
      </c>
      <c r="J929" s="2113"/>
      <c r="K929" s="2114" t="str">
        <f>IFERROR(VLOOKUP(F929,Trainingsarten!$A$9:$K$84,11,FALSE),"0")</f>
        <v>0</v>
      </c>
      <c r="L929" s="2806"/>
      <c r="M929" s="2829"/>
      <c r="N929" s="1991" t="str">
        <f t="shared" si="139"/>
        <v/>
      </c>
      <c r="O929" s="2116"/>
      <c r="P929" s="1993" t="str">
        <f>IFERROR(VLOOKUP(F929,Trainingsarten!$A$9:$N$84,12,FALSE),"")</f>
        <v/>
      </c>
      <c r="Q929" s="1994" t="s">
        <v>437</v>
      </c>
      <c r="R929" s="1086" t="str">
        <f>IFERROR(VLOOKUP(F929,Trainingsarten!$A$9:$N$84,14,FALSE),"")</f>
        <v/>
      </c>
      <c r="S929" s="1087" t="str">
        <f t="shared" si="145"/>
        <v/>
      </c>
      <c r="T929" s="1995">
        <f t="shared" si="144"/>
        <v>36.012512004425709</v>
      </c>
      <c r="U929" s="1996">
        <f t="shared" si="142"/>
        <v>38.169362845855922</v>
      </c>
      <c r="V929" s="1997">
        <f t="shared" si="143"/>
        <v>-2.9142744232296138</v>
      </c>
      <c r="W929" s="3284">
        <f t="shared" si="148"/>
        <v>0.94349261605071866</v>
      </c>
      <c r="X929" s="3300"/>
      <c r="Y929" s="3316"/>
      <c r="AA929" s="3301"/>
      <c r="AB929" s="3409"/>
      <c r="AE929" s="3294"/>
    </row>
    <row r="930" spans="2:31" x14ac:dyDescent="0.2">
      <c r="B930" s="2980" t="s">
        <v>628</v>
      </c>
      <c r="C930" s="1998">
        <v>44028</v>
      </c>
      <c r="D930" s="1984"/>
      <c r="E930" s="2218"/>
      <c r="F930" s="2728"/>
      <c r="G930" s="2110"/>
      <c r="H930" s="2111" t="str">
        <f>IFERROR(VLOOKUP(F930,Trainingsarten!$A$9:$K$84,10,FALSE),"")</f>
        <v/>
      </c>
      <c r="I930" s="2112" t="str">
        <f t="shared" si="147"/>
        <v/>
      </c>
      <c r="J930" s="2113"/>
      <c r="K930" s="2114" t="str">
        <f>IFERROR(VLOOKUP(F930,Trainingsarten!$A$9:$K$84,11,FALSE),"0")</f>
        <v>0</v>
      </c>
      <c r="L930" s="2806"/>
      <c r="M930" s="2829"/>
      <c r="N930" s="1991" t="str">
        <f t="shared" si="139"/>
        <v/>
      </c>
      <c r="O930" s="2116"/>
      <c r="P930" s="1993" t="str">
        <f>IFERROR(VLOOKUP(F930,Trainingsarten!$A$9:$N$84,12,FALSE),"")</f>
        <v/>
      </c>
      <c r="Q930" s="1994" t="s">
        <v>437</v>
      </c>
      <c r="R930" s="1086" t="str">
        <f>IFERROR(VLOOKUP(F930,Trainingsarten!$A$9:$N$84,14,FALSE),"")</f>
        <v/>
      </c>
      <c r="S930" s="1087" t="str">
        <f t="shared" si="145"/>
        <v/>
      </c>
      <c r="T930" s="1995">
        <f t="shared" si="144"/>
        <v>30.867867432364893</v>
      </c>
      <c r="U930" s="1996">
        <f t="shared" si="142"/>
        <v>37.260568492383165</v>
      </c>
      <c r="V930" s="1997">
        <f t="shared" si="143"/>
        <v>2.156850841430213</v>
      </c>
      <c r="W930" s="3284">
        <f t="shared" si="148"/>
        <v>0.82843254092258223</v>
      </c>
      <c r="X930" s="3295"/>
      <c r="Y930" s="3318"/>
      <c r="AA930" s="3301"/>
      <c r="AB930" s="3409"/>
      <c r="AE930" s="3294"/>
    </row>
    <row r="931" spans="2:31" ht="16" thickBot="1" x14ac:dyDescent="0.25">
      <c r="B931" s="2981">
        <f>SUM(K927:K933)</f>
        <v>259</v>
      </c>
      <c r="C931" s="1998">
        <v>44029</v>
      </c>
      <c r="D931" s="1984">
        <v>96</v>
      </c>
      <c r="E931" s="2218" t="s">
        <v>836</v>
      </c>
      <c r="F931" s="2728" t="s">
        <v>818</v>
      </c>
      <c r="G931" s="2110">
        <v>4.0393518518518516E-2</v>
      </c>
      <c r="H931" s="2111">
        <v>10.76</v>
      </c>
      <c r="I931" s="2112">
        <f t="shared" si="147"/>
        <v>3.7540444719812746E-3</v>
      </c>
      <c r="J931" s="2113">
        <v>138</v>
      </c>
      <c r="K931" s="2114">
        <v>67</v>
      </c>
      <c r="L931" s="2806">
        <v>221.3</v>
      </c>
      <c r="M931" s="2829"/>
      <c r="N931" s="1991">
        <f t="shared" si="139"/>
        <v>1.071321367141985</v>
      </c>
      <c r="O931" s="2116" t="s">
        <v>858</v>
      </c>
      <c r="P931" s="1993">
        <f>IFERROR(VLOOKUP(F931,Trainingsarten!$A$9:$N$84,12,FALSE),"")</f>
        <v>194.60000000000002</v>
      </c>
      <c r="Q931" s="1994" t="s">
        <v>437</v>
      </c>
      <c r="R931" s="1086">
        <f>IFERROR(VLOOKUP(F931,Trainingsarten!$A$9:$N$84,14,FALSE),"")</f>
        <v>212.96</v>
      </c>
      <c r="S931" s="1087">
        <f t="shared" si="145"/>
        <v>1.6036231884057972</v>
      </c>
      <c r="T931" s="1995">
        <f t="shared" si="144"/>
        <v>36.029600656312766</v>
      </c>
      <c r="U931" s="1996">
        <f t="shared" si="142"/>
        <v>37.968650194945468</v>
      </c>
      <c r="V931" s="1997">
        <f t="shared" si="143"/>
        <v>6.3927010600182719</v>
      </c>
      <c r="W931" s="3284">
        <f t="shared" si="148"/>
        <v>0.94893024827912276</v>
      </c>
      <c r="X931" s="3295"/>
      <c r="Y931" s="3318"/>
      <c r="AA931" s="3301"/>
      <c r="AB931" s="3409"/>
      <c r="AE931" s="3294"/>
    </row>
    <row r="932" spans="2:31" x14ac:dyDescent="0.2">
      <c r="B932" s="2982" t="s">
        <v>761</v>
      </c>
      <c r="C932" s="1998">
        <v>44030</v>
      </c>
      <c r="D932" s="1984"/>
      <c r="E932" s="2218"/>
      <c r="F932" s="2728"/>
      <c r="G932" s="2110"/>
      <c r="H932" s="2111" t="str">
        <f>IFERROR(VLOOKUP(F932,Trainingsarten!$A$9:$K$84,10,FALSE),"")</f>
        <v/>
      </c>
      <c r="I932" s="2112" t="str">
        <f t="shared" si="147"/>
        <v/>
      </c>
      <c r="J932" s="2113"/>
      <c r="K932" s="2114" t="str">
        <f>IFERROR(VLOOKUP(F932,Trainingsarten!$A$9:$K$84,11,FALSE),"0")</f>
        <v>0</v>
      </c>
      <c r="L932" s="2806"/>
      <c r="M932" s="2829"/>
      <c r="N932" s="1991" t="str">
        <f t="shared" ref="N932:N995" si="149">IFERROR((L932/67)/(1/(I932*24)/3.6),"")</f>
        <v/>
      </c>
      <c r="O932" s="2116"/>
      <c r="P932" s="1993" t="str">
        <f>IFERROR(VLOOKUP(F932,Trainingsarten!$A$9:$N$84,12,FALSE),"")</f>
        <v/>
      </c>
      <c r="Q932" s="1994" t="s">
        <v>437</v>
      </c>
      <c r="R932" s="1086" t="str">
        <f>IFERROR(VLOOKUP(F932,Trainingsarten!$A$9:$N$84,14,FALSE),"")</f>
        <v/>
      </c>
      <c r="S932" s="1087" t="str">
        <f t="shared" si="145"/>
        <v/>
      </c>
      <c r="T932" s="1995">
        <f t="shared" si="144"/>
        <v>30.882514848268087</v>
      </c>
      <c r="U932" s="1996">
        <f t="shared" si="142"/>
        <v>37.064634714113431</v>
      </c>
      <c r="V932" s="1997">
        <f t="shared" si="143"/>
        <v>1.9390495386327018</v>
      </c>
      <c r="W932" s="3284">
        <f t="shared" si="148"/>
        <v>0.8332070472694737</v>
      </c>
      <c r="X932" s="3295"/>
      <c r="Y932" s="3318"/>
      <c r="AA932" s="3301"/>
      <c r="AB932" s="3409"/>
      <c r="AE932" s="3294"/>
    </row>
    <row r="933" spans="2:31" ht="16" thickBot="1" x14ac:dyDescent="0.25">
      <c r="B933" s="2983">
        <f>AVERAGE(W927:W933)</f>
        <v>0.92758316344558189</v>
      </c>
      <c r="C933" s="2214">
        <v>44031</v>
      </c>
      <c r="D933" s="1108">
        <v>97</v>
      </c>
      <c r="E933" s="2051" t="s">
        <v>835</v>
      </c>
      <c r="F933" s="2653" t="s">
        <v>804</v>
      </c>
      <c r="G933" s="2120">
        <v>5.873842592592593E-2</v>
      </c>
      <c r="H933" s="2121">
        <v>14.96</v>
      </c>
      <c r="I933" s="2122">
        <f t="shared" si="147"/>
        <v>3.9263653693800754E-3</v>
      </c>
      <c r="J933" s="2123">
        <v>138</v>
      </c>
      <c r="K933" s="2124">
        <v>88</v>
      </c>
      <c r="L933" s="2807">
        <v>209.2</v>
      </c>
      <c r="M933" s="2830"/>
      <c r="N933" s="1223">
        <f t="shared" si="149"/>
        <v>1.0592325804134408</v>
      </c>
      <c r="O933" s="2125" t="s">
        <v>751</v>
      </c>
      <c r="P933" s="2126">
        <f>IFERROR(VLOOKUP(F933,Trainingsarten!$A$9:$N$84,12,FALSE),"")</f>
        <v>194.60000000000002</v>
      </c>
      <c r="Q933" s="2127" t="s">
        <v>437</v>
      </c>
      <c r="R933" s="1105">
        <f>IFERROR(VLOOKUP(F933,Trainingsarten!$A$9:$N$84,14,FALSE),"")</f>
        <v>212.96</v>
      </c>
      <c r="S933" s="1106">
        <f t="shared" si="145"/>
        <v>1.5159420289855072</v>
      </c>
      <c r="T933" s="2145">
        <f t="shared" si="144"/>
        <v>39.042155584229789</v>
      </c>
      <c r="U933" s="2225">
        <f t="shared" si="142"/>
        <v>38.277381506634541</v>
      </c>
      <c r="V933" s="2225">
        <f t="shared" si="143"/>
        <v>6.182119865845344</v>
      </c>
      <c r="W933" s="3285">
        <f t="shared" si="148"/>
        <v>1.0199797908710837</v>
      </c>
      <c r="X933" s="3300"/>
      <c r="Y933" s="3316"/>
      <c r="AA933" s="3301"/>
      <c r="AB933" s="3409"/>
      <c r="AE933" s="3294"/>
    </row>
    <row r="934" spans="2:31" ht="16" thickBot="1" x14ac:dyDescent="0.25">
      <c r="B934" s="2985">
        <f>B927+1</f>
        <v>30</v>
      </c>
      <c r="C934" s="1245">
        <v>44032</v>
      </c>
      <c r="D934" s="1111"/>
      <c r="E934" s="2087"/>
      <c r="F934" s="2654"/>
      <c r="G934" s="1647"/>
      <c r="H934" s="1648" t="str">
        <f>IFERROR(VLOOKUP(F934,Trainingsarten!$A$9:$K$84,10,FALSE),"")</f>
        <v/>
      </c>
      <c r="I934" s="1399" t="str">
        <f t="shared" si="147"/>
        <v/>
      </c>
      <c r="J934" s="1326"/>
      <c r="K934" s="1325" t="str">
        <f>IFERROR(VLOOKUP(F934,Trainingsarten!$A$9:$K$84,11,FALSE),"0")</f>
        <v>0</v>
      </c>
      <c r="L934" s="1326"/>
      <c r="M934" s="2831"/>
      <c r="N934" s="1119" t="str">
        <f t="shared" si="149"/>
        <v/>
      </c>
      <c r="O934" s="1649"/>
      <c r="P934" s="1277" t="str">
        <f>IFERROR(VLOOKUP(F934,Trainingsarten!$A$9:$N$84,12,FALSE),"")</f>
        <v/>
      </c>
      <c r="Q934" s="1122" t="s">
        <v>437</v>
      </c>
      <c r="R934" s="1122" t="str">
        <f>IFERROR(VLOOKUP(F934,Trainingsarten!$A$9:$N$84,14,FALSE),"")</f>
        <v/>
      </c>
      <c r="S934" s="1125" t="str">
        <f t="shared" si="145"/>
        <v/>
      </c>
      <c r="T934" s="1650">
        <f t="shared" si="144"/>
        <v>33.464704786482677</v>
      </c>
      <c r="U934" s="1651">
        <f t="shared" si="142"/>
        <v>37.366015280286099</v>
      </c>
      <c r="V934" s="1278">
        <f t="shared" si="143"/>
        <v>-0.76477407759524851</v>
      </c>
      <c r="W934" s="3286">
        <f t="shared" si="148"/>
        <v>0.89559201149656142</v>
      </c>
      <c r="X934" s="3300"/>
      <c r="Y934" s="3316"/>
      <c r="AA934" s="3301"/>
      <c r="AB934" s="3409"/>
      <c r="AE934" s="1056"/>
    </row>
    <row r="935" spans="2:31" x14ac:dyDescent="0.2">
      <c r="B935" s="2978" t="s">
        <v>626</v>
      </c>
      <c r="C935" s="2216">
        <v>44033</v>
      </c>
      <c r="D935" s="2217"/>
      <c r="E935" s="2218"/>
      <c r="F935" s="2728"/>
      <c r="G935" s="2219"/>
      <c r="H935" s="1826" t="str">
        <f>IFERROR(VLOOKUP(F935,Trainingsarten!$A$9:$K$84,10,FALSE),"")</f>
        <v/>
      </c>
      <c r="I935" s="1902" t="str">
        <f t="shared" si="147"/>
        <v/>
      </c>
      <c r="J935" s="2220"/>
      <c r="K935" s="2221" t="str">
        <f>IFERROR(VLOOKUP(F935,Trainingsarten!$A$9:$K$84,11,FALSE),"0")</f>
        <v>0</v>
      </c>
      <c r="L935" s="2806"/>
      <c r="M935" s="2829"/>
      <c r="N935" s="1831" t="str">
        <f t="shared" si="149"/>
        <v/>
      </c>
      <c r="O935" s="2222"/>
      <c r="P935" s="1755" t="str">
        <f>IFERROR(VLOOKUP(F935,Trainingsarten!$A$9:$N$84,12,FALSE),"")</f>
        <v/>
      </c>
      <c r="Q935" s="1756" t="s">
        <v>437</v>
      </c>
      <c r="R935" s="1086" t="str">
        <f>IFERROR(VLOOKUP(F935,Trainingsarten!$A$9:$N$84,14,FALSE),"")</f>
        <v/>
      </c>
      <c r="S935" s="1087" t="str">
        <f t="shared" si="145"/>
        <v/>
      </c>
      <c r="T935" s="1951">
        <f t="shared" si="144"/>
        <v>28.684032674128009</v>
      </c>
      <c r="U935" s="1952">
        <f t="shared" si="142"/>
        <v>36.476348249803095</v>
      </c>
      <c r="V935" s="2223">
        <f t="shared" si="143"/>
        <v>3.9013104938034218</v>
      </c>
      <c r="W935" s="3284">
        <f t="shared" si="148"/>
        <v>0.78637347350917586</v>
      </c>
      <c r="X935" s="3300"/>
      <c r="Y935" s="3316"/>
      <c r="AA935" s="3301"/>
      <c r="AB935" s="3409"/>
      <c r="AE935" s="1056"/>
    </row>
    <row r="936" spans="2:31" ht="16" thickBot="1" x14ac:dyDescent="0.25">
      <c r="B936" s="2979">
        <f>SUM(H934:H940)</f>
        <v>35.78</v>
      </c>
      <c r="C936" s="2216">
        <v>44034</v>
      </c>
      <c r="D936" s="2217"/>
      <c r="E936" s="2218"/>
      <c r="F936" s="2728"/>
      <c r="G936" s="2219"/>
      <c r="H936" s="1826" t="str">
        <f>IFERROR(VLOOKUP(F936,Trainingsarten!$A$9:$K$84,10,FALSE),"")</f>
        <v/>
      </c>
      <c r="I936" s="1902" t="str">
        <f t="shared" si="147"/>
        <v/>
      </c>
      <c r="J936" s="2220"/>
      <c r="K936" s="2221" t="str">
        <f>IFERROR(VLOOKUP(F936,Trainingsarten!$A$9:$K$84,11,FALSE),"0")</f>
        <v>0</v>
      </c>
      <c r="L936" s="2806"/>
      <c r="M936" s="2829"/>
      <c r="N936" s="1831" t="str">
        <f t="shared" si="149"/>
        <v/>
      </c>
      <c r="O936" s="2222"/>
      <c r="P936" s="1755" t="str">
        <f>IFERROR(VLOOKUP(F936,Trainingsarten!$A$9:$N$84,12,FALSE),"")</f>
        <v/>
      </c>
      <c r="Q936" s="1756" t="s">
        <v>437</v>
      </c>
      <c r="R936" s="1086" t="str">
        <f>IFERROR(VLOOKUP(F936,Trainingsarten!$A$9:$N$84,14,FALSE),"")</f>
        <v/>
      </c>
      <c r="S936" s="1087" t="str">
        <f t="shared" si="145"/>
        <v/>
      </c>
      <c r="T936" s="1951">
        <f t="shared" si="144"/>
        <v>24.586313720681151</v>
      </c>
      <c r="U936" s="1952">
        <f t="shared" si="142"/>
        <v>35.607863767664924</v>
      </c>
      <c r="V936" s="2223">
        <f t="shared" si="143"/>
        <v>7.7923155756750866</v>
      </c>
      <c r="W936" s="3284">
        <f t="shared" si="148"/>
        <v>0.69047426942269108</v>
      </c>
      <c r="X936" s="3300"/>
      <c r="Y936" s="3316"/>
      <c r="AA936" s="3301"/>
      <c r="AB936" s="3409"/>
      <c r="AE936" s="1056"/>
    </row>
    <row r="937" spans="2:31" x14ac:dyDescent="0.2">
      <c r="B937" s="2980" t="s">
        <v>628</v>
      </c>
      <c r="C937" s="2216">
        <v>44035</v>
      </c>
      <c r="D937" s="2217">
        <v>98</v>
      </c>
      <c r="E937" s="2218" t="s">
        <v>836</v>
      </c>
      <c r="F937" s="2733" t="s">
        <v>862</v>
      </c>
      <c r="G937" s="2219">
        <v>2.2719907407407411E-2</v>
      </c>
      <c r="H937" s="1826">
        <v>5.38</v>
      </c>
      <c r="I937" s="1902">
        <f t="shared" si="147"/>
        <v>4.2230311166184782E-3</v>
      </c>
      <c r="J937" s="2220">
        <v>153</v>
      </c>
      <c r="K937" s="2221">
        <v>42</v>
      </c>
      <c r="L937" s="2806">
        <v>222.7</v>
      </c>
      <c r="M937" s="2829">
        <v>218</v>
      </c>
      <c r="N937" s="1831"/>
      <c r="O937" s="2222" t="s">
        <v>868</v>
      </c>
      <c r="P937" s="1755" t="str">
        <f>IFERROR(VLOOKUP(F937,Trainingsarten!$A$9:$N$84,12,FALSE),"")</f>
        <v/>
      </c>
      <c r="Q937" s="1756" t="s">
        <v>437</v>
      </c>
      <c r="R937" s="1086" t="str">
        <f>IFERROR(VLOOKUP(F937,Trainingsarten!$A$9:$N$84,14,FALSE),"")</f>
        <v/>
      </c>
      <c r="S937" s="1087">
        <f t="shared" si="145"/>
        <v>1.4555555555555555</v>
      </c>
      <c r="T937" s="1951">
        <f t="shared" si="144"/>
        <v>27.073983189155271</v>
      </c>
      <c r="U937" s="1952">
        <f t="shared" si="142"/>
        <v>35.760057487482428</v>
      </c>
      <c r="V937" s="2223">
        <f t="shared" si="143"/>
        <v>11.021550046983773</v>
      </c>
      <c r="W937" s="3284">
        <f t="shared" si="148"/>
        <v>0.75710122106577538</v>
      </c>
      <c r="X937" s="3300"/>
      <c r="Y937" s="3316"/>
      <c r="AA937" s="3301"/>
      <c r="AB937" s="3409"/>
      <c r="AE937" s="1056"/>
    </row>
    <row r="938" spans="2:31" ht="16" thickBot="1" x14ac:dyDescent="0.25">
      <c r="B938" s="2981">
        <f>SUM(K934:K940)</f>
        <v>218</v>
      </c>
      <c r="C938" s="2216">
        <v>44036</v>
      </c>
      <c r="D938" s="2217"/>
      <c r="E938" s="2218"/>
      <c r="F938" s="2728"/>
      <c r="G938" s="2219"/>
      <c r="H938" s="1826" t="str">
        <f>IFERROR(VLOOKUP(F938,Trainingsarten!$A$9:$K$84,10,FALSE),"")</f>
        <v/>
      </c>
      <c r="I938" s="1902" t="str">
        <f t="shared" si="147"/>
        <v/>
      </c>
      <c r="J938" s="2220"/>
      <c r="K938" s="2221" t="str">
        <f>IFERROR(VLOOKUP(F938,Trainingsarten!$A$9:$K$84,11,FALSE),"0")</f>
        <v>0</v>
      </c>
      <c r="L938" s="2806"/>
      <c r="M938" s="2829"/>
      <c r="N938" s="1831" t="str">
        <f t="shared" si="149"/>
        <v/>
      </c>
      <c r="O938" s="2222"/>
      <c r="P938" s="1755" t="str">
        <f>IFERROR(VLOOKUP(F938,Trainingsarten!$A$9:$N$84,12,FALSE),"")</f>
        <v/>
      </c>
      <c r="Q938" s="1756" t="s">
        <v>437</v>
      </c>
      <c r="R938" s="1086" t="str">
        <f>IFERROR(VLOOKUP(F938,Trainingsarten!$A$9:$N$84,14,FALSE),"")</f>
        <v/>
      </c>
      <c r="S938" s="1087" t="str">
        <f t="shared" si="145"/>
        <v/>
      </c>
      <c r="T938" s="1951">
        <f t="shared" si="144"/>
        <v>23.206271304990231</v>
      </c>
      <c r="U938" s="1952">
        <f t="shared" si="142"/>
        <v>34.908627547304278</v>
      </c>
      <c r="V938" s="2223">
        <f t="shared" si="143"/>
        <v>8.6860742983271564</v>
      </c>
      <c r="W938" s="3284">
        <f t="shared" si="148"/>
        <v>0.66477180386263202</v>
      </c>
      <c r="X938" s="3300"/>
      <c r="Y938" s="3316"/>
      <c r="AA938" s="3301"/>
      <c r="AB938" s="3409"/>
      <c r="AE938" s="1056"/>
    </row>
    <row r="939" spans="2:31" x14ac:dyDescent="0.2">
      <c r="B939" s="2982" t="s">
        <v>761</v>
      </c>
      <c r="C939" s="2216">
        <v>44037</v>
      </c>
      <c r="D939" s="2217">
        <v>99</v>
      </c>
      <c r="E939" s="2218" t="s">
        <v>836</v>
      </c>
      <c r="F939" s="2728" t="s">
        <v>809</v>
      </c>
      <c r="G939" s="2219">
        <v>6.0601851851851851E-2</v>
      </c>
      <c r="H939" s="1826">
        <v>14.76</v>
      </c>
      <c r="I939" s="1902">
        <f t="shared" si="147"/>
        <v>4.1058165211281744E-3</v>
      </c>
      <c r="J939" s="2220">
        <v>139</v>
      </c>
      <c r="K939" s="2221">
        <v>85</v>
      </c>
      <c r="L939" s="2806">
        <v>202.4</v>
      </c>
      <c r="M939" s="2829"/>
      <c r="N939" s="1831">
        <f t="shared" si="149"/>
        <v>1.0716401731181493</v>
      </c>
      <c r="O939" s="2222" t="s">
        <v>783</v>
      </c>
      <c r="P939" s="1755">
        <f>IFERROR(VLOOKUP(F939,Trainingsarten!$A$9:$N$84,12,FALSE),"")</f>
        <v>194.60000000000002</v>
      </c>
      <c r="Q939" s="1756" t="s">
        <v>437</v>
      </c>
      <c r="R939" s="1086">
        <f>IFERROR(VLOOKUP(F939,Trainingsarten!$A$9:$N$84,14,FALSE),"")</f>
        <v>212.96</v>
      </c>
      <c r="S939" s="1087">
        <f t="shared" si="145"/>
        <v>1.4561151079136692</v>
      </c>
      <c r="T939" s="1951">
        <f t="shared" si="144"/>
        <v>32.03394683284877</v>
      </c>
      <c r="U939" s="1952">
        <f t="shared" si="142"/>
        <v>36.101279272368458</v>
      </c>
      <c r="V939" s="2223">
        <f t="shared" si="143"/>
        <v>11.702356242314046</v>
      </c>
      <c r="W939" s="3284">
        <f t="shared" si="148"/>
        <v>0.88733550385199833</v>
      </c>
      <c r="X939" s="3300"/>
      <c r="Y939" s="3316"/>
      <c r="AA939" s="3301"/>
      <c r="AB939" s="3409"/>
      <c r="AE939" s="1056"/>
    </row>
    <row r="940" spans="2:31" ht="16" thickBot="1" x14ac:dyDescent="0.25">
      <c r="B940" s="2983">
        <f>AVERAGE(W934:W940)</f>
        <v>0.82330878076187053</v>
      </c>
      <c r="C940" s="2195">
        <v>44038</v>
      </c>
      <c r="D940" s="2226">
        <v>100</v>
      </c>
      <c r="E940" s="2224" t="s">
        <v>835</v>
      </c>
      <c r="F940" s="2653" t="s">
        <v>809</v>
      </c>
      <c r="G940" s="2097">
        <v>6.1921296296296301E-2</v>
      </c>
      <c r="H940" s="2121">
        <v>15.64</v>
      </c>
      <c r="I940" s="2099">
        <f t="shared" si="147"/>
        <v>3.9591621672823724E-3</v>
      </c>
      <c r="J940" s="2100">
        <v>138</v>
      </c>
      <c r="K940" s="2101">
        <v>91</v>
      </c>
      <c r="L940" s="2808">
        <v>207.8</v>
      </c>
      <c r="M940" s="2832"/>
      <c r="N940" s="2102">
        <f t="shared" si="149"/>
        <v>1.0609325495285722</v>
      </c>
      <c r="O940" s="2103" t="s">
        <v>858</v>
      </c>
      <c r="P940" s="2027">
        <f>IFERROR(VLOOKUP(F940,Trainingsarten!$A$9:$N$84,12,FALSE),"")</f>
        <v>194.60000000000002</v>
      </c>
      <c r="Q940" s="1151" t="s">
        <v>437</v>
      </c>
      <c r="R940" s="1151">
        <f>IFERROR(VLOOKUP(F940,Trainingsarten!$A$9:$N$84,14,FALSE),"")</f>
        <v>212.96</v>
      </c>
      <c r="S940" s="2227">
        <f t="shared" si="145"/>
        <v>1.5057971014492755</v>
      </c>
      <c r="T940" s="1995">
        <f t="shared" si="144"/>
        <v>40.457668713870376</v>
      </c>
      <c r="U940" s="1996">
        <f t="shared" si="142"/>
        <v>37.4083916706454</v>
      </c>
      <c r="V940" s="1996">
        <f t="shared" si="143"/>
        <v>4.0673324395196886</v>
      </c>
      <c r="W940" s="3287">
        <f t="shared" si="148"/>
        <v>1.0815131821242601</v>
      </c>
      <c r="X940" s="3300"/>
      <c r="Y940" s="3316"/>
      <c r="AA940" s="3301"/>
      <c r="AB940" s="3409"/>
      <c r="AE940" s="1056"/>
    </row>
    <row r="941" spans="2:31" ht="16" thickBot="1" x14ac:dyDescent="0.25">
      <c r="B941" s="2985">
        <f>B934+1</f>
        <v>31</v>
      </c>
      <c r="C941" s="2189">
        <v>44039</v>
      </c>
      <c r="D941" s="2106"/>
      <c r="E941" s="2069"/>
      <c r="F941" s="2734"/>
      <c r="G941" s="2032"/>
      <c r="H941" s="2033" t="str">
        <f>IFERROR(VLOOKUP(F941,Trainingsarten!$A$9:$K$84,10,FALSE),"")</f>
        <v/>
      </c>
      <c r="I941" s="2034" t="str">
        <f t="shared" si="147"/>
        <v/>
      </c>
      <c r="J941" s="2035"/>
      <c r="K941" s="2036" t="str">
        <f>IFERROR(VLOOKUP(F941,Trainingsarten!$A$9:$K$84,11,FALSE),"0")</f>
        <v>0</v>
      </c>
      <c r="L941" s="1915"/>
      <c r="M941" s="2833"/>
      <c r="N941" s="2037" t="str">
        <f t="shared" si="149"/>
        <v/>
      </c>
      <c r="O941" s="2038"/>
      <c r="P941" s="2039" t="str">
        <f>IFERROR(VLOOKUP(F941,Trainingsarten!$A$9:$N$84,12,FALSE),"")</f>
        <v/>
      </c>
      <c r="Q941" s="1069" t="s">
        <v>437</v>
      </c>
      <c r="R941" s="1069" t="str">
        <f>IFERROR(VLOOKUP(F941,Trainingsarten!$A$9:$N$84,14,FALSE),"")</f>
        <v/>
      </c>
      <c r="S941" s="1125" t="str">
        <f t="shared" si="145"/>
        <v/>
      </c>
      <c r="T941" s="2190">
        <f t="shared" si="144"/>
        <v>34.678001754746035</v>
      </c>
      <c r="U941" s="1922">
        <f t="shared" si="142"/>
        <v>36.517715678487178</v>
      </c>
      <c r="V941" s="2030">
        <f t="shared" si="143"/>
        <v>-3.0492770432249756</v>
      </c>
      <c r="W941" s="3283">
        <f t="shared" si="148"/>
        <v>0.94962133064569176</v>
      </c>
      <c r="X941" s="3300"/>
      <c r="Y941" s="3316"/>
      <c r="AA941" s="3301"/>
      <c r="AB941" s="3409"/>
      <c r="AE941" s="1056"/>
    </row>
    <row r="942" spans="2:31" x14ac:dyDescent="0.2">
      <c r="B942" s="2978" t="s">
        <v>626</v>
      </c>
      <c r="C942" s="2191">
        <v>44040</v>
      </c>
      <c r="D942" s="1984">
        <v>101</v>
      </c>
      <c r="E942" s="2218" t="s">
        <v>836</v>
      </c>
      <c r="F942" s="2735" t="s">
        <v>818</v>
      </c>
      <c r="G942" s="2110">
        <v>3.7650462962962962E-2</v>
      </c>
      <c r="H942" s="2111">
        <v>10.41</v>
      </c>
      <c r="I942" s="2112">
        <f t="shared" si="147"/>
        <v>3.616759170313445E-3</v>
      </c>
      <c r="J942" s="2113">
        <v>140</v>
      </c>
      <c r="K942" s="2114">
        <v>65</v>
      </c>
      <c r="L942" s="2806">
        <v>225.6</v>
      </c>
      <c r="M942" s="2829"/>
      <c r="N942" s="1991">
        <f t="shared" si="149"/>
        <v>1.0521983741236183</v>
      </c>
      <c r="O942" s="2116" t="s">
        <v>783</v>
      </c>
      <c r="P942" s="1993">
        <f>IFERROR(VLOOKUP(F942,Trainingsarten!$A$9:$N$84,12,FALSE),"")</f>
        <v>194.60000000000002</v>
      </c>
      <c r="Q942" s="1994" t="s">
        <v>437</v>
      </c>
      <c r="R942" s="1086">
        <f>IFERROR(VLOOKUP(F942,Trainingsarten!$A$9:$N$84,14,FALSE),"")</f>
        <v>212.96</v>
      </c>
      <c r="S942" s="1087">
        <f t="shared" si="145"/>
        <v>1.6114285714285714</v>
      </c>
      <c r="T942" s="1995">
        <f t="shared" si="144"/>
        <v>39.009715789782312</v>
      </c>
      <c r="U942" s="1996">
        <f t="shared" si="142"/>
        <v>37.195865305189862</v>
      </c>
      <c r="V942" s="1997">
        <f t="shared" si="143"/>
        <v>1.8397139237411437</v>
      </c>
      <c r="W942" s="3284">
        <f t="shared" si="148"/>
        <v>1.0487648417293136</v>
      </c>
      <c r="X942" s="3300"/>
      <c r="Y942" s="3316"/>
      <c r="AA942" s="3301"/>
      <c r="AB942" s="3409"/>
      <c r="AE942" s="1056"/>
    </row>
    <row r="943" spans="2:31" ht="16" thickBot="1" x14ac:dyDescent="0.25">
      <c r="B943" s="2979">
        <f>SUM(H941:H947)</f>
        <v>46.11</v>
      </c>
      <c r="C943" s="1998">
        <v>44041</v>
      </c>
      <c r="D943" s="1984"/>
      <c r="E943" s="2218"/>
      <c r="F943" s="2735"/>
      <c r="G943" s="2110"/>
      <c r="H943" s="2111" t="str">
        <f>IFERROR(VLOOKUP(F943,Trainingsarten!$A$9:$K$84,10,FALSE),"")</f>
        <v/>
      </c>
      <c r="I943" s="2112" t="str">
        <f t="shared" si="147"/>
        <v/>
      </c>
      <c r="J943" s="2113"/>
      <c r="K943" s="2114" t="str">
        <f>IFERROR(VLOOKUP(F943,Trainingsarten!$A$9:$K$84,11,FALSE),"0")</f>
        <v>0</v>
      </c>
      <c r="L943" s="2806"/>
      <c r="M943" s="2829"/>
      <c r="N943" s="1991" t="str">
        <f t="shared" si="149"/>
        <v/>
      </c>
      <c r="O943" s="2116"/>
      <c r="P943" s="1993" t="str">
        <f>IFERROR(VLOOKUP(F943,Trainingsarten!$A$9:$N$84,12,FALSE),"")</f>
        <v/>
      </c>
      <c r="Q943" s="1994" t="s">
        <v>437</v>
      </c>
      <c r="R943" s="1086" t="str">
        <f>IFERROR(VLOOKUP(F943,Trainingsarten!$A$9:$N$84,14,FALSE),"")</f>
        <v/>
      </c>
      <c r="S943" s="1087" t="str">
        <f t="shared" si="145"/>
        <v/>
      </c>
      <c r="T943" s="1995">
        <f t="shared" si="144"/>
        <v>33.43689924838484</v>
      </c>
      <c r="U943" s="1996">
        <f t="shared" si="142"/>
        <v>36.3102494645901</v>
      </c>
      <c r="V943" s="1997">
        <f t="shared" si="143"/>
        <v>-1.8138504845924501</v>
      </c>
      <c r="W943" s="3284">
        <f t="shared" si="148"/>
        <v>0.92086669029890955</v>
      </c>
      <c r="X943" s="3300"/>
      <c r="Y943" s="3316"/>
      <c r="AA943" s="3301"/>
      <c r="AB943" s="3409"/>
      <c r="AE943" s="1056"/>
    </row>
    <row r="944" spans="2:31" x14ac:dyDescent="0.2">
      <c r="B944" s="2980" t="s">
        <v>628</v>
      </c>
      <c r="C944" s="1998">
        <v>44042</v>
      </c>
      <c r="D944" s="1984">
        <v>102</v>
      </c>
      <c r="E944" s="2218" t="s">
        <v>836</v>
      </c>
      <c r="F944" s="2735" t="s">
        <v>793</v>
      </c>
      <c r="G944" s="2110">
        <v>4.0289351851851847E-2</v>
      </c>
      <c r="H944" s="2111">
        <v>11.03</v>
      </c>
      <c r="I944" s="2112">
        <f t="shared" si="147"/>
        <v>3.6527064235586447E-3</v>
      </c>
      <c r="J944" s="2113">
        <v>145</v>
      </c>
      <c r="K944" s="2114">
        <v>74</v>
      </c>
      <c r="L944" s="2806">
        <v>220.6</v>
      </c>
      <c r="M944" s="2829"/>
      <c r="N944" s="1991">
        <f t="shared" si="149"/>
        <v>1.0391044776119402</v>
      </c>
      <c r="O944" s="2116" t="s">
        <v>821</v>
      </c>
      <c r="P944" s="1993" t="str">
        <f>IFERROR(VLOOKUP(F944,Trainingsarten!$A$9:$N$84,12,FALSE),"")</f>
        <v/>
      </c>
      <c r="Q944" s="1994" t="s">
        <v>437</v>
      </c>
      <c r="R944" s="1086" t="str">
        <f>IFERROR(VLOOKUP(F944,Trainingsarten!$A$9:$N$84,14,FALSE),"")</f>
        <v/>
      </c>
      <c r="S944" s="1087">
        <f t="shared" si="145"/>
        <v>1.5213793103448277</v>
      </c>
      <c r="T944" s="1995">
        <f t="shared" si="144"/>
        <v>39.231627927187006</v>
      </c>
      <c r="U944" s="1996">
        <f t="shared" ref="U944:U1007" si="150">U943+(K944-U943)/42</f>
        <v>37.207624477337959</v>
      </c>
      <c r="V944" s="1997">
        <f t="shared" ref="V944:V1007" si="151">U943-T943</f>
        <v>2.8733502162052602</v>
      </c>
      <c r="W944" s="3284">
        <f t="shared" si="148"/>
        <v>1.0543975456181516</v>
      </c>
      <c r="X944" s="3300"/>
      <c r="Y944" s="3316"/>
      <c r="AA944" s="3301"/>
      <c r="AB944" s="3409"/>
      <c r="AE944" s="1056"/>
    </row>
    <row r="945" spans="2:31" ht="16" thickBot="1" x14ac:dyDescent="0.25">
      <c r="B945" s="2981">
        <f>SUM(K941:K947)</f>
        <v>286</v>
      </c>
      <c r="C945" s="1998">
        <v>44043</v>
      </c>
      <c r="D945" s="1984">
        <v>103</v>
      </c>
      <c r="E945" s="2218" t="s">
        <v>835</v>
      </c>
      <c r="F945" s="2735" t="s">
        <v>824</v>
      </c>
      <c r="G945" s="2110">
        <v>3.9166666666666662E-2</v>
      </c>
      <c r="H945" s="2111">
        <v>9.81</v>
      </c>
      <c r="I945" s="2112">
        <f t="shared" si="147"/>
        <v>3.9925246347264692E-3</v>
      </c>
      <c r="J945" s="2113">
        <v>129</v>
      </c>
      <c r="K945" s="2114">
        <v>56</v>
      </c>
      <c r="L945" s="2806">
        <v>205.3</v>
      </c>
      <c r="M945" s="2829"/>
      <c r="N945" s="1991">
        <f t="shared" si="149"/>
        <v>1.0570012323702589</v>
      </c>
      <c r="O945" s="2116" t="s">
        <v>783</v>
      </c>
      <c r="P945" s="1993">
        <f>IFERROR(VLOOKUP(F945,Trainingsarten!$A$9:$N$84,12,FALSE),"")</f>
        <v>169.39999999999998</v>
      </c>
      <c r="Q945" s="1994" t="s">
        <v>437</v>
      </c>
      <c r="R945" s="1086">
        <f>IFERROR(VLOOKUP(F945,Trainingsarten!$A$9:$N$84,14,FALSE),"")</f>
        <v>193.60000000000002</v>
      </c>
      <c r="S945" s="1087">
        <f t="shared" si="145"/>
        <v>1.5914728682170542</v>
      </c>
      <c r="T945" s="1995">
        <f t="shared" ref="T945:T1008" si="152">T944+(K945-T944)/7</f>
        <v>41.627109651874576</v>
      </c>
      <c r="U945" s="1996">
        <f t="shared" si="150"/>
        <v>37.65506198978229</v>
      </c>
      <c r="V945" s="1997">
        <f t="shared" si="151"/>
        <v>-2.0240034498490473</v>
      </c>
      <c r="W945" s="3284">
        <f t="shared" si="148"/>
        <v>1.1054850915706924</v>
      </c>
      <c r="X945" s="3300"/>
      <c r="Y945" s="3316"/>
      <c r="AA945" s="3301"/>
      <c r="AB945" s="3409"/>
      <c r="AE945" s="1056"/>
    </row>
    <row r="946" spans="2:31" x14ac:dyDescent="0.2">
      <c r="B946" s="2982" t="s">
        <v>761</v>
      </c>
      <c r="C946" s="1998">
        <v>44044</v>
      </c>
      <c r="D946" s="1984"/>
      <c r="E946" s="2218"/>
      <c r="F946" s="2735"/>
      <c r="G946" s="2110"/>
      <c r="H946" s="2111" t="str">
        <f>IFERROR(VLOOKUP(F946,Trainingsarten!$A$9:$K$84,10,FALSE),"")</f>
        <v/>
      </c>
      <c r="I946" s="2112" t="str">
        <f t="shared" si="147"/>
        <v/>
      </c>
      <c r="J946" s="2113"/>
      <c r="K946" s="2114" t="str">
        <f>IFERROR(VLOOKUP(F946,Trainingsarten!$A$9:$K$84,11,FALSE),"0")</f>
        <v>0</v>
      </c>
      <c r="L946" s="2806"/>
      <c r="M946" s="2829"/>
      <c r="N946" s="1991" t="str">
        <f t="shared" si="149"/>
        <v/>
      </c>
      <c r="O946" s="2116"/>
      <c r="P946" s="1993" t="str">
        <f>IFERROR(VLOOKUP(F946,Trainingsarten!$A$9:$N$84,12,FALSE),"")</f>
        <v/>
      </c>
      <c r="Q946" s="1994" t="s">
        <v>437</v>
      </c>
      <c r="R946" s="1086" t="str">
        <f>IFERROR(VLOOKUP(F946,Trainingsarten!$A$9:$N$84,14,FALSE),"")</f>
        <v/>
      </c>
      <c r="S946" s="1087" t="str">
        <f t="shared" si="145"/>
        <v/>
      </c>
      <c r="T946" s="1995">
        <f t="shared" si="152"/>
        <v>35.680379701606782</v>
      </c>
      <c r="U946" s="1996">
        <f t="shared" si="150"/>
        <v>36.758512894787472</v>
      </c>
      <c r="V946" s="1997">
        <f t="shared" si="151"/>
        <v>-3.9720476620922867</v>
      </c>
      <c r="W946" s="3284">
        <f t="shared" si="148"/>
        <v>0.97066983650109595</v>
      </c>
      <c r="X946" s="3300"/>
      <c r="Y946" s="3316"/>
      <c r="AA946" s="3301"/>
      <c r="AB946" s="3409"/>
      <c r="AE946" s="1056"/>
    </row>
    <row r="947" spans="2:31" ht="16" thickBot="1" x14ac:dyDescent="0.25">
      <c r="B947" s="2983">
        <f>AVERAGE(W941:W947)</f>
        <v>1.0278892515096063</v>
      </c>
      <c r="C947" s="2214">
        <v>44045</v>
      </c>
      <c r="D947" s="1108">
        <v>104</v>
      </c>
      <c r="E947" s="2051" t="s">
        <v>836</v>
      </c>
      <c r="F947" s="2736" t="s">
        <v>809</v>
      </c>
      <c r="G947" s="2120">
        <v>5.7094907407407407E-2</v>
      </c>
      <c r="H947" s="2121">
        <v>14.86</v>
      </c>
      <c r="I947" s="2122">
        <f t="shared" si="147"/>
        <v>3.8421875778874436E-3</v>
      </c>
      <c r="J947" s="2123">
        <v>139</v>
      </c>
      <c r="K947" s="2124">
        <v>91</v>
      </c>
      <c r="L947" s="2807">
        <v>215.2</v>
      </c>
      <c r="M947" s="2830"/>
      <c r="N947" s="1223">
        <f t="shared" si="149"/>
        <v>1.0662517828087024</v>
      </c>
      <c r="O947" s="2125" t="s">
        <v>858</v>
      </c>
      <c r="P947" s="2126">
        <f>IFERROR(VLOOKUP(F947,Trainingsarten!$A$9:$N$84,12,FALSE),"")</f>
        <v>194.60000000000002</v>
      </c>
      <c r="Q947" s="2127" t="s">
        <v>437</v>
      </c>
      <c r="R947" s="1105">
        <f>IFERROR(VLOOKUP(F947,Trainingsarten!$A$9:$N$84,14,FALSE),"")</f>
        <v>212.96</v>
      </c>
      <c r="S947" s="2227">
        <f t="shared" si="145"/>
        <v>1.5482014388489207</v>
      </c>
      <c r="T947" s="2145">
        <f t="shared" si="152"/>
        <v>43.583182601377239</v>
      </c>
      <c r="U947" s="2225">
        <f t="shared" si="150"/>
        <v>38.049976873483011</v>
      </c>
      <c r="V947" s="2225">
        <f t="shared" si="151"/>
        <v>1.0781331931806903</v>
      </c>
      <c r="W947" s="3285">
        <f t="shared" si="148"/>
        <v>1.1454194242033906</v>
      </c>
      <c r="X947" s="3300"/>
      <c r="Y947" s="3316"/>
      <c r="AA947" s="3301"/>
      <c r="AB947" s="3409"/>
      <c r="AE947" s="1056"/>
    </row>
    <row r="948" spans="2:31" ht="16" thickBot="1" x14ac:dyDescent="0.25">
      <c r="B948" s="2985">
        <f>B941+1</f>
        <v>32</v>
      </c>
      <c r="C948" s="1245">
        <v>44046</v>
      </c>
      <c r="D948" s="1111"/>
      <c r="E948" s="2087"/>
      <c r="F948" s="2724"/>
      <c r="G948" s="1647"/>
      <c r="H948" s="1648" t="str">
        <f>IFERROR(VLOOKUP(F948,Trainingsarten!$A$9:$K$84,10,FALSE),"")</f>
        <v/>
      </c>
      <c r="I948" s="1399" t="str">
        <f t="shared" si="147"/>
        <v/>
      </c>
      <c r="J948" s="1326"/>
      <c r="K948" s="1325" t="str">
        <f>IFERROR(VLOOKUP(F948,Trainingsarten!$A$9:$K$84,11,FALSE),"0")</f>
        <v>0</v>
      </c>
      <c r="L948" s="1326"/>
      <c r="M948" s="2831"/>
      <c r="N948" s="1119" t="str">
        <f t="shared" si="149"/>
        <v/>
      </c>
      <c r="O948" s="1649"/>
      <c r="P948" s="1277" t="str">
        <f>IFERROR(VLOOKUP(F948,Trainingsarten!$A$9:$N$84,12,FALSE),"")</f>
        <v/>
      </c>
      <c r="Q948" s="1122" t="s">
        <v>437</v>
      </c>
      <c r="R948" s="1122" t="str">
        <f>IFERROR(VLOOKUP(F948,Trainingsarten!$A$9:$N$84,14,FALSE),"")</f>
        <v/>
      </c>
      <c r="S948" s="1125" t="str">
        <f t="shared" si="145"/>
        <v/>
      </c>
      <c r="T948" s="1650">
        <f t="shared" si="152"/>
        <v>37.357013658323346</v>
      </c>
      <c r="U948" s="1651">
        <f t="shared" si="150"/>
        <v>37.144025043161989</v>
      </c>
      <c r="V948" s="1278">
        <f t="shared" si="151"/>
        <v>-5.5332057278942273</v>
      </c>
      <c r="W948" s="3286">
        <f t="shared" si="148"/>
        <v>1.0057341285688306</v>
      </c>
      <c r="X948" s="3300"/>
      <c r="Y948" s="3316"/>
      <c r="AA948" s="3301"/>
      <c r="AB948" s="3409"/>
      <c r="AE948" s="1056"/>
    </row>
    <row r="949" spans="2:31" x14ac:dyDescent="0.2">
      <c r="B949" s="2978" t="s">
        <v>626</v>
      </c>
      <c r="C949" s="2228">
        <v>44047</v>
      </c>
      <c r="D949" s="2217">
        <v>105</v>
      </c>
      <c r="E949" s="2218" t="s">
        <v>836</v>
      </c>
      <c r="F949" s="2735" t="s">
        <v>794</v>
      </c>
      <c r="G949" s="2229">
        <v>4.5763888888888889E-2</v>
      </c>
      <c r="H949" s="1826">
        <v>12.23</v>
      </c>
      <c r="I949" s="1902">
        <f t="shared" si="147"/>
        <v>3.7419369492141365E-3</v>
      </c>
      <c r="J949" s="2230">
        <v>144</v>
      </c>
      <c r="K949" s="2221">
        <v>83</v>
      </c>
      <c r="L949" s="2806">
        <v>214.1</v>
      </c>
      <c r="M949" s="2829"/>
      <c r="N949" s="1831">
        <f t="shared" si="149"/>
        <v>1.0331231007676256</v>
      </c>
      <c r="O949" s="2231" t="s">
        <v>821</v>
      </c>
      <c r="P949" s="1755" t="str">
        <f>IFERROR(VLOOKUP(F949,Trainingsarten!$A$9:$N$84,12,FALSE),"")</f>
        <v/>
      </c>
      <c r="Q949" s="1756" t="s">
        <v>437</v>
      </c>
      <c r="R949" s="1086" t="str">
        <f>IFERROR(VLOOKUP(F949,Trainingsarten!$A$9:$N$84,14,FALSE),"")</f>
        <v/>
      </c>
      <c r="S949" s="1087">
        <f t="shared" si="145"/>
        <v>1.4868055555555555</v>
      </c>
      <c r="T949" s="1951">
        <f t="shared" si="152"/>
        <v>43.877440278562865</v>
      </c>
      <c r="U949" s="1952">
        <f t="shared" si="150"/>
        <v>38.235833970705748</v>
      </c>
      <c r="V949" s="2223">
        <f t="shared" si="151"/>
        <v>-0.21298861516135759</v>
      </c>
      <c r="W949" s="3284">
        <f t="shared" si="148"/>
        <v>1.1475476201769108</v>
      </c>
      <c r="X949" s="3300"/>
      <c r="Y949" s="3316"/>
      <c r="AA949" s="3301"/>
      <c r="AB949" s="3409"/>
      <c r="AE949" s="1056"/>
    </row>
    <row r="950" spans="2:31" ht="16" thickBot="1" x14ac:dyDescent="0.25">
      <c r="B950" s="2979">
        <f>SUM(H948:H954)</f>
        <v>51.67</v>
      </c>
      <c r="C950" s="2216">
        <v>44048</v>
      </c>
      <c r="D950" s="2217">
        <v>106</v>
      </c>
      <c r="E950" s="2218" t="s">
        <v>836</v>
      </c>
      <c r="F950" s="2735" t="s">
        <v>824</v>
      </c>
      <c r="G950" s="2229">
        <v>3.7627314814814815E-2</v>
      </c>
      <c r="H950" s="1826">
        <v>9.2899999999999991</v>
      </c>
      <c r="I950" s="1902">
        <f t="shared" si="147"/>
        <v>4.0503029940597221E-3</v>
      </c>
      <c r="J950" s="2230">
        <v>127</v>
      </c>
      <c r="K950" s="2221">
        <v>53</v>
      </c>
      <c r="L950" s="2806">
        <v>204.1</v>
      </c>
      <c r="M950" s="2829"/>
      <c r="N950" s="1831">
        <f t="shared" si="149"/>
        <v>1.0660300756711598</v>
      </c>
      <c r="O950" s="2231" t="s">
        <v>783</v>
      </c>
      <c r="P950" s="1755">
        <f>IFERROR(VLOOKUP(F950,Trainingsarten!$A$9:$N$84,12,FALSE),"")</f>
        <v>169.39999999999998</v>
      </c>
      <c r="Q950" s="1756" t="s">
        <v>437</v>
      </c>
      <c r="R950" s="1086">
        <f>IFERROR(VLOOKUP(F950,Trainingsarten!$A$9:$N$84,14,FALSE),"")</f>
        <v>193.60000000000002</v>
      </c>
      <c r="S950" s="1087">
        <f t="shared" si="145"/>
        <v>1.6070866141732283</v>
      </c>
      <c r="T950" s="1951">
        <f t="shared" si="152"/>
        <v>45.180663095911029</v>
      </c>
      <c r="U950" s="1952">
        <f t="shared" si="150"/>
        <v>38.587361733307993</v>
      </c>
      <c r="V950" s="2223">
        <f t="shared" si="151"/>
        <v>-5.641606307857117</v>
      </c>
      <c r="W950" s="3284">
        <f t="shared" si="148"/>
        <v>1.1708668607139265</v>
      </c>
      <c r="X950" s="3300"/>
      <c r="Y950" s="3316"/>
      <c r="AA950" s="3301"/>
      <c r="AB950" s="3409"/>
      <c r="AE950" s="1056"/>
    </row>
    <row r="951" spans="2:31" x14ac:dyDescent="0.2">
      <c r="B951" s="2980" t="s">
        <v>628</v>
      </c>
      <c r="C951" s="2216">
        <v>44049</v>
      </c>
      <c r="D951" s="2217"/>
      <c r="E951" s="2218"/>
      <c r="F951" s="2735"/>
      <c r="G951" s="2229"/>
      <c r="H951" s="1826" t="str">
        <f>IFERROR(VLOOKUP(F951,Trainingsarten!$A$9:$K$84,10,FALSE),"")</f>
        <v/>
      </c>
      <c r="I951" s="1902" t="str">
        <f t="shared" si="147"/>
        <v/>
      </c>
      <c r="J951" s="2230"/>
      <c r="K951" s="2221" t="str">
        <f>IFERROR(VLOOKUP(F951,Trainingsarten!$A$9:$K$84,11,FALSE),"0")</f>
        <v>0</v>
      </c>
      <c r="L951" s="2806"/>
      <c r="M951" s="2829"/>
      <c r="N951" s="1831" t="str">
        <f t="shared" si="149"/>
        <v/>
      </c>
      <c r="O951" s="2231"/>
      <c r="P951" s="1755" t="str">
        <f>IFERROR(VLOOKUP(F951,Trainingsarten!$A$9:$N$84,12,FALSE),"")</f>
        <v/>
      </c>
      <c r="Q951" s="1756" t="s">
        <v>437</v>
      </c>
      <c r="R951" s="1086" t="str">
        <f>IFERROR(VLOOKUP(F951,Trainingsarten!$A$9:$N$84,14,FALSE),"")</f>
        <v/>
      </c>
      <c r="S951" s="1087" t="str">
        <f t="shared" si="145"/>
        <v/>
      </c>
      <c r="T951" s="1951">
        <f t="shared" si="152"/>
        <v>38.726282653638023</v>
      </c>
      <c r="U951" s="1952">
        <f t="shared" si="150"/>
        <v>37.668615025372091</v>
      </c>
      <c r="V951" s="2223">
        <f t="shared" si="151"/>
        <v>-6.5933013626030359</v>
      </c>
      <c r="W951" s="3284">
        <f t="shared" si="148"/>
        <v>1.0280782191634477</v>
      </c>
      <c r="X951" s="3300"/>
      <c r="Y951" s="3316"/>
      <c r="AA951" s="3301"/>
      <c r="AB951" s="3409"/>
      <c r="AE951" s="1056"/>
    </row>
    <row r="952" spans="2:31" ht="16" thickBot="1" x14ac:dyDescent="0.25">
      <c r="B952" s="2981">
        <f>SUM(K948:K954)</f>
        <v>322</v>
      </c>
      <c r="C952" s="2216">
        <v>44050</v>
      </c>
      <c r="D952" s="2217">
        <v>107</v>
      </c>
      <c r="E952" s="2218" t="s">
        <v>835</v>
      </c>
      <c r="F952" s="2735" t="s">
        <v>827</v>
      </c>
      <c r="G952" s="2229">
        <v>3.6793981481481483E-2</v>
      </c>
      <c r="H952" s="1826">
        <v>9.7200000000000006</v>
      </c>
      <c r="I952" s="1902">
        <f t="shared" si="147"/>
        <v>3.785389041304679E-3</v>
      </c>
      <c r="J952" s="2230">
        <v>136</v>
      </c>
      <c r="K952" s="2221">
        <v>58</v>
      </c>
      <c r="L952" s="2806">
        <v>215.4</v>
      </c>
      <c r="M952" s="2829"/>
      <c r="N952" s="1831">
        <f t="shared" si="149"/>
        <v>1.0514658190528838</v>
      </c>
      <c r="O952" s="2231" t="s">
        <v>751</v>
      </c>
      <c r="P952" s="1755">
        <f>IFERROR(VLOOKUP(F952,Trainingsarten!$A$9:$N$84,12,FALSE),"")</f>
        <v>194.60000000000002</v>
      </c>
      <c r="Q952" s="1756" t="s">
        <v>437</v>
      </c>
      <c r="R952" s="1086">
        <f>IFERROR(VLOOKUP(F952,Trainingsarten!$A$9:$N$84,14,FALSE),"")</f>
        <v>212.96</v>
      </c>
      <c r="S952" s="1087">
        <f t="shared" si="145"/>
        <v>1.5838235294117649</v>
      </c>
      <c r="T952" s="1951">
        <f t="shared" si="152"/>
        <v>41.479670845975448</v>
      </c>
      <c r="U952" s="1952">
        <f t="shared" si="150"/>
        <v>38.152695620006092</v>
      </c>
      <c r="V952" s="2223">
        <f t="shared" si="151"/>
        <v>-1.0576676282659321</v>
      </c>
      <c r="W952" s="3284">
        <f t="shared" si="148"/>
        <v>1.0872015770289321</v>
      </c>
      <c r="X952" s="3300"/>
      <c r="Y952" s="3316"/>
      <c r="AA952" s="3301"/>
      <c r="AB952" s="3409"/>
      <c r="AE952" s="1056"/>
    </row>
    <row r="953" spans="2:31" x14ac:dyDescent="0.2">
      <c r="B953" s="2982" t="s">
        <v>761</v>
      </c>
      <c r="C953" s="2216">
        <v>44051</v>
      </c>
      <c r="D953" s="2217"/>
      <c r="E953" s="2218"/>
      <c r="F953" s="2735"/>
      <c r="G953" s="2229"/>
      <c r="H953" s="1826" t="str">
        <f>IFERROR(VLOOKUP(F953,Trainingsarten!$A$9:$K$84,10,FALSE),"")</f>
        <v/>
      </c>
      <c r="I953" s="1902" t="str">
        <f t="shared" si="147"/>
        <v/>
      </c>
      <c r="J953" s="2230"/>
      <c r="K953" s="2221" t="str">
        <f>IFERROR(VLOOKUP(F953,Trainingsarten!$A$9:$K$84,11,FALSE),"0")</f>
        <v>0</v>
      </c>
      <c r="L953" s="2806"/>
      <c r="M953" s="2829"/>
      <c r="N953" s="1831" t="str">
        <f t="shared" si="149"/>
        <v/>
      </c>
      <c r="O953" s="2231"/>
      <c r="P953" s="1755" t="str">
        <f>IFERROR(VLOOKUP(F953,Trainingsarten!$A$9:$N$84,12,FALSE),"")</f>
        <v/>
      </c>
      <c r="Q953" s="1756" t="s">
        <v>437</v>
      </c>
      <c r="R953" s="1086" t="str">
        <f>IFERROR(VLOOKUP(F953,Trainingsarten!$A$9:$N$84,14,FALSE),"")</f>
        <v/>
      </c>
      <c r="S953" s="1087" t="str">
        <f t="shared" si="145"/>
        <v/>
      </c>
      <c r="T953" s="1951">
        <f t="shared" si="152"/>
        <v>35.55400358226467</v>
      </c>
      <c r="U953" s="1952">
        <f t="shared" si="150"/>
        <v>37.244298105244042</v>
      </c>
      <c r="V953" s="2223">
        <f t="shared" si="151"/>
        <v>-3.3269752259693561</v>
      </c>
      <c r="W953" s="3284">
        <f t="shared" si="148"/>
        <v>0.95461601885467195</v>
      </c>
      <c r="X953" s="3300"/>
      <c r="Y953" s="3316"/>
      <c r="AA953" s="3301"/>
      <c r="AB953" s="3409"/>
      <c r="AE953" s="1056"/>
    </row>
    <row r="954" spans="2:31" ht="16" thickBot="1" x14ac:dyDescent="0.25">
      <c r="B954" s="2983">
        <f>AVERAGE(W948:W954)</f>
        <v>1.0902086817231218</v>
      </c>
      <c r="C954" s="2232">
        <v>44052</v>
      </c>
      <c r="D954" s="2226">
        <v>108</v>
      </c>
      <c r="E954" s="2224" t="s">
        <v>836</v>
      </c>
      <c r="F954" s="2736" t="s">
        <v>811</v>
      </c>
      <c r="G954" s="2097">
        <v>7.615740740740741E-2</v>
      </c>
      <c r="H954" s="2098">
        <v>20.43</v>
      </c>
      <c r="I954" s="2099">
        <f t="shared" si="147"/>
        <v>3.7277242979641416E-3</v>
      </c>
      <c r="J954" s="2100">
        <v>141</v>
      </c>
      <c r="K954" s="2101">
        <v>128</v>
      </c>
      <c r="L954" s="2808">
        <v>221.1</v>
      </c>
      <c r="M954" s="2832"/>
      <c r="N954" s="2102">
        <f t="shared" si="149"/>
        <v>1.0628487518355361</v>
      </c>
      <c r="O954" s="2103" t="s">
        <v>858</v>
      </c>
      <c r="P954" s="2027">
        <f>IFERROR(VLOOKUP(F954,Trainingsarten!$A$9:$N$84,12,FALSE),"")</f>
        <v>194.60000000000002</v>
      </c>
      <c r="Q954" s="1151" t="s">
        <v>437</v>
      </c>
      <c r="R954" s="1151">
        <f>IFERROR(VLOOKUP(F954,Trainingsarten!$A$9:$N$84,14,FALSE),"")</f>
        <v>212.96</v>
      </c>
      <c r="S954" s="2227">
        <f t="shared" si="145"/>
        <v>1.5680851063829786</v>
      </c>
      <c r="T954" s="1995">
        <f t="shared" si="152"/>
        <v>48.760574499084001</v>
      </c>
      <c r="U954" s="1996">
        <f t="shared" si="150"/>
        <v>39.405148150357277</v>
      </c>
      <c r="V954" s="1996">
        <f t="shared" si="151"/>
        <v>1.6902945229793715</v>
      </c>
      <c r="W954" s="3287">
        <f t="shared" si="148"/>
        <v>1.2374163475551327</v>
      </c>
      <c r="X954" s="3300"/>
      <c r="Y954" s="3316"/>
      <c r="AA954" s="3301"/>
      <c r="AB954" s="3409"/>
      <c r="AE954" s="1056"/>
    </row>
    <row r="955" spans="2:31" ht="16" thickBot="1" x14ac:dyDescent="0.25">
      <c r="B955" s="2985">
        <f>B948+1</f>
        <v>33</v>
      </c>
      <c r="C955" s="2189">
        <v>44053</v>
      </c>
      <c r="D955" s="2106"/>
      <c r="E955" s="2069"/>
      <c r="F955" s="2724"/>
      <c r="G955" s="2032"/>
      <c r="H955" s="2033" t="str">
        <f>IFERROR(VLOOKUP(F955,Trainingsarten!$A$9:$K$84,10,FALSE),"")</f>
        <v/>
      </c>
      <c r="I955" s="2034" t="str">
        <f t="shared" si="147"/>
        <v/>
      </c>
      <c r="J955" s="2035"/>
      <c r="K955" s="2036" t="str">
        <f>IFERROR(VLOOKUP(F955,Trainingsarten!$A$9:$K$84,11,FALSE),"0")</f>
        <v>0</v>
      </c>
      <c r="L955" s="1915"/>
      <c r="M955" s="2833"/>
      <c r="N955" s="2037" t="str">
        <f t="shared" si="149"/>
        <v/>
      </c>
      <c r="O955" s="2038"/>
      <c r="P955" s="2039" t="str">
        <f>IFERROR(VLOOKUP(F955,Trainingsarten!$A$9:$N$84,12,FALSE),"")</f>
        <v/>
      </c>
      <c r="Q955" s="1069" t="s">
        <v>437</v>
      </c>
      <c r="R955" s="1069" t="str">
        <f>IFERROR(VLOOKUP(F955,Trainingsarten!$A$9:$N$84,14,FALSE),"")</f>
        <v/>
      </c>
      <c r="S955" s="1125" t="str">
        <f t="shared" si="145"/>
        <v/>
      </c>
      <c r="T955" s="2190">
        <f t="shared" si="152"/>
        <v>41.794778142071998</v>
      </c>
      <c r="U955" s="1922">
        <f t="shared" si="150"/>
        <v>38.46693033725353</v>
      </c>
      <c r="V955" s="2030">
        <f t="shared" si="151"/>
        <v>-9.3554263487267235</v>
      </c>
      <c r="W955" s="3283">
        <f t="shared" si="148"/>
        <v>1.0865119149264582</v>
      </c>
      <c r="X955" s="3300"/>
      <c r="Y955" s="3316"/>
      <c r="AA955" s="3301"/>
      <c r="AB955" s="3409"/>
      <c r="AE955" s="1056"/>
    </row>
    <row r="956" spans="2:31" x14ac:dyDescent="0.2">
      <c r="B956" s="2978" t="s">
        <v>626</v>
      </c>
      <c r="C956" s="2191">
        <v>44054</v>
      </c>
      <c r="D956" s="1984">
        <v>109</v>
      </c>
      <c r="E956" s="2218" t="s">
        <v>836</v>
      </c>
      <c r="F956" s="2735" t="s">
        <v>869</v>
      </c>
      <c r="G956" s="2110">
        <v>3.7418981481481477E-2</v>
      </c>
      <c r="H956" s="2111">
        <v>10.050000000000001</v>
      </c>
      <c r="I956" s="2112">
        <f t="shared" si="147"/>
        <v>3.723281739450893E-3</v>
      </c>
      <c r="J956" s="2113">
        <v>151</v>
      </c>
      <c r="K956" s="2114">
        <v>66</v>
      </c>
      <c r="L956" s="2806">
        <v>216.8</v>
      </c>
      <c r="M956" s="2829"/>
      <c r="N956" s="1991">
        <f t="shared" si="149"/>
        <v>1.0409362144501373</v>
      </c>
      <c r="O956" s="2116" t="s">
        <v>821</v>
      </c>
      <c r="P956" s="1993">
        <f>IFERROR(VLOOKUP(F956,Trainingsarten!$A$9:$N$84,12,FALSE),"")</f>
        <v>279.29999999999995</v>
      </c>
      <c r="Q956" s="1994" t="s">
        <v>437</v>
      </c>
      <c r="R956" s="1086">
        <f>IFERROR(VLOOKUP(F956,Trainingsarten!$A$9:$N$84,14,FALSE),"")</f>
        <v>314.60000000000002</v>
      </c>
      <c r="S956" s="1087">
        <f t="shared" si="145"/>
        <v>1.4357615894039737</v>
      </c>
      <c r="T956" s="1995">
        <f t="shared" si="152"/>
        <v>45.252666978918853</v>
      </c>
      <c r="U956" s="1996">
        <f t="shared" si="150"/>
        <v>39.122479614937973</v>
      </c>
      <c r="V956" s="1997">
        <f t="shared" si="151"/>
        <v>-3.3278478048184681</v>
      </c>
      <c r="W956" s="3284">
        <f t="shared" si="148"/>
        <v>1.1566921990711503</v>
      </c>
      <c r="X956" s="3300"/>
      <c r="Y956" s="3316"/>
      <c r="AA956" s="3301"/>
      <c r="AB956" s="3409"/>
      <c r="AE956" s="1056"/>
    </row>
    <row r="957" spans="2:31" ht="16" thickBot="1" x14ac:dyDescent="0.25">
      <c r="B957" s="2979">
        <f>SUM(H955:H961)</f>
        <v>51.41</v>
      </c>
      <c r="C957" s="1998">
        <v>44055</v>
      </c>
      <c r="D957" s="1984">
        <v>110</v>
      </c>
      <c r="E957" s="2218" t="s">
        <v>836</v>
      </c>
      <c r="F957" s="2735" t="s">
        <v>824</v>
      </c>
      <c r="G957" s="2110">
        <v>3.8553240740740742E-2</v>
      </c>
      <c r="H957" s="2111">
        <v>9.7899999999999991</v>
      </c>
      <c r="I957" s="2112">
        <f t="shared" si="147"/>
        <v>3.9380225475731095E-3</v>
      </c>
      <c r="J957" s="2113">
        <v>128</v>
      </c>
      <c r="K957" s="2114">
        <v>57</v>
      </c>
      <c r="L957" s="2806">
        <v>209</v>
      </c>
      <c r="M957" s="2829"/>
      <c r="N957" s="1991">
        <f t="shared" si="149"/>
        <v>1.0613617306724803</v>
      </c>
      <c r="O957" s="2116" t="s">
        <v>783</v>
      </c>
      <c r="P957" s="1993">
        <f>IFERROR(VLOOKUP(F957,Trainingsarten!$A$9:$N$84,12,FALSE),"")</f>
        <v>169.39999999999998</v>
      </c>
      <c r="Q957" s="1994" t="s">
        <v>437</v>
      </c>
      <c r="R957" s="1086">
        <f>IFERROR(VLOOKUP(F957,Trainingsarten!$A$9:$N$84,14,FALSE),"")</f>
        <v>193.60000000000002</v>
      </c>
      <c r="S957" s="1087">
        <f t="shared" si="145"/>
        <v>1.6328125</v>
      </c>
      <c r="T957" s="1995">
        <f t="shared" si="152"/>
        <v>46.930857410501872</v>
      </c>
      <c r="U957" s="1996">
        <f t="shared" si="150"/>
        <v>39.548134862201351</v>
      </c>
      <c r="V957" s="1997">
        <f t="shared" si="151"/>
        <v>-6.1301873639808804</v>
      </c>
      <c r="W957" s="3284">
        <f t="shared" si="148"/>
        <v>1.1866768830951029</v>
      </c>
      <c r="X957" s="3300"/>
      <c r="Y957" s="3316"/>
      <c r="AA957" s="3301"/>
      <c r="AB957" s="3409"/>
      <c r="AE957" s="1056"/>
    </row>
    <row r="958" spans="2:31" x14ac:dyDescent="0.2">
      <c r="B958" s="2980" t="s">
        <v>628</v>
      </c>
      <c r="C958" s="1998">
        <v>44056</v>
      </c>
      <c r="D958" s="1984"/>
      <c r="E958" s="2218"/>
      <c r="F958" s="2735"/>
      <c r="G958" s="2110"/>
      <c r="H958" s="2111" t="str">
        <f>IFERROR(VLOOKUP(F958,Trainingsarten!$A$9:$K$84,10,FALSE),"")</f>
        <v/>
      </c>
      <c r="I958" s="2112" t="str">
        <f t="shared" si="147"/>
        <v/>
      </c>
      <c r="J958" s="2113"/>
      <c r="K958" s="2114" t="str">
        <f>IFERROR(VLOOKUP(F958,Trainingsarten!$A$9:$K$84,11,FALSE),"0")</f>
        <v>0</v>
      </c>
      <c r="L958" s="2806"/>
      <c r="M958" s="2829"/>
      <c r="N958" s="1991" t="str">
        <f t="shared" si="149"/>
        <v/>
      </c>
      <c r="O958" s="2116"/>
      <c r="P958" s="1993" t="str">
        <f>IFERROR(VLOOKUP(F958,Trainingsarten!$A$9:$N$84,12,FALSE),"")</f>
        <v/>
      </c>
      <c r="Q958" s="1994" t="s">
        <v>437</v>
      </c>
      <c r="R958" s="1086" t="str">
        <f>IFERROR(VLOOKUP(F958,Trainingsarten!$A$9:$N$84,14,FALSE),"")</f>
        <v/>
      </c>
      <c r="S958" s="1087" t="str">
        <f t="shared" si="145"/>
        <v/>
      </c>
      <c r="T958" s="1995">
        <f t="shared" si="152"/>
        <v>40.226449209001608</v>
      </c>
      <c r="U958" s="1996">
        <f t="shared" si="150"/>
        <v>38.606512603577507</v>
      </c>
      <c r="V958" s="1997">
        <f t="shared" si="151"/>
        <v>-7.3827225483005208</v>
      </c>
      <c r="W958" s="3284">
        <f t="shared" si="148"/>
        <v>1.0419601900347246</v>
      </c>
      <c r="X958" s="3300"/>
      <c r="Y958" s="3316"/>
      <c r="AA958" s="3301"/>
      <c r="AB958" s="3409"/>
      <c r="AE958" s="1056"/>
    </row>
    <row r="959" spans="2:31" ht="16" thickBot="1" x14ac:dyDescent="0.25">
      <c r="B959" s="2981">
        <f>SUM(K955:K961)</f>
        <v>321</v>
      </c>
      <c r="C959" s="1998">
        <v>44057</v>
      </c>
      <c r="D959" s="1984">
        <v>111</v>
      </c>
      <c r="E959" s="2218" t="s">
        <v>836</v>
      </c>
      <c r="F959" s="2735" t="s">
        <v>829</v>
      </c>
      <c r="G959" s="2110">
        <v>3.5590277777777776E-2</v>
      </c>
      <c r="H959" s="2111">
        <v>10.7</v>
      </c>
      <c r="I959" s="2112">
        <f t="shared" si="147"/>
        <v>3.3261941848390449E-3</v>
      </c>
      <c r="J959" s="2113">
        <v>151</v>
      </c>
      <c r="K959" s="2114">
        <v>73</v>
      </c>
      <c r="L959" s="2806">
        <v>241</v>
      </c>
      <c r="M959" s="2829"/>
      <c r="N959" s="1991">
        <f t="shared" si="149"/>
        <v>1.0337215790207841</v>
      </c>
      <c r="O959" s="2116" t="s">
        <v>821</v>
      </c>
      <c r="P959" s="1993">
        <f>IFERROR(VLOOKUP(F959,Trainingsarten!$A$9:$N$84,12,FALSE),"")</f>
        <v>230.89999999999998</v>
      </c>
      <c r="Q959" s="1994" t="s">
        <v>437</v>
      </c>
      <c r="R959" s="1086">
        <f>IFERROR(VLOOKUP(F959,Trainingsarten!$A$9:$N$84,14,FALSE),"")</f>
        <v>254.10000000000002</v>
      </c>
      <c r="S959" s="1087">
        <f t="shared" si="145"/>
        <v>1.5960264900662251</v>
      </c>
      <c r="T959" s="1995">
        <f t="shared" si="152"/>
        <v>44.908385036287093</v>
      </c>
      <c r="U959" s="1996">
        <f t="shared" si="150"/>
        <v>39.425405160635187</v>
      </c>
      <c r="V959" s="1997">
        <f t="shared" si="151"/>
        <v>-1.6199366054241011</v>
      </c>
      <c r="W959" s="3284">
        <f t="shared" si="148"/>
        <v>1.1390722518465444</v>
      </c>
      <c r="X959" s="3300"/>
      <c r="Y959" s="3316"/>
      <c r="AA959" s="3301"/>
      <c r="AB959" s="3409"/>
      <c r="AE959" s="1056"/>
    </row>
    <row r="960" spans="2:31" x14ac:dyDescent="0.2">
      <c r="B960" s="2982" t="s">
        <v>761</v>
      </c>
      <c r="C960" s="1998">
        <v>44058</v>
      </c>
      <c r="D960" s="1984"/>
      <c r="E960" s="2218"/>
      <c r="F960" s="2735"/>
      <c r="G960" s="2110"/>
      <c r="H960" s="2111" t="str">
        <f>IFERROR(VLOOKUP(F960,Trainingsarten!$A$9:$K$84,10,FALSE),"")</f>
        <v/>
      </c>
      <c r="I960" s="2112" t="str">
        <f t="shared" si="147"/>
        <v/>
      </c>
      <c r="J960" s="2113"/>
      <c r="K960" s="2114" t="str">
        <f>IFERROR(VLOOKUP(F960,Trainingsarten!$A$9:$K$84,11,FALSE),"0")</f>
        <v>0</v>
      </c>
      <c r="L960" s="2806"/>
      <c r="M960" s="2829"/>
      <c r="N960" s="1991" t="str">
        <f t="shared" si="149"/>
        <v/>
      </c>
      <c r="O960" s="2116"/>
      <c r="P960" s="1993" t="str">
        <f>IFERROR(VLOOKUP(F960,Trainingsarten!$A$9:$N$84,12,FALSE),"")</f>
        <v/>
      </c>
      <c r="Q960" s="1994" t="s">
        <v>437</v>
      </c>
      <c r="R960" s="1086" t="str">
        <f>IFERROR(VLOOKUP(F960,Trainingsarten!$A$9:$N$84,14,FALSE),"")</f>
        <v/>
      </c>
      <c r="S960" s="1087" t="str">
        <f t="shared" si="145"/>
        <v/>
      </c>
      <c r="T960" s="1995">
        <f t="shared" si="152"/>
        <v>38.492901459674648</v>
      </c>
      <c r="U960" s="1996">
        <f t="shared" si="150"/>
        <v>38.486705037762917</v>
      </c>
      <c r="V960" s="1997">
        <f t="shared" si="151"/>
        <v>-5.4829798756519068</v>
      </c>
      <c r="W960" s="3284">
        <f t="shared" si="148"/>
        <v>1.000161001621356</v>
      </c>
      <c r="X960" s="3300"/>
      <c r="Y960" s="3316"/>
      <c r="AA960" s="3301"/>
      <c r="AB960" s="3409"/>
      <c r="AE960" s="1056"/>
    </row>
    <row r="961" spans="2:31" ht="16" thickBot="1" x14ac:dyDescent="0.25">
      <c r="B961" s="2983">
        <f>AVERAGE(W955:W961)</f>
        <v>1.1236021121046222</v>
      </c>
      <c r="C961" s="2214">
        <v>44059</v>
      </c>
      <c r="D961" s="1108">
        <v>112</v>
      </c>
      <c r="E961" s="2051" t="s">
        <v>835</v>
      </c>
      <c r="F961" s="2736" t="s">
        <v>812</v>
      </c>
      <c r="G961" s="2120">
        <v>8.0127314814814818E-2</v>
      </c>
      <c r="H961" s="2121">
        <v>20.87</v>
      </c>
      <c r="I961" s="2122">
        <f t="shared" si="147"/>
        <v>3.8393538483380363E-3</v>
      </c>
      <c r="J961" s="2123">
        <v>135</v>
      </c>
      <c r="K961" s="2124">
        <v>125</v>
      </c>
      <c r="L961" s="2807">
        <v>214.7</v>
      </c>
      <c r="M961" s="2830"/>
      <c r="N961" s="1223">
        <f t="shared" si="149"/>
        <v>1.0629898661937081</v>
      </c>
      <c r="O961" s="2125" t="s">
        <v>858</v>
      </c>
      <c r="P961" s="2126">
        <f>IFERROR(VLOOKUP(F961,Trainingsarten!$A$9:$N$84,12,FALSE),"")</f>
        <v>194.60000000000002</v>
      </c>
      <c r="Q961" s="2127" t="s">
        <v>437</v>
      </c>
      <c r="R961" s="1105">
        <f>IFERROR(VLOOKUP(F961,Trainingsarten!$A$9:$N$84,14,FALSE),"")</f>
        <v>212.96</v>
      </c>
      <c r="S961" s="2227">
        <f t="shared" si="145"/>
        <v>1.5903703703703702</v>
      </c>
      <c r="T961" s="2145">
        <f t="shared" si="152"/>
        <v>50.851058394006841</v>
      </c>
      <c r="U961" s="2225">
        <f t="shared" si="150"/>
        <v>40.546545394006657</v>
      </c>
      <c r="V961" s="2225">
        <f t="shared" si="151"/>
        <v>-6.1964219117314201E-3</v>
      </c>
      <c r="W961" s="3285">
        <f t="shared" si="148"/>
        <v>1.2541403441370207</v>
      </c>
      <c r="X961" s="3300"/>
      <c r="Y961" s="3316"/>
      <c r="AA961" s="3301"/>
      <c r="AB961" s="3409"/>
      <c r="AE961" s="1056"/>
    </row>
    <row r="962" spans="2:31" ht="16" thickBot="1" x14ac:dyDescent="0.25">
      <c r="B962" s="2985">
        <f>B955+1</f>
        <v>34</v>
      </c>
      <c r="C962" s="1245">
        <v>44060</v>
      </c>
      <c r="D962" s="1111"/>
      <c r="E962" s="2087"/>
      <c r="F962" s="2724"/>
      <c r="G962" s="1647"/>
      <c r="H962" s="1648" t="str">
        <f>IFERROR(VLOOKUP(F962,Trainingsarten!$A$9:$K$84,10,FALSE),"")</f>
        <v/>
      </c>
      <c r="I962" s="1399" t="str">
        <f t="shared" si="147"/>
        <v/>
      </c>
      <c r="J962" s="1326"/>
      <c r="K962" s="1325" t="str">
        <f>IFERROR(VLOOKUP(F962,Trainingsarten!$A$9:$K$84,11,FALSE),"0")</f>
        <v>0</v>
      </c>
      <c r="L962" s="1326"/>
      <c r="M962" s="2831"/>
      <c r="N962" s="1119" t="str">
        <f t="shared" si="149"/>
        <v/>
      </c>
      <c r="O962" s="1649"/>
      <c r="P962" s="1277" t="str">
        <f>IFERROR(VLOOKUP(F962,Trainingsarten!$A$9:$N$84,12,FALSE),"")</f>
        <v/>
      </c>
      <c r="Q962" s="1122" t="s">
        <v>437</v>
      </c>
      <c r="R962" s="1122" t="str">
        <f>IFERROR(VLOOKUP(F962,Trainingsarten!$A$9:$N$84,14,FALSE),"")</f>
        <v/>
      </c>
      <c r="S962" s="1125" t="str">
        <f t="shared" si="145"/>
        <v/>
      </c>
      <c r="T962" s="1650">
        <f t="shared" si="152"/>
        <v>43.586621480577293</v>
      </c>
      <c r="U962" s="1651">
        <f t="shared" si="150"/>
        <v>39.581151456054116</v>
      </c>
      <c r="V962" s="1278">
        <f t="shared" si="151"/>
        <v>-10.304513000000185</v>
      </c>
      <c r="W962" s="3286">
        <f t="shared" si="148"/>
        <v>1.1011963997300671</v>
      </c>
      <c r="X962" s="3300"/>
      <c r="Y962" s="3316"/>
      <c r="AA962" s="3301"/>
      <c r="AB962" s="3409"/>
      <c r="AE962" s="1056"/>
    </row>
    <row r="963" spans="2:31" x14ac:dyDescent="0.2">
      <c r="B963" s="2978" t="s">
        <v>626</v>
      </c>
      <c r="C963" s="2216">
        <v>44061</v>
      </c>
      <c r="D963" s="2233">
        <v>113</v>
      </c>
      <c r="E963" s="2218" t="s">
        <v>836</v>
      </c>
      <c r="F963" s="2735" t="s">
        <v>824</v>
      </c>
      <c r="G963" s="2219">
        <v>3.0023148148148149E-2</v>
      </c>
      <c r="H963" s="1826">
        <v>7.82</v>
      </c>
      <c r="I963" s="1902">
        <f t="shared" si="147"/>
        <v>3.8392772567964386E-3</v>
      </c>
      <c r="J963" s="2220">
        <v>130</v>
      </c>
      <c r="K963" s="2234">
        <v>47</v>
      </c>
      <c r="L963" s="2806">
        <v>215</v>
      </c>
      <c r="M963" s="2829"/>
      <c r="N963" s="1831">
        <f t="shared" si="149"/>
        <v>1.0644539451082187</v>
      </c>
      <c r="O963" s="2222" t="s">
        <v>1460</v>
      </c>
      <c r="P963" s="1755">
        <f>IFERROR(VLOOKUP(F963,Trainingsarten!$A$9:$N$84,12,FALSE),"")</f>
        <v>169.39999999999998</v>
      </c>
      <c r="Q963" s="1756" t="s">
        <v>437</v>
      </c>
      <c r="R963" s="1086">
        <f>IFERROR(VLOOKUP(F963,Trainingsarten!$A$9:$N$84,14,FALSE),"")</f>
        <v>193.60000000000002</v>
      </c>
      <c r="S963" s="1087">
        <f t="shared" si="145"/>
        <v>1.6538461538461537</v>
      </c>
      <c r="T963" s="1951">
        <f t="shared" si="152"/>
        <v>44.074246983351962</v>
      </c>
      <c r="U963" s="1952">
        <f t="shared" si="150"/>
        <v>39.757790707100447</v>
      </c>
      <c r="V963" s="2223">
        <f t="shared" si="151"/>
        <v>-4.0054700245231771</v>
      </c>
      <c r="W963" s="3284">
        <f t="shared" si="148"/>
        <v>1.1085688163120349</v>
      </c>
      <c r="X963" s="3300"/>
      <c r="Y963" s="3316"/>
      <c r="AA963" s="3301"/>
      <c r="AB963" s="3409"/>
      <c r="AE963" s="1056"/>
    </row>
    <row r="964" spans="2:31" ht="16" thickBot="1" x14ac:dyDescent="0.25">
      <c r="B964" s="2979">
        <f>SUM(H962:H968)</f>
        <v>30.86</v>
      </c>
      <c r="C964" s="2216">
        <v>44062</v>
      </c>
      <c r="D964" s="2233"/>
      <c r="E964" s="2218"/>
      <c r="F964" s="2735"/>
      <c r="G964" s="2219"/>
      <c r="H964" s="1826" t="str">
        <f>IFERROR(VLOOKUP(F964,Trainingsarten!$A$9:$K$84,10,FALSE),"")</f>
        <v/>
      </c>
      <c r="I964" s="1902" t="str">
        <f t="shared" si="147"/>
        <v/>
      </c>
      <c r="J964" s="2220"/>
      <c r="K964" s="2234" t="str">
        <f>IFERROR(VLOOKUP(F964,Trainingsarten!$A$9:$K$84,11,FALSE),"0")</f>
        <v>0</v>
      </c>
      <c r="L964" s="2806"/>
      <c r="M964" s="2829"/>
      <c r="N964" s="1831" t="str">
        <f t="shared" si="149"/>
        <v/>
      </c>
      <c r="O964" s="2222"/>
      <c r="P964" s="1755" t="str">
        <f>IFERROR(VLOOKUP(F964,Trainingsarten!$A$9:$N$84,12,FALSE),"")</f>
        <v/>
      </c>
      <c r="Q964" s="1756" t="s">
        <v>437</v>
      </c>
      <c r="R964" s="1086" t="str">
        <f>IFERROR(VLOOKUP(F964,Trainingsarten!$A$9:$N$84,14,FALSE),"")</f>
        <v/>
      </c>
      <c r="S964" s="1087" t="str">
        <f t="shared" si="145"/>
        <v/>
      </c>
      <c r="T964" s="1951">
        <f t="shared" si="152"/>
        <v>37.777925985730256</v>
      </c>
      <c r="U964" s="1952">
        <f t="shared" si="150"/>
        <v>38.811176642645677</v>
      </c>
      <c r="V964" s="2223">
        <f t="shared" si="151"/>
        <v>-4.3164562762515146</v>
      </c>
      <c r="W964" s="3284">
        <f t="shared" si="148"/>
        <v>0.97337749724959166</v>
      </c>
      <c r="X964" s="3300"/>
      <c r="Y964" s="3316"/>
      <c r="AA964" s="3301"/>
      <c r="AB964" s="3409"/>
      <c r="AE964" s="1056"/>
    </row>
    <row r="965" spans="2:31" x14ac:dyDescent="0.2">
      <c r="B965" s="2980" t="s">
        <v>628</v>
      </c>
      <c r="C965" s="2216">
        <v>44063</v>
      </c>
      <c r="D965" s="2233">
        <v>114</v>
      </c>
      <c r="E965" s="2218" t="s">
        <v>836</v>
      </c>
      <c r="F965" s="2735" t="s">
        <v>818</v>
      </c>
      <c r="G965" s="2219">
        <v>3.5486111111111114E-2</v>
      </c>
      <c r="H965" s="1826">
        <v>9.67</v>
      </c>
      <c r="I965" s="1902">
        <f t="shared" si="147"/>
        <v>3.6697115937033209E-3</v>
      </c>
      <c r="J965" s="2220">
        <v>143</v>
      </c>
      <c r="K965" s="2234">
        <v>60</v>
      </c>
      <c r="L965" s="2806">
        <v>224</v>
      </c>
      <c r="M965" s="2829"/>
      <c r="N965" s="1831">
        <f t="shared" si="149"/>
        <v>1.0600317955208445</v>
      </c>
      <c r="O965" s="2222" t="s">
        <v>1460</v>
      </c>
      <c r="P965" s="1755">
        <f>IFERROR(VLOOKUP(F965,Trainingsarten!$A$9:$N$84,12,FALSE),"")</f>
        <v>194.60000000000002</v>
      </c>
      <c r="Q965" s="1756" t="s">
        <v>437</v>
      </c>
      <c r="R965" s="1086">
        <f>IFERROR(VLOOKUP(F965,Trainingsarten!$A$9:$N$84,14,FALSE),"")</f>
        <v>212.96</v>
      </c>
      <c r="S965" s="1087">
        <f t="shared" si="145"/>
        <v>1.5664335664335665</v>
      </c>
      <c r="T965" s="1951">
        <f t="shared" si="152"/>
        <v>40.95250798776879</v>
      </c>
      <c r="U965" s="1952">
        <f t="shared" si="150"/>
        <v>39.315672436868397</v>
      </c>
      <c r="V965" s="2223">
        <f t="shared" si="151"/>
        <v>1.0332506569154205</v>
      </c>
      <c r="W965" s="3284">
        <f t="shared" si="148"/>
        <v>1.0416331566890726</v>
      </c>
      <c r="X965" s="3300"/>
      <c r="Y965" s="3316"/>
      <c r="AA965" s="3301"/>
      <c r="AB965" s="3409"/>
      <c r="AE965" s="1056"/>
    </row>
    <row r="966" spans="2:31" ht="16" thickBot="1" x14ac:dyDescent="0.25">
      <c r="B966" s="2981">
        <f>SUM(K962:K968)</f>
        <v>190</v>
      </c>
      <c r="C966" s="2216">
        <v>44064</v>
      </c>
      <c r="D966" s="2233"/>
      <c r="E966" s="2218"/>
      <c r="F966" s="2735"/>
      <c r="G966" s="2219"/>
      <c r="H966" s="1826" t="str">
        <f>IFERROR(VLOOKUP(F966,Trainingsarten!$A$9:$K$84,10,FALSE),"")</f>
        <v/>
      </c>
      <c r="I966" s="1902" t="str">
        <f t="shared" si="147"/>
        <v/>
      </c>
      <c r="J966" s="2220"/>
      <c r="K966" s="2234" t="str">
        <f>IFERROR(VLOOKUP(F966,Trainingsarten!$A$9:$K$84,11,FALSE),"0")</f>
        <v>0</v>
      </c>
      <c r="L966" s="2806"/>
      <c r="M966" s="2829"/>
      <c r="N966" s="1831" t="str">
        <f t="shared" si="149"/>
        <v/>
      </c>
      <c r="O966" s="2222"/>
      <c r="P966" s="1755" t="str">
        <f>IFERROR(VLOOKUP(F966,Trainingsarten!$A$9:$N$84,12,FALSE),"")</f>
        <v/>
      </c>
      <c r="Q966" s="1756" t="s">
        <v>437</v>
      </c>
      <c r="R966" s="1086" t="str">
        <f>IFERROR(VLOOKUP(F966,Trainingsarten!$A$9:$N$84,14,FALSE),"")</f>
        <v/>
      </c>
      <c r="S966" s="1087" t="str">
        <f t="shared" si="145"/>
        <v/>
      </c>
      <c r="T966" s="1951">
        <f t="shared" si="152"/>
        <v>35.102149703801821</v>
      </c>
      <c r="U966" s="1952">
        <f t="shared" si="150"/>
        <v>38.379584997895343</v>
      </c>
      <c r="V966" s="2223">
        <f t="shared" si="151"/>
        <v>-1.6368355509003933</v>
      </c>
      <c r="W966" s="3284">
        <f t="shared" si="148"/>
        <v>0.91460472294650275</v>
      </c>
      <c r="X966" s="3300"/>
      <c r="Y966" s="3316"/>
      <c r="AA966" s="3301"/>
      <c r="AB966" s="3409"/>
      <c r="AE966" s="1056"/>
    </row>
    <row r="967" spans="2:31" x14ac:dyDescent="0.2">
      <c r="B967" s="2982" t="s">
        <v>761</v>
      </c>
      <c r="C967" s="2216">
        <v>44065</v>
      </c>
      <c r="D967" s="2233">
        <v>115</v>
      </c>
      <c r="E967" s="2218" t="s">
        <v>836</v>
      </c>
      <c r="F967" s="2735" t="s">
        <v>804</v>
      </c>
      <c r="G967" s="2219">
        <v>5.2847222222222219E-2</v>
      </c>
      <c r="H967" s="1826">
        <v>13.37</v>
      </c>
      <c r="I967" s="1902">
        <f t="shared" si="147"/>
        <v>3.9526718191639654E-3</v>
      </c>
      <c r="J967" s="2220">
        <v>133</v>
      </c>
      <c r="K967" s="2234">
        <v>83</v>
      </c>
      <c r="L967" s="2806">
        <v>213</v>
      </c>
      <c r="M967" s="2829"/>
      <c r="N967" s="1831">
        <f t="shared" si="149"/>
        <v>1.0856986570513179</v>
      </c>
      <c r="O967" s="2222" t="s">
        <v>783</v>
      </c>
      <c r="P967" s="1755">
        <f>IFERROR(VLOOKUP(F967,Trainingsarten!$A$9:$N$84,12,FALSE),"")</f>
        <v>194.60000000000002</v>
      </c>
      <c r="Q967" s="1756" t="s">
        <v>437</v>
      </c>
      <c r="R967" s="1086">
        <f>IFERROR(VLOOKUP(F967,Trainingsarten!$A$9:$N$84,14,FALSE),"")</f>
        <v>212.96</v>
      </c>
      <c r="S967" s="1087">
        <f t="shared" si="145"/>
        <v>1.6015037593984962</v>
      </c>
      <c r="T967" s="1951">
        <f t="shared" si="152"/>
        <v>41.944699746115845</v>
      </c>
      <c r="U967" s="1952">
        <f t="shared" si="150"/>
        <v>39.441975831278789</v>
      </c>
      <c r="V967" s="2223">
        <f t="shared" si="151"/>
        <v>3.2774352940935216</v>
      </c>
      <c r="W967" s="3284">
        <f t="shared" si="148"/>
        <v>1.0634533098834342</v>
      </c>
      <c r="X967" s="3300"/>
      <c r="Y967" s="3316"/>
      <c r="AA967" s="3301"/>
      <c r="AB967" s="3409"/>
      <c r="AE967" s="1056"/>
    </row>
    <row r="968" spans="2:31" ht="16" thickBot="1" x14ac:dyDescent="0.25">
      <c r="B968" s="2983">
        <f>AVERAGE(W962:W968)</f>
        <v>1.0195139692370818</v>
      </c>
      <c r="C968" s="2195">
        <v>44066</v>
      </c>
      <c r="D968" s="1995"/>
      <c r="E968" s="2224"/>
      <c r="F968" s="2736"/>
      <c r="G968" s="2097"/>
      <c r="H968" s="2098" t="str">
        <f>IFERROR(VLOOKUP(F968,Trainingsarten!$A$9:$K$84,10,FALSE),"")</f>
        <v/>
      </c>
      <c r="I968" s="2099" t="str">
        <f t="shared" si="147"/>
        <v/>
      </c>
      <c r="J968" s="2100"/>
      <c r="K968" s="2101" t="str">
        <f>IFERROR(VLOOKUP(F968,Trainingsarten!$A$9:$K$84,11,FALSE),"0")</f>
        <v>0</v>
      </c>
      <c r="L968" s="2808"/>
      <c r="M968" s="2832"/>
      <c r="N968" s="2102" t="str">
        <f t="shared" si="149"/>
        <v/>
      </c>
      <c r="O968" s="2103"/>
      <c r="P968" s="2027" t="str">
        <f>IFERROR(VLOOKUP(F968,Trainingsarten!$A$9:$N$84,12,FALSE),"")</f>
        <v/>
      </c>
      <c r="Q968" s="1151" t="s">
        <v>437</v>
      </c>
      <c r="R968" s="1151" t="str">
        <f>IFERROR(VLOOKUP(F968,Trainingsarten!$A$9:$N$84,14,FALSE),"")</f>
        <v/>
      </c>
      <c r="S968" s="2227" t="str">
        <f t="shared" si="145"/>
        <v/>
      </c>
      <c r="T968" s="1995">
        <f t="shared" si="152"/>
        <v>35.952599782385008</v>
      </c>
      <c r="U968" s="1996">
        <f t="shared" si="150"/>
        <v>38.502881168629294</v>
      </c>
      <c r="V968" s="1996">
        <f t="shared" si="151"/>
        <v>-2.5027239148370555</v>
      </c>
      <c r="W968" s="3287">
        <f t="shared" si="148"/>
        <v>0.93376388184886905</v>
      </c>
      <c r="X968" s="3300"/>
      <c r="Y968" s="3316"/>
      <c r="AA968" s="3301"/>
      <c r="AB968" s="3409"/>
      <c r="AE968" s="1056"/>
    </row>
    <row r="969" spans="2:31" ht="16" thickBot="1" x14ac:dyDescent="0.25">
      <c r="B969" s="2985">
        <f>B962+1</f>
        <v>35</v>
      </c>
      <c r="C969" s="2189">
        <v>44067</v>
      </c>
      <c r="D969" s="2106"/>
      <c r="E969" s="2069"/>
      <c r="F969" s="2724"/>
      <c r="G969" s="2032"/>
      <c r="H969" s="2033" t="str">
        <f>IFERROR(VLOOKUP(F969,Trainingsarten!$A$9:$K$84,10,FALSE),"")</f>
        <v/>
      </c>
      <c r="I969" s="2034" t="str">
        <f t="shared" si="147"/>
        <v/>
      </c>
      <c r="J969" s="2035"/>
      <c r="K969" s="2036" t="str">
        <f>IFERROR(VLOOKUP(F969,Trainingsarten!$A$9:$K$84,11,FALSE),"0")</f>
        <v>0</v>
      </c>
      <c r="L969" s="1915"/>
      <c r="M969" s="2833"/>
      <c r="N969" s="2037" t="str">
        <f t="shared" si="149"/>
        <v/>
      </c>
      <c r="O969" s="2038"/>
      <c r="P969" s="2039" t="str">
        <f>IFERROR(VLOOKUP(F969,Trainingsarten!$A$9:$N$84,12,FALSE),"")</f>
        <v/>
      </c>
      <c r="Q969" s="1069" t="s">
        <v>437</v>
      </c>
      <c r="R969" s="1069" t="str">
        <f>IFERROR(VLOOKUP(F969,Trainingsarten!$A$9:$N$84,14,FALSE),"")</f>
        <v/>
      </c>
      <c r="S969" s="1125" t="str">
        <f t="shared" si="145"/>
        <v/>
      </c>
      <c r="T969" s="2190">
        <f t="shared" si="152"/>
        <v>30.816514099187149</v>
      </c>
      <c r="U969" s="1922">
        <f t="shared" si="150"/>
        <v>37.586145902709546</v>
      </c>
      <c r="V969" s="2030">
        <f t="shared" si="151"/>
        <v>2.5502813862442864</v>
      </c>
      <c r="W969" s="3283">
        <f t="shared" si="148"/>
        <v>0.81989023772095815</v>
      </c>
      <c r="X969" s="3300"/>
      <c r="Y969" s="3316"/>
      <c r="AA969" s="3301"/>
      <c r="AB969" s="3409"/>
      <c r="AE969" s="1056"/>
    </row>
    <row r="970" spans="2:31" x14ac:dyDescent="0.2">
      <c r="B970" s="2978" t="s">
        <v>626</v>
      </c>
      <c r="C970" s="1998">
        <v>44068</v>
      </c>
      <c r="D970" s="1984">
        <v>116</v>
      </c>
      <c r="E970" s="2218" t="s">
        <v>836</v>
      </c>
      <c r="F970" s="2735" t="s">
        <v>818</v>
      </c>
      <c r="G970" s="2110">
        <v>3.7800925925925925E-2</v>
      </c>
      <c r="H970" s="2111">
        <v>10.210000000000001</v>
      </c>
      <c r="I970" s="2112">
        <f t="shared" si="147"/>
        <v>3.7023433815794242E-3</v>
      </c>
      <c r="J970" s="2113">
        <v>139</v>
      </c>
      <c r="K970" s="2114">
        <v>64</v>
      </c>
      <c r="L970" s="2806">
        <v>223</v>
      </c>
      <c r="M970" s="2829"/>
      <c r="N970" s="1991">
        <f t="shared" si="149"/>
        <v>1.0646834388293596</v>
      </c>
      <c r="O970" s="2116" t="s">
        <v>783</v>
      </c>
      <c r="P970" s="1993">
        <f>IFERROR(VLOOKUP(F970,Trainingsarten!$A$9:$N$84,12,FALSE),"")</f>
        <v>194.60000000000002</v>
      </c>
      <c r="Q970" s="1994" t="s">
        <v>437</v>
      </c>
      <c r="R970" s="1086">
        <f>IFERROR(VLOOKUP(F970,Trainingsarten!$A$9:$N$84,14,FALSE),"")</f>
        <v>212.96</v>
      </c>
      <c r="S970" s="1087">
        <f t="shared" si="145"/>
        <v>1.6043165467625899</v>
      </c>
      <c r="T970" s="1995">
        <f t="shared" si="152"/>
        <v>35.557012085017554</v>
      </c>
      <c r="U970" s="1996">
        <f t="shared" si="150"/>
        <v>38.215047190740272</v>
      </c>
      <c r="V970" s="1997">
        <f t="shared" si="151"/>
        <v>6.7696318035223975</v>
      </c>
      <c r="W970" s="3284">
        <f t="shared" si="148"/>
        <v>0.93044532713891881</v>
      </c>
      <c r="X970" s="3300"/>
      <c r="Y970" s="3316"/>
      <c r="AA970" s="3301"/>
      <c r="AB970" s="3409"/>
      <c r="AE970" s="1056"/>
    </row>
    <row r="971" spans="2:31" ht="16" thickBot="1" x14ac:dyDescent="0.25">
      <c r="B971" s="2979">
        <f>SUM(H969:H975)</f>
        <v>50.99</v>
      </c>
      <c r="C971" s="1998">
        <v>44069</v>
      </c>
      <c r="D971" s="1984"/>
      <c r="E971" s="2218"/>
      <c r="F971" s="2735"/>
      <c r="G971" s="2110"/>
      <c r="H971" s="2111" t="str">
        <f>IFERROR(VLOOKUP(F971,Trainingsarten!$A$9:$K$84,10,FALSE),"")</f>
        <v/>
      </c>
      <c r="I971" s="2112" t="str">
        <f t="shared" si="147"/>
        <v/>
      </c>
      <c r="J971" s="2113"/>
      <c r="K971" s="2114" t="str">
        <f>IFERROR(VLOOKUP(F971,Trainingsarten!$A$9:$K$84,11,FALSE),"0")</f>
        <v>0</v>
      </c>
      <c r="L971" s="2806"/>
      <c r="M971" s="2829"/>
      <c r="N971" s="1991" t="str">
        <f t="shared" si="149"/>
        <v/>
      </c>
      <c r="O971" s="2116"/>
      <c r="P971" s="1993" t="str">
        <f>IFERROR(VLOOKUP(F971,Trainingsarten!$A$9:$N$84,12,FALSE),"")</f>
        <v/>
      </c>
      <c r="Q971" s="1994" t="s">
        <v>437</v>
      </c>
      <c r="R971" s="1086" t="str">
        <f>IFERROR(VLOOKUP(F971,Trainingsarten!$A$9:$N$84,14,FALSE),"")</f>
        <v/>
      </c>
      <c r="S971" s="1087" t="str">
        <f t="shared" ref="S971:S1034" si="153">IFERROR(L971/J971,"")</f>
        <v/>
      </c>
      <c r="T971" s="1995">
        <f t="shared" si="152"/>
        <v>30.477438930015047</v>
      </c>
      <c r="U971" s="1996">
        <f t="shared" si="150"/>
        <v>37.305165114770269</v>
      </c>
      <c r="V971" s="1997">
        <f t="shared" si="151"/>
        <v>2.6580351057227176</v>
      </c>
      <c r="W971" s="3284">
        <f t="shared" si="148"/>
        <v>0.81697638480490431</v>
      </c>
      <c r="X971" s="3300"/>
      <c r="Y971" s="3316"/>
      <c r="AA971" s="3301"/>
      <c r="AB971" s="3409"/>
      <c r="AE971" s="1056"/>
    </row>
    <row r="972" spans="2:31" x14ac:dyDescent="0.2">
      <c r="B972" s="2980" t="s">
        <v>628</v>
      </c>
      <c r="C972" s="1998">
        <v>44070</v>
      </c>
      <c r="D972" s="1984">
        <v>117</v>
      </c>
      <c r="E972" s="2218" t="s">
        <v>836</v>
      </c>
      <c r="F972" s="2735" t="s">
        <v>780</v>
      </c>
      <c r="G972" s="2110">
        <v>3.5104166666666665E-2</v>
      </c>
      <c r="H972" s="2111">
        <v>10</v>
      </c>
      <c r="I972" s="2112">
        <f t="shared" si="147"/>
        <v>3.5104166666666665E-3</v>
      </c>
      <c r="J972" s="2113">
        <v>148</v>
      </c>
      <c r="K972" s="2114">
        <v>68</v>
      </c>
      <c r="L972" s="2806">
        <v>229</v>
      </c>
      <c r="M972" s="2829"/>
      <c r="N972" s="1991">
        <f t="shared" si="149"/>
        <v>1.03665223880597</v>
      </c>
      <c r="O972" s="2116" t="s">
        <v>821</v>
      </c>
      <c r="P972" s="1993" t="str">
        <f>IFERROR(VLOOKUP(F972,Trainingsarten!$A$9:$N$84,12,FALSE),"")</f>
        <v/>
      </c>
      <c r="Q972" s="1994" t="s">
        <v>437</v>
      </c>
      <c r="R972" s="1086" t="str">
        <f>IFERROR(VLOOKUP(F972,Trainingsarten!$A$9:$N$84,14,FALSE),"")</f>
        <v/>
      </c>
      <c r="S972" s="1087">
        <f t="shared" si="153"/>
        <v>1.5472972972972974</v>
      </c>
      <c r="T972" s="1995">
        <f t="shared" si="152"/>
        <v>35.837804797155755</v>
      </c>
      <c r="U972" s="1996">
        <f t="shared" si="150"/>
        <v>38.035994516799548</v>
      </c>
      <c r="V972" s="1997">
        <f t="shared" si="151"/>
        <v>6.8277261847552211</v>
      </c>
      <c r="W972" s="3284">
        <f t="shared" si="148"/>
        <v>0.94220764442815064</v>
      </c>
      <c r="X972" s="3300"/>
      <c r="Y972" s="3316"/>
      <c r="AA972" s="3301"/>
      <c r="AB972" s="3409"/>
      <c r="AE972" s="1056"/>
    </row>
    <row r="973" spans="2:31" ht="16" thickBot="1" x14ac:dyDescent="0.25">
      <c r="B973" s="2981">
        <f>SUM(K969:K975)</f>
        <v>320</v>
      </c>
      <c r="C973" s="1998">
        <v>44071</v>
      </c>
      <c r="D973" s="1984">
        <v>118</v>
      </c>
      <c r="E973" s="2218" t="s">
        <v>836</v>
      </c>
      <c r="F973" s="2735" t="s">
        <v>824</v>
      </c>
      <c r="G973" s="2110">
        <v>3.9618055555555552E-2</v>
      </c>
      <c r="H973" s="2111">
        <v>10.06</v>
      </c>
      <c r="I973" s="2112">
        <f t="shared" si="147"/>
        <v>3.9381764965760986E-3</v>
      </c>
      <c r="J973" s="2113">
        <v>134</v>
      </c>
      <c r="K973" s="2114">
        <v>60</v>
      </c>
      <c r="L973" s="2806">
        <v>211</v>
      </c>
      <c r="M973" s="2829"/>
      <c r="N973" s="1991">
        <f t="shared" si="149"/>
        <v>1.0715601910922523</v>
      </c>
      <c r="O973" s="2116" t="s">
        <v>1460</v>
      </c>
      <c r="P973" s="1993">
        <f>IFERROR(VLOOKUP(F973,Trainingsarten!$A$9:$N$84,12,FALSE),"")</f>
        <v>169.39999999999998</v>
      </c>
      <c r="Q973" s="1994" t="s">
        <v>437</v>
      </c>
      <c r="R973" s="1086">
        <f>IFERROR(VLOOKUP(F973,Trainingsarten!$A$9:$N$84,14,FALSE),"")</f>
        <v>193.60000000000002</v>
      </c>
      <c r="S973" s="1087">
        <f t="shared" si="153"/>
        <v>1.5746268656716418</v>
      </c>
      <c r="T973" s="1995">
        <f t="shared" si="152"/>
        <v>39.289546968990649</v>
      </c>
      <c r="U973" s="1996">
        <f t="shared" si="150"/>
        <v>38.558947028304317</v>
      </c>
      <c r="V973" s="1997">
        <f t="shared" si="151"/>
        <v>2.1981897196437927</v>
      </c>
      <c r="W973" s="3284">
        <f t="shared" si="148"/>
        <v>1.0189476113066582</v>
      </c>
      <c r="X973" s="3300"/>
      <c r="Y973" s="3316"/>
      <c r="AA973" s="3301"/>
      <c r="AB973" s="3409"/>
      <c r="AE973" s="1056"/>
    </row>
    <row r="974" spans="2:31" x14ac:dyDescent="0.2">
      <c r="B974" s="2982" t="s">
        <v>761</v>
      </c>
      <c r="C974" s="1998">
        <v>44072</v>
      </c>
      <c r="D974" s="1984"/>
      <c r="E974" s="2218"/>
      <c r="F974" s="2735"/>
      <c r="G974" s="2110"/>
      <c r="H974" s="2111" t="str">
        <f>IFERROR(VLOOKUP(F974,Trainingsarten!$A$9:$K$84,10,FALSE),"")</f>
        <v/>
      </c>
      <c r="I974" s="2112" t="str">
        <f t="shared" si="147"/>
        <v/>
      </c>
      <c r="J974" s="2113"/>
      <c r="K974" s="2114" t="str">
        <f>IFERROR(VLOOKUP(F974,Trainingsarten!$A$9:$K$84,11,FALSE),"0")</f>
        <v>0</v>
      </c>
      <c r="L974" s="2806"/>
      <c r="M974" s="2829"/>
      <c r="N974" s="1991" t="str">
        <f t="shared" si="149"/>
        <v/>
      </c>
      <c r="O974" s="2116"/>
      <c r="P974" s="1993" t="str">
        <f>IFERROR(VLOOKUP(F974,Trainingsarten!$A$9:$N$84,12,FALSE),"")</f>
        <v/>
      </c>
      <c r="Q974" s="1994" t="s">
        <v>437</v>
      </c>
      <c r="R974" s="1086" t="str">
        <f>IFERROR(VLOOKUP(F974,Trainingsarten!$A$9:$N$84,14,FALSE),"")</f>
        <v/>
      </c>
      <c r="S974" s="1087" t="str">
        <f t="shared" si="153"/>
        <v/>
      </c>
      <c r="T974" s="1995">
        <f t="shared" si="152"/>
        <v>33.676754544849125</v>
      </c>
      <c r="U974" s="1996">
        <f t="shared" si="150"/>
        <v>37.640876860963736</v>
      </c>
      <c r="V974" s="1997">
        <f t="shared" si="151"/>
        <v>-0.73059994068633216</v>
      </c>
      <c r="W974" s="3284">
        <f t="shared" si="148"/>
        <v>0.89468570748877296</v>
      </c>
      <c r="X974" s="3300"/>
      <c r="Y974" s="3316"/>
      <c r="AA974" s="3301"/>
      <c r="AB974" s="3409"/>
      <c r="AE974" s="1056"/>
    </row>
    <row r="975" spans="2:31" ht="16" thickBot="1" x14ac:dyDescent="0.25">
      <c r="B975" s="2983">
        <f>AVERAGE(W969:W975)</f>
        <v>0.94401339617686275</v>
      </c>
      <c r="C975" s="2214">
        <v>44073</v>
      </c>
      <c r="D975" s="1108">
        <v>119</v>
      </c>
      <c r="E975" s="2051" t="s">
        <v>836</v>
      </c>
      <c r="F975" s="2736" t="s">
        <v>811</v>
      </c>
      <c r="G975" s="2120">
        <v>7.6967592592592601E-2</v>
      </c>
      <c r="H975" s="2121">
        <v>20.72</v>
      </c>
      <c r="I975" s="2122">
        <f t="shared" si="147"/>
        <v>3.7146521521521526E-3</v>
      </c>
      <c r="J975" s="2123">
        <v>142</v>
      </c>
      <c r="K975" s="2124">
        <v>128</v>
      </c>
      <c r="L975" s="2807">
        <v>222</v>
      </c>
      <c r="M975" s="2830"/>
      <c r="N975" s="1223">
        <f t="shared" si="149"/>
        <v>1.0634328358208955</v>
      </c>
      <c r="O975" s="2125" t="s">
        <v>858</v>
      </c>
      <c r="P975" s="2126">
        <f>IFERROR(VLOOKUP(F975,Trainingsarten!$A$9:$N$84,12,FALSE),"")</f>
        <v>194.60000000000002</v>
      </c>
      <c r="Q975" s="2127" t="s">
        <v>437</v>
      </c>
      <c r="R975" s="1105">
        <f>IFERROR(VLOOKUP(F975,Trainingsarten!$A$9:$N$84,14,FALSE),"")</f>
        <v>212.96</v>
      </c>
      <c r="S975" s="2227">
        <f t="shared" si="153"/>
        <v>1.5633802816901408</v>
      </c>
      <c r="T975" s="2145">
        <f t="shared" si="152"/>
        <v>47.151503895584966</v>
      </c>
      <c r="U975" s="2225">
        <f t="shared" si="150"/>
        <v>39.79228455475031</v>
      </c>
      <c r="V975" s="2225">
        <f t="shared" si="151"/>
        <v>3.9641223161146115</v>
      </c>
      <c r="W975" s="3285">
        <f t="shared" si="148"/>
        <v>1.1849408603496763</v>
      </c>
      <c r="X975" s="3300"/>
      <c r="Y975" s="3316"/>
      <c r="AA975" s="3301"/>
      <c r="AB975" s="3409"/>
      <c r="AE975" s="1056"/>
    </row>
    <row r="976" spans="2:31" ht="16" thickBot="1" x14ac:dyDescent="0.25">
      <c r="B976" s="2985">
        <f>B969+1</f>
        <v>36</v>
      </c>
      <c r="C976" s="1245">
        <v>44074</v>
      </c>
      <c r="D976" s="1111"/>
      <c r="E976" s="2087"/>
      <c r="F976" s="2724"/>
      <c r="G976" s="1647"/>
      <c r="H976" s="1648" t="str">
        <f>IFERROR(VLOOKUP(F976,Trainingsarten!$A$9:$K$84,10,FALSE),"")</f>
        <v/>
      </c>
      <c r="I976" s="1399" t="str">
        <f t="shared" si="147"/>
        <v/>
      </c>
      <c r="J976" s="1326"/>
      <c r="K976" s="1325" t="str">
        <f>IFERROR(VLOOKUP(F976,Trainingsarten!$A$9:$K$84,11,FALSE),"0")</f>
        <v>0</v>
      </c>
      <c r="L976" s="1326"/>
      <c r="M976" s="2831"/>
      <c r="N976" s="1119" t="str">
        <f t="shared" si="149"/>
        <v/>
      </c>
      <c r="O976" s="1649"/>
      <c r="P976" s="1277" t="str">
        <f>IFERROR(VLOOKUP(F976,Trainingsarten!$A$9:$N$84,12,FALSE),"")</f>
        <v/>
      </c>
      <c r="Q976" s="1122" t="s">
        <v>437</v>
      </c>
      <c r="R976" s="1122" t="str">
        <f>IFERROR(VLOOKUP(F976,Trainingsarten!$A$9:$N$84,14,FALSE),"")</f>
        <v/>
      </c>
      <c r="S976" s="1125" t="str">
        <f t="shared" si="153"/>
        <v/>
      </c>
      <c r="T976" s="1650">
        <f t="shared" si="152"/>
        <v>40.415574767644259</v>
      </c>
      <c r="U976" s="1651">
        <f t="shared" si="150"/>
        <v>38.844849208208636</v>
      </c>
      <c r="V976" s="1278">
        <f t="shared" si="151"/>
        <v>-7.359219340834656</v>
      </c>
      <c r="W976" s="3286">
        <f t="shared" si="148"/>
        <v>1.0404358773802036</v>
      </c>
      <c r="X976" s="3300"/>
      <c r="Y976" s="3316"/>
      <c r="AA976" s="3301"/>
      <c r="AB976" s="3409"/>
      <c r="AE976" s="1056"/>
    </row>
    <row r="977" spans="2:31" x14ac:dyDescent="0.2">
      <c r="B977" s="2978" t="s">
        <v>626</v>
      </c>
      <c r="C977" s="2235">
        <v>44075</v>
      </c>
      <c r="D977" s="2233">
        <v>120</v>
      </c>
      <c r="E977" s="2218" t="s">
        <v>836</v>
      </c>
      <c r="F977" s="2735" t="s">
        <v>818</v>
      </c>
      <c r="G977" s="2236">
        <v>3.6608796296296299E-2</v>
      </c>
      <c r="H977" s="1826">
        <v>10.220000000000001</v>
      </c>
      <c r="I977" s="1902">
        <f t="shared" si="147"/>
        <v>3.5820740015945498E-3</v>
      </c>
      <c r="J977" s="2237">
        <v>140</v>
      </c>
      <c r="K977" s="2238">
        <v>65</v>
      </c>
      <c r="L977" s="2806">
        <v>229</v>
      </c>
      <c r="M977" s="2829"/>
      <c r="N977" s="1831">
        <f t="shared" si="149"/>
        <v>1.0578131845664049</v>
      </c>
      <c r="O977" s="2239" t="s">
        <v>783</v>
      </c>
      <c r="P977" s="1755">
        <f>IFERROR(VLOOKUP(F977,Trainingsarten!$A$9:$N$84,12,FALSE),"")</f>
        <v>194.60000000000002</v>
      </c>
      <c r="Q977" s="1756" t="s">
        <v>437</v>
      </c>
      <c r="R977" s="1086">
        <f>IFERROR(VLOOKUP(F977,Trainingsarten!$A$9:$N$84,14,FALSE),"")</f>
        <v>212.96</v>
      </c>
      <c r="S977" s="1087">
        <f t="shared" si="153"/>
        <v>1.6357142857142857</v>
      </c>
      <c r="T977" s="1951">
        <f t="shared" si="152"/>
        <v>43.927635515123647</v>
      </c>
      <c r="U977" s="1952">
        <f t="shared" si="150"/>
        <v>39.467590893727476</v>
      </c>
      <c r="V977" s="2240">
        <f>U976-T976</f>
        <v>-1.5707255594356226</v>
      </c>
      <c r="W977" s="3284">
        <f t="shared" si="148"/>
        <v>1.1130052410192841</v>
      </c>
      <c r="X977" s="3300"/>
      <c r="Y977" s="3316"/>
      <c r="AA977" s="3301"/>
      <c r="AB977" s="3409"/>
      <c r="AE977" s="1056"/>
    </row>
    <row r="978" spans="2:31" ht="16" thickBot="1" x14ac:dyDescent="0.25">
      <c r="B978" s="2979">
        <f>SUM(H976:H982)</f>
        <v>54.65</v>
      </c>
      <c r="C978" s="2235">
        <v>44076</v>
      </c>
      <c r="D978" s="2233"/>
      <c r="E978" s="2218"/>
      <c r="F978" s="2735"/>
      <c r="G978" s="2236"/>
      <c r="H978" s="1826" t="str">
        <f>IFERROR(VLOOKUP(F978,Trainingsarten!$A$9:$K$84,10,FALSE),"")</f>
        <v/>
      </c>
      <c r="I978" s="1902" t="str">
        <f t="shared" si="147"/>
        <v/>
      </c>
      <c r="J978" s="2237"/>
      <c r="K978" s="2238" t="str">
        <f>IFERROR(VLOOKUP(F978,Trainingsarten!$A$9:$K$84,11,FALSE),"0")</f>
        <v>0</v>
      </c>
      <c r="L978" s="2806"/>
      <c r="M978" s="2829"/>
      <c r="N978" s="1831" t="str">
        <f t="shared" si="149"/>
        <v/>
      </c>
      <c r="O978" s="2239"/>
      <c r="P978" s="1755" t="str">
        <f>IFERROR(VLOOKUP(F978,Trainingsarten!$A$9:$N$84,12,FALSE),"")</f>
        <v/>
      </c>
      <c r="Q978" s="1756" t="s">
        <v>437</v>
      </c>
      <c r="R978" s="1086" t="str">
        <f>IFERROR(VLOOKUP(F978,Trainingsarten!$A$9:$N$84,14,FALSE),"")</f>
        <v/>
      </c>
      <c r="S978" s="1087" t="str">
        <f t="shared" si="153"/>
        <v/>
      </c>
      <c r="T978" s="1951">
        <f t="shared" si="152"/>
        <v>37.652259012963128</v>
      </c>
      <c r="U978" s="1952">
        <f t="shared" si="150"/>
        <v>38.527886348638724</v>
      </c>
      <c r="V978" s="2240">
        <f t="shared" si="151"/>
        <v>-4.4600446213961717</v>
      </c>
      <c r="W978" s="3284">
        <f t="shared" si="148"/>
        <v>0.97727289455351773</v>
      </c>
      <c r="X978" s="3300"/>
      <c r="Y978" s="3316"/>
      <c r="AA978" s="3301"/>
      <c r="AB978" s="3409"/>
      <c r="AE978" s="1056"/>
    </row>
    <row r="979" spans="2:31" x14ac:dyDescent="0.2">
      <c r="B979" s="2980" t="s">
        <v>628</v>
      </c>
      <c r="C979" s="2235">
        <v>44077</v>
      </c>
      <c r="D979" s="2233">
        <v>121</v>
      </c>
      <c r="E979" s="2218" t="s">
        <v>836</v>
      </c>
      <c r="F979" s="2735" t="s">
        <v>652</v>
      </c>
      <c r="G979" s="2236">
        <v>3.7812500000000006E-2</v>
      </c>
      <c r="H979" s="1826">
        <v>10.57</v>
      </c>
      <c r="I979" s="1902">
        <f t="shared" si="147"/>
        <v>3.5773415326395461E-3</v>
      </c>
      <c r="J979" s="2237">
        <v>148</v>
      </c>
      <c r="K979" s="2238">
        <v>72</v>
      </c>
      <c r="L979" s="2806">
        <v>224</v>
      </c>
      <c r="M979" s="2829"/>
      <c r="N979" s="1831">
        <f t="shared" si="149"/>
        <v>1.033349807255115</v>
      </c>
      <c r="O979" s="2239" t="s">
        <v>821</v>
      </c>
      <c r="P979" s="1755" t="str">
        <f>IFERROR(VLOOKUP(F979,Trainingsarten!$A$9:$N$84,12,FALSE),"")</f>
        <v/>
      </c>
      <c r="Q979" s="1756" t="s">
        <v>437</v>
      </c>
      <c r="R979" s="1086" t="str">
        <f>IFERROR(VLOOKUP(F979,Trainingsarten!$A$9:$N$84,14,FALSE),"")</f>
        <v/>
      </c>
      <c r="S979" s="1087">
        <f t="shared" si="153"/>
        <v>1.5135135135135136</v>
      </c>
      <c r="T979" s="1951">
        <f t="shared" si="152"/>
        <v>42.559079153968398</v>
      </c>
      <c r="U979" s="1952">
        <f t="shared" si="150"/>
        <v>39.324841435575898</v>
      </c>
      <c r="V979" s="2240">
        <f t="shared" si="151"/>
        <v>0.87562733567559548</v>
      </c>
      <c r="W979" s="3284">
        <f t="shared" si="148"/>
        <v>1.0822441388273873</v>
      </c>
      <c r="X979" s="3300"/>
      <c r="Y979" s="3316"/>
      <c r="AA979" s="3301"/>
      <c r="AB979" s="3409"/>
      <c r="AE979" s="1056"/>
    </row>
    <row r="980" spans="2:31" ht="16" thickBot="1" x14ac:dyDescent="0.25">
      <c r="B980" s="2981">
        <f>SUM(K976:K982)</f>
        <v>340</v>
      </c>
      <c r="C980" s="2235">
        <v>44078</v>
      </c>
      <c r="D980" s="2241"/>
      <c r="E980" s="2218"/>
      <c r="F980" s="2735"/>
      <c r="G980" s="2236"/>
      <c r="H980" s="1826" t="str">
        <f>IFERROR(VLOOKUP(F980,Trainingsarten!$A$9:$K$84,10,FALSE),"")</f>
        <v/>
      </c>
      <c r="I980" s="1902" t="str">
        <f t="shared" si="147"/>
        <v/>
      </c>
      <c r="J980" s="2237"/>
      <c r="K980" s="2238" t="str">
        <f>IFERROR(VLOOKUP(F980,Trainingsarten!$A$9:$K$84,11,FALSE),"0")</f>
        <v>0</v>
      </c>
      <c r="L980" s="2806"/>
      <c r="M980" s="2829"/>
      <c r="N980" s="1831" t="str">
        <f t="shared" si="149"/>
        <v/>
      </c>
      <c r="O980" s="2239"/>
      <c r="P980" s="1755" t="str">
        <f>IFERROR(VLOOKUP(F980,Trainingsarten!$A$9:$N$84,12,FALSE),"")</f>
        <v/>
      </c>
      <c r="Q980" s="1756" t="s">
        <v>437</v>
      </c>
      <c r="R980" s="1086" t="str">
        <f>IFERROR(VLOOKUP(F980,Trainingsarten!$A$9:$N$84,14,FALSE),"")</f>
        <v/>
      </c>
      <c r="S980" s="1087" t="str">
        <f t="shared" si="153"/>
        <v/>
      </c>
      <c r="T980" s="1951">
        <f t="shared" si="152"/>
        <v>36.479210703401485</v>
      </c>
      <c r="U980" s="1952">
        <f t="shared" si="150"/>
        <v>38.388535687109808</v>
      </c>
      <c r="V980" s="2240">
        <f t="shared" si="151"/>
        <v>-3.2342377183924995</v>
      </c>
      <c r="W980" s="3284">
        <f t="shared" si="148"/>
        <v>0.950263146287462</v>
      </c>
      <c r="X980" s="3300"/>
      <c r="Y980" s="3316"/>
      <c r="AA980" s="3301"/>
      <c r="AB980" s="3409"/>
      <c r="AE980" s="1056"/>
    </row>
    <row r="981" spans="2:31" x14ac:dyDescent="0.2">
      <c r="B981" s="2982" t="s">
        <v>761</v>
      </c>
      <c r="C981" s="2235">
        <v>44079</v>
      </c>
      <c r="D981" s="2241">
        <v>122</v>
      </c>
      <c r="E981" s="2218" t="s">
        <v>836</v>
      </c>
      <c r="F981" s="2735" t="s">
        <v>824</v>
      </c>
      <c r="G981" s="2236">
        <v>3.8703703703703705E-2</v>
      </c>
      <c r="H981" s="1826">
        <v>9.64</v>
      </c>
      <c r="I981" s="1902">
        <f t="shared" si="147"/>
        <v>4.0149070232057783E-3</v>
      </c>
      <c r="J981" s="2237">
        <v>135</v>
      </c>
      <c r="K981" s="2238">
        <v>55</v>
      </c>
      <c r="L981" s="2806">
        <v>206</v>
      </c>
      <c r="M981" s="2829"/>
      <c r="N981" s="1831">
        <f t="shared" si="149"/>
        <v>1.0665510621168017</v>
      </c>
      <c r="O981" s="2239" t="s">
        <v>1460</v>
      </c>
      <c r="P981" s="1755">
        <f>IFERROR(VLOOKUP(F981,Trainingsarten!$A$9:$N$84,12,FALSE),"")</f>
        <v>169.39999999999998</v>
      </c>
      <c r="Q981" s="1756" t="s">
        <v>437</v>
      </c>
      <c r="R981" s="1086">
        <f>IFERROR(VLOOKUP(F981,Trainingsarten!$A$9:$N$84,14,FALSE),"")</f>
        <v>193.60000000000002</v>
      </c>
      <c r="S981" s="1087">
        <f t="shared" si="153"/>
        <v>1.5259259259259259</v>
      </c>
      <c r="T981" s="1951">
        <f t="shared" si="152"/>
        <v>39.125037745772701</v>
      </c>
      <c r="U981" s="1952">
        <f t="shared" si="150"/>
        <v>38.784046742178624</v>
      </c>
      <c r="V981" s="2240">
        <f t="shared" si="151"/>
        <v>1.9093249837083235</v>
      </c>
      <c r="W981" s="3284">
        <f t="shared" si="148"/>
        <v>1.0087920429206589</v>
      </c>
      <c r="X981" s="3300"/>
      <c r="Y981" s="3316"/>
      <c r="AA981" s="3301"/>
      <c r="AB981" s="3409"/>
      <c r="AE981" s="1056"/>
    </row>
    <row r="982" spans="2:31" ht="16" thickBot="1" x14ac:dyDescent="0.25">
      <c r="B982" s="2983">
        <f>AVERAGE(W976:W982)</f>
        <v>1.0704642245119835</v>
      </c>
      <c r="C982" s="2195">
        <v>44080</v>
      </c>
      <c r="D982" s="1996">
        <v>123</v>
      </c>
      <c r="E982" s="2224" t="s">
        <v>836</v>
      </c>
      <c r="F982" s="2736" t="s">
        <v>812</v>
      </c>
      <c r="G982" s="2097">
        <v>8.9629629629629629E-2</v>
      </c>
      <c r="H982" s="2098">
        <v>24.22</v>
      </c>
      <c r="I982" s="2099">
        <f t="shared" si="147"/>
        <v>3.7006453191424293E-3</v>
      </c>
      <c r="J982" s="2100">
        <v>142</v>
      </c>
      <c r="K982" s="2101">
        <v>148</v>
      </c>
      <c r="L982" s="2808">
        <v>221</v>
      </c>
      <c r="M982" s="2832"/>
      <c r="N982" s="2102">
        <f t="shared" si="149"/>
        <v>1.0546507758482566</v>
      </c>
      <c r="O982" s="2103" t="s">
        <v>858</v>
      </c>
      <c r="P982" s="2027">
        <f>IFERROR(VLOOKUP(F982,Trainingsarten!$A$9:$N$84,12,FALSE),"")</f>
        <v>194.60000000000002</v>
      </c>
      <c r="Q982" s="1151" t="s">
        <v>437</v>
      </c>
      <c r="R982" s="1151">
        <f>IFERROR(VLOOKUP(F982,Trainingsarten!$A$9:$N$84,14,FALSE),"")</f>
        <v>212.96</v>
      </c>
      <c r="S982" s="2227">
        <f t="shared" si="153"/>
        <v>1.556338028169014</v>
      </c>
      <c r="T982" s="1995">
        <f t="shared" si="152"/>
        <v>54.678603782090889</v>
      </c>
      <c r="U982" s="1996">
        <f t="shared" si="150"/>
        <v>41.384426581650558</v>
      </c>
      <c r="V982" s="1996">
        <f t="shared" si="151"/>
        <v>-0.34099100359407686</v>
      </c>
      <c r="W982" s="3287">
        <f t="shared" si="148"/>
        <v>1.3212362305953718</v>
      </c>
      <c r="X982" s="3300"/>
      <c r="Y982" s="3316"/>
      <c r="AA982" s="3301"/>
      <c r="AB982" s="3409"/>
      <c r="AE982" s="1056"/>
    </row>
    <row r="983" spans="2:31" ht="16" thickBot="1" x14ac:dyDescent="0.25">
      <c r="B983" s="2985">
        <f>B976+1</f>
        <v>37</v>
      </c>
      <c r="C983" s="2189">
        <v>44081</v>
      </c>
      <c r="D983" s="2106"/>
      <c r="E983" s="2069"/>
      <c r="F983" s="2724"/>
      <c r="G983" s="2032"/>
      <c r="H983" s="2033" t="str">
        <f>IFERROR(VLOOKUP(F983,Trainingsarten!$A$9:$K$84,10,FALSE),"")</f>
        <v/>
      </c>
      <c r="I983" s="2034" t="str">
        <f t="shared" si="147"/>
        <v/>
      </c>
      <c r="J983" s="2035"/>
      <c r="K983" s="2036" t="str">
        <f>IFERROR(VLOOKUP(F983,Trainingsarten!$A$9:$K$84,11,FALSE),"0")</f>
        <v>0</v>
      </c>
      <c r="L983" s="1915"/>
      <c r="M983" s="2833"/>
      <c r="N983" s="2037" t="str">
        <f t="shared" si="149"/>
        <v/>
      </c>
      <c r="O983" s="2038"/>
      <c r="P983" s="2039" t="str">
        <f>IFERROR(VLOOKUP(F983,Trainingsarten!$A$9:$N$84,12,FALSE),"")</f>
        <v/>
      </c>
      <c r="Q983" s="1069" t="s">
        <v>437</v>
      </c>
      <c r="R983" s="1069" t="str">
        <f>IFERROR(VLOOKUP(F983,Trainingsarten!$A$9:$N$84,14,FALSE),"")</f>
        <v/>
      </c>
      <c r="S983" s="1125" t="str">
        <f t="shared" si="153"/>
        <v/>
      </c>
      <c r="T983" s="2190">
        <f t="shared" si="152"/>
        <v>46.867374670363617</v>
      </c>
      <c r="U983" s="1922">
        <f t="shared" si="150"/>
        <v>40.39908309161126</v>
      </c>
      <c r="V983" s="2030">
        <f t="shared" si="151"/>
        <v>-13.29417720044033</v>
      </c>
      <c r="W983" s="3283">
        <f t="shared" si="148"/>
        <v>1.1601098610105702</v>
      </c>
      <c r="X983" s="3300"/>
      <c r="Y983" s="3316"/>
      <c r="AA983" s="3301"/>
      <c r="AB983" s="3409"/>
      <c r="AE983" s="1056"/>
    </row>
    <row r="984" spans="2:31" x14ac:dyDescent="0.2">
      <c r="B984" s="2978" t="s">
        <v>626</v>
      </c>
      <c r="C984" s="2191">
        <v>44082</v>
      </c>
      <c r="D984" s="1984"/>
      <c r="E984" s="2218"/>
      <c r="F984" s="2735"/>
      <c r="G984" s="2110"/>
      <c r="H984" s="2111" t="str">
        <f>IFERROR(VLOOKUP(F984,Trainingsarten!$A$9:$K$84,10,FALSE),"")</f>
        <v/>
      </c>
      <c r="I984" s="2112" t="str">
        <f t="shared" si="147"/>
        <v/>
      </c>
      <c r="J984" s="2113"/>
      <c r="K984" s="2114" t="str">
        <f>IFERROR(VLOOKUP(F984,Trainingsarten!$A$9:$K$84,11,FALSE),"0")</f>
        <v>0</v>
      </c>
      <c r="L984" s="2806"/>
      <c r="M984" s="2829"/>
      <c r="N984" s="1991" t="str">
        <f t="shared" si="149"/>
        <v/>
      </c>
      <c r="O984" s="2116"/>
      <c r="P984" s="1993" t="str">
        <f>IFERROR(VLOOKUP(F984,Trainingsarten!$A$9:$N$84,12,FALSE),"")</f>
        <v/>
      </c>
      <c r="Q984" s="1994" t="s">
        <v>437</v>
      </c>
      <c r="R984" s="1086" t="str">
        <f>IFERROR(VLOOKUP(F984,Trainingsarten!$A$9:$N$84,14,FALSE),"")</f>
        <v/>
      </c>
      <c r="S984" s="1087" t="str">
        <f t="shared" si="153"/>
        <v/>
      </c>
      <c r="T984" s="1995">
        <f t="shared" si="152"/>
        <v>40.172035431740241</v>
      </c>
      <c r="U984" s="1996">
        <f t="shared" si="150"/>
        <v>39.437200160858609</v>
      </c>
      <c r="V984" s="1997">
        <f t="shared" si="151"/>
        <v>-6.4682915787523569</v>
      </c>
      <c r="W984" s="3284">
        <f t="shared" si="148"/>
        <v>1.0186330486922079</v>
      </c>
      <c r="X984" s="3300"/>
      <c r="Y984" s="3316"/>
      <c r="AA984" s="3301"/>
      <c r="AB984" s="3409"/>
      <c r="AE984" s="1056"/>
    </row>
    <row r="985" spans="2:31" ht="16" thickBot="1" x14ac:dyDescent="0.25">
      <c r="B985" s="2979">
        <f>SUM(H983:H989)</f>
        <v>35.69</v>
      </c>
      <c r="C985" s="1998">
        <v>44083</v>
      </c>
      <c r="D985" s="1984">
        <v>124</v>
      </c>
      <c r="E985" s="2218" t="s">
        <v>836</v>
      </c>
      <c r="F985" s="2735" t="s">
        <v>824</v>
      </c>
      <c r="G985" s="2110">
        <v>3.9432870370370368E-2</v>
      </c>
      <c r="H985" s="2111">
        <v>9.8699999999999992</v>
      </c>
      <c r="I985" s="2112">
        <f t="shared" si="147"/>
        <v>3.9952249615370188E-3</v>
      </c>
      <c r="J985" s="2113">
        <v>130</v>
      </c>
      <c r="K985" s="2114">
        <v>57</v>
      </c>
      <c r="L985" s="2806">
        <v>206</v>
      </c>
      <c r="M985" s="2829"/>
      <c r="N985" s="1991">
        <f t="shared" si="149"/>
        <v>1.0613225664988131</v>
      </c>
      <c r="O985" s="2116" t="s">
        <v>1460</v>
      </c>
      <c r="P985" s="1993">
        <f>IFERROR(VLOOKUP(F985,Trainingsarten!$A$9:$N$84,12,FALSE),"")</f>
        <v>169.39999999999998</v>
      </c>
      <c r="Q985" s="1994" t="s">
        <v>437</v>
      </c>
      <c r="R985" s="1086">
        <f>IFERROR(VLOOKUP(F985,Trainingsarten!$A$9:$N$84,14,FALSE),"")</f>
        <v>193.60000000000002</v>
      </c>
      <c r="S985" s="1087">
        <f t="shared" si="153"/>
        <v>1.5846153846153845</v>
      </c>
      <c r="T985" s="1995">
        <f t="shared" si="152"/>
        <v>42.576030370063066</v>
      </c>
      <c r="U985" s="1996">
        <f t="shared" si="150"/>
        <v>39.855362061790544</v>
      </c>
      <c r="V985" s="1997">
        <f t="shared" si="151"/>
        <v>-0.73483527088163214</v>
      </c>
      <c r="W985" s="3284">
        <f t="shared" si="148"/>
        <v>1.0682635451675104</v>
      </c>
      <c r="X985" s="3300"/>
      <c r="Y985" s="3316"/>
      <c r="AA985" s="3301"/>
      <c r="AB985" s="3409"/>
      <c r="AE985" s="1056"/>
    </row>
    <row r="986" spans="2:31" x14ac:dyDescent="0.2">
      <c r="B986" s="2980" t="s">
        <v>628</v>
      </c>
      <c r="C986" s="1998">
        <v>44084</v>
      </c>
      <c r="D986" s="1984"/>
      <c r="E986" s="2218"/>
      <c r="F986" s="2735"/>
      <c r="G986" s="2110"/>
      <c r="H986" s="2111" t="str">
        <f>IFERROR(VLOOKUP(F986,Trainingsarten!$A$9:$K$84,10,FALSE),"")</f>
        <v/>
      </c>
      <c r="I986" s="2112" t="str">
        <f t="shared" si="147"/>
        <v/>
      </c>
      <c r="J986" s="2113"/>
      <c r="K986" s="2114" t="str">
        <f>IFERROR(VLOOKUP(F986,Trainingsarten!$A$9:$K$84,11,FALSE),"0")</f>
        <v>0</v>
      </c>
      <c r="L986" s="2806"/>
      <c r="M986" s="2829"/>
      <c r="N986" s="1991" t="str">
        <f t="shared" si="149"/>
        <v/>
      </c>
      <c r="O986" s="2116"/>
      <c r="P986" s="1993" t="str">
        <f>IFERROR(VLOOKUP(F986,Trainingsarten!$A$9:$N$84,12,FALSE),"")</f>
        <v/>
      </c>
      <c r="Q986" s="1994" t="s">
        <v>437</v>
      </c>
      <c r="R986" s="1086" t="str">
        <f>IFERROR(VLOOKUP(F986,Trainingsarten!$A$9:$N$84,14,FALSE),"")</f>
        <v/>
      </c>
      <c r="S986" s="1087" t="str">
        <f t="shared" si="153"/>
        <v/>
      </c>
      <c r="T986" s="1995">
        <f t="shared" si="152"/>
        <v>36.493740317196917</v>
      </c>
      <c r="U986" s="1996">
        <f t="shared" si="150"/>
        <v>38.90642486984315</v>
      </c>
      <c r="V986" s="1997">
        <f t="shared" si="151"/>
        <v>-2.720668308272522</v>
      </c>
      <c r="W986" s="3284">
        <f t="shared" si="148"/>
        <v>0.93798750307391177</v>
      </c>
      <c r="X986" s="3300"/>
      <c r="Y986" s="3316"/>
      <c r="AA986" s="3301"/>
      <c r="AB986" s="3409"/>
      <c r="AE986" s="1056"/>
    </row>
    <row r="987" spans="2:31" ht="16" thickBot="1" x14ac:dyDescent="0.25">
      <c r="B987" s="2981">
        <f>SUM(K983:K989)</f>
        <v>217</v>
      </c>
      <c r="C987" s="1998">
        <v>44085</v>
      </c>
      <c r="D987" s="1984">
        <v>125</v>
      </c>
      <c r="E987" s="2218" t="s">
        <v>836</v>
      </c>
      <c r="F987" s="2735" t="s">
        <v>824</v>
      </c>
      <c r="G987" s="2110">
        <v>3.888888888888889E-2</v>
      </c>
      <c r="H987" s="2111">
        <v>9.85</v>
      </c>
      <c r="I987" s="2112">
        <f t="shared" si="147"/>
        <v>3.948110547095319E-3</v>
      </c>
      <c r="J987" s="2113">
        <v>131</v>
      </c>
      <c r="K987" s="2114">
        <v>57</v>
      </c>
      <c r="L987" s="2806">
        <v>208</v>
      </c>
      <c r="M987" s="2829"/>
      <c r="N987" s="1991">
        <f t="shared" si="149"/>
        <v>1.0589893173725284</v>
      </c>
      <c r="O987" s="2116" t="s">
        <v>1460</v>
      </c>
      <c r="P987" s="1993">
        <f>IFERROR(VLOOKUP(F987,Trainingsarten!$A$9:$N$84,12,FALSE),"")</f>
        <v>169.39999999999998</v>
      </c>
      <c r="Q987" s="1994" t="s">
        <v>437</v>
      </c>
      <c r="R987" s="1086">
        <f>IFERROR(VLOOKUP(F987,Trainingsarten!$A$9:$N$84,14,FALSE),"")</f>
        <v>193.60000000000002</v>
      </c>
      <c r="S987" s="1087">
        <f t="shared" si="153"/>
        <v>1.5877862595419847</v>
      </c>
      <c r="T987" s="1995">
        <f t="shared" si="152"/>
        <v>39.423205986168789</v>
      </c>
      <c r="U987" s="1996">
        <f t="shared" si="150"/>
        <v>39.337224277704024</v>
      </c>
      <c r="V987" s="1997">
        <f t="shared" si="151"/>
        <v>2.4126845526462333</v>
      </c>
      <c r="W987" s="3284">
        <f t="shared" si="148"/>
        <v>1.0021857594185541</v>
      </c>
      <c r="X987" s="3300"/>
      <c r="Y987" s="3316"/>
      <c r="AA987" s="3301"/>
      <c r="AB987" s="3409"/>
      <c r="AE987" s="1056"/>
    </row>
    <row r="988" spans="2:31" x14ac:dyDescent="0.2">
      <c r="B988" s="2982" t="s">
        <v>761</v>
      </c>
      <c r="C988" s="1998">
        <v>44086</v>
      </c>
      <c r="D988" s="1984"/>
      <c r="E988" s="2218"/>
      <c r="F988" s="2735"/>
      <c r="G988" s="2110"/>
      <c r="H988" s="2111" t="str">
        <f>IFERROR(VLOOKUP(F988,Trainingsarten!$A$9:$K$84,10,FALSE),"")</f>
        <v/>
      </c>
      <c r="I988" s="2112" t="str">
        <f t="shared" si="147"/>
        <v/>
      </c>
      <c r="J988" s="2113"/>
      <c r="K988" s="2114" t="str">
        <f>IFERROR(VLOOKUP(F988,Trainingsarten!$A$9:$K$84,11,FALSE),"0")</f>
        <v>0</v>
      </c>
      <c r="L988" s="2806"/>
      <c r="M988" s="2829"/>
      <c r="N988" s="1991" t="str">
        <f t="shared" si="149"/>
        <v/>
      </c>
      <c r="O988" s="2116"/>
      <c r="P988" s="1993" t="str">
        <f>IFERROR(VLOOKUP(F988,Trainingsarten!$A$9:$N$84,12,FALSE),"")</f>
        <v/>
      </c>
      <c r="Q988" s="1994" t="s">
        <v>437</v>
      </c>
      <c r="R988" s="1086" t="str">
        <f>IFERROR(VLOOKUP(F988,Trainingsarten!$A$9:$N$84,14,FALSE),"")</f>
        <v/>
      </c>
      <c r="S988" s="1087" t="str">
        <f t="shared" si="153"/>
        <v/>
      </c>
      <c r="T988" s="1995">
        <f t="shared" si="152"/>
        <v>33.791319416716107</v>
      </c>
      <c r="U988" s="1996">
        <f t="shared" si="150"/>
        <v>38.400623699663456</v>
      </c>
      <c r="V988" s="1997">
        <f t="shared" si="151"/>
        <v>-8.5981708464764495E-2</v>
      </c>
      <c r="W988" s="3284">
        <f t="shared" si="148"/>
        <v>0.87996798387970598</v>
      </c>
      <c r="X988" s="3300"/>
      <c r="Y988" s="3316"/>
      <c r="AA988" s="3301"/>
      <c r="AB988" s="3409"/>
      <c r="AE988" s="1056"/>
    </row>
    <row r="989" spans="2:31" ht="16" thickBot="1" x14ac:dyDescent="0.25">
      <c r="B989" s="2983">
        <f>AVERAGE(W983:W989)</f>
        <v>1.0229686323249434</v>
      </c>
      <c r="C989" s="2214">
        <v>44087</v>
      </c>
      <c r="D989" s="1108">
        <v>126</v>
      </c>
      <c r="E989" s="2051" t="s">
        <v>836</v>
      </c>
      <c r="F989" s="2733" t="s">
        <v>862</v>
      </c>
      <c r="G989" s="2120">
        <v>7.464120370370371E-2</v>
      </c>
      <c r="H989" s="2121">
        <v>15.97</v>
      </c>
      <c r="I989" s="2122">
        <f t="shared" ref="I989:I1052" si="154">IFERROR(G989/H989,"")</f>
        <v>4.6738386790046152E-3</v>
      </c>
      <c r="J989" s="2123">
        <v>140</v>
      </c>
      <c r="K989" s="2124">
        <f>24+79</f>
        <v>103</v>
      </c>
      <c r="L989" s="2807">
        <v>194</v>
      </c>
      <c r="M989" s="2830">
        <v>606</v>
      </c>
      <c r="N989" s="1223"/>
      <c r="O989" s="2125" t="s">
        <v>868</v>
      </c>
      <c r="P989" s="2126" t="str">
        <f>IFERROR(VLOOKUP(F989,Trainingsarten!$A$9:$N$84,12,FALSE),"")</f>
        <v/>
      </c>
      <c r="Q989" s="2127" t="s">
        <v>437</v>
      </c>
      <c r="R989" s="1105" t="str">
        <f>IFERROR(VLOOKUP(F989,Trainingsarten!$A$9:$N$84,14,FALSE),"")</f>
        <v/>
      </c>
      <c r="S989" s="2227">
        <f t="shared" si="153"/>
        <v>1.3857142857142857</v>
      </c>
      <c r="T989" s="2145">
        <f t="shared" si="152"/>
        <v>43.678273785756659</v>
      </c>
      <c r="U989" s="2225">
        <f t="shared" si="150"/>
        <v>39.938704087766709</v>
      </c>
      <c r="V989" s="2225">
        <f t="shared" si="151"/>
        <v>4.609304282947349</v>
      </c>
      <c r="W989" s="3285">
        <f t="shared" si="148"/>
        <v>1.093632725032142</v>
      </c>
      <c r="X989" s="3300"/>
      <c r="Y989" s="3316"/>
      <c r="AA989" s="3301"/>
      <c r="AB989" s="3409"/>
      <c r="AE989" s="1056"/>
    </row>
    <row r="990" spans="2:31" ht="16" thickBot="1" x14ac:dyDescent="0.25">
      <c r="B990" s="2985">
        <f>B983+1</f>
        <v>38</v>
      </c>
      <c r="C990" s="1245">
        <v>44088</v>
      </c>
      <c r="D990" s="1111"/>
      <c r="E990" s="2087"/>
      <c r="F990" s="2724"/>
      <c r="G990" s="1647"/>
      <c r="H990" s="1648" t="str">
        <f>IFERROR(VLOOKUP(F990,Trainingsarten!$A$9:$K$84,10,FALSE),"")</f>
        <v/>
      </c>
      <c r="I990" s="1399" t="str">
        <f t="shared" si="154"/>
        <v/>
      </c>
      <c r="J990" s="1326"/>
      <c r="K990" s="1325" t="str">
        <f>IFERROR(VLOOKUP(F990,Trainingsarten!$A$9:$K$84,11,FALSE),"0")</f>
        <v>0</v>
      </c>
      <c r="L990" s="1326"/>
      <c r="M990" s="2831"/>
      <c r="N990" s="1119" t="str">
        <f t="shared" si="149"/>
        <v/>
      </c>
      <c r="O990" s="1649"/>
      <c r="P990" s="1277" t="str">
        <f>IFERROR(VLOOKUP(F990,Trainingsarten!$A$9:$N$84,12,FALSE),"")</f>
        <v/>
      </c>
      <c r="Q990" s="1122" t="s">
        <v>437</v>
      </c>
      <c r="R990" s="1122" t="str">
        <f>IFERROR(VLOOKUP(F990,Trainingsarten!$A$9:$N$84,14,FALSE),"")</f>
        <v/>
      </c>
      <c r="S990" s="1125" t="str">
        <f t="shared" si="153"/>
        <v/>
      </c>
      <c r="T990" s="1650">
        <f t="shared" si="152"/>
        <v>37.438520387791421</v>
      </c>
      <c r="U990" s="1651">
        <f t="shared" si="150"/>
        <v>38.987782561867505</v>
      </c>
      <c r="V990" s="1278">
        <f t="shared" si="151"/>
        <v>-3.7395696979899498</v>
      </c>
      <c r="W990" s="3286">
        <f t="shared" si="148"/>
        <v>0.96026288051602715</v>
      </c>
      <c r="X990" s="3300"/>
      <c r="Y990" s="3316"/>
      <c r="AA990" s="3301"/>
      <c r="AB990" s="3409"/>
      <c r="AE990" s="1056"/>
    </row>
    <row r="991" spans="2:31" x14ac:dyDescent="0.2">
      <c r="B991" s="2978" t="s">
        <v>626</v>
      </c>
      <c r="C991" s="2235">
        <v>44089</v>
      </c>
      <c r="D991" s="2242">
        <v>127</v>
      </c>
      <c r="E991" s="2218" t="s">
        <v>836</v>
      </c>
      <c r="F991" s="2735" t="s">
        <v>802</v>
      </c>
      <c r="G991" s="2229">
        <v>3.5972222222222218E-2</v>
      </c>
      <c r="H991" s="1826">
        <f>7.4+2.16</f>
        <v>9.56</v>
      </c>
      <c r="I991" s="1902">
        <f t="shared" si="154"/>
        <v>3.7627847512784747E-3</v>
      </c>
      <c r="J991" s="2230">
        <v>140</v>
      </c>
      <c r="K991" s="2221">
        <f>IFERROR(VLOOKUP(F991,Trainingsarten!$A$9:$K$84,11,FALSE),"0")</f>
        <v>71.034828256293423</v>
      </c>
      <c r="L991" s="2806">
        <v>218</v>
      </c>
      <c r="M991" s="2829"/>
      <c r="N991" s="1831">
        <f t="shared" si="149"/>
        <v>1.0578030350340348</v>
      </c>
      <c r="O991" s="2231" t="s">
        <v>1460</v>
      </c>
      <c r="P991" s="1755">
        <f>IFERROR(VLOOKUP(F991,Trainingsarten!$A$9:$N$84,12,FALSE),"")</f>
        <v>194.60000000000002</v>
      </c>
      <c r="Q991" s="1756" t="s">
        <v>437</v>
      </c>
      <c r="R991" s="1086">
        <f>IFERROR(VLOOKUP(F991,Trainingsarten!$A$9:$N$84,14,FALSE),"")</f>
        <v>212.96</v>
      </c>
      <c r="S991" s="1087">
        <f t="shared" si="153"/>
        <v>1.5571428571428572</v>
      </c>
      <c r="T991" s="1951">
        <f t="shared" si="152"/>
        <v>42.237992940434566</v>
      </c>
      <c r="U991" s="1952">
        <f t="shared" si="150"/>
        <v>39.750807459353837</v>
      </c>
      <c r="V991" s="2240">
        <f t="shared" si="151"/>
        <v>1.5492621740760839</v>
      </c>
      <c r="W991" s="3284">
        <f t="shared" ref="W991:W1054" si="155">T991/U991</f>
        <v>1.0625694329259585</v>
      </c>
      <c r="X991" s="3300"/>
      <c r="Y991" s="3316"/>
      <c r="AA991" s="3301"/>
      <c r="AB991" s="3409"/>
      <c r="AE991" s="1056"/>
    </row>
    <row r="992" spans="2:31" ht="16" thickBot="1" x14ac:dyDescent="0.25">
      <c r="B992" s="2979">
        <f>SUM(H990:H996)</f>
        <v>38.599999999999994</v>
      </c>
      <c r="C992" s="2235">
        <v>44090</v>
      </c>
      <c r="D992" s="2242"/>
      <c r="E992" s="2218"/>
      <c r="F992" s="2735"/>
      <c r="G992" s="2229"/>
      <c r="H992" s="1826"/>
      <c r="I992" s="1902" t="str">
        <f t="shared" si="154"/>
        <v/>
      </c>
      <c r="J992" s="2230"/>
      <c r="K992" s="2221" t="str">
        <f>IFERROR(VLOOKUP(F992,Trainingsarten!$A$9:$K$84,11,FALSE),"0")</f>
        <v>0</v>
      </c>
      <c r="L992" s="2806"/>
      <c r="M992" s="2829"/>
      <c r="N992" s="1831" t="str">
        <f t="shared" si="149"/>
        <v/>
      </c>
      <c r="O992" s="2231"/>
      <c r="P992" s="1755" t="str">
        <f>IFERROR(VLOOKUP(F992,Trainingsarten!$A$9:$N$84,12,FALSE),"")</f>
        <v/>
      </c>
      <c r="Q992" s="1756" t="s">
        <v>437</v>
      </c>
      <c r="R992" s="1086" t="str">
        <f>IFERROR(VLOOKUP(F992,Trainingsarten!$A$9:$N$84,14,FALSE),"")</f>
        <v/>
      </c>
      <c r="S992" s="1087" t="str">
        <f t="shared" si="153"/>
        <v/>
      </c>
      <c r="T992" s="1951">
        <f t="shared" si="152"/>
        <v>36.203993948943911</v>
      </c>
      <c r="U992" s="1952">
        <f t="shared" si="150"/>
        <v>38.804359662702552</v>
      </c>
      <c r="V992" s="2240">
        <f t="shared" si="151"/>
        <v>-2.4871854810807292</v>
      </c>
      <c r="W992" s="3284">
        <f t="shared" si="155"/>
        <v>0.9329877947642562</v>
      </c>
      <c r="X992" s="3300"/>
      <c r="Y992" s="3316"/>
      <c r="AA992" s="3301"/>
      <c r="AB992" s="3409"/>
      <c r="AE992" s="1056"/>
    </row>
    <row r="993" spans="2:31" x14ac:dyDescent="0.2">
      <c r="B993" s="2980" t="s">
        <v>628</v>
      </c>
      <c r="C993" s="2235">
        <v>44091</v>
      </c>
      <c r="D993" s="2242">
        <v>128</v>
      </c>
      <c r="E993" s="2218" t="s">
        <v>836</v>
      </c>
      <c r="F993" s="2735" t="s">
        <v>827</v>
      </c>
      <c r="G993" s="2229">
        <v>3.4629629629629628E-2</v>
      </c>
      <c r="H993" s="1826">
        <v>9.1199999999999992</v>
      </c>
      <c r="I993" s="1902">
        <f t="shared" si="154"/>
        <v>3.7971085120207929E-3</v>
      </c>
      <c r="J993" s="2230">
        <v>132</v>
      </c>
      <c r="K993" s="2221">
        <v>56</v>
      </c>
      <c r="L993" s="2806">
        <v>218</v>
      </c>
      <c r="M993" s="2829"/>
      <c r="N993" s="1831">
        <f t="shared" si="149"/>
        <v>1.067452212621105</v>
      </c>
      <c r="O993" s="2231" t="s">
        <v>783</v>
      </c>
      <c r="P993" s="1755">
        <f>IFERROR(VLOOKUP(F993,Trainingsarten!$A$9:$N$84,12,FALSE),"")</f>
        <v>194.60000000000002</v>
      </c>
      <c r="Q993" s="1756" t="s">
        <v>437</v>
      </c>
      <c r="R993" s="1086">
        <f>IFERROR(VLOOKUP(F993,Trainingsarten!$A$9:$N$84,14,FALSE),"")</f>
        <v>212.96</v>
      </c>
      <c r="S993" s="1087">
        <f t="shared" si="153"/>
        <v>1.6515151515151516</v>
      </c>
      <c r="T993" s="1951">
        <f t="shared" si="152"/>
        <v>39.031994813380493</v>
      </c>
      <c r="U993" s="1952">
        <f t="shared" si="150"/>
        <v>39.213779670733445</v>
      </c>
      <c r="V993" s="2240">
        <f t="shared" si="151"/>
        <v>2.6003657137586416</v>
      </c>
      <c r="W993" s="3284">
        <f t="shared" si="155"/>
        <v>0.99536426075529205</v>
      </c>
      <c r="X993" s="3300"/>
      <c r="Y993" s="3316"/>
      <c r="AA993" s="3301"/>
      <c r="AB993" s="3409"/>
      <c r="AE993" s="1056"/>
    </row>
    <row r="994" spans="2:31" ht="16" thickBot="1" x14ac:dyDescent="0.25">
      <c r="B994" s="2981">
        <f>SUM(K990:K996)</f>
        <v>246.03482825629342</v>
      </c>
      <c r="C994" s="2235">
        <v>44092</v>
      </c>
      <c r="D994" s="2242">
        <v>129</v>
      </c>
      <c r="E994" s="2218" t="s">
        <v>836</v>
      </c>
      <c r="F994" s="2735" t="s">
        <v>824</v>
      </c>
      <c r="G994" s="2229">
        <v>3.8275462962962963E-2</v>
      </c>
      <c r="H994" s="1826">
        <v>9.6199999999999992</v>
      </c>
      <c r="I994" s="1902">
        <f t="shared" si="154"/>
        <v>3.9787383537383536E-3</v>
      </c>
      <c r="J994" s="2230">
        <v>126</v>
      </c>
      <c r="K994" s="2221">
        <v>55</v>
      </c>
      <c r="L994" s="2806">
        <v>206</v>
      </c>
      <c r="M994" s="2829"/>
      <c r="N994" s="1831">
        <f t="shared" si="149"/>
        <v>1.0569429360474136</v>
      </c>
      <c r="O994" s="2231" t="s">
        <v>1460</v>
      </c>
      <c r="P994" s="1755">
        <f>IFERROR(VLOOKUP(F994,Trainingsarten!$A$9:$N$84,12,FALSE),"")</f>
        <v>169.39999999999998</v>
      </c>
      <c r="Q994" s="1756" t="s">
        <v>437</v>
      </c>
      <c r="R994" s="1086">
        <f>IFERROR(VLOOKUP(F994,Trainingsarten!$A$9:$N$84,14,FALSE),"")</f>
        <v>193.60000000000002</v>
      </c>
      <c r="S994" s="1087">
        <f t="shared" si="153"/>
        <v>1.6349206349206349</v>
      </c>
      <c r="T994" s="1951">
        <f t="shared" si="152"/>
        <v>41.313138411468991</v>
      </c>
      <c r="U994" s="1952">
        <f t="shared" si="150"/>
        <v>39.589642059525502</v>
      </c>
      <c r="V994" s="2240">
        <f t="shared" si="151"/>
        <v>0.18178485735295169</v>
      </c>
      <c r="W994" s="3284">
        <f t="shared" si="155"/>
        <v>1.04353402208972</v>
      </c>
      <c r="X994" s="3300"/>
      <c r="Y994" s="3316"/>
      <c r="AA994" s="3301"/>
      <c r="AB994" s="3409"/>
      <c r="AE994" s="1056"/>
    </row>
    <row r="995" spans="2:31" x14ac:dyDescent="0.2">
      <c r="B995" s="2982" t="s">
        <v>761</v>
      </c>
      <c r="C995" s="2235">
        <v>44093</v>
      </c>
      <c r="D995" s="2242"/>
      <c r="E995" s="2218"/>
      <c r="F995" s="2735"/>
      <c r="G995" s="2229"/>
      <c r="H995" s="1826" t="str">
        <f>IFERROR(VLOOKUP(F995,Trainingsarten!$A$9:$K$84,10,FALSE),"")</f>
        <v/>
      </c>
      <c r="I995" s="1902" t="str">
        <f t="shared" si="154"/>
        <v/>
      </c>
      <c r="J995" s="2230"/>
      <c r="K995" s="2221" t="str">
        <f>IFERROR(VLOOKUP(F995,Trainingsarten!$A$9:$K$84,11,FALSE),"0")</f>
        <v>0</v>
      </c>
      <c r="L995" s="2806"/>
      <c r="M995" s="2829"/>
      <c r="N995" s="1831" t="str">
        <f t="shared" si="149"/>
        <v/>
      </c>
      <c r="O995" s="2231"/>
      <c r="P995" s="1755" t="str">
        <f>IFERROR(VLOOKUP(F995,Trainingsarten!$A$9:$N$84,12,FALSE),"")</f>
        <v/>
      </c>
      <c r="Q995" s="1756" t="s">
        <v>437</v>
      </c>
      <c r="R995" s="1086" t="str">
        <f>IFERROR(VLOOKUP(F995,Trainingsarten!$A$9:$N$84,14,FALSE),"")</f>
        <v/>
      </c>
      <c r="S995" s="1087" t="str">
        <f t="shared" si="153"/>
        <v/>
      </c>
      <c r="T995" s="1951">
        <f t="shared" si="152"/>
        <v>35.411261495544849</v>
      </c>
      <c r="U995" s="1952">
        <f t="shared" si="150"/>
        <v>38.647031534298705</v>
      </c>
      <c r="V995" s="2240">
        <f t="shared" si="151"/>
        <v>-1.7234963519434885</v>
      </c>
      <c r="W995" s="3284">
        <f t="shared" si="155"/>
        <v>0.9162737754934126</v>
      </c>
      <c r="X995" s="3300"/>
      <c r="Y995" s="3316"/>
      <c r="AA995" s="3301"/>
      <c r="AB995" s="3409"/>
      <c r="AE995" s="1056"/>
    </row>
    <row r="996" spans="2:31" ht="16" thickBot="1" x14ac:dyDescent="0.25">
      <c r="B996" s="2983">
        <f>AVERAGE(W990:W996)</f>
        <v>0.98817518359555578</v>
      </c>
      <c r="C996" s="2195">
        <v>44094</v>
      </c>
      <c r="D996" s="1996">
        <v>130</v>
      </c>
      <c r="E996" s="2224" t="s">
        <v>836</v>
      </c>
      <c r="F996" s="2736" t="s">
        <v>818</v>
      </c>
      <c r="G996" s="2097">
        <v>3.8124999999999999E-2</v>
      </c>
      <c r="H996" s="2098">
        <v>10.3</v>
      </c>
      <c r="I996" s="2099">
        <f t="shared" si="154"/>
        <v>3.7014563106796115E-3</v>
      </c>
      <c r="J996" s="2100">
        <v>136</v>
      </c>
      <c r="K996" s="2101">
        <v>64</v>
      </c>
      <c r="L996" s="2808">
        <v>222</v>
      </c>
      <c r="M996" s="2832"/>
      <c r="N996" s="2102">
        <f t="shared" ref="N996:N1059" si="156">IFERROR((L996/67)/(1/(I996*24)/3.6),"")</f>
        <v>1.0596551224460222</v>
      </c>
      <c r="O996" s="2103" t="s">
        <v>858</v>
      </c>
      <c r="P996" s="2027">
        <f>IFERROR(VLOOKUP(F996,Trainingsarten!$A$9:$N$84,12,FALSE),"")</f>
        <v>194.60000000000002</v>
      </c>
      <c r="Q996" s="1151" t="s">
        <v>437</v>
      </c>
      <c r="R996" s="1151">
        <f>IFERROR(VLOOKUP(F996,Trainingsarten!$A$9:$N$84,14,FALSE),"")</f>
        <v>212.96</v>
      </c>
      <c r="S996" s="2227">
        <f t="shared" si="153"/>
        <v>1.6323529411764706</v>
      </c>
      <c r="T996" s="1995">
        <f t="shared" si="152"/>
        <v>39.495366996181296</v>
      </c>
      <c r="U996" s="1996">
        <f t="shared" si="150"/>
        <v>39.250673640624925</v>
      </c>
      <c r="V996" s="1996">
        <f t="shared" si="151"/>
        <v>3.2357700387538557</v>
      </c>
      <c r="W996" s="3287">
        <f t="shared" si="155"/>
        <v>1.0062341186242243</v>
      </c>
      <c r="X996" s="3300"/>
      <c r="Y996" s="3316"/>
      <c r="AA996" s="3301"/>
      <c r="AB996" s="3409"/>
      <c r="AE996" s="1056"/>
    </row>
    <row r="997" spans="2:31" ht="16" thickBot="1" x14ac:dyDescent="0.25">
      <c r="B997" s="2985">
        <f>B990+1</f>
        <v>39</v>
      </c>
      <c r="C997" s="2189">
        <v>44095</v>
      </c>
      <c r="D997" s="2243"/>
      <c r="E997" s="2069"/>
      <c r="F997" s="2724"/>
      <c r="G997" s="2032"/>
      <c r="H997" s="2033" t="str">
        <f>IFERROR(VLOOKUP(F997,Trainingsarten!$A$9:$K$84,10,FALSE),"")</f>
        <v/>
      </c>
      <c r="I997" s="2034" t="str">
        <f t="shared" si="154"/>
        <v/>
      </c>
      <c r="J997" s="2035"/>
      <c r="K997" s="2036" t="str">
        <f>IFERROR(VLOOKUP(F997,Trainingsarten!$A$9:$K$84,11,FALSE),"0")</f>
        <v>0</v>
      </c>
      <c r="L997" s="1915"/>
      <c r="M997" s="2833"/>
      <c r="N997" s="2037" t="str">
        <f t="shared" si="156"/>
        <v/>
      </c>
      <c r="O997" s="2038"/>
      <c r="P997" s="2039" t="str">
        <f>IFERROR(VLOOKUP(F997,Trainingsarten!$A$9:$N$84,12,FALSE),"")</f>
        <v/>
      </c>
      <c r="Q997" s="1069" t="s">
        <v>437</v>
      </c>
      <c r="R997" s="1069" t="str">
        <f>IFERROR(VLOOKUP(F997,Trainingsarten!$A$9:$N$84,14,FALSE),"")</f>
        <v/>
      </c>
      <c r="S997" s="1125" t="str">
        <f t="shared" si="153"/>
        <v/>
      </c>
      <c r="T997" s="2190">
        <f t="shared" si="152"/>
        <v>33.853171711012543</v>
      </c>
      <c r="U997" s="1922">
        <f t="shared" si="150"/>
        <v>38.31613379203862</v>
      </c>
      <c r="V997" s="2030">
        <f t="shared" si="151"/>
        <v>-0.24469335555637173</v>
      </c>
      <c r="W997" s="3283">
        <f t="shared" si="155"/>
        <v>0.8835226407432214</v>
      </c>
      <c r="X997" s="3300"/>
      <c r="Y997" s="3316"/>
      <c r="AA997" s="3301"/>
      <c r="AB997" s="3409"/>
      <c r="AE997" s="1056"/>
    </row>
    <row r="998" spans="2:31" x14ac:dyDescent="0.2">
      <c r="B998" s="2978" t="s">
        <v>626</v>
      </c>
      <c r="C998" s="2191">
        <v>44096</v>
      </c>
      <c r="D998" s="2244">
        <v>131</v>
      </c>
      <c r="E998" s="2218" t="s">
        <v>836</v>
      </c>
      <c r="F998" s="2737" t="s">
        <v>818</v>
      </c>
      <c r="G998" s="2110">
        <v>3.6180555555555556E-2</v>
      </c>
      <c r="H998" s="2111">
        <v>9.73</v>
      </c>
      <c r="I998" s="2112">
        <f t="shared" si="154"/>
        <v>3.7184538083818658E-3</v>
      </c>
      <c r="J998" s="2113">
        <v>140</v>
      </c>
      <c r="K998" s="2114">
        <v>62</v>
      </c>
      <c r="L998" s="2806">
        <v>221</v>
      </c>
      <c r="M998" s="2829"/>
      <c r="N998" s="1991">
        <f>IFERROR((L998/67)/(1/(I998*24)/3.6),"")</f>
        <v>1.0597260358024883</v>
      </c>
      <c r="O998" s="2116" t="s">
        <v>783</v>
      </c>
      <c r="P998" s="1993">
        <f>IFERROR(VLOOKUP(F998,Trainingsarten!$A$9:$N$84,12,FALSE),"")</f>
        <v>194.60000000000002</v>
      </c>
      <c r="Q998" s="1994" t="s">
        <v>437</v>
      </c>
      <c r="R998" s="1086">
        <f>IFERROR(VLOOKUP(F998,Trainingsarten!$A$9:$N$84,14,FALSE),"")</f>
        <v>212.96</v>
      </c>
      <c r="S998" s="1087">
        <f t="shared" si="153"/>
        <v>1.5785714285714285</v>
      </c>
      <c r="T998" s="1995">
        <f t="shared" si="152"/>
        <v>37.874147180867894</v>
      </c>
      <c r="U998" s="1996">
        <f t="shared" si="150"/>
        <v>38.880035368418653</v>
      </c>
      <c r="V998" s="1997">
        <f t="shared" si="151"/>
        <v>4.4629620810260775</v>
      </c>
      <c r="W998" s="3284">
        <f t="shared" si="155"/>
        <v>0.97412841377279669</v>
      </c>
      <c r="X998" s="3300"/>
      <c r="Y998" s="3316"/>
      <c r="AA998" s="3301"/>
      <c r="AB998" s="3409"/>
      <c r="AE998" s="1056"/>
    </row>
    <row r="999" spans="2:31" ht="16" thickBot="1" x14ac:dyDescent="0.25">
      <c r="B999" s="2979">
        <f>SUM(H997:H1003)</f>
        <v>47.160000000000004</v>
      </c>
      <c r="C999" s="1998">
        <v>44097</v>
      </c>
      <c r="D999" s="2244">
        <v>132</v>
      </c>
      <c r="E999" s="2218" t="s">
        <v>836</v>
      </c>
      <c r="F999" s="2737" t="s">
        <v>829</v>
      </c>
      <c r="G999" s="2110">
        <v>3.8969907407407404E-2</v>
      </c>
      <c r="H999" s="2111">
        <v>11.58</v>
      </c>
      <c r="I999" s="2112">
        <f t="shared" si="154"/>
        <v>3.3652769781871679E-3</v>
      </c>
      <c r="J999" s="2113">
        <v>150</v>
      </c>
      <c r="K999" s="2114">
        <v>78</v>
      </c>
      <c r="L999" s="2806">
        <v>240</v>
      </c>
      <c r="M999" s="2829"/>
      <c r="N999" s="1991">
        <f t="shared" si="156"/>
        <v>1.0415281107416285</v>
      </c>
      <c r="O999" s="2116" t="s">
        <v>821</v>
      </c>
      <c r="P999" s="1993">
        <f>IFERROR(VLOOKUP(F999,Trainingsarten!$A$9:$N$84,12,FALSE),"")</f>
        <v>230.89999999999998</v>
      </c>
      <c r="Q999" s="1994" t="s">
        <v>437</v>
      </c>
      <c r="R999" s="1086">
        <f>IFERROR(VLOOKUP(F999,Trainingsarten!$A$9:$N$84,14,FALSE),"")</f>
        <v>254.10000000000002</v>
      </c>
      <c r="S999" s="1087">
        <f t="shared" si="153"/>
        <v>1.6</v>
      </c>
      <c r="T999" s="1995">
        <f t="shared" si="152"/>
        <v>43.606411869315338</v>
      </c>
      <c r="U999" s="1996">
        <f t="shared" si="150"/>
        <v>39.811463097742021</v>
      </c>
      <c r="V999" s="1997">
        <f t="shared" si="151"/>
        <v>1.0058881875507595</v>
      </c>
      <c r="W999" s="3284">
        <f t="shared" si="155"/>
        <v>1.0953230169475623</v>
      </c>
      <c r="X999" s="3300"/>
      <c r="Y999" s="3316"/>
      <c r="AA999" s="3301"/>
      <c r="AB999" s="3409"/>
      <c r="AE999" s="1056"/>
    </row>
    <row r="1000" spans="2:31" x14ac:dyDescent="0.2">
      <c r="B1000" s="2980" t="s">
        <v>628</v>
      </c>
      <c r="C1000" s="1998">
        <v>44098</v>
      </c>
      <c r="D1000" s="2245">
        <v>133</v>
      </c>
      <c r="E1000" s="2218" t="s">
        <v>835</v>
      </c>
      <c r="F1000" s="2737" t="s">
        <v>824</v>
      </c>
      <c r="G1000" s="2110">
        <v>3.8946759259259257E-2</v>
      </c>
      <c r="H1000" s="2111">
        <v>9.81</v>
      </c>
      <c r="I1000" s="2112">
        <f t="shared" si="154"/>
        <v>3.9701079774983952E-3</v>
      </c>
      <c r="J1000" s="2113">
        <v>136</v>
      </c>
      <c r="K1000" s="2114">
        <v>56</v>
      </c>
      <c r="L1000" s="2806">
        <v>207</v>
      </c>
      <c r="M1000" s="2829"/>
      <c r="N1000" s="1991">
        <f t="shared" si="156"/>
        <v>1.059769957551691</v>
      </c>
      <c r="O1000" s="2116" t="s">
        <v>1460</v>
      </c>
      <c r="P1000" s="1993">
        <f>IFERROR(VLOOKUP(F1000,Trainingsarten!$A$9:$N$84,12,FALSE),"")</f>
        <v>169.39999999999998</v>
      </c>
      <c r="Q1000" s="1994" t="s">
        <v>437</v>
      </c>
      <c r="R1000" s="1086">
        <f>IFERROR(VLOOKUP(F1000,Trainingsarten!$A$9:$N$84,14,FALSE),"")</f>
        <v>193.60000000000002</v>
      </c>
      <c r="S1000" s="1087">
        <f t="shared" si="153"/>
        <v>1.5220588235294117</v>
      </c>
      <c r="T1000" s="1995">
        <f t="shared" si="152"/>
        <v>45.376924459413146</v>
      </c>
      <c r="U1000" s="1996">
        <f t="shared" si="150"/>
        <v>40.196904452557689</v>
      </c>
      <c r="V1000" s="1997">
        <f t="shared" si="151"/>
        <v>-3.794948771573317</v>
      </c>
      <c r="W1000" s="3284">
        <f t="shared" si="155"/>
        <v>1.1288661422416038</v>
      </c>
      <c r="X1000" s="3300"/>
      <c r="Y1000" s="3316"/>
      <c r="AA1000" s="3301"/>
      <c r="AB1000" s="3409"/>
      <c r="AE1000" s="1056"/>
    </row>
    <row r="1001" spans="2:31" ht="16" thickBot="1" x14ac:dyDescent="0.25">
      <c r="B1001" s="2981">
        <f>SUM(K997:K1003)</f>
        <v>291</v>
      </c>
      <c r="C1001" s="1998">
        <v>44099</v>
      </c>
      <c r="D1001" s="2245"/>
      <c r="E1001" s="2218"/>
      <c r="F1001" s="2737"/>
      <c r="G1001" s="2110"/>
      <c r="H1001" s="2111" t="str">
        <f>IFERROR(VLOOKUP(F1001,Trainingsarten!$A$9:$K$84,10,FALSE),"")</f>
        <v/>
      </c>
      <c r="I1001" s="2112" t="str">
        <f t="shared" si="154"/>
        <v/>
      </c>
      <c r="J1001" s="2113"/>
      <c r="K1001" s="2114" t="str">
        <f>IFERROR(VLOOKUP(F1001,Trainingsarten!$A$9:$K$84,11,FALSE),"0")</f>
        <v>0</v>
      </c>
      <c r="L1001" s="2806"/>
      <c r="M1001" s="2829"/>
      <c r="N1001" s="1991" t="str">
        <f t="shared" si="156"/>
        <v/>
      </c>
      <c r="O1001" s="2116"/>
      <c r="P1001" s="1993" t="str">
        <f>IFERROR(VLOOKUP(F1001,Trainingsarten!$A$9:$N$84,12,FALSE),"")</f>
        <v/>
      </c>
      <c r="Q1001" s="1994" t="s">
        <v>437</v>
      </c>
      <c r="R1001" s="1086" t="str">
        <f>IFERROR(VLOOKUP(F1001,Trainingsarten!$A$9:$N$84,14,FALSE),"")</f>
        <v/>
      </c>
      <c r="S1001" s="1087" t="str">
        <f t="shared" si="153"/>
        <v/>
      </c>
      <c r="T1001" s="1995">
        <f t="shared" si="152"/>
        <v>38.894506679496985</v>
      </c>
      <c r="U1001" s="1996">
        <f t="shared" si="150"/>
        <v>39.239835298925364</v>
      </c>
      <c r="V1001" s="1997">
        <f t="shared" si="151"/>
        <v>-5.1800200068554574</v>
      </c>
      <c r="W1001" s="3284">
        <f t="shared" si="155"/>
        <v>0.99119953952921314</v>
      </c>
      <c r="X1001" s="3300"/>
      <c r="Y1001" s="3316"/>
      <c r="AA1001" s="3301"/>
      <c r="AB1001" s="3409"/>
      <c r="AE1001" s="1056"/>
    </row>
    <row r="1002" spans="2:31" x14ac:dyDescent="0.2">
      <c r="B1002" s="2982" t="s">
        <v>761</v>
      </c>
      <c r="C1002" s="1998">
        <v>44100</v>
      </c>
      <c r="D1002" s="2245"/>
      <c r="E1002" s="2218"/>
      <c r="F1002" s="2737"/>
      <c r="G1002" s="2110"/>
      <c r="H1002" s="2111" t="str">
        <f>IFERROR(VLOOKUP(F1002,Trainingsarten!$A$9:$K$84,10,FALSE),"")</f>
        <v/>
      </c>
      <c r="I1002" s="2112" t="str">
        <f t="shared" si="154"/>
        <v/>
      </c>
      <c r="J1002" s="2113"/>
      <c r="K1002" s="2114" t="str">
        <f>IFERROR(VLOOKUP(F1002,Trainingsarten!$A$9:$K$84,11,FALSE),"0")</f>
        <v>0</v>
      </c>
      <c r="L1002" s="2806"/>
      <c r="M1002" s="2829"/>
      <c r="N1002" s="1991" t="str">
        <f t="shared" si="156"/>
        <v/>
      </c>
      <c r="O1002" s="2116"/>
      <c r="P1002" s="1993" t="str">
        <f>IFERROR(VLOOKUP(F1002,Trainingsarten!$A$9:$N$84,12,FALSE),"")</f>
        <v/>
      </c>
      <c r="Q1002" s="1994" t="s">
        <v>437</v>
      </c>
      <c r="R1002" s="1086" t="str">
        <f>IFERROR(VLOOKUP(F1002,Trainingsarten!$A$9:$N$84,14,FALSE),"")</f>
        <v/>
      </c>
      <c r="S1002" s="1087" t="str">
        <f t="shared" si="153"/>
        <v/>
      </c>
      <c r="T1002" s="1995">
        <f t="shared" si="152"/>
        <v>33.338148582425987</v>
      </c>
      <c r="U1002" s="1996">
        <f t="shared" si="150"/>
        <v>38.305553506093808</v>
      </c>
      <c r="V1002" s="1997">
        <f t="shared" si="151"/>
        <v>0.34532861942837911</v>
      </c>
      <c r="W1002" s="3284">
        <f t="shared" si="155"/>
        <v>0.87032154690369934</v>
      </c>
      <c r="X1002" s="3300"/>
      <c r="Y1002" s="3316"/>
      <c r="AA1002" s="3301"/>
      <c r="AB1002" s="3409"/>
      <c r="AE1002" s="1056"/>
    </row>
    <row r="1003" spans="2:31" ht="16" thickBot="1" x14ac:dyDescent="0.25">
      <c r="B1003" s="2983">
        <f>AVERAGE(W997:W1003)</f>
        <v>1.0008845186421955</v>
      </c>
      <c r="C1003" s="2214">
        <v>44101</v>
      </c>
      <c r="D1003" s="2201">
        <v>134</v>
      </c>
      <c r="E1003" s="2051" t="s">
        <v>835</v>
      </c>
      <c r="F1003" s="2738" t="s">
        <v>809</v>
      </c>
      <c r="G1003" s="2120">
        <v>6.1701388888888896E-2</v>
      </c>
      <c r="H1003" s="2121">
        <v>16.04</v>
      </c>
      <c r="I1003" s="2122">
        <f t="shared" si="154"/>
        <v>3.8467200055417017E-3</v>
      </c>
      <c r="J1003" s="2123">
        <v>135</v>
      </c>
      <c r="K1003" s="2124">
        <v>95</v>
      </c>
      <c r="L1003" s="2807">
        <v>213</v>
      </c>
      <c r="M1003" s="2830"/>
      <c r="N1003" s="1223">
        <f t="shared" si="156"/>
        <v>1.0565963821788813</v>
      </c>
      <c r="O1003" s="2125" t="s">
        <v>858</v>
      </c>
      <c r="P1003" s="2126">
        <f>IFERROR(VLOOKUP(F1003,Trainingsarten!$A$9:$N$84,12,FALSE),"")</f>
        <v>194.60000000000002</v>
      </c>
      <c r="Q1003" s="2127" t="s">
        <v>437</v>
      </c>
      <c r="R1003" s="1105">
        <f>IFERROR(VLOOKUP(F1003,Trainingsarten!$A$9:$N$84,14,FALSE),"")</f>
        <v>212.96</v>
      </c>
      <c r="S1003" s="1106">
        <f t="shared" si="153"/>
        <v>1.5777777777777777</v>
      </c>
      <c r="T1003" s="1108">
        <f t="shared" si="152"/>
        <v>42.14698449922227</v>
      </c>
      <c r="U1003" s="2225">
        <f t="shared" si="150"/>
        <v>39.655421279758244</v>
      </c>
      <c r="V1003" s="2225">
        <f t="shared" si="151"/>
        <v>4.9674049236678215</v>
      </c>
      <c r="W1003" s="3285">
        <f t="shared" si="155"/>
        <v>1.0628303303572726</v>
      </c>
      <c r="X1003" s="3300"/>
      <c r="Y1003" s="3316"/>
      <c r="AA1003" s="3301"/>
      <c r="AB1003" s="3409"/>
      <c r="AE1003" s="1056"/>
    </row>
    <row r="1004" spans="2:31" ht="16" thickBot="1" x14ac:dyDescent="0.25">
      <c r="B1004" s="2985">
        <f>B997+1</f>
        <v>40</v>
      </c>
      <c r="C1004" s="1909">
        <v>44102</v>
      </c>
      <c r="D1004" s="2246"/>
      <c r="E1004" s="2069"/>
      <c r="F1004" s="2724"/>
      <c r="G1004" s="1912"/>
      <c r="H1004" s="1913" t="str">
        <f>IFERROR(VLOOKUP(F1004,Trainingsarten!$A$9:$K$84,10,FALSE),"")</f>
        <v/>
      </c>
      <c r="I1004" s="1914" t="str">
        <f t="shared" si="154"/>
        <v/>
      </c>
      <c r="J1004" s="1915"/>
      <c r="K1004" s="1916" t="str">
        <f>IFERROR(VLOOKUP(F1004,Trainingsarten!$A$9:$K$84,11,FALSE),"0")</f>
        <v>0</v>
      </c>
      <c r="L1004" s="1915"/>
      <c r="M1004" s="2833"/>
      <c r="N1004" s="1917" t="str">
        <f t="shared" si="156"/>
        <v/>
      </c>
      <c r="O1004" s="1918"/>
      <c r="P1004" s="1965" t="str">
        <f>IFERROR(VLOOKUP(F1004,Trainingsarten!$A$9:$N$84,12,FALSE),"")</f>
        <v/>
      </c>
      <c r="Q1004" s="1920" t="s">
        <v>437</v>
      </c>
      <c r="R1004" s="1069" t="str">
        <f>IFERROR(VLOOKUP(F1004,Trainingsarten!$A$9:$N$84,14,FALSE),"")</f>
        <v/>
      </c>
      <c r="S1004" s="1125" t="str">
        <f t="shared" si="153"/>
        <v/>
      </c>
      <c r="T1004" s="1921">
        <f t="shared" si="152"/>
        <v>36.125986713619092</v>
      </c>
      <c r="U1004" s="1922">
        <f t="shared" si="150"/>
        <v>38.711244582621141</v>
      </c>
      <c r="V1004" s="1966">
        <f t="shared" si="151"/>
        <v>-2.4915632194640267</v>
      </c>
      <c r="W1004" s="3286">
        <f t="shared" si="155"/>
        <v>0.93321687543565401</v>
      </c>
      <c r="X1004" s="3300"/>
      <c r="Y1004" s="3316"/>
      <c r="AA1004" s="3301"/>
      <c r="AB1004" s="3409"/>
      <c r="AE1004" s="1056"/>
    </row>
    <row r="1005" spans="2:31" x14ac:dyDescent="0.2">
      <c r="B1005" s="2978" t="s">
        <v>626</v>
      </c>
      <c r="C1005" s="1983">
        <v>44103</v>
      </c>
      <c r="D1005" s="2247">
        <v>135</v>
      </c>
      <c r="E1005" s="2218" t="s">
        <v>835</v>
      </c>
      <c r="F1005" s="2735" t="s">
        <v>818</v>
      </c>
      <c r="G1005" s="1942">
        <v>3.8865740740740742E-2</v>
      </c>
      <c r="H1005" s="1943">
        <v>10.57</v>
      </c>
      <c r="I1005" s="1944">
        <f t="shared" si="154"/>
        <v>3.6769858789726341E-3</v>
      </c>
      <c r="J1005" s="1945">
        <v>141</v>
      </c>
      <c r="K1005" s="1946">
        <v>64</v>
      </c>
      <c r="L1005" s="2806">
        <v>221</v>
      </c>
      <c r="M1005" s="2829"/>
      <c r="N1005" s="1991">
        <f t="shared" si="156"/>
        <v>1.0479080472754487</v>
      </c>
      <c r="O1005" s="1948" t="s">
        <v>783</v>
      </c>
      <c r="P1005" s="1949">
        <f>IFERROR(VLOOKUP(F1005,Trainingsarten!$A$9:$N$84,12,FALSE),"")</f>
        <v>194.60000000000002</v>
      </c>
      <c r="Q1005" s="1950" t="s">
        <v>437</v>
      </c>
      <c r="R1005" s="1086">
        <f>IFERROR(VLOOKUP(F1005,Trainingsarten!$A$9:$N$84,14,FALSE),"")</f>
        <v>212.96</v>
      </c>
      <c r="S1005" s="1087">
        <f t="shared" si="153"/>
        <v>1.5673758865248226</v>
      </c>
      <c r="T1005" s="1951">
        <f t="shared" si="152"/>
        <v>40.107988611673505</v>
      </c>
      <c r="U1005" s="1952">
        <f t="shared" si="150"/>
        <v>39.313357806844451</v>
      </c>
      <c r="V1005" s="1953">
        <f t="shared" si="151"/>
        <v>2.5852578690020493</v>
      </c>
      <c r="W1005" s="3284">
        <f t="shared" si="155"/>
        <v>1.0202127431783685</v>
      </c>
      <c r="X1005" s="3300"/>
      <c r="Y1005" s="3316"/>
      <c r="AA1005" s="3301"/>
      <c r="AB1005" s="3409"/>
      <c r="AE1005" s="1056"/>
    </row>
    <row r="1006" spans="2:31" ht="16" thickBot="1" x14ac:dyDescent="0.25">
      <c r="B1006" s="2979">
        <f>SUM(H1004:H1010)</f>
        <v>57.29</v>
      </c>
      <c r="C1006" s="1939">
        <v>44104</v>
      </c>
      <c r="D1006" s="2248"/>
      <c r="E1006" s="2218"/>
      <c r="F1006" s="2735"/>
      <c r="G1006" s="1942"/>
      <c r="H1006" s="1943" t="str">
        <f>IFERROR(VLOOKUP(F1006,Trainingsarten!$A$9:$K$84,10,FALSE),"")</f>
        <v/>
      </c>
      <c r="I1006" s="1944" t="str">
        <f t="shared" si="154"/>
        <v/>
      </c>
      <c r="J1006" s="1945"/>
      <c r="K1006" s="1946" t="str">
        <f>IFERROR(VLOOKUP(F1006,Trainingsarten!$A$9:$K$84,11,FALSE),"0")</f>
        <v>0</v>
      </c>
      <c r="L1006" s="2806"/>
      <c r="M1006" s="2829"/>
      <c r="N1006" s="1991" t="str">
        <f t="shared" si="156"/>
        <v/>
      </c>
      <c r="O1006" s="1948"/>
      <c r="P1006" s="1949" t="str">
        <f>IFERROR(VLOOKUP(F1006,Trainingsarten!$A$9:$N$84,12,FALSE),"")</f>
        <v/>
      </c>
      <c r="Q1006" s="1950" t="s">
        <v>437</v>
      </c>
      <c r="R1006" s="1086" t="str">
        <f>IFERROR(VLOOKUP(F1006,Trainingsarten!$A$9:$N$84,14,FALSE),"")</f>
        <v/>
      </c>
      <c r="S1006" s="1087" t="str">
        <f t="shared" si="153"/>
        <v/>
      </c>
      <c r="T1006" s="1951">
        <f t="shared" si="152"/>
        <v>34.378275952863007</v>
      </c>
      <c r="U1006" s="1952">
        <f t="shared" si="150"/>
        <v>38.377325478110059</v>
      </c>
      <c r="V1006" s="1953">
        <f t="shared" si="151"/>
        <v>-0.79463080482905468</v>
      </c>
      <c r="W1006" s="3284">
        <f t="shared" si="155"/>
        <v>0.89579655498588462</v>
      </c>
      <c r="X1006" s="3300"/>
      <c r="Y1006" s="3316"/>
      <c r="AA1006" s="3301"/>
      <c r="AB1006" s="3409"/>
      <c r="AE1006" s="1056"/>
    </row>
    <row r="1007" spans="2:31" x14ac:dyDescent="0.2">
      <c r="B1007" s="2980" t="s">
        <v>628</v>
      </c>
      <c r="C1007" s="1939">
        <v>44105</v>
      </c>
      <c r="D1007" s="2248"/>
      <c r="E1007" s="2218"/>
      <c r="F1007" s="2735"/>
      <c r="G1007" s="1942"/>
      <c r="H1007" s="1943" t="str">
        <f>IFERROR(VLOOKUP(F1007,Trainingsarten!$A$9:$K$84,10,FALSE),"")</f>
        <v/>
      </c>
      <c r="I1007" s="1944" t="str">
        <f t="shared" si="154"/>
        <v/>
      </c>
      <c r="J1007" s="1945"/>
      <c r="K1007" s="1946" t="str">
        <f>IFERROR(VLOOKUP(F1007,Trainingsarten!$A$9:$K$84,11,FALSE),"0")</f>
        <v>0</v>
      </c>
      <c r="L1007" s="2806"/>
      <c r="M1007" s="2829"/>
      <c r="N1007" s="1991" t="str">
        <f t="shared" si="156"/>
        <v/>
      </c>
      <c r="O1007" s="1948"/>
      <c r="P1007" s="1949" t="str">
        <f>IFERROR(VLOOKUP(F1007,Trainingsarten!$A$9:$N$84,12,FALSE),"")</f>
        <v/>
      </c>
      <c r="Q1007" s="1950" t="s">
        <v>437</v>
      </c>
      <c r="R1007" s="1086" t="str">
        <f>IFERROR(VLOOKUP(F1007,Trainingsarten!$A$9:$N$84,14,FALSE),"")</f>
        <v/>
      </c>
      <c r="S1007" s="1087" t="str">
        <f t="shared" si="153"/>
        <v/>
      </c>
      <c r="T1007" s="1951">
        <f t="shared" si="152"/>
        <v>29.467093673882577</v>
      </c>
      <c r="U1007" s="1952">
        <f t="shared" si="150"/>
        <v>37.463579633393152</v>
      </c>
      <c r="V1007" s="1953">
        <f t="shared" si="151"/>
        <v>3.9990495252470524</v>
      </c>
      <c r="W1007" s="3284">
        <f t="shared" si="155"/>
        <v>0.78655307267053276</v>
      </c>
      <c r="X1007" s="3300"/>
      <c r="Y1007" s="3316"/>
      <c r="AA1007" s="3301"/>
      <c r="AB1007" s="3409"/>
      <c r="AE1007" s="1056"/>
    </row>
    <row r="1008" spans="2:31" ht="16" thickBot="1" x14ac:dyDescent="0.25">
      <c r="B1008" s="2981">
        <f>SUM(K1004:K1010)</f>
        <v>363</v>
      </c>
      <c r="C1008" s="1939">
        <v>44106</v>
      </c>
      <c r="D1008" s="2248">
        <v>136</v>
      </c>
      <c r="E1008" s="2218" t="s">
        <v>836</v>
      </c>
      <c r="F1008" s="2735" t="s">
        <v>830</v>
      </c>
      <c r="G1008" s="1942">
        <v>4.3043981481481482E-2</v>
      </c>
      <c r="H1008" s="1943">
        <v>12.97</v>
      </c>
      <c r="I1008" s="1944">
        <f t="shared" si="154"/>
        <v>3.3187341157657271E-3</v>
      </c>
      <c r="J1008" s="1945">
        <v>153</v>
      </c>
      <c r="K1008" s="1946">
        <v>89</v>
      </c>
      <c r="L1008" s="2806">
        <v>243</v>
      </c>
      <c r="M1008" s="2829"/>
      <c r="N1008" s="1991">
        <f t="shared" si="156"/>
        <v>1.0399624851839491</v>
      </c>
      <c r="O1008" s="1948" t="s">
        <v>821</v>
      </c>
      <c r="P1008" s="1949">
        <f>IFERROR(VLOOKUP(F1008,Trainingsarten!$A$9:$N$84,12,FALSE),"")</f>
        <v>230.89999999999998</v>
      </c>
      <c r="Q1008" s="1950" t="s">
        <v>437</v>
      </c>
      <c r="R1008" s="1086">
        <f>IFERROR(VLOOKUP(F1008,Trainingsarten!$A$9:$N$84,14,FALSE),"")</f>
        <v>254.10000000000002</v>
      </c>
      <c r="S1008" s="1087">
        <f t="shared" si="153"/>
        <v>1.588235294117647</v>
      </c>
      <c r="T1008" s="1951">
        <f t="shared" si="152"/>
        <v>37.971794577613636</v>
      </c>
      <c r="U1008" s="1952">
        <f t="shared" ref="U1008:U1071" si="157">U1007+(K1008-U1007)/42</f>
        <v>38.690637261169506</v>
      </c>
      <c r="V1008" s="1953">
        <f t="shared" ref="V1008:V1071" si="158">U1007-T1007</f>
        <v>7.9964859595105757</v>
      </c>
      <c r="W1008" s="3284">
        <f t="shared" si="155"/>
        <v>0.98142075875609025</v>
      </c>
      <c r="X1008" s="3300"/>
      <c r="Y1008" s="3316"/>
      <c r="AA1008" s="3301"/>
      <c r="AB1008" s="3409"/>
      <c r="AE1008" s="1056"/>
    </row>
    <row r="1009" spans="2:31" x14ac:dyDescent="0.2">
      <c r="B1009" s="2982" t="s">
        <v>761</v>
      </c>
      <c r="C1009" s="1939">
        <v>44107</v>
      </c>
      <c r="D1009" s="2249">
        <v>137</v>
      </c>
      <c r="E1009" s="2218" t="s">
        <v>836</v>
      </c>
      <c r="F1009" s="2735" t="s">
        <v>824</v>
      </c>
      <c r="G1009" s="1942">
        <v>3.7453703703703704E-2</v>
      </c>
      <c r="H1009" s="1943">
        <v>9.5</v>
      </c>
      <c r="I1009" s="1944">
        <f t="shared" si="154"/>
        <v>3.9424951267056528E-3</v>
      </c>
      <c r="J1009" s="1945">
        <v>127</v>
      </c>
      <c r="K1009" s="1946">
        <v>55</v>
      </c>
      <c r="L1009" s="2806">
        <v>207</v>
      </c>
      <c r="M1009" s="2829"/>
      <c r="N1009" s="1991">
        <f t="shared" si="156"/>
        <v>1.0523990573448543</v>
      </c>
      <c r="O1009" s="1948" t="s">
        <v>1460</v>
      </c>
      <c r="P1009" s="1949">
        <f>IFERROR(VLOOKUP(F1009,Trainingsarten!$A$9:$N$84,12,FALSE),"")</f>
        <v>169.39999999999998</v>
      </c>
      <c r="Q1009" s="1950" t="s">
        <v>437</v>
      </c>
      <c r="R1009" s="1086">
        <f>IFERROR(VLOOKUP(F1009,Trainingsarten!$A$9:$N$84,14,FALSE),"")</f>
        <v>193.60000000000002</v>
      </c>
      <c r="S1009" s="1087">
        <f t="shared" si="153"/>
        <v>1.6299212598425197</v>
      </c>
      <c r="T1009" s="1951">
        <f t="shared" ref="T1009:T1072" si="159">T1008+(K1009-T1008)/7</f>
        <v>40.404395352240257</v>
      </c>
      <c r="U1009" s="1952">
        <f t="shared" si="157"/>
        <v>39.078955421617849</v>
      </c>
      <c r="V1009" s="1953">
        <f t="shared" si="158"/>
        <v>0.71884268355587011</v>
      </c>
      <c r="W1009" s="3284">
        <f t="shared" si="155"/>
        <v>1.0339169744002215</v>
      </c>
      <c r="X1009" s="3300"/>
      <c r="Y1009" s="3316"/>
      <c r="AA1009" s="3301"/>
      <c r="AB1009" s="3409"/>
      <c r="AE1009" s="1056"/>
    </row>
    <row r="1010" spans="2:31" ht="16" thickBot="1" x14ac:dyDescent="0.25">
      <c r="B1010" s="2983">
        <f>AVERAGE(W1004:W1010)</f>
        <v>1.0011585433322117</v>
      </c>
      <c r="C1010" s="1260">
        <v>44108</v>
      </c>
      <c r="D1010" s="2201">
        <v>138</v>
      </c>
      <c r="E1010" s="2051" t="s">
        <v>836</v>
      </c>
      <c r="F1010" s="2736" t="s">
        <v>812</v>
      </c>
      <c r="G1010" s="1954">
        <v>8.5289351851851838E-2</v>
      </c>
      <c r="H1010" s="1955">
        <v>24.25</v>
      </c>
      <c r="I1010" s="1956">
        <f t="shared" si="154"/>
        <v>3.5170866743031684E-3</v>
      </c>
      <c r="J1010" s="1957">
        <v>142</v>
      </c>
      <c r="K1010" s="1958">
        <v>155</v>
      </c>
      <c r="L1010" s="2807">
        <v>231</v>
      </c>
      <c r="M1010" s="2830"/>
      <c r="N1010" s="1223">
        <f t="shared" si="156"/>
        <v>1.0476928758270501</v>
      </c>
      <c r="O1010" s="1959" t="s">
        <v>858</v>
      </c>
      <c r="P1010" s="1960">
        <f>IFERROR(VLOOKUP(F1010,Trainingsarten!$A$9:$N$84,12,FALSE),"")</f>
        <v>194.60000000000002</v>
      </c>
      <c r="Q1010" s="1961" t="s">
        <v>437</v>
      </c>
      <c r="R1010" s="1105">
        <f>IFERROR(VLOOKUP(F1010,Trainingsarten!$A$9:$N$84,14,FALSE),"")</f>
        <v>212.96</v>
      </c>
      <c r="S1010" s="2227">
        <f t="shared" si="153"/>
        <v>1.6267605633802817</v>
      </c>
      <c r="T1010" s="1962">
        <f t="shared" si="159"/>
        <v>56.775196016205939</v>
      </c>
      <c r="U1010" s="1963">
        <f t="shared" si="157"/>
        <v>41.838980292531708</v>
      </c>
      <c r="V1010" s="1963">
        <f t="shared" si="158"/>
        <v>-1.3254399306224087</v>
      </c>
      <c r="W1010" s="3287">
        <f t="shared" si="155"/>
        <v>1.3569928238987305</v>
      </c>
      <c r="X1010" s="3300"/>
      <c r="Y1010" s="3316"/>
      <c r="AA1010" s="3301"/>
      <c r="AB1010" s="3409"/>
      <c r="AE1010" s="1056"/>
    </row>
    <row r="1011" spans="2:31" ht="16" thickBot="1" x14ac:dyDescent="0.25">
      <c r="B1011" s="2985">
        <f>B1004+1</f>
        <v>41</v>
      </c>
      <c r="C1011" s="2189">
        <v>44109</v>
      </c>
      <c r="D1011" s="2250"/>
      <c r="E1011" s="2069"/>
      <c r="F1011" s="2724"/>
      <c r="G1011" s="2032"/>
      <c r="H1011" s="2033" t="str">
        <f>IFERROR(VLOOKUP(F1011,Trainingsarten!$A$9:$K$84,10,FALSE),"")</f>
        <v/>
      </c>
      <c r="I1011" s="2034" t="str">
        <f t="shared" si="154"/>
        <v/>
      </c>
      <c r="J1011" s="2035"/>
      <c r="K1011" s="2036" t="str">
        <f>IFERROR(VLOOKUP(F1011,Trainingsarten!$A$9:$K$84,11,FALSE),"0")</f>
        <v>0</v>
      </c>
      <c r="L1011" s="1915"/>
      <c r="M1011" s="2833"/>
      <c r="N1011" s="2037" t="str">
        <f t="shared" si="156"/>
        <v/>
      </c>
      <c r="O1011" s="2038"/>
      <c r="P1011" s="2039" t="str">
        <f>IFERROR(VLOOKUP(F1011,Trainingsarten!$A$9:$N$84,12,FALSE),"")</f>
        <v/>
      </c>
      <c r="Q1011" s="1069" t="s">
        <v>437</v>
      </c>
      <c r="R1011" s="1069" t="str">
        <f>IFERROR(VLOOKUP(F1011,Trainingsarten!$A$9:$N$84,14,FALSE),"")</f>
        <v/>
      </c>
      <c r="S1011" s="1125" t="str">
        <f t="shared" si="153"/>
        <v/>
      </c>
      <c r="T1011" s="2190">
        <f t="shared" si="159"/>
        <v>48.664453728176518</v>
      </c>
      <c r="U1011" s="1922">
        <f t="shared" si="157"/>
        <v>40.842814095090475</v>
      </c>
      <c r="V1011" s="2030">
        <f t="shared" si="158"/>
        <v>-14.936215723674231</v>
      </c>
      <c r="W1011" s="3283">
        <f t="shared" si="155"/>
        <v>1.191505894154983</v>
      </c>
      <c r="X1011" s="3300"/>
      <c r="Y1011" s="3316"/>
      <c r="AA1011" s="3301"/>
      <c r="AB1011" s="3409"/>
      <c r="AE1011" s="1056"/>
    </row>
    <row r="1012" spans="2:31" x14ac:dyDescent="0.2">
      <c r="B1012" s="2978" t="s">
        <v>626</v>
      </c>
      <c r="C1012" s="1998">
        <v>44110</v>
      </c>
      <c r="D1012" s="2251">
        <v>139</v>
      </c>
      <c r="E1012" s="2218" t="s">
        <v>836</v>
      </c>
      <c r="F1012" s="2735" t="s">
        <v>818</v>
      </c>
      <c r="G1012" s="2110">
        <v>3.9143518518518515E-2</v>
      </c>
      <c r="H1012" s="2111">
        <v>10.55</v>
      </c>
      <c r="I1012" s="2112">
        <f t="shared" si="154"/>
        <v>3.7102861154993849E-3</v>
      </c>
      <c r="J1012" s="2113">
        <v>142</v>
      </c>
      <c r="K1012" s="2114">
        <v>66</v>
      </c>
      <c r="L1012" s="2806">
        <v>221</v>
      </c>
      <c r="M1012" s="2829"/>
      <c r="N1012" s="1991">
        <f t="shared" si="156"/>
        <v>1.0573983164744996</v>
      </c>
      <c r="O1012" s="2116" t="s">
        <v>783</v>
      </c>
      <c r="P1012" s="1993">
        <f>IFERROR(VLOOKUP(F1012,Trainingsarten!$A$9:$N$84,12,FALSE),"")</f>
        <v>194.60000000000002</v>
      </c>
      <c r="Q1012" s="1994" t="s">
        <v>437</v>
      </c>
      <c r="R1012" s="1086">
        <f>IFERROR(VLOOKUP(F1012,Trainingsarten!$A$9:$N$84,14,FALSE),"")</f>
        <v>212.96</v>
      </c>
      <c r="S1012" s="1087">
        <f t="shared" si="153"/>
        <v>1.556338028169014</v>
      </c>
      <c r="T1012" s="1995">
        <f t="shared" si="159"/>
        <v>51.140960338437019</v>
      </c>
      <c r="U1012" s="1996">
        <f t="shared" si="157"/>
        <v>41.441794711874032</v>
      </c>
      <c r="V1012" s="1997">
        <f t="shared" si="158"/>
        <v>-7.8216396330860434</v>
      </c>
      <c r="W1012" s="3284">
        <f t="shared" si="155"/>
        <v>1.2340430884810101</v>
      </c>
      <c r="X1012" s="3300"/>
      <c r="Y1012" s="3316"/>
      <c r="AA1012" s="3301"/>
      <c r="AB1012" s="3409"/>
      <c r="AE1012" s="1056"/>
    </row>
    <row r="1013" spans="2:31" ht="16" thickBot="1" x14ac:dyDescent="0.25">
      <c r="B1013" s="2979">
        <f>SUM(H1011:H1017)</f>
        <v>51.180000000000007</v>
      </c>
      <c r="C1013" s="1998">
        <v>44111</v>
      </c>
      <c r="D1013" s="2251"/>
      <c r="E1013" s="2218"/>
      <c r="F1013" s="2735"/>
      <c r="G1013" s="2110"/>
      <c r="H1013" s="2111" t="str">
        <f>IFERROR(VLOOKUP(F1013,Trainingsarten!$A$9:$K$84,10,FALSE),"")</f>
        <v/>
      </c>
      <c r="I1013" s="2112" t="str">
        <f t="shared" si="154"/>
        <v/>
      </c>
      <c r="J1013" s="2113"/>
      <c r="K1013" s="2114" t="str">
        <f>IFERROR(VLOOKUP(F1013,Trainingsarten!$A$9:$K$84,11,FALSE),"0")</f>
        <v>0</v>
      </c>
      <c r="L1013" s="2806"/>
      <c r="M1013" s="2829"/>
      <c r="N1013" s="1991" t="str">
        <f t="shared" si="156"/>
        <v/>
      </c>
      <c r="O1013" s="2116"/>
      <c r="P1013" s="1993" t="str">
        <f>IFERROR(VLOOKUP(F1013,Trainingsarten!$A$9:$N$84,12,FALSE),"")</f>
        <v/>
      </c>
      <c r="Q1013" s="1994" t="s">
        <v>437</v>
      </c>
      <c r="R1013" s="1086" t="str">
        <f>IFERROR(VLOOKUP(F1013,Trainingsarten!$A$9:$N$84,14,FALSE),"")</f>
        <v/>
      </c>
      <c r="S1013" s="1087" t="str">
        <f t="shared" si="153"/>
        <v/>
      </c>
      <c r="T1013" s="1995">
        <f t="shared" si="159"/>
        <v>43.835108861517448</v>
      </c>
      <c r="U1013" s="1996">
        <f t="shared" si="157"/>
        <v>40.455085313972269</v>
      </c>
      <c r="V1013" s="1997">
        <f t="shared" si="158"/>
        <v>-9.6991656265629871</v>
      </c>
      <c r="W1013" s="3284">
        <f t="shared" si="155"/>
        <v>1.0835500289101552</v>
      </c>
      <c r="X1013" s="3300"/>
      <c r="Y1013" s="3316"/>
      <c r="AA1013" s="3301"/>
      <c r="AB1013" s="3409"/>
      <c r="AE1013" s="1056"/>
    </row>
    <row r="1014" spans="2:31" x14ac:dyDescent="0.2">
      <c r="B1014" s="2980" t="s">
        <v>628</v>
      </c>
      <c r="C1014" s="1998">
        <v>44112</v>
      </c>
      <c r="D1014" s="2251">
        <v>140</v>
      </c>
      <c r="E1014" s="2218" t="s">
        <v>836</v>
      </c>
      <c r="F1014" s="2735" t="s">
        <v>896</v>
      </c>
      <c r="G1014" s="2110">
        <v>3.875E-2</v>
      </c>
      <c r="H1014" s="2111">
        <v>11.62</v>
      </c>
      <c r="I1014" s="2112">
        <f t="shared" si="154"/>
        <v>3.3347676419965577E-3</v>
      </c>
      <c r="J1014" s="2113">
        <v>150</v>
      </c>
      <c r="K1014" s="2114">
        <v>78</v>
      </c>
      <c r="L1014" s="2806">
        <v>241</v>
      </c>
      <c r="M1014" s="2829"/>
      <c r="N1014" s="1991">
        <f t="shared" si="156"/>
        <v>1.0363860559508824</v>
      </c>
      <c r="O1014" s="2116" t="s">
        <v>821</v>
      </c>
      <c r="P1014" s="1993">
        <f>IFERROR(VLOOKUP(F1014,Trainingsarten!$A$9:$N$84,12,FALSE),"")</f>
        <v>230.89999999999998</v>
      </c>
      <c r="Q1014" s="1994" t="s">
        <v>437</v>
      </c>
      <c r="R1014" s="1086">
        <f>IFERROR(VLOOKUP(F1014,Trainingsarten!$A$9:$N$84,14,FALSE),"")</f>
        <v>254.10000000000002</v>
      </c>
      <c r="S1014" s="1087">
        <f t="shared" si="153"/>
        <v>1.6066666666666667</v>
      </c>
      <c r="T1014" s="1995">
        <f t="shared" si="159"/>
        <v>48.715807595586384</v>
      </c>
      <c r="U1014" s="1996">
        <f t="shared" si="157"/>
        <v>41.349011854115787</v>
      </c>
      <c r="V1014" s="1997">
        <f t="shared" si="158"/>
        <v>-3.3800235475451785</v>
      </c>
      <c r="W1014" s="3284">
        <f t="shared" si="155"/>
        <v>1.178161349235177</v>
      </c>
      <c r="X1014" s="3300"/>
      <c r="Y1014" s="3316"/>
      <c r="AA1014" s="3301"/>
      <c r="AB1014" s="3409"/>
      <c r="AE1014" s="1056"/>
    </row>
    <row r="1015" spans="2:31" ht="16" thickBot="1" x14ac:dyDescent="0.25">
      <c r="B1015" s="2981">
        <f>SUM(K1011:K1017)</f>
        <v>319</v>
      </c>
      <c r="C1015" s="1998">
        <v>44113</v>
      </c>
      <c r="D1015" s="2249">
        <v>141</v>
      </c>
      <c r="E1015" s="2218" t="s">
        <v>835</v>
      </c>
      <c r="F1015" s="2735" t="s">
        <v>824</v>
      </c>
      <c r="G1015" s="2110">
        <v>3.695601851851852E-2</v>
      </c>
      <c r="H1015" s="2111">
        <v>9.31</v>
      </c>
      <c r="I1015" s="2112">
        <f t="shared" si="154"/>
        <v>3.9694971555873813E-3</v>
      </c>
      <c r="J1015" s="2113">
        <v>132</v>
      </c>
      <c r="K1015" s="2114">
        <v>53</v>
      </c>
      <c r="L1015" s="2806">
        <v>206</v>
      </c>
      <c r="M1015" s="2829"/>
      <c r="N1015" s="1991">
        <f t="shared" si="156"/>
        <v>1.0544880324478574</v>
      </c>
      <c r="O1015" s="2116" t="s">
        <v>1460</v>
      </c>
      <c r="P1015" s="1993">
        <f>IFERROR(VLOOKUP(F1015,Trainingsarten!$A$9:$N$84,12,FALSE),"")</f>
        <v>169.39999999999998</v>
      </c>
      <c r="Q1015" s="1994" t="s">
        <v>437</v>
      </c>
      <c r="R1015" s="1086">
        <f>IFERROR(VLOOKUP(F1015,Trainingsarten!$A$9:$N$84,14,FALSE),"")</f>
        <v>193.60000000000002</v>
      </c>
      <c r="S1015" s="1087">
        <f t="shared" si="153"/>
        <v>1.5606060606060606</v>
      </c>
      <c r="T1015" s="1995">
        <f t="shared" si="159"/>
        <v>49.327835081931184</v>
      </c>
      <c r="U1015" s="1996">
        <f t="shared" si="157"/>
        <v>41.626416333779694</v>
      </c>
      <c r="V1015" s="1997">
        <f t="shared" si="158"/>
        <v>-7.3667957414705967</v>
      </c>
      <c r="W1015" s="3284">
        <f t="shared" si="155"/>
        <v>1.1850127737732208</v>
      </c>
      <c r="X1015" s="3300"/>
      <c r="Y1015" s="3316"/>
      <c r="AA1015" s="3301"/>
      <c r="AB1015" s="3409"/>
      <c r="AE1015" s="1056"/>
    </row>
    <row r="1016" spans="2:31" x14ac:dyDescent="0.2">
      <c r="B1016" s="2982" t="s">
        <v>761</v>
      </c>
      <c r="C1016" s="1998">
        <v>44114</v>
      </c>
      <c r="D1016" s="2249"/>
      <c r="E1016" s="2218"/>
      <c r="F1016" s="2735"/>
      <c r="G1016" s="2110"/>
      <c r="H1016" s="2111" t="str">
        <f>IFERROR(VLOOKUP(F1016,Trainingsarten!$A$9:$K$84,10,FALSE),"")</f>
        <v/>
      </c>
      <c r="I1016" s="2112" t="str">
        <f t="shared" si="154"/>
        <v/>
      </c>
      <c r="J1016" s="2113"/>
      <c r="K1016" s="2114" t="str">
        <f>IFERROR(VLOOKUP(F1016,Trainingsarten!$A$9:$K$84,11,FALSE),"0")</f>
        <v>0</v>
      </c>
      <c r="L1016" s="2806"/>
      <c r="M1016" s="2829"/>
      <c r="N1016" s="1991" t="str">
        <f t="shared" si="156"/>
        <v/>
      </c>
      <c r="O1016" s="2116"/>
      <c r="P1016" s="1993" t="str">
        <f>IFERROR(VLOOKUP(F1016,Trainingsarten!$A$9:$N$84,12,FALSE),"")</f>
        <v/>
      </c>
      <c r="Q1016" s="1994" t="s">
        <v>437</v>
      </c>
      <c r="R1016" s="1086" t="str">
        <f>IFERROR(VLOOKUP(F1016,Trainingsarten!$A$9:$N$84,14,FALSE),"")</f>
        <v/>
      </c>
      <c r="S1016" s="1087" t="str">
        <f t="shared" si="153"/>
        <v/>
      </c>
      <c r="T1016" s="1995">
        <f t="shared" si="159"/>
        <v>42.281001498798155</v>
      </c>
      <c r="U1016" s="1996">
        <f t="shared" si="157"/>
        <v>40.635311182975414</v>
      </c>
      <c r="V1016" s="1997">
        <f t="shared" si="158"/>
        <v>-7.7014187481514895</v>
      </c>
      <c r="W1016" s="3284">
        <f t="shared" si="155"/>
        <v>1.0404990208740477</v>
      </c>
      <c r="X1016" s="3300"/>
      <c r="Y1016" s="3316"/>
      <c r="AA1016" s="3301"/>
      <c r="AB1016" s="3409"/>
      <c r="AE1016" s="1056"/>
    </row>
    <row r="1017" spans="2:31" ht="16" thickBot="1" x14ac:dyDescent="0.25">
      <c r="B1017" s="2983">
        <f>AVERAGE(W1011:W1017)</f>
        <v>1.167632826841084</v>
      </c>
      <c r="C1017" s="2214">
        <v>44115</v>
      </c>
      <c r="D1017" s="2201">
        <v>142</v>
      </c>
      <c r="E1017" s="2051" t="s">
        <v>836</v>
      </c>
      <c r="F1017" s="2736" t="s">
        <v>859</v>
      </c>
      <c r="G1017" s="2120">
        <v>7.6550925925925925E-2</v>
      </c>
      <c r="H1017" s="2121">
        <v>19.7</v>
      </c>
      <c r="I1017" s="2122">
        <f t="shared" si="154"/>
        <v>3.8858338033464939E-3</v>
      </c>
      <c r="J1017" s="2123">
        <v>136</v>
      </c>
      <c r="K1017" s="2124">
        <v>122</v>
      </c>
      <c r="L1017" s="2807">
        <v>217</v>
      </c>
      <c r="M1017" s="2830"/>
      <c r="N1017" s="1223">
        <f t="shared" si="156"/>
        <v>1.0873838927191453</v>
      </c>
      <c r="O1017" s="2125" t="s">
        <v>858</v>
      </c>
      <c r="P1017" s="2126">
        <f>IFERROR(VLOOKUP(F1017,Trainingsarten!$A$9:$N$84,12,FALSE),"")</f>
        <v>194.60000000000002</v>
      </c>
      <c r="Q1017" s="2127" t="s">
        <v>437</v>
      </c>
      <c r="R1017" s="1105">
        <f>IFERROR(VLOOKUP(F1017,Trainingsarten!$A$9:$N$84,14,FALSE),"")</f>
        <v>212.96</v>
      </c>
      <c r="S1017" s="1106">
        <f t="shared" si="153"/>
        <v>1.5955882352941178</v>
      </c>
      <c r="T1017" s="2145">
        <f t="shared" si="159"/>
        <v>53.6694298561127</v>
      </c>
      <c r="U1017" s="2225">
        <f t="shared" si="157"/>
        <v>42.572565678618858</v>
      </c>
      <c r="V1017" s="2225">
        <f t="shared" si="158"/>
        <v>-1.6456903158227405</v>
      </c>
      <c r="W1017" s="3285">
        <f t="shared" si="155"/>
        <v>1.2606576324589946</v>
      </c>
      <c r="X1017" s="3300"/>
      <c r="Y1017" s="3316"/>
      <c r="AA1017" s="3301"/>
      <c r="AB1017" s="3409"/>
      <c r="AE1017" s="1056"/>
    </row>
    <row r="1018" spans="2:31" ht="16" thickBot="1" x14ac:dyDescent="0.25">
      <c r="B1018" s="2985">
        <f>B1011+1</f>
        <v>42</v>
      </c>
      <c r="C1018" s="1909">
        <v>44116</v>
      </c>
      <c r="D1018" s="1910"/>
      <c r="E1018" s="2069"/>
      <c r="F1018" s="2739"/>
      <c r="G1018" s="1912"/>
      <c r="H1018" s="1913" t="str">
        <f>IFERROR(VLOOKUP(F1018,Trainingsarten!$A$9:$K$84,10,FALSE),"")</f>
        <v/>
      </c>
      <c r="I1018" s="1914" t="str">
        <f t="shared" si="154"/>
        <v/>
      </c>
      <c r="J1018" s="1915"/>
      <c r="K1018" s="1916" t="str">
        <f>IFERROR(VLOOKUP(F1018,Trainingsarten!$A$9:$K$84,11,FALSE),"0")</f>
        <v>0</v>
      </c>
      <c r="L1018" s="1915"/>
      <c r="M1018" s="2833"/>
      <c r="N1018" s="1917" t="str">
        <f t="shared" si="156"/>
        <v/>
      </c>
      <c r="O1018" s="1918"/>
      <c r="P1018" s="1965" t="str">
        <f>IFERROR(VLOOKUP(F1018,Trainingsarten!$A$9:$N$84,12,FALSE),"")</f>
        <v/>
      </c>
      <c r="Q1018" s="1920" t="s">
        <v>437</v>
      </c>
      <c r="R1018" s="1069" t="str">
        <f>IFERROR(VLOOKUP(F1018,Trainingsarten!$A$9:$N$84,14,FALSE),"")</f>
        <v/>
      </c>
      <c r="S1018" s="1125" t="str">
        <f t="shared" si="153"/>
        <v/>
      </c>
      <c r="T1018" s="1921">
        <f t="shared" si="159"/>
        <v>46.002368448096597</v>
      </c>
      <c r="U1018" s="1922">
        <f t="shared" si="157"/>
        <v>41.558933162461265</v>
      </c>
      <c r="V1018" s="1966">
        <f t="shared" si="158"/>
        <v>-11.096864177493842</v>
      </c>
      <c r="W1018" s="3286">
        <f t="shared" si="155"/>
        <v>1.1069188967932635</v>
      </c>
      <c r="X1018" s="3300"/>
      <c r="Y1018" s="3316"/>
      <c r="AA1018" s="3301"/>
      <c r="AB1018" s="3409"/>
      <c r="AE1018" s="1056"/>
    </row>
    <row r="1019" spans="2:31" x14ac:dyDescent="0.2">
      <c r="B1019" s="2978" t="s">
        <v>626</v>
      </c>
      <c r="C1019" s="1983">
        <v>44117</v>
      </c>
      <c r="D1019" s="1984">
        <v>143</v>
      </c>
      <c r="E1019" s="2218" t="s">
        <v>836</v>
      </c>
      <c r="F1019" s="2740" t="s">
        <v>464</v>
      </c>
      <c r="G1019" s="1942">
        <v>3.6516203703703703E-2</v>
      </c>
      <c r="H1019" s="1943">
        <v>10.02</v>
      </c>
      <c r="I1019" s="1944">
        <f t="shared" si="154"/>
        <v>3.6443317069564576E-3</v>
      </c>
      <c r="J1019" s="1945">
        <v>146</v>
      </c>
      <c r="K1019" s="1946">
        <v>64</v>
      </c>
      <c r="L1019" s="2806">
        <v>220</v>
      </c>
      <c r="M1019" s="2829"/>
      <c r="N1019" s="1991">
        <f t="shared" si="156"/>
        <v>1.0339023445646023</v>
      </c>
      <c r="O1019" s="1948" t="s">
        <v>783</v>
      </c>
      <c r="P1019" s="1949" t="str">
        <f>IFERROR(VLOOKUP(F1019,Trainingsarten!$A$9:$N$84,12,FALSE),"")</f>
        <v/>
      </c>
      <c r="Q1019" s="1950" t="s">
        <v>437</v>
      </c>
      <c r="R1019" s="1086" t="str">
        <f>IFERROR(VLOOKUP(F1019,Trainingsarten!$A$9:$N$84,14,FALSE),"")</f>
        <v/>
      </c>
      <c r="S1019" s="1087">
        <f t="shared" si="153"/>
        <v>1.5068493150684932</v>
      </c>
      <c r="T1019" s="1951">
        <f t="shared" si="159"/>
        <v>48.573458669797084</v>
      </c>
      <c r="U1019" s="1952">
        <f t="shared" si="157"/>
        <v>42.093244277640757</v>
      </c>
      <c r="V1019" s="1953">
        <f t="shared" si="158"/>
        <v>-4.4434352856353314</v>
      </c>
      <c r="W1019" s="3284">
        <f t="shared" si="155"/>
        <v>1.1539490363207408</v>
      </c>
      <c r="X1019" s="3300"/>
      <c r="Y1019" s="3316"/>
      <c r="AA1019" s="3301"/>
      <c r="AB1019" s="3409"/>
      <c r="AE1019" s="1056"/>
    </row>
    <row r="1020" spans="2:31" ht="16" thickBot="1" x14ac:dyDescent="0.25">
      <c r="B1020" s="2979">
        <f>SUM(H1018:H1024)</f>
        <v>29.569999999999997</v>
      </c>
      <c r="C1020" s="1939">
        <v>44118</v>
      </c>
      <c r="D1020" s="1984"/>
      <c r="E1020" s="2218"/>
      <c r="F1020" s="2740"/>
      <c r="G1020" s="1942"/>
      <c r="H1020" s="1943" t="str">
        <f>IFERROR(VLOOKUP(F1020,Trainingsarten!$A$9:$K$84,10,FALSE),"")</f>
        <v/>
      </c>
      <c r="I1020" s="1944" t="str">
        <f t="shared" si="154"/>
        <v/>
      </c>
      <c r="J1020" s="1945"/>
      <c r="K1020" s="1946" t="str">
        <f>IFERROR(VLOOKUP(F1020,Trainingsarten!$A$9:$K$84,11,FALSE),"0")</f>
        <v>0</v>
      </c>
      <c r="L1020" s="2806"/>
      <c r="M1020" s="2829"/>
      <c r="N1020" s="1991" t="str">
        <f t="shared" si="156"/>
        <v/>
      </c>
      <c r="O1020" s="1948"/>
      <c r="P1020" s="1949" t="str">
        <f>IFERROR(VLOOKUP(F1020,Trainingsarten!$A$9:$N$84,12,FALSE),"")</f>
        <v/>
      </c>
      <c r="Q1020" s="1950" t="s">
        <v>437</v>
      </c>
      <c r="R1020" s="1086" t="str">
        <f>IFERROR(VLOOKUP(F1020,Trainingsarten!$A$9:$N$84,14,FALSE),"")</f>
        <v/>
      </c>
      <c r="S1020" s="1087" t="str">
        <f t="shared" si="153"/>
        <v/>
      </c>
      <c r="T1020" s="1951">
        <f t="shared" si="159"/>
        <v>41.634393145540358</v>
      </c>
      <c r="U1020" s="1952">
        <f t="shared" si="157"/>
        <v>41.091024175792171</v>
      </c>
      <c r="V1020" s="1953">
        <f t="shared" si="158"/>
        <v>-6.4802143921563271</v>
      </c>
      <c r="W1020" s="3284">
        <f t="shared" si="155"/>
        <v>1.0132235440865038</v>
      </c>
      <c r="X1020" s="3300"/>
      <c r="Y1020" s="3316"/>
      <c r="AA1020" s="3301"/>
      <c r="AB1020" s="3409"/>
      <c r="AE1020" s="1056"/>
    </row>
    <row r="1021" spans="2:31" x14ac:dyDescent="0.2">
      <c r="B1021" s="2980" t="s">
        <v>628</v>
      </c>
      <c r="C1021" s="1939">
        <v>44119</v>
      </c>
      <c r="D1021" s="1984">
        <v>144</v>
      </c>
      <c r="E1021" s="2218" t="s">
        <v>836</v>
      </c>
      <c r="F1021" s="2740" t="s">
        <v>824</v>
      </c>
      <c r="G1021" s="1942">
        <v>3.7071759259259256E-2</v>
      </c>
      <c r="H1021" s="1943">
        <v>9.35</v>
      </c>
      <c r="I1021" s="1944">
        <f t="shared" si="154"/>
        <v>3.9648940384234502E-3</v>
      </c>
      <c r="J1021" s="1945">
        <v>134</v>
      </c>
      <c r="K1021" s="1946">
        <v>53</v>
      </c>
      <c r="L1021" s="2806">
        <v>206</v>
      </c>
      <c r="M1021" s="2829"/>
      <c r="N1021" s="1991">
        <f t="shared" si="156"/>
        <v>1.0532652246787453</v>
      </c>
      <c r="O1021" s="1948" t="s">
        <v>1460</v>
      </c>
      <c r="P1021" s="1949">
        <f>IFERROR(VLOOKUP(F1021,Trainingsarten!$A$9:$N$84,12,FALSE),"")</f>
        <v>169.39999999999998</v>
      </c>
      <c r="Q1021" s="1950" t="s">
        <v>437</v>
      </c>
      <c r="R1021" s="1086">
        <f>IFERROR(VLOOKUP(F1021,Trainingsarten!$A$9:$N$84,14,FALSE),"")</f>
        <v>193.60000000000002</v>
      </c>
      <c r="S1021" s="1087">
        <f t="shared" si="153"/>
        <v>1.5373134328358209</v>
      </c>
      <c r="T1021" s="1951">
        <f t="shared" si="159"/>
        <v>43.258051267606021</v>
      </c>
      <c r="U1021" s="1952">
        <f t="shared" si="157"/>
        <v>41.374571219225693</v>
      </c>
      <c r="V1021" s="1953">
        <f t="shared" si="158"/>
        <v>-0.54336896974818671</v>
      </c>
      <c r="W1021" s="3284">
        <f t="shared" si="155"/>
        <v>1.0455226481599191</v>
      </c>
      <c r="X1021" s="3300"/>
      <c r="Y1021" s="3316"/>
      <c r="AA1021" s="3301"/>
      <c r="AB1021" s="3409"/>
      <c r="AE1021" s="1056"/>
    </row>
    <row r="1022" spans="2:31" ht="16" thickBot="1" x14ac:dyDescent="0.25">
      <c r="B1022" s="2981">
        <f>SUM(K1018:K1024)</f>
        <v>178</v>
      </c>
      <c r="C1022" s="1939">
        <v>44120</v>
      </c>
      <c r="D1022" s="1984"/>
      <c r="E1022" s="2218"/>
      <c r="F1022" s="2740"/>
      <c r="G1022" s="1942"/>
      <c r="H1022" s="1943" t="str">
        <f>IFERROR(VLOOKUP(F1022,Trainingsarten!$A$9:$K$84,10,FALSE),"")</f>
        <v/>
      </c>
      <c r="I1022" s="1944" t="str">
        <f t="shared" si="154"/>
        <v/>
      </c>
      <c r="J1022" s="1945"/>
      <c r="K1022" s="1946" t="str">
        <f>IFERROR(VLOOKUP(F1022,Trainingsarten!$A$9:$K$84,11,FALSE),"0")</f>
        <v>0</v>
      </c>
      <c r="L1022" s="2806"/>
      <c r="M1022" s="2829"/>
      <c r="N1022" s="1991" t="str">
        <f t="shared" si="156"/>
        <v/>
      </c>
      <c r="O1022" s="1948"/>
      <c r="P1022" s="1949" t="str">
        <f>IFERROR(VLOOKUP(F1022,Trainingsarten!$A$9:$N$84,12,FALSE),"")</f>
        <v/>
      </c>
      <c r="Q1022" s="1950" t="s">
        <v>437</v>
      </c>
      <c r="R1022" s="1086" t="str">
        <f>IFERROR(VLOOKUP(F1022,Trainingsarten!$A$9:$N$84,14,FALSE),"")</f>
        <v/>
      </c>
      <c r="S1022" s="1087" t="str">
        <f t="shared" si="153"/>
        <v/>
      </c>
      <c r="T1022" s="1951">
        <f t="shared" si="159"/>
        <v>37.078329657948018</v>
      </c>
      <c r="U1022" s="1952">
        <f t="shared" si="157"/>
        <v>40.389462380672697</v>
      </c>
      <c r="V1022" s="1953">
        <f t="shared" si="158"/>
        <v>-1.8834800483803278</v>
      </c>
      <c r="W1022" s="3284">
        <f t="shared" si="155"/>
        <v>0.91801988618919739</v>
      </c>
      <c r="X1022" s="3300"/>
      <c r="Y1022" s="3316"/>
      <c r="AA1022" s="3301"/>
      <c r="AB1022" s="3409"/>
      <c r="AE1022" s="1056"/>
    </row>
    <row r="1023" spans="2:31" x14ac:dyDescent="0.2">
      <c r="B1023" s="2982" t="s">
        <v>761</v>
      </c>
      <c r="C1023" s="1939">
        <v>44121</v>
      </c>
      <c r="D1023" s="1984"/>
      <c r="E1023" s="2218"/>
      <c r="F1023" s="2740"/>
      <c r="G1023" s="1942"/>
      <c r="H1023" s="1943" t="str">
        <f>IFERROR(VLOOKUP(F1023,Trainingsarten!$A$9:$K$84,10,FALSE),"")</f>
        <v/>
      </c>
      <c r="I1023" s="1944" t="str">
        <f t="shared" si="154"/>
        <v/>
      </c>
      <c r="J1023" s="1945"/>
      <c r="K1023" s="1946" t="str">
        <f>IFERROR(VLOOKUP(F1023,Trainingsarten!$A$9:$K$84,11,FALSE),"0")</f>
        <v>0</v>
      </c>
      <c r="L1023" s="2806"/>
      <c r="M1023" s="2829"/>
      <c r="N1023" s="1991" t="str">
        <f t="shared" si="156"/>
        <v/>
      </c>
      <c r="O1023" s="1948"/>
      <c r="P1023" s="1949" t="str">
        <f>IFERROR(VLOOKUP(F1023,Trainingsarten!$A$9:$N$84,12,FALSE),"")</f>
        <v/>
      </c>
      <c r="Q1023" s="1950" t="s">
        <v>437</v>
      </c>
      <c r="R1023" s="1086" t="str">
        <f>IFERROR(VLOOKUP(F1023,Trainingsarten!$A$9:$N$84,14,FALSE),"")</f>
        <v/>
      </c>
      <c r="S1023" s="1087" t="str">
        <f t="shared" si="153"/>
        <v/>
      </c>
      <c r="T1023" s="1951">
        <f t="shared" si="159"/>
        <v>31.781425421098302</v>
      </c>
      <c r="U1023" s="1952">
        <f t="shared" si="157"/>
        <v>39.427808514466207</v>
      </c>
      <c r="V1023" s="1953">
        <f t="shared" si="158"/>
        <v>3.311132722724679</v>
      </c>
      <c r="W1023" s="3284">
        <f t="shared" si="155"/>
        <v>0.80606624153197814</v>
      </c>
      <c r="X1023" s="3300"/>
      <c r="Y1023" s="3316"/>
      <c r="AA1023" s="3301"/>
      <c r="AB1023" s="3409"/>
      <c r="AE1023" s="1056"/>
    </row>
    <row r="1024" spans="2:31" ht="16" thickBot="1" x14ac:dyDescent="0.25">
      <c r="B1024" s="2983">
        <f>AVERAGE(W1018:W1024)</f>
        <v>0.99198657417575475</v>
      </c>
      <c r="C1024" s="1260">
        <v>44122</v>
      </c>
      <c r="D1024" s="1108">
        <v>145</v>
      </c>
      <c r="E1024" s="2051" t="s">
        <v>836</v>
      </c>
      <c r="F1024" s="2741" t="s">
        <v>818</v>
      </c>
      <c r="G1024" s="1954">
        <v>3.8217592592592588E-2</v>
      </c>
      <c r="H1024" s="1955">
        <v>10.199999999999999</v>
      </c>
      <c r="I1024" s="1956">
        <f t="shared" si="154"/>
        <v>3.7468228031953522E-3</v>
      </c>
      <c r="J1024" s="1957">
        <v>137</v>
      </c>
      <c r="K1024" s="1958">
        <v>61</v>
      </c>
      <c r="L1024" s="2807">
        <v>216</v>
      </c>
      <c r="M1024" s="2830"/>
      <c r="N1024" s="1223">
        <f t="shared" si="156"/>
        <v>1.0436523266022826</v>
      </c>
      <c r="O1024" s="1959" t="s">
        <v>1460</v>
      </c>
      <c r="P1024" s="1960">
        <f>IFERROR(VLOOKUP(F1024,Trainingsarten!$A$9:$N$84,12,FALSE),"")</f>
        <v>194.60000000000002</v>
      </c>
      <c r="Q1024" s="1961" t="s">
        <v>437</v>
      </c>
      <c r="R1024" s="1105">
        <f>IFERROR(VLOOKUP(F1024,Trainingsarten!$A$9:$N$84,14,FALSE),"")</f>
        <v>212.96</v>
      </c>
      <c r="S1024" s="1106">
        <f t="shared" si="153"/>
        <v>1.5766423357664234</v>
      </c>
      <c r="T1024" s="1962">
        <f t="shared" si="159"/>
        <v>35.955507503798543</v>
      </c>
      <c r="U1024" s="1963">
        <f t="shared" si="157"/>
        <v>39.941432121264633</v>
      </c>
      <c r="V1024" s="1963">
        <f t="shared" si="158"/>
        <v>7.6463830933679056</v>
      </c>
      <c r="W1024" s="3287">
        <f t="shared" si="155"/>
        <v>0.90020576614868042</v>
      </c>
      <c r="X1024" s="3300"/>
      <c r="Y1024" s="3316"/>
      <c r="AA1024" s="3301"/>
      <c r="AB1024" s="3409"/>
      <c r="AE1024" s="1056"/>
    </row>
    <row r="1025" spans="2:31" ht="16" thickBot="1" x14ac:dyDescent="0.25">
      <c r="B1025" s="2985">
        <f>B1018+1</f>
        <v>43</v>
      </c>
      <c r="C1025" s="2189">
        <v>44123</v>
      </c>
      <c r="D1025" s="2106"/>
      <c r="E1025" s="2069"/>
      <c r="F1025" s="2739"/>
      <c r="G1025" s="2032"/>
      <c r="H1025" s="2033" t="str">
        <f>IFERROR(VLOOKUP(F1025,Trainingsarten!$A$9:$K$84,10,FALSE),"")</f>
        <v/>
      </c>
      <c r="I1025" s="2034" t="str">
        <f t="shared" si="154"/>
        <v/>
      </c>
      <c r="J1025" s="2035"/>
      <c r="K1025" s="2036" t="str">
        <f>IFERROR(VLOOKUP(F1025,Trainingsarten!$A$9:$K$84,11,FALSE),"0")</f>
        <v>0</v>
      </c>
      <c r="L1025" s="1915"/>
      <c r="M1025" s="2833"/>
      <c r="N1025" s="2037" t="str">
        <f t="shared" si="156"/>
        <v/>
      </c>
      <c r="O1025" s="2038"/>
      <c r="P1025" s="2039" t="str">
        <f>IFERROR(VLOOKUP(F1025,Trainingsarten!$A$9:$N$84,12,FALSE),"")</f>
        <v/>
      </c>
      <c r="Q1025" s="1069" t="s">
        <v>437</v>
      </c>
      <c r="R1025" s="1069" t="str">
        <f>IFERROR(VLOOKUP(F1025,Trainingsarten!$A$9:$N$84,14,FALSE),"")</f>
        <v/>
      </c>
      <c r="S1025" s="1125" t="str">
        <f t="shared" si="153"/>
        <v/>
      </c>
      <c r="T1025" s="2190">
        <f t="shared" si="159"/>
        <v>30.819006431827322</v>
      </c>
      <c r="U1025" s="1922">
        <f t="shared" si="157"/>
        <v>38.990445642186906</v>
      </c>
      <c r="V1025" s="2030">
        <f t="shared" si="158"/>
        <v>3.9859246174660896</v>
      </c>
      <c r="W1025" s="3283">
        <f t="shared" si="155"/>
        <v>0.79042457515493891</v>
      </c>
      <c r="X1025" s="3300"/>
      <c r="Y1025" s="3316"/>
      <c r="AA1025" s="3301"/>
      <c r="AB1025" s="3409"/>
      <c r="AE1025" s="1056"/>
    </row>
    <row r="1026" spans="2:31" x14ac:dyDescent="0.2">
      <c r="B1026" s="2978" t="s">
        <v>626</v>
      </c>
      <c r="C1026" s="1998">
        <v>44124</v>
      </c>
      <c r="D1026" s="2252">
        <v>146</v>
      </c>
      <c r="E1026" s="2213" t="s">
        <v>836</v>
      </c>
      <c r="F1026" s="2740" t="s">
        <v>464</v>
      </c>
      <c r="G1026" s="2110">
        <v>3.1296296296296301E-2</v>
      </c>
      <c r="H1026" s="2111">
        <v>9.3699999999999992</v>
      </c>
      <c r="I1026" s="2112">
        <f t="shared" si="154"/>
        <v>3.3400529665204167E-3</v>
      </c>
      <c r="J1026" s="2113">
        <v>145</v>
      </c>
      <c r="K1026" s="2114">
        <v>62</v>
      </c>
      <c r="L1026" s="2806">
        <v>238</v>
      </c>
      <c r="M1026" s="2829"/>
      <c r="N1026" s="1991">
        <f t="shared" si="156"/>
        <v>1.0251071218082484</v>
      </c>
      <c r="O1026" s="2116" t="s">
        <v>783</v>
      </c>
      <c r="P1026" s="1993" t="str">
        <f>IFERROR(VLOOKUP(F1026,Trainingsarten!$A$9:$N$84,12,FALSE),"")</f>
        <v/>
      </c>
      <c r="Q1026" s="1994" t="s">
        <v>437</v>
      </c>
      <c r="R1026" s="1086" t="str">
        <f>IFERROR(VLOOKUP(F1026,Trainingsarten!$A$9:$N$84,14,FALSE),"")</f>
        <v/>
      </c>
      <c r="S1026" s="1087">
        <f t="shared" si="153"/>
        <v>1.6413793103448275</v>
      </c>
      <c r="T1026" s="1995">
        <f t="shared" si="159"/>
        <v>35.273434084423421</v>
      </c>
      <c r="U1026" s="1996">
        <f t="shared" si="157"/>
        <v>39.538292174515789</v>
      </c>
      <c r="V1026" s="1997">
        <f t="shared" si="158"/>
        <v>8.1714392103595834</v>
      </c>
      <c r="W1026" s="3284">
        <f t="shared" si="155"/>
        <v>0.89213347730681036</v>
      </c>
      <c r="X1026" s="3300"/>
      <c r="Y1026" s="3316"/>
      <c r="AA1026" s="3301"/>
      <c r="AB1026" s="3409"/>
      <c r="AE1026" s="1056"/>
    </row>
    <row r="1027" spans="2:31" ht="16" thickBot="1" x14ac:dyDescent="0.25">
      <c r="B1027" s="2979">
        <f>SUM(H1025:H1031)</f>
        <v>30.97</v>
      </c>
      <c r="C1027" s="1998">
        <v>44125</v>
      </c>
      <c r="D1027" s="1984"/>
      <c r="E1027" s="2213"/>
      <c r="F1027" s="2740"/>
      <c r="G1027" s="2110"/>
      <c r="H1027" s="2111" t="str">
        <f>IFERROR(VLOOKUP(F1027,Trainingsarten!$A$9:$K$84,10,FALSE),"")</f>
        <v/>
      </c>
      <c r="I1027" s="2112" t="str">
        <f t="shared" si="154"/>
        <v/>
      </c>
      <c r="J1027" s="2113"/>
      <c r="K1027" s="2114" t="str">
        <f>IFERROR(VLOOKUP(F1027,Trainingsarten!$A$9:$K$84,11,FALSE),"0")</f>
        <v>0</v>
      </c>
      <c r="L1027" s="2806"/>
      <c r="M1027" s="2829"/>
      <c r="N1027" s="1991" t="str">
        <f t="shared" si="156"/>
        <v/>
      </c>
      <c r="O1027" s="2116"/>
      <c r="P1027" s="1993" t="str">
        <f>IFERROR(VLOOKUP(F1027,Trainingsarten!$A$9:$N$84,12,FALSE),"")</f>
        <v/>
      </c>
      <c r="Q1027" s="1994" t="s">
        <v>437</v>
      </c>
      <c r="R1027" s="1086" t="str">
        <f>IFERROR(VLOOKUP(F1027,Trainingsarten!$A$9:$N$84,14,FALSE),"")</f>
        <v/>
      </c>
      <c r="S1027" s="1087" t="str">
        <f t="shared" si="153"/>
        <v/>
      </c>
      <c r="T1027" s="1995">
        <f t="shared" si="159"/>
        <v>30.23437207236293</v>
      </c>
      <c r="U1027" s="1996">
        <f t="shared" si="157"/>
        <v>38.596904265598745</v>
      </c>
      <c r="V1027" s="1997">
        <f t="shared" si="158"/>
        <v>4.2648580900923676</v>
      </c>
      <c r="W1027" s="3284">
        <f t="shared" si="155"/>
        <v>0.78333671178158959</v>
      </c>
      <c r="X1027" s="3300"/>
      <c r="Y1027" s="3316"/>
      <c r="AA1027" s="3301"/>
      <c r="AB1027" s="3409"/>
      <c r="AE1027" s="1056"/>
    </row>
    <row r="1028" spans="2:31" x14ac:dyDescent="0.2">
      <c r="B1028" s="2980" t="s">
        <v>628</v>
      </c>
      <c r="C1028" s="1998">
        <v>44126</v>
      </c>
      <c r="D1028" s="1984"/>
      <c r="E1028" s="2213"/>
      <c r="F1028" s="2740"/>
      <c r="G1028" s="2110"/>
      <c r="H1028" s="2111" t="str">
        <f>IFERROR(VLOOKUP(F1028,Trainingsarten!$A$9:$K$84,10,FALSE),"")</f>
        <v/>
      </c>
      <c r="I1028" s="2112" t="str">
        <f t="shared" si="154"/>
        <v/>
      </c>
      <c r="J1028" s="2113"/>
      <c r="K1028" s="2114" t="str">
        <f>IFERROR(VLOOKUP(F1028,Trainingsarten!$A$9:$K$84,11,FALSE),"0")</f>
        <v>0</v>
      </c>
      <c r="L1028" s="2806"/>
      <c r="M1028" s="2829"/>
      <c r="N1028" s="1991" t="str">
        <f t="shared" si="156"/>
        <v/>
      </c>
      <c r="O1028" s="2116"/>
      <c r="P1028" s="1993" t="str">
        <f>IFERROR(VLOOKUP(F1028,Trainingsarten!$A$9:$N$84,12,FALSE),"")</f>
        <v/>
      </c>
      <c r="Q1028" s="1994" t="s">
        <v>437</v>
      </c>
      <c r="R1028" s="1086" t="str">
        <f>IFERROR(VLOOKUP(F1028,Trainingsarten!$A$9:$N$84,14,FALSE),"")</f>
        <v/>
      </c>
      <c r="S1028" s="1087" t="str">
        <f t="shared" si="153"/>
        <v/>
      </c>
      <c r="T1028" s="1995">
        <f t="shared" si="159"/>
        <v>25.915176062025367</v>
      </c>
      <c r="U1028" s="1996">
        <f t="shared" si="157"/>
        <v>37.677930354513059</v>
      </c>
      <c r="V1028" s="1997">
        <f t="shared" si="158"/>
        <v>8.3625321932358148</v>
      </c>
      <c r="W1028" s="3284">
        <f t="shared" si="155"/>
        <v>0.68780784449115184</v>
      </c>
      <c r="X1028" s="3300"/>
      <c r="Y1028" s="3316"/>
      <c r="AA1028" s="3301"/>
      <c r="AB1028" s="3409"/>
      <c r="AE1028" s="1056"/>
    </row>
    <row r="1029" spans="2:31" ht="16" thickBot="1" x14ac:dyDescent="0.25">
      <c r="B1029" s="2981">
        <f>SUM(K1025:K1031)</f>
        <v>202</v>
      </c>
      <c r="C1029" s="1998">
        <v>44127</v>
      </c>
      <c r="D1029" s="1984">
        <v>147</v>
      </c>
      <c r="E1029" s="2213" t="s">
        <v>836</v>
      </c>
      <c r="F1029" s="2740" t="s">
        <v>825</v>
      </c>
      <c r="G1029" s="2110">
        <v>3.0682870370370371E-2</v>
      </c>
      <c r="H1029" s="2111">
        <v>7.99</v>
      </c>
      <c r="I1029" s="2112">
        <f t="shared" si="154"/>
        <v>3.8401589950400965E-3</v>
      </c>
      <c r="J1029" s="2113">
        <v>132</v>
      </c>
      <c r="K1029" s="2114">
        <v>47</v>
      </c>
      <c r="L1029" s="2806">
        <v>212</v>
      </c>
      <c r="M1029" s="2829"/>
      <c r="N1029" s="1991">
        <f t="shared" si="156"/>
        <v>1.0498421534380662</v>
      </c>
      <c r="O1029" s="2116" t="s">
        <v>783</v>
      </c>
      <c r="P1029" s="1993">
        <f>IFERROR(VLOOKUP(F1029,Trainingsarten!$A$9:$N$84,12,FALSE),"")</f>
        <v>169.39999999999998</v>
      </c>
      <c r="Q1029" s="1994" t="s">
        <v>437</v>
      </c>
      <c r="R1029" s="1086">
        <f>IFERROR(VLOOKUP(F1029,Trainingsarten!$A$9:$N$84,14,FALSE),"")</f>
        <v>193.60000000000002</v>
      </c>
      <c r="S1029" s="1087">
        <f t="shared" si="153"/>
        <v>1.606060606060606</v>
      </c>
      <c r="T1029" s="1995">
        <f t="shared" si="159"/>
        <v>28.927293767450315</v>
      </c>
      <c r="U1029" s="1996">
        <f t="shared" si="157"/>
        <v>37.899884393691316</v>
      </c>
      <c r="V1029" s="1997">
        <f t="shared" si="158"/>
        <v>11.762754292487692</v>
      </c>
      <c r="W1029" s="3284">
        <f t="shared" si="155"/>
        <v>0.76325546186271354</v>
      </c>
      <c r="X1029" s="3300"/>
      <c r="Y1029" s="3316"/>
      <c r="AA1029" s="3301"/>
      <c r="AB1029" s="3409"/>
      <c r="AE1029" s="1056"/>
    </row>
    <row r="1030" spans="2:31" x14ac:dyDescent="0.2">
      <c r="B1030" s="2982" t="s">
        <v>761</v>
      </c>
      <c r="C1030" s="1998">
        <v>44128</v>
      </c>
      <c r="D1030" s="1984"/>
      <c r="E1030" s="2213"/>
      <c r="F1030" s="2740"/>
      <c r="G1030" s="2110"/>
      <c r="H1030" s="2111" t="str">
        <f>IFERROR(VLOOKUP(F1030,Trainingsarten!$A$9:$K$84,10,FALSE),"")</f>
        <v/>
      </c>
      <c r="I1030" s="2112" t="str">
        <f t="shared" si="154"/>
        <v/>
      </c>
      <c r="J1030" s="2113"/>
      <c r="K1030" s="2114" t="str">
        <f>IFERROR(VLOOKUP(F1030,Trainingsarten!$A$9:$K$84,11,FALSE),"0")</f>
        <v>0</v>
      </c>
      <c r="L1030" s="2806"/>
      <c r="M1030" s="2829"/>
      <c r="N1030" s="1991" t="str">
        <f t="shared" si="156"/>
        <v/>
      </c>
      <c r="O1030" s="2116"/>
      <c r="P1030" s="1993" t="str">
        <f>IFERROR(VLOOKUP(F1030,Trainingsarten!$A$9:$N$84,12,FALSE),"")</f>
        <v/>
      </c>
      <c r="Q1030" s="1994" t="s">
        <v>437</v>
      </c>
      <c r="R1030" s="1086" t="str">
        <f>IFERROR(VLOOKUP(F1030,Trainingsarten!$A$9:$N$84,14,FALSE),"")</f>
        <v/>
      </c>
      <c r="S1030" s="1087" t="str">
        <f t="shared" si="153"/>
        <v/>
      </c>
      <c r="T1030" s="1995">
        <f t="shared" si="159"/>
        <v>24.794823229243129</v>
      </c>
      <c r="U1030" s="1996">
        <f t="shared" si="157"/>
        <v>36.997506193841524</v>
      </c>
      <c r="V1030" s="1997">
        <f t="shared" si="158"/>
        <v>8.9725906262410007</v>
      </c>
      <c r="W1030" s="3284">
        <f t="shared" si="155"/>
        <v>0.67017552748921194</v>
      </c>
      <c r="X1030" s="3300"/>
      <c r="Y1030" s="3316"/>
      <c r="AA1030" s="3301"/>
      <c r="AB1030" s="3409"/>
      <c r="AE1030" s="1056"/>
    </row>
    <row r="1031" spans="2:31" ht="16" thickBot="1" x14ac:dyDescent="0.25">
      <c r="B1031" s="2983">
        <f>AVERAGE(W1025:W1031)</f>
        <v>0.78402758287018492</v>
      </c>
      <c r="C1031" s="2253">
        <v>44129</v>
      </c>
      <c r="D1031" s="2254">
        <v>148</v>
      </c>
      <c r="E1031" s="2255" t="s">
        <v>836</v>
      </c>
      <c r="F1031" s="2742" t="s">
        <v>690</v>
      </c>
      <c r="G1031" s="2256">
        <v>4.2002314814814812E-2</v>
      </c>
      <c r="H1031" s="2257">
        <v>13.61</v>
      </c>
      <c r="I1031" s="2258">
        <f t="shared" si="154"/>
        <v>3.0861362832340054E-3</v>
      </c>
      <c r="J1031" s="2259">
        <v>158</v>
      </c>
      <c r="K1031" s="2260">
        <v>93</v>
      </c>
      <c r="L1031" s="2814">
        <v>256</v>
      </c>
      <c r="M1031" s="2839"/>
      <c r="N1031" s="2261">
        <f t="shared" si="156"/>
        <v>1.0188118920460154</v>
      </c>
      <c r="O1031" s="2262" t="s">
        <v>821</v>
      </c>
      <c r="P1031" s="2263" t="str">
        <f>IFERROR(VLOOKUP(F1031,Trainingsarten!$A$9:$N$84,12,FALSE),"")</f>
        <v/>
      </c>
      <c r="Q1031" s="2264" t="s">
        <v>437</v>
      </c>
      <c r="R1031" s="2265" t="str">
        <f>IFERROR(VLOOKUP(F1031,Trainingsarten!$A$9:$N$84,14,FALSE),"")</f>
        <v/>
      </c>
      <c r="S1031" s="2266">
        <f t="shared" si="153"/>
        <v>1.620253164556962</v>
      </c>
      <c r="T1031" s="2267">
        <f t="shared" si="159"/>
        <v>34.538419910779822</v>
      </c>
      <c r="U1031" s="2268">
        <f t="shared" si="157"/>
        <v>38.330898903511965</v>
      </c>
      <c r="V1031" s="2268">
        <f t="shared" si="158"/>
        <v>12.202682964598395</v>
      </c>
      <c r="W1031" s="3285">
        <f t="shared" si="155"/>
        <v>0.90105948200487762</v>
      </c>
      <c r="X1031" s="3300"/>
      <c r="Y1031" s="3316"/>
      <c r="AA1031" s="3301"/>
      <c r="AB1031" s="3409"/>
      <c r="AE1031" s="1056"/>
    </row>
    <row r="1032" spans="2:31" ht="16" thickBot="1" x14ac:dyDescent="0.25">
      <c r="B1032" s="2986">
        <f>B1025+1</f>
        <v>44</v>
      </c>
      <c r="C1032" s="2189">
        <v>44130</v>
      </c>
      <c r="D1032" s="2106"/>
      <c r="E1032" s="2107"/>
      <c r="F1032" s="2743"/>
      <c r="G1032" s="2032"/>
      <c r="H1032" s="2033" t="str">
        <f>IFERROR(VLOOKUP(F1032,Trainingsarten!$A$9:$K$84,10,FALSE),"")</f>
        <v/>
      </c>
      <c r="I1032" s="2034" t="str">
        <f t="shared" si="154"/>
        <v/>
      </c>
      <c r="J1032" s="2035"/>
      <c r="K1032" s="2036" t="str">
        <f>IFERROR(VLOOKUP(F1032,Trainingsarten!$A$9:$K$84,11,FALSE),"0")</f>
        <v>0</v>
      </c>
      <c r="L1032" s="1915"/>
      <c r="M1032" s="2833"/>
      <c r="N1032" s="2037" t="str">
        <f t="shared" si="156"/>
        <v/>
      </c>
      <c r="O1032" s="2038"/>
      <c r="P1032" s="2039" t="str">
        <f>IFERROR(VLOOKUP(F1032,Trainingsarten!$A$9:$N$84,12,FALSE),"")</f>
        <v/>
      </c>
      <c r="Q1032" s="1069" t="s">
        <v>437</v>
      </c>
      <c r="R1032" s="1069" t="str">
        <f>IFERROR(VLOOKUP(F1032,Trainingsarten!$A$9:$N$84,14,FALSE),"")</f>
        <v/>
      </c>
      <c r="S1032" s="1125" t="str">
        <f t="shared" si="153"/>
        <v/>
      </c>
      <c r="T1032" s="2190">
        <f t="shared" si="159"/>
        <v>29.604359923525564</v>
      </c>
      <c r="U1032" s="1922">
        <f t="shared" si="157"/>
        <v>37.418258453428344</v>
      </c>
      <c r="V1032" s="2030">
        <f t="shared" si="158"/>
        <v>3.7924789927321427</v>
      </c>
      <c r="W1032" s="3286">
        <f t="shared" si="155"/>
        <v>0.79117417932135603</v>
      </c>
      <c r="X1032" s="3300"/>
      <c r="Y1032" s="3316"/>
      <c r="AA1032" s="3301"/>
      <c r="AB1032" s="3409"/>
      <c r="AE1032" s="1056"/>
    </row>
    <row r="1033" spans="2:31" x14ac:dyDescent="0.2">
      <c r="B1033" s="2987" t="s">
        <v>626</v>
      </c>
      <c r="C1033" s="2269">
        <v>44131</v>
      </c>
      <c r="D1033" s="2270"/>
      <c r="E1033" s="2271"/>
      <c r="F1033" s="2744"/>
      <c r="G1033" s="2272"/>
      <c r="H1033" s="2273" t="str">
        <f>IFERROR(VLOOKUP(F1033,Trainingsarten!$A$9:$K$84,10,FALSE),"")</f>
        <v/>
      </c>
      <c r="I1033" s="2274" t="str">
        <f t="shared" si="154"/>
        <v/>
      </c>
      <c r="J1033" s="2275"/>
      <c r="K1033" s="2276" t="str">
        <f>IFERROR(VLOOKUP(F1033,Trainingsarten!$A$9:$K$84,11,FALSE),"0")</f>
        <v>0</v>
      </c>
      <c r="L1033" s="2806"/>
      <c r="M1033" s="2829"/>
      <c r="N1033" s="2277" t="str">
        <f t="shared" si="156"/>
        <v/>
      </c>
      <c r="O1033" s="2278"/>
      <c r="P1033" s="1993" t="str">
        <f>IFERROR(VLOOKUP(F1033,Trainingsarten!$A$9:$N$84,12,FALSE),"")</f>
        <v/>
      </c>
      <c r="Q1033" s="1994" t="s">
        <v>437</v>
      </c>
      <c r="R1033" s="1086" t="str">
        <f>IFERROR(VLOOKUP(F1033,Trainingsarten!$A$9:$N$84,14,FALSE),"")</f>
        <v/>
      </c>
      <c r="S1033" s="1087" t="str">
        <f t="shared" si="153"/>
        <v/>
      </c>
      <c r="T1033" s="1995">
        <f t="shared" si="159"/>
        <v>25.3751656487362</v>
      </c>
      <c r="U1033" s="1996">
        <f t="shared" si="157"/>
        <v>36.527347537870526</v>
      </c>
      <c r="V1033" s="1997">
        <f t="shared" si="158"/>
        <v>7.8138985299027794</v>
      </c>
      <c r="W1033" s="3284">
        <f t="shared" si="155"/>
        <v>0.69468952330655664</v>
      </c>
      <c r="X1033" s="3300"/>
      <c r="Y1033" s="3316"/>
      <c r="AA1033" s="3301"/>
      <c r="AB1033" s="3409"/>
      <c r="AE1033" s="1056"/>
    </row>
    <row r="1034" spans="2:31" ht="16" thickBot="1" x14ac:dyDescent="0.25">
      <c r="B1034" s="2979">
        <f>SUM(H1032:H1038)</f>
        <v>9.6999999999999993</v>
      </c>
      <c r="C1034" s="1998">
        <v>44132</v>
      </c>
      <c r="D1034" s="2270"/>
      <c r="E1034" s="2271"/>
      <c r="F1034" s="2744"/>
      <c r="G1034" s="2272"/>
      <c r="H1034" s="2273" t="str">
        <f>IFERROR(VLOOKUP(F1034,Trainingsarten!$A$9:$K$84,10,FALSE),"")</f>
        <v/>
      </c>
      <c r="I1034" s="2274" t="str">
        <f t="shared" si="154"/>
        <v/>
      </c>
      <c r="J1034" s="2275"/>
      <c r="K1034" s="2276" t="str">
        <f>IFERROR(VLOOKUP(F1034,Trainingsarten!$A$9:$K$84,11,FALSE),"0")</f>
        <v>0</v>
      </c>
      <c r="L1034" s="2806"/>
      <c r="M1034" s="2829"/>
      <c r="N1034" s="2277" t="str">
        <f t="shared" si="156"/>
        <v/>
      </c>
      <c r="O1034" s="2278"/>
      <c r="P1034" s="1993" t="str">
        <f>IFERROR(VLOOKUP(F1034,Trainingsarten!$A$9:$N$84,12,FALSE),"")</f>
        <v/>
      </c>
      <c r="Q1034" s="1994" t="s">
        <v>437</v>
      </c>
      <c r="R1034" s="1086" t="str">
        <f>IFERROR(VLOOKUP(F1034,Trainingsarten!$A$9:$N$84,14,FALSE),"")</f>
        <v/>
      </c>
      <c r="S1034" s="1087" t="str">
        <f t="shared" si="153"/>
        <v/>
      </c>
      <c r="T1034" s="1995">
        <f t="shared" si="159"/>
        <v>21.750141984631028</v>
      </c>
      <c r="U1034" s="1996">
        <f t="shared" si="157"/>
        <v>35.657648786968849</v>
      </c>
      <c r="V1034" s="1997">
        <f t="shared" si="158"/>
        <v>11.152181889134326</v>
      </c>
      <c r="W1034" s="3284">
        <f t="shared" si="155"/>
        <v>0.60997128875697648</v>
      </c>
      <c r="X1034" s="3300"/>
      <c r="Y1034" s="3316"/>
      <c r="AA1034" s="3301"/>
      <c r="AB1034" s="3409"/>
      <c r="AE1034" s="1056"/>
    </row>
    <row r="1035" spans="2:31" x14ac:dyDescent="0.2">
      <c r="B1035" s="2988" t="s">
        <v>628</v>
      </c>
      <c r="C1035" s="1998">
        <v>44133</v>
      </c>
      <c r="D1035" s="2270"/>
      <c r="E1035" s="2271"/>
      <c r="F1035" s="2744"/>
      <c r="G1035" s="2272"/>
      <c r="H1035" s="2273" t="str">
        <f>IFERROR(VLOOKUP(F1035,Trainingsarten!$A$9:$K$84,10,FALSE),"")</f>
        <v/>
      </c>
      <c r="I1035" s="2274" t="str">
        <f t="shared" si="154"/>
        <v/>
      </c>
      <c r="J1035" s="2275"/>
      <c r="K1035" s="2276" t="str">
        <f>IFERROR(VLOOKUP(F1035,Trainingsarten!$A$9:$K$84,11,FALSE),"0")</f>
        <v>0</v>
      </c>
      <c r="L1035" s="2806"/>
      <c r="M1035" s="2829"/>
      <c r="N1035" s="2277" t="str">
        <f t="shared" si="156"/>
        <v/>
      </c>
      <c r="O1035" s="2278"/>
      <c r="P1035" s="1993" t="str">
        <f>IFERROR(VLOOKUP(F1035,Trainingsarten!$A$9:$N$84,12,FALSE),"")</f>
        <v/>
      </c>
      <c r="Q1035" s="1994" t="s">
        <v>437</v>
      </c>
      <c r="R1035" s="1086" t="str">
        <f>IFERROR(VLOOKUP(F1035,Trainingsarten!$A$9:$N$84,14,FALSE),"")</f>
        <v/>
      </c>
      <c r="S1035" s="1087" t="str">
        <f t="shared" ref="S1035:S1098" si="160">IFERROR(L1035/J1035,"")</f>
        <v/>
      </c>
      <c r="T1035" s="1995">
        <f t="shared" si="159"/>
        <v>18.642978843969452</v>
      </c>
      <c r="U1035" s="1996">
        <f t="shared" si="157"/>
        <v>34.80865714918388</v>
      </c>
      <c r="V1035" s="1997">
        <f t="shared" si="158"/>
        <v>13.907506802337821</v>
      </c>
      <c r="W1035" s="3284">
        <f t="shared" si="155"/>
        <v>0.53558454622563778</v>
      </c>
      <c r="X1035" s="3300"/>
      <c r="Y1035" s="3316"/>
      <c r="AA1035" s="3301"/>
      <c r="AB1035" s="3409"/>
      <c r="AE1035" s="1056"/>
    </row>
    <row r="1036" spans="2:31" ht="16" thickBot="1" x14ac:dyDescent="0.25">
      <c r="B1036" s="2981">
        <f>SUM(K1032:K1038)</f>
        <v>55</v>
      </c>
      <c r="C1036" s="1998">
        <v>44134</v>
      </c>
      <c r="D1036" s="2270"/>
      <c r="E1036" s="2271"/>
      <c r="F1036" s="2744"/>
      <c r="G1036" s="2272"/>
      <c r="H1036" s="2273" t="str">
        <f>IFERROR(VLOOKUP(F1036,Trainingsarten!$A$9:$K$84,10,FALSE),"")</f>
        <v/>
      </c>
      <c r="I1036" s="2274" t="str">
        <f t="shared" si="154"/>
        <v/>
      </c>
      <c r="J1036" s="2275"/>
      <c r="K1036" s="2276" t="str">
        <f>IFERROR(VLOOKUP(F1036,Trainingsarten!$A$9:$K$84,11,FALSE),"0")</f>
        <v>0</v>
      </c>
      <c r="L1036" s="2806"/>
      <c r="M1036" s="2829"/>
      <c r="N1036" s="2277" t="str">
        <f t="shared" si="156"/>
        <v/>
      </c>
      <c r="O1036" s="2278"/>
      <c r="P1036" s="1993" t="str">
        <f>IFERROR(VLOOKUP(F1036,Trainingsarten!$A$9:$N$84,12,FALSE),"")</f>
        <v/>
      </c>
      <c r="Q1036" s="1994" t="s">
        <v>437</v>
      </c>
      <c r="R1036" s="1086" t="str">
        <f>IFERROR(VLOOKUP(F1036,Trainingsarten!$A$9:$N$84,14,FALSE),"")</f>
        <v/>
      </c>
      <c r="S1036" s="1087" t="str">
        <f t="shared" si="160"/>
        <v/>
      </c>
      <c r="T1036" s="1995">
        <f t="shared" si="159"/>
        <v>15.979696151973815</v>
      </c>
      <c r="U1036" s="1996">
        <f t="shared" si="157"/>
        <v>33.979879598012836</v>
      </c>
      <c r="V1036" s="1997">
        <f t="shared" si="158"/>
        <v>16.165678305214428</v>
      </c>
      <c r="W1036" s="3284">
        <f t="shared" si="155"/>
        <v>0.4702693576615356</v>
      </c>
      <c r="X1036" s="3300"/>
      <c r="Y1036" s="3316"/>
      <c r="AA1036" s="3301"/>
      <c r="AB1036" s="3409"/>
      <c r="AE1036" s="1056"/>
    </row>
    <row r="1037" spans="2:31" x14ac:dyDescent="0.2">
      <c r="B1037" s="2989" t="s">
        <v>761</v>
      </c>
      <c r="C1037" s="1998">
        <v>44135</v>
      </c>
      <c r="D1037" s="2270"/>
      <c r="E1037" s="2271"/>
      <c r="F1037" s="2744"/>
      <c r="G1037" s="2272"/>
      <c r="H1037" s="2273" t="str">
        <f>IFERROR(VLOOKUP(F1037,Trainingsarten!$A$9:$K$84,10,FALSE),"")</f>
        <v/>
      </c>
      <c r="I1037" s="2274" t="str">
        <f t="shared" si="154"/>
        <v/>
      </c>
      <c r="J1037" s="2275"/>
      <c r="K1037" s="2276" t="str">
        <f>IFERROR(VLOOKUP(F1037,Trainingsarten!$A$9:$K$84,11,FALSE),"0")</f>
        <v>0</v>
      </c>
      <c r="L1037" s="2806"/>
      <c r="M1037" s="2829"/>
      <c r="N1037" s="2277" t="str">
        <f t="shared" si="156"/>
        <v/>
      </c>
      <c r="O1037" s="2278"/>
      <c r="P1037" s="1993" t="str">
        <f>IFERROR(VLOOKUP(F1037,Trainingsarten!$A$9:$N$84,12,FALSE),"")</f>
        <v/>
      </c>
      <c r="Q1037" s="1994" t="s">
        <v>437</v>
      </c>
      <c r="R1037" s="1086" t="str">
        <f>IFERROR(VLOOKUP(F1037,Trainingsarten!$A$9:$N$84,14,FALSE),"")</f>
        <v/>
      </c>
      <c r="S1037" s="1087" t="str">
        <f t="shared" si="160"/>
        <v/>
      </c>
      <c r="T1037" s="1995">
        <f t="shared" si="159"/>
        <v>13.696882415977555</v>
      </c>
      <c r="U1037" s="1996">
        <f t="shared" si="157"/>
        <v>33.170834845679195</v>
      </c>
      <c r="V1037" s="1997">
        <f t="shared" si="158"/>
        <v>18.000183446039021</v>
      </c>
      <c r="W1037" s="3284">
        <f t="shared" si="155"/>
        <v>0.41291943599549469</v>
      </c>
      <c r="X1037" s="3300"/>
      <c r="Y1037" s="3316"/>
      <c r="AA1037" s="3301"/>
      <c r="AB1037" s="3409"/>
      <c r="AE1037" s="1056"/>
    </row>
    <row r="1038" spans="2:31" ht="16" thickBot="1" x14ac:dyDescent="0.25">
      <c r="B1038" s="2983">
        <f>AVERAGE(W1032:W1038)</f>
        <v>0.58518486582131601</v>
      </c>
      <c r="C1038" s="2279">
        <v>44136</v>
      </c>
      <c r="D1038" s="2280">
        <v>149</v>
      </c>
      <c r="E1038" s="2281" t="s">
        <v>836</v>
      </c>
      <c r="F1038" s="2745" t="s">
        <v>824</v>
      </c>
      <c r="G1038" s="2282">
        <v>3.90625E-2</v>
      </c>
      <c r="H1038" s="2283">
        <v>9.6999999999999993</v>
      </c>
      <c r="I1038" s="2284">
        <f t="shared" si="154"/>
        <v>4.0270618556701035E-3</v>
      </c>
      <c r="J1038" s="2285">
        <v>132</v>
      </c>
      <c r="K1038" s="2286">
        <v>55</v>
      </c>
      <c r="L1038" s="2808">
        <v>204</v>
      </c>
      <c r="M1038" s="2832"/>
      <c r="N1038" s="2287">
        <f t="shared" si="156"/>
        <v>1.0593937528850594</v>
      </c>
      <c r="O1038" s="2288" t="s">
        <v>1460</v>
      </c>
      <c r="P1038" s="2289">
        <f>IFERROR(VLOOKUP(F1038,Trainingsarten!$A$9:$N$84,12,FALSE),"")</f>
        <v>169.39999999999998</v>
      </c>
      <c r="Q1038" s="1381" t="s">
        <v>437</v>
      </c>
      <c r="R1038" s="1381">
        <f>IFERROR(VLOOKUP(F1038,Trainingsarten!$A$9:$N$84,14,FALSE),"")</f>
        <v>193.60000000000002</v>
      </c>
      <c r="S1038" s="2290">
        <f t="shared" si="160"/>
        <v>1.5454545454545454</v>
      </c>
      <c r="T1038" s="2280">
        <f t="shared" si="159"/>
        <v>19.597327785123618</v>
      </c>
      <c r="U1038" s="2095">
        <f t="shared" si="157"/>
        <v>33.690576873163025</v>
      </c>
      <c r="V1038" s="2095">
        <f t="shared" si="158"/>
        <v>19.47395242970164</v>
      </c>
      <c r="W1038" s="3287">
        <f t="shared" si="155"/>
        <v>0.5816857294816552</v>
      </c>
      <c r="X1038" s="3300"/>
      <c r="Y1038" s="3316"/>
      <c r="AA1038" s="3301"/>
      <c r="AB1038" s="3409"/>
      <c r="AE1038" s="1056"/>
    </row>
    <row r="1039" spans="2:31" ht="16" thickBot="1" x14ac:dyDescent="0.25">
      <c r="B1039" s="2990">
        <f>B1032+1</f>
        <v>45</v>
      </c>
      <c r="C1039" s="2291">
        <v>44137</v>
      </c>
      <c r="D1039" s="2292"/>
      <c r="E1039" s="2293"/>
      <c r="F1039" s="2746"/>
      <c r="G1039" s="1912"/>
      <c r="H1039" s="1913" t="str">
        <f>IFERROR(VLOOKUP(F1039,Trainingsarten!$A$9:$K$84,10,FALSE),"")</f>
        <v/>
      </c>
      <c r="I1039" s="2294" t="str">
        <f t="shared" si="154"/>
        <v/>
      </c>
      <c r="J1039" s="1915"/>
      <c r="K1039" s="2295" t="str">
        <f>IFERROR(VLOOKUP(F1039,Trainingsarten!$A$9:$K$84,11,FALSE),"0")</f>
        <v>0</v>
      </c>
      <c r="L1039" s="1915"/>
      <c r="M1039" s="2833"/>
      <c r="N1039" s="2296" t="str">
        <f t="shared" si="156"/>
        <v/>
      </c>
      <c r="O1039" s="2297"/>
      <c r="P1039" s="2298" t="str">
        <f>IFERROR(VLOOKUP(F1039,Trainingsarten!$A$9:$N$84,12,FALSE),"")</f>
        <v/>
      </c>
      <c r="Q1039" s="1069" t="s">
        <v>437</v>
      </c>
      <c r="R1039" s="1069" t="str">
        <f>IFERROR(VLOOKUP(F1039,Trainingsarten!$A$9:$N$84,14,FALSE),"")</f>
        <v/>
      </c>
      <c r="S1039" s="2299" t="str">
        <f t="shared" si="160"/>
        <v/>
      </c>
      <c r="T1039" s="2300">
        <f t="shared" si="159"/>
        <v>16.797709530105958</v>
      </c>
      <c r="U1039" s="2301">
        <f t="shared" si="157"/>
        <v>32.888420280944857</v>
      </c>
      <c r="V1039" s="2068">
        <f t="shared" si="158"/>
        <v>14.093249088039407</v>
      </c>
      <c r="W1039" s="3283">
        <f t="shared" si="155"/>
        <v>0.5107484453985266</v>
      </c>
      <c r="X1039" s="3300"/>
      <c r="Y1039" s="3316"/>
      <c r="AA1039" s="3301"/>
      <c r="AB1039" s="3409"/>
      <c r="AE1039" s="1056"/>
    </row>
    <row r="1040" spans="2:31" x14ac:dyDescent="0.2">
      <c r="B1040" s="2978" t="s">
        <v>626</v>
      </c>
      <c r="C1040" s="2302">
        <v>44138</v>
      </c>
      <c r="D1040" s="2303"/>
      <c r="E1040" s="2304"/>
      <c r="F1040" s="2747"/>
      <c r="G1040" s="2305"/>
      <c r="H1040" s="2306"/>
      <c r="I1040" s="2307" t="str">
        <f t="shared" si="154"/>
        <v/>
      </c>
      <c r="J1040" s="2308"/>
      <c r="K1040" s="1325" t="str">
        <f>IFERROR(VLOOKUP(F1040,Trainingsarten!$A$9:$K$84,11,FALSE),"0")</f>
        <v>0</v>
      </c>
      <c r="L1040" s="2806"/>
      <c r="M1040" s="2829"/>
      <c r="N1040" s="2309" t="str">
        <f t="shared" si="156"/>
        <v/>
      </c>
      <c r="O1040" s="2310"/>
      <c r="P1040" s="2311" t="str">
        <f>IFERROR(VLOOKUP(F1040,Trainingsarten!$A$9:$N$84,12,FALSE),"")</f>
        <v/>
      </c>
      <c r="Q1040" s="2312" t="s">
        <v>437</v>
      </c>
      <c r="R1040" s="2312" t="str">
        <f>IFERROR(VLOOKUP(F1040,Trainingsarten!$A$9:$N$84,14,FALSE),"")</f>
        <v/>
      </c>
      <c r="S1040" s="2313" t="str">
        <f t="shared" si="160"/>
        <v/>
      </c>
      <c r="T1040" s="2280">
        <f t="shared" si="159"/>
        <v>14.398036740090822</v>
      </c>
      <c r="U1040" s="2095">
        <f t="shared" si="157"/>
        <v>32.105362655208076</v>
      </c>
      <c r="V1040" s="2314">
        <f t="shared" si="158"/>
        <v>16.090710750838898</v>
      </c>
      <c r="W1040" s="3284">
        <f t="shared" si="155"/>
        <v>0.44846204961821845</v>
      </c>
      <c r="X1040" s="3300"/>
      <c r="Y1040" s="3316"/>
      <c r="AA1040" s="3301"/>
      <c r="AB1040" s="3409"/>
      <c r="AE1040" s="1056"/>
    </row>
    <row r="1041" spans="2:31" ht="16" thickBot="1" x14ac:dyDescent="0.25">
      <c r="B1041" s="2979">
        <f>SUM(H1039:H1045)</f>
        <v>32.849999999999994</v>
      </c>
      <c r="C1041" s="2315">
        <v>44139</v>
      </c>
      <c r="D1041" s="2316">
        <v>150</v>
      </c>
      <c r="E1041" s="2317" t="s">
        <v>836</v>
      </c>
      <c r="F1041" s="2747" t="s">
        <v>827</v>
      </c>
      <c r="G1041" s="2305">
        <v>3.7835648148148153E-2</v>
      </c>
      <c r="H1041" s="2306">
        <v>9.52</v>
      </c>
      <c r="I1041" s="2307">
        <f t="shared" si="154"/>
        <v>3.9743327886710249E-3</v>
      </c>
      <c r="J1041" s="2308">
        <v>142</v>
      </c>
      <c r="K1041" s="2318">
        <v>55</v>
      </c>
      <c r="L1041" s="2806">
        <v>207</v>
      </c>
      <c r="M1041" s="2829"/>
      <c r="N1041" s="2309">
        <f t="shared" si="156"/>
        <v>1.0608977172958738</v>
      </c>
      <c r="O1041" s="2310" t="s">
        <v>1460</v>
      </c>
      <c r="P1041" s="2311">
        <f>IFERROR(VLOOKUP(F1041,Trainingsarten!$A$9:$N$84,12,FALSE),"")</f>
        <v>194.60000000000002</v>
      </c>
      <c r="Q1041" s="2312" t="s">
        <v>437</v>
      </c>
      <c r="R1041" s="2312">
        <f>IFERROR(VLOOKUP(F1041,Trainingsarten!$A$9:$N$84,14,FALSE),"")</f>
        <v>212.96</v>
      </c>
      <c r="S1041" s="2313">
        <f t="shared" si="160"/>
        <v>1.4577464788732395</v>
      </c>
      <c r="T1041" s="2280">
        <f t="shared" si="159"/>
        <v>20.198317205792133</v>
      </c>
      <c r="U1041" s="2095">
        <f t="shared" si="157"/>
        <v>32.650473068179309</v>
      </c>
      <c r="V1041" s="2314">
        <f t="shared" si="158"/>
        <v>17.707325915117252</v>
      </c>
      <c r="W1041" s="3284">
        <f t="shared" si="155"/>
        <v>0.61862249786135959</v>
      </c>
      <c r="X1041" s="3300"/>
      <c r="Y1041" s="3316"/>
      <c r="AA1041" s="3301"/>
      <c r="AB1041" s="3409"/>
      <c r="AE1041" s="1056"/>
    </row>
    <row r="1042" spans="2:31" x14ac:dyDescent="0.2">
      <c r="B1042" s="2980" t="s">
        <v>628</v>
      </c>
      <c r="C1042" s="2315">
        <v>44140</v>
      </c>
      <c r="D1042" s="2316">
        <v>151</v>
      </c>
      <c r="E1042" s="2317" t="s">
        <v>836</v>
      </c>
      <c r="F1042" s="2747" t="s">
        <v>827</v>
      </c>
      <c r="G1042" s="2305">
        <v>3.6307870370370372E-2</v>
      </c>
      <c r="H1042" s="2306">
        <v>9.56</v>
      </c>
      <c r="I1042" s="2307">
        <f t="shared" si="154"/>
        <v>3.7978943902061057E-3</v>
      </c>
      <c r="J1042" s="2308">
        <v>139</v>
      </c>
      <c r="K1042" s="2318">
        <v>57</v>
      </c>
      <c r="L1042" s="2806">
        <v>215</v>
      </c>
      <c r="M1042" s="2829"/>
      <c r="N1042" s="2309">
        <f t="shared" si="156"/>
        <v>1.0529803909323674</v>
      </c>
      <c r="O1042" s="2310" t="s">
        <v>1460</v>
      </c>
      <c r="P1042" s="2311">
        <f>IFERROR(VLOOKUP(F1042,Trainingsarten!$A$9:$N$84,12,FALSE),"")</f>
        <v>194.60000000000002</v>
      </c>
      <c r="Q1042" s="2312" t="s">
        <v>437</v>
      </c>
      <c r="R1042" s="2312">
        <f>IFERROR(VLOOKUP(F1042,Trainingsarten!$A$9:$N$84,14,FALSE),"")</f>
        <v>212.96</v>
      </c>
      <c r="S1042" s="2313">
        <f t="shared" si="160"/>
        <v>1.5467625899280575</v>
      </c>
      <c r="T1042" s="2280">
        <f t="shared" si="159"/>
        <v>25.455700462107544</v>
      </c>
      <c r="U1042" s="2095">
        <f t="shared" si="157"/>
        <v>33.230223709413139</v>
      </c>
      <c r="V1042" s="2314">
        <f t="shared" si="158"/>
        <v>12.452155862387176</v>
      </c>
      <c r="W1042" s="3284">
        <f t="shared" si="155"/>
        <v>0.76604059860411644</v>
      </c>
      <c r="X1042" s="3300"/>
      <c r="Y1042" s="3316"/>
      <c r="AA1042" s="3301"/>
      <c r="AB1042" s="3409"/>
      <c r="AE1042" s="1056"/>
    </row>
    <row r="1043" spans="2:31" ht="16" thickBot="1" x14ac:dyDescent="0.25">
      <c r="B1043" s="2981">
        <f>SUM(K1039:K1045)</f>
        <v>201</v>
      </c>
      <c r="C1043" s="2315">
        <v>44141</v>
      </c>
      <c r="D1043" s="2316"/>
      <c r="E1043" s="2317"/>
      <c r="F1043" s="2748"/>
      <c r="G1043" s="2305"/>
      <c r="H1043" s="2306" t="str">
        <f>IFERROR(VLOOKUP(F1043,Trainingsarten!$A$9:$K$84,10,FALSE),"")</f>
        <v/>
      </c>
      <c r="I1043" s="2307" t="str">
        <f t="shared" si="154"/>
        <v/>
      </c>
      <c r="J1043" s="2308"/>
      <c r="K1043" s="2318" t="str">
        <f>IFERROR(VLOOKUP(F1043,Trainingsarten!$A$9:$K$84,11,FALSE),"0")</f>
        <v>0</v>
      </c>
      <c r="L1043" s="2806"/>
      <c r="M1043" s="2829"/>
      <c r="N1043" s="2309" t="str">
        <f t="shared" si="156"/>
        <v/>
      </c>
      <c r="O1043" s="2310"/>
      <c r="P1043" s="2311" t="str">
        <f>IFERROR(VLOOKUP(F1043,Trainingsarten!$A$9:$N$84,12,FALSE),"")</f>
        <v/>
      </c>
      <c r="Q1043" s="2312" t="s">
        <v>437</v>
      </c>
      <c r="R1043" s="2312" t="str">
        <f>IFERROR(VLOOKUP(F1043,Trainingsarten!$A$9:$N$84,14,FALSE),"")</f>
        <v/>
      </c>
      <c r="S1043" s="2313" t="str">
        <f t="shared" si="160"/>
        <v/>
      </c>
      <c r="T1043" s="2280">
        <f t="shared" si="159"/>
        <v>21.819171824663609</v>
      </c>
      <c r="U1043" s="2095">
        <f t="shared" si="157"/>
        <v>32.439027906808064</v>
      </c>
      <c r="V1043" s="2314">
        <f t="shared" si="158"/>
        <v>7.774523247305595</v>
      </c>
      <c r="W1043" s="3284">
        <f t="shared" si="155"/>
        <v>0.67262101340849245</v>
      </c>
      <c r="X1043" s="3300"/>
      <c r="Y1043" s="3316"/>
      <c r="AA1043" s="3301"/>
      <c r="AB1043" s="3409"/>
      <c r="AE1043" s="1056"/>
    </row>
    <row r="1044" spans="2:31" x14ac:dyDescent="0.2">
      <c r="B1044" s="2982" t="s">
        <v>761</v>
      </c>
      <c r="C1044" s="2315">
        <v>44142</v>
      </c>
      <c r="D1044" s="2316">
        <v>152</v>
      </c>
      <c r="E1044" s="2317" t="s">
        <v>836</v>
      </c>
      <c r="F1044" s="2749" t="s">
        <v>862</v>
      </c>
      <c r="G1044" s="2305">
        <v>6.4618055555555554E-2</v>
      </c>
      <c r="H1044" s="2306">
        <v>13.77</v>
      </c>
      <c r="I1044" s="2307">
        <f t="shared" si="154"/>
        <v>4.6926692487694668E-3</v>
      </c>
      <c r="J1044" s="2308">
        <v>147</v>
      </c>
      <c r="K1044" s="2318">
        <v>89</v>
      </c>
      <c r="L1044" s="2806">
        <v>192</v>
      </c>
      <c r="M1044" s="2829">
        <v>504</v>
      </c>
      <c r="N1044" s="2309"/>
      <c r="O1044" s="2310" t="s">
        <v>868</v>
      </c>
      <c r="P1044" s="2311" t="str">
        <f>IFERROR(VLOOKUP(F1044,Trainingsarten!$A$9:$N$84,12,FALSE),"")</f>
        <v/>
      </c>
      <c r="Q1044" s="2312" t="s">
        <v>437</v>
      </c>
      <c r="R1044" s="2312" t="str">
        <f>IFERROR(VLOOKUP(F1044,Trainingsarten!$A$9:$N$84,14,FALSE),"")</f>
        <v/>
      </c>
      <c r="S1044" s="2313">
        <f t="shared" si="160"/>
        <v>1.3061224489795917</v>
      </c>
      <c r="T1044" s="2280">
        <f t="shared" si="159"/>
        <v>31.416432992568808</v>
      </c>
      <c r="U1044" s="2095">
        <f t="shared" si="157"/>
        <v>33.785717718550728</v>
      </c>
      <c r="V1044" s="2314">
        <f t="shared" si="158"/>
        <v>10.619856082144455</v>
      </c>
      <c r="W1044" s="3284">
        <f t="shared" si="155"/>
        <v>0.92987318648314476</v>
      </c>
      <c r="X1044" s="3300"/>
      <c r="Y1044" s="3316"/>
      <c r="AA1044" s="3301"/>
      <c r="AB1044" s="3409"/>
      <c r="AE1044" s="1056"/>
    </row>
    <row r="1045" spans="2:31" ht="16" thickBot="1" x14ac:dyDescent="0.25">
      <c r="B1045" s="2983">
        <f>AVERAGE(W1039:W1045)</f>
        <v>0.68040597268195602</v>
      </c>
      <c r="C1045" s="2319">
        <v>44143</v>
      </c>
      <c r="D1045" s="2320"/>
      <c r="E1045" s="2321"/>
      <c r="F1045" s="2750"/>
      <c r="G1045" s="2322"/>
      <c r="H1045" s="2323" t="str">
        <f>IFERROR(VLOOKUP(F1045,Trainingsarten!$A$9:$K$84,10,FALSE),"")</f>
        <v/>
      </c>
      <c r="I1045" s="2324" t="str">
        <f t="shared" si="154"/>
        <v/>
      </c>
      <c r="J1045" s="2325"/>
      <c r="K1045" s="2326" t="str">
        <f>IFERROR(VLOOKUP(F1045,Trainingsarten!$A$9:$K$84,11,FALSE),"0")</f>
        <v>0</v>
      </c>
      <c r="L1045" s="2807"/>
      <c r="M1045" s="2830"/>
      <c r="N1045" s="2327" t="str">
        <f t="shared" si="156"/>
        <v/>
      </c>
      <c r="O1045" s="2328"/>
      <c r="P1045" s="2329" t="str">
        <f>IFERROR(VLOOKUP(F1045,Trainingsarten!$A$9:$N$84,12,FALSE),"")</f>
        <v/>
      </c>
      <c r="Q1045" s="2330" t="s">
        <v>437</v>
      </c>
      <c r="R1045" s="2330" t="str">
        <f>IFERROR(VLOOKUP(F1045,Trainingsarten!$A$9:$N$84,14,FALSE),"")</f>
        <v/>
      </c>
      <c r="S1045" s="2331" t="str">
        <f t="shared" si="160"/>
        <v/>
      </c>
      <c r="T1045" s="2332">
        <f t="shared" si="159"/>
        <v>26.928371136487549</v>
      </c>
      <c r="U1045" s="2333">
        <f t="shared" si="157"/>
        <v>32.981295868109044</v>
      </c>
      <c r="V1045" s="2333">
        <f t="shared" si="158"/>
        <v>2.3692847259819203</v>
      </c>
      <c r="W1045" s="3285">
        <f t="shared" si="155"/>
        <v>0.81647401739983438</v>
      </c>
      <c r="X1045" s="3300"/>
      <c r="Y1045" s="3316"/>
      <c r="AA1045" s="3301"/>
      <c r="AB1045" s="3409"/>
      <c r="AE1045" s="1056"/>
    </row>
    <row r="1046" spans="2:31" ht="16" thickBot="1" x14ac:dyDescent="0.25">
      <c r="B1046" s="2985">
        <f>B1039+1</f>
        <v>46</v>
      </c>
      <c r="C1046" s="1110">
        <v>44144</v>
      </c>
      <c r="D1046" s="1111"/>
      <c r="E1046" s="1112"/>
      <c r="F1046" s="2746"/>
      <c r="G1046" s="1647"/>
      <c r="H1046" s="1648" t="str">
        <f>IFERROR(VLOOKUP(F1046,Trainingsarten!$A$9:$K$84,10,FALSE),"")</f>
        <v/>
      </c>
      <c r="I1046" s="1399" t="str">
        <f t="shared" si="154"/>
        <v/>
      </c>
      <c r="J1046" s="1326"/>
      <c r="K1046" s="1325" t="str">
        <f>IFERROR(VLOOKUP(F1046,Trainingsarten!$A$9:$K$84,11,FALSE),"0")</f>
        <v>0</v>
      </c>
      <c r="L1046" s="1326"/>
      <c r="M1046" s="2831"/>
      <c r="N1046" s="1119" t="str">
        <f t="shared" si="156"/>
        <v/>
      </c>
      <c r="O1046" s="1649"/>
      <c r="P1046" s="1277" t="str">
        <f>IFERROR(VLOOKUP(F1046,Trainingsarten!$A$9:$N$84,12,FALSE),"")</f>
        <v/>
      </c>
      <c r="Q1046" s="1122" t="s">
        <v>437</v>
      </c>
      <c r="R1046" s="1122" t="str">
        <f>IFERROR(VLOOKUP(F1046,Trainingsarten!$A$9:$N$84,14,FALSE),"")</f>
        <v/>
      </c>
      <c r="S1046" s="1125" t="str">
        <f t="shared" si="160"/>
        <v/>
      </c>
      <c r="T1046" s="1650">
        <f t="shared" si="159"/>
        <v>23.081460974132185</v>
      </c>
      <c r="U1046" s="1651">
        <f t="shared" si="157"/>
        <v>32.196026918868355</v>
      </c>
      <c r="V1046" s="1278">
        <f t="shared" si="158"/>
        <v>6.0529247316214949</v>
      </c>
      <c r="W1046" s="3286">
        <f t="shared" si="155"/>
        <v>0.71690401527790326</v>
      </c>
      <c r="X1046" s="3300"/>
      <c r="Y1046" s="3316"/>
      <c r="AA1046" s="3301"/>
      <c r="AB1046" s="3409"/>
      <c r="AE1046" s="1056"/>
    </row>
    <row r="1047" spans="2:31" x14ac:dyDescent="0.2">
      <c r="B1047" s="2978" t="s">
        <v>626</v>
      </c>
      <c r="C1047" s="1211">
        <v>44145</v>
      </c>
      <c r="D1047" s="1823"/>
      <c r="E1047" s="1824"/>
      <c r="F1047" s="2747"/>
      <c r="G1047" s="1825"/>
      <c r="H1047" s="1826" t="str">
        <f>IFERROR(VLOOKUP(F1047,Trainingsarten!$A$9:$K$84,10,FALSE),"")</f>
        <v/>
      </c>
      <c r="I1047" s="1902" t="str">
        <f t="shared" si="154"/>
        <v/>
      </c>
      <c r="J1047" s="1830"/>
      <c r="K1047" s="1829" t="str">
        <f>IFERROR(VLOOKUP(F1047,Trainingsarten!$A$9:$K$84,11,FALSE),"0")</f>
        <v>0</v>
      </c>
      <c r="L1047" s="2806"/>
      <c r="M1047" s="2829"/>
      <c r="N1047" s="1831" t="str">
        <f t="shared" si="156"/>
        <v/>
      </c>
      <c r="O1047" s="1832"/>
      <c r="P1047" s="1755" t="str">
        <f>IFERROR(VLOOKUP(F1047,Trainingsarten!$A$9:$N$84,12,FALSE),"")</f>
        <v/>
      </c>
      <c r="Q1047" s="1756" t="s">
        <v>437</v>
      </c>
      <c r="R1047" s="1086" t="str">
        <f>IFERROR(VLOOKUP(F1047,Trainingsarten!$A$9:$N$84,14,FALSE),"")</f>
        <v/>
      </c>
      <c r="S1047" s="1087" t="str">
        <f t="shared" si="160"/>
        <v/>
      </c>
      <c r="T1047" s="1757">
        <f t="shared" si="159"/>
        <v>19.784109406399015</v>
      </c>
      <c r="U1047" s="1758">
        <f t="shared" si="157"/>
        <v>31.429454849371488</v>
      </c>
      <c r="V1047" s="1088">
        <f t="shared" si="158"/>
        <v>9.1145659447361709</v>
      </c>
      <c r="W1047" s="3284">
        <f t="shared" si="155"/>
        <v>0.62947669634157366</v>
      </c>
      <c r="X1047" s="3300"/>
      <c r="Y1047" s="3316"/>
      <c r="AA1047" s="3301"/>
      <c r="AB1047" s="3409"/>
      <c r="AE1047" s="1056"/>
    </row>
    <row r="1048" spans="2:31" ht="16" thickBot="1" x14ac:dyDescent="0.25">
      <c r="B1048" s="2979">
        <f>SUM(H1046:H1052)</f>
        <v>31.519999999999996</v>
      </c>
      <c r="C1048" s="1211">
        <v>44146</v>
      </c>
      <c r="D1048" s="1823">
        <v>153</v>
      </c>
      <c r="E1048" s="1824" t="s">
        <v>836</v>
      </c>
      <c r="F1048" s="2747" t="s">
        <v>827</v>
      </c>
      <c r="G1048" s="1825">
        <v>3.5856481481481482E-2</v>
      </c>
      <c r="H1048" s="1826">
        <v>9.2799999999999994</v>
      </c>
      <c r="I1048" s="1902">
        <f t="shared" si="154"/>
        <v>3.8638449872286083E-3</v>
      </c>
      <c r="J1048" s="1830">
        <v>137</v>
      </c>
      <c r="K1048" s="1829">
        <v>54</v>
      </c>
      <c r="L1048" s="2806">
        <v>212</v>
      </c>
      <c r="M1048" s="2829"/>
      <c r="N1048" s="1831">
        <f t="shared" si="156"/>
        <v>1.0563175501801341</v>
      </c>
      <c r="O1048" s="1832" t="s">
        <v>1460</v>
      </c>
      <c r="P1048" s="1755">
        <f>IFERROR(VLOOKUP(F1048,Trainingsarten!$A$9:$N$84,12,FALSE),"")</f>
        <v>194.60000000000002</v>
      </c>
      <c r="Q1048" s="1756" t="s">
        <v>437</v>
      </c>
      <c r="R1048" s="1086">
        <f>IFERROR(VLOOKUP(F1048,Trainingsarten!$A$9:$N$84,14,FALSE),"")</f>
        <v>212.96</v>
      </c>
      <c r="S1048" s="1087">
        <f t="shared" si="160"/>
        <v>1.5474452554744527</v>
      </c>
      <c r="T1048" s="1757">
        <f t="shared" si="159"/>
        <v>24.672093776913442</v>
      </c>
      <c r="U1048" s="1758">
        <f t="shared" si="157"/>
        <v>31.966848781529311</v>
      </c>
      <c r="V1048" s="1088">
        <f t="shared" si="158"/>
        <v>11.645345442972474</v>
      </c>
      <c r="W1048" s="3284">
        <f t="shared" si="155"/>
        <v>0.77180249906800846</v>
      </c>
      <c r="X1048" s="3300"/>
      <c r="Y1048" s="3316"/>
      <c r="AA1048" s="3301"/>
      <c r="AB1048" s="3409"/>
      <c r="AE1048" s="1056"/>
    </row>
    <row r="1049" spans="2:31" x14ac:dyDescent="0.2">
      <c r="B1049" s="2980" t="s">
        <v>628</v>
      </c>
      <c r="C1049" s="1211">
        <v>44147</v>
      </c>
      <c r="D1049" s="1823"/>
      <c r="E1049" s="1824"/>
      <c r="F1049" s="2747"/>
      <c r="G1049" s="1825"/>
      <c r="H1049" s="1826" t="str">
        <f>IFERROR(VLOOKUP(F1049,Trainingsarten!$A$9:$K$84,10,FALSE),"")</f>
        <v/>
      </c>
      <c r="I1049" s="1902" t="str">
        <f t="shared" si="154"/>
        <v/>
      </c>
      <c r="J1049" s="1830"/>
      <c r="K1049" s="1829" t="str">
        <f>IFERROR(VLOOKUP(F1049,Trainingsarten!$A$9:$K$84,11,FALSE),"0")</f>
        <v>0</v>
      </c>
      <c r="L1049" s="2806"/>
      <c r="M1049" s="2829"/>
      <c r="N1049" s="1831" t="str">
        <f t="shared" si="156"/>
        <v/>
      </c>
      <c r="O1049" s="1832"/>
      <c r="P1049" s="1755" t="str">
        <f>IFERROR(VLOOKUP(F1049,Trainingsarten!$A$9:$N$84,12,FALSE),"")</f>
        <v/>
      </c>
      <c r="Q1049" s="1756" t="s">
        <v>437</v>
      </c>
      <c r="R1049" s="1086" t="str">
        <f>IFERROR(VLOOKUP(F1049,Trainingsarten!$A$9:$N$84,14,FALSE),"")</f>
        <v/>
      </c>
      <c r="S1049" s="1087" t="str">
        <f t="shared" si="160"/>
        <v/>
      </c>
      <c r="T1049" s="1757">
        <f t="shared" si="159"/>
        <v>21.147508951640095</v>
      </c>
      <c r="U1049" s="1758">
        <f t="shared" si="157"/>
        <v>31.205733334350043</v>
      </c>
      <c r="V1049" s="1088">
        <f t="shared" si="158"/>
        <v>7.2947550046158689</v>
      </c>
      <c r="W1049" s="3284">
        <f t="shared" si="155"/>
        <v>0.67768024308410502</v>
      </c>
      <c r="X1049" s="3300"/>
      <c r="Y1049" s="3316"/>
      <c r="AA1049" s="3301"/>
      <c r="AB1049" s="3409"/>
      <c r="AE1049" s="1056"/>
    </row>
    <row r="1050" spans="2:31" ht="16" thickBot="1" x14ac:dyDescent="0.25">
      <c r="B1050" s="2981">
        <f>SUM(K1046:K1052)</f>
        <v>188</v>
      </c>
      <c r="C1050" s="1211">
        <v>44148</v>
      </c>
      <c r="D1050" s="1823">
        <v>154</v>
      </c>
      <c r="E1050" s="1824" t="s">
        <v>836</v>
      </c>
      <c r="F1050" s="2748" t="s">
        <v>818</v>
      </c>
      <c r="G1050" s="1825">
        <v>4.4756944444444446E-2</v>
      </c>
      <c r="H1050" s="1826">
        <v>11.66</v>
      </c>
      <c r="I1050" s="1902">
        <f t="shared" si="154"/>
        <v>3.8385029540689919E-3</v>
      </c>
      <c r="J1050" s="1830">
        <v>138</v>
      </c>
      <c r="K1050" s="1829">
        <v>68</v>
      </c>
      <c r="L1050" s="2806">
        <v>211.4</v>
      </c>
      <c r="M1050" s="2829"/>
      <c r="N1050" s="1831">
        <f t="shared" si="156"/>
        <v>1.046419446506746</v>
      </c>
      <c r="O1050" s="1832" t="s">
        <v>1460</v>
      </c>
      <c r="P1050" s="1755">
        <f>IFERROR(VLOOKUP(F1050,Trainingsarten!$A$9:$N$84,12,FALSE),"")</f>
        <v>194.60000000000002</v>
      </c>
      <c r="Q1050" s="1756" t="s">
        <v>437</v>
      </c>
      <c r="R1050" s="1086">
        <f>IFERROR(VLOOKUP(F1050,Trainingsarten!$A$9:$N$84,14,FALSE),"")</f>
        <v>212.96</v>
      </c>
      <c r="S1050" s="1087">
        <f t="shared" si="160"/>
        <v>1.5318840579710145</v>
      </c>
      <c r="T1050" s="1757">
        <f t="shared" si="159"/>
        <v>27.840721958548652</v>
      </c>
      <c r="U1050" s="1758">
        <f t="shared" si="157"/>
        <v>32.081787302579805</v>
      </c>
      <c r="V1050" s="1088">
        <f t="shared" si="158"/>
        <v>10.058224382709948</v>
      </c>
      <c r="W1050" s="3284">
        <f t="shared" si="155"/>
        <v>0.86780458008677985</v>
      </c>
      <c r="X1050" s="3300"/>
      <c r="Y1050" s="3316"/>
      <c r="AA1050" s="3301"/>
      <c r="AB1050" s="3409"/>
      <c r="AE1050" s="1056"/>
    </row>
    <row r="1051" spans="2:31" x14ac:dyDescent="0.2">
      <c r="B1051" s="2982" t="s">
        <v>761</v>
      </c>
      <c r="C1051" s="1211">
        <v>44149</v>
      </c>
      <c r="D1051" s="1823"/>
      <c r="E1051" s="1824"/>
      <c r="F1051" s="2748"/>
      <c r="G1051" s="1825"/>
      <c r="H1051" s="1826" t="str">
        <f>IFERROR(VLOOKUP(F1051,Trainingsarten!$A$9:$K$84,10,FALSE),"")</f>
        <v/>
      </c>
      <c r="I1051" s="1902" t="str">
        <f t="shared" si="154"/>
        <v/>
      </c>
      <c r="J1051" s="1830"/>
      <c r="K1051" s="1829" t="str">
        <f>IFERROR(VLOOKUP(F1051,Trainingsarten!$A$9:$K$84,11,FALSE),"0")</f>
        <v>0</v>
      </c>
      <c r="L1051" s="2806"/>
      <c r="M1051" s="2829"/>
      <c r="N1051" s="1831" t="str">
        <f t="shared" si="156"/>
        <v/>
      </c>
      <c r="O1051" s="1832"/>
      <c r="P1051" s="1755" t="str">
        <f>IFERROR(VLOOKUP(F1051,Trainingsarten!$A$9:$N$84,12,FALSE),"")</f>
        <v/>
      </c>
      <c r="Q1051" s="1756" t="s">
        <v>437</v>
      </c>
      <c r="R1051" s="1086" t="str">
        <f>IFERROR(VLOOKUP(F1051,Trainingsarten!$A$9:$N$84,14,FALSE),"")</f>
        <v/>
      </c>
      <c r="S1051" s="1087" t="str">
        <f t="shared" si="160"/>
        <v/>
      </c>
      <c r="T1051" s="1757">
        <f t="shared" si="159"/>
        <v>23.863475964470272</v>
      </c>
      <c r="U1051" s="1758">
        <f t="shared" si="157"/>
        <v>31.317935223946954</v>
      </c>
      <c r="V1051" s="1088">
        <f t="shared" si="158"/>
        <v>4.2410653440311528</v>
      </c>
      <c r="W1051" s="3284">
        <f t="shared" si="155"/>
        <v>0.76197475324692854</v>
      </c>
      <c r="X1051" s="3300"/>
      <c r="Y1051" s="3316"/>
      <c r="AA1051" s="3301"/>
      <c r="AB1051" s="3409"/>
      <c r="AE1051" s="1056"/>
    </row>
    <row r="1052" spans="2:31" ht="16" thickBot="1" x14ac:dyDescent="0.25">
      <c r="B1052" s="2983">
        <f>AVERAGE(W1046:W1052)</f>
        <v>0.76504444856569143</v>
      </c>
      <c r="C1052" s="2279">
        <v>44150</v>
      </c>
      <c r="D1052" s="2280">
        <v>155</v>
      </c>
      <c r="E1052" s="2281" t="s">
        <v>836</v>
      </c>
      <c r="F1052" s="2750" t="s">
        <v>818</v>
      </c>
      <c r="G1052" s="2282">
        <v>3.8506944444444448E-2</v>
      </c>
      <c r="H1052" s="2283">
        <v>10.58</v>
      </c>
      <c r="I1052" s="2284">
        <f t="shared" si="154"/>
        <v>3.6395977735769799E-3</v>
      </c>
      <c r="J1052" s="2285">
        <v>143</v>
      </c>
      <c r="K1052" s="2286">
        <v>66</v>
      </c>
      <c r="L1052" s="2808">
        <v>222</v>
      </c>
      <c r="M1052" s="2832"/>
      <c r="N1052" s="2287">
        <f t="shared" si="156"/>
        <v>1.0419462235138111</v>
      </c>
      <c r="O1052" s="2288" t="s">
        <v>783</v>
      </c>
      <c r="P1052" s="2289">
        <f>IFERROR(VLOOKUP(F1052,Trainingsarten!$A$9:$N$84,12,FALSE),"")</f>
        <v>194.60000000000002</v>
      </c>
      <c r="Q1052" s="1381" t="s">
        <v>437</v>
      </c>
      <c r="R1052" s="1381">
        <f>IFERROR(VLOOKUP(F1052,Trainingsarten!$A$9:$N$84,14,FALSE),"")</f>
        <v>212.96</v>
      </c>
      <c r="S1052" s="2290">
        <f t="shared" si="160"/>
        <v>1.5524475524475525</v>
      </c>
      <c r="T1052" s="2280">
        <f t="shared" si="159"/>
        <v>29.882979398117378</v>
      </c>
      <c r="U1052" s="2095">
        <f t="shared" si="157"/>
        <v>32.143698670995839</v>
      </c>
      <c r="V1052" s="2095">
        <f t="shared" si="158"/>
        <v>7.4544592594766819</v>
      </c>
      <c r="W1052" s="3287">
        <f t="shared" si="155"/>
        <v>0.9296683528545403</v>
      </c>
      <c r="X1052" s="3300"/>
      <c r="Y1052" s="3316"/>
      <c r="AA1052" s="3301"/>
      <c r="AB1052" s="3409"/>
      <c r="AE1052" s="1056"/>
    </row>
    <row r="1053" spans="2:31" ht="16" thickBot="1" x14ac:dyDescent="0.25">
      <c r="B1053" s="2985">
        <f>B1046+1</f>
        <v>47</v>
      </c>
      <c r="C1053" s="2291">
        <v>44151</v>
      </c>
      <c r="D1053" s="2292"/>
      <c r="E1053" s="2293"/>
      <c r="F1053" s="2746"/>
      <c r="G1053" s="1912"/>
      <c r="H1053" s="1913" t="str">
        <f>IFERROR(VLOOKUP(F1053,Trainingsarten!$A$9:$K$84,10,FALSE),"")</f>
        <v/>
      </c>
      <c r="I1053" s="2294" t="str">
        <f t="shared" ref="I1053:I1114" si="161">IFERROR(G1053/H1053,"")</f>
        <v/>
      </c>
      <c r="J1053" s="1915"/>
      <c r="K1053" s="2334" t="str">
        <f>IFERROR(VLOOKUP(F1053,Trainingsarten!$A$9:$K$84,11,FALSE),"0")</f>
        <v>0</v>
      </c>
      <c r="L1053" s="1915"/>
      <c r="M1053" s="2833"/>
      <c r="N1053" s="2296" t="str">
        <f t="shared" si="156"/>
        <v/>
      </c>
      <c r="O1053" s="2297"/>
      <c r="P1053" s="2298" t="str">
        <f>IFERROR(VLOOKUP(F1053,Trainingsarten!$A$9:$N$84,12,FALSE),"")</f>
        <v/>
      </c>
      <c r="Q1053" s="1069" t="s">
        <v>437</v>
      </c>
      <c r="R1053" s="1069" t="str">
        <f>IFERROR(VLOOKUP(F1053,Trainingsarten!$A$9:$N$84,14,FALSE),"")</f>
        <v/>
      </c>
      <c r="S1053" s="2299" t="str">
        <f t="shared" si="160"/>
        <v/>
      </c>
      <c r="T1053" s="2300">
        <f t="shared" si="159"/>
        <v>25.613982341243467</v>
      </c>
      <c r="U1053" s="2301">
        <f t="shared" si="157"/>
        <v>31.378372512162606</v>
      </c>
      <c r="V1053" s="2068">
        <f t="shared" si="158"/>
        <v>2.2607192728784611</v>
      </c>
      <c r="W1053" s="3283">
        <f t="shared" si="155"/>
        <v>0.81629416348203532</v>
      </c>
      <c r="X1053" s="3300"/>
      <c r="Y1053" s="3316"/>
      <c r="AA1053" s="3301"/>
      <c r="AB1053" s="3409"/>
      <c r="AE1053" s="1056"/>
    </row>
    <row r="1054" spans="2:31" x14ac:dyDescent="0.2">
      <c r="B1054" s="2978" t="s">
        <v>626</v>
      </c>
      <c r="C1054" s="2302">
        <v>44152</v>
      </c>
      <c r="D1054" s="2303"/>
      <c r="E1054" s="2304"/>
      <c r="F1054" s="2747"/>
      <c r="G1054" s="2305"/>
      <c r="H1054" s="2306" t="str">
        <f>IFERROR(VLOOKUP(F1054,Trainingsarten!$A$9:$K$84,10,FALSE),"")</f>
        <v/>
      </c>
      <c r="I1054" s="2307" t="str">
        <f t="shared" si="161"/>
        <v/>
      </c>
      <c r="J1054" s="2308"/>
      <c r="K1054" s="2318" t="str">
        <f>IFERROR(VLOOKUP(F1054,Trainingsarten!$A$9:$K$84,11,FALSE),"0")</f>
        <v>0</v>
      </c>
      <c r="L1054" s="2806"/>
      <c r="M1054" s="2829"/>
      <c r="N1054" s="2309" t="str">
        <f t="shared" si="156"/>
        <v/>
      </c>
      <c r="O1054" s="2310"/>
      <c r="P1054" s="2311" t="str">
        <f>IFERROR(VLOOKUP(F1054,Trainingsarten!$A$9:$N$84,12,FALSE),"")</f>
        <v/>
      </c>
      <c r="Q1054" s="2312" t="s">
        <v>437</v>
      </c>
      <c r="R1054" s="2312" t="str">
        <f>IFERROR(VLOOKUP(F1054,Trainingsarten!$A$9:$N$84,14,FALSE),"")</f>
        <v/>
      </c>
      <c r="S1054" s="2313" t="str">
        <f t="shared" si="160"/>
        <v/>
      </c>
      <c r="T1054" s="2280">
        <f t="shared" si="159"/>
        <v>21.954842006780115</v>
      </c>
      <c r="U1054" s="2095">
        <f t="shared" si="157"/>
        <v>30.631268404730164</v>
      </c>
      <c r="V1054" s="2314">
        <f t="shared" si="158"/>
        <v>5.764390170919139</v>
      </c>
      <c r="W1054" s="3284">
        <f t="shared" si="155"/>
        <v>0.71674609476471396</v>
      </c>
      <c r="X1054" s="3300"/>
      <c r="Y1054" s="3316"/>
      <c r="AA1054" s="3301"/>
      <c r="AB1054" s="3409"/>
      <c r="AE1054" s="1056"/>
    </row>
    <row r="1055" spans="2:31" ht="16" thickBot="1" x14ac:dyDescent="0.25">
      <c r="B1055" s="2979">
        <f>SUM(H1053:H1059)</f>
        <v>32.730000000000004</v>
      </c>
      <c r="C1055" s="2315">
        <v>44153</v>
      </c>
      <c r="D1055" s="2316">
        <v>156</v>
      </c>
      <c r="E1055" s="2317" t="s">
        <v>836</v>
      </c>
      <c r="F1055" s="2747" t="s">
        <v>818</v>
      </c>
      <c r="G1055" s="2305">
        <v>3.8738425925925926E-2</v>
      </c>
      <c r="H1055" s="2306">
        <v>10.69</v>
      </c>
      <c r="I1055" s="2307">
        <f t="shared" si="161"/>
        <v>3.6238003672521917E-3</v>
      </c>
      <c r="J1055" s="2308">
        <v>144</v>
      </c>
      <c r="K1055" s="2318">
        <v>69</v>
      </c>
      <c r="L1055" s="2806">
        <v>224</v>
      </c>
      <c r="M1055" s="2829"/>
      <c r="N1055" s="2309">
        <f t="shared" si="156"/>
        <v>1.0467698923530151</v>
      </c>
      <c r="O1055" s="2310" t="s">
        <v>783</v>
      </c>
      <c r="P1055" s="2311">
        <f>IFERROR(VLOOKUP(F1055,Trainingsarten!$A$9:$N$84,12,FALSE),"")</f>
        <v>194.60000000000002</v>
      </c>
      <c r="Q1055" s="2312" t="s">
        <v>437</v>
      </c>
      <c r="R1055" s="2312">
        <f>IFERROR(VLOOKUP(F1055,Trainingsarten!$A$9:$N$84,14,FALSE),"")</f>
        <v>212.96</v>
      </c>
      <c r="S1055" s="2313">
        <f t="shared" si="160"/>
        <v>1.5555555555555556</v>
      </c>
      <c r="T1055" s="2280">
        <f t="shared" si="159"/>
        <v>28.675578862954385</v>
      </c>
      <c r="U1055" s="2095">
        <f t="shared" si="157"/>
        <v>31.544809633188969</v>
      </c>
      <c r="V1055" s="2314">
        <f t="shared" si="158"/>
        <v>8.6764263979500491</v>
      </c>
      <c r="W1055" s="3284">
        <f t="shared" ref="W1055:W1114" si="162">T1055/U1055</f>
        <v>0.90904269819349914</v>
      </c>
      <c r="X1055" s="3300"/>
      <c r="Y1055" s="3316"/>
      <c r="AA1055" s="3301"/>
      <c r="AB1055" s="3409"/>
      <c r="AE1055" s="1056"/>
    </row>
    <row r="1056" spans="2:31" x14ac:dyDescent="0.2">
      <c r="B1056" s="2980" t="s">
        <v>628</v>
      </c>
      <c r="C1056" s="2315">
        <v>44154</v>
      </c>
      <c r="D1056" s="2316"/>
      <c r="E1056" s="2317"/>
      <c r="F1056" s="2747"/>
      <c r="G1056" s="2305"/>
      <c r="H1056" s="2306" t="str">
        <f>IFERROR(VLOOKUP(F1056,Trainingsarten!$A$9:$K$84,10,FALSE),"")</f>
        <v/>
      </c>
      <c r="I1056" s="2307" t="str">
        <f t="shared" si="161"/>
        <v/>
      </c>
      <c r="J1056" s="2308"/>
      <c r="K1056" s="2318" t="str">
        <f>IFERROR(VLOOKUP(F1056,Trainingsarten!$A$9:$K$84,11,FALSE),"0")</f>
        <v>0</v>
      </c>
      <c r="L1056" s="2806"/>
      <c r="M1056" s="2829"/>
      <c r="N1056" s="2309" t="str">
        <f t="shared" si="156"/>
        <v/>
      </c>
      <c r="O1056" s="2310"/>
      <c r="P1056" s="2311" t="str">
        <f>IFERROR(VLOOKUP(F1056,Trainingsarten!$A$9:$N$84,12,FALSE),"")</f>
        <v/>
      </c>
      <c r="Q1056" s="2312" t="s">
        <v>437</v>
      </c>
      <c r="R1056" s="2312" t="str">
        <f>IFERROR(VLOOKUP(F1056,Trainingsarten!$A$9:$N$84,14,FALSE),"")</f>
        <v/>
      </c>
      <c r="S1056" s="2313" t="str">
        <f t="shared" si="160"/>
        <v/>
      </c>
      <c r="T1056" s="2280">
        <f t="shared" si="159"/>
        <v>24.579067596818042</v>
      </c>
      <c r="U1056" s="2095">
        <f t="shared" si="157"/>
        <v>30.79374273716066</v>
      </c>
      <c r="V1056" s="2314">
        <f t="shared" si="158"/>
        <v>2.8692307702345836</v>
      </c>
      <c r="W1056" s="3284">
        <f t="shared" si="162"/>
        <v>0.79818383256014558</v>
      </c>
      <c r="X1056" s="3300"/>
      <c r="Y1056" s="3316"/>
      <c r="AA1056" s="3301"/>
      <c r="AB1056" s="3409"/>
      <c r="AE1056" s="1056"/>
    </row>
    <row r="1057" spans="2:31" ht="16" thickBot="1" x14ac:dyDescent="0.25">
      <c r="B1057" s="2981">
        <f>SUM(K1053:K1059)</f>
        <v>204</v>
      </c>
      <c r="C1057" s="2315">
        <v>44155</v>
      </c>
      <c r="D1057" s="2316">
        <v>157</v>
      </c>
      <c r="E1057" s="2317" t="s">
        <v>835</v>
      </c>
      <c r="F1057" s="2748" t="s">
        <v>818</v>
      </c>
      <c r="G1057" s="2305">
        <v>4.1967592592592591E-2</v>
      </c>
      <c r="H1057" s="2306">
        <v>11.13</v>
      </c>
      <c r="I1057" s="2307">
        <f t="shared" si="161"/>
        <v>3.7706731889121823E-3</v>
      </c>
      <c r="J1057" s="2308">
        <v>147</v>
      </c>
      <c r="K1057" s="2318">
        <v>67</v>
      </c>
      <c r="L1057" s="2806">
        <v>216</v>
      </c>
      <c r="M1057" s="2829"/>
      <c r="N1057" s="2309">
        <f t="shared" si="156"/>
        <v>1.0502956913545478</v>
      </c>
      <c r="O1057" s="2310" t="s">
        <v>783</v>
      </c>
      <c r="P1057" s="2311">
        <f>IFERROR(VLOOKUP(F1057,Trainingsarten!$A$9:$N$84,12,FALSE),"")</f>
        <v>194.60000000000002</v>
      </c>
      <c r="Q1057" s="2312" t="s">
        <v>437</v>
      </c>
      <c r="R1057" s="2312">
        <f>IFERROR(VLOOKUP(F1057,Trainingsarten!$A$9:$N$84,14,FALSE),"")</f>
        <v>212.96</v>
      </c>
      <c r="S1057" s="2313">
        <f t="shared" si="160"/>
        <v>1.4693877551020409</v>
      </c>
      <c r="T1057" s="2280">
        <f t="shared" si="159"/>
        <v>30.639200797272608</v>
      </c>
      <c r="U1057" s="2095">
        <f t="shared" si="157"/>
        <v>31.655796481513978</v>
      </c>
      <c r="V1057" s="2314">
        <f t="shared" si="158"/>
        <v>6.2146751403426173</v>
      </c>
      <c r="W1057" s="3284">
        <f t="shared" si="162"/>
        <v>0.96788595463598492</v>
      </c>
      <c r="X1057" s="3300"/>
      <c r="Y1057" s="3316"/>
      <c r="AA1057" s="3301"/>
      <c r="AB1057" s="3409"/>
      <c r="AE1057" s="1056"/>
    </row>
    <row r="1058" spans="2:31" x14ac:dyDescent="0.2">
      <c r="B1058" s="2982" t="s">
        <v>761</v>
      </c>
      <c r="C1058" s="2315">
        <v>44156</v>
      </c>
      <c r="D1058" s="2316"/>
      <c r="E1058" s="2317"/>
      <c r="F1058" s="2748"/>
      <c r="G1058" s="2305"/>
      <c r="H1058" s="2306" t="str">
        <f>IFERROR(VLOOKUP(F1058,Trainingsarten!$A$9:$K$84,10,FALSE),"")</f>
        <v/>
      </c>
      <c r="I1058" s="2307" t="str">
        <f t="shared" si="161"/>
        <v/>
      </c>
      <c r="J1058" s="2308"/>
      <c r="K1058" s="2318" t="str">
        <f>IFERROR(VLOOKUP(F1058,Trainingsarten!$A$9:$K$84,11,FALSE),"0")</f>
        <v>0</v>
      </c>
      <c r="L1058" s="2806"/>
      <c r="M1058" s="2829"/>
      <c r="N1058" s="2309" t="str">
        <f t="shared" si="156"/>
        <v/>
      </c>
      <c r="O1058" s="2310"/>
      <c r="P1058" s="2311" t="str">
        <f>IFERROR(VLOOKUP(F1058,Trainingsarten!$A$9:$N$84,12,FALSE),"")</f>
        <v/>
      </c>
      <c r="Q1058" s="2312" t="s">
        <v>437</v>
      </c>
      <c r="R1058" s="2312" t="str">
        <f>IFERROR(VLOOKUP(F1058,Trainingsarten!$A$9:$N$84,14,FALSE),"")</f>
        <v/>
      </c>
      <c r="S1058" s="2313" t="str">
        <f t="shared" si="160"/>
        <v/>
      </c>
      <c r="T1058" s="2280">
        <f t="shared" si="159"/>
        <v>26.262172111947947</v>
      </c>
      <c r="U1058" s="2095">
        <f t="shared" si="157"/>
        <v>30.90208704147793</v>
      </c>
      <c r="V1058" s="2314">
        <f t="shared" si="158"/>
        <v>1.0165956842413699</v>
      </c>
      <c r="W1058" s="3284">
        <f t="shared" si="162"/>
        <v>0.8498510821194013</v>
      </c>
      <c r="X1058" s="3300"/>
      <c r="Y1058" s="3316"/>
      <c r="AA1058" s="3301"/>
      <c r="AB1058" s="3409"/>
      <c r="AE1058" s="1056"/>
    </row>
    <row r="1059" spans="2:31" ht="16" thickBot="1" x14ac:dyDescent="0.25">
      <c r="B1059" s="2983">
        <f>AVERAGE(W1053:W1059)</f>
        <v>0.86740373827585404</v>
      </c>
      <c r="C1059" s="2319">
        <v>44157</v>
      </c>
      <c r="D1059" s="2320">
        <v>158</v>
      </c>
      <c r="E1059" s="2321" t="s">
        <v>836</v>
      </c>
      <c r="F1059" s="2750" t="s">
        <v>818</v>
      </c>
      <c r="G1059" s="2322">
        <v>4.0231481481481479E-2</v>
      </c>
      <c r="H1059" s="2323">
        <v>10.91</v>
      </c>
      <c r="I1059" s="2324">
        <f t="shared" si="161"/>
        <v>3.6875785042604472E-3</v>
      </c>
      <c r="J1059" s="2325">
        <v>140</v>
      </c>
      <c r="K1059" s="2326">
        <v>68</v>
      </c>
      <c r="L1059" s="2807">
        <v>221</v>
      </c>
      <c r="M1059" s="2830"/>
      <c r="N1059" s="2327">
        <f t="shared" si="156"/>
        <v>1.0509268506231446</v>
      </c>
      <c r="O1059" s="2328" t="s">
        <v>783</v>
      </c>
      <c r="P1059" s="2329">
        <f>IFERROR(VLOOKUP(F1059,Trainingsarten!$A$9:$N$84,12,FALSE),"")</f>
        <v>194.60000000000002</v>
      </c>
      <c r="Q1059" s="2330" t="s">
        <v>437</v>
      </c>
      <c r="R1059" s="2330">
        <f>IFERROR(VLOOKUP(F1059,Trainingsarten!$A$9:$N$84,14,FALSE),"")</f>
        <v>212.96</v>
      </c>
      <c r="S1059" s="2331">
        <f t="shared" si="160"/>
        <v>1.5785714285714285</v>
      </c>
      <c r="T1059" s="2332">
        <f t="shared" si="159"/>
        <v>32.22471895309824</v>
      </c>
      <c r="U1059" s="2333">
        <f t="shared" si="157"/>
        <v>31.785370683347505</v>
      </c>
      <c r="V1059" s="2333">
        <f t="shared" si="158"/>
        <v>4.6399149295299829</v>
      </c>
      <c r="W1059" s="3285">
        <f t="shared" si="162"/>
        <v>1.013822342175198</v>
      </c>
      <c r="X1059" s="3300"/>
      <c r="Y1059" s="3316"/>
      <c r="AA1059" s="3301"/>
      <c r="AB1059" s="3409"/>
      <c r="AE1059" s="1056"/>
    </row>
    <row r="1060" spans="2:31" ht="16" thickBot="1" x14ac:dyDescent="0.25">
      <c r="B1060" s="2985">
        <f>B1053+1</f>
        <v>48</v>
      </c>
      <c r="C1060" s="1245">
        <v>44158</v>
      </c>
      <c r="D1060" s="1246"/>
      <c r="E1060" s="1247"/>
      <c r="F1060" s="2746"/>
      <c r="G1060" s="1647"/>
      <c r="H1060" s="1648" t="str">
        <f>IFERROR(VLOOKUP(F1060,Trainingsarten!$A$9:$K$84,10,FALSE),"")</f>
        <v/>
      </c>
      <c r="I1060" s="1399" t="str">
        <f t="shared" si="161"/>
        <v/>
      </c>
      <c r="J1060" s="1326"/>
      <c r="K1060" s="1325" t="str">
        <f>IFERROR(VLOOKUP(F1060,Trainingsarten!$A$9:$K$84,11,FALSE),"0")</f>
        <v>0</v>
      </c>
      <c r="L1060" s="1326"/>
      <c r="M1060" s="2831"/>
      <c r="N1060" s="1119" t="str">
        <f t="shared" ref="N1060:N1114" si="163">IFERROR((L1060/67)/(1/(I1060*24)/3.6),"")</f>
        <v/>
      </c>
      <c r="O1060" s="1649"/>
      <c r="P1060" s="1277" t="str">
        <f>IFERROR(VLOOKUP(F1060,Trainingsarten!$A$9:$N$84,12,FALSE),"")</f>
        <v/>
      </c>
      <c r="Q1060" s="1122" t="s">
        <v>437</v>
      </c>
      <c r="R1060" s="1122" t="str">
        <f>IFERROR(VLOOKUP(F1060,Trainingsarten!$A$9:$N$84,14,FALSE),"")</f>
        <v/>
      </c>
      <c r="S1060" s="1125" t="str">
        <f t="shared" si="160"/>
        <v/>
      </c>
      <c r="T1060" s="1650">
        <f t="shared" si="159"/>
        <v>27.621187674084204</v>
      </c>
      <c r="U1060" s="1651">
        <f t="shared" si="157"/>
        <v>31.028576143267802</v>
      </c>
      <c r="V1060" s="1278">
        <f t="shared" si="158"/>
        <v>-0.43934826975073449</v>
      </c>
      <c r="W1060" s="3286">
        <f t="shared" si="162"/>
        <v>0.89018547117822255</v>
      </c>
      <c r="X1060" s="3300"/>
      <c r="Y1060" s="3316"/>
      <c r="AA1060" s="3301"/>
      <c r="AB1060" s="3409"/>
      <c r="AE1060" s="1056"/>
    </row>
    <row r="1061" spans="2:31" x14ac:dyDescent="0.2">
      <c r="B1061" s="2978" t="s">
        <v>626</v>
      </c>
      <c r="C1061" s="1211">
        <v>44159</v>
      </c>
      <c r="D1061" s="1823">
        <v>159</v>
      </c>
      <c r="E1061" s="1824" t="s">
        <v>836</v>
      </c>
      <c r="F1061" s="2747" t="s">
        <v>902</v>
      </c>
      <c r="G1061" s="1825">
        <v>3.7303240740740741E-2</v>
      </c>
      <c r="H1061" s="1826">
        <v>10.210000000000001</v>
      </c>
      <c r="I1061" s="1902">
        <f t="shared" si="161"/>
        <v>3.6535985054594257E-3</v>
      </c>
      <c r="J1061" s="1830">
        <v>144</v>
      </c>
      <c r="K1061" s="1829">
        <v>70</v>
      </c>
      <c r="L1061" s="2806">
        <v>223</v>
      </c>
      <c r="M1061" s="2829"/>
      <c r="N1061" s="1831">
        <f t="shared" si="163"/>
        <v>1.0506658675281768</v>
      </c>
      <c r="O1061" s="1832" t="s">
        <v>821</v>
      </c>
      <c r="P1061" s="1755" t="str">
        <f>IFERROR(VLOOKUP(F1061,Trainingsarten!$A$9:$N$84,12,FALSE),"")</f>
        <v/>
      </c>
      <c r="Q1061" s="1756" t="s">
        <v>437</v>
      </c>
      <c r="R1061" s="1086" t="str">
        <f>IFERROR(VLOOKUP(F1061,Trainingsarten!$A$9:$N$84,14,FALSE),"")</f>
        <v/>
      </c>
      <c r="S1061" s="1087">
        <f t="shared" si="160"/>
        <v>1.5486111111111112</v>
      </c>
      <c r="T1061" s="1757">
        <f t="shared" si="159"/>
        <v>33.675303720643605</v>
      </c>
      <c r="U1061" s="1758">
        <f t="shared" si="157"/>
        <v>31.956467187475713</v>
      </c>
      <c r="V1061" s="1088">
        <f t="shared" si="158"/>
        <v>3.4073884691835978</v>
      </c>
      <c r="W1061" s="3284">
        <f t="shared" si="162"/>
        <v>1.0537868132633113</v>
      </c>
      <c r="X1061" s="3300"/>
      <c r="Y1061" s="3316"/>
      <c r="AA1061" s="3301"/>
      <c r="AB1061" s="3409"/>
      <c r="AE1061" s="1056"/>
    </row>
    <row r="1062" spans="2:31" ht="16" thickBot="1" x14ac:dyDescent="0.25">
      <c r="B1062" s="2979">
        <f>SUM(H1060:H1066)</f>
        <v>29.320000000000004</v>
      </c>
      <c r="C1062" s="1211">
        <v>44160</v>
      </c>
      <c r="D1062" s="1823"/>
      <c r="E1062" s="1824"/>
      <c r="F1062" s="2747"/>
      <c r="G1062" s="1825"/>
      <c r="H1062" s="1826" t="str">
        <f>IFERROR(VLOOKUP(F1062,Trainingsarten!$A$9:$K$84,10,FALSE),"")</f>
        <v/>
      </c>
      <c r="I1062" s="1902" t="str">
        <f t="shared" si="161"/>
        <v/>
      </c>
      <c r="J1062" s="1830"/>
      <c r="K1062" s="1829" t="str">
        <f>IFERROR(VLOOKUP(F1062,Trainingsarten!$A$9:$K$84,11,FALSE),"0")</f>
        <v>0</v>
      </c>
      <c r="L1062" s="2806"/>
      <c r="M1062" s="2829"/>
      <c r="N1062" s="1831" t="str">
        <f t="shared" si="163"/>
        <v/>
      </c>
      <c r="O1062" s="1832"/>
      <c r="P1062" s="1755" t="str">
        <f>IFERROR(VLOOKUP(F1062,Trainingsarten!$A$9:$N$84,12,FALSE),"")</f>
        <v/>
      </c>
      <c r="Q1062" s="1756" t="s">
        <v>437</v>
      </c>
      <c r="R1062" s="1086" t="str">
        <f>IFERROR(VLOOKUP(F1062,Trainingsarten!$A$9:$N$84,14,FALSE),"")</f>
        <v/>
      </c>
      <c r="S1062" s="1087" t="str">
        <f t="shared" si="160"/>
        <v/>
      </c>
      <c r="T1062" s="1757">
        <f t="shared" si="159"/>
        <v>28.864546046265946</v>
      </c>
      <c r="U1062" s="1758">
        <f t="shared" si="157"/>
        <v>31.195598921107244</v>
      </c>
      <c r="V1062" s="1088">
        <f t="shared" si="158"/>
        <v>-1.7188365331678916</v>
      </c>
      <c r="W1062" s="3284">
        <f t="shared" si="162"/>
        <v>0.92527622627998063</v>
      </c>
      <c r="X1062" s="3300"/>
      <c r="Y1062" s="3316"/>
      <c r="AA1062" s="3301"/>
      <c r="AB1062" s="3409"/>
      <c r="AE1062" s="1056"/>
    </row>
    <row r="1063" spans="2:31" x14ac:dyDescent="0.2">
      <c r="B1063" s="2980" t="s">
        <v>628</v>
      </c>
      <c r="C1063" s="1211">
        <v>44161</v>
      </c>
      <c r="D1063" s="1823">
        <v>160</v>
      </c>
      <c r="E1063" s="1824" t="s">
        <v>836</v>
      </c>
      <c r="F1063" s="2747" t="s">
        <v>827</v>
      </c>
      <c r="G1063" s="1825">
        <v>3.30787037037037E-2</v>
      </c>
      <c r="H1063" s="1826">
        <v>9.06</v>
      </c>
      <c r="I1063" s="1902">
        <f t="shared" si="161"/>
        <v>3.6510710489739183E-3</v>
      </c>
      <c r="J1063" s="1830">
        <v>141</v>
      </c>
      <c r="K1063" s="1829">
        <v>57</v>
      </c>
      <c r="L1063" s="2806">
        <v>223</v>
      </c>
      <c r="M1063" s="2829"/>
      <c r="N1063" s="1831">
        <f t="shared" si="163"/>
        <v>1.0499390464894074</v>
      </c>
      <c r="O1063" s="1832" t="s">
        <v>1460</v>
      </c>
      <c r="P1063" s="1755">
        <f>IFERROR(VLOOKUP(F1063,Trainingsarten!$A$9:$N$84,12,FALSE),"")</f>
        <v>194.60000000000002</v>
      </c>
      <c r="Q1063" s="1756" t="s">
        <v>437</v>
      </c>
      <c r="R1063" s="1086">
        <f>IFERROR(VLOOKUP(F1063,Trainingsarten!$A$9:$N$84,14,FALSE),"")</f>
        <v>212.96</v>
      </c>
      <c r="S1063" s="1087">
        <f t="shared" si="160"/>
        <v>1.5815602836879432</v>
      </c>
      <c r="T1063" s="1757">
        <f t="shared" si="159"/>
        <v>32.883896611085099</v>
      </c>
      <c r="U1063" s="1758">
        <f t="shared" si="157"/>
        <v>31.809989422985645</v>
      </c>
      <c r="V1063" s="1088">
        <f t="shared" si="158"/>
        <v>2.3310528748412978</v>
      </c>
      <c r="W1063" s="3284">
        <f t="shared" si="162"/>
        <v>1.0337600611499562</v>
      </c>
      <c r="X1063" s="3300"/>
      <c r="Y1063" s="3316"/>
      <c r="AA1063" s="3301"/>
      <c r="AB1063" s="3409"/>
      <c r="AE1063" s="1056"/>
    </row>
    <row r="1064" spans="2:31" ht="16" thickBot="1" x14ac:dyDescent="0.25">
      <c r="B1064" s="2981">
        <f>SUM(K1060:K1066)</f>
        <v>188</v>
      </c>
      <c r="C1064" s="1211">
        <v>44162</v>
      </c>
      <c r="D1064" s="1823"/>
      <c r="E1064" s="1824"/>
      <c r="F1064" s="2748"/>
      <c r="G1064" s="1825"/>
      <c r="H1064" s="1826" t="str">
        <f>IFERROR(VLOOKUP(F1064,Trainingsarten!$A$9:$K$84,10,FALSE),"")</f>
        <v/>
      </c>
      <c r="I1064" s="1902" t="str">
        <f t="shared" si="161"/>
        <v/>
      </c>
      <c r="J1064" s="1830"/>
      <c r="K1064" s="1829" t="str">
        <f>IFERROR(VLOOKUP(F1064,Trainingsarten!$A$9:$K$84,11,FALSE),"0")</f>
        <v>0</v>
      </c>
      <c r="L1064" s="2806"/>
      <c r="M1064" s="2829"/>
      <c r="N1064" s="1831" t="str">
        <f t="shared" si="163"/>
        <v/>
      </c>
      <c r="O1064" s="1832"/>
      <c r="P1064" s="1755" t="str">
        <f>IFERROR(VLOOKUP(F1064,Trainingsarten!$A$9:$N$84,12,FALSE),"")</f>
        <v/>
      </c>
      <c r="Q1064" s="1756" t="s">
        <v>437</v>
      </c>
      <c r="R1064" s="1086" t="str">
        <f>IFERROR(VLOOKUP(F1064,Trainingsarten!$A$9:$N$84,14,FALSE),"")</f>
        <v/>
      </c>
      <c r="S1064" s="1087" t="str">
        <f t="shared" si="160"/>
        <v/>
      </c>
      <c r="T1064" s="1757">
        <f t="shared" si="159"/>
        <v>28.1861970952158</v>
      </c>
      <c r="U1064" s="1758">
        <f t="shared" si="157"/>
        <v>31.052608722438368</v>
      </c>
      <c r="V1064" s="1088">
        <f t="shared" si="158"/>
        <v>-1.0739071880994544</v>
      </c>
      <c r="W1064" s="3284">
        <f t="shared" si="162"/>
        <v>0.9076917610097176</v>
      </c>
      <c r="X1064" s="3300"/>
      <c r="Y1064" s="3316"/>
      <c r="AA1064" s="3301"/>
      <c r="AB1064" s="3409"/>
      <c r="AE1064" s="1056"/>
    </row>
    <row r="1065" spans="2:31" x14ac:dyDescent="0.2">
      <c r="B1065" s="2982" t="s">
        <v>761</v>
      </c>
      <c r="C1065" s="1211">
        <v>44163</v>
      </c>
      <c r="D1065" s="1823">
        <v>161</v>
      </c>
      <c r="E1065" s="1824" t="s">
        <v>836</v>
      </c>
      <c r="F1065" s="2748" t="s">
        <v>827</v>
      </c>
      <c r="G1065" s="1825">
        <v>3.847222222222222E-2</v>
      </c>
      <c r="H1065" s="1826">
        <v>10.050000000000001</v>
      </c>
      <c r="I1065" s="1902">
        <f t="shared" si="161"/>
        <v>3.8280818131564394E-3</v>
      </c>
      <c r="J1065" s="1830">
        <v>136</v>
      </c>
      <c r="K1065" s="1829">
        <v>61</v>
      </c>
      <c r="L1065" s="2806">
        <v>213</v>
      </c>
      <c r="M1065" s="2829"/>
      <c r="N1065" s="1831">
        <f t="shared" si="163"/>
        <v>1.0514769436400089</v>
      </c>
      <c r="O1065" s="1832" t="s">
        <v>1460</v>
      </c>
      <c r="P1065" s="1755">
        <f>IFERROR(VLOOKUP(F1065,Trainingsarten!$A$9:$N$84,12,FALSE),"")</f>
        <v>194.60000000000002</v>
      </c>
      <c r="Q1065" s="1756" t="s">
        <v>437</v>
      </c>
      <c r="R1065" s="1086">
        <f>IFERROR(VLOOKUP(F1065,Trainingsarten!$A$9:$N$84,14,FALSE),"")</f>
        <v>212.96</v>
      </c>
      <c r="S1065" s="1087">
        <f t="shared" si="160"/>
        <v>1.5661764705882353</v>
      </c>
      <c r="T1065" s="1757">
        <f t="shared" si="159"/>
        <v>32.873883224470688</v>
      </c>
      <c r="U1065" s="1758">
        <f t="shared" si="157"/>
        <v>31.765641848094596</v>
      </c>
      <c r="V1065" s="1088">
        <f t="shared" si="158"/>
        <v>2.8664116272225684</v>
      </c>
      <c r="W1065" s="3284">
        <f t="shared" si="162"/>
        <v>1.0348880523704125</v>
      </c>
      <c r="X1065" s="3300"/>
      <c r="Y1065" s="3316"/>
      <c r="AA1065" s="3301"/>
      <c r="AB1065" s="3409"/>
      <c r="AE1065" s="1056"/>
    </row>
    <row r="1066" spans="2:31" ht="16" thickBot="1" x14ac:dyDescent="0.25">
      <c r="B1066" s="2983">
        <f>AVERAGE(W1060:W1066)</f>
        <v>0.96489579679669146</v>
      </c>
      <c r="C1066" s="2335">
        <v>44164</v>
      </c>
      <c r="D1066" s="2280"/>
      <c r="E1066" s="2281"/>
      <c r="F1066" s="2750"/>
      <c r="G1066" s="2282"/>
      <c r="H1066" s="2283" t="str">
        <f>IFERROR(VLOOKUP(F1066,Trainingsarten!$A$9:$K$84,10,FALSE),"")</f>
        <v/>
      </c>
      <c r="I1066" s="2284" t="str">
        <f t="shared" si="161"/>
        <v/>
      </c>
      <c r="J1066" s="2285"/>
      <c r="K1066" s="2286" t="str">
        <f>IFERROR(VLOOKUP(F1066,Trainingsarten!$A$9:$K$84,11,FALSE),"0")</f>
        <v>0</v>
      </c>
      <c r="L1066" s="2808"/>
      <c r="M1066" s="2832"/>
      <c r="N1066" s="2287" t="str">
        <f t="shared" si="163"/>
        <v/>
      </c>
      <c r="O1066" s="2288"/>
      <c r="P1066" s="2336" t="str">
        <f>IFERROR(VLOOKUP(F1066,Trainingsarten!$A$9:$N$84,12,FALSE),"")</f>
        <v/>
      </c>
      <c r="Q1066" s="1150" t="s">
        <v>437</v>
      </c>
      <c r="R1066" s="1150" t="str">
        <f>IFERROR(VLOOKUP(F1066,Trainingsarten!$A$9:$N$84,14,FALSE),"")</f>
        <v/>
      </c>
      <c r="S1066" s="2290" t="str">
        <f t="shared" si="160"/>
        <v/>
      </c>
      <c r="T1066" s="2280">
        <f t="shared" si="159"/>
        <v>28.177614192403446</v>
      </c>
      <c r="U1066" s="2337">
        <f t="shared" si="157"/>
        <v>31.009317042187583</v>
      </c>
      <c r="V1066" s="2337">
        <f t="shared" si="158"/>
        <v>-1.1082413763760925</v>
      </c>
      <c r="W1066" s="3287">
        <f t="shared" si="162"/>
        <v>0.90868219232524028</v>
      </c>
      <c r="X1066" s="3300"/>
      <c r="Y1066" s="3316"/>
      <c r="AA1066" s="3301"/>
      <c r="AB1066" s="3409"/>
      <c r="AE1066" s="1056"/>
    </row>
    <row r="1067" spans="2:31" ht="16" thickBot="1" x14ac:dyDescent="0.25">
      <c r="B1067" s="2985">
        <f>B1060+1</f>
        <v>49</v>
      </c>
      <c r="C1067" s="2291">
        <v>44165</v>
      </c>
      <c r="D1067" s="2292">
        <v>162</v>
      </c>
      <c r="E1067" s="2293" t="s">
        <v>836</v>
      </c>
      <c r="F1067" s="2746" t="s">
        <v>827</v>
      </c>
      <c r="G1067" s="2032">
        <v>3.5289351851851856E-2</v>
      </c>
      <c r="H1067" s="1697">
        <v>9.57</v>
      </c>
      <c r="I1067" s="2294">
        <f t="shared" si="161"/>
        <v>3.6874975811757426E-3</v>
      </c>
      <c r="J1067" s="2035">
        <v>139</v>
      </c>
      <c r="K1067" s="2334">
        <v>60</v>
      </c>
      <c r="L1067" s="1915">
        <v>221</v>
      </c>
      <c r="M1067" s="2833"/>
      <c r="N1067" s="2296">
        <f t="shared" si="163"/>
        <v>1.0509037882686882</v>
      </c>
      <c r="O1067" s="1918" t="s">
        <v>1460</v>
      </c>
      <c r="P1067" s="2298">
        <f>IFERROR(VLOOKUP(F1067,Trainingsarten!$A$9:$N$84,12,FALSE),"")</f>
        <v>194.60000000000002</v>
      </c>
      <c r="Q1067" s="1069" t="s">
        <v>437</v>
      </c>
      <c r="R1067" s="1069">
        <f>IFERROR(VLOOKUP(F1067,Trainingsarten!$A$9:$N$84,14,FALSE),"")</f>
        <v>212.96</v>
      </c>
      <c r="S1067" s="2338">
        <f t="shared" si="160"/>
        <v>1.5899280575539569</v>
      </c>
      <c r="T1067" s="2339">
        <f t="shared" si="159"/>
        <v>32.723669307774379</v>
      </c>
      <c r="U1067" s="2340">
        <f t="shared" si="157"/>
        <v>31.699571398325972</v>
      </c>
      <c r="V1067" s="2068">
        <f t="shared" si="158"/>
        <v>2.8317028497841363</v>
      </c>
      <c r="W1067" s="3283">
        <f t="shared" si="162"/>
        <v>1.0323063645429127</v>
      </c>
      <c r="X1067" s="3300"/>
      <c r="Y1067" s="3316"/>
      <c r="AA1067" s="3301"/>
      <c r="AB1067" s="3409"/>
      <c r="AE1067" s="1056"/>
    </row>
    <row r="1068" spans="2:31" x14ac:dyDescent="0.2">
      <c r="B1068" s="2978" t="s">
        <v>626</v>
      </c>
      <c r="C1068" s="2302">
        <v>44166</v>
      </c>
      <c r="D1068" s="2303"/>
      <c r="E1068" s="2304"/>
      <c r="F1068" s="2747"/>
      <c r="G1068" s="2305"/>
      <c r="H1068" s="2306" t="str">
        <f>IFERROR(VLOOKUP(F1068,Trainingsarten!$A$9:$K$84,10,FALSE),"")</f>
        <v/>
      </c>
      <c r="I1068" s="2307" t="str">
        <f t="shared" si="161"/>
        <v/>
      </c>
      <c r="J1068" s="2308"/>
      <c r="K1068" s="2318" t="str">
        <f>IFERROR(VLOOKUP(F1068,Trainingsarten!$A$9:$K$84,11,FALSE),"0")</f>
        <v>0</v>
      </c>
      <c r="L1068" s="2806"/>
      <c r="M1068" s="2829"/>
      <c r="N1068" s="2309" t="str">
        <f t="shared" si="163"/>
        <v/>
      </c>
      <c r="O1068" s="2310"/>
      <c r="P1068" s="2311" t="str">
        <f>IFERROR(VLOOKUP(F1068,Trainingsarten!$A$9:$N$84,12,FALSE),"")</f>
        <v/>
      </c>
      <c r="Q1068" s="2312" t="s">
        <v>437</v>
      </c>
      <c r="R1068" s="2312" t="str">
        <f>IFERROR(VLOOKUP(F1068,Trainingsarten!$A$9:$N$84,14,FALSE),"")</f>
        <v/>
      </c>
      <c r="S1068" s="2313" t="str">
        <f t="shared" si="160"/>
        <v/>
      </c>
      <c r="T1068" s="2280">
        <f t="shared" si="159"/>
        <v>28.048859406663752</v>
      </c>
      <c r="U1068" s="2337">
        <f t="shared" si="157"/>
        <v>30.94481969836583</v>
      </c>
      <c r="V1068" s="2314">
        <f t="shared" si="158"/>
        <v>-1.0240979094484075</v>
      </c>
      <c r="W1068" s="3284">
        <f t="shared" si="162"/>
        <v>0.9064153444767038</v>
      </c>
      <c r="X1068" s="3300"/>
      <c r="Y1068" s="3316"/>
      <c r="AA1068" s="3301"/>
      <c r="AB1068" s="3409"/>
      <c r="AE1068" s="1056"/>
    </row>
    <row r="1069" spans="2:31" ht="16" thickBot="1" x14ac:dyDescent="0.25">
      <c r="B1069" s="2979">
        <f>SUM(H1067:H1073)</f>
        <v>39.65</v>
      </c>
      <c r="C1069" s="2315">
        <v>44167</v>
      </c>
      <c r="D1069" s="2316">
        <v>163</v>
      </c>
      <c r="E1069" s="2317" t="s">
        <v>836</v>
      </c>
      <c r="F1069" s="2747" t="s">
        <v>827</v>
      </c>
      <c r="G1069" s="2305">
        <v>3.3564814814814818E-2</v>
      </c>
      <c r="H1069" s="2306">
        <v>9.36</v>
      </c>
      <c r="I1069" s="2307">
        <f t="shared" si="161"/>
        <v>3.5859844887622672E-3</v>
      </c>
      <c r="J1069" s="2308">
        <v>141</v>
      </c>
      <c r="K1069" s="2318">
        <v>60</v>
      </c>
      <c r="L1069" s="2806">
        <v>226</v>
      </c>
      <c r="M1069" s="2829"/>
      <c r="N1069" s="2309">
        <f t="shared" si="163"/>
        <v>1.0450950376323513</v>
      </c>
      <c r="O1069" s="2310" t="s">
        <v>783</v>
      </c>
      <c r="P1069" s="2311">
        <f>IFERROR(VLOOKUP(F1069,Trainingsarten!$A$9:$N$84,12,FALSE),"")</f>
        <v>194.60000000000002</v>
      </c>
      <c r="Q1069" s="2312" t="s">
        <v>437</v>
      </c>
      <c r="R1069" s="2312">
        <f>IFERROR(VLOOKUP(F1069,Trainingsarten!$A$9:$N$84,14,FALSE),"")</f>
        <v>212.96</v>
      </c>
      <c r="S1069" s="2313">
        <f t="shared" si="160"/>
        <v>1.6028368794326242</v>
      </c>
      <c r="T1069" s="2280">
        <f t="shared" si="159"/>
        <v>32.613308062854642</v>
      </c>
      <c r="U1069" s="2337">
        <f t="shared" si="157"/>
        <v>31.636609705547595</v>
      </c>
      <c r="V1069" s="2314">
        <f t="shared" si="158"/>
        <v>2.8959602917020781</v>
      </c>
      <c r="W1069" s="3284">
        <f t="shared" si="162"/>
        <v>1.0308724090981145</v>
      </c>
      <c r="X1069" s="3300"/>
      <c r="Y1069" s="3316"/>
      <c r="AA1069" s="3301"/>
      <c r="AB1069" s="3409"/>
      <c r="AE1069" s="1056"/>
    </row>
    <row r="1070" spans="2:31" x14ac:dyDescent="0.2">
      <c r="B1070" s="2980" t="s">
        <v>628</v>
      </c>
      <c r="C1070" s="2315">
        <v>44168</v>
      </c>
      <c r="D1070" s="2316">
        <v>164</v>
      </c>
      <c r="E1070" s="2317" t="s">
        <v>836</v>
      </c>
      <c r="F1070" s="2747" t="s">
        <v>818</v>
      </c>
      <c r="G1070" s="2305">
        <v>3.1782407407407405E-2</v>
      </c>
      <c r="H1070" s="2306">
        <v>9.09</v>
      </c>
      <c r="I1070" s="2307">
        <f t="shared" si="161"/>
        <v>3.4964144562604407E-3</v>
      </c>
      <c r="J1070" s="2308">
        <v>142</v>
      </c>
      <c r="K1070" s="2318">
        <v>60</v>
      </c>
      <c r="L1070" s="2806">
        <v>230</v>
      </c>
      <c r="M1070" s="2829"/>
      <c r="N1070" s="2309">
        <f t="shared" si="163"/>
        <v>1.0370260906687685</v>
      </c>
      <c r="O1070" s="2310" t="s">
        <v>858</v>
      </c>
      <c r="P1070" s="2311">
        <f>IFERROR(VLOOKUP(F1070,Trainingsarten!$A$9:$N$84,12,FALSE),"")</f>
        <v>194.60000000000002</v>
      </c>
      <c r="Q1070" s="2312" t="s">
        <v>437</v>
      </c>
      <c r="R1070" s="2312">
        <f>IFERROR(VLOOKUP(F1070,Trainingsarten!$A$9:$N$84,14,FALSE),"")</f>
        <v>212.96</v>
      </c>
      <c r="S1070" s="2313">
        <f t="shared" si="160"/>
        <v>1.619718309859155</v>
      </c>
      <c r="T1070" s="2280">
        <f t="shared" si="159"/>
        <v>36.525692625303982</v>
      </c>
      <c r="U1070" s="2337">
        <f t="shared" si="157"/>
        <v>32.311928522082177</v>
      </c>
      <c r="V1070" s="2314">
        <f t="shared" si="158"/>
        <v>-0.9766983573070469</v>
      </c>
      <c r="W1070" s="3284">
        <f t="shared" si="162"/>
        <v>1.1304089324269857</v>
      </c>
      <c r="X1070" s="3300"/>
      <c r="Y1070" s="3316"/>
      <c r="AA1070" s="3301"/>
      <c r="AB1070" s="3409"/>
      <c r="AE1070" s="1056"/>
    </row>
    <row r="1071" spans="2:31" ht="16" thickBot="1" x14ac:dyDescent="0.25">
      <c r="B1071" s="2981">
        <f>SUM(K1067:K1073)</f>
        <v>246</v>
      </c>
      <c r="C1071" s="2315">
        <v>44169</v>
      </c>
      <c r="D1071" s="2316"/>
      <c r="E1071" s="2317"/>
      <c r="F1071" s="2748"/>
      <c r="G1071" s="2305"/>
      <c r="H1071" s="2306" t="str">
        <f>IFERROR(VLOOKUP(F1071,Trainingsarten!$A$9:$K$84,10,FALSE),"")</f>
        <v/>
      </c>
      <c r="I1071" s="2307" t="str">
        <f t="shared" si="161"/>
        <v/>
      </c>
      <c r="J1071" s="2308"/>
      <c r="K1071" s="2318" t="str">
        <f>IFERROR(VLOOKUP(F1071,Trainingsarten!$A$9:$K$84,11,FALSE),"0")</f>
        <v>0</v>
      </c>
      <c r="L1071" s="2806"/>
      <c r="M1071" s="2829"/>
      <c r="N1071" s="2309" t="str">
        <f t="shared" si="163"/>
        <v/>
      </c>
      <c r="O1071" s="2310"/>
      <c r="P1071" s="2311" t="str">
        <f>IFERROR(VLOOKUP(F1071,Trainingsarten!$A$9:$N$84,12,FALSE),"")</f>
        <v/>
      </c>
      <c r="Q1071" s="2312" t="s">
        <v>437</v>
      </c>
      <c r="R1071" s="2312" t="str">
        <f>IFERROR(VLOOKUP(F1071,Trainingsarten!$A$9:$N$84,14,FALSE),"")</f>
        <v/>
      </c>
      <c r="S1071" s="2313" t="str">
        <f t="shared" si="160"/>
        <v/>
      </c>
      <c r="T1071" s="2280">
        <f t="shared" si="159"/>
        <v>31.30773653597484</v>
      </c>
      <c r="U1071" s="2337">
        <f t="shared" si="157"/>
        <v>31.542596890604031</v>
      </c>
      <c r="V1071" s="2314">
        <f t="shared" si="158"/>
        <v>-4.2137641032218056</v>
      </c>
      <c r="W1071" s="3284">
        <f t="shared" si="162"/>
        <v>0.99255418457003608</v>
      </c>
      <c r="X1071" s="3300"/>
      <c r="Y1071" s="3316"/>
      <c r="AA1071" s="3301"/>
      <c r="AB1071" s="3409"/>
      <c r="AE1071" s="1056"/>
    </row>
    <row r="1072" spans="2:31" x14ac:dyDescent="0.2">
      <c r="B1072" s="2982" t="s">
        <v>761</v>
      </c>
      <c r="C1072" s="2315">
        <v>44170</v>
      </c>
      <c r="D1072" s="2316"/>
      <c r="E1072" s="2317"/>
      <c r="F1072" s="2748"/>
      <c r="G1072" s="2305"/>
      <c r="H1072" s="2306" t="str">
        <f>IFERROR(VLOOKUP(F1072,Trainingsarten!$A$9:$K$84,10,FALSE),"")</f>
        <v/>
      </c>
      <c r="I1072" s="2307" t="str">
        <f t="shared" si="161"/>
        <v/>
      </c>
      <c r="J1072" s="2308"/>
      <c r="K1072" s="2318" t="str">
        <f>IFERROR(VLOOKUP(F1072,Trainingsarten!$A$9:$K$84,11,FALSE),"0")</f>
        <v>0</v>
      </c>
      <c r="L1072" s="2806"/>
      <c r="M1072" s="2829"/>
      <c r="N1072" s="2309" t="str">
        <f t="shared" si="163"/>
        <v/>
      </c>
      <c r="O1072" s="2310"/>
      <c r="P1072" s="2311" t="str">
        <f>IFERROR(VLOOKUP(F1072,Trainingsarten!$A$9:$N$84,12,FALSE),"")</f>
        <v/>
      </c>
      <c r="Q1072" s="2312" t="s">
        <v>437</v>
      </c>
      <c r="R1072" s="2312" t="str">
        <f>IFERROR(VLOOKUP(F1072,Trainingsarten!$A$9:$N$84,14,FALSE),"")</f>
        <v/>
      </c>
      <c r="S1072" s="2313" t="str">
        <f t="shared" si="160"/>
        <v/>
      </c>
      <c r="T1072" s="2280">
        <f t="shared" si="159"/>
        <v>26.835202745121293</v>
      </c>
      <c r="U1072" s="2337">
        <f t="shared" ref="U1072:U1114" si="164">U1071+(K1072-U1071)/42</f>
        <v>30.791582678922982</v>
      </c>
      <c r="V1072" s="2314">
        <f t="shared" ref="V1072:V1114" si="165">U1071-T1071</f>
        <v>0.23486035462919119</v>
      </c>
      <c r="W1072" s="3284">
        <f t="shared" si="162"/>
        <v>0.87151099132978782</v>
      </c>
      <c r="X1072" s="3300"/>
      <c r="Y1072" s="3316"/>
      <c r="AA1072" s="3301"/>
      <c r="AB1072" s="3409"/>
      <c r="AE1072" s="1056"/>
    </row>
    <row r="1073" spans="2:31" ht="16" thickBot="1" x14ac:dyDescent="0.25">
      <c r="B1073" s="2983">
        <f>AVERAGE(W1067:W1073)</f>
        <v>0.99848144407679462</v>
      </c>
      <c r="C1073" s="2319">
        <v>44171</v>
      </c>
      <c r="D1073" s="2320">
        <v>165</v>
      </c>
      <c r="E1073" s="2321" t="s">
        <v>835</v>
      </c>
      <c r="F1073" s="2750" t="s">
        <v>818</v>
      </c>
      <c r="G1073" s="2322">
        <v>4.6817129629629632E-2</v>
      </c>
      <c r="H1073" s="2323">
        <v>11.63</v>
      </c>
      <c r="I1073" s="2324">
        <f t="shared" si="161"/>
        <v>4.0255485494092545E-3</v>
      </c>
      <c r="J1073" s="2325">
        <v>139</v>
      </c>
      <c r="K1073" s="2326">
        <v>66</v>
      </c>
      <c r="L1073" s="2807">
        <v>201</v>
      </c>
      <c r="M1073" s="2830"/>
      <c r="N1073" s="2327">
        <f t="shared" si="163"/>
        <v>1.0434221840068789</v>
      </c>
      <c r="O1073" s="2328" t="s">
        <v>1460</v>
      </c>
      <c r="P1073" s="2329">
        <f>IFERROR(VLOOKUP(F1073,Trainingsarten!$A$9:$N$84,12,FALSE),"")</f>
        <v>194.60000000000002</v>
      </c>
      <c r="Q1073" s="2330" t="s">
        <v>437</v>
      </c>
      <c r="R1073" s="2330">
        <f>IFERROR(VLOOKUP(F1073,Trainingsarten!$A$9:$N$84,14,FALSE),"")</f>
        <v>212.96</v>
      </c>
      <c r="S1073" s="2341">
        <f t="shared" si="160"/>
        <v>1.4460431654676258</v>
      </c>
      <c r="T1073" s="2342">
        <f t="shared" ref="T1073:T1114" si="166">T1072+(K1073-T1072)/7</f>
        <v>32.430173781532538</v>
      </c>
      <c r="U1073" s="2333">
        <f t="shared" si="164"/>
        <v>31.629878329424816</v>
      </c>
      <c r="V1073" s="2333">
        <f t="shared" si="165"/>
        <v>3.9563799338016885</v>
      </c>
      <c r="W1073" s="3285">
        <f t="shared" si="162"/>
        <v>1.0253018820930215</v>
      </c>
      <c r="X1073" s="3300"/>
      <c r="Y1073" s="3316"/>
      <c r="AA1073" s="3301"/>
      <c r="AB1073" s="3409"/>
      <c r="AE1073" s="1056"/>
    </row>
    <row r="1074" spans="2:31" ht="16" thickBot="1" x14ac:dyDescent="0.25">
      <c r="B1074" s="2985">
        <f>B1067+1</f>
        <v>50</v>
      </c>
      <c r="C1074" s="1245">
        <v>44172</v>
      </c>
      <c r="D1074" s="1246"/>
      <c r="E1074" s="1247"/>
      <c r="F1074" s="2685"/>
      <c r="G1074" s="1647"/>
      <c r="H1074" s="2343" t="str">
        <f>IFERROR(VLOOKUP(F1074,Trainingsarten!$A$9:$K$84,10,FALSE),"")</f>
        <v/>
      </c>
      <c r="I1074" s="1399" t="str">
        <f t="shared" si="161"/>
        <v/>
      </c>
      <c r="J1074" s="1326"/>
      <c r="K1074" s="1325" t="str">
        <f>IFERROR(VLOOKUP(F1074,Trainingsarten!$A$9:$K$84,11,FALSE),"0")</f>
        <v>0</v>
      </c>
      <c r="L1074" s="1326"/>
      <c r="M1074" s="2831"/>
      <c r="N1074" s="1119" t="str">
        <f t="shared" si="163"/>
        <v/>
      </c>
      <c r="O1074" s="1649"/>
      <c r="P1074" s="1277" t="str">
        <f>IFERROR(VLOOKUP(F1074,Trainingsarten!$A$9:$N$84,12,FALSE),"")</f>
        <v/>
      </c>
      <c r="Q1074" s="1122" t="s">
        <v>437</v>
      </c>
      <c r="R1074" s="1122" t="str">
        <f>IFERROR(VLOOKUP(F1074,Trainingsarten!$A$9:$N$84,14,FALSE),"")</f>
        <v/>
      </c>
      <c r="S1074" s="1125" t="str">
        <f t="shared" si="160"/>
        <v/>
      </c>
      <c r="T1074" s="1650">
        <f t="shared" si="166"/>
        <v>27.797291812742174</v>
      </c>
      <c r="U1074" s="1651">
        <f t="shared" si="164"/>
        <v>30.876785988248034</v>
      </c>
      <c r="V1074" s="1278">
        <f t="shared" si="165"/>
        <v>-0.80029545210772213</v>
      </c>
      <c r="W1074" s="3286">
        <f t="shared" si="162"/>
        <v>0.90026506720362853</v>
      </c>
      <c r="X1074" s="3300"/>
      <c r="Y1074" s="3316"/>
      <c r="AA1074" s="3301"/>
      <c r="AB1074" s="3409"/>
      <c r="AE1074" s="1056"/>
    </row>
    <row r="1075" spans="2:31" x14ac:dyDescent="0.2">
      <c r="B1075" s="2978" t="s">
        <v>626</v>
      </c>
      <c r="C1075" s="1211">
        <v>44173</v>
      </c>
      <c r="D1075" s="1823">
        <v>166</v>
      </c>
      <c r="E1075" s="1824" t="s">
        <v>836</v>
      </c>
      <c r="F1075" s="2747" t="s">
        <v>818</v>
      </c>
      <c r="G1075" s="1825">
        <v>3.7534722222222219E-2</v>
      </c>
      <c r="H1075" s="1826">
        <v>10.09</v>
      </c>
      <c r="I1075" s="1902">
        <f t="shared" si="161"/>
        <v>3.7199922915978414E-3</v>
      </c>
      <c r="J1075" s="1830">
        <v>139</v>
      </c>
      <c r="K1075" s="1829">
        <v>62</v>
      </c>
      <c r="L1075" s="2806">
        <v>218</v>
      </c>
      <c r="M1075" s="2829"/>
      <c r="N1075" s="1831">
        <f t="shared" si="163"/>
        <v>1.0457731165776667</v>
      </c>
      <c r="O1075" s="1832" t="s">
        <v>1460</v>
      </c>
      <c r="P1075" s="1755">
        <f>IFERROR(VLOOKUP(F1075,Trainingsarten!$A$9:$N$84,12,FALSE),"")</f>
        <v>194.60000000000002</v>
      </c>
      <c r="Q1075" s="1756" t="s">
        <v>437</v>
      </c>
      <c r="R1075" s="1086">
        <f>IFERROR(VLOOKUP(F1075,Trainingsarten!$A$9:$N$84,14,FALSE),"")</f>
        <v>212.96</v>
      </c>
      <c r="S1075" s="1087">
        <f t="shared" si="160"/>
        <v>1.5683453237410072</v>
      </c>
      <c r="T1075" s="1757">
        <f t="shared" si="166"/>
        <v>32.683392982350433</v>
      </c>
      <c r="U1075" s="1758">
        <f t="shared" si="164"/>
        <v>31.617814893289747</v>
      </c>
      <c r="V1075" s="1088">
        <f t="shared" si="165"/>
        <v>3.0794941755058609</v>
      </c>
      <c r="W1075" s="3284">
        <f t="shared" si="162"/>
        <v>1.0337018257794544</v>
      </c>
      <c r="X1075" s="3300"/>
      <c r="Y1075" s="3316"/>
      <c r="AA1075" s="3301"/>
      <c r="AB1075" s="3409"/>
      <c r="AE1075" s="1056"/>
    </row>
    <row r="1076" spans="2:31" ht="16" thickBot="1" x14ac:dyDescent="0.25">
      <c r="B1076" s="2979">
        <f>SUM(H1074:H1080)</f>
        <v>32.18</v>
      </c>
      <c r="C1076" s="1211">
        <v>44174</v>
      </c>
      <c r="D1076" s="1823"/>
      <c r="E1076" s="1824"/>
      <c r="F1076" s="2747"/>
      <c r="G1076" s="1825"/>
      <c r="H1076" s="1826" t="str">
        <f>IFERROR(VLOOKUP(F1076,Trainingsarten!$A$9:$K$84,10,FALSE),"")</f>
        <v/>
      </c>
      <c r="I1076" s="1902" t="str">
        <f t="shared" si="161"/>
        <v/>
      </c>
      <c r="J1076" s="1830"/>
      <c r="K1076" s="1829" t="str">
        <f>IFERROR(VLOOKUP(F1076,Trainingsarten!$A$9:$K$84,11,FALSE),"0")</f>
        <v>0</v>
      </c>
      <c r="L1076" s="2806"/>
      <c r="M1076" s="2829"/>
      <c r="N1076" s="1831" t="str">
        <f t="shared" si="163"/>
        <v/>
      </c>
      <c r="O1076" s="1832"/>
      <c r="P1076" s="1755" t="str">
        <f>IFERROR(VLOOKUP(F1076,Trainingsarten!$A$9:$N$84,12,FALSE),"")</f>
        <v/>
      </c>
      <c r="Q1076" s="1756" t="s">
        <v>437</v>
      </c>
      <c r="R1076" s="1086" t="str">
        <f>IFERROR(VLOOKUP(F1076,Trainingsarten!$A$9:$N$84,14,FALSE),"")</f>
        <v/>
      </c>
      <c r="S1076" s="1087" t="str">
        <f t="shared" si="160"/>
        <v/>
      </c>
      <c r="T1076" s="1757">
        <f t="shared" si="166"/>
        <v>28.014336842014657</v>
      </c>
      <c r="U1076" s="1758">
        <f t="shared" si="164"/>
        <v>30.865009776782848</v>
      </c>
      <c r="V1076" s="1088">
        <f t="shared" si="165"/>
        <v>-1.0655780890606863</v>
      </c>
      <c r="W1076" s="3284">
        <f t="shared" si="162"/>
        <v>0.90764062751366714</v>
      </c>
      <c r="X1076" s="3300"/>
      <c r="Y1076" s="3316"/>
      <c r="AA1076" s="3301"/>
      <c r="AB1076" s="3409"/>
      <c r="AE1076" s="1056"/>
    </row>
    <row r="1077" spans="2:31" x14ac:dyDescent="0.2">
      <c r="B1077" s="2980" t="s">
        <v>628</v>
      </c>
      <c r="C1077" s="1211">
        <v>44175</v>
      </c>
      <c r="D1077" s="1823">
        <v>167</v>
      </c>
      <c r="E1077" s="1824" t="s">
        <v>836</v>
      </c>
      <c r="F1077" s="2747" t="s">
        <v>827</v>
      </c>
      <c r="G1077" s="1825">
        <v>3.4756944444444444E-2</v>
      </c>
      <c r="H1077" s="1826">
        <v>9.69</v>
      </c>
      <c r="I1077" s="1902">
        <f t="shared" si="161"/>
        <v>3.5868879715628943E-3</v>
      </c>
      <c r="J1077" s="1830">
        <v>143</v>
      </c>
      <c r="K1077" s="1829">
        <v>62</v>
      </c>
      <c r="L1077" s="2806">
        <v>225</v>
      </c>
      <c r="M1077" s="2829"/>
      <c r="N1077" s="1831">
        <f t="shared" si="163"/>
        <v>1.0407328681669055</v>
      </c>
      <c r="O1077" s="1832" t="s">
        <v>783</v>
      </c>
      <c r="P1077" s="1755">
        <f>IFERROR(VLOOKUP(F1077,Trainingsarten!$A$9:$N$84,12,FALSE),"")</f>
        <v>194.60000000000002</v>
      </c>
      <c r="Q1077" s="1756" t="s">
        <v>437</v>
      </c>
      <c r="R1077" s="1086">
        <f>IFERROR(VLOOKUP(F1077,Trainingsarten!$A$9:$N$84,14,FALSE),"")</f>
        <v>212.96</v>
      </c>
      <c r="S1077" s="1087">
        <f t="shared" si="160"/>
        <v>1.5734265734265733</v>
      </c>
      <c r="T1077" s="1757">
        <f t="shared" si="166"/>
        <v>32.869431578869708</v>
      </c>
      <c r="U1077" s="1758">
        <f t="shared" si="164"/>
        <v>31.606319067811828</v>
      </c>
      <c r="V1077" s="1088">
        <f t="shared" si="165"/>
        <v>2.8506729347681912</v>
      </c>
      <c r="W1077" s="3284">
        <f t="shared" si="162"/>
        <v>1.0399639233011555</v>
      </c>
      <c r="X1077" s="3300"/>
      <c r="Y1077" s="3316"/>
      <c r="AA1077" s="3301"/>
      <c r="AB1077" s="3409"/>
      <c r="AE1077" s="1056"/>
    </row>
    <row r="1078" spans="2:31" ht="16" thickBot="1" x14ac:dyDescent="0.25">
      <c r="B1078" s="2981">
        <f>SUM(K1074:K1080)</f>
        <v>197</v>
      </c>
      <c r="C1078" s="1211">
        <v>44176</v>
      </c>
      <c r="D1078" s="1823"/>
      <c r="E1078" s="1824"/>
      <c r="F1078" s="2748"/>
      <c r="G1078" s="1825"/>
      <c r="H1078" s="1826" t="str">
        <f>IFERROR(VLOOKUP(F1078,Trainingsarten!$A$9:$K$84,10,FALSE),"")</f>
        <v/>
      </c>
      <c r="I1078" s="1902" t="str">
        <f t="shared" si="161"/>
        <v/>
      </c>
      <c r="J1078" s="1830"/>
      <c r="K1078" s="1829" t="str">
        <f>IFERROR(VLOOKUP(F1078,Trainingsarten!$A$9:$K$84,11,FALSE),"0")</f>
        <v>0</v>
      </c>
      <c r="L1078" s="2806"/>
      <c r="M1078" s="2829"/>
      <c r="N1078" s="1831" t="str">
        <f t="shared" si="163"/>
        <v/>
      </c>
      <c r="O1078" s="1832"/>
      <c r="P1078" s="1755" t="str">
        <f>IFERROR(VLOOKUP(F1078,Trainingsarten!$A$9:$N$84,12,FALSE),"")</f>
        <v/>
      </c>
      <c r="Q1078" s="1756" t="s">
        <v>437</v>
      </c>
      <c r="R1078" s="1086" t="str">
        <f>IFERROR(VLOOKUP(F1078,Trainingsarten!$A$9:$N$84,14,FALSE),"")</f>
        <v/>
      </c>
      <c r="S1078" s="1087" t="str">
        <f t="shared" si="160"/>
        <v/>
      </c>
      <c r="T1078" s="1757">
        <f t="shared" si="166"/>
        <v>28.173798496174037</v>
      </c>
      <c r="U1078" s="1758">
        <f t="shared" si="164"/>
        <v>30.853787661435355</v>
      </c>
      <c r="V1078" s="1088">
        <f t="shared" si="165"/>
        <v>-1.26311251105788</v>
      </c>
      <c r="W1078" s="3284">
        <f t="shared" si="162"/>
        <v>0.91313905460589273</v>
      </c>
      <c r="X1078" s="3300"/>
      <c r="Y1078" s="3316"/>
      <c r="AA1078" s="3301"/>
      <c r="AB1078" s="3409"/>
      <c r="AE1078" s="1056"/>
    </row>
    <row r="1079" spans="2:31" x14ac:dyDescent="0.2">
      <c r="B1079" s="2982" t="s">
        <v>761</v>
      </c>
      <c r="C1079" s="1211">
        <v>44177</v>
      </c>
      <c r="D1079" s="1823"/>
      <c r="E1079" s="1824"/>
      <c r="F1079" s="2748"/>
      <c r="G1079" s="1825"/>
      <c r="H1079" s="1826" t="str">
        <f>IFERROR(VLOOKUP(F1079,Trainingsarten!$A$9:$K$84,10,FALSE),"")</f>
        <v/>
      </c>
      <c r="I1079" s="1902" t="str">
        <f t="shared" si="161"/>
        <v/>
      </c>
      <c r="J1079" s="1830"/>
      <c r="K1079" s="1829" t="str">
        <f>IFERROR(VLOOKUP(F1079,Trainingsarten!$A$9:$K$84,11,FALSE),"0")</f>
        <v>0</v>
      </c>
      <c r="L1079" s="2806"/>
      <c r="M1079" s="2829"/>
      <c r="N1079" s="1831" t="str">
        <f t="shared" si="163"/>
        <v/>
      </c>
      <c r="O1079" s="1832"/>
      <c r="P1079" s="1755" t="str">
        <f>IFERROR(VLOOKUP(F1079,Trainingsarten!$A$9:$N$84,12,FALSE),"")</f>
        <v/>
      </c>
      <c r="Q1079" s="1756" t="s">
        <v>437</v>
      </c>
      <c r="R1079" s="1086" t="str">
        <f>IFERROR(VLOOKUP(F1079,Trainingsarten!$A$9:$N$84,14,FALSE),"")</f>
        <v/>
      </c>
      <c r="S1079" s="1087" t="str">
        <f t="shared" si="160"/>
        <v/>
      </c>
      <c r="T1079" s="1757">
        <f t="shared" si="166"/>
        <v>24.148970139577745</v>
      </c>
      <c r="U1079" s="1758">
        <f t="shared" si="164"/>
        <v>30.119173669496419</v>
      </c>
      <c r="V1079" s="1088">
        <f t="shared" si="165"/>
        <v>2.6799891652613184</v>
      </c>
      <c r="W1079" s="3284">
        <f t="shared" si="162"/>
        <v>0.80178063331249105</v>
      </c>
      <c r="X1079" s="3300"/>
      <c r="Y1079" s="3316"/>
      <c r="AA1079" s="3301"/>
      <c r="AB1079" s="3409"/>
      <c r="AE1079" s="1056"/>
    </row>
    <row r="1080" spans="2:31" ht="16" thickBot="1" x14ac:dyDescent="0.25">
      <c r="B1080" s="2983">
        <f>AVERAGE(W1074:W1080)</f>
        <v>0.94229872862657971</v>
      </c>
      <c r="C1080" s="2335">
        <v>44178</v>
      </c>
      <c r="D1080" s="2280">
        <v>168</v>
      </c>
      <c r="E1080" s="2281" t="s">
        <v>835</v>
      </c>
      <c r="F1080" s="2745" t="s">
        <v>818</v>
      </c>
      <c r="G1080" s="2282">
        <v>4.8009259259259258E-2</v>
      </c>
      <c r="H1080" s="2283">
        <v>12.4</v>
      </c>
      <c r="I1080" s="2284">
        <f t="shared" si="161"/>
        <v>3.8717144563918757E-3</v>
      </c>
      <c r="J1080" s="2285">
        <v>140</v>
      </c>
      <c r="K1080" s="2286">
        <v>73</v>
      </c>
      <c r="L1080" s="2808">
        <v>208</v>
      </c>
      <c r="M1080" s="2832"/>
      <c r="N1080" s="2287">
        <f t="shared" si="163"/>
        <v>1.0384978334135773</v>
      </c>
      <c r="O1080" s="2288" t="s">
        <v>783</v>
      </c>
      <c r="P1080" s="2336">
        <f>IFERROR(VLOOKUP(F1080,Trainingsarten!$A$9:$N$84,12,FALSE),"")</f>
        <v>194.60000000000002</v>
      </c>
      <c r="Q1080" s="1150" t="s">
        <v>437</v>
      </c>
      <c r="R1080" s="1150">
        <f>IFERROR(VLOOKUP(F1080,Trainingsarten!$A$9:$N$84,14,FALSE),"")</f>
        <v>212.96</v>
      </c>
      <c r="S1080" s="2290">
        <f t="shared" si="160"/>
        <v>1.4857142857142858</v>
      </c>
      <c r="T1080" s="2280">
        <f t="shared" si="166"/>
        <v>31.127688691066638</v>
      </c>
      <c r="U1080" s="2337">
        <f t="shared" si="164"/>
        <v>31.140145724984599</v>
      </c>
      <c r="V1080" s="2337">
        <f t="shared" si="165"/>
        <v>5.970203529918674</v>
      </c>
      <c r="W1080" s="3287">
        <f t="shared" si="162"/>
        <v>0.99959996866976875</v>
      </c>
      <c r="X1080" s="3300"/>
      <c r="Y1080" s="3316"/>
      <c r="AA1080" s="3301"/>
      <c r="AB1080" s="3409"/>
      <c r="AE1080" s="1056"/>
    </row>
    <row r="1081" spans="2:31" ht="16" thickBot="1" x14ac:dyDescent="0.25">
      <c r="B1081" s="2985">
        <f>B1074+1</f>
        <v>51</v>
      </c>
      <c r="C1081" s="2291">
        <v>44179</v>
      </c>
      <c r="D1081" s="2344"/>
      <c r="E1081" s="2345"/>
      <c r="F1081" s="2746"/>
      <c r="G1081" s="2032"/>
      <c r="H1081" s="1697" t="str">
        <f>IFERROR(VLOOKUP(F1081,Trainingsarten!$A$9:$K$84,10,FALSE),"")</f>
        <v/>
      </c>
      <c r="I1081" s="2294" t="str">
        <f t="shared" si="161"/>
        <v/>
      </c>
      <c r="J1081" s="2035"/>
      <c r="K1081" s="2334" t="str">
        <f>IFERROR(VLOOKUP(F1081,Trainingsarten!$A$9:$K$84,11,FALSE),"0")</f>
        <v>0</v>
      </c>
      <c r="L1081" s="1915"/>
      <c r="M1081" s="2833"/>
      <c r="N1081" s="2296" t="str">
        <f t="shared" si="163"/>
        <v/>
      </c>
      <c r="O1081" s="1918"/>
      <c r="P1081" s="2298" t="str">
        <f>IFERROR(VLOOKUP(F1081,Trainingsarten!$A$9:$N$84,12,FALSE),"")</f>
        <v/>
      </c>
      <c r="Q1081" s="1069" t="s">
        <v>437</v>
      </c>
      <c r="R1081" s="1069" t="str">
        <f>IFERROR(VLOOKUP(F1081,Trainingsarten!$A$9:$N$84,14,FALSE),"")</f>
        <v/>
      </c>
      <c r="S1081" s="2338" t="str">
        <f t="shared" si="160"/>
        <v/>
      </c>
      <c r="T1081" s="2339">
        <f t="shared" si="166"/>
        <v>26.680876020914262</v>
      </c>
      <c r="U1081" s="2340">
        <f t="shared" si="164"/>
        <v>30.398713683913538</v>
      </c>
      <c r="V1081" s="2068">
        <f t="shared" si="165"/>
        <v>1.2457033917961269E-2</v>
      </c>
      <c r="W1081" s="3283">
        <f t="shared" si="162"/>
        <v>0.87769753346613844</v>
      </c>
      <c r="X1081" s="3300"/>
      <c r="Y1081" s="3316"/>
      <c r="AA1081" s="3301"/>
      <c r="AB1081" s="3409"/>
      <c r="AE1081" s="1056"/>
    </row>
    <row r="1082" spans="2:31" x14ac:dyDescent="0.2">
      <c r="B1082" s="2978" t="s">
        <v>626</v>
      </c>
      <c r="C1082" s="2302">
        <v>44180</v>
      </c>
      <c r="D1082" s="2303">
        <v>169</v>
      </c>
      <c r="E1082" s="2304" t="s">
        <v>836</v>
      </c>
      <c r="F1082" s="2747" t="s">
        <v>902</v>
      </c>
      <c r="G1082" s="2305">
        <v>3.9502314814814816E-2</v>
      </c>
      <c r="H1082" s="2306">
        <v>10.5</v>
      </c>
      <c r="I1082" s="2307">
        <f t="shared" si="161"/>
        <v>3.762125220458554E-3</v>
      </c>
      <c r="J1082" s="2308">
        <v>145</v>
      </c>
      <c r="K1082" s="2318">
        <v>70</v>
      </c>
      <c r="L1082" s="2806">
        <v>216</v>
      </c>
      <c r="M1082" s="2829"/>
      <c r="N1082" s="2309">
        <f t="shared" si="163"/>
        <v>1.0479147121535182</v>
      </c>
      <c r="O1082" s="2310" t="s">
        <v>783</v>
      </c>
      <c r="P1082" s="2311" t="str">
        <f>IFERROR(VLOOKUP(F1082,Trainingsarten!$A$9:$N$84,12,FALSE),"")</f>
        <v/>
      </c>
      <c r="Q1082" s="2312" t="s">
        <v>437</v>
      </c>
      <c r="R1082" s="2312" t="str">
        <f>IFERROR(VLOOKUP(F1082,Trainingsarten!$A$9:$N$84,14,FALSE),"")</f>
        <v/>
      </c>
      <c r="S1082" s="2313">
        <f t="shared" si="160"/>
        <v>1.4896551724137932</v>
      </c>
      <c r="T1082" s="2280">
        <f t="shared" si="166"/>
        <v>32.869322303640793</v>
      </c>
      <c r="U1082" s="2337">
        <f t="shared" si="164"/>
        <v>31.341601453344168</v>
      </c>
      <c r="V1082" s="2314">
        <f t="shared" si="165"/>
        <v>3.7178376629992762</v>
      </c>
      <c r="W1082" s="3284">
        <f t="shared" si="162"/>
        <v>1.0487441859845874</v>
      </c>
      <c r="X1082" s="3300"/>
      <c r="Y1082" s="3316"/>
      <c r="AA1082" s="3301"/>
      <c r="AB1082" s="3409"/>
      <c r="AE1082" s="1056"/>
    </row>
    <row r="1083" spans="2:31" ht="16" thickBot="1" x14ac:dyDescent="0.25">
      <c r="B1083" s="2979">
        <f>SUM(H1081:H1087)</f>
        <v>30</v>
      </c>
      <c r="C1083" s="2315">
        <v>44181</v>
      </c>
      <c r="D1083" s="2316"/>
      <c r="E1083" s="2317"/>
      <c r="F1083" s="2747"/>
      <c r="G1083" s="2305"/>
      <c r="H1083" s="2306"/>
      <c r="I1083" s="2307" t="str">
        <f t="shared" si="161"/>
        <v/>
      </c>
      <c r="J1083" s="2308"/>
      <c r="K1083" s="2318" t="str">
        <f>IFERROR(VLOOKUP(F1083,Trainingsarten!$A$9:$K$84,11,FALSE),"0")</f>
        <v>0</v>
      </c>
      <c r="L1083" s="2806"/>
      <c r="M1083" s="2829"/>
      <c r="N1083" s="2309" t="str">
        <f t="shared" si="163"/>
        <v/>
      </c>
      <c r="O1083" s="2310"/>
      <c r="P1083" s="2311" t="str">
        <f>IFERROR(VLOOKUP(F1083,Trainingsarten!$A$9:$N$84,12,FALSE),"")</f>
        <v/>
      </c>
      <c r="Q1083" s="2312" t="s">
        <v>437</v>
      </c>
      <c r="R1083" s="2312" t="str">
        <f>IFERROR(VLOOKUP(F1083,Trainingsarten!$A$9:$N$84,14,FALSE),"")</f>
        <v/>
      </c>
      <c r="S1083" s="2313" t="str">
        <f t="shared" si="160"/>
        <v/>
      </c>
      <c r="T1083" s="2280">
        <f t="shared" si="166"/>
        <v>28.173704831692106</v>
      </c>
      <c r="U1083" s="2337">
        <f t="shared" si="164"/>
        <v>30.595372847312163</v>
      </c>
      <c r="V1083" s="2314">
        <f t="shared" si="165"/>
        <v>-1.5277208502966246</v>
      </c>
      <c r="W1083" s="3284">
        <f t="shared" si="162"/>
        <v>0.92084855354744266</v>
      </c>
      <c r="X1083" s="3300"/>
      <c r="Y1083" s="3316"/>
      <c r="AA1083" s="3301"/>
      <c r="AB1083" s="3409"/>
      <c r="AE1083" s="1056"/>
    </row>
    <row r="1084" spans="2:31" x14ac:dyDescent="0.2">
      <c r="B1084" s="2980" t="s">
        <v>628</v>
      </c>
      <c r="C1084" s="2315">
        <v>44182</v>
      </c>
      <c r="D1084" s="2316">
        <v>170</v>
      </c>
      <c r="E1084" s="2317" t="s">
        <v>836</v>
      </c>
      <c r="F1084" s="2747" t="s">
        <v>827</v>
      </c>
      <c r="G1084" s="2305">
        <v>3.4490740740740738E-2</v>
      </c>
      <c r="H1084" s="2306">
        <v>9.09</v>
      </c>
      <c r="I1084" s="2307">
        <f t="shared" si="161"/>
        <v>3.7943609175732384E-3</v>
      </c>
      <c r="J1084" s="2308">
        <v>140</v>
      </c>
      <c r="K1084" s="2318">
        <v>55</v>
      </c>
      <c r="L1084" s="2806">
        <v>214</v>
      </c>
      <c r="M1084" s="2829"/>
      <c r="N1084" s="2309">
        <f t="shared" si="163"/>
        <v>1.0471076958442112</v>
      </c>
      <c r="O1084" s="2310" t="s">
        <v>1460</v>
      </c>
      <c r="P1084" s="2311">
        <f>IFERROR(VLOOKUP(F1084,Trainingsarten!$A$9:$N$84,12,FALSE),"")</f>
        <v>194.60000000000002</v>
      </c>
      <c r="Q1084" s="2312" t="s">
        <v>437</v>
      </c>
      <c r="R1084" s="2312">
        <f>IFERROR(VLOOKUP(F1084,Trainingsarten!$A$9:$N$84,14,FALSE),"")</f>
        <v>212.96</v>
      </c>
      <c r="S1084" s="2313">
        <f t="shared" si="160"/>
        <v>1.5285714285714285</v>
      </c>
      <c r="T1084" s="2280">
        <f t="shared" si="166"/>
        <v>32.006032712878948</v>
      </c>
      <c r="U1084" s="2337">
        <f t="shared" si="164"/>
        <v>31.176435398566635</v>
      </c>
      <c r="V1084" s="2314">
        <f t="shared" si="165"/>
        <v>2.4216680156200567</v>
      </c>
      <c r="W1084" s="3284">
        <f t="shared" si="162"/>
        <v>1.026609755211157</v>
      </c>
      <c r="X1084" s="3300"/>
      <c r="Y1084" s="3316"/>
      <c r="AA1084" s="3301"/>
      <c r="AB1084" s="3409"/>
      <c r="AE1084" s="1056"/>
    </row>
    <row r="1085" spans="2:31" ht="16" thickBot="1" x14ac:dyDescent="0.25">
      <c r="B1085" s="2981">
        <f>SUM(K1081:K1087)</f>
        <v>190</v>
      </c>
      <c r="C1085" s="2315">
        <v>44183</v>
      </c>
      <c r="D1085" s="2316"/>
      <c r="E1085" s="2317"/>
      <c r="F1085" s="2748"/>
      <c r="G1085" s="2305"/>
      <c r="H1085" s="2306" t="str">
        <f>IFERROR(VLOOKUP(F1085,Trainingsarten!$A$9:$K$84,10,FALSE),"")</f>
        <v/>
      </c>
      <c r="I1085" s="2307" t="str">
        <f t="shared" si="161"/>
        <v/>
      </c>
      <c r="J1085" s="2308"/>
      <c r="K1085" s="2318" t="str">
        <f>IFERROR(VLOOKUP(F1085,Trainingsarten!$A$9:$K$84,11,FALSE),"0")</f>
        <v>0</v>
      </c>
      <c r="L1085" s="2806"/>
      <c r="M1085" s="2829"/>
      <c r="N1085" s="2309" t="str">
        <f t="shared" si="163"/>
        <v/>
      </c>
      <c r="O1085" s="2310"/>
      <c r="P1085" s="2311" t="str">
        <f>IFERROR(VLOOKUP(F1085,Trainingsarten!$A$9:$N$84,12,FALSE),"")</f>
        <v/>
      </c>
      <c r="Q1085" s="2312" t="s">
        <v>437</v>
      </c>
      <c r="R1085" s="2312" t="str">
        <f>IFERROR(VLOOKUP(F1085,Trainingsarten!$A$9:$N$84,14,FALSE),"")</f>
        <v/>
      </c>
      <c r="S1085" s="2313" t="str">
        <f t="shared" si="160"/>
        <v/>
      </c>
      <c r="T1085" s="2280">
        <f t="shared" si="166"/>
        <v>27.433742325324815</v>
      </c>
      <c r="U1085" s="2337">
        <f t="shared" si="164"/>
        <v>30.434139317648381</v>
      </c>
      <c r="V1085" s="2314">
        <f t="shared" si="165"/>
        <v>-0.82959731431231276</v>
      </c>
      <c r="W1085" s="3284">
        <f t="shared" si="162"/>
        <v>0.9014134436000405</v>
      </c>
      <c r="X1085" s="3300"/>
      <c r="Y1085" s="3316"/>
      <c r="AA1085" s="3301"/>
      <c r="AB1085" s="3409"/>
      <c r="AE1085" s="1056"/>
    </row>
    <row r="1086" spans="2:31" x14ac:dyDescent="0.2">
      <c r="B1086" s="2982" t="s">
        <v>761</v>
      </c>
      <c r="C1086" s="2315">
        <v>44184</v>
      </c>
      <c r="D1086" s="2316">
        <v>171</v>
      </c>
      <c r="E1086" s="2317" t="s">
        <v>836</v>
      </c>
      <c r="F1086" s="2748" t="s">
        <v>818</v>
      </c>
      <c r="G1086" s="2305">
        <v>3.7962962962962962E-2</v>
      </c>
      <c r="H1086" s="2306">
        <v>10.41</v>
      </c>
      <c r="I1086" s="2307">
        <f t="shared" si="161"/>
        <v>3.6467783826093143E-3</v>
      </c>
      <c r="J1086" s="2308">
        <v>141</v>
      </c>
      <c r="K1086" s="2318">
        <v>65</v>
      </c>
      <c r="L1086" s="2806">
        <v>221</v>
      </c>
      <c r="M1086" s="2829"/>
      <c r="N1086" s="2309">
        <f t="shared" si="163"/>
        <v>1.0392991813267953</v>
      </c>
      <c r="O1086" s="2310" t="s">
        <v>1460</v>
      </c>
      <c r="P1086" s="2311">
        <f>IFERROR(VLOOKUP(F1086,Trainingsarten!$A$9:$N$84,12,FALSE),"")</f>
        <v>194.60000000000002</v>
      </c>
      <c r="Q1086" s="2312" t="s">
        <v>437</v>
      </c>
      <c r="R1086" s="2312">
        <f>IFERROR(VLOOKUP(F1086,Trainingsarten!$A$9:$N$84,14,FALSE),"")</f>
        <v>212.96</v>
      </c>
      <c r="S1086" s="2313">
        <f t="shared" si="160"/>
        <v>1.5673758865248226</v>
      </c>
      <c r="T1086" s="2280">
        <f t="shared" si="166"/>
        <v>32.800350564564127</v>
      </c>
      <c r="U1086" s="2337">
        <f t="shared" si="164"/>
        <v>31.257136000561513</v>
      </c>
      <c r="V1086" s="2314">
        <f t="shared" si="165"/>
        <v>3.0003969923235658</v>
      </c>
      <c r="W1086" s="3284">
        <f t="shared" si="162"/>
        <v>1.0493715919454325</v>
      </c>
      <c r="X1086" s="3300"/>
      <c r="Y1086" s="3316"/>
      <c r="AA1086" s="3301"/>
      <c r="AB1086" s="3409"/>
      <c r="AE1086" s="1056"/>
    </row>
    <row r="1087" spans="2:31" ht="16" thickBot="1" x14ac:dyDescent="0.25">
      <c r="B1087" s="2983">
        <f>AVERAGE(W1081:W1087)</f>
        <v>0.96372635862014733</v>
      </c>
      <c r="C1087" s="2319">
        <v>44185</v>
      </c>
      <c r="D1087" s="2320"/>
      <c r="E1087" s="2321"/>
      <c r="F1087" s="2750"/>
      <c r="G1087" s="2322"/>
      <c r="H1087" s="2323" t="str">
        <f>IFERROR(VLOOKUP(F1087,Trainingsarten!$A$9:$K$84,10,FALSE),"")</f>
        <v/>
      </c>
      <c r="I1087" s="2324" t="str">
        <f t="shared" si="161"/>
        <v/>
      </c>
      <c r="J1087" s="2325"/>
      <c r="K1087" s="2326" t="str">
        <f>IFERROR(VLOOKUP(F1087,Trainingsarten!$A$9:$K$84,11,FALSE),"0")</f>
        <v>0</v>
      </c>
      <c r="L1087" s="2807"/>
      <c r="M1087" s="2830"/>
      <c r="N1087" s="2327" t="str">
        <f t="shared" si="163"/>
        <v/>
      </c>
      <c r="O1087" s="2328"/>
      <c r="P1087" s="2329" t="str">
        <f>IFERROR(VLOOKUP(F1087,Trainingsarten!$A$9:$N$84,12,FALSE),"")</f>
        <v/>
      </c>
      <c r="Q1087" s="2330" t="s">
        <v>437</v>
      </c>
      <c r="R1087" s="2330" t="str">
        <f>IFERROR(VLOOKUP(F1087,Trainingsarten!$A$9:$N$84,14,FALSE),"")</f>
        <v/>
      </c>
      <c r="S1087" s="2341" t="str">
        <f t="shared" si="160"/>
        <v/>
      </c>
      <c r="T1087" s="2342">
        <f t="shared" si="166"/>
        <v>28.114586198197824</v>
      </c>
      <c r="U1087" s="2333">
        <f t="shared" si="164"/>
        <v>30.512918476738619</v>
      </c>
      <c r="V1087" s="2333">
        <f t="shared" si="165"/>
        <v>-1.5432145640026143</v>
      </c>
      <c r="W1087" s="3285">
        <f t="shared" si="162"/>
        <v>0.92139944658623352</v>
      </c>
      <c r="X1087" s="3300"/>
      <c r="Y1087" s="3316"/>
      <c r="AA1087" s="3301"/>
      <c r="AB1087" s="3409"/>
      <c r="AE1087" s="1056"/>
    </row>
    <row r="1088" spans="2:31" ht="16" thickBot="1" x14ac:dyDescent="0.25">
      <c r="B1088" s="2985">
        <f>B1081+1</f>
        <v>52</v>
      </c>
      <c r="C1088" s="1245">
        <v>44186</v>
      </c>
      <c r="D1088" s="1246">
        <v>172</v>
      </c>
      <c r="E1088" s="1247" t="s">
        <v>836</v>
      </c>
      <c r="F1088" s="2685" t="s">
        <v>818</v>
      </c>
      <c r="G1088" s="1647">
        <v>3.6608796296296299E-2</v>
      </c>
      <c r="H1088" s="2343">
        <v>9.93</v>
      </c>
      <c r="I1088" s="1399">
        <f t="shared" si="161"/>
        <v>3.6866864346723365E-3</v>
      </c>
      <c r="J1088" s="1326">
        <v>141</v>
      </c>
      <c r="K1088" s="1325">
        <v>61</v>
      </c>
      <c r="L1088" s="1326">
        <v>219</v>
      </c>
      <c r="M1088" s="2831"/>
      <c r="N1088" s="1119">
        <f t="shared" si="163"/>
        <v>1.0411642692880014</v>
      </c>
      <c r="O1088" s="1649" t="s">
        <v>1460</v>
      </c>
      <c r="P1088" s="1277">
        <f>IFERROR(VLOOKUP(F1088,Trainingsarten!$A$9:$N$84,12,FALSE),"")</f>
        <v>194.60000000000002</v>
      </c>
      <c r="Q1088" s="1122" t="s">
        <v>437</v>
      </c>
      <c r="R1088" s="1122">
        <f>IFERROR(VLOOKUP(F1088,Trainingsarten!$A$9:$N$84,14,FALSE),"")</f>
        <v>212.96</v>
      </c>
      <c r="S1088" s="1125">
        <f t="shared" si="160"/>
        <v>1.553191489361702</v>
      </c>
      <c r="T1088" s="1650">
        <f t="shared" si="166"/>
        <v>32.812502455598135</v>
      </c>
      <c r="U1088" s="1651">
        <f t="shared" si="164"/>
        <v>31.238801370149606</v>
      </c>
      <c r="V1088" s="1278">
        <f t="shared" si="165"/>
        <v>2.3983322785407957</v>
      </c>
      <c r="W1088" s="3286">
        <f t="shared" si="162"/>
        <v>1.0503764874587118</v>
      </c>
      <c r="X1088" s="3300"/>
      <c r="Y1088" s="3316"/>
      <c r="AA1088" s="3301"/>
      <c r="AB1088" s="3409"/>
      <c r="AE1088" s="1056"/>
    </row>
    <row r="1089" spans="2:31" x14ac:dyDescent="0.2">
      <c r="B1089" s="2978" t="s">
        <v>626</v>
      </c>
      <c r="C1089" s="1211">
        <v>44187</v>
      </c>
      <c r="D1089" s="1823"/>
      <c r="E1089" s="1824"/>
      <c r="F1089" s="2747"/>
      <c r="G1089" s="1825"/>
      <c r="H1089" s="1826" t="str">
        <f>IFERROR(VLOOKUP(F1089,Trainingsarten!$A$9:$K$84,10,FALSE),"")</f>
        <v/>
      </c>
      <c r="I1089" s="1902" t="str">
        <f t="shared" si="161"/>
        <v/>
      </c>
      <c r="J1089" s="1830"/>
      <c r="K1089" s="1829" t="str">
        <f>IFERROR(VLOOKUP(F1089,Trainingsarten!$A$9:$K$84,11,FALSE),"0")</f>
        <v>0</v>
      </c>
      <c r="L1089" s="2806"/>
      <c r="M1089" s="2829"/>
      <c r="N1089" s="1831" t="str">
        <f t="shared" si="163"/>
        <v/>
      </c>
      <c r="O1089" s="1832"/>
      <c r="P1089" s="1755" t="str">
        <f>IFERROR(VLOOKUP(F1089,Trainingsarten!$A$9:$N$84,12,FALSE),"")</f>
        <v/>
      </c>
      <c r="Q1089" s="1756" t="s">
        <v>437</v>
      </c>
      <c r="R1089" s="1086" t="str">
        <f>IFERROR(VLOOKUP(F1089,Trainingsarten!$A$9:$N$84,14,FALSE),"")</f>
        <v/>
      </c>
      <c r="S1089" s="1087" t="str">
        <f t="shared" si="160"/>
        <v/>
      </c>
      <c r="T1089" s="1757">
        <f t="shared" si="166"/>
        <v>28.125002104798401</v>
      </c>
      <c r="U1089" s="1758">
        <f t="shared" si="164"/>
        <v>30.495020385146045</v>
      </c>
      <c r="V1089" s="1088">
        <f t="shared" si="165"/>
        <v>-1.5737010854485298</v>
      </c>
      <c r="W1089" s="3284">
        <f t="shared" si="162"/>
        <v>0.92228179386618592</v>
      </c>
      <c r="X1089" s="3300"/>
      <c r="Y1089" s="3316"/>
      <c r="AA1089" s="3301"/>
      <c r="AB1089" s="3409"/>
      <c r="AE1089" s="1056"/>
    </row>
    <row r="1090" spans="2:31" ht="16" thickBot="1" x14ac:dyDescent="0.25">
      <c r="B1090" s="2979">
        <f>SUM(H1088:H1094)</f>
        <v>42.85</v>
      </c>
      <c r="C1090" s="1211">
        <v>44188</v>
      </c>
      <c r="D1090" s="1823">
        <v>173</v>
      </c>
      <c r="E1090" s="1824" t="s">
        <v>835</v>
      </c>
      <c r="F1090" s="2747" t="s">
        <v>818</v>
      </c>
      <c r="G1090" s="1825">
        <v>4.614583333333333E-2</v>
      </c>
      <c r="H1090" s="1826">
        <v>11.72</v>
      </c>
      <c r="I1090" s="1902">
        <f t="shared" si="161"/>
        <v>3.9373577929465295E-3</v>
      </c>
      <c r="J1090" s="1830">
        <v>144</v>
      </c>
      <c r="K1090" s="1829">
        <v>68</v>
      </c>
      <c r="L1090" s="2806">
        <v>206</v>
      </c>
      <c r="M1090" s="2829"/>
      <c r="N1090" s="1831">
        <f t="shared" si="163"/>
        <v>1.045950282716112</v>
      </c>
      <c r="O1090" s="1832" t="s">
        <v>1460</v>
      </c>
      <c r="P1090" s="1755">
        <f>IFERROR(VLOOKUP(F1090,Trainingsarten!$A$9:$N$84,12,FALSE),"")</f>
        <v>194.60000000000002</v>
      </c>
      <c r="Q1090" s="1756" t="s">
        <v>437</v>
      </c>
      <c r="R1090" s="1086">
        <f>IFERROR(VLOOKUP(F1090,Trainingsarten!$A$9:$N$84,14,FALSE),"")</f>
        <v>212.96</v>
      </c>
      <c r="S1090" s="1087">
        <f t="shared" si="160"/>
        <v>1.4305555555555556</v>
      </c>
      <c r="T1090" s="1757">
        <f t="shared" si="166"/>
        <v>33.821430375541489</v>
      </c>
      <c r="U1090" s="1758">
        <f t="shared" si="164"/>
        <v>31.387996090261616</v>
      </c>
      <c r="V1090" s="1088">
        <f t="shared" si="165"/>
        <v>2.3700182803476437</v>
      </c>
      <c r="W1090" s="3284">
        <f t="shared" si="162"/>
        <v>1.0775275451889987</v>
      </c>
      <c r="X1090" s="3300"/>
      <c r="Y1090" s="3316"/>
      <c r="AA1090" s="3301"/>
      <c r="AB1090" s="3409"/>
      <c r="AE1090" s="1056"/>
    </row>
    <row r="1091" spans="2:31" x14ac:dyDescent="0.2">
      <c r="B1091" s="2980" t="s">
        <v>628</v>
      </c>
      <c r="C1091" s="1211">
        <v>44189</v>
      </c>
      <c r="D1091" s="1823"/>
      <c r="E1091" s="1824"/>
      <c r="F1091" s="2747"/>
      <c r="G1091" s="1825"/>
      <c r="H1091" s="1826" t="str">
        <f>IFERROR(VLOOKUP(F1091,Trainingsarten!$A$9:$K$84,10,FALSE),"")</f>
        <v/>
      </c>
      <c r="I1091" s="1902" t="str">
        <f t="shared" si="161"/>
        <v/>
      </c>
      <c r="J1091" s="1830"/>
      <c r="K1091" s="1829" t="str">
        <f>IFERROR(VLOOKUP(F1091,Trainingsarten!$A$9:$K$84,11,FALSE),"0")</f>
        <v>0</v>
      </c>
      <c r="L1091" s="2806"/>
      <c r="M1091" s="2829"/>
      <c r="N1091" s="1831" t="str">
        <f t="shared" si="163"/>
        <v/>
      </c>
      <c r="O1091" s="1832"/>
      <c r="P1091" s="1755" t="str">
        <f>IFERROR(VLOOKUP(F1091,Trainingsarten!$A$9:$N$84,12,FALSE),"")</f>
        <v/>
      </c>
      <c r="Q1091" s="1756" t="s">
        <v>437</v>
      </c>
      <c r="R1091" s="1086" t="str">
        <f>IFERROR(VLOOKUP(F1091,Trainingsarten!$A$9:$N$84,14,FALSE),"")</f>
        <v/>
      </c>
      <c r="S1091" s="1087" t="str">
        <f t="shared" si="160"/>
        <v/>
      </c>
      <c r="T1091" s="1757">
        <f t="shared" si="166"/>
        <v>28.989797464749849</v>
      </c>
      <c r="U1091" s="1758">
        <f t="shared" si="164"/>
        <v>30.640662850017293</v>
      </c>
      <c r="V1091" s="1088">
        <f t="shared" si="165"/>
        <v>-2.4334342852798727</v>
      </c>
      <c r="W1091" s="3284">
        <f t="shared" si="162"/>
        <v>0.94612174699521845</v>
      </c>
      <c r="X1091" s="3300"/>
      <c r="Y1091" s="3316"/>
      <c r="AA1091" s="3301"/>
      <c r="AB1091" s="3409"/>
      <c r="AE1091" s="1056"/>
    </row>
    <row r="1092" spans="2:31" ht="16" thickBot="1" x14ac:dyDescent="0.25">
      <c r="B1092" s="2981">
        <f>SUM(K1088:K1094)</f>
        <v>253</v>
      </c>
      <c r="C1092" s="1211">
        <v>44190</v>
      </c>
      <c r="D1092" s="1823">
        <v>174</v>
      </c>
      <c r="E1092" s="1824" t="s">
        <v>835</v>
      </c>
      <c r="F1092" s="2748" t="s">
        <v>827</v>
      </c>
      <c r="G1092" s="1825">
        <v>3.953703703703703E-2</v>
      </c>
      <c r="H1092" s="1826">
        <v>10.1</v>
      </c>
      <c r="I1092" s="1902">
        <f t="shared" si="161"/>
        <v>3.9145581224789144E-3</v>
      </c>
      <c r="J1092" s="1830">
        <v>140</v>
      </c>
      <c r="K1092" s="1829">
        <v>59</v>
      </c>
      <c r="L1092" s="2806">
        <v>206</v>
      </c>
      <c r="M1092" s="2829"/>
      <c r="N1092" s="1831">
        <f t="shared" si="163"/>
        <v>1.0398936013004285</v>
      </c>
      <c r="O1092" s="1832" t="s">
        <v>1460</v>
      </c>
      <c r="P1092" s="1755">
        <f>IFERROR(VLOOKUP(F1092,Trainingsarten!$A$9:$N$84,12,FALSE),"")</f>
        <v>194.60000000000002</v>
      </c>
      <c r="Q1092" s="1756" t="s">
        <v>437</v>
      </c>
      <c r="R1092" s="1086">
        <f>IFERROR(VLOOKUP(F1092,Trainingsarten!$A$9:$N$84,14,FALSE),"")</f>
        <v>212.96</v>
      </c>
      <c r="S1092" s="1087">
        <f t="shared" si="160"/>
        <v>1.4714285714285715</v>
      </c>
      <c r="T1092" s="1757">
        <f t="shared" si="166"/>
        <v>33.276969255499871</v>
      </c>
      <c r="U1092" s="1758">
        <f t="shared" si="164"/>
        <v>31.315885163112121</v>
      </c>
      <c r="V1092" s="1088">
        <f t="shared" si="165"/>
        <v>1.6508653852674442</v>
      </c>
      <c r="W1092" s="3284">
        <f t="shared" si="162"/>
        <v>1.0626226620187562</v>
      </c>
      <c r="X1092" s="3300"/>
      <c r="Y1092" s="3316"/>
      <c r="AA1092" s="3301"/>
      <c r="AB1092" s="3409"/>
      <c r="AE1092" s="1056"/>
    </row>
    <row r="1093" spans="2:31" x14ac:dyDescent="0.2">
      <c r="B1093" s="2982" t="s">
        <v>761</v>
      </c>
      <c r="C1093" s="1211">
        <v>44191</v>
      </c>
      <c r="D1093" s="1823"/>
      <c r="E1093" s="1824"/>
      <c r="F1093" s="2748"/>
      <c r="G1093" s="1825"/>
      <c r="H1093" s="1826" t="str">
        <f>IFERROR(VLOOKUP(F1093,Trainingsarten!$A$9:$K$84,10,FALSE),"")</f>
        <v/>
      </c>
      <c r="I1093" s="1902" t="str">
        <f t="shared" si="161"/>
        <v/>
      </c>
      <c r="J1093" s="1830"/>
      <c r="K1093" s="1829" t="str">
        <f>IFERROR(VLOOKUP(F1093,Trainingsarten!$A$9:$K$84,11,FALSE),"0")</f>
        <v>0</v>
      </c>
      <c r="L1093" s="2806"/>
      <c r="M1093" s="2829"/>
      <c r="N1093" s="1831" t="str">
        <f t="shared" si="163"/>
        <v/>
      </c>
      <c r="O1093" s="1832"/>
      <c r="P1093" s="1755" t="str">
        <f>IFERROR(VLOOKUP(F1093,Trainingsarten!$A$9:$N$84,12,FALSE),"")</f>
        <v/>
      </c>
      <c r="Q1093" s="1756" t="s">
        <v>437</v>
      </c>
      <c r="R1093" s="1086" t="str">
        <f>IFERROR(VLOOKUP(F1093,Trainingsarten!$A$9:$N$84,14,FALSE),"")</f>
        <v/>
      </c>
      <c r="S1093" s="1087" t="str">
        <f t="shared" si="160"/>
        <v/>
      </c>
      <c r="T1093" s="1757">
        <f t="shared" si="166"/>
        <v>28.523116504714174</v>
      </c>
      <c r="U1093" s="1758">
        <f t="shared" si="164"/>
        <v>30.570268849704689</v>
      </c>
      <c r="V1093" s="1088">
        <f t="shared" si="165"/>
        <v>-1.9610840923877504</v>
      </c>
      <c r="W1093" s="3284">
        <f t="shared" si="162"/>
        <v>0.93303453250427371</v>
      </c>
      <c r="X1093" s="3300"/>
      <c r="Y1093" s="3316"/>
      <c r="AA1093" s="3301"/>
      <c r="AB1093" s="3409"/>
      <c r="AE1093" s="1056"/>
    </row>
    <row r="1094" spans="2:31" ht="16" thickBot="1" x14ac:dyDescent="0.25">
      <c r="B1094" s="2983">
        <f>AVERAGE(W1088:W1094)</f>
        <v>1.0095200826370012</v>
      </c>
      <c r="C1094" s="2335">
        <v>44192</v>
      </c>
      <c r="D1094" s="2280">
        <v>175</v>
      </c>
      <c r="E1094" s="2281" t="s">
        <v>835</v>
      </c>
      <c r="F1094" s="2745" t="s">
        <v>818</v>
      </c>
      <c r="G1094" s="2282">
        <v>4.2569444444444444E-2</v>
      </c>
      <c r="H1094" s="2283">
        <v>11.1</v>
      </c>
      <c r="I1094" s="2284">
        <f t="shared" si="161"/>
        <v>3.835085085085085E-3</v>
      </c>
      <c r="J1094" s="2285">
        <v>137</v>
      </c>
      <c r="K1094" s="2286">
        <v>65</v>
      </c>
      <c r="L1094" s="2808">
        <v>210</v>
      </c>
      <c r="M1094" s="2832"/>
      <c r="N1094" s="2287">
        <f t="shared" si="163"/>
        <v>1.0385639370713999</v>
      </c>
      <c r="O1094" s="2288" t="s">
        <v>783</v>
      </c>
      <c r="P1094" s="2336">
        <f>IFERROR(VLOOKUP(F1094,Trainingsarten!$A$9:$N$84,12,FALSE),"")</f>
        <v>194.60000000000002</v>
      </c>
      <c r="Q1094" s="1150" t="s">
        <v>437</v>
      </c>
      <c r="R1094" s="1150">
        <f>IFERROR(VLOOKUP(F1094,Trainingsarten!$A$9:$N$84,14,FALSE),"")</f>
        <v>212.96</v>
      </c>
      <c r="S1094" s="2290">
        <f t="shared" si="160"/>
        <v>1.5328467153284671</v>
      </c>
      <c r="T1094" s="2280">
        <f t="shared" si="166"/>
        <v>33.73409986118358</v>
      </c>
      <c r="U1094" s="2337">
        <f t="shared" si="164"/>
        <v>31.390024353283149</v>
      </c>
      <c r="V1094" s="2337">
        <f t="shared" si="165"/>
        <v>2.0471523449905149</v>
      </c>
      <c r="W1094" s="3287">
        <f t="shared" si="162"/>
        <v>1.0746758104268646</v>
      </c>
      <c r="X1094" s="3300"/>
      <c r="Y1094" s="3316"/>
      <c r="AA1094" s="3301"/>
      <c r="AB1094" s="3409"/>
      <c r="AE1094" s="1056"/>
    </row>
    <row r="1095" spans="2:31" ht="16" thickBot="1" x14ac:dyDescent="0.25">
      <c r="B1095" s="2985">
        <v>53</v>
      </c>
      <c r="C1095" s="2291">
        <v>44193</v>
      </c>
      <c r="D1095" s="2344"/>
      <c r="E1095" s="2345"/>
      <c r="F1095" s="2746"/>
      <c r="G1095" s="2032"/>
      <c r="H1095" s="1697" t="str">
        <f>IFERROR(VLOOKUP(F1095,Trainingsarten!$A$9:$K$84,10,FALSE),"")</f>
        <v/>
      </c>
      <c r="I1095" s="2294" t="str">
        <f t="shared" si="161"/>
        <v/>
      </c>
      <c r="J1095" s="2035"/>
      <c r="K1095" s="2334" t="str">
        <f>IFERROR(VLOOKUP(F1095,Trainingsarten!$A$9:$K$84,11,FALSE),"0")</f>
        <v>0</v>
      </c>
      <c r="L1095" s="1915"/>
      <c r="M1095" s="2833"/>
      <c r="N1095" s="2296" t="str">
        <f t="shared" si="163"/>
        <v/>
      </c>
      <c r="O1095" s="1918"/>
      <c r="P1095" s="2298" t="str">
        <f>IFERROR(VLOOKUP(F1095,Trainingsarten!$A$9:$N$84,12,FALSE),"")</f>
        <v/>
      </c>
      <c r="Q1095" s="1069" t="s">
        <v>437</v>
      </c>
      <c r="R1095" s="1069" t="str">
        <f>IFERROR(VLOOKUP(F1095,Trainingsarten!$A$9:$N$84,14,FALSE),"")</f>
        <v/>
      </c>
      <c r="S1095" s="2338" t="str">
        <f t="shared" si="160"/>
        <v/>
      </c>
      <c r="T1095" s="2339">
        <f t="shared" si="166"/>
        <v>28.914942738157354</v>
      </c>
      <c r="U1095" s="2340">
        <f t="shared" si="164"/>
        <v>30.642642821062122</v>
      </c>
      <c r="V1095" s="2068">
        <f t="shared" si="165"/>
        <v>-2.3440755079004312</v>
      </c>
      <c r="W1095" s="3283">
        <f t="shared" si="162"/>
        <v>0.94361778476505165</v>
      </c>
      <c r="X1095" s="3300"/>
      <c r="Y1095" s="3316"/>
      <c r="AA1095" s="3301"/>
      <c r="AB1095" s="3409"/>
      <c r="AE1095" s="1056"/>
    </row>
    <row r="1096" spans="2:31" x14ac:dyDescent="0.2">
      <c r="B1096" s="2978" t="s">
        <v>626</v>
      </c>
      <c r="C1096" s="2302">
        <v>44194</v>
      </c>
      <c r="D1096" s="2303">
        <v>176</v>
      </c>
      <c r="E1096" s="2304" t="s">
        <v>835</v>
      </c>
      <c r="F1096" s="2748" t="s">
        <v>818</v>
      </c>
      <c r="G1096" s="2305">
        <v>4.3518518518518519E-2</v>
      </c>
      <c r="H1096" s="2306">
        <v>11.1</v>
      </c>
      <c r="I1096" s="2307">
        <f t="shared" si="161"/>
        <v>3.9205872539205874E-3</v>
      </c>
      <c r="J1096" s="2308">
        <v>136</v>
      </c>
      <c r="K1096" s="2318">
        <v>64</v>
      </c>
      <c r="L1096" s="2806">
        <v>205</v>
      </c>
      <c r="M1096" s="2829"/>
      <c r="N1096" s="2309">
        <f t="shared" si="163"/>
        <v>1.0364394244991262</v>
      </c>
      <c r="O1096" s="2310" t="s">
        <v>783</v>
      </c>
      <c r="P1096" s="2311">
        <f>IFERROR(VLOOKUP(F1096,Trainingsarten!$A$9:$N$84,12,FALSE),"")</f>
        <v>194.60000000000002</v>
      </c>
      <c r="Q1096" s="2312" t="s">
        <v>437</v>
      </c>
      <c r="R1096" s="2312">
        <f>IFERROR(VLOOKUP(F1096,Trainingsarten!$A$9:$N$84,14,FALSE),"")</f>
        <v>212.96</v>
      </c>
      <c r="S1096" s="2313">
        <f t="shared" si="160"/>
        <v>1.5073529411764706</v>
      </c>
      <c r="T1096" s="2280">
        <f t="shared" si="166"/>
        <v>33.927093775563449</v>
      </c>
      <c r="U1096" s="2337">
        <f t="shared" si="164"/>
        <v>31.436865611036833</v>
      </c>
      <c r="V1096" s="2314">
        <f t="shared" si="165"/>
        <v>1.727700082904768</v>
      </c>
      <c r="W1096" s="3284">
        <f t="shared" si="162"/>
        <v>1.079213627571457</v>
      </c>
      <c r="X1096" s="3300"/>
      <c r="Y1096" s="3316"/>
      <c r="AA1096" s="3301"/>
      <c r="AB1096" s="3409"/>
      <c r="AE1096" s="1056"/>
    </row>
    <row r="1097" spans="2:31" ht="16" thickBot="1" x14ac:dyDescent="0.25">
      <c r="B1097" s="2979">
        <f>SUM(H1095:H1101)</f>
        <v>39.519999999999996</v>
      </c>
      <c r="C1097" s="2315">
        <v>44195</v>
      </c>
      <c r="D1097" s="2316"/>
      <c r="E1097" s="2317"/>
      <c r="F1097" s="2747"/>
      <c r="G1097" s="2305"/>
      <c r="H1097" s="2306" t="str">
        <f>IFERROR(VLOOKUP(F1097,Trainingsarten!$A$9:$K$84,10,FALSE),"")</f>
        <v/>
      </c>
      <c r="I1097" s="2307" t="str">
        <f t="shared" si="161"/>
        <v/>
      </c>
      <c r="J1097" s="2308"/>
      <c r="K1097" s="2318" t="str">
        <f>IFERROR(VLOOKUP(F1097,Trainingsarten!$A$9:$K$84,11,FALSE),"0")</f>
        <v>0</v>
      </c>
      <c r="L1097" s="2806"/>
      <c r="M1097" s="2829"/>
      <c r="N1097" s="2309" t="str">
        <f t="shared" si="163"/>
        <v/>
      </c>
      <c r="O1097" s="2310"/>
      <c r="P1097" s="2311" t="str">
        <f>IFERROR(VLOOKUP(F1097,Trainingsarten!$A$9:$N$84,12,FALSE),"")</f>
        <v/>
      </c>
      <c r="Q1097" s="2312" t="s">
        <v>437</v>
      </c>
      <c r="R1097" s="2312" t="str">
        <f>IFERROR(VLOOKUP(F1097,Trainingsarten!$A$9:$N$84,14,FALSE),"")</f>
        <v/>
      </c>
      <c r="S1097" s="2313" t="str">
        <f t="shared" si="160"/>
        <v/>
      </c>
      <c r="T1097" s="2280">
        <f t="shared" si="166"/>
        <v>29.0803660933401</v>
      </c>
      <c r="U1097" s="2337">
        <f t="shared" si="164"/>
        <v>30.688368810774051</v>
      </c>
      <c r="V1097" s="2314">
        <f t="shared" si="165"/>
        <v>-2.4902281645266164</v>
      </c>
      <c r="W1097" s="3284">
        <f t="shared" si="162"/>
        <v>0.9476022095749379</v>
      </c>
      <c r="X1097" s="3300"/>
      <c r="Y1097" s="3316"/>
      <c r="AA1097" s="3301"/>
      <c r="AB1097" s="3409"/>
      <c r="AE1097" s="1056"/>
    </row>
    <row r="1098" spans="2:31" ht="16" thickBot="1" x14ac:dyDescent="0.25">
      <c r="B1098" s="2980" t="s">
        <v>628</v>
      </c>
      <c r="C1098" s="2346">
        <v>44196</v>
      </c>
      <c r="D1098" s="1925">
        <v>177</v>
      </c>
      <c r="E1098" s="1926" t="s">
        <v>836</v>
      </c>
      <c r="F1098" s="2751" t="s">
        <v>904</v>
      </c>
      <c r="G1098" s="2347">
        <v>3.6805555555555557E-2</v>
      </c>
      <c r="H1098" s="2348">
        <v>7.62</v>
      </c>
      <c r="I1098" s="2349">
        <f t="shared" si="161"/>
        <v>4.8301254009915431E-3</v>
      </c>
      <c r="J1098" s="2350">
        <v>150</v>
      </c>
      <c r="K1098" s="2351">
        <v>62</v>
      </c>
      <c r="L1098" s="2813">
        <v>204</v>
      </c>
      <c r="M1098" s="2838">
        <v>401</v>
      </c>
      <c r="N1098" s="1932"/>
      <c r="O1098" s="2352" t="s">
        <v>868</v>
      </c>
      <c r="P1098" s="2353" t="str">
        <f>IFERROR(VLOOKUP(F1098,Trainingsarten!$A$9:$N$84,12,FALSE),"")</f>
        <v/>
      </c>
      <c r="Q1098" s="2354" t="s">
        <v>437</v>
      </c>
      <c r="R1098" s="2354" t="str">
        <f>IFERROR(VLOOKUP(F1098,Trainingsarten!$A$9:$N$84,14,FALSE),"")</f>
        <v/>
      </c>
      <c r="S1098" s="1936">
        <f t="shared" si="160"/>
        <v>1.36</v>
      </c>
      <c r="T1098" s="1925">
        <f t="shared" si="166"/>
        <v>33.783170937148654</v>
      </c>
      <c r="U1098" s="2355">
        <f t="shared" si="164"/>
        <v>31.433883839088956</v>
      </c>
      <c r="V1098" s="2355">
        <f t="shared" si="165"/>
        <v>1.6080027174339513</v>
      </c>
      <c r="W1098" s="3289">
        <f t="shared" si="162"/>
        <v>1.0747374110716248</v>
      </c>
      <c r="X1098" s="3300"/>
      <c r="Y1098" s="3316"/>
      <c r="AA1098" s="3301"/>
      <c r="AB1098" s="3409"/>
      <c r="AE1098" s="1056"/>
    </row>
    <row r="1099" spans="2:31" ht="17" thickTop="1" thickBot="1" x14ac:dyDescent="0.25">
      <c r="B1099" s="2981">
        <f>SUM(K1095:K1101)</f>
        <v>253</v>
      </c>
      <c r="C1099" s="1245">
        <v>44197</v>
      </c>
      <c r="D1099" s="1111"/>
      <c r="E1099" s="1112"/>
      <c r="F1099" s="2685"/>
      <c r="G1099" s="1647"/>
      <c r="H1099" s="2343" t="str">
        <f>IFERROR(VLOOKUP(F1099,Trainingsarten!$A$9:$K$84,10,FALSE),"")</f>
        <v/>
      </c>
      <c r="I1099" s="1399" t="str">
        <f t="shared" si="161"/>
        <v/>
      </c>
      <c r="J1099" s="1326"/>
      <c r="K1099" s="1325" t="str">
        <f>IFERROR(VLOOKUP(F1099,Trainingsarten!$A$9:$K$84,11,FALSE),"0")</f>
        <v>0</v>
      </c>
      <c r="L1099" s="1326"/>
      <c r="M1099" s="2831"/>
      <c r="N1099" s="1119" t="str">
        <f t="shared" si="163"/>
        <v/>
      </c>
      <c r="O1099" s="1649"/>
      <c r="P1099" s="1277" t="str">
        <f>IFERROR(VLOOKUP(F1099,Trainingsarten!$A$9:$N$84,12,FALSE),"")</f>
        <v/>
      </c>
      <c r="Q1099" s="1122" t="s">
        <v>437</v>
      </c>
      <c r="R1099" s="1122" t="str">
        <f>IFERROR(VLOOKUP(F1099,Trainingsarten!$A$9:$N$84,14,FALSE),"")</f>
        <v/>
      </c>
      <c r="S1099" s="1125" t="str">
        <f t="shared" ref="S1099:S1114" si="167">IFERROR(L1099/J1099,"")</f>
        <v/>
      </c>
      <c r="T1099" s="1650">
        <f t="shared" si="166"/>
        <v>28.957003660413132</v>
      </c>
      <c r="U1099" s="1651">
        <f t="shared" si="164"/>
        <v>30.685458033396362</v>
      </c>
      <c r="V1099" s="1278">
        <f t="shared" si="165"/>
        <v>-2.3492870980596976</v>
      </c>
      <c r="W1099" s="3286">
        <f t="shared" si="162"/>
        <v>0.94367187313606093</v>
      </c>
      <c r="X1099" s="3300"/>
      <c r="Y1099" s="3316"/>
      <c r="AA1099" s="3301"/>
      <c r="AB1099" s="3409"/>
      <c r="AE1099" s="1056"/>
    </row>
    <row r="1100" spans="2:31" x14ac:dyDescent="0.2">
      <c r="B1100" s="2982" t="s">
        <v>761</v>
      </c>
      <c r="C1100" s="2315">
        <v>44198</v>
      </c>
      <c r="D1100" s="2316">
        <v>1</v>
      </c>
      <c r="E1100" s="2317" t="s">
        <v>836</v>
      </c>
      <c r="F1100" s="2748" t="s">
        <v>818</v>
      </c>
      <c r="G1100" s="2305">
        <v>3.7627314814814815E-2</v>
      </c>
      <c r="H1100" s="2306">
        <v>10.1</v>
      </c>
      <c r="I1100" s="2307">
        <f t="shared" si="161"/>
        <v>3.7254767143381005E-3</v>
      </c>
      <c r="J1100" s="2308">
        <v>137</v>
      </c>
      <c r="K1100" s="2318">
        <v>62</v>
      </c>
      <c r="L1100" s="2806">
        <v>217</v>
      </c>
      <c r="M1100" s="2829">
        <v>38</v>
      </c>
      <c r="N1100" s="2309">
        <f t="shared" si="163"/>
        <v>1.0425107137579428</v>
      </c>
      <c r="O1100" s="2310" t="s">
        <v>1460</v>
      </c>
      <c r="P1100" s="2311">
        <f>IFERROR(VLOOKUP(F1100,Trainingsarten!$A$9:$N$84,12,FALSE),"")</f>
        <v>194.60000000000002</v>
      </c>
      <c r="Q1100" s="2312" t="s">
        <v>437</v>
      </c>
      <c r="R1100" s="2312">
        <f>IFERROR(VLOOKUP(F1100,Trainingsarten!$A$9:$N$84,14,FALSE),"")</f>
        <v>212.96</v>
      </c>
      <c r="S1100" s="2313">
        <f t="shared" si="167"/>
        <v>1.583941605839416</v>
      </c>
      <c r="T1100" s="2280">
        <f t="shared" si="166"/>
        <v>33.677431708925539</v>
      </c>
      <c r="U1100" s="2337">
        <f t="shared" si="164"/>
        <v>31.431042365934545</v>
      </c>
      <c r="V1100" s="2314">
        <f t="shared" si="165"/>
        <v>1.7284543729832293</v>
      </c>
      <c r="W1100" s="3284">
        <f t="shared" si="162"/>
        <v>1.0714704054939541</v>
      </c>
      <c r="X1100" s="3300"/>
      <c r="Y1100" s="3316"/>
      <c r="AA1100" s="3301"/>
      <c r="AB1100" s="3409"/>
      <c r="AE1100" s="1056"/>
    </row>
    <row r="1101" spans="2:31" ht="16" thickBot="1" x14ac:dyDescent="0.25">
      <c r="B1101" s="2983">
        <f>AVERAGE(W1095:W1101)</f>
        <v>1.0348638064532025</v>
      </c>
      <c r="C1101" s="2319">
        <v>44199</v>
      </c>
      <c r="D1101" s="2320">
        <v>2</v>
      </c>
      <c r="E1101" s="2321" t="s">
        <v>836</v>
      </c>
      <c r="F1101" s="2750" t="s">
        <v>906</v>
      </c>
      <c r="G1101" s="2322">
        <v>4.0937500000000002E-2</v>
      </c>
      <c r="H1101" s="2323">
        <v>10.7</v>
      </c>
      <c r="I1101" s="2324">
        <f t="shared" si="161"/>
        <v>3.8259345794392527E-3</v>
      </c>
      <c r="J1101" s="2325">
        <v>137</v>
      </c>
      <c r="K1101" s="2326">
        <v>65</v>
      </c>
      <c r="L1101" s="2807">
        <v>212</v>
      </c>
      <c r="M1101" s="2830">
        <v>27</v>
      </c>
      <c r="N1101" s="2327">
        <f t="shared" si="163"/>
        <v>1.0459534105175059</v>
      </c>
      <c r="O1101" s="2328" t="s">
        <v>1460</v>
      </c>
      <c r="P1101" s="2329">
        <f>IFERROR(VLOOKUP(F1101,Trainingsarten!$A$9:$N$84,12,FALSE),"")</f>
        <v>194.60000000000002</v>
      </c>
      <c r="Q1101" s="2330" t="s">
        <v>437</v>
      </c>
      <c r="R1101" s="2330">
        <f>IFERROR(VLOOKUP(F1101,Trainingsarten!$A$9:$N$84,14,FALSE),"")</f>
        <v>212.96</v>
      </c>
      <c r="S1101" s="2356">
        <f t="shared" si="167"/>
        <v>1.5474452554744527</v>
      </c>
      <c r="T1101" s="2320">
        <f t="shared" si="166"/>
        <v>38.152084321936179</v>
      </c>
      <c r="U1101" s="2333">
        <f t="shared" si="164"/>
        <v>32.230303261983721</v>
      </c>
      <c r="V1101" s="2333">
        <f t="shared" si="165"/>
        <v>-2.2463893429909945</v>
      </c>
      <c r="W1101" s="3285">
        <f t="shared" si="162"/>
        <v>1.1837333335593312</v>
      </c>
      <c r="X1101" s="3300"/>
      <c r="Y1101" s="3316"/>
      <c r="AA1101" s="3301"/>
      <c r="AB1101" s="3409"/>
      <c r="AE1101" s="1056"/>
    </row>
    <row r="1102" spans="2:31" ht="16" thickBot="1" x14ac:dyDescent="0.25">
      <c r="B1102" s="2985">
        <v>1</v>
      </c>
      <c r="C1102" s="2189">
        <v>44200</v>
      </c>
      <c r="D1102" s="2357"/>
      <c r="E1102" s="2358"/>
      <c r="F1102" s="2719"/>
      <c r="G1102" s="2032"/>
      <c r="H1102" s="2033" t="str">
        <f>IFERROR(VLOOKUP(F1102,Trainingsarten!$A$9:$K$84,10,FALSE),"")</f>
        <v/>
      </c>
      <c r="I1102" s="2359" t="str">
        <f t="shared" si="161"/>
        <v/>
      </c>
      <c r="J1102" s="2035"/>
      <c r="K1102" s="2360" t="str">
        <f>IFERROR(VLOOKUP(F1102,Trainingsarten!$A$9:$K$84,11,FALSE),"0")</f>
        <v>0</v>
      </c>
      <c r="L1102" s="1915"/>
      <c r="M1102" s="2833"/>
      <c r="N1102" s="2361" t="str">
        <f t="shared" si="163"/>
        <v/>
      </c>
      <c r="O1102" s="2038"/>
      <c r="P1102" s="2039" t="str">
        <f>IFERROR(VLOOKUP(F1102,Trainingsarten!$A$9:$N$84,12,FALSE),"")</f>
        <v/>
      </c>
      <c r="Q1102" s="1069" t="s">
        <v>437</v>
      </c>
      <c r="R1102" s="1069" t="str">
        <f>IFERROR(VLOOKUP(F1102,Trainingsarten!$A$9:$N$84,14,FALSE),"")</f>
        <v/>
      </c>
      <c r="S1102" s="1070" t="str">
        <f t="shared" si="167"/>
        <v/>
      </c>
      <c r="T1102" s="2339">
        <f t="shared" si="166"/>
        <v>32.701786561659581</v>
      </c>
      <c r="U1102" s="2362">
        <f t="shared" si="164"/>
        <v>31.462915089079345</v>
      </c>
      <c r="V1102" s="2030">
        <f t="shared" si="165"/>
        <v>-5.9217810599524583</v>
      </c>
      <c r="W1102" s="3283">
        <f t="shared" si="162"/>
        <v>1.0393756099545348</v>
      </c>
      <c r="X1102" s="3300"/>
      <c r="Y1102" s="3316"/>
      <c r="AA1102" s="3301"/>
      <c r="AB1102" s="3409"/>
      <c r="AE1102" s="1056"/>
    </row>
    <row r="1103" spans="2:31" x14ac:dyDescent="0.2">
      <c r="B1103" s="2978" t="s">
        <v>626</v>
      </c>
      <c r="C1103" s="2059">
        <v>44201</v>
      </c>
      <c r="D1103" s="2009">
        <v>3</v>
      </c>
      <c r="E1103" s="2010" t="s">
        <v>835</v>
      </c>
      <c r="F1103" s="2752" t="s">
        <v>817</v>
      </c>
      <c r="G1103" s="2363">
        <v>4.2407407407407401E-2</v>
      </c>
      <c r="H1103" s="2364">
        <v>11.4</v>
      </c>
      <c r="I1103" s="2365">
        <f t="shared" si="161"/>
        <v>3.7199480181936313E-3</v>
      </c>
      <c r="J1103" s="2366">
        <v>141</v>
      </c>
      <c r="K1103" s="2367">
        <v>69</v>
      </c>
      <c r="L1103" s="2806">
        <v>215</v>
      </c>
      <c r="M1103" s="2829">
        <v>29</v>
      </c>
      <c r="N1103" s="2368">
        <f t="shared" si="163"/>
        <v>1.0313694684472374</v>
      </c>
      <c r="O1103" s="2369" t="s">
        <v>783</v>
      </c>
      <c r="P1103" s="2370">
        <f>IFERROR(VLOOKUP(F1103,Trainingsarten!$A$9:$N$84,12,FALSE),"")</f>
        <v>169.39999999999998</v>
      </c>
      <c r="Q1103" s="2371" t="s">
        <v>437</v>
      </c>
      <c r="R1103" s="2371">
        <f>IFERROR(VLOOKUP(F1103,Trainingsarten!$A$9:$N$84,14,FALSE),"")</f>
        <v>193.60000000000002</v>
      </c>
      <c r="S1103" s="2372">
        <f t="shared" si="167"/>
        <v>1.5248226950354611</v>
      </c>
      <c r="T1103" s="2280">
        <f t="shared" si="166"/>
        <v>37.887245624279643</v>
      </c>
      <c r="U1103" s="2337">
        <f t="shared" si="164"/>
        <v>32.356655206006025</v>
      </c>
      <c r="V1103" s="2373">
        <f t="shared" si="165"/>
        <v>-1.2388714725802359</v>
      </c>
      <c r="W1103" s="3284">
        <f t="shared" si="162"/>
        <v>1.1709259001915326</v>
      </c>
      <c r="X1103" s="3300"/>
      <c r="Y1103" s="3316"/>
      <c r="AA1103" s="3301"/>
      <c r="AB1103" s="3409"/>
      <c r="AE1103" s="1056"/>
    </row>
    <row r="1104" spans="2:31" ht="16" thickBot="1" x14ac:dyDescent="0.25">
      <c r="B1104" s="2979">
        <f>SUM(H1102:H1108)</f>
        <v>44.13</v>
      </c>
      <c r="C1104" s="2374">
        <v>44202</v>
      </c>
      <c r="D1104" s="2375"/>
      <c r="E1104" s="2376"/>
      <c r="F1104" s="2752"/>
      <c r="G1104" s="2363"/>
      <c r="H1104" s="2364" t="str">
        <f>IFERROR(VLOOKUP(F1104,Trainingsarten!$A$9:$K$84,10,FALSE),"")</f>
        <v/>
      </c>
      <c r="I1104" s="2377" t="str">
        <f t="shared" si="161"/>
        <v/>
      </c>
      <c r="J1104" s="2366"/>
      <c r="K1104" s="2013" t="str">
        <f>IFERROR(VLOOKUP(F1104,Trainingsarten!$A$9:$K$84,11,FALSE),"0")</f>
        <v>0</v>
      </c>
      <c r="L1104" s="2806"/>
      <c r="M1104" s="2829"/>
      <c r="N1104" s="2368" t="str">
        <f t="shared" si="163"/>
        <v/>
      </c>
      <c r="O1104" s="2369"/>
      <c r="P1104" s="2370" t="str">
        <f>IFERROR(VLOOKUP(F1104,Trainingsarten!$A$9:$N$84,12,FALSE),"")</f>
        <v/>
      </c>
      <c r="Q1104" s="2371" t="s">
        <v>437</v>
      </c>
      <c r="R1104" s="2371" t="str">
        <f>IFERROR(VLOOKUP(F1104,Trainingsarten!$A$9:$N$84,14,FALSE),"")</f>
        <v/>
      </c>
      <c r="S1104" s="2372" t="str">
        <f t="shared" si="167"/>
        <v/>
      </c>
      <c r="T1104" s="2280">
        <f t="shared" si="166"/>
        <v>32.474781963668264</v>
      </c>
      <c r="U1104" s="2337">
        <f t="shared" si="164"/>
        <v>31.586258653482073</v>
      </c>
      <c r="V1104" s="2373">
        <f t="shared" si="165"/>
        <v>-5.5305904182736185</v>
      </c>
      <c r="W1104" s="3284">
        <f t="shared" si="162"/>
        <v>1.0281300587047602</v>
      </c>
      <c r="X1104" s="3300"/>
      <c r="Y1104" s="3316"/>
      <c r="AA1104" s="3301"/>
      <c r="AB1104" s="3409"/>
      <c r="AE1104" s="1056"/>
    </row>
    <row r="1105" spans="2:31" x14ac:dyDescent="0.2">
      <c r="B1105" s="2980" t="s">
        <v>628</v>
      </c>
      <c r="C1105" s="2374">
        <v>44203</v>
      </c>
      <c r="D1105" s="2375">
        <v>4</v>
      </c>
      <c r="E1105" s="2376" t="s">
        <v>836</v>
      </c>
      <c r="F1105" s="2752" t="s">
        <v>818</v>
      </c>
      <c r="G1105" s="2363">
        <v>3.6793981481481483E-2</v>
      </c>
      <c r="H1105" s="2364">
        <v>10.199999999999999</v>
      </c>
      <c r="I1105" s="2377">
        <f t="shared" si="161"/>
        <v>3.6072530864197537E-3</v>
      </c>
      <c r="J1105" s="2366">
        <v>141</v>
      </c>
      <c r="K1105" s="2013">
        <v>65</v>
      </c>
      <c r="L1105" s="2806">
        <v>224</v>
      </c>
      <c r="M1105" s="2829">
        <v>40</v>
      </c>
      <c r="N1105" s="2368">
        <f t="shared" si="163"/>
        <v>1.041990049751244</v>
      </c>
      <c r="O1105" s="2369" t="s">
        <v>783</v>
      </c>
      <c r="P1105" s="2370">
        <f>IFERROR(VLOOKUP(F1105,Trainingsarten!$A$9:$N$84,12,FALSE),"")</f>
        <v>194.60000000000002</v>
      </c>
      <c r="Q1105" s="2371" t="s">
        <v>437</v>
      </c>
      <c r="R1105" s="2371">
        <f>IFERROR(VLOOKUP(F1105,Trainingsarten!$A$9:$N$84,14,FALSE),"")</f>
        <v>212.96</v>
      </c>
      <c r="S1105" s="2372">
        <f t="shared" si="167"/>
        <v>1.5886524822695036</v>
      </c>
      <c r="T1105" s="2280">
        <f t="shared" si="166"/>
        <v>37.121241683144227</v>
      </c>
      <c r="U1105" s="2337">
        <f t="shared" si="164"/>
        <v>32.381823923637263</v>
      </c>
      <c r="V1105" s="2373">
        <f t="shared" si="165"/>
        <v>-0.88852331018619068</v>
      </c>
      <c r="W1105" s="3284">
        <f t="shared" si="162"/>
        <v>1.1463604326514605</v>
      </c>
      <c r="X1105" s="3300"/>
      <c r="Y1105" s="3316"/>
      <c r="AA1105" s="3301"/>
      <c r="AB1105" s="3409"/>
      <c r="AE1105" s="1056"/>
    </row>
    <row r="1106" spans="2:31" ht="16" thickBot="1" x14ac:dyDescent="0.25">
      <c r="B1106" s="2981">
        <f>SUM(K1102:K1108)</f>
        <v>280</v>
      </c>
      <c r="C1106" s="2374">
        <v>44204</v>
      </c>
      <c r="D1106" s="2375">
        <v>5</v>
      </c>
      <c r="E1106" s="2376" t="s">
        <v>836</v>
      </c>
      <c r="F1106" s="2752" t="s">
        <v>908</v>
      </c>
      <c r="G1106" s="2363">
        <v>2.5115740740740741E-2</v>
      </c>
      <c r="H1106" s="2364">
        <v>7.9</v>
      </c>
      <c r="I1106" s="2377">
        <f t="shared" si="161"/>
        <v>3.1792076887013593E-3</v>
      </c>
      <c r="J1106" s="2366">
        <v>154</v>
      </c>
      <c r="K1106" s="2013">
        <v>55</v>
      </c>
      <c r="L1106" s="2806">
        <v>250</v>
      </c>
      <c r="M1106" s="2829">
        <v>29</v>
      </c>
      <c r="N1106" s="2368">
        <f t="shared" si="163"/>
        <v>1.024938598148498</v>
      </c>
      <c r="O1106" s="2369" t="s">
        <v>821</v>
      </c>
      <c r="P1106" s="2370" t="str">
        <f>IFERROR(VLOOKUP(F1106,Trainingsarten!$A$9:$N$84,12,FALSE),"")</f>
        <v/>
      </c>
      <c r="Q1106" s="2371" t="s">
        <v>437</v>
      </c>
      <c r="R1106" s="2371" t="str">
        <f>IFERROR(VLOOKUP(F1106,Trainingsarten!$A$9:$N$84,14,FALSE),"")</f>
        <v/>
      </c>
      <c r="S1106" s="2372">
        <f t="shared" si="167"/>
        <v>1.6233766233766234</v>
      </c>
      <c r="T1106" s="2280">
        <f t="shared" si="166"/>
        <v>39.675350014123623</v>
      </c>
      <c r="U1106" s="2337">
        <f t="shared" si="164"/>
        <v>32.920351925455421</v>
      </c>
      <c r="V1106" s="2373">
        <f t="shared" si="165"/>
        <v>-4.7394177595069635</v>
      </c>
      <c r="W1106" s="3284">
        <f t="shared" si="162"/>
        <v>1.2051921590620953</v>
      </c>
      <c r="X1106" s="3300"/>
      <c r="Y1106" s="3316"/>
      <c r="AA1106" s="3301"/>
      <c r="AB1106" s="3409"/>
      <c r="AE1106" s="1056"/>
    </row>
    <row r="1107" spans="2:31" x14ac:dyDescent="0.2">
      <c r="B1107" s="2982" t="s">
        <v>761</v>
      </c>
      <c r="C1107" s="2374">
        <v>44205</v>
      </c>
      <c r="D1107" s="2375"/>
      <c r="E1107" s="2376"/>
      <c r="F1107" s="2752"/>
      <c r="G1107" s="2363"/>
      <c r="H1107" s="2364" t="str">
        <f>IFERROR(VLOOKUP(F1107,Trainingsarten!$A$9:$K$84,10,FALSE),"")</f>
        <v/>
      </c>
      <c r="I1107" s="2377" t="str">
        <f t="shared" si="161"/>
        <v/>
      </c>
      <c r="J1107" s="2366"/>
      <c r="K1107" s="2013" t="str">
        <f>IFERROR(VLOOKUP(F1107,Trainingsarten!$A$9:$K$84,11,FALSE),"0")</f>
        <v>0</v>
      </c>
      <c r="L1107" s="2806"/>
      <c r="M1107" s="2829"/>
      <c r="N1107" s="2368" t="str">
        <f t="shared" si="163"/>
        <v/>
      </c>
      <c r="O1107" s="2369"/>
      <c r="P1107" s="2370" t="str">
        <f>IFERROR(VLOOKUP(F1107,Trainingsarten!$A$9:$N$84,12,FALSE),"")</f>
        <v/>
      </c>
      <c r="Q1107" s="2371" t="s">
        <v>437</v>
      </c>
      <c r="R1107" s="2371" t="str">
        <f>IFERROR(VLOOKUP(F1107,Trainingsarten!$A$9:$N$84,14,FALSE),"")</f>
        <v/>
      </c>
      <c r="S1107" s="2372" t="str">
        <f t="shared" si="167"/>
        <v/>
      </c>
      <c r="T1107" s="2280">
        <f t="shared" si="166"/>
        <v>34.00744286924882</v>
      </c>
      <c r="U1107" s="2337">
        <f t="shared" si="164"/>
        <v>32.136534022468389</v>
      </c>
      <c r="V1107" s="2373">
        <f t="shared" si="165"/>
        <v>-6.7549980886682022</v>
      </c>
      <c r="W1107" s="3284">
        <f t="shared" si="162"/>
        <v>1.0582175055179373</v>
      </c>
      <c r="X1107" s="3300"/>
      <c r="Y1107" s="3316"/>
      <c r="AA1107" s="3301"/>
      <c r="AB1107" s="3409"/>
      <c r="AE1107" s="1056"/>
    </row>
    <row r="1108" spans="2:31" ht="16" thickBot="1" x14ac:dyDescent="0.25">
      <c r="B1108" s="2983">
        <f>AVERAGE(W1102:W1108)</f>
        <v>1.1292800811051529</v>
      </c>
      <c r="C1108" s="2378">
        <v>44206</v>
      </c>
      <c r="D1108" s="1108">
        <v>6</v>
      </c>
      <c r="E1108" s="1261" t="s">
        <v>835</v>
      </c>
      <c r="F1108" s="2753" t="s">
        <v>907</v>
      </c>
      <c r="G1108" s="2379">
        <v>5.7592592592592591E-2</v>
      </c>
      <c r="H1108" s="2380">
        <v>14.63</v>
      </c>
      <c r="I1108" s="2381">
        <f t="shared" si="161"/>
        <v>3.9366091997670941E-3</v>
      </c>
      <c r="J1108" s="2382">
        <v>136</v>
      </c>
      <c r="K1108" s="2383">
        <v>91</v>
      </c>
      <c r="L1108" s="2807">
        <v>207</v>
      </c>
      <c r="M1108" s="2830">
        <v>57</v>
      </c>
      <c r="N1108" s="1223">
        <f t="shared" si="163"/>
        <v>1.0508278838208138</v>
      </c>
      <c r="O1108" s="2384" t="s">
        <v>858</v>
      </c>
      <c r="P1108" s="2385">
        <f>IFERROR(VLOOKUP(F1108,Trainingsarten!$A$9:$N$84,12,FALSE),"")</f>
        <v>194.60000000000002</v>
      </c>
      <c r="Q1108" s="2386" t="s">
        <v>437</v>
      </c>
      <c r="R1108" s="2386">
        <f>IFERROR(VLOOKUP(F1108,Trainingsarten!$A$9:$N$84,14,FALSE),"")</f>
        <v>212.96</v>
      </c>
      <c r="S1108" s="2387">
        <f t="shared" si="167"/>
        <v>1.5220588235294117</v>
      </c>
      <c r="T1108" s="2388">
        <f t="shared" si="166"/>
        <v>42.149236745070418</v>
      </c>
      <c r="U1108" s="2389">
        <f t="shared" si="164"/>
        <v>33.538045117171521</v>
      </c>
      <c r="V1108" s="2389">
        <f t="shared" si="165"/>
        <v>-1.8709088467804307</v>
      </c>
      <c r="W1108" s="3293">
        <f t="shared" si="162"/>
        <v>1.2567589016537508</v>
      </c>
      <c r="X1108" s="3300"/>
      <c r="Y1108" s="3316"/>
      <c r="AA1108" s="3301"/>
      <c r="AB1108" s="3409"/>
      <c r="AE1108" s="1056"/>
    </row>
    <row r="1109" spans="2:31" ht="16" thickBot="1" x14ac:dyDescent="0.25">
      <c r="B1109" s="2985">
        <f>B1102+1</f>
        <v>2</v>
      </c>
      <c r="C1109" s="2291">
        <v>44207</v>
      </c>
      <c r="D1109" s="2357"/>
      <c r="E1109" s="2358"/>
      <c r="F1109" s="2746"/>
      <c r="G1109" s="1912"/>
      <c r="H1109" s="1913" t="str">
        <f>IFERROR(VLOOKUP(F1109,Trainingsarten!$A$9:$K$84,10,FALSE),"")</f>
        <v/>
      </c>
      <c r="I1109" s="2294" t="str">
        <f t="shared" si="161"/>
        <v/>
      </c>
      <c r="J1109" s="1915"/>
      <c r="K1109" s="2334" t="str">
        <f>IFERROR(VLOOKUP(F1109,Trainingsarten!$A$9:$K$84,11,FALSE),"0")</f>
        <v>0</v>
      </c>
      <c r="L1109" s="1915"/>
      <c r="M1109" s="2833"/>
      <c r="N1109" s="2361" t="str">
        <f t="shared" si="163"/>
        <v/>
      </c>
      <c r="O1109" s="2297"/>
      <c r="P1109" s="2298" t="str">
        <f>IFERROR(VLOOKUP(F1109,Trainingsarten!$A$9:$N$84,12,FALSE),"")</f>
        <v/>
      </c>
      <c r="Q1109" s="2391" t="s">
        <v>437</v>
      </c>
      <c r="R1109" s="2391" t="str">
        <f>IFERROR(VLOOKUP(F1109,Trainingsarten!$A$9:$N$84,14,FALSE),"")</f>
        <v/>
      </c>
      <c r="S1109" s="1070" t="str">
        <f t="shared" si="167"/>
        <v/>
      </c>
      <c r="T1109" s="2339">
        <f t="shared" si="166"/>
        <v>36.12791721006036</v>
      </c>
      <c r="U1109" s="2362">
        <f t="shared" si="164"/>
        <v>32.739520233429339</v>
      </c>
      <c r="V1109" s="2068">
        <f t="shared" si="165"/>
        <v>-8.6111916278988971</v>
      </c>
      <c r="W1109" s="3283">
        <f t="shared" si="162"/>
        <v>1.103495620964269</v>
      </c>
      <c r="X1109" s="3300"/>
      <c r="Y1109" s="3316"/>
      <c r="AA1109" s="3301"/>
      <c r="AB1109" s="3409"/>
      <c r="AE1109" s="1056"/>
    </row>
    <row r="1110" spans="2:31" x14ac:dyDescent="0.2">
      <c r="B1110" s="2978" t="s">
        <v>626</v>
      </c>
      <c r="C1110" s="2374">
        <v>44208</v>
      </c>
      <c r="D1110" s="2375">
        <v>7</v>
      </c>
      <c r="E1110" s="2376" t="s">
        <v>836</v>
      </c>
      <c r="F1110" s="2752" t="s">
        <v>827</v>
      </c>
      <c r="G1110" s="2363">
        <v>3.5173611111111107E-2</v>
      </c>
      <c r="H1110" s="2364">
        <v>9.1199999999999992</v>
      </c>
      <c r="I1110" s="2377">
        <f t="shared" si="161"/>
        <v>3.8567556042884989E-3</v>
      </c>
      <c r="J1110" s="2366">
        <v>143</v>
      </c>
      <c r="K1110" s="2013">
        <v>56</v>
      </c>
      <c r="L1110" s="2806">
        <v>210</v>
      </c>
      <c r="M1110" s="2829">
        <v>29</v>
      </c>
      <c r="N1110" s="2368">
        <f t="shared" si="163"/>
        <v>1.0444324430479184</v>
      </c>
      <c r="O1110" s="2369" t="s">
        <v>1460</v>
      </c>
      <c r="P1110" s="2370">
        <f>IFERROR(VLOOKUP(F1110,Trainingsarten!$A$9:$N$84,12,FALSE),"")</f>
        <v>194.60000000000002</v>
      </c>
      <c r="Q1110" s="2371" t="s">
        <v>437</v>
      </c>
      <c r="R1110" s="2371">
        <f>IFERROR(VLOOKUP(F1110,Trainingsarten!$A$9:$N$84,14,FALSE),"")</f>
        <v>212.96</v>
      </c>
      <c r="S1110" s="2372">
        <f t="shared" si="167"/>
        <v>1.4685314685314685</v>
      </c>
      <c r="T1110" s="2280">
        <f t="shared" si="166"/>
        <v>38.966786180051734</v>
      </c>
      <c r="U1110" s="2337">
        <f t="shared" si="164"/>
        <v>33.293341180252447</v>
      </c>
      <c r="V1110" s="2373">
        <f t="shared" si="165"/>
        <v>-3.3883969766310216</v>
      </c>
      <c r="W1110" s="3284">
        <f t="shared" si="162"/>
        <v>1.1704077992377775</v>
      </c>
      <c r="X1110" s="3300"/>
      <c r="Y1110" s="3316"/>
      <c r="AA1110" s="3301"/>
      <c r="AB1110" s="3409"/>
      <c r="AE1110" s="1056"/>
    </row>
    <row r="1111" spans="2:31" ht="16" thickBot="1" x14ac:dyDescent="0.25">
      <c r="B1111" s="2979">
        <f>SUM(H1109:H1115)</f>
        <v>47.58</v>
      </c>
      <c r="C1111" s="2374">
        <v>44209</v>
      </c>
      <c r="D1111" s="2375"/>
      <c r="E1111" s="2376"/>
      <c r="F1111" s="2752"/>
      <c r="G1111" s="2363"/>
      <c r="H1111" s="2364" t="str">
        <f>IFERROR(VLOOKUP(F1111,Trainingsarten!$A$9:$K$84,10,FALSE),"")</f>
        <v/>
      </c>
      <c r="I1111" s="2377" t="str">
        <f t="shared" si="161"/>
        <v/>
      </c>
      <c r="J1111" s="2366"/>
      <c r="K1111" s="2013" t="str">
        <f>IFERROR(VLOOKUP(F1111,Trainingsarten!$A$9:$K$84,11,FALSE),"0")</f>
        <v>0</v>
      </c>
      <c r="L1111" s="2806"/>
      <c r="M1111" s="2829"/>
      <c r="N1111" s="2368" t="str">
        <f t="shared" si="163"/>
        <v/>
      </c>
      <c r="O1111" s="2369"/>
      <c r="P1111" s="2370" t="str">
        <f>IFERROR(VLOOKUP(F1111,Trainingsarten!$A$9:$N$84,12,FALSE),"")</f>
        <v/>
      </c>
      <c r="Q1111" s="2371" t="s">
        <v>437</v>
      </c>
      <c r="R1111" s="2371" t="str">
        <f>IFERROR(VLOOKUP(F1111,Trainingsarten!$A$9:$N$84,14,FALSE),"")</f>
        <v/>
      </c>
      <c r="S1111" s="2372" t="str">
        <f t="shared" si="167"/>
        <v/>
      </c>
      <c r="T1111" s="2280">
        <f t="shared" si="166"/>
        <v>33.400102440044343</v>
      </c>
      <c r="U1111" s="2337">
        <f t="shared" si="164"/>
        <v>32.500642580722626</v>
      </c>
      <c r="V1111" s="2373">
        <f t="shared" si="165"/>
        <v>-5.6734449997992868</v>
      </c>
      <c r="W1111" s="3284">
        <f t="shared" si="162"/>
        <v>1.027675140794146</v>
      </c>
      <c r="X1111" s="3300"/>
      <c r="Y1111" s="3316"/>
      <c r="AA1111" s="3301"/>
      <c r="AB1111" s="3409"/>
      <c r="AE1111" s="1056"/>
    </row>
    <row r="1112" spans="2:31" x14ac:dyDescent="0.2">
      <c r="B1112" s="2980" t="s">
        <v>628</v>
      </c>
      <c r="C1112" s="2374">
        <v>44210</v>
      </c>
      <c r="D1112" s="2375">
        <v>8</v>
      </c>
      <c r="E1112" s="2376" t="s">
        <v>836</v>
      </c>
      <c r="F1112" s="2752" t="s">
        <v>818</v>
      </c>
      <c r="G1112" s="2363">
        <v>3.8101851851851852E-2</v>
      </c>
      <c r="H1112" s="2364">
        <v>10.23</v>
      </c>
      <c r="I1112" s="2377">
        <f t="shared" si="161"/>
        <v>3.724521197639477E-3</v>
      </c>
      <c r="J1112" s="2366">
        <v>141</v>
      </c>
      <c r="K1112" s="2013">
        <v>65</v>
      </c>
      <c r="L1112" s="2806">
        <v>216</v>
      </c>
      <c r="M1112" s="2829">
        <v>52</v>
      </c>
      <c r="N1112" s="2368">
        <f t="shared" si="163"/>
        <v>1.0374403641615968</v>
      </c>
      <c r="O1112" s="2369" t="s">
        <v>1460</v>
      </c>
      <c r="P1112" s="2370">
        <f>IFERROR(VLOOKUP(F1112,Trainingsarten!$A$9:$N$84,12,FALSE),"")</f>
        <v>194.60000000000002</v>
      </c>
      <c r="Q1112" s="2371" t="s">
        <v>437</v>
      </c>
      <c r="R1112" s="2371">
        <f>IFERROR(VLOOKUP(F1112,Trainingsarten!$A$9:$N$84,14,FALSE),"")</f>
        <v>212.96</v>
      </c>
      <c r="S1112" s="2372">
        <f t="shared" si="167"/>
        <v>1.5319148936170213</v>
      </c>
      <c r="T1112" s="2280">
        <f t="shared" si="166"/>
        <v>37.914373520038005</v>
      </c>
      <c r="U1112" s="2337">
        <f t="shared" si="164"/>
        <v>33.274436804991133</v>
      </c>
      <c r="V1112" s="2373">
        <f t="shared" si="165"/>
        <v>-0.89945985932171624</v>
      </c>
      <c r="W1112" s="3284">
        <f t="shared" si="162"/>
        <v>1.139444485333885</v>
      </c>
      <c r="X1112" s="3300"/>
      <c r="Y1112" s="3316"/>
      <c r="AA1112" s="3301"/>
      <c r="AB1112" s="3409"/>
      <c r="AE1112" s="1056"/>
    </row>
    <row r="1113" spans="2:31" ht="16" thickBot="1" x14ac:dyDescent="0.25">
      <c r="B1113" s="2981">
        <f>SUM(K1109:K1115)</f>
        <v>288</v>
      </c>
      <c r="C1113" s="2374">
        <v>44211</v>
      </c>
      <c r="D1113" s="2375">
        <v>9</v>
      </c>
      <c r="E1113" s="2376" t="s">
        <v>835</v>
      </c>
      <c r="F1113" s="2752" t="s">
        <v>818</v>
      </c>
      <c r="G1113" s="2363">
        <v>4.8506944444444443E-2</v>
      </c>
      <c r="H1113" s="2364">
        <v>12.5</v>
      </c>
      <c r="I1113" s="2377">
        <f t="shared" si="161"/>
        <v>3.8805555555555555E-3</v>
      </c>
      <c r="J1113" s="2366">
        <v>142</v>
      </c>
      <c r="K1113" s="2013">
        <v>72</v>
      </c>
      <c r="L1113" s="2806"/>
      <c r="M1113" s="2829">
        <v>42</v>
      </c>
      <c r="N1113" s="2368"/>
      <c r="O1113" s="2369" t="s">
        <v>911</v>
      </c>
      <c r="P1113" s="2370">
        <f>IFERROR(VLOOKUP(F1113,Trainingsarten!$A$9:$N$84,12,FALSE),"")</f>
        <v>194.60000000000002</v>
      </c>
      <c r="Q1113" s="2371" t="s">
        <v>437</v>
      </c>
      <c r="R1113" s="2371">
        <f>IFERROR(VLOOKUP(F1113,Trainingsarten!$A$9:$N$84,14,FALSE),"")</f>
        <v>212.96</v>
      </c>
      <c r="S1113" s="2372"/>
      <c r="T1113" s="2280">
        <f t="shared" si="166"/>
        <v>42.783748731461145</v>
      </c>
      <c r="U1113" s="2337">
        <f t="shared" si="164"/>
        <v>34.196474023919919</v>
      </c>
      <c r="V1113" s="2373">
        <f t="shared" si="165"/>
        <v>-4.639936715046872</v>
      </c>
      <c r="W1113" s="3284">
        <f t="shared" si="162"/>
        <v>1.2511157934450949</v>
      </c>
      <c r="X1113" s="3300"/>
      <c r="Y1113" s="3316"/>
      <c r="AA1113" s="3301"/>
      <c r="AB1113" s="3409"/>
      <c r="AE1113" s="1056"/>
    </row>
    <row r="1114" spans="2:31" x14ac:dyDescent="0.2">
      <c r="B1114" s="2982" t="s">
        <v>761</v>
      </c>
      <c r="C1114" s="2374">
        <v>44212</v>
      </c>
      <c r="D1114" s="2375"/>
      <c r="E1114" s="2376"/>
      <c r="F1114" s="2752"/>
      <c r="G1114" s="2363"/>
      <c r="H1114" s="2364" t="str">
        <f>IFERROR(VLOOKUP(F1114,Trainingsarten!$A$9:$K$84,10,FALSE),"")</f>
        <v/>
      </c>
      <c r="I1114" s="2377" t="str">
        <f t="shared" si="161"/>
        <v/>
      </c>
      <c r="J1114" s="2366"/>
      <c r="K1114" s="2013" t="str">
        <f>IFERROR(VLOOKUP(F1114,Trainingsarten!$A$9:$K$84,11,FALSE),"0")</f>
        <v>0</v>
      </c>
      <c r="L1114" s="2806"/>
      <c r="M1114" s="2829"/>
      <c r="N1114" s="2368" t="str">
        <f t="shared" si="163"/>
        <v/>
      </c>
      <c r="O1114" s="2369"/>
      <c r="P1114" s="2370" t="str">
        <f>IFERROR(VLOOKUP(F1114,Trainingsarten!$A$9:$N$84,12,FALSE),"")</f>
        <v/>
      </c>
      <c r="Q1114" s="2371" t="s">
        <v>437</v>
      </c>
      <c r="R1114" s="2371" t="str">
        <f>IFERROR(VLOOKUP(F1114,Trainingsarten!$A$9:$N$84,14,FALSE),"")</f>
        <v/>
      </c>
      <c r="S1114" s="2372" t="str">
        <f t="shared" si="167"/>
        <v/>
      </c>
      <c r="T1114" s="2280">
        <f t="shared" si="166"/>
        <v>36.671784626966698</v>
      </c>
      <c r="U1114" s="2337">
        <f t="shared" si="164"/>
        <v>33.382272261445635</v>
      </c>
      <c r="V1114" s="2373">
        <f t="shared" si="165"/>
        <v>-8.5872747075412263</v>
      </c>
      <c r="W1114" s="3284">
        <f t="shared" si="162"/>
        <v>1.0985406966834981</v>
      </c>
      <c r="X1114" s="3300"/>
      <c r="Y1114" s="3316"/>
      <c r="AA1114" s="3301"/>
      <c r="AB1114" s="3409"/>
      <c r="AE1114" s="1056"/>
    </row>
    <row r="1115" spans="2:31" ht="16" thickBot="1" x14ac:dyDescent="0.25">
      <c r="B1115" s="2983">
        <f>AVERAGE(W1109:W1115)</f>
        <v>1.1545824712021029</v>
      </c>
      <c r="C1115" s="2335">
        <v>44213</v>
      </c>
      <c r="D1115" s="2280">
        <v>10</v>
      </c>
      <c r="E1115" s="2281" t="s">
        <v>836</v>
      </c>
      <c r="F1115" s="2754" t="s">
        <v>809</v>
      </c>
      <c r="G1115" s="2392">
        <v>6.1666666666666668E-2</v>
      </c>
      <c r="H1115" s="2393">
        <v>15.73</v>
      </c>
      <c r="I1115" s="2394">
        <f t="shared" ref="I1115" si="168">IFERROR(G1115/H1115,"")</f>
        <v>3.9203221021402836E-3</v>
      </c>
      <c r="J1115" s="2395">
        <v>137</v>
      </c>
      <c r="K1115" s="2396">
        <v>95</v>
      </c>
      <c r="L1115" s="2808">
        <v>206</v>
      </c>
      <c r="M1115" s="2832">
        <v>61</v>
      </c>
      <c r="N1115" s="2397">
        <f t="shared" ref="N1115" si="169">IFERROR((L1115/67)/(1/(I1115*24)/3.6),"")</f>
        <v>1.0414247895930393</v>
      </c>
      <c r="O1115" s="2398" t="s">
        <v>911</v>
      </c>
      <c r="P1115" s="2336">
        <f>IFERROR(VLOOKUP(F1115,Trainingsarten!$A$9:$N$84,12,FALSE),"")</f>
        <v>194.60000000000002</v>
      </c>
      <c r="Q1115" s="1381" t="s">
        <v>437</v>
      </c>
      <c r="R1115" s="1381">
        <f>IFERROR(VLOOKUP(F1115,Trainingsarten!$A$9:$N$84,14,FALSE),"")</f>
        <v>212.96</v>
      </c>
      <c r="S1115" s="2290">
        <f t="shared" ref="S1115" si="170">IFERROR(L1115/J1115,"")</f>
        <v>1.5036496350364963</v>
      </c>
      <c r="T1115" s="2280">
        <f t="shared" ref="T1115" si="171">T1114+(K1115-T1114)/7</f>
        <v>45.004386823114316</v>
      </c>
      <c r="U1115" s="2337">
        <f t="shared" ref="U1115" si="172">U1114+(K1115-U1114)/42</f>
        <v>34.849361017125503</v>
      </c>
      <c r="V1115" s="2337">
        <f t="shared" ref="V1115" si="173">U1114-T1114</f>
        <v>-3.2895123655210625</v>
      </c>
      <c r="W1115" s="3287">
        <f t="shared" ref="W1115" si="174">T1115/U1115</f>
        <v>1.2913977619560508</v>
      </c>
      <c r="X1115" s="3300"/>
      <c r="Y1115" s="3316"/>
      <c r="AA1115" s="3301"/>
      <c r="AB1115" s="3409"/>
      <c r="AE1115" s="1056"/>
    </row>
    <row r="1116" spans="2:31" ht="16" thickBot="1" x14ac:dyDescent="0.25">
      <c r="B1116" s="2986">
        <f>B1109+1</f>
        <v>3</v>
      </c>
      <c r="C1116" s="2399">
        <v>44214</v>
      </c>
      <c r="D1116" s="2292"/>
      <c r="E1116" s="2293"/>
      <c r="F1116" s="2730"/>
      <c r="G1116" s="2400"/>
      <c r="H1116" s="2401" t="str">
        <f>IFERROR(VLOOKUP(F1116,Trainingsarten!$A$9:$K$84,10,FALSE),"")</f>
        <v/>
      </c>
      <c r="I1116" s="2402" t="str">
        <f t="shared" ref="I1116:I1179" si="175">IFERROR(G1116/H1116,"")</f>
        <v/>
      </c>
      <c r="J1116" s="2403"/>
      <c r="K1116" s="2404" t="str">
        <f>IFERROR(VLOOKUP(F1116,Trainingsarten!$A$9:$K$84,11,FALSE),"0")</f>
        <v>0</v>
      </c>
      <c r="L1116" s="2815"/>
      <c r="M1116" s="2591"/>
      <c r="N1116" s="2296" t="str">
        <f t="shared" ref="N1116:N1179" si="176">IFERROR((L1116/67)/(1/(I1116*24)/3.6),"")</f>
        <v/>
      </c>
      <c r="O1116" s="2405"/>
      <c r="P1116" s="2298" t="str">
        <f>IFERROR(VLOOKUP(F1116,Trainingsarten!$A$9:$N$84,12,FALSE),"")</f>
        <v/>
      </c>
      <c r="Q1116" s="2406" t="s">
        <v>437</v>
      </c>
      <c r="R1116" s="2407" t="str">
        <f>IFERROR(VLOOKUP(F1116,Trainingsarten!$A$9:$N$84,14,FALSE),"")</f>
        <v/>
      </c>
      <c r="S1116" s="2408" t="str">
        <f t="shared" ref="S1116:S1179" si="177">IFERROR(L1116/J1116,"")</f>
        <v/>
      </c>
      <c r="T1116" s="2292">
        <f t="shared" ref="T1116:T1179" si="178">T1115+(K1116-T1115)/7</f>
        <v>38.575188705526557</v>
      </c>
      <c r="U1116" s="2292">
        <f t="shared" ref="U1116:U1179" si="179">U1115+(K1116-U1115)/42</f>
        <v>34.019614326241559</v>
      </c>
      <c r="V1116" s="2292">
        <f t="shared" ref="V1116:V1179" si="180">U1115-T1115</f>
        <v>-10.155025805988814</v>
      </c>
      <c r="W1116" s="3283">
        <f t="shared" ref="W1116:W1179" si="181">T1116/U1116</f>
        <v>1.1339102300101911</v>
      </c>
      <c r="X1116" s="3300"/>
      <c r="Y1116" s="3316"/>
      <c r="AA1116" s="3301"/>
      <c r="AB1116" s="3409"/>
      <c r="AE1116" s="1056"/>
    </row>
    <row r="1117" spans="2:31" x14ac:dyDescent="0.2">
      <c r="B1117" s="2991" t="s">
        <v>626</v>
      </c>
      <c r="C1117" s="2409">
        <v>44215</v>
      </c>
      <c r="D1117" s="2009"/>
      <c r="E1117" s="2010"/>
      <c r="F1117" s="2728"/>
      <c r="G1117" s="2410"/>
      <c r="H1117" s="2411" t="str">
        <f>IFERROR(VLOOKUP(F1117,Trainingsarten!$A$9:$K$84,10,FALSE),"")</f>
        <v/>
      </c>
      <c r="I1117" s="2412" t="str">
        <f t="shared" si="175"/>
        <v/>
      </c>
      <c r="J1117" s="2413"/>
      <c r="K1117" s="2414" t="str">
        <f>IFERROR(VLOOKUP(F1117,Trainingsarten!$A$9:$K$84,11,FALSE),"0")</f>
        <v>0</v>
      </c>
      <c r="L1117" s="2816"/>
      <c r="M1117" s="2840"/>
      <c r="N1117" s="2368" t="str">
        <f t="shared" si="176"/>
        <v/>
      </c>
      <c r="O1117" s="2415"/>
      <c r="P1117" s="2416" t="str">
        <f>IFERROR(VLOOKUP(F1117,Trainingsarten!$A$9:$N$84,12,FALSE),"")</f>
        <v/>
      </c>
      <c r="Q1117" s="2417" t="s">
        <v>437</v>
      </c>
      <c r="R1117" s="2418" t="str">
        <f>IFERROR(VLOOKUP(F1117,Trainingsarten!$A$9:$N$84,14,FALSE),"")</f>
        <v/>
      </c>
      <c r="S1117" s="2419" t="str">
        <f t="shared" si="177"/>
        <v/>
      </c>
      <c r="T1117" s="2009">
        <f t="shared" si="178"/>
        <v>33.064447461879908</v>
      </c>
      <c r="U1117" s="2009">
        <f t="shared" si="179"/>
        <v>33.209623508950095</v>
      </c>
      <c r="V1117" s="2009">
        <f t="shared" si="180"/>
        <v>-4.5555743792849981</v>
      </c>
      <c r="W1117" s="3284">
        <f t="shared" si="181"/>
        <v>0.99562849464309455</v>
      </c>
      <c r="X1117" s="3300"/>
      <c r="Y1117" s="3316"/>
      <c r="AA1117" s="3301"/>
      <c r="AB1117" s="3409"/>
      <c r="AE1117" s="1056"/>
    </row>
    <row r="1118" spans="2:31" ht="16" thickBot="1" x14ac:dyDescent="0.25">
      <c r="B1118" s="2979">
        <f>SUM(H1116:H1122)</f>
        <v>18.760000000000002</v>
      </c>
      <c r="C1118" s="2409">
        <v>44216</v>
      </c>
      <c r="D1118" s="2009">
        <v>11</v>
      </c>
      <c r="E1118" s="2010" t="s">
        <v>836</v>
      </c>
      <c r="F1118" s="2728" t="s">
        <v>824</v>
      </c>
      <c r="G1118" s="2410">
        <v>3.7673611111111109E-2</v>
      </c>
      <c r="H1118" s="2411">
        <v>9.1300000000000008</v>
      </c>
      <c r="I1118" s="2412">
        <f t="shared" si="175"/>
        <v>4.1263539004502857E-3</v>
      </c>
      <c r="J1118" s="2413">
        <v>133</v>
      </c>
      <c r="K1118" s="2414">
        <v>54</v>
      </c>
      <c r="L1118" s="2816">
        <v>198</v>
      </c>
      <c r="M1118" s="2840">
        <v>30</v>
      </c>
      <c r="N1118" s="2368">
        <f t="shared" si="176"/>
        <v>1.0535874842654198</v>
      </c>
      <c r="O1118" s="2415" t="s">
        <v>1460</v>
      </c>
      <c r="P1118" s="2416">
        <f>IFERROR(VLOOKUP(F1118,Trainingsarten!$A$9:$N$84,12,FALSE),"")</f>
        <v>169.39999999999998</v>
      </c>
      <c r="Q1118" s="2417" t="s">
        <v>437</v>
      </c>
      <c r="R1118" s="2418">
        <f>IFERROR(VLOOKUP(F1118,Trainingsarten!$A$9:$N$84,14,FALSE),"")</f>
        <v>193.60000000000002</v>
      </c>
      <c r="S1118" s="2419">
        <f t="shared" si="177"/>
        <v>1.4887218045112782</v>
      </c>
      <c r="T1118" s="2009">
        <f t="shared" si="178"/>
        <v>36.055240681611352</v>
      </c>
      <c r="U1118" s="2009">
        <f t="shared" si="179"/>
        <v>33.704632473022713</v>
      </c>
      <c r="V1118" s="2009">
        <f t="shared" si="180"/>
        <v>0.14517604707018705</v>
      </c>
      <c r="W1118" s="3284">
        <f t="shared" si="181"/>
        <v>1.0697413986184265</v>
      </c>
      <c r="X1118" s="3300"/>
      <c r="Y1118" s="3316"/>
      <c r="AA1118" s="3301"/>
      <c r="AB1118" s="3409"/>
      <c r="AE1118" s="1056"/>
    </row>
    <row r="1119" spans="2:31" x14ac:dyDescent="0.2">
      <c r="B1119" s="2992" t="s">
        <v>628</v>
      </c>
      <c r="C1119" s="2409">
        <v>44217</v>
      </c>
      <c r="D1119" s="2009"/>
      <c r="E1119" s="2010"/>
      <c r="F1119" s="2728"/>
      <c r="G1119" s="2410"/>
      <c r="H1119" s="2411" t="str">
        <f>IFERROR(VLOOKUP(F1119,Trainingsarten!$A$9:$K$84,10,FALSE),"")</f>
        <v/>
      </c>
      <c r="I1119" s="2412" t="str">
        <f t="shared" si="175"/>
        <v/>
      </c>
      <c r="J1119" s="2413"/>
      <c r="K1119" s="2414" t="str">
        <f>IFERROR(VLOOKUP(F1119,Trainingsarten!$A$9:$K$84,11,FALSE),"0")</f>
        <v>0</v>
      </c>
      <c r="L1119" s="2816"/>
      <c r="M1119" s="2840"/>
      <c r="N1119" s="2368" t="str">
        <f t="shared" si="176"/>
        <v/>
      </c>
      <c r="O1119" s="2415"/>
      <c r="P1119" s="2416" t="str">
        <f>IFERROR(VLOOKUP(F1119,Trainingsarten!$A$9:$N$84,12,FALSE),"")</f>
        <v/>
      </c>
      <c r="Q1119" s="2417" t="s">
        <v>437</v>
      </c>
      <c r="R1119" s="2418" t="str">
        <f>IFERROR(VLOOKUP(F1119,Trainingsarten!$A$9:$N$84,14,FALSE),"")</f>
        <v/>
      </c>
      <c r="S1119" s="2419" t="str">
        <f t="shared" si="177"/>
        <v/>
      </c>
      <c r="T1119" s="2009">
        <f t="shared" si="178"/>
        <v>30.90449201280973</v>
      </c>
      <c r="U1119" s="2009">
        <f t="shared" si="179"/>
        <v>32.902141223665026</v>
      </c>
      <c r="V1119" s="2009">
        <f t="shared" si="180"/>
        <v>-2.3506082085886391</v>
      </c>
      <c r="W1119" s="3284">
        <f t="shared" si="181"/>
        <v>0.93928513049422824</v>
      </c>
      <c r="X1119" s="3300"/>
      <c r="Y1119" s="3316"/>
      <c r="AA1119" s="3301"/>
      <c r="AB1119" s="3409"/>
      <c r="AE1119" s="1056"/>
    </row>
    <row r="1120" spans="2:31" ht="16" thickBot="1" x14ac:dyDescent="0.25">
      <c r="B1120" s="2993">
        <f>SUM(K1116:K1122)</f>
        <v>114</v>
      </c>
      <c r="C1120" s="2409">
        <v>44218</v>
      </c>
      <c r="D1120" s="2009">
        <v>12</v>
      </c>
      <c r="E1120" s="2010" t="s">
        <v>836</v>
      </c>
      <c r="F1120" s="2728" t="s">
        <v>827</v>
      </c>
      <c r="G1120" s="2410">
        <v>3.7106481481481483E-2</v>
      </c>
      <c r="H1120" s="2411">
        <v>9.6300000000000008</v>
      </c>
      <c r="I1120" s="2412">
        <f t="shared" si="175"/>
        <v>3.8532171839544631E-3</v>
      </c>
      <c r="J1120" s="2413">
        <v>141</v>
      </c>
      <c r="K1120" s="2414">
        <v>60</v>
      </c>
      <c r="L1120" s="2816">
        <v>210</v>
      </c>
      <c r="M1120" s="2840">
        <v>35</v>
      </c>
      <c r="N1120" s="2368">
        <f t="shared" si="176"/>
        <v>1.0434742176965639</v>
      </c>
      <c r="O1120" s="2415" t="s">
        <v>783</v>
      </c>
      <c r="P1120" s="2416">
        <f>IFERROR(VLOOKUP(F1120,Trainingsarten!$A$9:$N$84,12,FALSE),"")</f>
        <v>194.60000000000002</v>
      </c>
      <c r="Q1120" s="2417" t="s">
        <v>437</v>
      </c>
      <c r="R1120" s="2418">
        <f>IFERROR(VLOOKUP(F1120,Trainingsarten!$A$9:$N$84,14,FALSE),"")</f>
        <v>212.96</v>
      </c>
      <c r="S1120" s="2419">
        <f t="shared" si="177"/>
        <v>1.4893617021276595</v>
      </c>
      <c r="T1120" s="2009">
        <f t="shared" si="178"/>
        <v>35.060993153836911</v>
      </c>
      <c r="U1120" s="2009">
        <f t="shared" si="179"/>
        <v>33.547328337387285</v>
      </c>
      <c r="V1120" s="2009">
        <f t="shared" si="180"/>
        <v>1.9976492108552968</v>
      </c>
      <c r="W1120" s="3284">
        <f t="shared" si="181"/>
        <v>1.0451202790644494</v>
      </c>
      <c r="X1120" s="3300"/>
      <c r="Y1120" s="3316"/>
      <c r="AA1120" s="3301"/>
      <c r="AB1120" s="3409"/>
      <c r="AE1120" s="1056"/>
    </row>
    <row r="1121" spans="2:31" x14ac:dyDescent="0.2">
      <c r="B1121" s="2994" t="s">
        <v>761</v>
      </c>
      <c r="C1121" s="2409">
        <v>44219</v>
      </c>
      <c r="D1121" s="2009"/>
      <c r="E1121" s="2010"/>
      <c r="F1121" s="2728"/>
      <c r="G1121" s="2410"/>
      <c r="H1121" s="2411" t="str">
        <f>IFERROR(VLOOKUP(F1121,Trainingsarten!$A$9:$K$84,10,FALSE),"")</f>
        <v/>
      </c>
      <c r="I1121" s="2412" t="str">
        <f t="shared" si="175"/>
        <v/>
      </c>
      <c r="J1121" s="2413"/>
      <c r="K1121" s="2414" t="str">
        <f>IFERROR(VLOOKUP(F1121,Trainingsarten!$A$9:$K$84,11,FALSE),"0")</f>
        <v>0</v>
      </c>
      <c r="L1121" s="2816"/>
      <c r="M1121" s="2840"/>
      <c r="N1121" s="2368" t="str">
        <f t="shared" si="176"/>
        <v/>
      </c>
      <c r="O1121" s="2415"/>
      <c r="P1121" s="2416" t="str">
        <f>IFERROR(VLOOKUP(F1121,Trainingsarten!$A$9:$N$84,12,FALSE),"")</f>
        <v/>
      </c>
      <c r="Q1121" s="2417" t="s">
        <v>437</v>
      </c>
      <c r="R1121" s="2418" t="str">
        <f>IFERROR(VLOOKUP(F1121,Trainingsarten!$A$9:$N$84,14,FALSE),"")</f>
        <v/>
      </c>
      <c r="S1121" s="2419" t="str">
        <f t="shared" si="177"/>
        <v/>
      </c>
      <c r="T1121" s="2009">
        <f t="shared" si="178"/>
        <v>30.052279846145922</v>
      </c>
      <c r="U1121" s="2009">
        <f t="shared" si="179"/>
        <v>32.74858242459235</v>
      </c>
      <c r="V1121" s="2009">
        <f t="shared" si="180"/>
        <v>-1.5136648164496265</v>
      </c>
      <c r="W1121" s="3284">
        <f t="shared" si="181"/>
        <v>0.91766658649561406</v>
      </c>
      <c r="X1121" s="3300"/>
      <c r="Y1121" s="3316"/>
      <c r="AA1121" s="3301"/>
      <c r="AB1121" s="3409"/>
      <c r="AE1121" s="1056"/>
    </row>
    <row r="1122" spans="2:31" ht="16" thickBot="1" x14ac:dyDescent="0.25">
      <c r="B1122" s="2995">
        <f>AVERAGE(W1116:W1122)</f>
        <v>0.98672973521326923</v>
      </c>
      <c r="C1122" s="2420">
        <v>44220</v>
      </c>
      <c r="D1122" s="2421"/>
      <c r="E1122" s="2422"/>
      <c r="F1122" s="2755"/>
      <c r="G1122" s="2423"/>
      <c r="H1122" s="2424" t="str">
        <f>IFERROR(VLOOKUP(F1122,Trainingsarten!$A$9:$K$84,10,FALSE),"")</f>
        <v/>
      </c>
      <c r="I1122" s="2425" t="str">
        <f t="shared" si="175"/>
        <v/>
      </c>
      <c r="J1122" s="2426"/>
      <c r="K1122" s="2427" t="str">
        <f>IFERROR(VLOOKUP(F1122,Trainingsarten!$A$9:$K$84,11,FALSE),"0")</f>
        <v>0</v>
      </c>
      <c r="L1122" s="2817"/>
      <c r="M1122" s="2841"/>
      <c r="N1122" s="2397" t="str">
        <f t="shared" si="176"/>
        <v/>
      </c>
      <c r="O1122" s="2428"/>
      <c r="P1122" s="2336" t="str">
        <f>IFERROR(VLOOKUP(F1122,Trainingsarten!$A$9:$N$84,12,FALSE),"")</f>
        <v/>
      </c>
      <c r="Q1122" s="2429" t="s">
        <v>437</v>
      </c>
      <c r="R1122" s="2430" t="str">
        <f>IFERROR(VLOOKUP(F1122,Trainingsarten!$A$9:$N$84,14,FALSE),"")</f>
        <v/>
      </c>
      <c r="S1122" s="2431" t="str">
        <f t="shared" si="177"/>
        <v/>
      </c>
      <c r="T1122" s="2421">
        <f t="shared" si="178"/>
        <v>25.759097010982217</v>
      </c>
      <c r="U1122" s="2421">
        <f t="shared" si="179"/>
        <v>31.968854271625865</v>
      </c>
      <c r="V1122" s="2421">
        <f t="shared" si="180"/>
        <v>2.6963025784464278</v>
      </c>
      <c r="W1122" s="3287">
        <f t="shared" si="181"/>
        <v>0.80575602716688055</v>
      </c>
      <c r="X1122" s="3300"/>
      <c r="Y1122" s="3316"/>
      <c r="AA1122" s="3301"/>
      <c r="AB1122" s="3409"/>
      <c r="AE1122" s="1056"/>
    </row>
    <row r="1123" spans="2:31" ht="16" thickBot="1" x14ac:dyDescent="0.25">
      <c r="B1123" s="2986">
        <f>B1116+1</f>
        <v>4</v>
      </c>
      <c r="C1123" s="2399">
        <v>44221</v>
      </c>
      <c r="D1123" s="2292"/>
      <c r="E1123" s="2293"/>
      <c r="F1123" s="2730"/>
      <c r="G1123" s="2400"/>
      <c r="H1123" s="2401" t="str">
        <f>IFERROR(VLOOKUP(F1123,Trainingsarten!$A$9:$K$84,10,FALSE),"")</f>
        <v/>
      </c>
      <c r="I1123" s="2402" t="str">
        <f t="shared" si="175"/>
        <v/>
      </c>
      <c r="J1123" s="2403"/>
      <c r="K1123" s="2404" t="str">
        <f>IFERROR(VLOOKUP(F1123,Trainingsarten!$A$9:$K$84,11,FALSE),"0")</f>
        <v>0</v>
      </c>
      <c r="L1123" s="2815"/>
      <c r="M1123" s="2591"/>
      <c r="N1123" s="2296" t="str">
        <f t="shared" si="176"/>
        <v/>
      </c>
      <c r="O1123" s="2405"/>
      <c r="P1123" s="2298" t="str">
        <f>IFERROR(VLOOKUP(F1123,Trainingsarten!$A$9:$N$84,12,FALSE),"")</f>
        <v/>
      </c>
      <c r="Q1123" s="2406" t="s">
        <v>437</v>
      </c>
      <c r="R1123" s="2407" t="str">
        <f>IFERROR(VLOOKUP(F1123,Trainingsarten!$A$9:$N$84,14,FALSE),"")</f>
        <v/>
      </c>
      <c r="S1123" s="2408" t="str">
        <f t="shared" si="177"/>
        <v/>
      </c>
      <c r="T1123" s="2292">
        <f t="shared" si="178"/>
        <v>22.079226009413329</v>
      </c>
      <c r="U1123" s="2292">
        <f t="shared" si="179"/>
        <v>31.207691074682391</v>
      </c>
      <c r="V1123" s="2292">
        <f t="shared" si="180"/>
        <v>6.2097572606436486</v>
      </c>
      <c r="W1123" s="3283">
        <f t="shared" si="181"/>
        <v>0.70749309702457808</v>
      </c>
      <c r="X1123" s="3300"/>
      <c r="Y1123" s="3316"/>
      <c r="AA1123" s="3301"/>
      <c r="AB1123" s="3409"/>
      <c r="AE1123" s="1056"/>
    </row>
    <row r="1124" spans="2:31" x14ac:dyDescent="0.2">
      <c r="B1124" s="2991" t="s">
        <v>626</v>
      </c>
      <c r="C1124" s="2409">
        <v>44222</v>
      </c>
      <c r="D1124" s="2009">
        <v>13</v>
      </c>
      <c r="E1124" s="2010" t="s">
        <v>836</v>
      </c>
      <c r="F1124" s="2728" t="s">
        <v>818</v>
      </c>
      <c r="G1124" s="2410">
        <v>3.8726851851851853E-2</v>
      </c>
      <c r="H1124" s="2411">
        <v>10.29</v>
      </c>
      <c r="I1124" s="2412">
        <f t="shared" si="175"/>
        <v>3.7635424540186451E-3</v>
      </c>
      <c r="J1124" s="2413">
        <v>140</v>
      </c>
      <c r="K1124" s="2414">
        <v>66</v>
      </c>
      <c r="L1124" s="2816">
        <v>216</v>
      </c>
      <c r="M1124" s="2840">
        <v>47</v>
      </c>
      <c r="N1124" s="2368">
        <f t="shared" si="176"/>
        <v>1.0483094730429487</v>
      </c>
      <c r="O1124" s="2415" t="s">
        <v>911</v>
      </c>
      <c r="P1124" s="2416">
        <f>IFERROR(VLOOKUP(F1124,Trainingsarten!$A$9:$N$84,12,FALSE),"")</f>
        <v>194.60000000000002</v>
      </c>
      <c r="Q1124" s="2432" t="s">
        <v>437</v>
      </c>
      <c r="R1124" s="2418">
        <f>IFERROR(VLOOKUP(F1124,Trainingsarten!$A$9:$N$84,14,FALSE),"")</f>
        <v>212.96</v>
      </c>
      <c r="S1124" s="2419">
        <f t="shared" si="177"/>
        <v>1.5428571428571429</v>
      </c>
      <c r="T1124" s="2009">
        <f t="shared" si="178"/>
        <v>28.353622293782852</v>
      </c>
      <c r="U1124" s="2009">
        <f t="shared" si="179"/>
        <v>32.036079382428049</v>
      </c>
      <c r="V1124" s="2009">
        <f t="shared" si="180"/>
        <v>9.1284650652690615</v>
      </c>
      <c r="W1124" s="3284">
        <f t="shared" si="181"/>
        <v>0.88505281671061653</v>
      </c>
      <c r="X1124" s="3300"/>
      <c r="Y1124" s="3316"/>
      <c r="AA1124" s="3301"/>
      <c r="AB1124" s="3409"/>
      <c r="AE1124" s="1056"/>
    </row>
    <row r="1125" spans="2:31" ht="16" thickBot="1" x14ac:dyDescent="0.25">
      <c r="B1125" s="2979">
        <f>SUM(H1123:H1129)</f>
        <v>48.07</v>
      </c>
      <c r="C1125" s="2409">
        <v>44223</v>
      </c>
      <c r="D1125" s="2009">
        <v>14</v>
      </c>
      <c r="E1125" s="2010" t="s">
        <v>836</v>
      </c>
      <c r="F1125" s="2728" t="s">
        <v>652</v>
      </c>
      <c r="G1125" s="2410">
        <v>4.116898148148148E-2</v>
      </c>
      <c r="H1125" s="2411">
        <v>11.3</v>
      </c>
      <c r="I1125" s="2412">
        <f t="shared" si="175"/>
        <v>3.6432726974762368E-3</v>
      </c>
      <c r="J1125" s="2413">
        <v>151</v>
      </c>
      <c r="K1125" s="2414">
        <v>80</v>
      </c>
      <c r="L1125" s="2816">
        <v>217</v>
      </c>
      <c r="M1125" s="2840">
        <v>22</v>
      </c>
      <c r="N1125" s="2368">
        <f t="shared" si="176"/>
        <v>1.0195073306036189</v>
      </c>
      <c r="O1125" s="2415" t="s">
        <v>1463</v>
      </c>
      <c r="P1125" s="2416" t="str">
        <f>IFERROR(VLOOKUP(F1125,Trainingsarten!$A$9:$N$84,12,FALSE),"")</f>
        <v/>
      </c>
      <c r="Q1125" s="2432" t="s">
        <v>437</v>
      </c>
      <c r="R1125" s="2418" t="str">
        <f>IFERROR(VLOOKUP(F1125,Trainingsarten!$A$9:$N$84,14,FALSE),"")</f>
        <v/>
      </c>
      <c r="S1125" s="2419">
        <f t="shared" si="177"/>
        <v>1.4370860927152318</v>
      </c>
      <c r="T1125" s="2009">
        <f t="shared" si="178"/>
        <v>35.731676251813873</v>
      </c>
      <c r="U1125" s="2009">
        <f t="shared" si="179"/>
        <v>33.178077492370235</v>
      </c>
      <c r="V1125" s="2009">
        <f t="shared" si="180"/>
        <v>3.6824570886451973</v>
      </c>
      <c r="W1125" s="3284">
        <f t="shared" si="181"/>
        <v>1.0769664474992824</v>
      </c>
      <c r="X1125" s="3300"/>
      <c r="Y1125" s="3316"/>
      <c r="AA1125" s="3301"/>
      <c r="AB1125" s="3409"/>
      <c r="AE1125" s="1056"/>
    </row>
    <row r="1126" spans="2:31" x14ac:dyDescent="0.2">
      <c r="B1126" s="2992" t="s">
        <v>628</v>
      </c>
      <c r="C1126" s="2409">
        <v>44224</v>
      </c>
      <c r="D1126" s="2009"/>
      <c r="E1126" s="2010"/>
      <c r="F1126" s="2728"/>
      <c r="G1126" s="2410"/>
      <c r="H1126" s="2411" t="str">
        <f>IFERROR(VLOOKUP(F1126,Trainingsarten!$A$9:$K$84,10,FALSE),"")</f>
        <v/>
      </c>
      <c r="I1126" s="2412" t="str">
        <f t="shared" si="175"/>
        <v/>
      </c>
      <c r="J1126" s="2413"/>
      <c r="K1126" s="2414" t="str">
        <f>IFERROR(VLOOKUP(F1126,Trainingsarten!$A$9:$K$84,11,FALSE),"0")</f>
        <v>0</v>
      </c>
      <c r="L1126" s="2816"/>
      <c r="M1126" s="2840"/>
      <c r="N1126" s="2368" t="str">
        <f t="shared" si="176"/>
        <v/>
      </c>
      <c r="O1126" s="2415"/>
      <c r="P1126" s="2416" t="str">
        <f>IFERROR(VLOOKUP(F1126,Trainingsarten!$A$9:$N$84,12,FALSE),"")</f>
        <v/>
      </c>
      <c r="Q1126" s="2432" t="s">
        <v>437</v>
      </c>
      <c r="R1126" s="2418" t="str">
        <f>IFERROR(VLOOKUP(F1126,Trainingsarten!$A$9:$N$84,14,FALSE),"")</f>
        <v/>
      </c>
      <c r="S1126" s="2419" t="str">
        <f t="shared" si="177"/>
        <v/>
      </c>
      <c r="T1126" s="2009">
        <f t="shared" si="178"/>
        <v>30.62715107298332</v>
      </c>
      <c r="U1126" s="2009">
        <f t="shared" si="179"/>
        <v>32.388123266361418</v>
      </c>
      <c r="V1126" s="2009">
        <f t="shared" si="180"/>
        <v>-2.5535987594436378</v>
      </c>
      <c r="W1126" s="3284">
        <f t="shared" si="181"/>
        <v>0.94562907585302858</v>
      </c>
      <c r="X1126" s="3300"/>
      <c r="Y1126" s="3316"/>
      <c r="AA1126" s="3301"/>
      <c r="AB1126" s="3409"/>
      <c r="AE1126" s="1056"/>
    </row>
    <row r="1127" spans="2:31" ht="16" thickBot="1" x14ac:dyDescent="0.25">
      <c r="B1127" s="2993">
        <f>SUM(K1123:K1129)</f>
        <v>319</v>
      </c>
      <c r="C1127" s="2409">
        <v>44225</v>
      </c>
      <c r="D1127" s="2009">
        <v>15</v>
      </c>
      <c r="E1127" s="2010" t="s">
        <v>836</v>
      </c>
      <c r="F1127" s="2728" t="s">
        <v>899</v>
      </c>
      <c r="G1127" s="2410">
        <v>3.2870370370370376E-2</v>
      </c>
      <c r="H1127" s="2411">
        <v>9.7100000000000009</v>
      </c>
      <c r="I1127" s="2412">
        <f t="shared" si="175"/>
        <v>3.3852080710989056E-3</v>
      </c>
      <c r="J1127" s="2413">
        <v>156</v>
      </c>
      <c r="K1127" s="2414">
        <v>68</v>
      </c>
      <c r="L1127" s="2816">
        <v>235</v>
      </c>
      <c r="M1127" s="2840">
        <v>39</v>
      </c>
      <c r="N1127" s="2368">
        <f t="shared" si="176"/>
        <v>1.025869622023764</v>
      </c>
      <c r="O1127" s="2415" t="s">
        <v>1463</v>
      </c>
      <c r="P1127" s="2416">
        <f>IFERROR(VLOOKUP(F1127,Trainingsarten!$A$9:$N$84,12,FALSE),"")</f>
        <v>230.89999999999998</v>
      </c>
      <c r="Q1127" s="2432" t="s">
        <v>437</v>
      </c>
      <c r="R1127" s="2418">
        <f>IFERROR(VLOOKUP(F1127,Trainingsarten!$A$9:$N$84,14,FALSE),"")</f>
        <v>254.10000000000002</v>
      </c>
      <c r="S1127" s="2419">
        <f t="shared" si="177"/>
        <v>1.5064102564102564</v>
      </c>
      <c r="T1127" s="2009">
        <f t="shared" si="178"/>
        <v>35.966129491128562</v>
      </c>
      <c r="U1127" s="2009">
        <f t="shared" si="179"/>
        <v>33.236025093352815</v>
      </c>
      <c r="V1127" s="2009">
        <f t="shared" si="180"/>
        <v>1.7609721933780982</v>
      </c>
      <c r="W1127" s="3284">
        <f t="shared" si="181"/>
        <v>1.0821429274441656</v>
      </c>
      <c r="X1127" s="3300"/>
      <c r="Y1127" s="3316"/>
      <c r="AA1127" s="3301"/>
      <c r="AB1127" s="3409"/>
      <c r="AE1127" s="1056"/>
    </row>
    <row r="1128" spans="2:31" x14ac:dyDescent="0.2">
      <c r="B1128" s="2994" t="s">
        <v>761</v>
      </c>
      <c r="C1128" s="2409">
        <v>44226</v>
      </c>
      <c r="D1128" s="2009"/>
      <c r="E1128" s="2010"/>
      <c r="F1128" s="2728"/>
      <c r="G1128" s="2410"/>
      <c r="H1128" s="2411" t="str">
        <f>IFERROR(VLOOKUP(F1128,Trainingsarten!$A$9:$K$84,10,FALSE),"")</f>
        <v/>
      </c>
      <c r="I1128" s="2412" t="str">
        <f t="shared" si="175"/>
        <v/>
      </c>
      <c r="J1128" s="2413"/>
      <c r="K1128" s="2414" t="str">
        <f>IFERROR(VLOOKUP(F1128,Trainingsarten!$A$9:$K$84,11,FALSE),"0")</f>
        <v>0</v>
      </c>
      <c r="L1128" s="2816"/>
      <c r="M1128" s="2840"/>
      <c r="N1128" s="2368" t="str">
        <f t="shared" si="176"/>
        <v/>
      </c>
      <c r="O1128" s="2415"/>
      <c r="P1128" s="2416" t="str">
        <f>IFERROR(VLOOKUP(F1128,Trainingsarten!$A$9:$N$84,12,FALSE),"")</f>
        <v/>
      </c>
      <c r="Q1128" s="2432" t="s">
        <v>437</v>
      </c>
      <c r="R1128" s="2418" t="str">
        <f>IFERROR(VLOOKUP(F1128,Trainingsarten!$A$9:$N$84,14,FALSE),"")</f>
        <v/>
      </c>
      <c r="S1128" s="2419" t="str">
        <f t="shared" si="177"/>
        <v/>
      </c>
      <c r="T1128" s="2009">
        <f t="shared" si="178"/>
        <v>30.82811099239591</v>
      </c>
      <c r="U1128" s="2009">
        <f t="shared" si="179"/>
        <v>32.444691162558698</v>
      </c>
      <c r="V1128" s="2009">
        <f t="shared" si="180"/>
        <v>-2.7301043977757473</v>
      </c>
      <c r="W1128" s="3284">
        <f t="shared" si="181"/>
        <v>0.95017427775585273</v>
      </c>
      <c r="X1128" s="3300"/>
      <c r="Y1128" s="3316"/>
      <c r="AA1128" s="3301"/>
      <c r="AB1128" s="3409"/>
      <c r="AE1128" s="1056"/>
    </row>
    <row r="1129" spans="2:31" ht="16" thickBot="1" x14ac:dyDescent="0.25">
      <c r="B1129" s="2995">
        <f>AVERAGE(W1123:W1129)</f>
        <v>0.97995355937387174</v>
      </c>
      <c r="C1129" s="1631">
        <v>44227</v>
      </c>
      <c r="D1129" s="1108">
        <v>16</v>
      </c>
      <c r="E1129" s="1261" t="s">
        <v>836</v>
      </c>
      <c r="F1129" s="2653" t="s">
        <v>809</v>
      </c>
      <c r="G1129" s="2433">
        <v>6.3483796296296302E-2</v>
      </c>
      <c r="H1129" s="2434">
        <v>16.77</v>
      </c>
      <c r="I1129" s="2435">
        <f t="shared" si="175"/>
        <v>3.7855573223790281E-3</v>
      </c>
      <c r="J1129" s="1310">
        <v>142</v>
      </c>
      <c r="K1129" s="2436">
        <v>105</v>
      </c>
      <c r="L1129" s="2818">
        <v>214</v>
      </c>
      <c r="M1129" s="2798">
        <v>43</v>
      </c>
      <c r="N1129" s="1223">
        <f t="shared" si="176"/>
        <v>1.0446782189232728</v>
      </c>
      <c r="O1129" s="2437" t="s">
        <v>911</v>
      </c>
      <c r="P1129" s="1519">
        <f>IFERROR(VLOOKUP(F1129,Trainingsarten!$A$9:$N$84,12,FALSE),"")</f>
        <v>194.60000000000002</v>
      </c>
      <c r="Q1129" s="2438" t="s">
        <v>437</v>
      </c>
      <c r="R1129" s="2439">
        <f>IFERROR(VLOOKUP(F1129,Trainingsarten!$A$9:$N$84,14,FALSE),"")</f>
        <v>212.96</v>
      </c>
      <c r="S1129" s="2440">
        <f t="shared" si="177"/>
        <v>1.5070422535211268</v>
      </c>
      <c r="T1129" s="1108">
        <f t="shared" si="178"/>
        <v>41.424095136339353</v>
      </c>
      <c r="U1129" s="1108">
        <f t="shared" si="179"/>
        <v>34.172198515831113</v>
      </c>
      <c r="V1129" s="1108">
        <f t="shared" si="180"/>
        <v>1.6165801701627878</v>
      </c>
      <c r="W1129" s="3285">
        <f t="shared" si="181"/>
        <v>1.2122162733295787</v>
      </c>
      <c r="X1129" s="3300"/>
      <c r="Y1129" s="3316"/>
      <c r="AA1129" s="3301"/>
      <c r="AB1129" s="3409"/>
      <c r="AE1129" s="1056"/>
    </row>
    <row r="1130" spans="2:31" ht="16" thickBot="1" x14ac:dyDescent="0.25">
      <c r="B1130" s="2986">
        <f>B1123+1</f>
        <v>5</v>
      </c>
      <c r="C1130" s="2441">
        <v>44228</v>
      </c>
      <c r="D1130" s="1111"/>
      <c r="E1130" s="1112"/>
      <c r="F1130" s="2654"/>
      <c r="G1130" s="2442"/>
      <c r="H1130" s="2443" t="str">
        <f>IFERROR(VLOOKUP(F1130,Trainingsarten!$A$9:$K$84,10,FALSE),"")</f>
        <v/>
      </c>
      <c r="I1130" s="2444" t="str">
        <f t="shared" si="175"/>
        <v/>
      </c>
      <c r="J1130" s="1320"/>
      <c r="K1130" s="2445" t="str">
        <f>IFERROR(VLOOKUP(F1130,Trainingsarten!$A$9:$K$84,11,FALSE),"0")</f>
        <v>0</v>
      </c>
      <c r="L1130" s="2819"/>
      <c r="M1130" s="1320"/>
      <c r="N1130" s="1119" t="str">
        <f t="shared" si="176"/>
        <v/>
      </c>
      <c r="O1130" s="2446"/>
      <c r="P1130" s="1121" t="str">
        <f>IFERROR(VLOOKUP(F1130,Trainingsarten!$A$9:$N$84,12,FALSE),"")</f>
        <v/>
      </c>
      <c r="Q1130" s="2447" t="s">
        <v>437</v>
      </c>
      <c r="R1130" s="2448" t="str">
        <f>IFERROR(VLOOKUP(F1130,Trainingsarten!$A$9:$N$84,14,FALSE),"")</f>
        <v/>
      </c>
      <c r="S1130" s="2449" t="str">
        <f t="shared" si="177"/>
        <v/>
      </c>
      <c r="T1130" s="1111">
        <f t="shared" si="178"/>
        <v>35.506367259719447</v>
      </c>
      <c r="U1130" s="1111">
        <f t="shared" si="179"/>
        <v>33.358574741644659</v>
      </c>
      <c r="V1130" s="1111">
        <f t="shared" si="180"/>
        <v>-7.2518966205082407</v>
      </c>
      <c r="W1130" s="3286">
        <f t="shared" si="181"/>
        <v>1.0643850204845082</v>
      </c>
      <c r="X1130" s="3300"/>
      <c r="Y1130" s="3316"/>
      <c r="AA1130" s="3301"/>
      <c r="AB1130" s="3409"/>
      <c r="AE1130" s="1056"/>
    </row>
    <row r="1131" spans="2:31" x14ac:dyDescent="0.2">
      <c r="B1131" s="2991" t="s">
        <v>626</v>
      </c>
      <c r="C1131" s="2409">
        <v>44229</v>
      </c>
      <c r="D1131" s="2009">
        <v>17</v>
      </c>
      <c r="E1131" s="2010" t="s">
        <v>836</v>
      </c>
      <c r="F1131" s="2728" t="s">
        <v>818</v>
      </c>
      <c r="G1131" s="2410">
        <v>3.7245370370370366E-2</v>
      </c>
      <c r="H1131" s="2411">
        <v>9.9499999999999993</v>
      </c>
      <c r="I1131" s="2412">
        <f t="shared" si="175"/>
        <v>3.7432533035548108E-3</v>
      </c>
      <c r="J1131" s="2413">
        <v>141</v>
      </c>
      <c r="K1131" s="2414">
        <f>IFERROR(VLOOKUP(F1131,Trainingsarten!$A$9:$K$84,11,FALSE),"0")</f>
        <v>76.7176145167969</v>
      </c>
      <c r="L1131" s="2816">
        <v>217</v>
      </c>
      <c r="M1131" s="2840">
        <v>31</v>
      </c>
      <c r="N1131" s="2368">
        <f t="shared" si="176"/>
        <v>1.047485187129678</v>
      </c>
      <c r="O1131" s="2415" t="s">
        <v>1460</v>
      </c>
      <c r="P1131" s="2416">
        <f>IFERROR(VLOOKUP(F1131,Trainingsarten!$A$9:$N$84,12,FALSE),"")</f>
        <v>194.60000000000002</v>
      </c>
      <c r="Q1131" s="2417" t="s">
        <v>437</v>
      </c>
      <c r="R1131" s="2418">
        <f>IFERROR(VLOOKUP(F1131,Trainingsarten!$A$9:$N$84,14,FALSE),"")</f>
        <v>212.96</v>
      </c>
      <c r="S1131" s="2419">
        <f t="shared" si="177"/>
        <v>1.5390070921985815</v>
      </c>
      <c r="T1131" s="2009">
        <f t="shared" si="178"/>
        <v>41.3936882964448</v>
      </c>
      <c r="U1131" s="2009">
        <f t="shared" si="179"/>
        <v>34.390932831529234</v>
      </c>
      <c r="V1131" s="2009">
        <f t="shared" si="180"/>
        <v>-2.1477925180747874</v>
      </c>
      <c r="W1131" s="3284">
        <f t="shared" si="181"/>
        <v>1.2036221436394281</v>
      </c>
      <c r="X1131" s="3300"/>
      <c r="Y1131" s="3316"/>
      <c r="AA1131" s="3301"/>
      <c r="AB1131" s="3409"/>
      <c r="AE1131" s="1056"/>
    </row>
    <row r="1132" spans="2:31" ht="16" thickBot="1" x14ac:dyDescent="0.25">
      <c r="B1132" s="2979">
        <f>SUM(H1130:H1136)</f>
        <v>49.38</v>
      </c>
      <c r="C1132" s="2409">
        <v>44230</v>
      </c>
      <c r="D1132" s="2009"/>
      <c r="E1132" s="2010"/>
      <c r="F1132" s="2728"/>
      <c r="G1132" s="2410"/>
      <c r="H1132" s="2411" t="str">
        <f>IFERROR(VLOOKUP(F1132,Trainingsarten!$A$9:$K$84,10,FALSE),"")</f>
        <v/>
      </c>
      <c r="I1132" s="2412" t="str">
        <f t="shared" si="175"/>
        <v/>
      </c>
      <c r="J1132" s="2413"/>
      <c r="K1132" s="2414" t="str">
        <f>IFERROR(VLOOKUP(F1132,Trainingsarten!$A$9:$K$84,11,FALSE),"0")</f>
        <v>0</v>
      </c>
      <c r="L1132" s="2816"/>
      <c r="M1132" s="2840"/>
      <c r="N1132" s="2368" t="str">
        <f t="shared" si="176"/>
        <v/>
      </c>
      <c r="O1132" s="2415"/>
      <c r="P1132" s="2416" t="str">
        <f>IFERROR(VLOOKUP(F1132,Trainingsarten!$A$9:$N$84,12,FALSE),"")</f>
        <v/>
      </c>
      <c r="Q1132" s="2417" t="s">
        <v>437</v>
      </c>
      <c r="R1132" s="2418" t="str">
        <f>IFERROR(VLOOKUP(F1132,Trainingsarten!$A$9:$N$84,14,FALSE),"")</f>
        <v/>
      </c>
      <c r="S1132" s="2419" t="str">
        <f t="shared" si="177"/>
        <v/>
      </c>
      <c r="T1132" s="2009">
        <f t="shared" si="178"/>
        <v>35.480304254095543</v>
      </c>
      <c r="U1132" s="2009">
        <f t="shared" si="179"/>
        <v>33.572101097445206</v>
      </c>
      <c r="V1132" s="2009">
        <f t="shared" si="180"/>
        <v>-7.0027554649155661</v>
      </c>
      <c r="W1132" s="3284">
        <f t="shared" si="181"/>
        <v>1.0568389553907171</v>
      </c>
      <c r="X1132" s="3300"/>
      <c r="Y1132" s="3316"/>
      <c r="AA1132" s="3301"/>
      <c r="AB1132" s="3409"/>
      <c r="AE1132" s="1056"/>
    </row>
    <row r="1133" spans="2:31" x14ac:dyDescent="0.2">
      <c r="B1133" s="2992" t="s">
        <v>628</v>
      </c>
      <c r="C1133" s="2409">
        <v>44231</v>
      </c>
      <c r="D1133" s="2009">
        <v>18</v>
      </c>
      <c r="E1133" s="2010" t="s">
        <v>836</v>
      </c>
      <c r="F1133" s="2728" t="s">
        <v>900</v>
      </c>
      <c r="G1133" s="2410">
        <v>4.2766203703703702E-2</v>
      </c>
      <c r="H1133" s="2411">
        <v>12.71</v>
      </c>
      <c r="I1133" s="2412">
        <f t="shared" si="175"/>
        <v>3.3647681906926593E-3</v>
      </c>
      <c r="J1133" s="2413">
        <v>155</v>
      </c>
      <c r="K1133" s="2414">
        <v>92</v>
      </c>
      <c r="L1133" s="2816">
        <v>236</v>
      </c>
      <c r="M1133" s="2840">
        <v>38</v>
      </c>
      <c r="N1133" s="2368">
        <f t="shared" si="176"/>
        <v>1.0240144673955163</v>
      </c>
      <c r="O1133" s="2415" t="s">
        <v>1463</v>
      </c>
      <c r="P1133" s="2416">
        <f>IFERROR(VLOOKUP(F1133,Trainingsarten!$A$9:$N$84,12,FALSE),"")</f>
        <v>230.89999999999998</v>
      </c>
      <c r="Q1133" s="2417" t="s">
        <v>437</v>
      </c>
      <c r="R1133" s="2418">
        <f>IFERROR(VLOOKUP(F1133,Trainingsarten!$A$9:$N$84,14,FALSE),"")</f>
        <v>254.10000000000002</v>
      </c>
      <c r="S1133" s="2419">
        <f t="shared" si="177"/>
        <v>1.5225806451612902</v>
      </c>
      <c r="T1133" s="2009">
        <f t="shared" si="178"/>
        <v>43.554546503510466</v>
      </c>
      <c r="U1133" s="2009">
        <f t="shared" si="179"/>
        <v>34.963241547506037</v>
      </c>
      <c r="V1133" s="2009">
        <f t="shared" si="180"/>
        <v>-1.9082031566503375</v>
      </c>
      <c r="W1133" s="3284">
        <f t="shared" si="181"/>
        <v>1.2457239253497436</v>
      </c>
      <c r="X1133" s="3300"/>
      <c r="Y1133" s="3316"/>
      <c r="AA1133" s="3301"/>
      <c r="AB1133" s="3409"/>
      <c r="AE1133" s="1056"/>
    </row>
    <row r="1134" spans="2:31" ht="16" thickBot="1" x14ac:dyDescent="0.25">
      <c r="B1134" s="2993">
        <f>SUM(K1130:K1136)</f>
        <v>332.71761451679691</v>
      </c>
      <c r="C1134" s="2409">
        <v>44232</v>
      </c>
      <c r="D1134" s="2009">
        <v>19</v>
      </c>
      <c r="E1134" s="2010" t="s">
        <v>836</v>
      </c>
      <c r="F1134" s="2728" t="s">
        <v>824</v>
      </c>
      <c r="G1134" s="2410">
        <v>4.0219907407407406E-2</v>
      </c>
      <c r="H1134" s="2411">
        <v>9.94</v>
      </c>
      <c r="I1134" s="2412">
        <f t="shared" si="175"/>
        <v>4.0462683508458155E-3</v>
      </c>
      <c r="J1134" s="2413">
        <v>131</v>
      </c>
      <c r="K1134" s="2414">
        <v>58</v>
      </c>
      <c r="L1134" s="2816">
        <v>200</v>
      </c>
      <c r="M1134" s="2840">
        <v>27</v>
      </c>
      <c r="N1134" s="2368">
        <f t="shared" si="176"/>
        <v>1.0435748821285924</v>
      </c>
      <c r="O1134" s="2415" t="s">
        <v>1460</v>
      </c>
      <c r="P1134" s="2416">
        <f>IFERROR(VLOOKUP(F1134,Trainingsarten!$A$9:$N$84,12,FALSE),"")</f>
        <v>169.39999999999998</v>
      </c>
      <c r="Q1134" s="2417" t="s">
        <v>437</v>
      </c>
      <c r="R1134" s="2418">
        <f>IFERROR(VLOOKUP(F1134,Trainingsarten!$A$9:$N$84,14,FALSE),"")</f>
        <v>193.60000000000002</v>
      </c>
      <c r="S1134" s="2419">
        <f t="shared" si="177"/>
        <v>1.5267175572519085</v>
      </c>
      <c r="T1134" s="2009">
        <f t="shared" si="178"/>
        <v>45.618182717294687</v>
      </c>
      <c r="U1134" s="2009">
        <f t="shared" si="179"/>
        <v>35.511735796374943</v>
      </c>
      <c r="V1134" s="2009">
        <f t="shared" si="180"/>
        <v>-8.5913049560044286</v>
      </c>
      <c r="W1134" s="3284">
        <f t="shared" si="181"/>
        <v>1.2845945627347064</v>
      </c>
      <c r="X1134" s="3300"/>
      <c r="Y1134" s="3316"/>
      <c r="AA1134" s="3301"/>
      <c r="AB1134" s="3409"/>
      <c r="AE1134" s="1056"/>
    </row>
    <row r="1135" spans="2:31" x14ac:dyDescent="0.2">
      <c r="B1135" s="2994" t="s">
        <v>761</v>
      </c>
      <c r="C1135" s="2409">
        <v>44233</v>
      </c>
      <c r="D1135" s="2009"/>
      <c r="E1135" s="2010"/>
      <c r="F1135" s="2728"/>
      <c r="G1135" s="2410"/>
      <c r="H1135" s="2411" t="str">
        <f>IFERROR(VLOOKUP(F1135,Trainingsarten!$A$9:$K$84,10,FALSE),"")</f>
        <v/>
      </c>
      <c r="I1135" s="2412" t="str">
        <f t="shared" si="175"/>
        <v/>
      </c>
      <c r="J1135" s="2413"/>
      <c r="K1135" s="2414" t="str">
        <f>IFERROR(VLOOKUP(F1135,Trainingsarten!$A$9:$K$84,11,FALSE),"0")</f>
        <v>0</v>
      </c>
      <c r="L1135" s="2816"/>
      <c r="M1135" s="2840"/>
      <c r="N1135" s="2368" t="str">
        <f t="shared" si="176"/>
        <v/>
      </c>
      <c r="O1135" s="2415"/>
      <c r="P1135" s="2416" t="str">
        <f>IFERROR(VLOOKUP(F1135,Trainingsarten!$A$9:$N$84,12,FALSE),"")</f>
        <v/>
      </c>
      <c r="Q1135" s="2417" t="s">
        <v>437</v>
      </c>
      <c r="R1135" s="2418" t="str">
        <f>IFERROR(VLOOKUP(F1135,Trainingsarten!$A$9:$N$84,14,FALSE),"")</f>
        <v/>
      </c>
      <c r="S1135" s="2419" t="str">
        <f t="shared" si="177"/>
        <v/>
      </c>
      <c r="T1135" s="2009">
        <f t="shared" si="178"/>
        <v>39.101299471966875</v>
      </c>
      <c r="U1135" s="2009">
        <f t="shared" si="179"/>
        <v>34.666218277413634</v>
      </c>
      <c r="V1135" s="2009">
        <f t="shared" si="180"/>
        <v>-10.106446920919744</v>
      </c>
      <c r="W1135" s="3284">
        <f t="shared" si="181"/>
        <v>1.1279366892304739</v>
      </c>
      <c r="X1135" s="3300"/>
      <c r="Y1135" s="3316"/>
      <c r="AA1135" s="3301"/>
      <c r="AB1135" s="3409"/>
      <c r="AE1135" s="1056"/>
    </row>
    <row r="1136" spans="2:31" ht="16" thickBot="1" x14ac:dyDescent="0.25">
      <c r="B1136" s="2995">
        <f>AVERAGE(W1130:W1136)</f>
        <v>1.188738052062327</v>
      </c>
      <c r="C1136" s="2420">
        <v>44234</v>
      </c>
      <c r="D1136" s="2421">
        <v>20</v>
      </c>
      <c r="E1136" s="2422" t="s">
        <v>836</v>
      </c>
      <c r="F1136" s="2755" t="s">
        <v>809</v>
      </c>
      <c r="G1136" s="2423">
        <v>6.4317129629629641E-2</v>
      </c>
      <c r="H1136" s="2424">
        <v>16.78</v>
      </c>
      <c r="I1136" s="2425">
        <f t="shared" si="175"/>
        <v>3.8329636251269151E-3</v>
      </c>
      <c r="J1136" s="2426">
        <v>142</v>
      </c>
      <c r="K1136" s="2427">
        <v>106</v>
      </c>
      <c r="L1136" s="2817">
        <v>213</v>
      </c>
      <c r="M1136" s="2841">
        <v>47</v>
      </c>
      <c r="N1136" s="2397">
        <f t="shared" si="176"/>
        <v>1.0528178535214276</v>
      </c>
      <c r="O1136" s="2428" t="s">
        <v>911</v>
      </c>
      <c r="P1136" s="2336">
        <f>IFERROR(VLOOKUP(F1136,Trainingsarten!$A$9:$N$84,12,FALSE),"")</f>
        <v>194.60000000000002</v>
      </c>
      <c r="Q1136" s="2429" t="s">
        <v>437</v>
      </c>
      <c r="R1136" s="2430">
        <f>IFERROR(VLOOKUP(F1136,Trainingsarten!$A$9:$N$84,14,FALSE),"")</f>
        <v>212.96</v>
      </c>
      <c r="S1136" s="2431">
        <f t="shared" si="177"/>
        <v>1.5</v>
      </c>
      <c r="T1136" s="2421">
        <f t="shared" si="178"/>
        <v>48.658256690257318</v>
      </c>
      <c r="U1136" s="2421">
        <f t="shared" si="179"/>
        <v>36.364641651760927</v>
      </c>
      <c r="V1136" s="2421">
        <f t="shared" si="180"/>
        <v>-4.4350811945532413</v>
      </c>
      <c r="W1136" s="3287">
        <f t="shared" si="181"/>
        <v>1.3380650676067114</v>
      </c>
      <c r="X1136" s="3300"/>
      <c r="Y1136" s="3316"/>
      <c r="AA1136" s="3301"/>
      <c r="AB1136" s="3409"/>
      <c r="AE1136" s="1056"/>
    </row>
    <row r="1137" spans="2:31" ht="16" thickBot="1" x14ac:dyDescent="0.25">
      <c r="B1137" s="2986">
        <f>B1130+1</f>
        <v>6</v>
      </c>
      <c r="C1137" s="2399">
        <v>44235</v>
      </c>
      <c r="D1137" s="2292"/>
      <c r="E1137" s="2293"/>
      <c r="F1137" s="2730"/>
      <c r="G1137" s="2400"/>
      <c r="H1137" s="2401" t="str">
        <f>IFERROR(VLOOKUP(F1137,Trainingsarten!$A$9:$K$84,10,FALSE),"")</f>
        <v/>
      </c>
      <c r="I1137" s="2402" t="str">
        <f t="shared" si="175"/>
        <v/>
      </c>
      <c r="J1137" s="2403"/>
      <c r="K1137" s="2404" t="str">
        <f>IFERROR(VLOOKUP(F1137,Trainingsarten!$A$9:$K$84,11,FALSE),"0")</f>
        <v>0</v>
      </c>
      <c r="L1137" s="2815"/>
      <c r="M1137" s="2591"/>
      <c r="N1137" s="2296" t="str">
        <f t="shared" si="176"/>
        <v/>
      </c>
      <c r="O1137" s="2405"/>
      <c r="P1137" s="2298" t="str">
        <f>IFERROR(VLOOKUP(F1137,Trainingsarten!$A$9:$N$84,12,FALSE),"")</f>
        <v/>
      </c>
      <c r="Q1137" s="2406" t="s">
        <v>437</v>
      </c>
      <c r="R1137" s="2407" t="str">
        <f>IFERROR(VLOOKUP(F1137,Trainingsarten!$A$9:$N$84,14,FALSE),"")</f>
        <v/>
      </c>
      <c r="S1137" s="2408" t="str">
        <f t="shared" si="177"/>
        <v/>
      </c>
      <c r="T1137" s="2292">
        <f t="shared" si="178"/>
        <v>41.707077163077699</v>
      </c>
      <c r="U1137" s="2292">
        <f t="shared" si="179"/>
        <v>35.498816850528527</v>
      </c>
      <c r="V1137" s="2292">
        <f t="shared" si="180"/>
        <v>-12.293615038496391</v>
      </c>
      <c r="W1137" s="3283">
        <f t="shared" si="181"/>
        <v>1.174886400825405</v>
      </c>
      <c r="X1137" s="3300"/>
      <c r="Y1137" s="3316"/>
      <c r="AA1137" s="3301"/>
      <c r="AB1137" s="3409"/>
      <c r="AE1137" s="1056"/>
    </row>
    <row r="1138" spans="2:31" x14ac:dyDescent="0.2">
      <c r="B1138" s="2991" t="s">
        <v>626</v>
      </c>
      <c r="C1138" s="2409">
        <v>44236</v>
      </c>
      <c r="D1138" s="2009"/>
      <c r="E1138" s="2010"/>
      <c r="F1138" s="2728"/>
      <c r="G1138" s="2410"/>
      <c r="H1138" s="2411" t="str">
        <f>IFERROR(VLOOKUP(F1138,Trainingsarten!$A$9:$K$84,10,FALSE),"")</f>
        <v/>
      </c>
      <c r="I1138" s="2412" t="str">
        <f t="shared" si="175"/>
        <v/>
      </c>
      <c r="J1138" s="2413"/>
      <c r="K1138" s="2414" t="str">
        <f>IFERROR(VLOOKUP(F1138,Trainingsarten!$A$9:$K$84,11,FALSE),"0")</f>
        <v>0</v>
      </c>
      <c r="L1138" s="2816"/>
      <c r="M1138" s="2840"/>
      <c r="N1138" s="2368" t="str">
        <f t="shared" si="176"/>
        <v/>
      </c>
      <c r="O1138" s="2415"/>
      <c r="P1138" s="2416" t="str">
        <f>IFERROR(VLOOKUP(F1138,Trainingsarten!$A$9:$N$84,12,FALSE),"")</f>
        <v/>
      </c>
      <c r="Q1138" s="2432" t="s">
        <v>437</v>
      </c>
      <c r="R1138" s="2418" t="str">
        <f>IFERROR(VLOOKUP(F1138,Trainingsarten!$A$9:$N$84,14,FALSE),"")</f>
        <v/>
      </c>
      <c r="S1138" s="2419" t="str">
        <f t="shared" si="177"/>
        <v/>
      </c>
      <c r="T1138" s="2009">
        <f t="shared" si="178"/>
        <v>35.748923282638025</v>
      </c>
      <c r="U1138" s="2009">
        <f t="shared" si="179"/>
        <v>34.653606925515945</v>
      </c>
      <c r="V1138" s="2009">
        <f t="shared" si="180"/>
        <v>-6.2082603125491715</v>
      </c>
      <c r="W1138" s="3284">
        <f t="shared" si="181"/>
        <v>1.031607571456453</v>
      </c>
      <c r="X1138" s="3300"/>
      <c r="Y1138" s="3316"/>
      <c r="AA1138" s="3301"/>
      <c r="AB1138" s="3409"/>
      <c r="AE1138" s="1056"/>
    </row>
    <row r="1139" spans="2:31" ht="16" thickBot="1" x14ac:dyDescent="0.25">
      <c r="B1139" s="2979">
        <f>SUM(H1137:H1143)</f>
        <v>29.9</v>
      </c>
      <c r="C1139" s="2409">
        <v>44237</v>
      </c>
      <c r="D1139" s="2009">
        <v>21</v>
      </c>
      <c r="E1139" s="2010" t="s">
        <v>836</v>
      </c>
      <c r="F1139" s="2728" t="s">
        <v>827</v>
      </c>
      <c r="G1139" s="2410">
        <v>3.4108796296296297E-2</v>
      </c>
      <c r="H1139" s="2411">
        <v>9.1199999999999992</v>
      </c>
      <c r="I1139" s="2412">
        <f t="shared" si="175"/>
        <v>3.7399995938921381E-3</v>
      </c>
      <c r="J1139" s="2413">
        <v>139</v>
      </c>
      <c r="K1139" s="2414">
        <v>58</v>
      </c>
      <c r="L1139" s="2816">
        <v>218</v>
      </c>
      <c r="M1139" s="2840">
        <v>33</v>
      </c>
      <c r="N1139" s="2368">
        <f t="shared" si="176"/>
        <v>1.0513976171772716</v>
      </c>
      <c r="O1139" s="2415" t="s">
        <v>783</v>
      </c>
      <c r="P1139" s="2416">
        <f>IFERROR(VLOOKUP(F1139,Trainingsarten!$A$9:$N$84,12,FALSE),"")</f>
        <v>194.60000000000002</v>
      </c>
      <c r="Q1139" s="2432" t="s">
        <v>437</v>
      </c>
      <c r="R1139" s="2418">
        <f>IFERROR(VLOOKUP(F1139,Trainingsarten!$A$9:$N$84,14,FALSE),"")</f>
        <v>212.96</v>
      </c>
      <c r="S1139" s="2419">
        <f t="shared" si="177"/>
        <v>1.5683453237410072</v>
      </c>
      <c r="T1139" s="2009">
        <f t="shared" si="178"/>
        <v>38.92764852797545</v>
      </c>
      <c r="U1139" s="2009">
        <f t="shared" si="179"/>
        <v>35.209473427289375</v>
      </c>
      <c r="V1139" s="2009">
        <f t="shared" si="180"/>
        <v>-1.0953163571220799</v>
      </c>
      <c r="W1139" s="3284">
        <f t="shared" si="181"/>
        <v>1.1056015537512776</v>
      </c>
      <c r="X1139" s="3300"/>
      <c r="Y1139" s="3316"/>
      <c r="AA1139" s="3301"/>
      <c r="AB1139" s="3409"/>
      <c r="AE1139" s="2450"/>
    </row>
    <row r="1140" spans="2:31" x14ac:dyDescent="0.2">
      <c r="B1140" s="2992" t="s">
        <v>628</v>
      </c>
      <c r="C1140" s="2409">
        <v>44238</v>
      </c>
      <c r="D1140" s="2009"/>
      <c r="E1140" s="2010"/>
      <c r="F1140" s="2728"/>
      <c r="G1140" s="2410"/>
      <c r="H1140" s="2411" t="str">
        <f>IFERROR(VLOOKUP(F1140,Trainingsarten!$A$9:$K$84,10,FALSE),"")</f>
        <v/>
      </c>
      <c r="I1140" s="2412" t="str">
        <f t="shared" si="175"/>
        <v/>
      </c>
      <c r="J1140" s="2413"/>
      <c r="K1140" s="2414" t="str">
        <f>IFERROR(VLOOKUP(F1140,Trainingsarten!$A$9:$K$84,11,FALSE),"0")</f>
        <v>0</v>
      </c>
      <c r="L1140" s="2816"/>
      <c r="M1140" s="2840"/>
      <c r="N1140" s="2368" t="str">
        <f t="shared" si="176"/>
        <v/>
      </c>
      <c r="O1140" s="2415"/>
      <c r="P1140" s="2416" t="str">
        <f>IFERROR(VLOOKUP(F1140,Trainingsarten!$A$9:$N$84,12,FALSE),"")</f>
        <v/>
      </c>
      <c r="Q1140" s="2432" t="s">
        <v>437</v>
      </c>
      <c r="R1140" s="2418" t="str">
        <f>IFERROR(VLOOKUP(F1140,Trainingsarten!$A$9:$N$84,14,FALSE),"")</f>
        <v/>
      </c>
      <c r="S1140" s="2419" t="str">
        <f t="shared" si="177"/>
        <v/>
      </c>
      <c r="T1140" s="2009">
        <f t="shared" si="178"/>
        <v>33.366555881121812</v>
      </c>
      <c r="U1140" s="2009">
        <f t="shared" si="179"/>
        <v>34.371152631401529</v>
      </c>
      <c r="V1140" s="2009">
        <f t="shared" si="180"/>
        <v>-3.718175100686075</v>
      </c>
      <c r="W1140" s="3284">
        <f t="shared" si="181"/>
        <v>0.97077209597673153</v>
      </c>
      <c r="X1140" s="3300"/>
      <c r="Y1140" s="3316"/>
      <c r="AA1140" s="3301"/>
      <c r="AB1140" s="3409"/>
      <c r="AE1140" s="1056"/>
    </row>
    <row r="1141" spans="2:31" ht="16" thickBot="1" x14ac:dyDescent="0.25">
      <c r="B1141" s="2993">
        <f>SUM(K1137:K1143)</f>
        <v>190</v>
      </c>
      <c r="C1141" s="2409">
        <v>44239</v>
      </c>
      <c r="D1141" s="2009">
        <v>22</v>
      </c>
      <c r="E1141" s="2010" t="s">
        <v>836</v>
      </c>
      <c r="F1141" s="2728" t="s">
        <v>818</v>
      </c>
      <c r="G1141" s="2410">
        <v>3.9733796296296302E-2</v>
      </c>
      <c r="H1141" s="2411">
        <v>10.220000000000001</v>
      </c>
      <c r="I1141" s="2412">
        <f t="shared" si="175"/>
        <v>3.8878469957237083E-3</v>
      </c>
      <c r="J1141" s="2413">
        <v>144</v>
      </c>
      <c r="K1141" s="2414">
        <v>64</v>
      </c>
      <c r="L1141" s="2816">
        <v>211</v>
      </c>
      <c r="M1141" s="2840">
        <v>31</v>
      </c>
      <c r="N1141" s="2368">
        <f t="shared" si="176"/>
        <v>1.057865759266291</v>
      </c>
      <c r="O1141" s="2415" t="s">
        <v>1460</v>
      </c>
      <c r="P1141" s="2416">
        <f>IFERROR(VLOOKUP(F1141,Trainingsarten!$A$9:$N$84,12,FALSE),"")</f>
        <v>194.60000000000002</v>
      </c>
      <c r="Q1141" s="2432" t="s">
        <v>437</v>
      </c>
      <c r="R1141" s="2418">
        <f>IFERROR(VLOOKUP(F1141,Trainingsarten!$A$9:$N$84,14,FALSE),"")</f>
        <v>212.96</v>
      </c>
      <c r="S1141" s="2419">
        <f t="shared" si="177"/>
        <v>1.4652777777777777</v>
      </c>
      <c r="T1141" s="2009">
        <f t="shared" si="178"/>
        <v>37.742762183818698</v>
      </c>
      <c r="U1141" s="2009">
        <f t="shared" si="179"/>
        <v>35.076601378272919</v>
      </c>
      <c r="V1141" s="2009">
        <f t="shared" si="180"/>
        <v>1.0045967502797168</v>
      </c>
      <c r="W1141" s="3284">
        <f t="shared" si="181"/>
        <v>1.0760096674359463</v>
      </c>
      <c r="X1141" s="3300"/>
      <c r="Y1141" s="3316"/>
      <c r="AA1141" s="3301"/>
      <c r="AB1141" s="3409"/>
      <c r="AE1141" s="1056"/>
    </row>
    <row r="1142" spans="2:31" x14ac:dyDescent="0.2">
      <c r="B1142" s="2994" t="s">
        <v>761</v>
      </c>
      <c r="C1142" s="2409">
        <v>44240</v>
      </c>
      <c r="D1142" s="2009"/>
      <c r="E1142" s="2010"/>
      <c r="F1142" s="2728"/>
      <c r="G1142" s="2410"/>
      <c r="H1142" s="2411" t="str">
        <f>IFERROR(VLOOKUP(F1142,Trainingsarten!$A$9:$K$84,10,FALSE),"")</f>
        <v/>
      </c>
      <c r="I1142" s="2412" t="str">
        <f t="shared" si="175"/>
        <v/>
      </c>
      <c r="J1142" s="2413"/>
      <c r="K1142" s="2414" t="str">
        <f>IFERROR(VLOOKUP(F1142,Trainingsarten!$A$9:$K$84,11,FALSE),"0")</f>
        <v>0</v>
      </c>
      <c r="L1142" s="2816"/>
      <c r="M1142" s="2840"/>
      <c r="N1142" s="2368" t="str">
        <f t="shared" si="176"/>
        <v/>
      </c>
      <c r="O1142" s="2415"/>
      <c r="P1142" s="2416" t="str">
        <f>IFERROR(VLOOKUP(F1142,Trainingsarten!$A$9:$N$84,12,FALSE),"")</f>
        <v/>
      </c>
      <c r="Q1142" s="2432" t="s">
        <v>437</v>
      </c>
      <c r="R1142" s="2418" t="str">
        <f>IFERROR(VLOOKUP(F1142,Trainingsarten!$A$9:$N$84,14,FALSE),"")</f>
        <v/>
      </c>
      <c r="S1142" s="2419" t="str">
        <f t="shared" si="177"/>
        <v/>
      </c>
      <c r="T1142" s="2009">
        <f t="shared" si="178"/>
        <v>32.350939014701744</v>
      </c>
      <c r="U1142" s="2009">
        <f t="shared" si="179"/>
        <v>34.241444202599752</v>
      </c>
      <c r="V1142" s="2009">
        <f t="shared" si="180"/>
        <v>-2.6661608055457791</v>
      </c>
      <c r="W1142" s="3284">
        <f t="shared" si="181"/>
        <v>0.94478897628522129</v>
      </c>
      <c r="X1142" s="3300"/>
      <c r="Y1142" s="3316"/>
      <c r="AA1142" s="3301"/>
      <c r="AB1142" s="3409"/>
      <c r="AE1142" s="1056"/>
    </row>
    <row r="1143" spans="2:31" ht="16" thickBot="1" x14ac:dyDescent="0.25">
      <c r="B1143" s="2995">
        <f>AVERAGE(W1137:W1143)</f>
        <v>1.0531578254210543</v>
      </c>
      <c r="C1143" s="1631">
        <v>44241</v>
      </c>
      <c r="D1143" s="1108">
        <v>23</v>
      </c>
      <c r="E1143" s="1261" t="s">
        <v>836</v>
      </c>
      <c r="F1143" s="2653" t="s">
        <v>818</v>
      </c>
      <c r="G1143" s="2433">
        <v>3.9444444444444442E-2</v>
      </c>
      <c r="H1143" s="2434">
        <v>10.56</v>
      </c>
      <c r="I1143" s="2435">
        <f t="shared" si="175"/>
        <v>3.7352693602693597E-3</v>
      </c>
      <c r="J1143" s="1310">
        <v>139</v>
      </c>
      <c r="K1143" s="2436">
        <v>68</v>
      </c>
      <c r="L1143" s="2818">
        <v>218</v>
      </c>
      <c r="M1143" s="2798">
        <v>30</v>
      </c>
      <c r="N1143" s="1223">
        <f t="shared" si="176"/>
        <v>1.050067842605156</v>
      </c>
      <c r="O1143" s="2437" t="s">
        <v>911</v>
      </c>
      <c r="P1143" s="1519">
        <f>IFERROR(VLOOKUP(F1143,Trainingsarten!$A$9:$N$84,12,FALSE),"")</f>
        <v>194.60000000000002</v>
      </c>
      <c r="Q1143" s="2438" t="s">
        <v>437</v>
      </c>
      <c r="R1143" s="2439">
        <f>IFERROR(VLOOKUP(F1143,Trainingsarten!$A$9:$N$84,14,FALSE),"")</f>
        <v>212.96</v>
      </c>
      <c r="S1143" s="2440">
        <f t="shared" si="177"/>
        <v>1.5683453237410072</v>
      </c>
      <c r="T1143" s="1108">
        <f t="shared" si="178"/>
        <v>37.443662012601493</v>
      </c>
      <c r="U1143" s="1108">
        <f t="shared" si="179"/>
        <v>35.045219340633089</v>
      </c>
      <c r="V1143" s="1108">
        <f t="shared" si="180"/>
        <v>1.8905051878980075</v>
      </c>
      <c r="W1143" s="3285">
        <f t="shared" si="181"/>
        <v>1.0684385122163449</v>
      </c>
      <c r="X1143" s="3300"/>
      <c r="Y1143" s="3316"/>
      <c r="AA1143" s="3301"/>
      <c r="AB1143" s="3409"/>
      <c r="AE1143" s="1056"/>
    </row>
    <row r="1144" spans="2:31" ht="16" thickBot="1" x14ac:dyDescent="0.25">
      <c r="B1144" s="2986">
        <f>B1137+1</f>
        <v>7</v>
      </c>
      <c r="C1144" s="2441">
        <v>44242</v>
      </c>
      <c r="D1144" s="1111"/>
      <c r="E1144" s="1112"/>
      <c r="F1144" s="2730"/>
      <c r="G1144" s="2442"/>
      <c r="H1144" s="2443" t="str">
        <f>IFERROR(VLOOKUP(F1144,Trainingsarten!$A$9:$K$84,10,FALSE),"")</f>
        <v/>
      </c>
      <c r="I1144" s="2444" t="str">
        <f t="shared" si="175"/>
        <v/>
      </c>
      <c r="J1144" s="1320"/>
      <c r="K1144" s="2445" t="str">
        <f>IFERROR(VLOOKUP(F1144,Trainingsarten!$A$9:$K$84,11,FALSE),"0")</f>
        <v>0</v>
      </c>
      <c r="L1144" s="2819"/>
      <c r="M1144" s="1320"/>
      <c r="N1144" s="1119" t="str">
        <f t="shared" si="176"/>
        <v/>
      </c>
      <c r="O1144" s="2446"/>
      <c r="P1144" s="1121" t="str">
        <f>IFERROR(VLOOKUP(F1144,Trainingsarten!$A$9:$N$84,12,FALSE),"")</f>
        <v/>
      </c>
      <c r="Q1144" s="2447" t="s">
        <v>437</v>
      </c>
      <c r="R1144" s="2448" t="str">
        <f>IFERROR(VLOOKUP(F1144,Trainingsarten!$A$9:$N$84,14,FALSE),"")</f>
        <v/>
      </c>
      <c r="S1144" s="2449" t="str">
        <f t="shared" si="177"/>
        <v/>
      </c>
      <c r="T1144" s="1111">
        <f t="shared" si="178"/>
        <v>32.09456743937271</v>
      </c>
      <c r="U1144" s="1111">
        <f t="shared" si="179"/>
        <v>34.210809356332298</v>
      </c>
      <c r="V1144" s="1111">
        <f t="shared" si="180"/>
        <v>-2.3984426719684038</v>
      </c>
      <c r="W1144" s="3286">
        <f t="shared" si="181"/>
        <v>0.93814113267776644</v>
      </c>
      <c r="X1144" s="3300"/>
      <c r="Y1144" s="3316"/>
      <c r="AA1144" s="3301"/>
      <c r="AB1144" s="3409"/>
      <c r="AE1144" s="1056"/>
    </row>
    <row r="1145" spans="2:31" x14ac:dyDescent="0.2">
      <c r="B1145" s="2991" t="s">
        <v>626</v>
      </c>
      <c r="C1145" s="2409">
        <v>44243</v>
      </c>
      <c r="D1145" s="2009">
        <v>24</v>
      </c>
      <c r="E1145" s="2010" t="s">
        <v>836</v>
      </c>
      <c r="F1145" s="2728" t="s">
        <v>818</v>
      </c>
      <c r="G1145" s="2410">
        <v>3.9583333333333331E-2</v>
      </c>
      <c r="H1145" s="2411">
        <v>10.55</v>
      </c>
      <c r="I1145" s="2412">
        <f t="shared" si="175"/>
        <v>3.7519747235387041E-3</v>
      </c>
      <c r="J1145" s="2413">
        <v>140</v>
      </c>
      <c r="K1145" s="2414">
        <v>68</v>
      </c>
      <c r="L1145" s="2816">
        <v>218</v>
      </c>
      <c r="M1145" s="2840">
        <v>29</v>
      </c>
      <c r="N1145" s="2368">
        <f t="shared" si="176"/>
        <v>1.0547640942208389</v>
      </c>
      <c r="O1145" s="2415" t="s">
        <v>783</v>
      </c>
      <c r="P1145" s="2416">
        <f>IFERROR(VLOOKUP(F1145,Trainingsarten!$A$9:$N$84,12,FALSE),"")</f>
        <v>194.60000000000002</v>
      </c>
      <c r="Q1145" s="2417" t="s">
        <v>437</v>
      </c>
      <c r="R1145" s="2418">
        <f>IFERROR(VLOOKUP(F1145,Trainingsarten!$A$9:$N$84,14,FALSE),"")</f>
        <v>212.96</v>
      </c>
      <c r="S1145" s="2419">
        <f t="shared" si="177"/>
        <v>1.5571428571428572</v>
      </c>
      <c r="T1145" s="2009">
        <f t="shared" si="178"/>
        <v>37.223914948033752</v>
      </c>
      <c r="U1145" s="2009">
        <f t="shared" si="179"/>
        <v>35.015313895467244</v>
      </c>
      <c r="V1145" s="2009">
        <f t="shared" si="180"/>
        <v>2.1162419169595879</v>
      </c>
      <c r="W1145" s="3284">
        <f t="shared" si="181"/>
        <v>1.0630752892622908</v>
      </c>
      <c r="X1145" s="3300"/>
      <c r="Y1145" s="3316"/>
      <c r="AA1145" s="3301"/>
      <c r="AB1145" s="3409"/>
      <c r="AE1145" s="1056"/>
    </row>
    <row r="1146" spans="2:31" ht="16" thickBot="1" x14ac:dyDescent="0.25">
      <c r="B1146" s="2979">
        <f>SUM(H1144:H1150)</f>
        <v>48.379999999999995</v>
      </c>
      <c r="C1146" s="2409">
        <v>44244</v>
      </c>
      <c r="D1146" s="2009">
        <v>25</v>
      </c>
      <c r="E1146" s="2010" t="s">
        <v>836</v>
      </c>
      <c r="F1146" s="2728" t="s">
        <v>916</v>
      </c>
      <c r="G1146" s="2410">
        <v>4.6643518518518522E-2</v>
      </c>
      <c r="H1146" s="2411">
        <v>12.45</v>
      </c>
      <c r="I1146" s="2412">
        <f t="shared" si="175"/>
        <v>3.7464673508850218E-3</v>
      </c>
      <c r="J1146" s="2413">
        <v>148</v>
      </c>
      <c r="K1146" s="2414">
        <v>92</v>
      </c>
      <c r="L1146" s="2816">
        <v>211</v>
      </c>
      <c r="M1146" s="2840">
        <v>28</v>
      </c>
      <c r="N1146" s="2368">
        <f t="shared" si="176"/>
        <v>1.01939699094887</v>
      </c>
      <c r="O1146" s="2415" t="s">
        <v>1463</v>
      </c>
      <c r="P1146" s="2416">
        <f>IFERROR(VLOOKUP(F1146,Trainingsarten!$A$9:$N$84,12,FALSE),"")</f>
        <v>255.10000000000002</v>
      </c>
      <c r="Q1146" s="2417" t="s">
        <v>437</v>
      </c>
      <c r="R1146" s="2418">
        <f>IFERROR(VLOOKUP(F1146,Trainingsarten!$A$9:$N$84,14,FALSE),"")</f>
        <v>278.29999999999995</v>
      </c>
      <c r="S1146" s="2419">
        <f t="shared" si="177"/>
        <v>1.4256756756756757</v>
      </c>
      <c r="T1146" s="2009">
        <f t="shared" si="178"/>
        <v>45.049069955457504</v>
      </c>
      <c r="U1146" s="2009">
        <f t="shared" si="179"/>
        <v>36.372092136051357</v>
      </c>
      <c r="V1146" s="2009">
        <f t="shared" si="180"/>
        <v>-2.2086010525665074</v>
      </c>
      <c r="W1146" s="3284">
        <f t="shared" si="181"/>
        <v>1.2385614164549441</v>
      </c>
      <c r="X1146" s="3300"/>
      <c r="Y1146" s="3316"/>
      <c r="AA1146" s="3301"/>
      <c r="AB1146" s="3409"/>
      <c r="AE1146" s="1056"/>
    </row>
    <row r="1147" spans="2:31" x14ac:dyDescent="0.2">
      <c r="B1147" s="2992" t="s">
        <v>628</v>
      </c>
      <c r="C1147" s="2409">
        <v>44245</v>
      </c>
      <c r="D1147" s="2009">
        <v>26</v>
      </c>
      <c r="E1147" s="2010" t="s">
        <v>836</v>
      </c>
      <c r="F1147" s="2728" t="s">
        <v>824</v>
      </c>
      <c r="G1147" s="2410">
        <v>3.3958333333333333E-2</v>
      </c>
      <c r="H1147" s="2411">
        <v>8.11</v>
      </c>
      <c r="I1147" s="2412">
        <f t="shared" si="175"/>
        <v>4.1872174270448006E-3</v>
      </c>
      <c r="J1147" s="2413">
        <v>135</v>
      </c>
      <c r="K1147" s="2414">
        <v>47</v>
      </c>
      <c r="L1147" s="2816">
        <v>196</v>
      </c>
      <c r="M1147" s="2840">
        <v>18</v>
      </c>
      <c r="N1147" s="2368">
        <f t="shared" si="176"/>
        <v>1.0583285790529473</v>
      </c>
      <c r="O1147" s="2415" t="s">
        <v>1460</v>
      </c>
      <c r="P1147" s="2416">
        <f>IFERROR(VLOOKUP(F1147,Trainingsarten!$A$9:$N$84,12,FALSE),"")</f>
        <v>169.39999999999998</v>
      </c>
      <c r="Q1147" s="2417" t="s">
        <v>437</v>
      </c>
      <c r="R1147" s="2418">
        <f>IFERROR(VLOOKUP(F1147,Trainingsarten!$A$9:$N$84,14,FALSE),"")</f>
        <v>193.60000000000002</v>
      </c>
      <c r="S1147" s="2419">
        <f t="shared" si="177"/>
        <v>1.4518518518518519</v>
      </c>
      <c r="T1147" s="2009">
        <f t="shared" si="178"/>
        <v>45.327774247535004</v>
      </c>
      <c r="U1147" s="2009">
        <f t="shared" si="179"/>
        <v>36.625137561383468</v>
      </c>
      <c r="V1147" s="2009">
        <f t="shared" si="180"/>
        <v>-8.6769778194061473</v>
      </c>
      <c r="W1147" s="3284">
        <f t="shared" si="181"/>
        <v>1.2376137610832445</v>
      </c>
      <c r="X1147" s="3300"/>
      <c r="Y1147" s="3316"/>
      <c r="AA1147" s="3301"/>
      <c r="AB1147" s="3409"/>
      <c r="AE1147" s="1056"/>
    </row>
    <row r="1148" spans="2:31" ht="16" thickBot="1" x14ac:dyDescent="0.25">
      <c r="B1148" s="2993">
        <f>SUM(K1144:K1150)</f>
        <v>310</v>
      </c>
      <c r="C1148" s="2409">
        <v>44246</v>
      </c>
      <c r="D1148" s="2009"/>
      <c r="E1148" s="2010"/>
      <c r="F1148" s="2728"/>
      <c r="G1148" s="2410"/>
      <c r="H1148" s="2411" t="str">
        <f>IFERROR(VLOOKUP(F1148,Trainingsarten!$A$9:$K$84,10,FALSE),"")</f>
        <v/>
      </c>
      <c r="I1148" s="2412" t="str">
        <f t="shared" si="175"/>
        <v/>
      </c>
      <c r="J1148" s="2413"/>
      <c r="K1148" s="2414" t="str">
        <f>IFERROR(VLOOKUP(F1148,Trainingsarten!$A$9:$K$84,11,FALSE),"0")</f>
        <v>0</v>
      </c>
      <c r="L1148" s="2816"/>
      <c r="M1148" s="2840"/>
      <c r="N1148" s="2368" t="str">
        <f t="shared" si="176"/>
        <v/>
      </c>
      <c r="O1148" s="2415"/>
      <c r="P1148" s="2416" t="str">
        <f>IFERROR(VLOOKUP(F1148,Trainingsarten!$A$9:$N$84,12,FALSE),"")</f>
        <v/>
      </c>
      <c r="Q1148" s="2417" t="s">
        <v>437</v>
      </c>
      <c r="R1148" s="2418" t="str">
        <f>IFERROR(VLOOKUP(F1148,Trainingsarten!$A$9:$N$84,14,FALSE),"")</f>
        <v/>
      </c>
      <c r="S1148" s="2419" t="str">
        <f t="shared" si="177"/>
        <v/>
      </c>
      <c r="T1148" s="2009">
        <f t="shared" si="178"/>
        <v>38.852377926458573</v>
      </c>
      <c r="U1148" s="2009">
        <f t="shared" si="179"/>
        <v>35.753110476588624</v>
      </c>
      <c r="V1148" s="2009">
        <f t="shared" si="180"/>
        <v>-8.7026366861515356</v>
      </c>
      <c r="W1148" s="3284">
        <f t="shared" si="181"/>
        <v>1.0866852536340683</v>
      </c>
      <c r="X1148" s="3300"/>
      <c r="Y1148" s="3316"/>
      <c r="AA1148" s="3301"/>
      <c r="AB1148" s="3409"/>
      <c r="AE1148" s="1056"/>
    </row>
    <row r="1149" spans="2:31" x14ac:dyDescent="0.2">
      <c r="B1149" s="2994" t="s">
        <v>761</v>
      </c>
      <c r="C1149" s="2409">
        <v>44247</v>
      </c>
      <c r="D1149" s="2009">
        <v>27</v>
      </c>
      <c r="E1149" s="2010" t="s">
        <v>835</v>
      </c>
      <c r="F1149" s="2728" t="s">
        <v>810</v>
      </c>
      <c r="G1149" s="2410">
        <v>6.9606481481481478E-2</v>
      </c>
      <c r="H1149" s="2411">
        <v>17.27</v>
      </c>
      <c r="I1149" s="2412">
        <f t="shared" si="175"/>
        <v>4.0304853202942376E-3</v>
      </c>
      <c r="J1149" s="2413">
        <v>134</v>
      </c>
      <c r="K1149" s="2414">
        <v>103</v>
      </c>
      <c r="L1149" s="2816">
        <v>201</v>
      </c>
      <c r="M1149" s="2840">
        <v>65</v>
      </c>
      <c r="N1149" s="2368">
        <f t="shared" si="176"/>
        <v>1.0447017950202664</v>
      </c>
      <c r="O1149" s="2415" t="s">
        <v>858</v>
      </c>
      <c r="P1149" s="2416">
        <f>IFERROR(VLOOKUP(F1149,Trainingsarten!$A$9:$N$84,12,FALSE),"")</f>
        <v>194.60000000000002</v>
      </c>
      <c r="Q1149" s="2417" t="s">
        <v>437</v>
      </c>
      <c r="R1149" s="2418">
        <f>IFERROR(VLOOKUP(F1149,Trainingsarten!$A$9:$N$84,14,FALSE),"")</f>
        <v>212.96</v>
      </c>
      <c r="S1149" s="2419">
        <f t="shared" si="177"/>
        <v>1.5</v>
      </c>
      <c r="T1149" s="2009">
        <f t="shared" si="178"/>
        <v>48.01632393696449</v>
      </c>
      <c r="U1149" s="2009">
        <f t="shared" si="179"/>
        <v>37.354226893812701</v>
      </c>
      <c r="V1149" s="2009">
        <f t="shared" si="180"/>
        <v>-3.0992674498699486</v>
      </c>
      <c r="W1149" s="3284">
        <f t="shared" si="181"/>
        <v>1.2854321432875873</v>
      </c>
      <c r="X1149" s="3300"/>
      <c r="Y1149" s="3316"/>
      <c r="AA1149" s="3301"/>
      <c r="AB1149" s="3409"/>
      <c r="AE1149" s="1056"/>
    </row>
    <row r="1150" spans="2:31" ht="16" thickBot="1" x14ac:dyDescent="0.25">
      <c r="B1150" s="2995">
        <f>AVERAGE(W1144:W1150)</f>
        <v>1.139740160316199</v>
      </c>
      <c r="C1150" s="2451">
        <v>44248</v>
      </c>
      <c r="D1150" s="2280"/>
      <c r="E1150" s="2281"/>
      <c r="F1150" s="2653"/>
      <c r="G1150" s="2452"/>
      <c r="H1150" s="2453" t="str">
        <f>IFERROR(VLOOKUP(F1150,Trainingsarten!$A$9:$K$84,10,FALSE),"")</f>
        <v/>
      </c>
      <c r="I1150" s="2454" t="str">
        <f t="shared" si="175"/>
        <v/>
      </c>
      <c r="J1150" s="2455"/>
      <c r="K1150" s="2456" t="str">
        <f>IFERROR(VLOOKUP(F1150,Trainingsarten!$A$9:$K$84,11,FALSE),"0")</f>
        <v>0</v>
      </c>
      <c r="L1150" s="2151"/>
      <c r="M1150" s="2841"/>
      <c r="N1150" s="2457" t="str">
        <f t="shared" si="176"/>
        <v/>
      </c>
      <c r="O1150" s="2458"/>
      <c r="P1150" s="2336" t="str">
        <f>IFERROR(VLOOKUP(F1150,Trainingsarten!$A$9:$N$84,12,FALSE),"")</f>
        <v/>
      </c>
      <c r="Q1150" s="2459" t="s">
        <v>437</v>
      </c>
      <c r="R1150" s="2460" t="str">
        <f>IFERROR(VLOOKUP(F1150,Trainingsarten!$A$9:$N$84,14,FALSE),"")</f>
        <v/>
      </c>
      <c r="S1150" s="2290" t="str">
        <f t="shared" si="177"/>
        <v/>
      </c>
      <c r="T1150" s="2280">
        <f t="shared" si="178"/>
        <v>41.156849088826704</v>
      </c>
      <c r="U1150" s="2280">
        <f t="shared" si="179"/>
        <v>36.464840539198114</v>
      </c>
      <c r="V1150" s="2280">
        <f t="shared" si="180"/>
        <v>-10.662097043151789</v>
      </c>
      <c r="W1150" s="3287">
        <f t="shared" si="181"/>
        <v>1.1286721258134911</v>
      </c>
      <c r="X1150" s="3300"/>
      <c r="Y1150" s="3316"/>
      <c r="AA1150" s="3301"/>
      <c r="AB1150" s="3409"/>
      <c r="AE1150" s="1056"/>
    </row>
    <row r="1151" spans="2:31" ht="16" thickBot="1" x14ac:dyDescent="0.25">
      <c r="B1151" s="2986">
        <f>B1144+1</f>
        <v>8</v>
      </c>
      <c r="C1151" s="2399">
        <v>44249</v>
      </c>
      <c r="D1151" s="2292">
        <v>28</v>
      </c>
      <c r="E1151" s="2293" t="s">
        <v>836</v>
      </c>
      <c r="F1151" s="2730" t="s">
        <v>819</v>
      </c>
      <c r="G1151" s="2400">
        <v>3.9189814814814809E-2</v>
      </c>
      <c r="H1151" s="2401">
        <v>10.32</v>
      </c>
      <c r="I1151" s="2402">
        <f t="shared" si="175"/>
        <v>3.797462675854148E-3</v>
      </c>
      <c r="J1151" s="2403">
        <v>138</v>
      </c>
      <c r="K1151" s="2404">
        <v>65</v>
      </c>
      <c r="L1151" s="2815">
        <v>214</v>
      </c>
      <c r="M1151" s="2591">
        <v>27</v>
      </c>
      <c r="N1151" s="2296">
        <f t="shared" si="176"/>
        <v>1.0479636700219828</v>
      </c>
      <c r="O1151" s="2405" t="s">
        <v>911</v>
      </c>
      <c r="P1151" s="2298">
        <f>IFERROR(VLOOKUP(F1151,Trainingsarten!$A$9:$N$84,12,FALSE),"")</f>
        <v>194.60000000000002</v>
      </c>
      <c r="Q1151" s="2461" t="s">
        <v>437</v>
      </c>
      <c r="R1151" s="2462">
        <f>IFERROR(VLOOKUP(F1151,Trainingsarten!$A$9:$N$84,14,FALSE),"")</f>
        <v>212.96</v>
      </c>
      <c r="S1151" s="2408">
        <f t="shared" si="177"/>
        <v>1.5507246376811594</v>
      </c>
      <c r="T1151" s="2292">
        <f t="shared" si="178"/>
        <v>44.5630135047086</v>
      </c>
      <c r="U1151" s="2292">
        <f t="shared" si="179"/>
        <v>37.144249097788638</v>
      </c>
      <c r="V1151" s="2292">
        <f t="shared" si="180"/>
        <v>-4.6920085496285893</v>
      </c>
      <c r="W1151" s="3283">
        <f t="shared" si="181"/>
        <v>1.1997284798351633</v>
      </c>
      <c r="X1151" s="3302"/>
      <c r="Y1151" s="3317"/>
      <c r="AA1151" s="3301"/>
      <c r="AB1151" s="3409"/>
      <c r="AE1151" s="1056"/>
    </row>
    <row r="1152" spans="2:31" x14ac:dyDescent="0.2">
      <c r="B1152" s="2991" t="s">
        <v>626</v>
      </c>
      <c r="C1152" s="2463">
        <v>44250</v>
      </c>
      <c r="D1152" s="2464"/>
      <c r="E1152" s="2465"/>
      <c r="F1152" s="2756"/>
      <c r="G1152" s="2466"/>
      <c r="H1152" s="2467" t="str">
        <f>IFERROR(VLOOKUP(F1152,Trainingsarten!$A$9:$K$84,10,FALSE),"")</f>
        <v/>
      </c>
      <c r="I1152" s="2468" t="str">
        <f t="shared" si="175"/>
        <v/>
      </c>
      <c r="J1152" s="2469"/>
      <c r="K1152" s="2470" t="str">
        <f>IFERROR(VLOOKUP(F1152,Trainingsarten!$A$9:$K$84,11,FALSE),"0")</f>
        <v>0</v>
      </c>
      <c r="L1152" s="2816"/>
      <c r="M1152" s="2840"/>
      <c r="N1152" s="2471" t="str">
        <f t="shared" si="176"/>
        <v/>
      </c>
      <c r="O1152" s="2472"/>
      <c r="P1152" s="2473" t="str">
        <f>IFERROR(VLOOKUP(F1152,Trainingsarten!$A$9:$N$84,12,FALSE),"")</f>
        <v/>
      </c>
      <c r="Q1152" s="2474" t="s">
        <v>437</v>
      </c>
      <c r="R1152" s="2475" t="str">
        <f>IFERROR(VLOOKUP(F1152,Trainingsarten!$A$9:$N$84,14,FALSE),"")</f>
        <v/>
      </c>
      <c r="S1152" s="2476" t="str">
        <f t="shared" si="177"/>
        <v/>
      </c>
      <c r="T1152" s="2464">
        <f t="shared" si="178"/>
        <v>38.19686871832166</v>
      </c>
      <c r="U1152" s="2464">
        <f t="shared" si="179"/>
        <v>36.259862214507955</v>
      </c>
      <c r="V1152" s="2464">
        <f t="shared" si="180"/>
        <v>-7.4187644069199621</v>
      </c>
      <c r="W1152" s="3284">
        <f t="shared" si="181"/>
        <v>1.0534201286357534</v>
      </c>
      <c r="X1152" s="3300"/>
      <c r="Y1152" s="3316"/>
      <c r="AA1152" s="3301"/>
      <c r="AB1152" s="3409"/>
      <c r="AE1152" s="1056"/>
    </row>
    <row r="1153" spans="2:31" ht="16" thickBot="1" x14ac:dyDescent="0.25">
      <c r="B1153" s="2979">
        <f>SUM(H1151:H1157)</f>
        <v>50.81</v>
      </c>
      <c r="C1153" s="2463">
        <v>44251</v>
      </c>
      <c r="D1153" s="2464">
        <v>29</v>
      </c>
      <c r="E1153" s="2465" t="s">
        <v>836</v>
      </c>
      <c r="F1153" s="2756" t="s">
        <v>901</v>
      </c>
      <c r="G1153" s="2466">
        <v>3.9872685185185185E-2</v>
      </c>
      <c r="H1153" s="2467">
        <v>11.47</v>
      </c>
      <c r="I1153" s="2468">
        <f t="shared" si="175"/>
        <v>3.4762585165810968E-3</v>
      </c>
      <c r="J1153" s="2469">
        <v>150</v>
      </c>
      <c r="K1153" s="2470">
        <v>83</v>
      </c>
      <c r="L1153" s="2816">
        <v>228</v>
      </c>
      <c r="M1153" s="2840">
        <v>30</v>
      </c>
      <c r="N1153" s="2471">
        <f t="shared" si="176"/>
        <v>1.0220822652214083</v>
      </c>
      <c r="O1153" s="2472" t="s">
        <v>1463</v>
      </c>
      <c r="P1153" s="2473">
        <f>IFERROR(VLOOKUP(F1153,Trainingsarten!$A$9:$N$84,12,FALSE),"")</f>
        <v>230.89999999999998</v>
      </c>
      <c r="Q1153" s="2474" t="s">
        <v>437</v>
      </c>
      <c r="R1153" s="2475">
        <f>IFERROR(VLOOKUP(F1153,Trainingsarten!$A$9:$N$84,14,FALSE),"")</f>
        <v>254.10000000000002</v>
      </c>
      <c r="S1153" s="2476">
        <f t="shared" si="177"/>
        <v>1.52</v>
      </c>
      <c r="T1153" s="2464">
        <f t="shared" si="178"/>
        <v>44.597316044275708</v>
      </c>
      <c r="U1153" s="2464">
        <f t="shared" si="179"/>
        <v>37.372722637972053</v>
      </c>
      <c r="V1153" s="2464">
        <f t="shared" si="180"/>
        <v>-1.9370065038137056</v>
      </c>
      <c r="W1153" s="3284">
        <f t="shared" si="181"/>
        <v>1.1933119370586933</v>
      </c>
      <c r="X1153" s="3300"/>
      <c r="Y1153" s="3316"/>
      <c r="AA1153" s="3301"/>
      <c r="AB1153" s="3409"/>
      <c r="AE1153" s="1056"/>
    </row>
    <row r="1154" spans="2:31" x14ac:dyDescent="0.2">
      <c r="B1154" s="2992" t="s">
        <v>628</v>
      </c>
      <c r="C1154" s="2463">
        <v>44252</v>
      </c>
      <c r="D1154" s="2464">
        <v>30</v>
      </c>
      <c r="E1154" s="2465" t="s">
        <v>836</v>
      </c>
      <c r="F1154" s="2756" t="s">
        <v>824</v>
      </c>
      <c r="G1154" s="2466">
        <v>3.7430555555555557E-2</v>
      </c>
      <c r="H1154" s="2467">
        <v>9.39</v>
      </c>
      <c r="I1154" s="2468">
        <f t="shared" si="175"/>
        <v>3.986214649153946E-3</v>
      </c>
      <c r="J1154" s="2469">
        <v>130</v>
      </c>
      <c r="K1154" s="2470">
        <v>57</v>
      </c>
      <c r="L1154" s="2816">
        <v>205</v>
      </c>
      <c r="M1154" s="2840">
        <v>32</v>
      </c>
      <c r="N1154" s="2471">
        <f t="shared" si="176"/>
        <v>1.0537885651614134</v>
      </c>
      <c r="O1154" s="2472" t="s">
        <v>1460</v>
      </c>
      <c r="P1154" s="2473">
        <f>IFERROR(VLOOKUP(F1154,Trainingsarten!$A$9:$N$84,12,FALSE),"")</f>
        <v>169.39999999999998</v>
      </c>
      <c r="Q1154" s="2474" t="s">
        <v>437</v>
      </c>
      <c r="R1154" s="2475">
        <f>IFERROR(VLOOKUP(F1154,Trainingsarten!$A$9:$N$84,14,FALSE),"")</f>
        <v>193.60000000000002</v>
      </c>
      <c r="S1154" s="2476">
        <f t="shared" si="177"/>
        <v>1.5769230769230769</v>
      </c>
      <c r="T1154" s="2464">
        <f t="shared" si="178"/>
        <v>46.36912803795061</v>
      </c>
      <c r="U1154" s="2464">
        <f t="shared" si="179"/>
        <v>37.840038765639385</v>
      </c>
      <c r="V1154" s="2464">
        <f t="shared" si="180"/>
        <v>-7.2245934063036543</v>
      </c>
      <c r="W1154" s="3284">
        <f t="shared" si="181"/>
        <v>1.2253985342122868</v>
      </c>
      <c r="X1154" s="3300"/>
      <c r="Y1154" s="3316"/>
      <c r="AA1154" s="3301"/>
      <c r="AB1154" s="3409"/>
      <c r="AE1154" s="1056"/>
    </row>
    <row r="1155" spans="2:31" ht="16" thickBot="1" x14ac:dyDescent="0.25">
      <c r="B1155" s="2993">
        <f>SUM(K1151:K1157)</f>
        <v>329</v>
      </c>
      <c r="C1155" s="2463">
        <v>44253</v>
      </c>
      <c r="D1155" s="2464"/>
      <c r="E1155" s="2465"/>
      <c r="F1155" s="2756"/>
      <c r="G1155" s="2466"/>
      <c r="H1155" s="2467" t="str">
        <f>IFERROR(VLOOKUP(F1155,Trainingsarten!$A$9:$K$84,10,FALSE),"")</f>
        <v/>
      </c>
      <c r="I1155" s="2468" t="str">
        <f t="shared" si="175"/>
        <v/>
      </c>
      <c r="J1155" s="2469"/>
      <c r="K1155" s="2470" t="str">
        <f>IFERROR(VLOOKUP(F1155,Trainingsarten!$A$9:$K$84,11,FALSE),"0")</f>
        <v>0</v>
      </c>
      <c r="L1155" s="2816"/>
      <c r="M1155" s="2840"/>
      <c r="N1155" s="2471" t="str">
        <f t="shared" si="176"/>
        <v/>
      </c>
      <c r="O1155" s="2472"/>
      <c r="P1155" s="2473" t="str">
        <f>IFERROR(VLOOKUP(F1155,Trainingsarten!$A$9:$N$84,12,FALSE),"")</f>
        <v/>
      </c>
      <c r="Q1155" s="2474" t="s">
        <v>437</v>
      </c>
      <c r="R1155" s="2475" t="str">
        <f>IFERROR(VLOOKUP(F1155,Trainingsarten!$A$9:$N$84,14,FALSE),"")</f>
        <v/>
      </c>
      <c r="S1155" s="2476" t="str">
        <f t="shared" si="177"/>
        <v/>
      </c>
      <c r="T1155" s="2464">
        <f t="shared" si="178"/>
        <v>39.74496688967195</v>
      </c>
      <c r="U1155" s="2464">
        <f t="shared" si="179"/>
        <v>36.939085461695591</v>
      </c>
      <c r="V1155" s="2464">
        <f t="shared" si="180"/>
        <v>-8.529089272311225</v>
      </c>
      <c r="W1155" s="3284">
        <f t="shared" si="181"/>
        <v>1.075959688576642</v>
      </c>
      <c r="X1155" s="3300"/>
      <c r="Y1155" s="3316"/>
      <c r="AA1155" s="3301"/>
      <c r="AB1155" s="3409"/>
      <c r="AE1155" s="1056"/>
    </row>
    <row r="1156" spans="2:31" x14ac:dyDescent="0.2">
      <c r="B1156" s="2994" t="s">
        <v>761</v>
      </c>
      <c r="C1156" s="2463">
        <v>44254</v>
      </c>
      <c r="D1156" s="2464">
        <v>31</v>
      </c>
      <c r="E1156" s="2465" t="s">
        <v>835</v>
      </c>
      <c r="F1156" s="2756" t="s">
        <v>811</v>
      </c>
      <c r="G1156" s="2466">
        <v>7.4189814814814806E-2</v>
      </c>
      <c r="H1156" s="2467">
        <v>19.63</v>
      </c>
      <c r="I1156" s="2468">
        <f t="shared" si="175"/>
        <v>3.7794098224561796E-3</v>
      </c>
      <c r="J1156" s="2469">
        <v>136</v>
      </c>
      <c r="K1156" s="2470">
        <v>124</v>
      </c>
      <c r="L1156" s="2816">
        <v>213</v>
      </c>
      <c r="M1156" s="2840">
        <v>76</v>
      </c>
      <c r="N1156" s="2471">
        <f t="shared" si="176"/>
        <v>1.0381079827556052</v>
      </c>
      <c r="O1156" s="2472" t="s">
        <v>911</v>
      </c>
      <c r="P1156" s="2473">
        <f>IFERROR(VLOOKUP(F1156,Trainingsarten!$A$9:$N$84,12,FALSE),"")</f>
        <v>194.60000000000002</v>
      </c>
      <c r="Q1156" s="2474" t="s">
        <v>437</v>
      </c>
      <c r="R1156" s="2475">
        <f>IFERROR(VLOOKUP(F1156,Trainingsarten!$A$9:$N$84,14,FALSE),"")</f>
        <v>212.96</v>
      </c>
      <c r="S1156" s="2476">
        <f t="shared" si="177"/>
        <v>1.5661764705882353</v>
      </c>
      <c r="T1156" s="2464">
        <f t="shared" si="178"/>
        <v>51.781400191147384</v>
      </c>
      <c r="U1156" s="2464">
        <f t="shared" si="179"/>
        <v>39.011964379274268</v>
      </c>
      <c r="V1156" s="2464">
        <f t="shared" si="180"/>
        <v>-2.8058814279763595</v>
      </c>
      <c r="W1156" s="3284">
        <f t="shared" si="181"/>
        <v>1.3273210158742246</v>
      </c>
      <c r="X1156" s="3300"/>
      <c r="Y1156" s="3316"/>
      <c r="AA1156" s="3301"/>
      <c r="AB1156" s="3409"/>
      <c r="AE1156" s="1056"/>
    </row>
    <row r="1157" spans="2:31" ht="16" thickBot="1" x14ac:dyDescent="0.25">
      <c r="B1157" s="2995">
        <f>AVERAGE(W1151:W1157)</f>
        <v>1.1772274833567089</v>
      </c>
      <c r="C1157" s="1631">
        <v>44255</v>
      </c>
      <c r="D1157" s="1108"/>
      <c r="E1157" s="1261"/>
      <c r="F1157" s="2653"/>
      <c r="G1157" s="2433"/>
      <c r="H1157" s="2434" t="str">
        <f>IFERROR(VLOOKUP(F1157,Trainingsarten!$A$9:$K$84,10,FALSE),"")</f>
        <v/>
      </c>
      <c r="I1157" s="2435" t="str">
        <f t="shared" si="175"/>
        <v/>
      </c>
      <c r="J1157" s="1310"/>
      <c r="K1157" s="2436" t="str">
        <f>IFERROR(VLOOKUP(F1157,Trainingsarten!$A$9:$K$84,11,FALSE),"0")</f>
        <v>0</v>
      </c>
      <c r="L1157" s="2818"/>
      <c r="M1157" s="2798"/>
      <c r="N1157" s="1223" t="str">
        <f t="shared" si="176"/>
        <v/>
      </c>
      <c r="O1157" s="2437"/>
      <c r="P1157" s="1519" t="str">
        <f>IFERROR(VLOOKUP(F1157,Trainingsarten!$A$9:$N$84,12,FALSE),"")</f>
        <v/>
      </c>
      <c r="Q1157" s="2477" t="s">
        <v>437</v>
      </c>
      <c r="R1157" s="2439" t="str">
        <f>IFERROR(VLOOKUP(F1157,Trainingsarten!$A$9:$N$84,14,FALSE),"")</f>
        <v/>
      </c>
      <c r="S1157" s="2440" t="str">
        <f t="shared" si="177"/>
        <v/>
      </c>
      <c r="T1157" s="1108">
        <f t="shared" si="178"/>
        <v>44.384057306697756</v>
      </c>
      <c r="U1157" s="1108">
        <f t="shared" si="179"/>
        <v>38.083108084529641</v>
      </c>
      <c r="V1157" s="1108">
        <f t="shared" si="180"/>
        <v>-12.769435811873116</v>
      </c>
      <c r="W1157" s="3285">
        <f t="shared" si="181"/>
        <v>1.1654525993041971</v>
      </c>
      <c r="X1157" s="3300"/>
      <c r="Y1157" s="3316"/>
      <c r="AA1157" s="3301"/>
      <c r="AB1157" s="3409"/>
      <c r="AE1157" s="1056"/>
    </row>
    <row r="1158" spans="2:31" ht="16" thickBot="1" x14ac:dyDescent="0.25">
      <c r="B1158" s="2986">
        <f>B1151+1</f>
        <v>9</v>
      </c>
      <c r="C1158" s="2478">
        <v>44256</v>
      </c>
      <c r="D1158" s="1246">
        <v>32</v>
      </c>
      <c r="E1158" s="1247" t="s">
        <v>836</v>
      </c>
      <c r="F1158" s="2734" t="s">
        <v>819</v>
      </c>
      <c r="G1158" s="2479">
        <v>3.6909722222222226E-2</v>
      </c>
      <c r="H1158" s="2480">
        <v>10.199999999999999</v>
      </c>
      <c r="I1158" s="2481">
        <f t="shared" si="175"/>
        <v>3.6186002178649245E-3</v>
      </c>
      <c r="J1158" s="2482"/>
      <c r="K1158" s="2483">
        <v>62</v>
      </c>
      <c r="L1158" s="2819"/>
      <c r="M1158" s="1320">
        <v>30</v>
      </c>
      <c r="N1158" s="2484"/>
      <c r="O1158" s="2485" t="s">
        <v>783</v>
      </c>
      <c r="P1158" s="1277">
        <f>IFERROR(VLOOKUP(F1158,Trainingsarten!$A$9:$N$84,12,FALSE),"")</f>
        <v>194.60000000000002</v>
      </c>
      <c r="Q1158" s="1122" t="s">
        <v>437</v>
      </c>
      <c r="R1158" s="2486">
        <f>IFERROR(VLOOKUP(F1158,Trainingsarten!$A$9:$N$84,14,FALSE),"")</f>
        <v>212.96</v>
      </c>
      <c r="S1158" s="1125"/>
      <c r="T1158" s="1246">
        <f t="shared" si="178"/>
        <v>46.900620548598077</v>
      </c>
      <c r="U1158" s="1246">
        <f t="shared" si="179"/>
        <v>38.652557892040839</v>
      </c>
      <c r="V1158" s="1246">
        <f t="shared" si="180"/>
        <v>-6.3009492221681143</v>
      </c>
      <c r="W1158" s="3286">
        <f t="shared" si="181"/>
        <v>1.2133898273846357</v>
      </c>
      <c r="X1158" s="3300"/>
      <c r="Y1158" s="3316"/>
      <c r="AA1158" s="3301"/>
      <c r="AB1158" s="3409"/>
      <c r="AE1158" s="1056"/>
    </row>
    <row r="1159" spans="2:31" x14ac:dyDescent="0.2">
      <c r="B1159" s="2991" t="s">
        <v>626</v>
      </c>
      <c r="C1159" s="2409">
        <v>44257</v>
      </c>
      <c r="D1159" s="2009"/>
      <c r="E1159" s="2010"/>
      <c r="F1159" s="2728"/>
      <c r="G1159" s="2410"/>
      <c r="H1159" s="2411" t="str">
        <f>IFERROR(VLOOKUP(F1159,Trainingsarten!$A$9:$K$84,10,FALSE),"")</f>
        <v/>
      </c>
      <c r="I1159" s="2412" t="str">
        <f t="shared" si="175"/>
        <v/>
      </c>
      <c r="J1159" s="2413"/>
      <c r="K1159" s="2414" t="str">
        <f>IFERROR(VLOOKUP(F1159,Trainingsarten!$A$9:$K$84,11,FALSE),"0")</f>
        <v>0</v>
      </c>
      <c r="L1159" s="2816"/>
      <c r="M1159" s="2840"/>
      <c r="N1159" s="2368" t="str">
        <f t="shared" si="176"/>
        <v/>
      </c>
      <c r="O1159" s="2415"/>
      <c r="P1159" s="2416" t="str">
        <f>IFERROR(VLOOKUP(F1159,Trainingsarten!$A$9:$N$84,12,FALSE),"")</f>
        <v/>
      </c>
      <c r="Q1159" s="2417" t="s">
        <v>437</v>
      </c>
      <c r="R1159" s="2418" t="str">
        <f>IFERROR(VLOOKUP(F1159,Trainingsarten!$A$9:$N$84,14,FALSE),"")</f>
        <v/>
      </c>
      <c r="S1159" s="2419" t="str">
        <f t="shared" si="177"/>
        <v/>
      </c>
      <c r="T1159" s="2009">
        <f t="shared" si="178"/>
        <v>40.200531898798353</v>
      </c>
      <c r="U1159" s="2009">
        <f t="shared" si="179"/>
        <v>37.732258894611299</v>
      </c>
      <c r="V1159" s="2009">
        <f t="shared" si="180"/>
        <v>-8.2480626565572379</v>
      </c>
      <c r="W1159" s="3284">
        <f t="shared" si="181"/>
        <v>1.0654154581913875</v>
      </c>
      <c r="X1159" s="3300"/>
      <c r="Y1159" s="3316"/>
      <c r="AA1159" s="3301"/>
      <c r="AB1159" s="3409"/>
      <c r="AE1159" s="1056"/>
    </row>
    <row r="1160" spans="2:31" ht="16" thickBot="1" x14ac:dyDescent="0.25">
      <c r="B1160" s="2979">
        <f>SUM(H1158:H1164)</f>
        <v>50.97</v>
      </c>
      <c r="C1160" s="2409">
        <v>44258</v>
      </c>
      <c r="D1160" s="2009">
        <v>33</v>
      </c>
      <c r="E1160" s="2010" t="s">
        <v>836</v>
      </c>
      <c r="F1160" s="2728" t="s">
        <v>924</v>
      </c>
      <c r="G1160" s="2410">
        <v>4.1817129629629628E-2</v>
      </c>
      <c r="H1160" s="2411">
        <v>12.47</v>
      </c>
      <c r="I1160" s="2412">
        <f t="shared" si="175"/>
        <v>3.3534185749502505E-3</v>
      </c>
      <c r="J1160" s="2413">
        <v>153</v>
      </c>
      <c r="K1160" s="2414">
        <v>90</v>
      </c>
      <c r="L1160" s="2816">
        <v>239</v>
      </c>
      <c r="M1160" s="2840">
        <v>41</v>
      </c>
      <c r="N1160" s="2368">
        <f t="shared" si="176"/>
        <v>1.0335336150043686</v>
      </c>
      <c r="O1160" s="2415" t="s">
        <v>1463</v>
      </c>
      <c r="P1160" s="2416" t="str">
        <f>IFERROR(VLOOKUP(F1160,Trainingsarten!$A$9:$N$84,12,FALSE),"")</f>
        <v/>
      </c>
      <c r="Q1160" s="2417" t="s">
        <v>437</v>
      </c>
      <c r="R1160" s="2418" t="str">
        <f>IFERROR(VLOOKUP(F1160,Trainingsarten!$A$9:$N$84,14,FALSE),"")</f>
        <v/>
      </c>
      <c r="S1160" s="2419">
        <f t="shared" si="177"/>
        <v>1.5620915032679739</v>
      </c>
      <c r="T1160" s="2009">
        <f t="shared" si="178"/>
        <v>47.314741627541444</v>
      </c>
      <c r="U1160" s="2009">
        <f t="shared" si="179"/>
        <v>38.976728920930078</v>
      </c>
      <c r="V1160" s="2009">
        <f t="shared" si="180"/>
        <v>-2.4682730041870542</v>
      </c>
      <c r="W1160" s="3284">
        <f t="shared" si="181"/>
        <v>1.2139228441546808</v>
      </c>
      <c r="X1160" s="3300"/>
      <c r="Y1160" s="3316"/>
      <c r="AA1160" s="3301"/>
      <c r="AB1160" s="3409"/>
      <c r="AE1160" s="1056"/>
    </row>
    <row r="1161" spans="2:31" x14ac:dyDescent="0.2">
      <c r="B1161" s="2992" t="s">
        <v>628</v>
      </c>
      <c r="C1161" s="2409">
        <v>44259</v>
      </c>
      <c r="D1161" s="2009">
        <v>34</v>
      </c>
      <c r="E1161" s="2010" t="s">
        <v>836</v>
      </c>
      <c r="F1161" s="2728" t="s">
        <v>824</v>
      </c>
      <c r="G1161" s="2410">
        <v>3.6354166666666667E-2</v>
      </c>
      <c r="H1161" s="2411">
        <v>9.26</v>
      </c>
      <c r="I1161" s="2412">
        <f t="shared" si="175"/>
        <v>3.9259359251259899E-3</v>
      </c>
      <c r="J1161" s="2413">
        <v>129</v>
      </c>
      <c r="K1161" s="2414">
        <v>57</v>
      </c>
      <c r="L1161" s="2816">
        <v>207</v>
      </c>
      <c r="M1161" s="2840">
        <v>27</v>
      </c>
      <c r="N1161" s="2368">
        <f t="shared" si="176"/>
        <v>1.0479787885625864</v>
      </c>
      <c r="O1161" s="2415" t="s">
        <v>1460</v>
      </c>
      <c r="P1161" s="2416">
        <f>IFERROR(VLOOKUP(F1161,Trainingsarten!$A$9:$N$84,12,FALSE),"")</f>
        <v>169.39999999999998</v>
      </c>
      <c r="Q1161" s="2417" t="s">
        <v>437</v>
      </c>
      <c r="R1161" s="2418">
        <f>IFERROR(VLOOKUP(F1161,Trainingsarten!$A$9:$N$84,14,FALSE),"")</f>
        <v>193.60000000000002</v>
      </c>
      <c r="S1161" s="2419">
        <f t="shared" si="177"/>
        <v>1.6046511627906976</v>
      </c>
      <c r="T1161" s="2009">
        <f t="shared" si="178"/>
        <v>48.698349966464093</v>
      </c>
      <c r="U1161" s="2009">
        <f t="shared" si="179"/>
        <v>39.405854422812695</v>
      </c>
      <c r="V1161" s="2009">
        <f t="shared" si="180"/>
        <v>-8.3380127066113658</v>
      </c>
      <c r="W1161" s="3284">
        <f t="shared" si="181"/>
        <v>1.2358151010747231</v>
      </c>
      <c r="X1161" s="3300"/>
      <c r="Y1161" s="3316"/>
      <c r="AA1161" s="3301"/>
      <c r="AB1161" s="3409"/>
      <c r="AE1161" s="1056"/>
    </row>
    <row r="1162" spans="2:31" ht="16" thickBot="1" x14ac:dyDescent="0.25">
      <c r="B1162" s="2993">
        <f>SUM(K1158:K1164)</f>
        <v>344</v>
      </c>
      <c r="C1162" s="2409">
        <v>44260</v>
      </c>
      <c r="D1162" s="2009"/>
      <c r="E1162" s="2010"/>
      <c r="F1162" s="2728"/>
      <c r="G1162" s="2410"/>
      <c r="H1162" s="2411" t="str">
        <f>IFERROR(VLOOKUP(F1162,Trainingsarten!$A$9:$K$84,10,FALSE),"")</f>
        <v/>
      </c>
      <c r="I1162" s="2412" t="str">
        <f t="shared" si="175"/>
        <v/>
      </c>
      <c r="J1162" s="2413"/>
      <c r="K1162" s="2414" t="str">
        <f>IFERROR(VLOOKUP(F1162,Trainingsarten!$A$9:$K$84,11,FALSE),"0")</f>
        <v>0</v>
      </c>
      <c r="L1162" s="2816"/>
      <c r="M1162" s="2840"/>
      <c r="N1162" s="2368" t="str">
        <f t="shared" si="176"/>
        <v/>
      </c>
      <c r="O1162" s="2415"/>
      <c r="P1162" s="2416" t="str">
        <f>IFERROR(VLOOKUP(F1162,Trainingsarten!$A$9:$N$84,12,FALSE),"")</f>
        <v/>
      </c>
      <c r="Q1162" s="2417" t="s">
        <v>437</v>
      </c>
      <c r="R1162" s="2418" t="str">
        <f>IFERROR(VLOOKUP(F1162,Trainingsarten!$A$9:$N$84,14,FALSE),"")</f>
        <v/>
      </c>
      <c r="S1162" s="2419" t="str">
        <f t="shared" si="177"/>
        <v/>
      </c>
      <c r="T1162" s="2009">
        <f t="shared" si="178"/>
        <v>41.741442828397794</v>
      </c>
      <c r="U1162" s="2009">
        <f t="shared" si="179"/>
        <v>38.467619793698105</v>
      </c>
      <c r="V1162" s="2009">
        <f t="shared" si="180"/>
        <v>-9.2924955436513983</v>
      </c>
      <c r="W1162" s="3284">
        <f t="shared" si="181"/>
        <v>1.0851059424070739</v>
      </c>
      <c r="X1162" s="3300"/>
      <c r="Y1162" s="3316"/>
      <c r="AA1162" s="3301"/>
      <c r="AB1162" s="3409"/>
      <c r="AE1162" s="1056"/>
    </row>
    <row r="1163" spans="2:31" x14ac:dyDescent="0.2">
      <c r="B1163" s="2994" t="s">
        <v>761</v>
      </c>
      <c r="C1163" s="2409">
        <v>44261</v>
      </c>
      <c r="D1163" s="2009">
        <v>35</v>
      </c>
      <c r="E1163" s="2010" t="s">
        <v>836</v>
      </c>
      <c r="F1163" s="2728" t="s">
        <v>926</v>
      </c>
      <c r="G1163" s="2410">
        <v>6.4062500000000008E-2</v>
      </c>
      <c r="H1163" s="2411">
        <v>19.04</v>
      </c>
      <c r="I1163" s="2412">
        <f t="shared" si="175"/>
        <v>3.3646271008403368E-3</v>
      </c>
      <c r="J1163" s="2413">
        <v>147</v>
      </c>
      <c r="K1163" s="2414">
        <v>135</v>
      </c>
      <c r="L1163" s="2816">
        <v>240</v>
      </c>
      <c r="M1163" s="2840">
        <v>77</v>
      </c>
      <c r="N1163" s="2368">
        <f t="shared" si="176"/>
        <v>1.0413269785526154</v>
      </c>
      <c r="O1163" s="2415" t="s">
        <v>911</v>
      </c>
      <c r="P1163" s="2416" t="str">
        <f>IFERROR(VLOOKUP(F1163,Trainingsarten!$A$9:$N$84,12,FALSE),"")</f>
        <v/>
      </c>
      <c r="Q1163" s="2417" t="s">
        <v>437</v>
      </c>
      <c r="R1163" s="2418" t="str">
        <f>IFERROR(VLOOKUP(F1163,Trainingsarten!$A$9:$N$84,14,FALSE),"")</f>
        <v/>
      </c>
      <c r="S1163" s="2419">
        <f t="shared" si="177"/>
        <v>1.6326530612244898</v>
      </c>
      <c r="T1163" s="2009">
        <f t="shared" si="178"/>
        <v>55.064093852912393</v>
      </c>
      <c r="U1163" s="2009">
        <f t="shared" si="179"/>
        <v>40.766009798610057</v>
      </c>
      <c r="V1163" s="2009">
        <f t="shared" si="180"/>
        <v>-3.2738230346996886</v>
      </c>
      <c r="W1163" s="3284">
        <f t="shared" si="181"/>
        <v>1.3507354319183291</v>
      </c>
      <c r="X1163" s="3300"/>
      <c r="Y1163" s="3316"/>
      <c r="AA1163" s="3301"/>
      <c r="AB1163" s="3409"/>
      <c r="AE1163" s="1056"/>
    </row>
    <row r="1164" spans="2:31" ht="16" thickBot="1" x14ac:dyDescent="0.25">
      <c r="B1164" s="2995">
        <f>AVERAGE(W1158:W1164)</f>
        <v>1.1929137434126267</v>
      </c>
      <c r="C1164" s="2451">
        <v>44262</v>
      </c>
      <c r="D1164" s="2280"/>
      <c r="E1164" s="2281"/>
      <c r="F1164" s="2757"/>
      <c r="G1164" s="2452"/>
      <c r="H1164" s="2453" t="str">
        <f>IFERROR(VLOOKUP(F1164,Trainingsarten!$A$9:$K$84,10,FALSE),"")</f>
        <v/>
      </c>
      <c r="I1164" s="2454" t="str">
        <f t="shared" si="175"/>
        <v/>
      </c>
      <c r="J1164" s="2455"/>
      <c r="K1164" s="2456" t="str">
        <f>IFERROR(VLOOKUP(F1164,Trainingsarten!$A$9:$K$84,11,FALSE),"0")</f>
        <v>0</v>
      </c>
      <c r="L1164" s="2151"/>
      <c r="M1164" s="2841"/>
      <c r="N1164" s="2457" t="str">
        <f t="shared" si="176"/>
        <v/>
      </c>
      <c r="O1164" s="2458"/>
      <c r="P1164" s="2336" t="str">
        <f>IFERROR(VLOOKUP(F1164,Trainingsarten!$A$9:$N$84,12,FALSE),"")</f>
        <v/>
      </c>
      <c r="Q1164" s="2459" t="s">
        <v>437</v>
      </c>
      <c r="R1164" s="2460" t="str">
        <f>IFERROR(VLOOKUP(F1164,Trainingsarten!$A$9:$N$84,14,FALSE),"")</f>
        <v/>
      </c>
      <c r="S1164" s="2290" t="str">
        <f t="shared" si="177"/>
        <v/>
      </c>
      <c r="T1164" s="2280">
        <f t="shared" si="178"/>
        <v>47.197794731067766</v>
      </c>
      <c r="U1164" s="2280">
        <f t="shared" si="179"/>
        <v>39.79539051769077</v>
      </c>
      <c r="V1164" s="2280">
        <f t="shared" si="180"/>
        <v>-14.298084054302336</v>
      </c>
      <c r="W1164" s="3287">
        <f t="shared" si="181"/>
        <v>1.1860115987575572</v>
      </c>
      <c r="X1164" s="3300"/>
      <c r="Y1164" s="3316"/>
      <c r="AA1164" s="3301"/>
      <c r="AB1164" s="3409"/>
      <c r="AE1164" s="1056"/>
    </row>
    <row r="1165" spans="2:31" ht="16" thickBot="1" x14ac:dyDescent="0.25">
      <c r="B1165" s="2986">
        <f>B1158+1</f>
        <v>10</v>
      </c>
      <c r="C1165" s="2399">
        <v>44263</v>
      </c>
      <c r="D1165" s="2292">
        <v>36</v>
      </c>
      <c r="E1165" s="2293" t="s">
        <v>836</v>
      </c>
      <c r="F1165" s="2730" t="s">
        <v>819</v>
      </c>
      <c r="G1165" s="2400">
        <v>3.802083333333333E-2</v>
      </c>
      <c r="H1165" s="2401">
        <v>10.1</v>
      </c>
      <c r="I1165" s="2402">
        <f t="shared" si="175"/>
        <v>3.7644389438943895E-3</v>
      </c>
      <c r="J1165" s="2403">
        <v>138</v>
      </c>
      <c r="K1165" s="2404">
        <v>64</v>
      </c>
      <c r="L1165" s="2815">
        <v>216</v>
      </c>
      <c r="M1165" s="2591">
        <v>29</v>
      </c>
      <c r="N1165" s="2296">
        <f t="shared" si="176"/>
        <v>1.0485591842766366</v>
      </c>
      <c r="O1165" s="2405" t="s">
        <v>783</v>
      </c>
      <c r="P1165" s="2298">
        <f>IFERROR(VLOOKUP(F1165,Trainingsarten!$A$9:$N$84,12,FALSE),"")</f>
        <v>194.60000000000002</v>
      </c>
      <c r="Q1165" s="2461" t="s">
        <v>437</v>
      </c>
      <c r="R1165" s="2462">
        <f>IFERROR(VLOOKUP(F1165,Trainingsarten!$A$9:$N$84,14,FALSE),"")</f>
        <v>212.96</v>
      </c>
      <c r="S1165" s="2408">
        <f t="shared" si="177"/>
        <v>1.5652173913043479</v>
      </c>
      <c r="T1165" s="2292">
        <f t="shared" si="178"/>
        <v>49.598109769486655</v>
      </c>
      <c r="U1165" s="2292">
        <f t="shared" si="179"/>
        <v>40.371690743460036</v>
      </c>
      <c r="V1165" s="2292">
        <f t="shared" si="180"/>
        <v>-7.4024042133769967</v>
      </c>
      <c r="W1165" s="3283">
        <f t="shared" si="181"/>
        <v>1.2285368498598548</v>
      </c>
      <c r="X1165" s="3300"/>
      <c r="Y1165" s="3316"/>
      <c r="AA1165" s="3301"/>
      <c r="AB1165" s="3409"/>
      <c r="AE1165" s="1056"/>
    </row>
    <row r="1166" spans="2:31" x14ac:dyDescent="0.2">
      <c r="B1166" s="2991" t="s">
        <v>626</v>
      </c>
      <c r="C1166" s="2463">
        <v>44264</v>
      </c>
      <c r="D1166" s="2464"/>
      <c r="E1166" s="2465"/>
      <c r="F1166" s="2756"/>
      <c r="G1166" s="2466"/>
      <c r="H1166" s="2467" t="str">
        <f>IFERROR(VLOOKUP(F1166,Trainingsarten!$A$9:$K$84,10,FALSE),"")</f>
        <v/>
      </c>
      <c r="I1166" s="2468" t="str">
        <f t="shared" si="175"/>
        <v/>
      </c>
      <c r="J1166" s="2469"/>
      <c r="K1166" s="2470" t="str">
        <f>IFERROR(VLOOKUP(F1166,Trainingsarten!$A$9:$K$84,11,FALSE),"0")</f>
        <v>0</v>
      </c>
      <c r="L1166" s="2816"/>
      <c r="M1166" s="2840"/>
      <c r="N1166" s="2471" t="str">
        <f t="shared" si="176"/>
        <v/>
      </c>
      <c r="O1166" s="2472"/>
      <c r="P1166" s="2473" t="str">
        <f>IFERROR(VLOOKUP(F1166,Trainingsarten!$A$9:$N$84,12,FALSE),"")</f>
        <v/>
      </c>
      <c r="Q1166" s="2474" t="s">
        <v>437</v>
      </c>
      <c r="R1166" s="2475" t="str">
        <f>IFERROR(VLOOKUP(F1166,Trainingsarten!$A$9:$N$84,14,FALSE),"")</f>
        <v/>
      </c>
      <c r="S1166" s="2476" t="str">
        <f t="shared" si="177"/>
        <v/>
      </c>
      <c r="T1166" s="2464">
        <f t="shared" si="178"/>
        <v>42.512665516702846</v>
      </c>
      <c r="U1166" s="2464">
        <f t="shared" si="179"/>
        <v>39.410460011472892</v>
      </c>
      <c r="V1166" s="2464">
        <f t="shared" si="180"/>
        <v>-9.226419026026619</v>
      </c>
      <c r="W1166" s="3284">
        <f t="shared" si="181"/>
        <v>1.0787152828037749</v>
      </c>
      <c r="X1166" s="3300"/>
      <c r="Y1166" s="3316"/>
      <c r="AA1166" s="3301"/>
      <c r="AB1166" s="3409"/>
      <c r="AE1166" s="1056"/>
    </row>
    <row r="1167" spans="2:31" ht="16" thickBot="1" x14ac:dyDescent="0.25">
      <c r="B1167" s="2979">
        <f>SUM(H1165:H1171)</f>
        <v>45.76</v>
      </c>
      <c r="C1167" s="2463">
        <v>44265</v>
      </c>
      <c r="D1167" s="2464">
        <v>37</v>
      </c>
      <c r="E1167" s="2465" t="s">
        <v>836</v>
      </c>
      <c r="F1167" s="2756" t="s">
        <v>827</v>
      </c>
      <c r="G1167" s="2466">
        <v>3.6585648148148145E-2</v>
      </c>
      <c r="H1167" s="2467">
        <v>9.5500000000000007</v>
      </c>
      <c r="I1167" s="2468">
        <f t="shared" si="175"/>
        <v>3.8309579212720568E-3</v>
      </c>
      <c r="J1167" s="2469">
        <v>136</v>
      </c>
      <c r="K1167" s="2470">
        <v>60</v>
      </c>
      <c r="L1167" s="2816">
        <v>213</v>
      </c>
      <c r="M1167" s="2840">
        <v>32</v>
      </c>
      <c r="N1167" s="2471">
        <f t="shared" si="176"/>
        <v>1.0522669375634914</v>
      </c>
      <c r="O1167" s="2472" t="s">
        <v>1460</v>
      </c>
      <c r="P1167" s="2473">
        <f>IFERROR(VLOOKUP(F1167,Trainingsarten!$A$9:$N$84,12,FALSE),"")</f>
        <v>194.60000000000002</v>
      </c>
      <c r="Q1167" s="2474" t="s">
        <v>437</v>
      </c>
      <c r="R1167" s="2475">
        <f>IFERROR(VLOOKUP(F1167,Trainingsarten!$A$9:$N$84,14,FALSE),"")</f>
        <v>212.96</v>
      </c>
      <c r="S1167" s="2476">
        <f t="shared" si="177"/>
        <v>1.5661764705882353</v>
      </c>
      <c r="T1167" s="2464">
        <f t="shared" si="178"/>
        <v>45.010856157173869</v>
      </c>
      <c r="U1167" s="2464">
        <f t="shared" si="179"/>
        <v>39.900687154056868</v>
      </c>
      <c r="V1167" s="2464">
        <f t="shared" si="180"/>
        <v>-3.1022055052299535</v>
      </c>
      <c r="W1167" s="3284">
        <f t="shared" si="181"/>
        <v>1.1280722054581818</v>
      </c>
      <c r="X1167" s="3300"/>
      <c r="Y1167" s="3316"/>
      <c r="AA1167" s="3301"/>
      <c r="AB1167" s="3409"/>
      <c r="AE1167" s="1056"/>
    </row>
    <row r="1168" spans="2:31" x14ac:dyDescent="0.2">
      <c r="B1168" s="2992" t="s">
        <v>628</v>
      </c>
      <c r="C1168" s="2463">
        <v>44266</v>
      </c>
      <c r="D1168" s="2464"/>
      <c r="E1168" s="2465"/>
      <c r="F1168" s="2756"/>
      <c r="G1168" s="2466"/>
      <c r="H1168" s="2467" t="str">
        <f>IFERROR(VLOOKUP(F1168,Trainingsarten!$A$9:$K$84,10,FALSE),"")</f>
        <v/>
      </c>
      <c r="I1168" s="2468" t="str">
        <f t="shared" si="175"/>
        <v/>
      </c>
      <c r="J1168" s="2469"/>
      <c r="K1168" s="2470" t="str">
        <f>IFERROR(VLOOKUP(F1168,Trainingsarten!$A$9:$K$84,11,FALSE),"0")</f>
        <v>0</v>
      </c>
      <c r="L1168" s="2816"/>
      <c r="M1168" s="2840"/>
      <c r="N1168" s="2471" t="str">
        <f t="shared" si="176"/>
        <v/>
      </c>
      <c r="O1168" s="2472"/>
      <c r="P1168" s="2473" t="str">
        <f>IFERROR(VLOOKUP(F1168,Trainingsarten!$A$9:$N$84,12,FALSE),"")</f>
        <v/>
      </c>
      <c r="Q1168" s="2474" t="s">
        <v>437</v>
      </c>
      <c r="R1168" s="2475" t="str">
        <f>IFERROR(VLOOKUP(F1168,Trainingsarten!$A$9:$N$84,14,FALSE),"")</f>
        <v/>
      </c>
      <c r="S1168" s="2476" t="str">
        <f t="shared" si="177"/>
        <v/>
      </c>
      <c r="T1168" s="2464">
        <f t="shared" si="178"/>
        <v>38.580733849006172</v>
      </c>
      <c r="U1168" s="2464">
        <f t="shared" si="179"/>
        <v>38.95067079324599</v>
      </c>
      <c r="V1168" s="2464">
        <f t="shared" si="180"/>
        <v>-5.1101690031170008</v>
      </c>
      <c r="W1168" s="3284">
        <f t="shared" si="181"/>
        <v>0.99050242430474489</v>
      </c>
      <c r="X1168" s="3300"/>
      <c r="Y1168" s="3316"/>
      <c r="AA1168" s="3301"/>
      <c r="AB1168" s="3409"/>
      <c r="AE1168" s="1056"/>
    </row>
    <row r="1169" spans="2:31" ht="16" thickBot="1" x14ac:dyDescent="0.25">
      <c r="B1169" s="2993">
        <f>SUM(K1165:K1171)</f>
        <v>293</v>
      </c>
      <c r="C1169" s="2463">
        <v>44267</v>
      </c>
      <c r="D1169" s="2464">
        <v>38</v>
      </c>
      <c r="E1169" s="2465" t="s">
        <v>836</v>
      </c>
      <c r="F1169" s="2756" t="s">
        <v>464</v>
      </c>
      <c r="G1169" s="2466">
        <v>3.7488425925925925E-2</v>
      </c>
      <c r="H1169" s="2467">
        <v>10.61</v>
      </c>
      <c r="I1169" s="2468">
        <f t="shared" si="175"/>
        <v>3.5333106433483438E-3</v>
      </c>
      <c r="J1169" s="2469">
        <v>145</v>
      </c>
      <c r="K1169" s="2470">
        <v>72</v>
      </c>
      <c r="L1169" s="2816">
        <v>227</v>
      </c>
      <c r="M1169" s="2840">
        <v>48</v>
      </c>
      <c r="N1169" s="2471">
        <f t="shared" si="176"/>
        <v>1.0343002236695877</v>
      </c>
      <c r="O1169" s="2472" t="s">
        <v>1463</v>
      </c>
      <c r="P1169" s="2473" t="str">
        <f>IFERROR(VLOOKUP(F1169,Trainingsarten!$A$9:$N$84,12,FALSE),"")</f>
        <v/>
      </c>
      <c r="Q1169" s="2474" t="s">
        <v>437</v>
      </c>
      <c r="R1169" s="2475" t="str">
        <f>IFERROR(VLOOKUP(F1169,Trainingsarten!$A$9:$N$84,14,FALSE),"")</f>
        <v/>
      </c>
      <c r="S1169" s="2476">
        <f t="shared" si="177"/>
        <v>1.5655172413793104</v>
      </c>
      <c r="T1169" s="2464">
        <f t="shared" si="178"/>
        <v>43.354914727719574</v>
      </c>
      <c r="U1169" s="2464">
        <f t="shared" si="179"/>
        <v>39.737559583882991</v>
      </c>
      <c r="V1169" s="2464">
        <f t="shared" si="180"/>
        <v>0.36993694423981793</v>
      </c>
      <c r="W1169" s="3284">
        <f t="shared" si="181"/>
        <v>1.0910311348184485</v>
      </c>
      <c r="X1169" s="3300"/>
      <c r="Y1169" s="3316"/>
      <c r="AA1169" s="3301"/>
      <c r="AB1169" s="3409"/>
      <c r="AE1169" s="1056"/>
    </row>
    <row r="1170" spans="2:31" x14ac:dyDescent="0.2">
      <c r="B1170" s="2994" t="s">
        <v>761</v>
      </c>
      <c r="C1170" s="2463">
        <v>44268</v>
      </c>
      <c r="D1170" s="2464"/>
      <c r="E1170" s="2465"/>
      <c r="F1170" s="2756"/>
      <c r="G1170" s="2466"/>
      <c r="H1170" s="2467" t="str">
        <f>IFERROR(VLOOKUP(F1170,Trainingsarten!$A$9:$K$84,10,FALSE),"")</f>
        <v/>
      </c>
      <c r="I1170" s="2468" t="str">
        <f t="shared" si="175"/>
        <v/>
      </c>
      <c r="J1170" s="2469"/>
      <c r="K1170" s="2470" t="str">
        <f>IFERROR(VLOOKUP(F1170,Trainingsarten!$A$9:$K$84,11,FALSE),"0")</f>
        <v>0</v>
      </c>
      <c r="L1170" s="2816"/>
      <c r="M1170" s="2840"/>
      <c r="N1170" s="2471" t="str">
        <f t="shared" si="176"/>
        <v/>
      </c>
      <c r="O1170" s="2472"/>
      <c r="P1170" s="2473" t="str">
        <f>IFERROR(VLOOKUP(F1170,Trainingsarten!$A$9:$N$84,12,FALSE),"")</f>
        <v/>
      </c>
      <c r="Q1170" s="2474" t="s">
        <v>437</v>
      </c>
      <c r="R1170" s="2475" t="str">
        <f>IFERROR(VLOOKUP(F1170,Trainingsarten!$A$9:$N$84,14,FALSE),"")</f>
        <v/>
      </c>
      <c r="S1170" s="2476" t="str">
        <f t="shared" si="177"/>
        <v/>
      </c>
      <c r="T1170" s="2464">
        <f t="shared" si="178"/>
        <v>37.161355480902493</v>
      </c>
      <c r="U1170" s="2464">
        <f t="shared" si="179"/>
        <v>38.791427212838158</v>
      </c>
      <c r="V1170" s="2464">
        <f t="shared" si="180"/>
        <v>-3.6173551438365834</v>
      </c>
      <c r="W1170" s="3284">
        <f t="shared" si="181"/>
        <v>0.95797855740156457</v>
      </c>
      <c r="X1170" s="3300"/>
      <c r="Y1170" s="3316"/>
      <c r="AA1170" s="3301"/>
      <c r="AB1170" s="3409"/>
      <c r="AE1170" s="1056"/>
    </row>
    <row r="1171" spans="2:31" ht="16" thickBot="1" x14ac:dyDescent="0.25">
      <c r="B1171" s="2995">
        <f>AVERAGE(W1165:W1171)</f>
        <v>1.0875050910598618</v>
      </c>
      <c r="C1171" s="1631">
        <v>44269</v>
      </c>
      <c r="D1171" s="1108">
        <v>39</v>
      </c>
      <c r="E1171" s="1261" t="s">
        <v>836</v>
      </c>
      <c r="F1171" s="2653" t="s">
        <v>809</v>
      </c>
      <c r="G1171" s="2433">
        <v>5.9236111111111107E-2</v>
      </c>
      <c r="H1171" s="2434">
        <v>15.5</v>
      </c>
      <c r="I1171" s="2435">
        <f t="shared" si="175"/>
        <v>3.8216845878136199E-3</v>
      </c>
      <c r="J1171" s="1310">
        <v>134</v>
      </c>
      <c r="K1171" s="2436">
        <v>97</v>
      </c>
      <c r="L1171" s="2818">
        <v>212</v>
      </c>
      <c r="M1171" s="2798">
        <v>82</v>
      </c>
      <c r="N1171" s="1223">
        <f t="shared" si="176"/>
        <v>1.0447915262397689</v>
      </c>
      <c r="O1171" s="2437" t="s">
        <v>911</v>
      </c>
      <c r="P1171" s="1519">
        <f>IFERROR(VLOOKUP(F1171,Trainingsarten!$A$9:$N$84,12,FALSE),"")</f>
        <v>194.60000000000002</v>
      </c>
      <c r="Q1171" s="2477" t="s">
        <v>437</v>
      </c>
      <c r="R1171" s="2439">
        <f>IFERROR(VLOOKUP(F1171,Trainingsarten!$A$9:$N$84,14,FALSE),"")</f>
        <v>212.96</v>
      </c>
      <c r="S1171" s="2440">
        <f t="shared" si="177"/>
        <v>1.5820895522388059</v>
      </c>
      <c r="T1171" s="1108">
        <f t="shared" si="178"/>
        <v>45.709733269344994</v>
      </c>
      <c r="U1171" s="1108">
        <f t="shared" si="179"/>
        <v>40.177345612532491</v>
      </c>
      <c r="V1171" s="1108">
        <f t="shared" si="180"/>
        <v>1.630071731935665</v>
      </c>
      <c r="W1171" s="3285">
        <f t="shared" si="181"/>
        <v>1.1376991827724625</v>
      </c>
      <c r="X1171" s="3300"/>
      <c r="Y1171" s="3316"/>
      <c r="AA1171" s="3301"/>
      <c r="AB1171" s="3409"/>
      <c r="AE1171" s="1056"/>
    </row>
    <row r="1172" spans="2:31" ht="16" thickBot="1" x14ac:dyDescent="0.25">
      <c r="B1172" s="2986">
        <f>B1165+1</f>
        <v>11</v>
      </c>
      <c r="C1172" s="2478">
        <v>44270</v>
      </c>
      <c r="D1172" s="1246"/>
      <c r="E1172" s="1247"/>
      <c r="F1172" s="2758"/>
      <c r="G1172" s="2479"/>
      <c r="H1172" s="2480" t="str">
        <f>IFERROR(VLOOKUP(F1172,Trainingsarten!$A$9:$K$84,10,FALSE),"")</f>
        <v/>
      </c>
      <c r="I1172" s="2481" t="str">
        <f t="shared" si="175"/>
        <v/>
      </c>
      <c r="J1172" s="2482"/>
      <c r="K1172" s="2483" t="str">
        <f>IFERROR(VLOOKUP(F1172,Trainingsarten!$A$9:$K$84,11,FALSE),"0")</f>
        <v>0</v>
      </c>
      <c r="L1172" s="2819"/>
      <c r="M1172" s="1320"/>
      <c r="N1172" s="2484" t="str">
        <f t="shared" si="176"/>
        <v/>
      </c>
      <c r="O1172" s="2485"/>
      <c r="P1172" s="1277" t="str">
        <f>IFERROR(VLOOKUP(F1172,Trainingsarten!$A$9:$N$84,12,FALSE),"")</f>
        <v/>
      </c>
      <c r="Q1172" s="1122" t="s">
        <v>437</v>
      </c>
      <c r="R1172" s="2486" t="str">
        <f>IFERROR(VLOOKUP(F1172,Trainingsarten!$A$9:$N$84,14,FALSE),"")</f>
        <v/>
      </c>
      <c r="S1172" s="1125" t="str">
        <f t="shared" si="177"/>
        <v/>
      </c>
      <c r="T1172" s="1246">
        <f t="shared" si="178"/>
        <v>39.179771373724279</v>
      </c>
      <c r="U1172" s="1246">
        <f t="shared" si="179"/>
        <v>39.220742145567435</v>
      </c>
      <c r="V1172" s="1246">
        <f t="shared" si="180"/>
        <v>-5.532387656812503</v>
      </c>
      <c r="W1172" s="3286">
        <f t="shared" si="181"/>
        <v>0.99895537999533268</v>
      </c>
      <c r="X1172" s="3300"/>
      <c r="Y1172" s="3316"/>
      <c r="AA1172" s="3301"/>
      <c r="AB1172" s="3409"/>
      <c r="AE1172" s="1056"/>
    </row>
    <row r="1173" spans="2:31" x14ac:dyDescent="0.2">
      <c r="B1173" s="2991" t="s">
        <v>626</v>
      </c>
      <c r="C1173" s="2409">
        <v>44271</v>
      </c>
      <c r="D1173" s="2009">
        <v>40</v>
      </c>
      <c r="E1173" s="2010" t="s">
        <v>836</v>
      </c>
      <c r="F1173" s="2759" t="s">
        <v>824</v>
      </c>
      <c r="G1173" s="2410">
        <v>3.1979166666666663E-2</v>
      </c>
      <c r="H1173" s="2411">
        <v>8.2200000000000006</v>
      </c>
      <c r="I1173" s="2412">
        <f t="shared" si="175"/>
        <v>3.890409570154095E-3</v>
      </c>
      <c r="J1173" s="2413">
        <v>131</v>
      </c>
      <c r="K1173" s="2414">
        <v>51</v>
      </c>
      <c r="L1173" s="2816">
        <v>209</v>
      </c>
      <c r="M1173" s="2840">
        <v>42</v>
      </c>
      <c r="N1173" s="2368">
        <f t="shared" si="176"/>
        <v>1.0485292515524565</v>
      </c>
      <c r="O1173" s="2415" t="s">
        <v>1460</v>
      </c>
      <c r="P1173" s="2416">
        <f>IFERROR(VLOOKUP(F1173,Trainingsarten!$A$9:$N$84,12,FALSE),"")</f>
        <v>169.39999999999998</v>
      </c>
      <c r="Q1173" s="2417" t="s">
        <v>437</v>
      </c>
      <c r="R1173" s="2418">
        <f>IFERROR(VLOOKUP(F1173,Trainingsarten!$A$9:$N$84,14,FALSE),"")</f>
        <v>193.60000000000002</v>
      </c>
      <c r="S1173" s="2419">
        <f t="shared" si="177"/>
        <v>1.5954198473282444</v>
      </c>
      <c r="T1173" s="2009">
        <f t="shared" si="178"/>
        <v>40.868375463192237</v>
      </c>
      <c r="U1173" s="2009">
        <f t="shared" si="179"/>
        <v>39.501200665911071</v>
      </c>
      <c r="V1173" s="2009">
        <f t="shared" si="180"/>
        <v>4.0970771843156228E-2</v>
      </c>
      <c r="W1173" s="3284">
        <f t="shared" si="181"/>
        <v>1.0346109681283946</v>
      </c>
      <c r="X1173" s="3300"/>
      <c r="Y1173" s="3316"/>
      <c r="AA1173" s="3301"/>
      <c r="AB1173" s="3409"/>
      <c r="AE1173" s="1056"/>
    </row>
    <row r="1174" spans="2:31" ht="16" thickBot="1" x14ac:dyDescent="0.25">
      <c r="B1174" s="2979">
        <f>SUM(H1172:H1178)</f>
        <v>26.410000000000004</v>
      </c>
      <c r="C1174" s="2409">
        <v>44272</v>
      </c>
      <c r="D1174" s="2009"/>
      <c r="E1174" s="2010"/>
      <c r="F1174" s="2759"/>
      <c r="G1174" s="2410"/>
      <c r="H1174" s="2411" t="str">
        <f>IFERROR(VLOOKUP(F1174,Trainingsarten!$A$9:$K$84,10,FALSE),"")</f>
        <v/>
      </c>
      <c r="I1174" s="2412" t="str">
        <f t="shared" si="175"/>
        <v/>
      </c>
      <c r="J1174" s="2413"/>
      <c r="K1174" s="2414" t="str">
        <f>IFERROR(VLOOKUP(F1174,Trainingsarten!$A$9:$K$84,11,FALSE),"0")</f>
        <v>0</v>
      </c>
      <c r="L1174" s="2816"/>
      <c r="M1174" s="2840"/>
      <c r="N1174" s="2368" t="str">
        <f t="shared" si="176"/>
        <v/>
      </c>
      <c r="O1174" s="2415"/>
      <c r="P1174" s="2416" t="str">
        <f>IFERROR(VLOOKUP(F1174,Trainingsarten!$A$9:$N$84,12,FALSE),"")</f>
        <v/>
      </c>
      <c r="Q1174" s="2417" t="s">
        <v>437</v>
      </c>
      <c r="R1174" s="2418" t="str">
        <f>IFERROR(VLOOKUP(F1174,Trainingsarten!$A$9:$N$84,14,FALSE),"")</f>
        <v/>
      </c>
      <c r="S1174" s="2419" t="str">
        <f t="shared" si="177"/>
        <v/>
      </c>
      <c r="T1174" s="2009">
        <f t="shared" si="178"/>
        <v>35.030036111307631</v>
      </c>
      <c r="U1174" s="2009">
        <f t="shared" si="179"/>
        <v>38.560695888151287</v>
      </c>
      <c r="V1174" s="2009">
        <f t="shared" si="180"/>
        <v>-1.3671747972811659</v>
      </c>
      <c r="W1174" s="3284">
        <f t="shared" si="181"/>
        <v>0.90843889884444395</v>
      </c>
      <c r="X1174" s="3300"/>
      <c r="Y1174" s="3316"/>
      <c r="AA1174" s="3301"/>
      <c r="AB1174" s="3409"/>
      <c r="AE1174" s="1056"/>
    </row>
    <row r="1175" spans="2:31" x14ac:dyDescent="0.2">
      <c r="B1175" s="2992" t="s">
        <v>628</v>
      </c>
      <c r="C1175" s="2409">
        <v>44273</v>
      </c>
      <c r="D1175" s="2009">
        <v>41</v>
      </c>
      <c r="E1175" s="2010" t="s">
        <v>836</v>
      </c>
      <c r="F1175" s="2759" t="s">
        <v>914</v>
      </c>
      <c r="G1175" s="2410">
        <v>3.5798611111111107E-2</v>
      </c>
      <c r="H1175" s="2411">
        <v>9.52</v>
      </c>
      <c r="I1175" s="2412">
        <f t="shared" si="175"/>
        <v>3.7603583099906626E-3</v>
      </c>
      <c r="J1175" s="2413">
        <v>145</v>
      </c>
      <c r="K1175" s="2414">
        <v>68</v>
      </c>
      <c r="L1175" s="2816">
        <v>211</v>
      </c>
      <c r="M1175" s="2840">
        <v>21</v>
      </c>
      <c r="N1175" s="2368">
        <f t="shared" si="176"/>
        <v>1.0231766587231907</v>
      </c>
      <c r="O1175" s="2415" t="s">
        <v>1463</v>
      </c>
      <c r="P1175" s="2416">
        <f>IFERROR(VLOOKUP(F1175,Trainingsarten!$A$9:$N$84,12,FALSE),"")</f>
        <v>255.10000000000002</v>
      </c>
      <c r="Q1175" s="2417" t="s">
        <v>437</v>
      </c>
      <c r="R1175" s="2418">
        <f>IFERROR(VLOOKUP(F1175,Trainingsarten!$A$9:$N$84,14,FALSE),"")</f>
        <v>278.29999999999995</v>
      </c>
      <c r="S1175" s="2419">
        <f t="shared" si="177"/>
        <v>1.4551724137931035</v>
      </c>
      <c r="T1175" s="2009">
        <f t="shared" si="178"/>
        <v>39.740030952549397</v>
      </c>
      <c r="U1175" s="2009">
        <f t="shared" si="179"/>
        <v>39.261631700338164</v>
      </c>
      <c r="V1175" s="2009">
        <f t="shared" si="180"/>
        <v>3.5306597768436561</v>
      </c>
      <c r="W1175" s="3284">
        <f t="shared" si="181"/>
        <v>1.0121849049948455</v>
      </c>
      <c r="X1175" s="3300"/>
      <c r="Y1175" s="3316"/>
      <c r="AA1175" s="3301"/>
      <c r="AB1175" s="3409"/>
      <c r="AE1175" s="1056"/>
    </row>
    <row r="1176" spans="2:31" ht="16" thickBot="1" x14ac:dyDescent="0.25">
      <c r="B1176" s="2993">
        <f>SUM(K1172:K1178)</f>
        <v>173</v>
      </c>
      <c r="C1176" s="2409">
        <v>44274</v>
      </c>
      <c r="D1176" s="2009"/>
      <c r="E1176" s="2010"/>
      <c r="F1176" s="2759"/>
      <c r="G1176" s="2410"/>
      <c r="H1176" s="2411" t="str">
        <f>IFERROR(VLOOKUP(F1176,Trainingsarten!$A$9:$K$84,10,FALSE),"")</f>
        <v/>
      </c>
      <c r="I1176" s="2412" t="str">
        <f t="shared" si="175"/>
        <v/>
      </c>
      <c r="J1176" s="2413"/>
      <c r="K1176" s="2414" t="str">
        <f>IFERROR(VLOOKUP(F1176,Trainingsarten!$A$9:$K$84,11,FALSE),"0")</f>
        <v>0</v>
      </c>
      <c r="L1176" s="2816"/>
      <c r="M1176" s="2840"/>
      <c r="N1176" s="2368" t="str">
        <f t="shared" si="176"/>
        <v/>
      </c>
      <c r="O1176" s="2415"/>
      <c r="P1176" s="2416" t="str">
        <f>IFERROR(VLOOKUP(F1176,Trainingsarten!$A$9:$N$84,12,FALSE),"")</f>
        <v/>
      </c>
      <c r="Q1176" s="2417" t="s">
        <v>437</v>
      </c>
      <c r="R1176" s="2418" t="str">
        <f>IFERROR(VLOOKUP(F1176,Trainingsarten!$A$9:$N$84,14,FALSE),"")</f>
        <v/>
      </c>
      <c r="S1176" s="2419" t="str">
        <f t="shared" si="177"/>
        <v/>
      </c>
      <c r="T1176" s="2009">
        <f t="shared" si="178"/>
        <v>34.062883673613769</v>
      </c>
      <c r="U1176" s="2009">
        <f t="shared" si="179"/>
        <v>38.326830945568204</v>
      </c>
      <c r="V1176" s="2009">
        <f t="shared" si="180"/>
        <v>-0.47839925221123281</v>
      </c>
      <c r="W1176" s="3284">
        <f t="shared" si="181"/>
        <v>0.88874772145888881</v>
      </c>
      <c r="X1176" s="3300"/>
      <c r="Y1176" s="3316"/>
      <c r="AA1176" s="3301"/>
      <c r="AB1176" s="3409"/>
      <c r="AE1176" s="1056"/>
    </row>
    <row r="1177" spans="2:31" x14ac:dyDescent="0.2">
      <c r="B1177" s="2994" t="s">
        <v>761</v>
      </c>
      <c r="C1177" s="2409">
        <v>44275</v>
      </c>
      <c r="D1177" s="2009">
        <v>42</v>
      </c>
      <c r="E1177" s="2010" t="s">
        <v>836</v>
      </c>
      <c r="F1177" s="2759" t="s">
        <v>819</v>
      </c>
      <c r="G1177" s="2410">
        <v>3.3391203703703708E-2</v>
      </c>
      <c r="H1177" s="2411">
        <v>8.67</v>
      </c>
      <c r="I1177" s="2412">
        <f t="shared" si="175"/>
        <v>3.8513499081549835E-3</v>
      </c>
      <c r="J1177" s="2413">
        <v>138</v>
      </c>
      <c r="K1177" s="2414">
        <v>54</v>
      </c>
      <c r="L1177" s="2816">
        <v>211</v>
      </c>
      <c r="M1177" s="2840">
        <v>29</v>
      </c>
      <c r="N1177" s="2368">
        <f t="shared" si="176"/>
        <v>1.0479350651586361</v>
      </c>
      <c r="O1177" s="2415" t="s">
        <v>1460</v>
      </c>
      <c r="P1177" s="2416">
        <f>IFERROR(VLOOKUP(F1177,Trainingsarten!$A$9:$N$84,12,FALSE),"")</f>
        <v>194.60000000000002</v>
      </c>
      <c r="Q1177" s="2417" t="s">
        <v>437</v>
      </c>
      <c r="R1177" s="2418">
        <f>IFERROR(VLOOKUP(F1177,Trainingsarten!$A$9:$N$84,14,FALSE),"")</f>
        <v>212.96</v>
      </c>
      <c r="S1177" s="2419">
        <f t="shared" si="177"/>
        <v>1.5289855072463767</v>
      </c>
      <c r="T1177" s="2009">
        <f t="shared" si="178"/>
        <v>36.9110431488118</v>
      </c>
      <c r="U1177" s="2009">
        <f t="shared" si="179"/>
        <v>38.700001637340392</v>
      </c>
      <c r="V1177" s="2009">
        <f t="shared" si="180"/>
        <v>4.2639472719544358</v>
      </c>
      <c r="W1177" s="3284">
        <f t="shared" si="181"/>
        <v>0.95377368442272925</v>
      </c>
      <c r="X1177" s="3300"/>
      <c r="Y1177" s="3316"/>
      <c r="AA1177" s="3301"/>
      <c r="AB1177" s="3409"/>
      <c r="AE1177" s="1056"/>
    </row>
    <row r="1178" spans="2:31" ht="16" thickBot="1" x14ac:dyDescent="0.25">
      <c r="B1178" s="2995">
        <f>AVERAGE(W1172:W1178)</f>
        <v>0.94773876833048187</v>
      </c>
      <c r="C1178" s="2451">
        <v>44276</v>
      </c>
      <c r="D1178" s="2280"/>
      <c r="E1178" s="2281"/>
      <c r="F1178" s="2760"/>
      <c r="G1178" s="2452"/>
      <c r="H1178" s="2453" t="str">
        <f>IFERROR(VLOOKUP(F1178,Trainingsarten!$A$9:$K$84,10,FALSE),"")</f>
        <v/>
      </c>
      <c r="I1178" s="2454" t="str">
        <f t="shared" si="175"/>
        <v/>
      </c>
      <c r="J1178" s="2455"/>
      <c r="K1178" s="2456" t="str">
        <f>IFERROR(VLOOKUP(F1178,Trainingsarten!$A$9:$K$84,11,FALSE),"0")</f>
        <v>0</v>
      </c>
      <c r="L1178" s="2151"/>
      <c r="M1178" s="2841"/>
      <c r="N1178" s="2457" t="str">
        <f t="shared" si="176"/>
        <v/>
      </c>
      <c r="O1178" s="2458"/>
      <c r="P1178" s="2336" t="str">
        <f>IFERROR(VLOOKUP(F1178,Trainingsarten!$A$9:$N$84,12,FALSE),"")</f>
        <v/>
      </c>
      <c r="Q1178" s="2459" t="s">
        <v>437</v>
      </c>
      <c r="R1178" s="2460" t="str">
        <f>IFERROR(VLOOKUP(F1178,Trainingsarten!$A$9:$N$84,14,FALSE),"")</f>
        <v/>
      </c>
      <c r="S1178" s="2290" t="str">
        <f t="shared" si="177"/>
        <v/>
      </c>
      <c r="T1178" s="2280">
        <f t="shared" si="178"/>
        <v>31.63803698469583</v>
      </c>
      <c r="U1178" s="2280">
        <f t="shared" si="179"/>
        <v>37.778573026927525</v>
      </c>
      <c r="V1178" s="2280">
        <f t="shared" si="180"/>
        <v>1.7889584885285927</v>
      </c>
      <c r="W1178" s="3287">
        <f t="shared" si="181"/>
        <v>0.8374598204687379</v>
      </c>
      <c r="X1178" s="3300"/>
      <c r="Y1178" s="3316"/>
      <c r="AA1178" s="3301"/>
      <c r="AB1178" s="3409"/>
      <c r="AE1178" s="1056"/>
    </row>
    <row r="1179" spans="2:31" ht="16" thickBot="1" x14ac:dyDescent="0.25">
      <c r="B1179" s="2986">
        <f>B1172+1</f>
        <v>12</v>
      </c>
      <c r="C1179" s="2399">
        <v>44277</v>
      </c>
      <c r="D1179" s="2292">
        <v>43</v>
      </c>
      <c r="E1179" s="2293" t="s">
        <v>836</v>
      </c>
      <c r="F1179" s="2761" t="s">
        <v>802</v>
      </c>
      <c r="G1179" s="2400">
        <v>3.8009259259259263E-2</v>
      </c>
      <c r="H1179" s="2401">
        <v>9.7799999999999994</v>
      </c>
      <c r="I1179" s="2402">
        <f t="shared" si="175"/>
        <v>3.8864273271226242E-3</v>
      </c>
      <c r="J1179" s="2403">
        <v>142</v>
      </c>
      <c r="K1179" s="2295">
        <v>61</v>
      </c>
      <c r="L1179" s="2815">
        <v>209</v>
      </c>
      <c r="M1179" s="2591">
        <v>19</v>
      </c>
      <c r="N1179" s="2296">
        <f t="shared" si="176"/>
        <v>1.0474559716753657</v>
      </c>
      <c r="O1179" s="2405" t="s">
        <v>911</v>
      </c>
      <c r="P1179" s="2298">
        <f>IFERROR(VLOOKUP(F1179,Trainingsarten!$A$9:$N$84,12,FALSE),"")</f>
        <v>194.60000000000002</v>
      </c>
      <c r="Q1179" s="2461" t="s">
        <v>437</v>
      </c>
      <c r="R1179" s="2462">
        <f>IFERROR(VLOOKUP(F1179,Trainingsarten!$A$9:$N$84,14,FALSE),"")</f>
        <v>212.96</v>
      </c>
      <c r="S1179" s="2408">
        <f t="shared" si="177"/>
        <v>1.471830985915493</v>
      </c>
      <c r="T1179" s="2292">
        <f t="shared" si="178"/>
        <v>35.832603129739283</v>
      </c>
      <c r="U1179" s="2292">
        <f t="shared" si="179"/>
        <v>38.33146414533401</v>
      </c>
      <c r="V1179" s="2292">
        <f t="shared" si="180"/>
        <v>6.1405360422316946</v>
      </c>
      <c r="W1179" s="3283">
        <f t="shared" si="181"/>
        <v>0.93480914253313474</v>
      </c>
      <c r="X1179" s="3300"/>
      <c r="Y1179" s="3316"/>
      <c r="AA1179" s="3301"/>
      <c r="AB1179" s="3409"/>
      <c r="AE1179" s="1056"/>
    </row>
    <row r="1180" spans="2:31" x14ac:dyDescent="0.2">
      <c r="B1180" s="2991" t="s">
        <v>626</v>
      </c>
      <c r="C1180" s="2463">
        <v>44278</v>
      </c>
      <c r="D1180" s="2464"/>
      <c r="E1180" s="2465"/>
      <c r="F1180" s="2762"/>
      <c r="G1180" s="2466"/>
      <c r="H1180" s="2467" t="str">
        <f>IFERROR(VLOOKUP(F1180,Trainingsarten!$A$9:$K$84,10,FALSE),"")</f>
        <v/>
      </c>
      <c r="I1180" s="2468" t="str">
        <f t="shared" ref="I1180:I1243" si="182">IFERROR(G1180/H1180,"")</f>
        <v/>
      </c>
      <c r="J1180" s="2469"/>
      <c r="K1180" s="2487" t="str">
        <f>IFERROR(VLOOKUP(F1180,Trainingsarten!$A$9:$K$84,11,FALSE),"0")</f>
        <v>0</v>
      </c>
      <c r="L1180" s="2816"/>
      <c r="M1180" s="2840"/>
      <c r="N1180" s="2471" t="str">
        <f t="shared" ref="N1180:N1243" si="183">IFERROR((L1180/67)/(1/(I1180*24)/3.6),"")</f>
        <v/>
      </c>
      <c r="O1180" s="2472"/>
      <c r="P1180" s="2473" t="str">
        <f>IFERROR(VLOOKUP(F1180,Trainingsarten!$A$9:$N$84,12,FALSE),"")</f>
        <v/>
      </c>
      <c r="Q1180" s="2474" t="s">
        <v>437</v>
      </c>
      <c r="R1180" s="2475" t="str">
        <f>IFERROR(VLOOKUP(F1180,Trainingsarten!$A$9:$N$84,14,FALSE),"")</f>
        <v/>
      </c>
      <c r="S1180" s="2476" t="str">
        <f t="shared" ref="S1180:S1243" si="184">IFERROR(L1180/J1180,"")</f>
        <v/>
      </c>
      <c r="T1180" s="2464">
        <f t="shared" ref="T1180:T1243" si="185">T1179+(K1180-T1179)/7</f>
        <v>30.713659825490815</v>
      </c>
      <c r="U1180" s="2464">
        <f t="shared" ref="U1180:U1243" si="186">U1179+(K1180-U1179)/42</f>
        <v>37.418810237111771</v>
      </c>
      <c r="V1180" s="2464">
        <f t="shared" ref="V1180:V1243" si="187">U1179-T1179</f>
        <v>2.4988610155947271</v>
      </c>
      <c r="W1180" s="3284">
        <f t="shared" ref="W1180:W1243" si="188">T1180/U1180</f>
        <v>0.82080802759006954</v>
      </c>
      <c r="X1180" s="3300"/>
      <c r="Y1180" s="3316"/>
      <c r="AA1180" s="3301"/>
      <c r="AB1180" s="3409"/>
      <c r="AE1180" s="1056"/>
    </row>
    <row r="1181" spans="2:31" ht="16" thickBot="1" x14ac:dyDescent="0.25">
      <c r="B1181" s="2979">
        <f>SUM(H1179:H1185)</f>
        <v>24.459999999999997</v>
      </c>
      <c r="C1181" s="2463">
        <v>44279</v>
      </c>
      <c r="D1181" s="2464">
        <v>44</v>
      </c>
      <c r="E1181" s="2465" t="s">
        <v>836</v>
      </c>
      <c r="F1181" s="2762" t="s">
        <v>464</v>
      </c>
      <c r="G1181" s="2466">
        <v>3.0312499999999996E-2</v>
      </c>
      <c r="H1181" s="2467">
        <v>8.4499999999999993</v>
      </c>
      <c r="I1181" s="2468">
        <f t="shared" si="182"/>
        <v>3.5872781065088757E-3</v>
      </c>
      <c r="J1181" s="2469">
        <v>144</v>
      </c>
      <c r="K1181" s="2487">
        <v>60</v>
      </c>
      <c r="L1181" s="2816">
        <v>224</v>
      </c>
      <c r="M1181" s="2840">
        <v>34</v>
      </c>
      <c r="N1181" s="2471">
        <f t="shared" si="183"/>
        <v>1.0362200830168684</v>
      </c>
      <c r="O1181" s="2472" t="s">
        <v>821</v>
      </c>
      <c r="P1181" s="2473" t="str">
        <f>IFERROR(VLOOKUP(F1181,Trainingsarten!$A$9:$N$84,12,FALSE),"")</f>
        <v/>
      </c>
      <c r="Q1181" s="2474" t="s">
        <v>437</v>
      </c>
      <c r="R1181" s="2475" t="str">
        <f>IFERROR(VLOOKUP(F1181,Trainingsarten!$A$9:$N$84,14,FALSE),"")</f>
        <v/>
      </c>
      <c r="S1181" s="2476">
        <f t="shared" si="184"/>
        <v>1.5555555555555556</v>
      </c>
      <c r="T1181" s="2464">
        <f t="shared" si="185"/>
        <v>34.897422707563557</v>
      </c>
      <c r="U1181" s="2464">
        <f t="shared" si="186"/>
        <v>37.956457612418632</v>
      </c>
      <c r="V1181" s="2464">
        <f t="shared" si="187"/>
        <v>6.7051504116209557</v>
      </c>
      <c r="W1181" s="3284">
        <f t="shared" si="188"/>
        <v>0.91940673347098079</v>
      </c>
      <c r="X1181" s="3300"/>
      <c r="Y1181" s="3316"/>
      <c r="AA1181" s="3301"/>
      <c r="AB1181" s="3409"/>
      <c r="AE1181" s="1056"/>
    </row>
    <row r="1182" spans="2:31" x14ac:dyDescent="0.2">
      <c r="B1182" s="2992" t="s">
        <v>628</v>
      </c>
      <c r="C1182" s="2463">
        <v>44280</v>
      </c>
      <c r="D1182" s="2464"/>
      <c r="E1182" s="2465"/>
      <c r="F1182" s="2762"/>
      <c r="G1182" s="2466"/>
      <c r="H1182" s="2467" t="str">
        <f>IFERROR(VLOOKUP(F1182,Trainingsarten!$A$9:$K$84,10,FALSE),"")</f>
        <v/>
      </c>
      <c r="I1182" s="2468" t="str">
        <f t="shared" si="182"/>
        <v/>
      </c>
      <c r="J1182" s="2469"/>
      <c r="K1182" s="2487" t="str">
        <f>IFERROR(VLOOKUP(F1182,Trainingsarten!$A$9:$K$84,11,FALSE),"0")</f>
        <v>0</v>
      </c>
      <c r="L1182" s="2816"/>
      <c r="M1182" s="2840"/>
      <c r="N1182" s="2471" t="str">
        <f t="shared" si="183"/>
        <v/>
      </c>
      <c r="O1182" s="2472"/>
      <c r="P1182" s="2473" t="str">
        <f>IFERROR(VLOOKUP(F1182,Trainingsarten!$A$9:$N$84,12,FALSE),"")</f>
        <v/>
      </c>
      <c r="Q1182" s="2474" t="s">
        <v>437</v>
      </c>
      <c r="R1182" s="2475" t="str">
        <f>IFERROR(VLOOKUP(F1182,Trainingsarten!$A$9:$N$84,14,FALSE),"")</f>
        <v/>
      </c>
      <c r="S1182" s="2476" t="str">
        <f t="shared" si="184"/>
        <v/>
      </c>
      <c r="T1182" s="2464">
        <f t="shared" si="185"/>
        <v>29.912076606483048</v>
      </c>
      <c r="U1182" s="2464">
        <f t="shared" si="186"/>
        <v>37.052732431170568</v>
      </c>
      <c r="V1182" s="2464">
        <f t="shared" si="187"/>
        <v>3.0590349048550749</v>
      </c>
      <c r="W1182" s="3284">
        <f t="shared" si="188"/>
        <v>0.80728396109647094</v>
      </c>
      <c r="X1182" s="3300"/>
      <c r="Y1182" s="3316"/>
      <c r="AA1182" s="3301"/>
      <c r="AB1182" s="3409"/>
      <c r="AE1182" s="1056"/>
    </row>
    <row r="1183" spans="2:31" ht="16" thickBot="1" x14ac:dyDescent="0.25">
      <c r="B1183" s="2993">
        <f>SUM(K1179:K1185)</f>
        <v>158</v>
      </c>
      <c r="C1183" s="2463">
        <v>44281</v>
      </c>
      <c r="D1183" s="2464">
        <v>45</v>
      </c>
      <c r="E1183" s="2465" t="s">
        <v>835</v>
      </c>
      <c r="F1183" s="2762" t="s">
        <v>825</v>
      </c>
      <c r="G1183" s="2466">
        <v>2.4583333333333332E-2</v>
      </c>
      <c r="H1183" s="2467">
        <v>6.23</v>
      </c>
      <c r="I1183" s="2468">
        <f t="shared" si="182"/>
        <v>3.9459604066345638E-3</v>
      </c>
      <c r="J1183" s="2469">
        <v>132</v>
      </c>
      <c r="K1183" s="2487">
        <v>37</v>
      </c>
      <c r="L1183" s="2816">
        <v>205</v>
      </c>
      <c r="M1183" s="2840">
        <v>24</v>
      </c>
      <c r="N1183" s="2471">
        <f t="shared" si="183"/>
        <v>1.0431470257061404</v>
      </c>
      <c r="O1183" s="2472" t="s">
        <v>1460</v>
      </c>
      <c r="P1183" s="2473">
        <f>IFERROR(VLOOKUP(F1183,Trainingsarten!$A$9:$N$84,12,FALSE),"")</f>
        <v>169.39999999999998</v>
      </c>
      <c r="Q1183" s="2474" t="s">
        <v>437</v>
      </c>
      <c r="R1183" s="2475">
        <f>IFERROR(VLOOKUP(F1183,Trainingsarten!$A$9:$N$84,14,FALSE),"")</f>
        <v>193.60000000000002</v>
      </c>
      <c r="S1183" s="2476">
        <f t="shared" si="184"/>
        <v>1.553030303030303</v>
      </c>
      <c r="T1183" s="2464">
        <f t="shared" si="185"/>
        <v>30.924637091271183</v>
      </c>
      <c r="U1183" s="2464">
        <f t="shared" si="186"/>
        <v>37.051476897095078</v>
      </c>
      <c r="V1183" s="2464">
        <f t="shared" si="187"/>
        <v>7.1406558246875207</v>
      </c>
      <c r="W1183" s="3284">
        <f t="shared" si="188"/>
        <v>0.83463979525457854</v>
      </c>
      <c r="X1183" s="3300"/>
      <c r="Y1183" s="3316"/>
      <c r="AA1183" s="3301"/>
      <c r="AB1183" s="3409"/>
      <c r="AE1183" s="1056"/>
    </row>
    <row r="1184" spans="2:31" x14ac:dyDescent="0.2">
      <c r="B1184" s="2994" t="s">
        <v>761</v>
      </c>
      <c r="C1184" s="2463">
        <v>44282</v>
      </c>
      <c r="D1184" s="2464"/>
      <c r="E1184" s="2465"/>
      <c r="F1184" s="2762"/>
      <c r="G1184" s="2466"/>
      <c r="H1184" s="2467" t="str">
        <f>IFERROR(VLOOKUP(F1184,Trainingsarten!$A$9:$K$84,10,FALSE),"")</f>
        <v/>
      </c>
      <c r="I1184" s="2468" t="str">
        <f t="shared" si="182"/>
        <v/>
      </c>
      <c r="J1184" s="2469"/>
      <c r="K1184" s="2487" t="str">
        <f>IFERROR(VLOOKUP(F1184,Trainingsarten!$A$9:$K$84,11,FALSE),"0")</f>
        <v>0</v>
      </c>
      <c r="L1184" s="2816"/>
      <c r="M1184" s="2840"/>
      <c r="N1184" s="2471" t="str">
        <f t="shared" si="183"/>
        <v/>
      </c>
      <c r="O1184" s="2472"/>
      <c r="P1184" s="2473" t="str">
        <f>IFERROR(VLOOKUP(F1184,Trainingsarten!$A$9:$N$84,12,FALSE),"")</f>
        <v/>
      </c>
      <c r="Q1184" s="2474" t="s">
        <v>437</v>
      </c>
      <c r="R1184" s="2475" t="str">
        <f>IFERROR(VLOOKUP(F1184,Trainingsarten!$A$9:$N$84,14,FALSE),"")</f>
        <v/>
      </c>
      <c r="S1184" s="2476" t="str">
        <f t="shared" si="184"/>
        <v/>
      </c>
      <c r="T1184" s="2464">
        <f t="shared" si="185"/>
        <v>26.506831792518156</v>
      </c>
      <c r="U1184" s="2464">
        <f t="shared" si="186"/>
        <v>36.16929887573567</v>
      </c>
      <c r="V1184" s="2464">
        <f t="shared" si="187"/>
        <v>6.1268398058238951</v>
      </c>
      <c r="W1184" s="3284">
        <f t="shared" si="188"/>
        <v>0.73285445436987384</v>
      </c>
      <c r="X1184" s="3300"/>
      <c r="Y1184" s="3316"/>
      <c r="AA1184" s="3301"/>
      <c r="AB1184" s="3409"/>
      <c r="AE1184" s="1056"/>
    </row>
    <row r="1185" spans="2:31" ht="16" thickBot="1" x14ac:dyDescent="0.25">
      <c r="B1185" s="2995">
        <f>AVERAGE(W1179:W1185)</f>
        <v>0.81332629632137599</v>
      </c>
      <c r="C1185" s="1631">
        <v>44283</v>
      </c>
      <c r="D1185" s="1108"/>
      <c r="E1185" s="1261"/>
      <c r="F1185" s="2763"/>
      <c r="G1185" s="2433"/>
      <c r="H1185" s="2434"/>
      <c r="I1185" s="2435" t="str">
        <f t="shared" si="182"/>
        <v/>
      </c>
      <c r="J1185" s="1310"/>
      <c r="K1185" s="2436" t="str">
        <f>IFERROR(VLOOKUP(F1185,Trainingsarten!$A$9:$K$84,11,FALSE),"0")</f>
        <v>0</v>
      </c>
      <c r="L1185" s="2818"/>
      <c r="M1185" s="2798"/>
      <c r="N1185" s="1223" t="str">
        <f t="shared" si="183"/>
        <v/>
      </c>
      <c r="O1185" s="2437"/>
      <c r="P1185" s="1519" t="str">
        <f>IFERROR(VLOOKUP(F1185,Trainingsarten!$A$9:$N$84,12,FALSE),"")</f>
        <v/>
      </c>
      <c r="Q1185" s="2477" t="s">
        <v>437</v>
      </c>
      <c r="R1185" s="2439" t="str">
        <f>IFERROR(VLOOKUP(F1185,Trainingsarten!$A$9:$N$84,14,FALSE),"")</f>
        <v/>
      </c>
      <c r="S1185" s="2440" t="str">
        <f t="shared" si="184"/>
        <v/>
      </c>
      <c r="T1185" s="1108">
        <f t="shared" si="185"/>
        <v>22.720141536444135</v>
      </c>
      <c r="U1185" s="1108">
        <f t="shared" si="186"/>
        <v>35.308125092980056</v>
      </c>
      <c r="V1185" s="1108">
        <f t="shared" si="187"/>
        <v>9.6624670832175141</v>
      </c>
      <c r="W1185" s="3285">
        <f t="shared" si="188"/>
        <v>0.64348195993452351</v>
      </c>
      <c r="X1185" s="3300"/>
      <c r="Y1185" s="3316"/>
      <c r="AA1185" s="3301"/>
      <c r="AB1185" s="3409"/>
      <c r="AE1185" s="1056"/>
    </row>
    <row r="1186" spans="2:31" ht="16" thickBot="1" x14ac:dyDescent="0.25">
      <c r="B1186" s="2986">
        <f>B1179+1</f>
        <v>13</v>
      </c>
      <c r="C1186" s="2478">
        <v>44284</v>
      </c>
      <c r="D1186" s="1246">
        <v>46</v>
      </c>
      <c r="E1186" s="1247" t="s">
        <v>836</v>
      </c>
      <c r="F1186" s="2734" t="s">
        <v>827</v>
      </c>
      <c r="G1186" s="2479">
        <v>3.1805555555555552E-2</v>
      </c>
      <c r="H1186" s="2480">
        <v>8.1199999999999992</v>
      </c>
      <c r="I1186" s="2481">
        <f t="shared" si="182"/>
        <v>3.9169403393541323E-3</v>
      </c>
      <c r="J1186" s="2482">
        <v>135</v>
      </c>
      <c r="K1186" s="2483">
        <v>51</v>
      </c>
      <c r="L1186" s="2819">
        <v>209</v>
      </c>
      <c r="M1186" s="1320">
        <v>20</v>
      </c>
      <c r="N1186" s="2484">
        <f t="shared" si="183"/>
        <v>1.0556797294316593</v>
      </c>
      <c r="O1186" s="2485" t="s">
        <v>1460</v>
      </c>
      <c r="P1186" s="1277">
        <f>IFERROR(VLOOKUP(F1186,Trainingsarten!$A$9:$N$84,12,FALSE),"")</f>
        <v>194.60000000000002</v>
      </c>
      <c r="Q1186" s="1122" t="s">
        <v>437</v>
      </c>
      <c r="R1186" s="2486">
        <f>IFERROR(VLOOKUP(F1186,Trainingsarten!$A$9:$N$84,14,FALSE),"")</f>
        <v>212.96</v>
      </c>
      <c r="S1186" s="1125">
        <f t="shared" si="184"/>
        <v>1.5481481481481481</v>
      </c>
      <c r="T1186" s="1246">
        <f t="shared" si="185"/>
        <v>26.760121316952116</v>
      </c>
      <c r="U1186" s="1246">
        <f t="shared" si="186"/>
        <v>35.681741162194818</v>
      </c>
      <c r="V1186" s="1246">
        <f t="shared" si="187"/>
        <v>12.587983556535921</v>
      </c>
      <c r="W1186" s="3286">
        <f t="shared" si="188"/>
        <v>0.74996680221717282</v>
      </c>
      <c r="X1186" s="3300"/>
      <c r="Y1186" s="3316"/>
      <c r="AA1186" s="3301"/>
      <c r="AB1186" s="3409"/>
      <c r="AE1186" s="1056"/>
    </row>
    <row r="1187" spans="2:31" x14ac:dyDescent="0.2">
      <c r="B1187" s="2991" t="s">
        <v>626</v>
      </c>
      <c r="C1187" s="2409">
        <v>44285</v>
      </c>
      <c r="D1187" s="2009"/>
      <c r="E1187" s="2010"/>
      <c r="F1187" s="2728"/>
      <c r="G1187" s="2410"/>
      <c r="H1187" s="2411" t="str">
        <f>IFERROR(VLOOKUP(F1187,Trainingsarten!$A$9:$K$84,10,FALSE),"")</f>
        <v/>
      </c>
      <c r="I1187" s="2412" t="str">
        <f t="shared" si="182"/>
        <v/>
      </c>
      <c r="J1187" s="2413"/>
      <c r="K1187" s="2414" t="str">
        <f>IFERROR(VLOOKUP(F1187,Trainingsarten!$A$9:$K$84,11,FALSE),"0")</f>
        <v>0</v>
      </c>
      <c r="L1187" s="2816"/>
      <c r="M1187" s="2840"/>
      <c r="N1187" s="2368" t="str">
        <f t="shared" si="183"/>
        <v/>
      </c>
      <c r="O1187" s="2415"/>
      <c r="P1187" s="2416" t="str">
        <f>IFERROR(VLOOKUP(F1187,Trainingsarten!$A$9:$N$84,12,FALSE),"")</f>
        <v/>
      </c>
      <c r="Q1187" s="2417" t="s">
        <v>437</v>
      </c>
      <c r="R1187" s="2418" t="str">
        <f>IFERROR(VLOOKUP(F1187,Trainingsarten!$A$9:$N$84,14,FALSE),"")</f>
        <v/>
      </c>
      <c r="S1187" s="2419" t="str">
        <f t="shared" si="184"/>
        <v/>
      </c>
      <c r="T1187" s="2009">
        <f t="shared" si="185"/>
        <v>22.937246843101814</v>
      </c>
      <c r="U1187" s="2009">
        <f t="shared" si="186"/>
        <v>34.832175896428275</v>
      </c>
      <c r="V1187" s="2009">
        <f t="shared" si="187"/>
        <v>8.9216198452427022</v>
      </c>
      <c r="W1187" s="3284">
        <f t="shared" si="188"/>
        <v>0.65850743609312734</v>
      </c>
      <c r="X1187" s="3300"/>
      <c r="Y1187" s="3316"/>
      <c r="AA1187" s="3301"/>
      <c r="AB1187" s="3409"/>
      <c r="AE1187" s="1056"/>
    </row>
    <row r="1188" spans="2:31" ht="16" thickBot="1" x14ac:dyDescent="0.25">
      <c r="B1188" s="2979">
        <f>SUM(H1186:H1192)</f>
        <v>26.52</v>
      </c>
      <c r="C1188" s="2409">
        <v>44286</v>
      </c>
      <c r="D1188" s="2009">
        <v>47</v>
      </c>
      <c r="E1188" s="2010" t="s">
        <v>836</v>
      </c>
      <c r="F1188" s="2728" t="s">
        <v>826</v>
      </c>
      <c r="G1188" s="2410">
        <v>3.3067129629629634E-2</v>
      </c>
      <c r="H1188" s="2411">
        <v>8.4</v>
      </c>
      <c r="I1188" s="2412">
        <f t="shared" si="182"/>
        <v>3.9365630511463846E-3</v>
      </c>
      <c r="J1188" s="2413">
        <v>138</v>
      </c>
      <c r="K1188" s="2414">
        <v>53</v>
      </c>
      <c r="L1188" s="2816">
        <v>210</v>
      </c>
      <c r="M1188" s="2840">
        <v>29</v>
      </c>
      <c r="N1188" s="2368">
        <f t="shared" si="183"/>
        <v>1.066044776119403</v>
      </c>
      <c r="O1188" s="2415" t="s">
        <v>911</v>
      </c>
      <c r="P1188" s="2416">
        <f>IFERROR(VLOOKUP(F1188,Trainingsarten!$A$9:$N$84,12,FALSE),"")</f>
        <v>194.60000000000002</v>
      </c>
      <c r="Q1188" s="2417" t="s">
        <v>437</v>
      </c>
      <c r="R1188" s="2418">
        <f>IFERROR(VLOOKUP(F1188,Trainingsarten!$A$9:$N$84,14,FALSE),"")</f>
        <v>212.96</v>
      </c>
      <c r="S1188" s="2419">
        <f t="shared" si="184"/>
        <v>1.5217391304347827</v>
      </c>
      <c r="T1188" s="2009">
        <f t="shared" si="185"/>
        <v>27.231925865515841</v>
      </c>
      <c r="U1188" s="2009">
        <f t="shared" si="186"/>
        <v>35.264743136989509</v>
      </c>
      <c r="V1188" s="2009">
        <f t="shared" si="187"/>
        <v>11.894929053326461</v>
      </c>
      <c r="W1188" s="3284">
        <f t="shared" si="188"/>
        <v>0.77221392935518152</v>
      </c>
      <c r="X1188" s="3300"/>
      <c r="Y1188" s="3316"/>
      <c r="AA1188" s="3301"/>
      <c r="AB1188" s="3409"/>
      <c r="AE1188" s="1056"/>
    </row>
    <row r="1189" spans="2:31" x14ac:dyDescent="0.2">
      <c r="B1189" s="2992" t="s">
        <v>628</v>
      </c>
      <c r="C1189" s="2409">
        <v>44287</v>
      </c>
      <c r="D1189" s="2009"/>
      <c r="E1189" s="2010"/>
      <c r="F1189" s="2728"/>
      <c r="G1189" s="2410"/>
      <c r="H1189" s="2411" t="str">
        <f>IFERROR(VLOOKUP(F1189,Trainingsarten!$A$9:$K$84,10,FALSE),"")</f>
        <v/>
      </c>
      <c r="I1189" s="2412" t="str">
        <f t="shared" si="182"/>
        <v/>
      </c>
      <c r="J1189" s="2413"/>
      <c r="K1189" s="2414" t="str">
        <f>IFERROR(VLOOKUP(F1189,Trainingsarten!$A$9:$K$84,11,FALSE),"0")</f>
        <v>0</v>
      </c>
      <c r="L1189" s="2816"/>
      <c r="M1189" s="2840"/>
      <c r="N1189" s="2368" t="str">
        <f t="shared" si="183"/>
        <v/>
      </c>
      <c r="O1189" s="2415"/>
      <c r="P1189" s="2416" t="str">
        <f>IFERROR(VLOOKUP(F1189,Trainingsarten!$A$9:$N$84,12,FALSE),"")</f>
        <v/>
      </c>
      <c r="Q1189" s="2417" t="s">
        <v>437</v>
      </c>
      <c r="R1189" s="2418" t="str">
        <f>IFERROR(VLOOKUP(F1189,Trainingsarten!$A$9:$N$84,14,FALSE),"")</f>
        <v/>
      </c>
      <c r="S1189" s="2419" t="str">
        <f t="shared" si="184"/>
        <v/>
      </c>
      <c r="T1189" s="2009">
        <f t="shared" si="185"/>
        <v>23.341650741870719</v>
      </c>
      <c r="U1189" s="2009">
        <f t="shared" si="186"/>
        <v>34.425106395632618</v>
      </c>
      <c r="V1189" s="2009">
        <f t="shared" si="187"/>
        <v>8.0328172714736681</v>
      </c>
      <c r="W1189" s="3284">
        <f t="shared" si="188"/>
        <v>0.67804149894601295</v>
      </c>
      <c r="X1189" s="3300"/>
      <c r="Y1189" s="3316"/>
      <c r="AA1189" s="3301"/>
      <c r="AB1189" s="3409"/>
      <c r="AE1189" s="1056"/>
    </row>
    <row r="1190" spans="2:31" ht="16" thickBot="1" x14ac:dyDescent="0.25">
      <c r="B1190" s="2993">
        <f>SUM(K1186:K1192)</f>
        <v>178</v>
      </c>
      <c r="C1190" s="2409">
        <v>44288</v>
      </c>
      <c r="D1190" s="2009">
        <v>48</v>
      </c>
      <c r="E1190" s="2010" t="s">
        <v>836</v>
      </c>
      <c r="F1190" s="2764" t="s">
        <v>690</v>
      </c>
      <c r="G1190" s="2410">
        <v>3.0208333333333334E-2</v>
      </c>
      <c r="H1190" s="2411">
        <v>10</v>
      </c>
      <c r="I1190" s="2412">
        <f t="shared" si="182"/>
        <v>3.0208333333333333E-3</v>
      </c>
      <c r="J1190" s="2413">
        <v>161</v>
      </c>
      <c r="K1190" s="2414">
        <v>74</v>
      </c>
      <c r="L1190" s="2816">
        <v>261</v>
      </c>
      <c r="M1190" s="2840">
        <v>57</v>
      </c>
      <c r="N1190" s="2368">
        <f t="shared" si="183"/>
        <v>1.0167313432835821</v>
      </c>
      <c r="O1190" s="2415" t="s">
        <v>1463</v>
      </c>
      <c r="P1190" s="2416" t="str">
        <f>IFERROR(VLOOKUP(F1190,Trainingsarten!$A$9:$N$84,12,FALSE),"")</f>
        <v/>
      </c>
      <c r="Q1190" s="2417" t="s">
        <v>437</v>
      </c>
      <c r="R1190" s="2418" t="str">
        <f>IFERROR(VLOOKUP(F1190,Trainingsarten!$A$9:$N$84,14,FALSE),"")</f>
        <v/>
      </c>
      <c r="S1190" s="2419">
        <f t="shared" si="184"/>
        <v>1.6211180124223603</v>
      </c>
      <c r="T1190" s="2009">
        <f t="shared" si="185"/>
        <v>30.57855777874633</v>
      </c>
      <c r="U1190" s="2009">
        <f t="shared" si="186"/>
        <v>35.367365767165175</v>
      </c>
      <c r="V1190" s="2009">
        <f t="shared" si="187"/>
        <v>11.083455653761899</v>
      </c>
      <c r="W1190" s="3284">
        <f t="shared" si="188"/>
        <v>0.86459811511139617</v>
      </c>
      <c r="X1190" s="3300"/>
      <c r="Y1190" s="3316"/>
      <c r="AA1190" s="3301"/>
      <c r="AB1190" s="3409"/>
      <c r="AE1190" s="1056"/>
    </row>
    <row r="1191" spans="2:31" x14ac:dyDescent="0.2">
      <c r="B1191" s="2994" t="s">
        <v>761</v>
      </c>
      <c r="C1191" s="2409">
        <v>44289</v>
      </c>
      <c r="D1191" s="2009"/>
      <c r="E1191" s="2010"/>
      <c r="F1191" s="2728"/>
      <c r="G1191" s="2410"/>
      <c r="H1191" s="2411" t="str">
        <f>IFERROR(VLOOKUP(F1191,Trainingsarten!$A$9:$K$84,10,FALSE),"")</f>
        <v/>
      </c>
      <c r="I1191" s="2412" t="str">
        <f t="shared" si="182"/>
        <v/>
      </c>
      <c r="J1191" s="2413"/>
      <c r="K1191" s="2414" t="str">
        <f>IFERROR(VLOOKUP(F1191,Trainingsarten!$A$9:$K$84,11,FALSE),"0")</f>
        <v>0</v>
      </c>
      <c r="L1191" s="2816"/>
      <c r="M1191" s="2840"/>
      <c r="N1191" s="2368" t="str">
        <f t="shared" si="183"/>
        <v/>
      </c>
      <c r="O1191" s="2415"/>
      <c r="P1191" s="2416" t="str">
        <f>IFERROR(VLOOKUP(F1191,Trainingsarten!$A$9:$N$84,12,FALSE),"")</f>
        <v/>
      </c>
      <c r="Q1191" s="2417" t="s">
        <v>437</v>
      </c>
      <c r="R1191" s="2418" t="str">
        <f>IFERROR(VLOOKUP(F1191,Trainingsarten!$A$9:$N$84,14,FALSE),"")</f>
        <v/>
      </c>
      <c r="S1191" s="2419" t="str">
        <f t="shared" si="184"/>
        <v/>
      </c>
      <c r="T1191" s="2009">
        <f t="shared" si="185"/>
        <v>26.210192381782569</v>
      </c>
      <c r="U1191" s="2009">
        <f t="shared" si="186"/>
        <v>34.525285629851716</v>
      </c>
      <c r="V1191" s="2009">
        <f t="shared" si="187"/>
        <v>4.7888079884188457</v>
      </c>
      <c r="W1191" s="3284">
        <f t="shared" si="188"/>
        <v>0.7591593205856163</v>
      </c>
      <c r="X1191" s="3300"/>
      <c r="Y1191" s="3316"/>
      <c r="AA1191" s="3301"/>
      <c r="AB1191" s="3409"/>
      <c r="AE1191" s="1056"/>
    </row>
    <row r="1192" spans="2:31" ht="16" thickBot="1" x14ac:dyDescent="0.25">
      <c r="B1192" s="2995">
        <f>AVERAGE(W1186:W1192)</f>
        <v>0.73558085970637954</v>
      </c>
      <c r="C1192" s="2451">
        <v>44290</v>
      </c>
      <c r="D1192" s="2280"/>
      <c r="E1192" s="2281"/>
      <c r="F1192" s="2757"/>
      <c r="G1192" s="2452"/>
      <c r="H1192" s="2453" t="str">
        <f>IFERROR(VLOOKUP(F1192,Trainingsarten!$A$9:$K$84,10,FALSE),"")</f>
        <v/>
      </c>
      <c r="I1192" s="2454" t="str">
        <f t="shared" si="182"/>
        <v/>
      </c>
      <c r="J1192" s="2455"/>
      <c r="K1192" s="2456" t="str">
        <f>IFERROR(VLOOKUP(F1192,Trainingsarten!$A$9:$K$84,11,FALSE),"0")</f>
        <v>0</v>
      </c>
      <c r="L1192" s="2151"/>
      <c r="M1192" s="2841"/>
      <c r="N1192" s="2457" t="str">
        <f t="shared" si="183"/>
        <v/>
      </c>
      <c r="O1192" s="2458"/>
      <c r="P1192" s="2336" t="str">
        <f>IFERROR(VLOOKUP(F1192,Trainingsarten!$A$9:$N$84,12,FALSE),"")</f>
        <v/>
      </c>
      <c r="Q1192" s="2459" t="s">
        <v>437</v>
      </c>
      <c r="R1192" s="2460" t="str">
        <f>IFERROR(VLOOKUP(F1192,Trainingsarten!$A$9:$N$84,14,FALSE),"")</f>
        <v/>
      </c>
      <c r="S1192" s="2290" t="str">
        <f t="shared" si="184"/>
        <v/>
      </c>
      <c r="T1192" s="2280">
        <f t="shared" si="185"/>
        <v>22.465879184385059</v>
      </c>
      <c r="U1192" s="2280">
        <f t="shared" si="186"/>
        <v>33.703255019617153</v>
      </c>
      <c r="V1192" s="2280">
        <f t="shared" si="187"/>
        <v>8.3150932480691466</v>
      </c>
      <c r="W1192" s="3287">
        <f t="shared" si="188"/>
        <v>0.66657891563615079</v>
      </c>
      <c r="X1192" s="3300"/>
      <c r="Y1192" s="3316"/>
      <c r="AA1192" s="3301"/>
      <c r="AB1192" s="3409"/>
      <c r="AE1192" s="1056"/>
    </row>
    <row r="1193" spans="2:31" ht="16" thickBot="1" x14ac:dyDescent="0.25">
      <c r="B1193" s="2986">
        <f>B1186+1</f>
        <v>14</v>
      </c>
      <c r="C1193" s="2399">
        <v>44291</v>
      </c>
      <c r="D1193" s="2292"/>
      <c r="E1193" s="2293"/>
      <c r="F1193" s="2730"/>
      <c r="G1193" s="2400"/>
      <c r="H1193" s="2401" t="str">
        <f>IFERROR(VLOOKUP(F1193,Trainingsarten!$A$9:$K$84,10,FALSE),"")</f>
        <v/>
      </c>
      <c r="I1193" s="2402" t="str">
        <f t="shared" si="182"/>
        <v/>
      </c>
      <c r="J1193" s="2403"/>
      <c r="K1193" s="2404" t="str">
        <f>IFERROR(VLOOKUP(F1193,Trainingsarten!$A$9:$K$84,11,FALSE),"0")</f>
        <v>0</v>
      </c>
      <c r="L1193" s="2815"/>
      <c r="M1193" s="2591"/>
      <c r="N1193" s="2296" t="str">
        <f t="shared" si="183"/>
        <v/>
      </c>
      <c r="O1193" s="2405"/>
      <c r="P1193" s="2298" t="str">
        <f>IFERROR(VLOOKUP(F1193,Trainingsarten!$A$9:$N$84,12,FALSE),"")</f>
        <v/>
      </c>
      <c r="Q1193" s="2461" t="s">
        <v>437</v>
      </c>
      <c r="R1193" s="2462" t="str">
        <f>IFERROR(VLOOKUP(F1193,Trainingsarten!$A$9:$N$84,14,FALSE),"")</f>
        <v/>
      </c>
      <c r="S1193" s="2408" t="str">
        <f t="shared" si="184"/>
        <v/>
      </c>
      <c r="T1193" s="2292">
        <f t="shared" si="185"/>
        <v>19.256467872330052</v>
      </c>
      <c r="U1193" s="2292">
        <f t="shared" si="186"/>
        <v>32.900796566769124</v>
      </c>
      <c r="V1193" s="2292">
        <f t="shared" si="187"/>
        <v>11.237375835232093</v>
      </c>
      <c r="W1193" s="3283">
        <f t="shared" si="188"/>
        <v>0.58528880397320571</v>
      </c>
      <c r="X1193" s="3300"/>
      <c r="Y1193" s="3316"/>
      <c r="AA1193" s="3301"/>
      <c r="AB1193" s="3409"/>
      <c r="AE1193" s="1056"/>
    </row>
    <row r="1194" spans="2:31" x14ac:dyDescent="0.2">
      <c r="B1194" s="2991" t="s">
        <v>626</v>
      </c>
      <c r="C1194" s="2488">
        <v>44292</v>
      </c>
      <c r="D1194" s="2489"/>
      <c r="E1194" s="2490"/>
      <c r="F1194" s="2765"/>
      <c r="G1194" s="2491"/>
      <c r="H1194" s="2492" t="str">
        <f>IFERROR(VLOOKUP(F1194,Trainingsarten!$A$9:$K$84,10,FALSE),"")</f>
        <v/>
      </c>
      <c r="I1194" s="2493" t="str">
        <f t="shared" si="182"/>
        <v/>
      </c>
      <c r="J1194" s="2494"/>
      <c r="K1194" s="2495" t="str">
        <f>IFERROR(VLOOKUP(F1194,Trainingsarten!$A$9:$K$84,11,FALSE),"0")</f>
        <v>0</v>
      </c>
      <c r="L1194" s="2816"/>
      <c r="M1194" s="2840"/>
      <c r="N1194" s="2496" t="str">
        <f t="shared" si="183"/>
        <v/>
      </c>
      <c r="O1194" s="2497"/>
      <c r="P1194" s="2498" t="str">
        <f>IFERROR(VLOOKUP(F1194,Trainingsarten!$A$9:$N$84,12,FALSE),"")</f>
        <v/>
      </c>
      <c r="Q1194" s="2499" t="s">
        <v>437</v>
      </c>
      <c r="R1194" s="2500" t="str">
        <f>IFERROR(VLOOKUP(F1194,Trainingsarten!$A$9:$N$84,14,FALSE),"")</f>
        <v/>
      </c>
      <c r="S1194" s="2501" t="str">
        <f t="shared" si="184"/>
        <v/>
      </c>
      <c r="T1194" s="2489">
        <f t="shared" si="185"/>
        <v>16.505543890568617</v>
      </c>
      <c r="U1194" s="2489">
        <f t="shared" si="186"/>
        <v>32.117444267560337</v>
      </c>
      <c r="V1194" s="2489">
        <f t="shared" si="187"/>
        <v>13.644328694439071</v>
      </c>
      <c r="W1194" s="3284">
        <f t="shared" si="188"/>
        <v>0.5139121205618391</v>
      </c>
      <c r="X1194" s="3300"/>
      <c r="Y1194" s="3316"/>
      <c r="AA1194" s="3301"/>
      <c r="AB1194" s="3409"/>
      <c r="AE1194" s="1056"/>
    </row>
    <row r="1195" spans="2:31" ht="16" thickBot="1" x14ac:dyDescent="0.25">
      <c r="B1195" s="2979">
        <f>SUM(H1193:H1199)</f>
        <v>22.299999999999997</v>
      </c>
      <c r="C1195" s="2488">
        <v>44293</v>
      </c>
      <c r="D1195" s="2489"/>
      <c r="E1195" s="2490"/>
      <c r="F1195" s="2765"/>
      <c r="G1195" s="2491"/>
      <c r="H1195" s="2492" t="str">
        <f>IFERROR(VLOOKUP(F1195,Trainingsarten!$A$9:$K$84,10,FALSE),"")</f>
        <v/>
      </c>
      <c r="I1195" s="2493" t="str">
        <f t="shared" si="182"/>
        <v/>
      </c>
      <c r="J1195" s="2494"/>
      <c r="K1195" s="2495" t="str">
        <f>IFERROR(VLOOKUP(F1195,Trainingsarten!$A$9:$K$84,11,FALSE),"0")</f>
        <v>0</v>
      </c>
      <c r="L1195" s="2816"/>
      <c r="M1195" s="2840"/>
      <c r="N1195" s="2496" t="str">
        <f t="shared" si="183"/>
        <v/>
      </c>
      <c r="O1195" s="2497"/>
      <c r="P1195" s="2498" t="str">
        <f>IFERROR(VLOOKUP(F1195,Trainingsarten!$A$9:$N$84,12,FALSE),"")</f>
        <v/>
      </c>
      <c r="Q1195" s="2499" t="s">
        <v>437</v>
      </c>
      <c r="R1195" s="2500" t="str">
        <f>IFERROR(VLOOKUP(F1195,Trainingsarten!$A$9:$N$84,14,FALSE),"")</f>
        <v/>
      </c>
      <c r="S1195" s="2501" t="str">
        <f t="shared" si="184"/>
        <v/>
      </c>
      <c r="T1195" s="2489">
        <f t="shared" si="185"/>
        <v>14.147609049058815</v>
      </c>
      <c r="U1195" s="2489">
        <f t="shared" si="186"/>
        <v>31.352743213570804</v>
      </c>
      <c r="V1195" s="2489">
        <f t="shared" si="187"/>
        <v>15.61190037699172</v>
      </c>
      <c r="W1195" s="3284">
        <f t="shared" si="188"/>
        <v>0.45123991073722464</v>
      </c>
      <c r="X1195" s="3300"/>
      <c r="Y1195" s="3316"/>
      <c r="AA1195" s="3301"/>
      <c r="AB1195" s="3409"/>
      <c r="AE1195" s="1056"/>
    </row>
    <row r="1196" spans="2:31" x14ac:dyDescent="0.2">
      <c r="B1196" s="2992" t="s">
        <v>628</v>
      </c>
      <c r="C1196" s="2488">
        <v>44294</v>
      </c>
      <c r="D1196" s="2489">
        <v>49</v>
      </c>
      <c r="E1196" s="2490" t="s">
        <v>835</v>
      </c>
      <c r="F1196" s="2765" t="s">
        <v>818</v>
      </c>
      <c r="G1196" s="2491">
        <v>4.5104166666666667E-2</v>
      </c>
      <c r="H1196" s="2492">
        <v>11.1</v>
      </c>
      <c r="I1196" s="2493">
        <f t="shared" si="182"/>
        <v>4.0634384384384383E-3</v>
      </c>
      <c r="J1196" s="2494">
        <v>133</v>
      </c>
      <c r="K1196" s="2495">
        <v>67</v>
      </c>
      <c r="L1196" s="2816">
        <v>202</v>
      </c>
      <c r="M1196" s="2840">
        <v>47</v>
      </c>
      <c r="N1196" s="2496">
        <f t="shared" si="183"/>
        <v>1.0584832593787816</v>
      </c>
      <c r="O1196" s="2497" t="s">
        <v>1460</v>
      </c>
      <c r="P1196" s="2498">
        <f>IFERROR(VLOOKUP(F1196,Trainingsarten!$A$9:$N$84,12,FALSE),"")</f>
        <v>194.60000000000002</v>
      </c>
      <c r="Q1196" s="2499" t="s">
        <v>437</v>
      </c>
      <c r="R1196" s="2500">
        <f>IFERROR(VLOOKUP(F1196,Trainingsarten!$A$9:$N$84,14,FALSE),"")</f>
        <v>212.96</v>
      </c>
      <c r="S1196" s="2501">
        <f t="shared" si="184"/>
        <v>1.518796992481203</v>
      </c>
      <c r="T1196" s="2489">
        <f t="shared" si="185"/>
        <v>21.697950613478984</v>
      </c>
      <c r="U1196" s="2489">
        <f t="shared" si="186"/>
        <v>32.2014874227715</v>
      </c>
      <c r="V1196" s="2489">
        <f t="shared" si="187"/>
        <v>17.205134164511989</v>
      </c>
      <c r="W1196" s="3284">
        <f t="shared" si="188"/>
        <v>0.67381827207569089</v>
      </c>
      <c r="X1196" s="3300"/>
      <c r="Y1196" s="3316"/>
      <c r="AA1196" s="3301"/>
      <c r="AB1196" s="3409"/>
      <c r="AE1196" s="1056"/>
    </row>
    <row r="1197" spans="2:31" ht="16" thickBot="1" x14ac:dyDescent="0.25">
      <c r="B1197" s="2993">
        <f>SUM(K1193:K1199)</f>
        <v>135</v>
      </c>
      <c r="C1197" s="2488">
        <v>44295</v>
      </c>
      <c r="D1197" s="2489"/>
      <c r="E1197" s="2490"/>
      <c r="F1197" s="2765"/>
      <c r="G1197" s="2491"/>
      <c r="H1197" s="2492" t="str">
        <f>IFERROR(VLOOKUP(F1197,Trainingsarten!$A$9:$K$84,10,FALSE),"")</f>
        <v/>
      </c>
      <c r="I1197" s="2493" t="str">
        <f t="shared" si="182"/>
        <v/>
      </c>
      <c r="J1197" s="2494"/>
      <c r="K1197" s="2495" t="str">
        <f>IFERROR(VLOOKUP(F1197,Trainingsarten!$A$9:$K$84,11,FALSE),"0")</f>
        <v>0</v>
      </c>
      <c r="L1197" s="2816"/>
      <c r="M1197" s="2840"/>
      <c r="N1197" s="2496" t="str">
        <f t="shared" si="183"/>
        <v/>
      </c>
      <c r="O1197" s="2497"/>
      <c r="P1197" s="2498" t="str">
        <f>IFERROR(VLOOKUP(F1197,Trainingsarten!$A$9:$N$84,12,FALSE),"")</f>
        <v/>
      </c>
      <c r="Q1197" s="2499" t="s">
        <v>437</v>
      </c>
      <c r="R1197" s="2500" t="str">
        <f>IFERROR(VLOOKUP(F1197,Trainingsarten!$A$9:$N$84,14,FALSE),"")</f>
        <v/>
      </c>
      <c r="S1197" s="2501" t="str">
        <f t="shared" si="184"/>
        <v/>
      </c>
      <c r="T1197" s="2489">
        <f t="shared" si="185"/>
        <v>18.598243382981988</v>
      </c>
      <c r="U1197" s="2489">
        <f t="shared" si="186"/>
        <v>31.434785341276939</v>
      </c>
      <c r="V1197" s="2489">
        <f t="shared" si="187"/>
        <v>10.503536809292516</v>
      </c>
      <c r="W1197" s="3284">
        <f t="shared" si="188"/>
        <v>0.59164531206646032</v>
      </c>
      <c r="X1197" s="3300"/>
      <c r="Y1197" s="3316"/>
      <c r="AA1197" s="3301"/>
      <c r="AB1197" s="3409"/>
      <c r="AE1197" s="1056"/>
    </row>
    <row r="1198" spans="2:31" x14ac:dyDescent="0.2">
      <c r="B1198" s="2994" t="s">
        <v>761</v>
      </c>
      <c r="C1198" s="2488">
        <v>44296</v>
      </c>
      <c r="D1198" s="2489">
        <v>50</v>
      </c>
      <c r="E1198" s="2490" t="s">
        <v>835</v>
      </c>
      <c r="F1198" s="2765" t="s">
        <v>818</v>
      </c>
      <c r="G1198" s="2491">
        <v>4.4571759259259262E-2</v>
      </c>
      <c r="H1198" s="2492">
        <v>11.2</v>
      </c>
      <c r="I1198" s="2493">
        <f t="shared" si="182"/>
        <v>3.9796213624338633E-3</v>
      </c>
      <c r="J1198" s="2494">
        <v>130</v>
      </c>
      <c r="K1198" s="2495">
        <v>68</v>
      </c>
      <c r="L1198" s="2816">
        <v>205</v>
      </c>
      <c r="M1198" s="2840">
        <v>45</v>
      </c>
      <c r="N1198" s="2496">
        <f t="shared" si="183"/>
        <v>1.0520455756929641</v>
      </c>
      <c r="O1198" s="2497" t="s">
        <v>911</v>
      </c>
      <c r="P1198" s="2498">
        <f>IFERROR(VLOOKUP(F1198,Trainingsarten!$A$9:$N$84,12,FALSE),"")</f>
        <v>194.60000000000002</v>
      </c>
      <c r="Q1198" s="2499" t="s">
        <v>437</v>
      </c>
      <c r="R1198" s="2500">
        <f>IFERROR(VLOOKUP(F1198,Trainingsarten!$A$9:$N$84,14,FALSE),"")</f>
        <v>212.96</v>
      </c>
      <c r="S1198" s="2501">
        <f t="shared" si="184"/>
        <v>1.5769230769230769</v>
      </c>
      <c r="T1198" s="2489">
        <f t="shared" si="185"/>
        <v>25.655637185413131</v>
      </c>
      <c r="U1198" s="2489">
        <f t="shared" si="186"/>
        <v>32.305385690294152</v>
      </c>
      <c r="V1198" s="2489">
        <f t="shared" si="187"/>
        <v>12.836541958294951</v>
      </c>
      <c r="W1198" s="3284">
        <f t="shared" si="188"/>
        <v>0.79415975501326774</v>
      </c>
      <c r="X1198" s="3300"/>
      <c r="Y1198" s="3316"/>
      <c r="AA1198" s="3301"/>
      <c r="AB1198" s="3409"/>
      <c r="AE1198" s="1056"/>
    </row>
    <row r="1199" spans="2:31" ht="16" thickBot="1" x14ac:dyDescent="0.25">
      <c r="B1199" s="2995">
        <f>AVERAGE(W1193:W1199)</f>
        <v>0.61533931126136898</v>
      </c>
      <c r="C1199" s="2502">
        <v>44297</v>
      </c>
      <c r="D1199" s="2332"/>
      <c r="E1199" s="2503"/>
      <c r="F1199" s="2766"/>
      <c r="G1199" s="2504"/>
      <c r="H1199" s="2505" t="str">
        <f>IFERROR(VLOOKUP(F1199,Trainingsarten!$A$9:$K$84,10,FALSE),"")</f>
        <v/>
      </c>
      <c r="I1199" s="2506" t="str">
        <f t="shared" si="182"/>
        <v/>
      </c>
      <c r="J1199" s="2507"/>
      <c r="K1199" s="2508" t="str">
        <f>IFERROR(VLOOKUP(F1199,Trainingsarten!$A$9:$K$84,11,FALSE),"0")</f>
        <v>0</v>
      </c>
      <c r="L1199" s="2818"/>
      <c r="M1199" s="2798"/>
      <c r="N1199" s="2509" t="str">
        <f t="shared" si="183"/>
        <v/>
      </c>
      <c r="O1199" s="2510"/>
      <c r="P1199" s="2511" t="str">
        <f>IFERROR(VLOOKUP(F1199,Trainingsarten!$A$9:$N$84,12,FALSE),"")</f>
        <v/>
      </c>
      <c r="Q1199" s="2512" t="s">
        <v>437</v>
      </c>
      <c r="R1199" s="2513" t="str">
        <f>IFERROR(VLOOKUP(F1199,Trainingsarten!$A$9:$N$84,14,FALSE),"")</f>
        <v/>
      </c>
      <c r="S1199" s="2331" t="str">
        <f t="shared" si="184"/>
        <v/>
      </c>
      <c r="T1199" s="2332">
        <f t="shared" si="185"/>
        <v>21.99054615892554</v>
      </c>
      <c r="U1199" s="2332">
        <f t="shared" si="186"/>
        <v>31.536209840525242</v>
      </c>
      <c r="V1199" s="2332">
        <f t="shared" si="187"/>
        <v>6.6497485048810212</v>
      </c>
      <c r="W1199" s="3285">
        <f t="shared" si="188"/>
        <v>0.69731100440189364</v>
      </c>
      <c r="X1199" s="3300"/>
      <c r="Y1199" s="3316"/>
      <c r="AA1199" s="3301"/>
      <c r="AB1199" s="3409"/>
      <c r="AE1199" s="1056"/>
    </row>
    <row r="1200" spans="2:31" ht="16" thickBot="1" x14ac:dyDescent="0.25">
      <c r="B1200" s="2986">
        <f>B1193+1</f>
        <v>15</v>
      </c>
      <c r="C1200" s="2441">
        <v>44298</v>
      </c>
      <c r="D1200" s="1111"/>
      <c r="E1200" s="1112"/>
      <c r="F1200" s="2767"/>
      <c r="G1200" s="2442"/>
      <c r="H1200" s="2443" t="str">
        <f>IFERROR(VLOOKUP(F1200,Trainingsarten!$A$9:$K$84,10,FALSE),"")</f>
        <v/>
      </c>
      <c r="I1200" s="2444" t="str">
        <f t="shared" si="182"/>
        <v/>
      </c>
      <c r="J1200" s="1320"/>
      <c r="K1200" s="2445" t="str">
        <f>IFERROR(VLOOKUP(F1200,Trainingsarten!$A$9:$K$84,11,FALSE),"0")</f>
        <v>0</v>
      </c>
      <c r="L1200" s="2819"/>
      <c r="M1200" s="1320"/>
      <c r="N1200" s="1119" t="str">
        <f t="shared" si="183"/>
        <v/>
      </c>
      <c r="O1200" s="2446"/>
      <c r="P1200" s="1121" t="str">
        <f>IFERROR(VLOOKUP(F1200,Trainingsarten!$A$9:$N$84,12,FALSE),"")</f>
        <v/>
      </c>
      <c r="Q1200" s="2447" t="s">
        <v>437</v>
      </c>
      <c r="R1200" s="2448" t="str">
        <f>IFERROR(VLOOKUP(F1200,Trainingsarten!$A$9:$N$84,14,FALSE),"")</f>
        <v/>
      </c>
      <c r="S1200" s="2449" t="str">
        <f t="shared" si="184"/>
        <v/>
      </c>
      <c r="T1200" s="1111">
        <f t="shared" si="185"/>
        <v>18.849039564793319</v>
      </c>
      <c r="U1200" s="1111">
        <f t="shared" si="186"/>
        <v>30.785347701465117</v>
      </c>
      <c r="V1200" s="1111">
        <f t="shared" si="187"/>
        <v>9.5456636815997022</v>
      </c>
      <c r="W1200" s="3286">
        <f t="shared" si="188"/>
        <v>0.61227307703580902</v>
      </c>
      <c r="X1200" s="3300"/>
      <c r="Y1200" s="3316"/>
      <c r="AA1200" s="3301"/>
      <c r="AB1200" s="3409"/>
      <c r="AE1200" s="1056"/>
    </row>
    <row r="1201" spans="2:31" x14ac:dyDescent="0.2">
      <c r="B1201" s="2991" t="s">
        <v>626</v>
      </c>
      <c r="C1201" s="2409">
        <v>44299</v>
      </c>
      <c r="D1201" s="2009">
        <v>51</v>
      </c>
      <c r="E1201" s="2010" t="s">
        <v>836</v>
      </c>
      <c r="F1201" s="2768" t="s">
        <v>827</v>
      </c>
      <c r="G1201" s="2410">
        <v>3.3067129629629634E-2</v>
      </c>
      <c r="H1201" s="2411">
        <v>8.3800000000000008</v>
      </c>
      <c r="I1201" s="2412">
        <f t="shared" si="182"/>
        <v>3.9459581896932735E-3</v>
      </c>
      <c r="J1201" s="2413">
        <v>136</v>
      </c>
      <c r="K1201" s="2414">
        <v>52</v>
      </c>
      <c r="L1201" s="2816">
        <v>207</v>
      </c>
      <c r="M1201" s="2840">
        <v>37</v>
      </c>
      <c r="N1201" s="2368">
        <f t="shared" si="183"/>
        <v>1.0533234780750187</v>
      </c>
      <c r="O1201" s="2415" t="s">
        <v>1460</v>
      </c>
      <c r="P1201" s="2416">
        <f>IFERROR(VLOOKUP(F1201,Trainingsarten!$A$9:$N$84,12,FALSE),"")</f>
        <v>194.60000000000002</v>
      </c>
      <c r="Q1201" s="2417" t="s">
        <v>437</v>
      </c>
      <c r="R1201" s="2418">
        <f>IFERROR(VLOOKUP(F1201,Trainingsarten!$A$9:$N$84,14,FALSE),"")</f>
        <v>212.96</v>
      </c>
      <c r="S1201" s="2419">
        <f t="shared" si="184"/>
        <v>1.5220588235294117</v>
      </c>
      <c r="T1201" s="2009">
        <f t="shared" si="185"/>
        <v>23.584891055537131</v>
      </c>
      <c r="U1201" s="2009">
        <f t="shared" si="186"/>
        <v>31.290458470477851</v>
      </c>
      <c r="V1201" s="2009">
        <f t="shared" si="187"/>
        <v>11.936308136671798</v>
      </c>
      <c r="W1201" s="3284">
        <f t="shared" si="188"/>
        <v>0.75374066755171309</v>
      </c>
      <c r="X1201" s="3300"/>
      <c r="Y1201" s="3316"/>
      <c r="AA1201" s="3301"/>
      <c r="AB1201" s="3409"/>
      <c r="AE1201" s="1056"/>
    </row>
    <row r="1202" spans="2:31" ht="16" thickBot="1" x14ac:dyDescent="0.25">
      <c r="B1202" s="2979">
        <f>SUM(H1200:H1206)</f>
        <v>18.78</v>
      </c>
      <c r="C1202" s="2409">
        <v>44300</v>
      </c>
      <c r="D1202" s="2009"/>
      <c r="E1202" s="2010"/>
      <c r="F1202" s="2768"/>
      <c r="G1202" s="2410"/>
      <c r="H1202" s="2411" t="str">
        <f>IFERROR(VLOOKUP(F1202,Trainingsarten!$A$9:$K$84,10,FALSE),"")</f>
        <v/>
      </c>
      <c r="I1202" s="2412" t="str">
        <f t="shared" si="182"/>
        <v/>
      </c>
      <c r="J1202" s="2413"/>
      <c r="K1202" s="2414" t="str">
        <f>IFERROR(VLOOKUP(F1202,Trainingsarten!$A$9:$K$84,11,FALSE),"0")</f>
        <v>0</v>
      </c>
      <c r="L1202" s="2816"/>
      <c r="M1202" s="2840"/>
      <c r="N1202" s="2368" t="str">
        <f t="shared" si="183"/>
        <v/>
      </c>
      <c r="O1202" s="2415"/>
      <c r="P1202" s="2416" t="str">
        <f>IFERROR(VLOOKUP(F1202,Trainingsarten!$A$9:$N$84,12,FALSE),"")</f>
        <v/>
      </c>
      <c r="Q1202" s="2417" t="s">
        <v>437</v>
      </c>
      <c r="R1202" s="2418" t="str">
        <f>IFERROR(VLOOKUP(F1202,Trainingsarten!$A$9:$N$84,14,FALSE),"")</f>
        <v/>
      </c>
      <c r="S1202" s="2419" t="str">
        <f t="shared" si="184"/>
        <v/>
      </c>
      <c r="T1202" s="2009">
        <f t="shared" si="185"/>
        <v>20.215620904746114</v>
      </c>
      <c r="U1202" s="2009">
        <f t="shared" si="186"/>
        <v>30.545447554514094</v>
      </c>
      <c r="V1202" s="2009">
        <f t="shared" si="187"/>
        <v>7.7055674149407203</v>
      </c>
      <c r="W1202" s="3284">
        <f t="shared" si="188"/>
        <v>0.66182107394784562</v>
      </c>
      <c r="X1202" s="3300"/>
      <c r="Y1202" s="3316"/>
      <c r="AA1202" s="3301"/>
      <c r="AB1202" s="3409"/>
      <c r="AE1202" s="1056"/>
    </row>
    <row r="1203" spans="2:31" x14ac:dyDescent="0.2">
      <c r="B1203" s="2992" t="s">
        <v>628</v>
      </c>
      <c r="C1203" s="2409">
        <v>44301</v>
      </c>
      <c r="D1203" s="2009"/>
      <c r="E1203" s="2010"/>
      <c r="F1203" s="2765"/>
      <c r="G1203" s="2410"/>
      <c r="H1203" s="2411" t="str">
        <f>IFERROR(VLOOKUP(F1203,Trainingsarten!$A$9:$K$84,10,FALSE),"")</f>
        <v/>
      </c>
      <c r="I1203" s="2412" t="str">
        <f t="shared" si="182"/>
        <v/>
      </c>
      <c r="J1203" s="2413"/>
      <c r="K1203" s="2414" t="str">
        <f>IFERROR(VLOOKUP(F1203,Trainingsarten!$A$9:$K$84,11,FALSE),"0")</f>
        <v>0</v>
      </c>
      <c r="L1203" s="2816"/>
      <c r="M1203" s="2840"/>
      <c r="N1203" s="2368" t="str">
        <f t="shared" si="183"/>
        <v/>
      </c>
      <c r="O1203" s="2415"/>
      <c r="P1203" s="2416" t="str">
        <f>IFERROR(VLOOKUP(F1203,Trainingsarten!$A$9:$N$84,12,FALSE),"")</f>
        <v/>
      </c>
      <c r="Q1203" s="2417" t="s">
        <v>437</v>
      </c>
      <c r="R1203" s="2418" t="str">
        <f>IFERROR(VLOOKUP(F1203,Trainingsarten!$A$9:$N$84,14,FALSE),"")</f>
        <v/>
      </c>
      <c r="S1203" s="2419" t="str">
        <f t="shared" si="184"/>
        <v/>
      </c>
      <c r="T1203" s="2009">
        <f t="shared" si="185"/>
        <v>17.327675061210954</v>
      </c>
      <c r="U1203" s="2009">
        <f t="shared" si="186"/>
        <v>29.818174993692331</v>
      </c>
      <c r="V1203" s="2009">
        <f t="shared" si="187"/>
        <v>10.32982664976798</v>
      </c>
      <c r="W1203" s="3284">
        <f t="shared" si="188"/>
        <v>0.58111118688103514</v>
      </c>
      <c r="X1203" s="3300"/>
      <c r="Y1203" s="3316"/>
      <c r="AA1203" s="3301"/>
      <c r="AB1203" s="3409"/>
      <c r="AE1203" s="1056"/>
    </row>
    <row r="1204" spans="2:31" ht="16" thickBot="1" x14ac:dyDescent="0.25">
      <c r="B1204" s="2993">
        <f>SUM(K1200:K1206)</f>
        <v>118</v>
      </c>
      <c r="C1204" s="2409">
        <v>44302</v>
      </c>
      <c r="D1204" s="2009"/>
      <c r="E1204" s="2010"/>
      <c r="F1204" s="2765"/>
      <c r="G1204" s="2410"/>
      <c r="H1204" s="2411" t="str">
        <f>IFERROR(VLOOKUP(F1204,Trainingsarten!$A$9:$K$84,10,FALSE),"")</f>
        <v/>
      </c>
      <c r="I1204" s="2412" t="str">
        <f t="shared" si="182"/>
        <v/>
      </c>
      <c r="J1204" s="2413"/>
      <c r="K1204" s="2414" t="str">
        <f>IFERROR(VLOOKUP(F1204,Trainingsarten!$A$9:$K$84,11,FALSE),"0")</f>
        <v>0</v>
      </c>
      <c r="L1204" s="2816"/>
      <c r="M1204" s="2840"/>
      <c r="N1204" s="2368" t="str">
        <f t="shared" si="183"/>
        <v/>
      </c>
      <c r="O1204" s="2415"/>
      <c r="P1204" s="2416" t="str">
        <f>IFERROR(VLOOKUP(F1204,Trainingsarten!$A$9:$N$84,12,FALSE),"")</f>
        <v/>
      </c>
      <c r="Q1204" s="2417" t="s">
        <v>437</v>
      </c>
      <c r="R1204" s="2418" t="str">
        <f>IFERROR(VLOOKUP(F1204,Trainingsarten!$A$9:$N$84,14,FALSE),"")</f>
        <v/>
      </c>
      <c r="S1204" s="2419" t="str">
        <f t="shared" si="184"/>
        <v/>
      </c>
      <c r="T1204" s="2009">
        <f t="shared" si="185"/>
        <v>14.852292909609389</v>
      </c>
      <c r="U1204" s="2009">
        <f t="shared" si="186"/>
        <v>29.108218446223464</v>
      </c>
      <c r="V1204" s="2009">
        <f t="shared" si="187"/>
        <v>12.490499932481377</v>
      </c>
      <c r="W1204" s="3284">
        <f t="shared" si="188"/>
        <v>0.51024396896871382</v>
      </c>
      <c r="X1204" s="3300"/>
      <c r="Y1204" s="3316"/>
      <c r="AA1204" s="3301"/>
      <c r="AB1204" s="3409"/>
      <c r="AE1204" s="1056"/>
    </row>
    <row r="1205" spans="2:31" x14ac:dyDescent="0.2">
      <c r="B1205" s="2994" t="s">
        <v>761</v>
      </c>
      <c r="C1205" s="2409">
        <v>44303</v>
      </c>
      <c r="D1205" s="2009">
        <v>52</v>
      </c>
      <c r="E1205" s="2010" t="s">
        <v>836</v>
      </c>
      <c r="F1205" s="2765" t="s">
        <v>818</v>
      </c>
      <c r="G1205" s="2410">
        <v>3.9583333333333331E-2</v>
      </c>
      <c r="H1205" s="2411">
        <v>10.4</v>
      </c>
      <c r="I1205" s="2412">
        <f t="shared" si="182"/>
        <v>3.8060897435897431E-3</v>
      </c>
      <c r="J1205" s="2413">
        <v>139</v>
      </c>
      <c r="K1205" s="2414">
        <v>66</v>
      </c>
      <c r="L1205" s="2816">
        <v>214</v>
      </c>
      <c r="M1205" s="2840">
        <v>38</v>
      </c>
      <c r="N1205" s="2368">
        <f t="shared" si="183"/>
        <v>1.0503444316877151</v>
      </c>
      <c r="O1205" s="2415" t="s">
        <v>911</v>
      </c>
      <c r="P1205" s="2416">
        <f>IFERROR(VLOOKUP(F1205,Trainingsarten!$A$9:$N$84,12,FALSE),"")</f>
        <v>194.60000000000002</v>
      </c>
      <c r="Q1205" s="2417" t="s">
        <v>437</v>
      </c>
      <c r="R1205" s="2418">
        <f>IFERROR(VLOOKUP(F1205,Trainingsarten!$A$9:$N$84,14,FALSE),"")</f>
        <v>212.96</v>
      </c>
      <c r="S1205" s="2419">
        <f t="shared" si="184"/>
        <v>1.539568345323741</v>
      </c>
      <c r="T1205" s="2009">
        <f t="shared" si="185"/>
        <v>22.159108208236617</v>
      </c>
      <c r="U1205" s="2009">
        <f t="shared" si="186"/>
        <v>29.986594197503859</v>
      </c>
      <c r="V1205" s="2009">
        <f t="shared" si="187"/>
        <v>14.255925536614075</v>
      </c>
      <c r="W1205" s="3284">
        <f t="shared" si="188"/>
        <v>0.73896715519901168</v>
      </c>
      <c r="X1205" s="3300"/>
      <c r="Y1205" s="3316"/>
      <c r="AA1205" s="3301"/>
      <c r="AB1205" s="3409"/>
      <c r="AE1205" s="1056"/>
    </row>
    <row r="1206" spans="2:31" ht="16" thickBot="1" x14ac:dyDescent="0.25">
      <c r="B1206" s="2995">
        <f>AVERAGE(W1200:W1206)</f>
        <v>0.64385804843245176</v>
      </c>
      <c r="C1206" s="2451">
        <v>44304</v>
      </c>
      <c r="D1206" s="2280"/>
      <c r="E1206" s="2281"/>
      <c r="F1206" s="2766"/>
      <c r="G1206" s="2452"/>
      <c r="H1206" s="2453" t="str">
        <f>IFERROR(VLOOKUP(F1206,Trainingsarten!$A$9:$K$84,10,FALSE),"")</f>
        <v/>
      </c>
      <c r="I1206" s="2454" t="str">
        <f t="shared" si="182"/>
        <v/>
      </c>
      <c r="J1206" s="2455"/>
      <c r="K1206" s="2456" t="str">
        <f>IFERROR(VLOOKUP(F1206,Trainingsarten!$A$9:$K$84,11,FALSE),"0")</f>
        <v>0</v>
      </c>
      <c r="L1206" s="2151"/>
      <c r="M1206" s="2841"/>
      <c r="N1206" s="2457" t="str">
        <f t="shared" si="183"/>
        <v/>
      </c>
      <c r="O1206" s="2458"/>
      <c r="P1206" s="2336" t="str">
        <f>IFERROR(VLOOKUP(F1206,Trainingsarten!$A$9:$N$84,12,FALSE),"")</f>
        <v/>
      </c>
      <c r="Q1206" s="2459" t="s">
        <v>437</v>
      </c>
      <c r="R1206" s="2460" t="str">
        <f>IFERROR(VLOOKUP(F1206,Trainingsarten!$A$9:$N$84,14,FALSE),"")</f>
        <v/>
      </c>
      <c r="S1206" s="2290" t="str">
        <f t="shared" si="184"/>
        <v/>
      </c>
      <c r="T1206" s="2280">
        <f t="shared" si="185"/>
        <v>18.993521321345671</v>
      </c>
      <c r="U1206" s="2280">
        <f t="shared" si="186"/>
        <v>29.272627668991863</v>
      </c>
      <c r="V1206" s="2280">
        <f t="shared" si="187"/>
        <v>7.8274859892672417</v>
      </c>
      <c r="W1206" s="3287">
        <f t="shared" si="188"/>
        <v>0.64884920944303459</v>
      </c>
      <c r="X1206" s="3300"/>
      <c r="Y1206" s="3316"/>
      <c r="AA1206" s="3301"/>
      <c r="AB1206" s="3409"/>
      <c r="AE1206" s="1056"/>
    </row>
    <row r="1207" spans="2:31" ht="16" thickBot="1" x14ac:dyDescent="0.25">
      <c r="B1207" s="2986">
        <f>B1200+1</f>
        <v>16</v>
      </c>
      <c r="C1207" s="2399">
        <v>44305</v>
      </c>
      <c r="D1207" s="2292"/>
      <c r="E1207" s="2293"/>
      <c r="F1207" s="2730"/>
      <c r="G1207" s="2400"/>
      <c r="H1207" s="2401" t="str">
        <f>IFERROR(VLOOKUP(F1207,Trainingsarten!$A$9:$K$84,10,FALSE),"")</f>
        <v/>
      </c>
      <c r="I1207" s="2402" t="str">
        <f t="shared" si="182"/>
        <v/>
      </c>
      <c r="J1207" s="2403"/>
      <c r="K1207" s="2404" t="str">
        <f>IFERROR(VLOOKUP(F1207,Trainingsarten!$A$9:$K$84,11,FALSE),"0")</f>
        <v>0</v>
      </c>
      <c r="L1207" s="2815"/>
      <c r="M1207" s="2591"/>
      <c r="N1207" s="2296" t="str">
        <f t="shared" si="183"/>
        <v/>
      </c>
      <c r="O1207" s="2405"/>
      <c r="P1207" s="2298" t="str">
        <f>IFERROR(VLOOKUP(F1207,Trainingsarten!$A$9:$N$84,12,FALSE),"")</f>
        <v/>
      </c>
      <c r="Q1207" s="2461" t="s">
        <v>437</v>
      </c>
      <c r="R1207" s="2462" t="str">
        <f>IFERROR(VLOOKUP(F1207,Trainingsarten!$A$9:$N$84,14,FALSE),"")</f>
        <v/>
      </c>
      <c r="S1207" s="2408" t="str">
        <f t="shared" si="184"/>
        <v/>
      </c>
      <c r="T1207" s="2292">
        <f t="shared" si="185"/>
        <v>16.280161132582005</v>
      </c>
      <c r="U1207" s="2292">
        <f t="shared" si="186"/>
        <v>28.575660343539674</v>
      </c>
      <c r="V1207" s="2292">
        <f t="shared" si="187"/>
        <v>10.279106347646191</v>
      </c>
      <c r="W1207" s="3283">
        <f t="shared" si="188"/>
        <v>0.56972125707193289</v>
      </c>
      <c r="X1207" s="3300"/>
      <c r="Y1207" s="3316"/>
      <c r="AA1207" s="3301"/>
      <c r="AB1207" s="3409"/>
      <c r="AE1207" s="1056"/>
    </row>
    <row r="1208" spans="2:31" x14ac:dyDescent="0.2">
      <c r="B1208" s="2991" t="s">
        <v>626</v>
      </c>
      <c r="C1208" s="2488">
        <v>44306</v>
      </c>
      <c r="D1208" s="2489">
        <v>53</v>
      </c>
      <c r="E1208" s="2490" t="s">
        <v>836</v>
      </c>
      <c r="F1208" s="2765" t="s">
        <v>914</v>
      </c>
      <c r="G1208" s="2491">
        <v>2.7662037037037041E-2</v>
      </c>
      <c r="H1208" s="2492">
        <v>7.01</v>
      </c>
      <c r="I1208" s="2493">
        <f t="shared" si="182"/>
        <v>3.9460823162677664E-3</v>
      </c>
      <c r="J1208" s="2494">
        <v>149</v>
      </c>
      <c r="K1208" s="2495">
        <v>48</v>
      </c>
      <c r="L1208" s="2816">
        <v>201</v>
      </c>
      <c r="M1208" s="2840">
        <v>18</v>
      </c>
      <c r="N1208" s="2496">
        <f t="shared" si="183"/>
        <v>1.0228245363766053</v>
      </c>
      <c r="O1208" s="2497" t="s">
        <v>1463</v>
      </c>
      <c r="P1208" s="2498">
        <f>IFERROR(VLOOKUP(F1208,Trainingsarten!$A$9:$N$84,12,FALSE),"")</f>
        <v>255.10000000000002</v>
      </c>
      <c r="Q1208" s="2499" t="s">
        <v>437</v>
      </c>
      <c r="R1208" s="2500">
        <f>IFERROR(VLOOKUP(F1208,Trainingsarten!$A$9:$N$84,14,FALSE),"")</f>
        <v>278.29999999999995</v>
      </c>
      <c r="S1208" s="2501">
        <f t="shared" si="184"/>
        <v>1.348993288590604</v>
      </c>
      <c r="T1208" s="2489">
        <f t="shared" si="185"/>
        <v>20.811566685070289</v>
      </c>
      <c r="U1208" s="2489">
        <f t="shared" si="186"/>
        <v>29.038144621074444</v>
      </c>
      <c r="V1208" s="2489">
        <f t="shared" si="187"/>
        <v>12.295499210957669</v>
      </c>
      <c r="W1208" s="3284">
        <f t="shared" si="188"/>
        <v>0.71669753548807269</v>
      </c>
      <c r="X1208" s="3300"/>
      <c r="Y1208" s="3316"/>
      <c r="AA1208" s="3301"/>
      <c r="AB1208" s="3409"/>
      <c r="AE1208" s="1056"/>
    </row>
    <row r="1209" spans="2:31" ht="16" thickBot="1" x14ac:dyDescent="0.25">
      <c r="B1209" s="2979">
        <f>SUM(H1207:H1213)</f>
        <v>20.65</v>
      </c>
      <c r="C1209" s="2488">
        <v>44307</v>
      </c>
      <c r="D1209" s="2489"/>
      <c r="E1209" s="2490"/>
      <c r="F1209" s="2765"/>
      <c r="G1209" s="2491"/>
      <c r="H1209" s="2492" t="str">
        <f>IFERROR(VLOOKUP(F1209,Trainingsarten!$A$9:$K$84,10,FALSE),"")</f>
        <v/>
      </c>
      <c r="I1209" s="2493" t="str">
        <f t="shared" si="182"/>
        <v/>
      </c>
      <c r="J1209" s="2494"/>
      <c r="K1209" s="2495" t="str">
        <f>IFERROR(VLOOKUP(F1209,Trainingsarten!$A$9:$K$84,11,FALSE),"0")</f>
        <v>0</v>
      </c>
      <c r="L1209" s="2816"/>
      <c r="M1209" s="2840"/>
      <c r="N1209" s="2496" t="str">
        <f t="shared" si="183"/>
        <v/>
      </c>
      <c r="O1209" s="2497"/>
      <c r="P1209" s="2498" t="str">
        <f>IFERROR(VLOOKUP(F1209,Trainingsarten!$A$9:$N$84,12,FALSE),"")</f>
        <v/>
      </c>
      <c r="Q1209" s="2499" t="s">
        <v>437</v>
      </c>
      <c r="R1209" s="2500" t="str">
        <f>IFERROR(VLOOKUP(F1209,Trainingsarten!$A$9:$N$84,14,FALSE),"")</f>
        <v/>
      </c>
      <c r="S1209" s="2501" t="str">
        <f t="shared" si="184"/>
        <v/>
      </c>
      <c r="T1209" s="2489">
        <f t="shared" si="185"/>
        <v>17.838485730060249</v>
      </c>
      <c r="U1209" s="2489">
        <f t="shared" si="186"/>
        <v>28.346760225334577</v>
      </c>
      <c r="V1209" s="2489">
        <f t="shared" si="187"/>
        <v>8.2265779360041549</v>
      </c>
      <c r="W1209" s="3284">
        <f t="shared" si="188"/>
        <v>0.62929539701391757</v>
      </c>
      <c r="X1209" s="3300"/>
      <c r="Y1209" s="3316"/>
      <c r="AA1209" s="3301"/>
      <c r="AB1209" s="3409"/>
      <c r="AE1209" s="1056"/>
    </row>
    <row r="1210" spans="2:31" x14ac:dyDescent="0.2">
      <c r="B1210" s="2992" t="s">
        <v>628</v>
      </c>
      <c r="C1210" s="2488">
        <v>44308</v>
      </c>
      <c r="D1210" s="2489">
        <v>54</v>
      </c>
      <c r="E1210" s="2490" t="s">
        <v>836</v>
      </c>
      <c r="F1210" s="2765" t="s">
        <v>827</v>
      </c>
      <c r="G1210" s="2491">
        <v>3.3414351851851855E-2</v>
      </c>
      <c r="H1210" s="2492">
        <v>8.64</v>
      </c>
      <c r="I1210" s="2493">
        <f t="shared" si="182"/>
        <v>3.8674018347050754E-3</v>
      </c>
      <c r="J1210" s="2494">
        <v>144</v>
      </c>
      <c r="K1210" s="2495">
        <v>55</v>
      </c>
      <c r="L1210" s="2816">
        <v>212</v>
      </c>
      <c r="M1210" s="2840">
        <v>35</v>
      </c>
      <c r="N1210" s="2496">
        <f t="shared" si="183"/>
        <v>1.0572899391929242</v>
      </c>
      <c r="O1210" s="2497" t="s">
        <v>911</v>
      </c>
      <c r="P1210" s="2498">
        <f>IFERROR(VLOOKUP(F1210,Trainingsarten!$A$9:$N$84,12,FALSE),"")</f>
        <v>194.60000000000002</v>
      </c>
      <c r="Q1210" s="2499" t="s">
        <v>437</v>
      </c>
      <c r="R1210" s="2500">
        <f>IFERROR(VLOOKUP(F1210,Trainingsarten!$A$9:$N$84,14,FALSE),"")</f>
        <v>212.96</v>
      </c>
      <c r="S1210" s="2501">
        <f t="shared" si="184"/>
        <v>1.4722222222222223</v>
      </c>
      <c r="T1210" s="2489">
        <f t="shared" si="185"/>
        <v>23.147273482908787</v>
      </c>
      <c r="U1210" s="2489">
        <f t="shared" si="186"/>
        <v>28.981361172350422</v>
      </c>
      <c r="V1210" s="2489">
        <f t="shared" si="187"/>
        <v>10.508274495274328</v>
      </c>
      <c r="W1210" s="3284">
        <f t="shared" si="188"/>
        <v>0.79869518016263408</v>
      </c>
      <c r="X1210" s="3300"/>
      <c r="Y1210" s="3316"/>
      <c r="AA1210" s="3301"/>
      <c r="AB1210" s="3409"/>
      <c r="AE1210" s="1056"/>
    </row>
    <row r="1211" spans="2:31" ht="16" thickBot="1" x14ac:dyDescent="0.25">
      <c r="B1211" s="2993">
        <f>SUM(K1207:K1213)</f>
        <v>141</v>
      </c>
      <c r="C1211" s="2488">
        <v>44309</v>
      </c>
      <c r="D1211" s="2489"/>
      <c r="E1211" s="2490"/>
      <c r="F1211" s="2765"/>
      <c r="G1211" s="2491"/>
      <c r="H1211" s="2492" t="str">
        <f>IFERROR(VLOOKUP(F1211,Trainingsarten!$A$9:$K$84,10,FALSE),"")</f>
        <v/>
      </c>
      <c r="I1211" s="2493" t="str">
        <f t="shared" si="182"/>
        <v/>
      </c>
      <c r="J1211" s="2494"/>
      <c r="K1211" s="2495" t="str">
        <f>IFERROR(VLOOKUP(F1211,Trainingsarten!$A$9:$K$84,11,FALSE),"0")</f>
        <v>0</v>
      </c>
      <c r="L1211" s="2816"/>
      <c r="M1211" s="2840"/>
      <c r="N1211" s="2496" t="str">
        <f t="shared" si="183"/>
        <v/>
      </c>
      <c r="O1211" s="2497"/>
      <c r="P1211" s="2498" t="str">
        <f>IFERROR(VLOOKUP(F1211,Trainingsarten!$A$9:$N$84,12,FALSE),"")</f>
        <v/>
      </c>
      <c r="Q1211" s="2499" t="s">
        <v>437</v>
      </c>
      <c r="R1211" s="2500" t="str">
        <f>IFERROR(VLOOKUP(F1211,Trainingsarten!$A$9:$N$84,14,FALSE),"")</f>
        <v/>
      </c>
      <c r="S1211" s="2501" t="str">
        <f t="shared" si="184"/>
        <v/>
      </c>
      <c r="T1211" s="2489">
        <f t="shared" si="185"/>
        <v>19.840520128207533</v>
      </c>
      <c r="U1211" s="2489">
        <f t="shared" si="186"/>
        <v>28.291328763484934</v>
      </c>
      <c r="V1211" s="2489">
        <f t="shared" si="187"/>
        <v>5.8340876894416347</v>
      </c>
      <c r="W1211" s="3284">
        <f t="shared" si="188"/>
        <v>0.70129332892328855</v>
      </c>
      <c r="X1211" s="3300"/>
      <c r="Y1211" s="3316"/>
      <c r="AA1211" s="3301"/>
      <c r="AB1211" s="3409"/>
      <c r="AE1211" s="1056"/>
    </row>
    <row r="1212" spans="2:31" x14ac:dyDescent="0.2">
      <c r="B1212" s="2994" t="s">
        <v>761</v>
      </c>
      <c r="C1212" s="2488">
        <v>44310</v>
      </c>
      <c r="D1212" s="2489">
        <v>55</v>
      </c>
      <c r="E1212" s="2490" t="s">
        <v>836</v>
      </c>
      <c r="F1212" s="2764" t="s">
        <v>925</v>
      </c>
      <c r="G1212" s="2491">
        <v>1.4618055555555556E-2</v>
      </c>
      <c r="H1212" s="2492">
        <v>5</v>
      </c>
      <c r="I1212" s="2493">
        <f t="shared" si="182"/>
        <v>2.9236111111111112E-3</v>
      </c>
      <c r="J1212" s="2494">
        <v>170</v>
      </c>
      <c r="K1212" s="2495">
        <v>38</v>
      </c>
      <c r="L1212" s="2816">
        <v>269</v>
      </c>
      <c r="M1212" s="2840">
        <v>24</v>
      </c>
      <c r="N1212" s="2496">
        <f t="shared" si="183"/>
        <v>1.0141701492537314</v>
      </c>
      <c r="O1212" s="2497" t="s">
        <v>1463</v>
      </c>
      <c r="P1212" s="2498" t="str">
        <f>IFERROR(VLOOKUP(F1212,Trainingsarten!$A$9:$N$84,12,FALSE),"")</f>
        <v/>
      </c>
      <c r="Q1212" s="2499" t="s">
        <v>437</v>
      </c>
      <c r="R1212" s="2500" t="str">
        <f>IFERROR(VLOOKUP(F1212,Trainingsarten!$A$9:$N$84,14,FALSE),"")</f>
        <v/>
      </c>
      <c r="S1212" s="2501">
        <f t="shared" si="184"/>
        <v>1.5823529411764705</v>
      </c>
      <c r="T1212" s="2489">
        <f t="shared" si="185"/>
        <v>22.434731538463598</v>
      </c>
      <c r="U1212" s="2489">
        <f t="shared" si="186"/>
        <v>28.52248760244958</v>
      </c>
      <c r="V1212" s="2489">
        <f t="shared" si="187"/>
        <v>8.4508086352774008</v>
      </c>
      <c r="W1212" s="3284">
        <f t="shared" si="188"/>
        <v>0.78656293417187251</v>
      </c>
      <c r="X1212" s="3300"/>
      <c r="Y1212" s="3316"/>
      <c r="AA1212" s="3301"/>
      <c r="AB1212" s="3409"/>
      <c r="AE1212" s="1056"/>
    </row>
    <row r="1213" spans="2:31" ht="16" thickBot="1" x14ac:dyDescent="0.25">
      <c r="B1213" s="2995">
        <f>AVERAGE(W1207:W1213)</f>
        <v>0.69898660827974868</v>
      </c>
      <c r="C1213" s="2502">
        <v>44311</v>
      </c>
      <c r="D1213" s="2332"/>
      <c r="E1213" s="2503"/>
      <c r="F1213" s="2766"/>
      <c r="G1213" s="2504"/>
      <c r="H1213" s="2505" t="str">
        <f>IFERROR(VLOOKUP(F1213,Trainingsarten!$A$9:$K$84,10,FALSE),"")</f>
        <v/>
      </c>
      <c r="I1213" s="2506" t="str">
        <f t="shared" si="182"/>
        <v/>
      </c>
      <c r="J1213" s="2507"/>
      <c r="K1213" s="2508" t="str">
        <f>IFERROR(VLOOKUP(F1213,Trainingsarten!$A$9:$K$84,11,FALSE),"0")</f>
        <v>0</v>
      </c>
      <c r="L1213" s="2818"/>
      <c r="M1213" s="2798"/>
      <c r="N1213" s="2509" t="str">
        <f t="shared" si="183"/>
        <v/>
      </c>
      <c r="O1213" s="2510"/>
      <c r="P1213" s="2511" t="str">
        <f>IFERROR(VLOOKUP(F1213,Trainingsarten!$A$9:$N$84,12,FALSE),"")</f>
        <v/>
      </c>
      <c r="Q1213" s="2512" t="s">
        <v>437</v>
      </c>
      <c r="R1213" s="2513" t="str">
        <f>IFERROR(VLOOKUP(F1213,Trainingsarten!$A$9:$N$84,14,FALSE),"")</f>
        <v/>
      </c>
      <c r="S1213" s="2331" t="str">
        <f t="shared" si="184"/>
        <v/>
      </c>
      <c r="T1213" s="2332">
        <f t="shared" si="185"/>
        <v>19.229769890111655</v>
      </c>
      <c r="U1213" s="2332">
        <f t="shared" si="186"/>
        <v>27.843380754772209</v>
      </c>
      <c r="V1213" s="2332">
        <f t="shared" si="187"/>
        <v>6.0877560639859816</v>
      </c>
      <c r="W1213" s="3285">
        <f t="shared" si="188"/>
        <v>0.69064062512652213</v>
      </c>
      <c r="X1213" s="3300"/>
      <c r="Y1213" s="3316"/>
      <c r="AA1213" s="3301"/>
      <c r="AB1213" s="3409"/>
      <c r="AE1213" s="1056"/>
    </row>
    <row r="1214" spans="2:31" ht="16" thickBot="1" x14ac:dyDescent="0.25">
      <c r="B1214" s="2986">
        <f>B1207+1</f>
        <v>17</v>
      </c>
      <c r="C1214" s="2441">
        <v>44312</v>
      </c>
      <c r="D1214" s="1111">
        <v>56</v>
      </c>
      <c r="E1214" s="1112" t="s">
        <v>836</v>
      </c>
      <c r="F1214" s="2730" t="s">
        <v>825</v>
      </c>
      <c r="G1214" s="2442">
        <v>3.1435185185185184E-2</v>
      </c>
      <c r="H1214" s="2443">
        <v>7.9</v>
      </c>
      <c r="I1214" s="2444">
        <f t="shared" si="182"/>
        <v>3.9791373652133142E-3</v>
      </c>
      <c r="J1214" s="1320">
        <v>139</v>
      </c>
      <c r="K1214" s="2445">
        <v>46</v>
      </c>
      <c r="L1214" s="2819">
        <v>207</v>
      </c>
      <c r="M1214" s="1320">
        <v>30</v>
      </c>
      <c r="N1214" s="1119">
        <f t="shared" si="183"/>
        <v>1.062180238050255</v>
      </c>
      <c r="O1214" s="2446" t="s">
        <v>1460</v>
      </c>
      <c r="P1214" s="1121">
        <f>IFERROR(VLOOKUP(F1214,Trainingsarten!$A$9:$N$84,12,FALSE),"")</f>
        <v>169.39999999999998</v>
      </c>
      <c r="Q1214" s="2447" t="s">
        <v>437</v>
      </c>
      <c r="R1214" s="2448">
        <f>IFERROR(VLOOKUP(F1214,Trainingsarten!$A$9:$N$84,14,FALSE),"")</f>
        <v>193.60000000000002</v>
      </c>
      <c r="S1214" s="2449">
        <f t="shared" si="184"/>
        <v>1.4892086330935252</v>
      </c>
      <c r="T1214" s="1111">
        <f t="shared" si="185"/>
        <v>23.054088477238562</v>
      </c>
      <c r="U1214" s="1111">
        <f t="shared" si="186"/>
        <v>28.27568121299192</v>
      </c>
      <c r="V1214" s="1111">
        <f t="shared" si="187"/>
        <v>8.6136108646605543</v>
      </c>
      <c r="W1214" s="3286">
        <f t="shared" si="188"/>
        <v>0.81533273428778874</v>
      </c>
      <c r="X1214" s="3300"/>
      <c r="Y1214" s="3316"/>
      <c r="AA1214" s="3301"/>
      <c r="AB1214" s="3409"/>
      <c r="AE1214" s="1056"/>
    </row>
    <row r="1215" spans="2:31" x14ac:dyDescent="0.2">
      <c r="B1215" s="2991" t="s">
        <v>626</v>
      </c>
      <c r="C1215" s="2409">
        <v>44313</v>
      </c>
      <c r="D1215" s="2009"/>
      <c r="E1215" s="2010"/>
      <c r="F1215" s="2765"/>
      <c r="G1215" s="2410"/>
      <c r="H1215" s="2411" t="str">
        <f>IFERROR(VLOOKUP(F1215,Trainingsarten!$A$9:$K$84,10,FALSE),"")</f>
        <v/>
      </c>
      <c r="I1215" s="2412" t="str">
        <f t="shared" si="182"/>
        <v/>
      </c>
      <c r="J1215" s="2413"/>
      <c r="K1215" s="2414" t="str">
        <f>IFERROR(VLOOKUP(F1215,Trainingsarten!$A$9:$K$84,11,FALSE),"0")</f>
        <v>0</v>
      </c>
      <c r="L1215" s="2816"/>
      <c r="M1215" s="2840"/>
      <c r="N1215" s="2368" t="str">
        <f t="shared" si="183"/>
        <v/>
      </c>
      <c r="O1215" s="2415"/>
      <c r="P1215" s="2416" t="str">
        <f>IFERROR(VLOOKUP(F1215,Trainingsarten!$A$9:$N$84,12,FALSE),"")</f>
        <v/>
      </c>
      <c r="Q1215" s="2417" t="s">
        <v>437</v>
      </c>
      <c r="R1215" s="2418" t="str">
        <f>IFERROR(VLOOKUP(F1215,Trainingsarten!$A$9:$N$84,14,FALSE),"")</f>
        <v/>
      </c>
      <c r="S1215" s="2419" t="str">
        <f t="shared" si="184"/>
        <v/>
      </c>
      <c r="T1215" s="2009">
        <f t="shared" si="185"/>
        <v>19.760647266204483</v>
      </c>
      <c r="U1215" s="2009">
        <f t="shared" si="186"/>
        <v>27.602450707920685</v>
      </c>
      <c r="V1215" s="2009">
        <f t="shared" si="187"/>
        <v>5.221592735753358</v>
      </c>
      <c r="W1215" s="3284">
        <f t="shared" si="188"/>
        <v>0.7159019130331804</v>
      </c>
      <c r="X1215" s="3300"/>
      <c r="Y1215" s="3316"/>
      <c r="AA1215" s="3301"/>
      <c r="AB1215" s="3409"/>
      <c r="AE1215" s="1056"/>
    </row>
    <row r="1216" spans="2:31" ht="16" thickBot="1" x14ac:dyDescent="0.25">
      <c r="B1216" s="2979">
        <f>SUM(H1214:H1220)</f>
        <v>28.5</v>
      </c>
      <c r="C1216" s="2409">
        <v>44314</v>
      </c>
      <c r="D1216" s="2009">
        <v>57</v>
      </c>
      <c r="E1216" s="2010" t="s">
        <v>836</v>
      </c>
      <c r="F1216" s="2765" t="s">
        <v>827</v>
      </c>
      <c r="G1216" s="2410">
        <v>0.04</v>
      </c>
      <c r="H1216" s="2411">
        <v>10.1</v>
      </c>
      <c r="I1216" s="2412">
        <f t="shared" si="182"/>
        <v>3.9603960396039604E-3</v>
      </c>
      <c r="J1216" s="2413">
        <v>137</v>
      </c>
      <c r="K1216" s="2414">
        <v>60</v>
      </c>
      <c r="L1216" s="2816">
        <v>208</v>
      </c>
      <c r="M1216" s="2840">
        <v>29</v>
      </c>
      <c r="N1216" s="2368">
        <f t="shared" si="183"/>
        <v>1.0622846165213538</v>
      </c>
      <c r="O1216" s="2415" t="s">
        <v>911</v>
      </c>
      <c r="P1216" s="2416">
        <f>IFERROR(VLOOKUP(F1216,Trainingsarten!$A$9:$N$84,12,FALSE),"")</f>
        <v>194.60000000000002</v>
      </c>
      <c r="Q1216" s="2417" t="s">
        <v>437</v>
      </c>
      <c r="R1216" s="2418">
        <f>IFERROR(VLOOKUP(F1216,Trainingsarten!$A$9:$N$84,14,FALSE),"")</f>
        <v>212.96</v>
      </c>
      <c r="S1216" s="2419">
        <f t="shared" si="184"/>
        <v>1.5182481751824817</v>
      </c>
      <c r="T1216" s="2009">
        <f t="shared" si="185"/>
        <v>25.509126228175269</v>
      </c>
      <c r="U1216" s="2009">
        <f t="shared" si="186"/>
        <v>28.373820929160669</v>
      </c>
      <c r="V1216" s="2009">
        <f t="shared" si="187"/>
        <v>7.8418034417162019</v>
      </c>
      <c r="W1216" s="3284">
        <f t="shared" si="188"/>
        <v>0.89903740112628738</v>
      </c>
      <c r="X1216" s="3300"/>
      <c r="Y1216" s="3316"/>
      <c r="AA1216" s="3301"/>
      <c r="AB1216" s="3409"/>
      <c r="AE1216" s="1056"/>
    </row>
    <row r="1217" spans="2:31" x14ac:dyDescent="0.2">
      <c r="B1217" s="2992" t="s">
        <v>628</v>
      </c>
      <c r="C1217" s="2409">
        <v>44315</v>
      </c>
      <c r="D1217" s="2009"/>
      <c r="E1217" s="2010"/>
      <c r="F1217" s="2765"/>
      <c r="G1217" s="2410"/>
      <c r="H1217" s="2411" t="str">
        <f>IFERROR(VLOOKUP(F1217,Trainingsarten!$A$9:$K$84,10,FALSE),"")</f>
        <v/>
      </c>
      <c r="I1217" s="2412" t="str">
        <f t="shared" si="182"/>
        <v/>
      </c>
      <c r="J1217" s="2413"/>
      <c r="K1217" s="2414" t="str">
        <f>IFERROR(VLOOKUP(F1217,Trainingsarten!$A$9:$K$84,11,FALSE),"0")</f>
        <v>0</v>
      </c>
      <c r="L1217" s="2816"/>
      <c r="M1217" s="2840"/>
      <c r="N1217" s="2368" t="str">
        <f t="shared" si="183"/>
        <v/>
      </c>
      <c r="O1217" s="2415"/>
      <c r="P1217" s="2416" t="str">
        <f>IFERROR(VLOOKUP(F1217,Trainingsarten!$A$9:$N$84,12,FALSE),"")</f>
        <v/>
      </c>
      <c r="Q1217" s="2417" t="s">
        <v>437</v>
      </c>
      <c r="R1217" s="2418" t="str">
        <f>IFERROR(VLOOKUP(F1217,Trainingsarten!$A$9:$N$84,14,FALSE),"")</f>
        <v/>
      </c>
      <c r="S1217" s="2419" t="str">
        <f t="shared" si="184"/>
        <v/>
      </c>
      <c r="T1217" s="2009">
        <f t="shared" si="185"/>
        <v>21.864965338435944</v>
      </c>
      <c r="U1217" s="2009">
        <f t="shared" si="186"/>
        <v>27.698253764180652</v>
      </c>
      <c r="V1217" s="2009">
        <f t="shared" si="187"/>
        <v>2.8646947009853996</v>
      </c>
      <c r="W1217" s="3284">
        <f t="shared" si="188"/>
        <v>0.78939869367186211</v>
      </c>
      <c r="X1217" s="3300"/>
      <c r="Y1217" s="3316"/>
      <c r="AA1217" s="3301"/>
      <c r="AB1217" s="3409"/>
      <c r="AE1217" s="1056"/>
    </row>
    <row r="1218" spans="2:31" ht="16" thickBot="1" x14ac:dyDescent="0.25">
      <c r="B1218" s="2993">
        <f>SUM(K1214:K1220)</f>
        <v>165</v>
      </c>
      <c r="C1218" s="2409">
        <v>44316</v>
      </c>
      <c r="D1218" s="2009"/>
      <c r="E1218" s="2010"/>
      <c r="F1218" s="2765"/>
      <c r="G1218" s="2410"/>
      <c r="H1218" s="2411" t="str">
        <f>IFERROR(VLOOKUP(F1218,Trainingsarten!$A$9:$K$84,10,FALSE),"")</f>
        <v/>
      </c>
      <c r="I1218" s="2412" t="str">
        <f t="shared" si="182"/>
        <v/>
      </c>
      <c r="J1218" s="2413"/>
      <c r="K1218" s="2414" t="str">
        <f>IFERROR(VLOOKUP(F1218,Trainingsarten!$A$9:$K$84,11,FALSE),"0")</f>
        <v>0</v>
      </c>
      <c r="L1218" s="2816"/>
      <c r="M1218" s="2840"/>
      <c r="N1218" s="2368" t="str">
        <f t="shared" si="183"/>
        <v/>
      </c>
      <c r="O1218" s="2415"/>
      <c r="P1218" s="2416" t="str">
        <f>IFERROR(VLOOKUP(F1218,Trainingsarten!$A$9:$N$84,12,FALSE),"")</f>
        <v/>
      </c>
      <c r="Q1218" s="2417" t="s">
        <v>437</v>
      </c>
      <c r="R1218" s="2418" t="str">
        <f>IFERROR(VLOOKUP(F1218,Trainingsarten!$A$9:$N$84,14,FALSE),"")</f>
        <v/>
      </c>
      <c r="S1218" s="2419" t="str">
        <f t="shared" si="184"/>
        <v/>
      </c>
      <c r="T1218" s="2009">
        <f t="shared" si="185"/>
        <v>18.741398861516522</v>
      </c>
      <c r="U1218" s="2009">
        <f t="shared" si="186"/>
        <v>27.03877153170016</v>
      </c>
      <c r="V1218" s="2009">
        <f t="shared" si="187"/>
        <v>5.8332884257447084</v>
      </c>
      <c r="W1218" s="3284">
        <f t="shared" si="188"/>
        <v>0.69313056029724474</v>
      </c>
      <c r="X1218" s="3300"/>
      <c r="Y1218" s="3316"/>
      <c r="AA1218" s="3301"/>
      <c r="AB1218" s="3409"/>
      <c r="AE1218" s="1056"/>
    </row>
    <row r="1219" spans="2:31" x14ac:dyDescent="0.2">
      <c r="B1219" s="2994" t="s">
        <v>761</v>
      </c>
      <c r="C1219" s="2409">
        <v>44317</v>
      </c>
      <c r="D1219" s="2009">
        <v>58</v>
      </c>
      <c r="E1219" s="2010" t="s">
        <v>835</v>
      </c>
      <c r="F1219" s="2765" t="s">
        <v>819</v>
      </c>
      <c r="G1219" s="2410">
        <v>4.280092592592593E-2</v>
      </c>
      <c r="H1219" s="2411">
        <v>10.5</v>
      </c>
      <c r="I1219" s="2412">
        <f t="shared" si="182"/>
        <v>4.0762786596119935E-3</v>
      </c>
      <c r="J1219" s="2413">
        <v>127</v>
      </c>
      <c r="K1219" s="2414">
        <v>59</v>
      </c>
      <c r="L1219" s="2816">
        <v>199</v>
      </c>
      <c r="M1219" s="2840">
        <v>34</v>
      </c>
      <c r="N1219" s="2368">
        <f t="shared" si="183"/>
        <v>1.0460582800284295</v>
      </c>
      <c r="O1219" s="2415" t="s">
        <v>911</v>
      </c>
      <c r="P1219" s="2416">
        <f>IFERROR(VLOOKUP(F1219,Trainingsarten!$A$9:$N$84,12,FALSE),"")</f>
        <v>194.60000000000002</v>
      </c>
      <c r="Q1219" s="2417" t="s">
        <v>437</v>
      </c>
      <c r="R1219" s="2418">
        <f>IFERROR(VLOOKUP(F1219,Trainingsarten!$A$9:$N$84,14,FALSE),"")</f>
        <v>212.96</v>
      </c>
      <c r="S1219" s="2419">
        <f t="shared" si="184"/>
        <v>1.5669291338582678</v>
      </c>
      <c r="T1219" s="2009">
        <f t="shared" si="185"/>
        <v>24.492627595585589</v>
      </c>
      <c r="U1219" s="2009">
        <f t="shared" si="186"/>
        <v>27.799753161897776</v>
      </c>
      <c r="V1219" s="2009">
        <f t="shared" si="187"/>
        <v>8.2973726701836377</v>
      </c>
      <c r="W1219" s="3284">
        <f t="shared" si="188"/>
        <v>0.88103759241844926</v>
      </c>
      <c r="X1219" s="3300"/>
      <c r="Y1219" s="3316"/>
      <c r="AA1219" s="3301"/>
      <c r="AB1219" s="3409"/>
      <c r="AE1219" s="1056"/>
    </row>
    <row r="1220" spans="2:31" ht="16" thickBot="1" x14ac:dyDescent="0.25">
      <c r="B1220" s="2995">
        <f>AVERAGE(W1214:W1220)</f>
        <v>0.79534755406024904</v>
      </c>
      <c r="C1220" s="2451">
        <v>44318</v>
      </c>
      <c r="D1220" s="2280"/>
      <c r="E1220" s="2281"/>
      <c r="F1220" s="2766"/>
      <c r="G1220" s="2452"/>
      <c r="H1220" s="2453" t="str">
        <f>IFERROR(VLOOKUP(F1220,Trainingsarten!$A$9:$K$84,10,FALSE),"")</f>
        <v/>
      </c>
      <c r="I1220" s="2454" t="str">
        <f t="shared" si="182"/>
        <v/>
      </c>
      <c r="J1220" s="2455"/>
      <c r="K1220" s="2456" t="str">
        <f>IFERROR(VLOOKUP(F1220,Trainingsarten!$A$9:$K$84,11,FALSE),"0")</f>
        <v>0</v>
      </c>
      <c r="L1220" s="2151"/>
      <c r="M1220" s="2841"/>
      <c r="N1220" s="2457" t="str">
        <f t="shared" si="183"/>
        <v/>
      </c>
      <c r="O1220" s="2458"/>
      <c r="P1220" s="2336" t="str">
        <f>IFERROR(VLOOKUP(F1220,Trainingsarten!$A$9:$N$84,12,FALSE),"")</f>
        <v/>
      </c>
      <c r="Q1220" s="2459" t="s">
        <v>437</v>
      </c>
      <c r="R1220" s="2460" t="str">
        <f>IFERROR(VLOOKUP(F1220,Trainingsarten!$A$9:$N$84,14,FALSE),"")</f>
        <v/>
      </c>
      <c r="S1220" s="2290" t="str">
        <f t="shared" si="184"/>
        <v/>
      </c>
      <c r="T1220" s="2280">
        <f t="shared" si="185"/>
        <v>20.993680796216218</v>
      </c>
      <c r="U1220" s="2280">
        <f t="shared" si="186"/>
        <v>27.137854277090685</v>
      </c>
      <c r="V1220" s="2280">
        <f t="shared" si="187"/>
        <v>3.3071255663121875</v>
      </c>
      <c r="W1220" s="3287">
        <f t="shared" si="188"/>
        <v>0.77359398358693099</v>
      </c>
      <c r="X1220" s="3300"/>
      <c r="Y1220" s="3316"/>
      <c r="AA1220" s="3301"/>
      <c r="AB1220" s="3409"/>
      <c r="AE1220" s="1056"/>
    </row>
    <row r="1221" spans="2:31" ht="16" thickBot="1" x14ac:dyDescent="0.25">
      <c r="B1221" s="2986">
        <f>B1214+1</f>
        <v>18</v>
      </c>
      <c r="C1221" s="2399">
        <v>44319</v>
      </c>
      <c r="D1221" s="2292">
        <v>59</v>
      </c>
      <c r="E1221" s="2293" t="s">
        <v>836</v>
      </c>
      <c r="F1221" s="2730" t="s">
        <v>818</v>
      </c>
      <c r="G1221" s="2400">
        <v>3.5567129629629629E-2</v>
      </c>
      <c r="H1221" s="2401">
        <v>9.77</v>
      </c>
      <c r="I1221" s="2402">
        <f t="shared" si="182"/>
        <v>3.6404431555403919E-3</v>
      </c>
      <c r="J1221" s="2403">
        <v>143</v>
      </c>
      <c r="K1221" s="2404">
        <v>61</v>
      </c>
      <c r="L1221" s="2815">
        <v>224</v>
      </c>
      <c r="M1221" s="2591">
        <v>42</v>
      </c>
      <c r="N1221" s="2296">
        <f t="shared" si="183"/>
        <v>1.0515773232099481</v>
      </c>
      <c r="O1221" s="2405" t="s">
        <v>821</v>
      </c>
      <c r="P1221" s="2298">
        <f>IFERROR(VLOOKUP(F1221,Trainingsarten!$A$9:$N$84,12,FALSE),"")</f>
        <v>194.60000000000002</v>
      </c>
      <c r="Q1221" s="2461" t="s">
        <v>437</v>
      </c>
      <c r="R1221" s="2462">
        <f>IFERROR(VLOOKUP(F1221,Trainingsarten!$A$9:$N$84,14,FALSE),"")</f>
        <v>212.96</v>
      </c>
      <c r="S1221" s="2408">
        <f t="shared" si="184"/>
        <v>1.5664335664335665</v>
      </c>
      <c r="T1221" s="2292">
        <f t="shared" si="185"/>
        <v>26.708869253899614</v>
      </c>
      <c r="U1221" s="2292">
        <f t="shared" si="186"/>
        <v>27.944095841921861</v>
      </c>
      <c r="V1221" s="2292">
        <f t="shared" si="187"/>
        <v>6.1441734808744677</v>
      </c>
      <c r="W1221" s="3283">
        <f t="shared" si="188"/>
        <v>0.95579650903683366</v>
      </c>
      <c r="X1221" s="3300"/>
      <c r="Y1221" s="3316"/>
      <c r="AA1221" s="3301"/>
      <c r="AB1221" s="3409"/>
      <c r="AE1221" s="1056"/>
    </row>
    <row r="1222" spans="2:31" x14ac:dyDescent="0.2">
      <c r="B1222" s="2991" t="s">
        <v>626</v>
      </c>
      <c r="C1222" s="2488">
        <v>44320</v>
      </c>
      <c r="D1222" s="2489">
        <v>60</v>
      </c>
      <c r="E1222" s="2490" t="s">
        <v>836</v>
      </c>
      <c r="F1222" s="2765" t="s">
        <v>827</v>
      </c>
      <c r="G1222" s="2491">
        <v>3.0810185185185187E-2</v>
      </c>
      <c r="H1222" s="2492">
        <v>7.91</v>
      </c>
      <c r="I1222" s="2493">
        <f t="shared" si="182"/>
        <v>3.8950929437655104E-3</v>
      </c>
      <c r="J1222" s="2494">
        <v>138</v>
      </c>
      <c r="K1222" s="2495">
        <v>47</v>
      </c>
      <c r="L1222" s="2816">
        <v>210</v>
      </c>
      <c r="M1222" s="2840">
        <v>59</v>
      </c>
      <c r="N1222" s="2496">
        <f t="shared" si="183"/>
        <v>1.054814423457932</v>
      </c>
      <c r="O1222" s="2497" t="s">
        <v>911</v>
      </c>
      <c r="P1222" s="2498">
        <f>IFERROR(VLOOKUP(F1222,Trainingsarten!$A$9:$N$84,12,FALSE),"")</f>
        <v>194.60000000000002</v>
      </c>
      <c r="Q1222" s="2499" t="s">
        <v>437</v>
      </c>
      <c r="R1222" s="2500">
        <f>IFERROR(VLOOKUP(F1222,Trainingsarten!$A$9:$N$84,14,FALSE),"")</f>
        <v>212.96</v>
      </c>
      <c r="S1222" s="2501">
        <f t="shared" si="184"/>
        <v>1.5217391304347827</v>
      </c>
      <c r="T1222" s="2489">
        <f t="shared" si="185"/>
        <v>29.607602217628241</v>
      </c>
      <c r="U1222" s="2489">
        <f t="shared" si="186"/>
        <v>28.397807845685627</v>
      </c>
      <c r="V1222" s="2489">
        <f t="shared" si="187"/>
        <v>1.2352265880222468</v>
      </c>
      <c r="W1222" s="3284">
        <f t="shared" si="188"/>
        <v>1.0426016817395436</v>
      </c>
      <c r="X1222" s="3300"/>
      <c r="Y1222" s="3316"/>
      <c r="AA1222" s="3301"/>
      <c r="AB1222" s="3409"/>
      <c r="AE1222" s="1056"/>
    </row>
    <row r="1223" spans="2:31" ht="16" thickBot="1" x14ac:dyDescent="0.25">
      <c r="B1223" s="2979">
        <f>SUM(H1221:H1227)</f>
        <v>25.68</v>
      </c>
      <c r="C1223" s="2488">
        <v>44321</v>
      </c>
      <c r="D1223" s="2489"/>
      <c r="E1223" s="2490"/>
      <c r="F1223" s="2765"/>
      <c r="G1223" s="2491"/>
      <c r="H1223" s="2492" t="str">
        <f>IFERROR(VLOOKUP(F1223,Trainingsarten!$A$9:$K$84,10,FALSE),"")</f>
        <v/>
      </c>
      <c r="I1223" s="2493" t="str">
        <f t="shared" si="182"/>
        <v/>
      </c>
      <c r="J1223" s="2494"/>
      <c r="K1223" s="2495" t="str">
        <f>IFERROR(VLOOKUP(F1223,Trainingsarten!$A$9:$K$84,11,FALSE),"0")</f>
        <v>0</v>
      </c>
      <c r="L1223" s="2816"/>
      <c r="M1223" s="2840"/>
      <c r="N1223" s="2496" t="str">
        <f t="shared" si="183"/>
        <v/>
      </c>
      <c r="O1223" s="2497"/>
      <c r="P1223" s="2498" t="str">
        <f>IFERROR(VLOOKUP(F1223,Trainingsarten!$A$9:$N$84,12,FALSE),"")</f>
        <v/>
      </c>
      <c r="Q1223" s="2499" t="s">
        <v>437</v>
      </c>
      <c r="R1223" s="2500" t="str">
        <f>IFERROR(VLOOKUP(F1223,Trainingsarten!$A$9:$N$84,14,FALSE),"")</f>
        <v/>
      </c>
      <c r="S1223" s="2501" t="str">
        <f t="shared" si="184"/>
        <v/>
      </c>
      <c r="T1223" s="2489">
        <f t="shared" si="185"/>
        <v>25.377944757967065</v>
      </c>
      <c r="U1223" s="2489">
        <f t="shared" si="186"/>
        <v>27.721669563645492</v>
      </c>
      <c r="V1223" s="2489">
        <f t="shared" si="187"/>
        <v>-1.2097943719426141</v>
      </c>
      <c r="W1223" s="3284">
        <f t="shared" si="188"/>
        <v>0.91545513518594079</v>
      </c>
      <c r="X1223" s="3300"/>
      <c r="Y1223" s="3316"/>
      <c r="AA1223" s="3301"/>
      <c r="AB1223" s="3409"/>
      <c r="AE1223" s="1056"/>
    </row>
    <row r="1224" spans="2:31" x14ac:dyDescent="0.2">
      <c r="B1224" s="2992" t="s">
        <v>628</v>
      </c>
      <c r="C1224" s="2488">
        <v>44322</v>
      </c>
      <c r="D1224" s="2489"/>
      <c r="E1224" s="2490"/>
      <c r="F1224" s="2765"/>
      <c r="G1224" s="2491"/>
      <c r="H1224" s="2492" t="str">
        <f>IFERROR(VLOOKUP(F1224,Trainingsarten!$A$9:$K$84,10,FALSE),"")</f>
        <v/>
      </c>
      <c r="I1224" s="2493" t="str">
        <f t="shared" si="182"/>
        <v/>
      </c>
      <c r="J1224" s="2494"/>
      <c r="K1224" s="2495" t="str">
        <f>IFERROR(VLOOKUP(F1224,Trainingsarten!$A$9:$K$84,11,FALSE),"0")</f>
        <v>0</v>
      </c>
      <c r="L1224" s="2816"/>
      <c r="M1224" s="2840"/>
      <c r="N1224" s="2496" t="str">
        <f t="shared" si="183"/>
        <v/>
      </c>
      <c r="O1224" s="2497"/>
      <c r="P1224" s="2498" t="str">
        <f>IFERROR(VLOOKUP(F1224,Trainingsarten!$A$9:$N$84,12,FALSE),"")</f>
        <v/>
      </c>
      <c r="Q1224" s="2499" t="s">
        <v>437</v>
      </c>
      <c r="R1224" s="2500" t="str">
        <f>IFERROR(VLOOKUP(F1224,Trainingsarten!$A$9:$N$84,14,FALSE),"")</f>
        <v/>
      </c>
      <c r="S1224" s="2501" t="str">
        <f t="shared" si="184"/>
        <v/>
      </c>
      <c r="T1224" s="2489">
        <f t="shared" si="185"/>
        <v>21.752524078257483</v>
      </c>
      <c r="U1224" s="2489">
        <f t="shared" si="186"/>
        <v>27.061629812130121</v>
      </c>
      <c r="V1224" s="2489">
        <f t="shared" si="187"/>
        <v>2.343724805678427</v>
      </c>
      <c r="W1224" s="3284">
        <f t="shared" si="188"/>
        <v>0.80381426504131392</v>
      </c>
      <c r="X1224" s="3300"/>
      <c r="Y1224" s="3316"/>
      <c r="AA1224" s="3301"/>
      <c r="AB1224" s="3409"/>
      <c r="AE1224" s="1056"/>
    </row>
    <row r="1225" spans="2:31" ht="16" thickBot="1" x14ac:dyDescent="0.25">
      <c r="B1225" s="2993">
        <f>SUM(K1221:K1227)</f>
        <v>167</v>
      </c>
      <c r="C1225" s="2488">
        <v>44323</v>
      </c>
      <c r="D1225" s="2489"/>
      <c r="E1225" s="2490"/>
      <c r="F1225" s="2765"/>
      <c r="G1225" s="2491"/>
      <c r="H1225" s="2492" t="str">
        <f>IFERROR(VLOOKUP(F1225,Trainingsarten!$A$9:$K$84,10,FALSE),"")</f>
        <v/>
      </c>
      <c r="I1225" s="2493" t="str">
        <f t="shared" si="182"/>
        <v/>
      </c>
      <c r="J1225" s="2494"/>
      <c r="K1225" s="2495" t="str">
        <f>IFERROR(VLOOKUP(F1225,Trainingsarten!$A$9:$K$84,11,FALSE),"0")</f>
        <v>0</v>
      </c>
      <c r="L1225" s="2816"/>
      <c r="M1225" s="2840"/>
      <c r="N1225" s="2496" t="str">
        <f t="shared" si="183"/>
        <v/>
      </c>
      <c r="O1225" s="2497"/>
      <c r="P1225" s="2498" t="str">
        <f>IFERROR(VLOOKUP(F1225,Trainingsarten!$A$9:$N$84,12,FALSE),"")</f>
        <v/>
      </c>
      <c r="Q1225" s="2499" t="s">
        <v>437</v>
      </c>
      <c r="R1225" s="2500" t="str">
        <f>IFERROR(VLOOKUP(F1225,Trainingsarten!$A$9:$N$84,14,FALSE),"")</f>
        <v/>
      </c>
      <c r="S1225" s="2501" t="str">
        <f t="shared" si="184"/>
        <v/>
      </c>
      <c r="T1225" s="2489">
        <f t="shared" si="185"/>
        <v>18.645020638506413</v>
      </c>
      <c r="U1225" s="2489">
        <f t="shared" si="186"/>
        <v>26.417305292793689</v>
      </c>
      <c r="V1225" s="2489">
        <f t="shared" si="187"/>
        <v>5.309105733872638</v>
      </c>
      <c r="W1225" s="3284">
        <f t="shared" si="188"/>
        <v>0.7057881351582268</v>
      </c>
      <c r="X1225" s="3300"/>
      <c r="Y1225" s="3316"/>
      <c r="AA1225" s="3301"/>
      <c r="AB1225" s="3409"/>
      <c r="AE1225" s="1056"/>
    </row>
    <row r="1226" spans="2:31" x14ac:dyDescent="0.2">
      <c r="B1226" s="2994" t="s">
        <v>761</v>
      </c>
      <c r="C1226" s="2488">
        <v>44324</v>
      </c>
      <c r="D1226" s="2489">
        <v>61</v>
      </c>
      <c r="E1226" s="2490" t="s">
        <v>836</v>
      </c>
      <c r="F1226" s="2765" t="s">
        <v>903</v>
      </c>
      <c r="G1226" s="2491">
        <v>4.1122685185185186E-2</v>
      </c>
      <c r="H1226" s="2492">
        <v>8</v>
      </c>
      <c r="I1226" s="2493">
        <f t="shared" si="182"/>
        <v>5.1403356481481482E-3</v>
      </c>
      <c r="J1226" s="2494">
        <v>145</v>
      </c>
      <c r="K1226" s="2495">
        <v>59</v>
      </c>
      <c r="L1226" s="2816">
        <v>193</v>
      </c>
      <c r="M1226" s="2840">
        <v>402</v>
      </c>
      <c r="N1226" s="2496"/>
      <c r="O1226" s="2497" t="s">
        <v>868</v>
      </c>
      <c r="P1226" s="2498" t="str">
        <f>IFERROR(VLOOKUP(F1226,Trainingsarten!$A$9:$N$84,12,FALSE),"")</f>
        <v/>
      </c>
      <c r="Q1226" s="2499" t="s">
        <v>437</v>
      </c>
      <c r="R1226" s="2500" t="str">
        <f>IFERROR(VLOOKUP(F1226,Trainingsarten!$A$9:$N$84,14,FALSE),"")</f>
        <v/>
      </c>
      <c r="S1226" s="2501"/>
      <c r="T1226" s="2489">
        <f t="shared" si="185"/>
        <v>24.410017690148354</v>
      </c>
      <c r="U1226" s="2489">
        <f t="shared" si="186"/>
        <v>27.193083738203363</v>
      </c>
      <c r="V1226" s="2489">
        <f t="shared" si="187"/>
        <v>7.7722846542872759</v>
      </c>
      <c r="W1226" s="3284">
        <f t="shared" si="188"/>
        <v>0.89765537168022247</v>
      </c>
      <c r="X1226" s="3300"/>
      <c r="Y1226" s="3316"/>
      <c r="AA1226" s="3301"/>
      <c r="AB1226" s="3409"/>
      <c r="AE1226" s="1056"/>
    </row>
    <row r="1227" spans="2:31" ht="16" thickBot="1" x14ac:dyDescent="0.25">
      <c r="B1227" s="2995">
        <f>AVERAGE(W1221:W1227)</f>
        <v>0.87275661460631837</v>
      </c>
      <c r="C1227" s="2502">
        <v>44325</v>
      </c>
      <c r="D1227" s="2332"/>
      <c r="E1227" s="2503"/>
      <c r="F1227" s="2766"/>
      <c r="G1227" s="2504"/>
      <c r="H1227" s="2505" t="str">
        <f>IFERROR(VLOOKUP(F1227,Trainingsarten!$A$9:$K$84,10,FALSE),"")</f>
        <v/>
      </c>
      <c r="I1227" s="2506" t="str">
        <f t="shared" si="182"/>
        <v/>
      </c>
      <c r="J1227" s="2507"/>
      <c r="K1227" s="2508" t="str">
        <f>IFERROR(VLOOKUP(F1227,Trainingsarten!$A$9:$K$84,11,FALSE),"0")</f>
        <v>0</v>
      </c>
      <c r="L1227" s="2818"/>
      <c r="M1227" s="2798"/>
      <c r="N1227" s="2509" t="str">
        <f t="shared" si="183"/>
        <v/>
      </c>
      <c r="O1227" s="2510"/>
      <c r="P1227" s="2511" t="str">
        <f>IFERROR(VLOOKUP(F1227,Trainingsarten!$A$9:$N$84,12,FALSE),"")</f>
        <v/>
      </c>
      <c r="Q1227" s="2512" t="s">
        <v>437</v>
      </c>
      <c r="R1227" s="2513" t="str">
        <f>IFERROR(VLOOKUP(F1227,Trainingsarten!$A$9:$N$84,14,FALSE),"")</f>
        <v/>
      </c>
      <c r="S1227" s="2331" t="str">
        <f t="shared" si="184"/>
        <v/>
      </c>
      <c r="T1227" s="2332">
        <f t="shared" si="185"/>
        <v>20.922872305841448</v>
      </c>
      <c r="U1227" s="2332">
        <f t="shared" si="186"/>
        <v>26.545629363484235</v>
      </c>
      <c r="V1227" s="2332">
        <f t="shared" si="187"/>
        <v>2.7830660480550087</v>
      </c>
      <c r="W1227" s="3285">
        <f t="shared" si="188"/>
        <v>0.78818520440214668</v>
      </c>
      <c r="X1227" s="3300"/>
      <c r="Y1227" s="3316"/>
      <c r="AA1227" s="3301"/>
      <c r="AB1227" s="3409"/>
      <c r="AE1227" s="1056"/>
    </row>
    <row r="1228" spans="2:31" ht="16" thickBot="1" x14ac:dyDescent="0.25">
      <c r="B1228" s="2986">
        <f>B1221+1</f>
        <v>19</v>
      </c>
      <c r="C1228" s="2441">
        <v>44326</v>
      </c>
      <c r="D1228" s="1111"/>
      <c r="E1228" s="1112"/>
      <c r="F1228" s="2654"/>
      <c r="G1228" s="2442"/>
      <c r="H1228" s="2443" t="str">
        <f>IFERROR(VLOOKUP(F1228,Trainingsarten!$A$9:$K$84,10,FALSE),"")</f>
        <v/>
      </c>
      <c r="I1228" s="2444" t="str">
        <f t="shared" si="182"/>
        <v/>
      </c>
      <c r="J1228" s="1320"/>
      <c r="K1228" s="2445" t="str">
        <f>IFERROR(VLOOKUP(F1228,Trainingsarten!$A$9:$K$84,11,FALSE),"0")</f>
        <v>0</v>
      </c>
      <c r="L1228" s="2819"/>
      <c r="M1228" s="1320"/>
      <c r="N1228" s="1119" t="str">
        <f t="shared" si="183"/>
        <v/>
      </c>
      <c r="O1228" s="2446"/>
      <c r="P1228" s="1121" t="str">
        <f>IFERROR(VLOOKUP(F1228,Trainingsarten!$A$9:$N$84,12,FALSE),"")</f>
        <v/>
      </c>
      <c r="Q1228" s="2447" t="s">
        <v>437</v>
      </c>
      <c r="R1228" s="2448" t="str">
        <f>IFERROR(VLOOKUP(F1228,Trainingsarten!$A$9:$N$84,14,FALSE),"")</f>
        <v/>
      </c>
      <c r="S1228" s="2449" t="str">
        <f t="shared" si="184"/>
        <v/>
      </c>
      <c r="T1228" s="1111">
        <f t="shared" si="185"/>
        <v>17.933890547864099</v>
      </c>
      <c r="U1228" s="1111">
        <f t="shared" si="186"/>
        <v>25.913590569115563</v>
      </c>
      <c r="V1228" s="1111">
        <f t="shared" si="187"/>
        <v>5.6227570576427865</v>
      </c>
      <c r="W1228" s="3286">
        <f t="shared" si="188"/>
        <v>0.69206505752383607</v>
      </c>
      <c r="X1228" s="3300"/>
      <c r="Y1228" s="3316"/>
      <c r="AA1228" s="3301"/>
      <c r="AB1228" s="3409"/>
      <c r="AE1228" s="1056"/>
    </row>
    <row r="1229" spans="2:31" x14ac:dyDescent="0.2">
      <c r="B1229" s="2991" t="s">
        <v>626</v>
      </c>
      <c r="C1229" s="2409">
        <v>44327</v>
      </c>
      <c r="D1229" s="2009"/>
      <c r="E1229" s="2010"/>
      <c r="F1229" s="2728"/>
      <c r="G1229" s="2410"/>
      <c r="H1229" s="2411" t="str">
        <f>IFERROR(VLOOKUP(F1229,Trainingsarten!$A$9:$K$84,10,FALSE),"")</f>
        <v/>
      </c>
      <c r="I1229" s="2412" t="str">
        <f t="shared" si="182"/>
        <v/>
      </c>
      <c r="J1229" s="2413"/>
      <c r="K1229" s="2414" t="str">
        <f>IFERROR(VLOOKUP(F1229,Trainingsarten!$A$9:$K$84,11,FALSE),"0")</f>
        <v>0</v>
      </c>
      <c r="L1229" s="2816"/>
      <c r="M1229" s="2840"/>
      <c r="N1229" s="2368" t="str">
        <f t="shared" si="183"/>
        <v/>
      </c>
      <c r="O1229" s="2415"/>
      <c r="P1229" s="2416" t="str">
        <f>IFERROR(VLOOKUP(F1229,Trainingsarten!$A$9:$N$84,12,FALSE),"")</f>
        <v/>
      </c>
      <c r="Q1229" s="2417" t="s">
        <v>437</v>
      </c>
      <c r="R1229" s="2418" t="str">
        <f>IFERROR(VLOOKUP(F1229,Trainingsarten!$A$9:$N$84,14,FALSE),"")</f>
        <v/>
      </c>
      <c r="S1229" s="2419" t="str">
        <f t="shared" si="184"/>
        <v/>
      </c>
      <c r="T1229" s="2009">
        <f t="shared" si="185"/>
        <v>15.371906183883514</v>
      </c>
      <c r="U1229" s="2009">
        <f t="shared" si="186"/>
        <v>25.296600317469956</v>
      </c>
      <c r="V1229" s="2009">
        <f t="shared" si="187"/>
        <v>7.9797000212514639</v>
      </c>
      <c r="W1229" s="3284">
        <f t="shared" si="188"/>
        <v>0.60766687977702682</v>
      </c>
      <c r="X1229" s="3300"/>
      <c r="Y1229" s="3316"/>
      <c r="AA1229" s="3301"/>
      <c r="AB1229" s="3409"/>
      <c r="AE1229" s="1056"/>
    </row>
    <row r="1230" spans="2:31" ht="16" thickBot="1" x14ac:dyDescent="0.25">
      <c r="B1230" s="2979">
        <f>SUM(H1228:H1234)</f>
        <v>10.38</v>
      </c>
      <c r="C1230" s="2409">
        <v>44328</v>
      </c>
      <c r="D1230" s="2009"/>
      <c r="E1230" s="2010"/>
      <c r="F1230" s="2728"/>
      <c r="G1230" s="2410"/>
      <c r="H1230" s="2411" t="str">
        <f>IFERROR(VLOOKUP(F1230,Trainingsarten!$A$9:$K$84,10,FALSE),"")</f>
        <v/>
      </c>
      <c r="I1230" s="2412" t="str">
        <f t="shared" si="182"/>
        <v/>
      </c>
      <c r="J1230" s="2413"/>
      <c r="K1230" s="2414" t="str">
        <f>IFERROR(VLOOKUP(F1230,Trainingsarten!$A$9:$K$84,11,FALSE),"0")</f>
        <v>0</v>
      </c>
      <c r="L1230" s="2816"/>
      <c r="M1230" s="2840"/>
      <c r="N1230" s="2368" t="str">
        <f t="shared" si="183"/>
        <v/>
      </c>
      <c r="O1230" s="2415"/>
      <c r="P1230" s="2416" t="str">
        <f>IFERROR(VLOOKUP(F1230,Trainingsarten!$A$9:$N$84,12,FALSE),"")</f>
        <v/>
      </c>
      <c r="Q1230" s="2417" t="s">
        <v>437</v>
      </c>
      <c r="R1230" s="2418" t="str">
        <f>IFERROR(VLOOKUP(F1230,Trainingsarten!$A$9:$N$84,14,FALSE),"")</f>
        <v/>
      </c>
      <c r="S1230" s="2419" t="str">
        <f t="shared" si="184"/>
        <v/>
      </c>
      <c r="T1230" s="2009">
        <f t="shared" si="185"/>
        <v>13.17591958618587</v>
      </c>
      <c r="U1230" s="2009">
        <f t="shared" si="186"/>
        <v>24.694300309911146</v>
      </c>
      <c r="V1230" s="2009">
        <f t="shared" si="187"/>
        <v>9.924694133586442</v>
      </c>
      <c r="W1230" s="3284">
        <f t="shared" si="188"/>
        <v>0.53356116273104803</v>
      </c>
      <c r="X1230" s="3300"/>
      <c r="Y1230" s="3316"/>
      <c r="AA1230" s="3301"/>
      <c r="AB1230" s="3409"/>
      <c r="AE1230" s="1056"/>
    </row>
    <row r="1231" spans="2:31" x14ac:dyDescent="0.2">
      <c r="B1231" s="2992" t="s">
        <v>628</v>
      </c>
      <c r="C1231" s="2409">
        <v>44329</v>
      </c>
      <c r="D1231" s="2009"/>
      <c r="E1231" s="2010"/>
      <c r="F1231" s="2728"/>
      <c r="G1231" s="2410"/>
      <c r="H1231" s="2411" t="str">
        <f>IFERROR(VLOOKUP(F1231,Trainingsarten!$A$9:$K$84,10,FALSE),"")</f>
        <v/>
      </c>
      <c r="I1231" s="2412" t="str">
        <f t="shared" si="182"/>
        <v/>
      </c>
      <c r="J1231" s="2413"/>
      <c r="K1231" s="2414" t="str">
        <f>IFERROR(VLOOKUP(F1231,Trainingsarten!$A$9:$K$84,11,FALSE),"0")</f>
        <v>0</v>
      </c>
      <c r="L1231" s="2816"/>
      <c r="M1231" s="2840"/>
      <c r="N1231" s="2368" t="str">
        <f t="shared" si="183"/>
        <v/>
      </c>
      <c r="O1231" s="2415"/>
      <c r="P1231" s="2416" t="str">
        <f>IFERROR(VLOOKUP(F1231,Trainingsarten!$A$9:$N$84,12,FALSE),"")</f>
        <v/>
      </c>
      <c r="Q1231" s="2417" t="s">
        <v>437</v>
      </c>
      <c r="R1231" s="2418" t="str">
        <f>IFERROR(VLOOKUP(F1231,Trainingsarten!$A$9:$N$84,14,FALSE),"")</f>
        <v/>
      </c>
      <c r="S1231" s="2419" t="str">
        <f t="shared" si="184"/>
        <v/>
      </c>
      <c r="T1231" s="2009">
        <f t="shared" si="185"/>
        <v>11.293645359587888</v>
      </c>
      <c r="U1231" s="2009">
        <f t="shared" si="186"/>
        <v>24.106340778722785</v>
      </c>
      <c r="V1231" s="2009">
        <f t="shared" si="187"/>
        <v>11.518380723725276</v>
      </c>
      <c r="W1231" s="3284">
        <f t="shared" si="188"/>
        <v>0.46849272825165189</v>
      </c>
      <c r="X1231" s="3300"/>
      <c r="Y1231" s="3316"/>
      <c r="AA1231" s="3301"/>
      <c r="AB1231" s="3409"/>
      <c r="AE1231" s="1056"/>
    </row>
    <row r="1232" spans="2:31" ht="16" thickBot="1" x14ac:dyDescent="0.25">
      <c r="B1232" s="2993">
        <f>SUM(K1228:K1234)</f>
        <v>57</v>
      </c>
      <c r="C1232" s="2409">
        <v>44330</v>
      </c>
      <c r="D1232" s="2009">
        <v>62</v>
      </c>
      <c r="E1232" s="2010" t="s">
        <v>835</v>
      </c>
      <c r="F1232" s="2728" t="s">
        <v>817</v>
      </c>
      <c r="G1232" s="2410">
        <v>4.3611111111111107E-2</v>
      </c>
      <c r="H1232" s="2411">
        <v>10.38</v>
      </c>
      <c r="I1232" s="2412">
        <f t="shared" si="182"/>
        <v>4.2014557910511662E-3</v>
      </c>
      <c r="J1232" s="2413">
        <v>124</v>
      </c>
      <c r="K1232" s="2414">
        <v>57</v>
      </c>
      <c r="L1232" s="2816">
        <v>194</v>
      </c>
      <c r="M1232" s="2840">
        <v>34</v>
      </c>
      <c r="N1232" s="2368">
        <f t="shared" si="183"/>
        <v>1.0510913639893018</v>
      </c>
      <c r="O1232" s="2415" t="s">
        <v>1460</v>
      </c>
      <c r="P1232" s="2416">
        <f>IFERROR(VLOOKUP(F1232,Trainingsarten!$A$9:$N$84,12,FALSE),"")</f>
        <v>169.39999999999998</v>
      </c>
      <c r="Q1232" s="2417" t="s">
        <v>437</v>
      </c>
      <c r="R1232" s="2418">
        <f>IFERROR(VLOOKUP(F1232,Trainingsarten!$A$9:$N$84,14,FALSE),"")</f>
        <v>193.60000000000002</v>
      </c>
      <c r="S1232" s="2419">
        <f t="shared" si="184"/>
        <v>1.564516129032258</v>
      </c>
      <c r="T1232" s="2009">
        <f t="shared" si="185"/>
        <v>17.823124593932477</v>
      </c>
      <c r="U1232" s="2009">
        <f t="shared" si="186"/>
        <v>24.889523141134148</v>
      </c>
      <c r="V1232" s="2009">
        <f t="shared" si="187"/>
        <v>12.812695419134897</v>
      </c>
      <c r="W1232" s="3284">
        <f t="shared" si="188"/>
        <v>0.71608943622052557</v>
      </c>
      <c r="X1232" s="3300"/>
      <c r="Y1232" s="3316"/>
      <c r="AA1232" s="3301"/>
      <c r="AB1232" s="3409"/>
      <c r="AE1232" s="1056"/>
    </row>
    <row r="1233" spans="2:31" x14ac:dyDescent="0.2">
      <c r="B1233" s="2994" t="s">
        <v>761</v>
      </c>
      <c r="C1233" s="2409">
        <v>44331</v>
      </c>
      <c r="D1233" s="2009"/>
      <c r="E1233" s="2010"/>
      <c r="F1233" s="2728"/>
      <c r="G1233" s="2410"/>
      <c r="H1233" s="2411" t="str">
        <f>IFERROR(VLOOKUP(F1233,Trainingsarten!$A$9:$K$84,10,FALSE),"")</f>
        <v/>
      </c>
      <c r="I1233" s="2412" t="str">
        <f t="shared" si="182"/>
        <v/>
      </c>
      <c r="J1233" s="2413"/>
      <c r="K1233" s="2414" t="str">
        <f>IFERROR(VLOOKUP(F1233,Trainingsarten!$A$9:$K$84,11,FALSE),"0")</f>
        <v>0</v>
      </c>
      <c r="L1233" s="2816"/>
      <c r="M1233" s="2840"/>
      <c r="N1233" s="2368" t="str">
        <f t="shared" si="183"/>
        <v/>
      </c>
      <c r="O1233" s="2415"/>
      <c r="P1233" s="2416" t="str">
        <f>IFERROR(VLOOKUP(F1233,Trainingsarten!$A$9:$N$84,12,FALSE),"")</f>
        <v/>
      </c>
      <c r="Q1233" s="2417" t="s">
        <v>437</v>
      </c>
      <c r="R1233" s="2418" t="str">
        <f>IFERROR(VLOOKUP(F1233,Trainingsarten!$A$9:$N$84,14,FALSE),"")</f>
        <v/>
      </c>
      <c r="S1233" s="2419" t="str">
        <f t="shared" si="184"/>
        <v/>
      </c>
      <c r="T1233" s="2009">
        <f t="shared" si="185"/>
        <v>15.276963937656408</v>
      </c>
      <c r="U1233" s="2009">
        <f t="shared" si="186"/>
        <v>24.296915447297621</v>
      </c>
      <c r="V1233" s="2009">
        <f t="shared" si="187"/>
        <v>7.0663985472016719</v>
      </c>
      <c r="W1233" s="3284">
        <f t="shared" si="188"/>
        <v>0.62876145619363211</v>
      </c>
      <c r="X1233" s="3300"/>
      <c r="Y1233" s="3316"/>
      <c r="AA1233" s="3301"/>
      <c r="AB1233" s="3409"/>
      <c r="AE1233" s="1056"/>
    </row>
    <row r="1234" spans="2:31" ht="16" thickBot="1" x14ac:dyDescent="0.25">
      <c r="B1234" s="2995">
        <f>AVERAGE(W1228:W1234)</f>
        <v>0.59981713578946783</v>
      </c>
      <c r="C1234" s="2451">
        <v>44332</v>
      </c>
      <c r="D1234" s="2280"/>
      <c r="E1234" s="2281"/>
      <c r="F1234" s="2769"/>
      <c r="G1234" s="2452"/>
      <c r="H1234" s="2411" t="str">
        <f>IFERROR(VLOOKUP(F1234,Trainingsarten!$A$9:$K$84,10,FALSE),"")</f>
        <v/>
      </c>
      <c r="I1234" s="2454" t="str">
        <f t="shared" si="182"/>
        <v/>
      </c>
      <c r="J1234" s="2455"/>
      <c r="K1234" s="2414" t="str">
        <f>IFERROR(VLOOKUP(F1234,Trainingsarten!$A$9:$K$84,11,FALSE),"0")</f>
        <v>0</v>
      </c>
      <c r="L1234" s="2151"/>
      <c r="M1234" s="2841"/>
      <c r="N1234" s="2457" t="str">
        <f t="shared" si="183"/>
        <v/>
      </c>
      <c r="O1234" s="2458"/>
      <c r="P1234" s="2336" t="str">
        <f>IFERROR(VLOOKUP(F1234,Trainingsarten!$A$9:$N$84,12,FALSE),"")</f>
        <v/>
      </c>
      <c r="Q1234" s="2459" t="s">
        <v>437</v>
      </c>
      <c r="R1234" s="2460" t="str">
        <f>IFERROR(VLOOKUP(F1234,Trainingsarten!$A$9:$N$84,14,FALSE),"")</f>
        <v/>
      </c>
      <c r="S1234" s="2290" t="str">
        <f t="shared" si="184"/>
        <v/>
      </c>
      <c r="T1234" s="2280">
        <f t="shared" si="185"/>
        <v>13.094540517991206</v>
      </c>
      <c r="U1234" s="2280">
        <f t="shared" si="186"/>
        <v>23.718417460457204</v>
      </c>
      <c r="V1234" s="2280">
        <f t="shared" si="187"/>
        <v>9.0199515096412135</v>
      </c>
      <c r="W1234" s="3287">
        <f t="shared" si="188"/>
        <v>0.55208322982855496</v>
      </c>
      <c r="X1234" s="3300"/>
      <c r="Y1234" s="3316"/>
      <c r="AA1234" s="3301"/>
      <c r="AB1234" s="3409"/>
      <c r="AE1234" s="1056"/>
    </row>
    <row r="1235" spans="2:31" ht="16" thickBot="1" x14ac:dyDescent="0.25">
      <c r="B1235" s="2986">
        <f>B1228+1</f>
        <v>20</v>
      </c>
      <c r="C1235" s="2399">
        <v>44333</v>
      </c>
      <c r="D1235" s="2292">
        <v>63</v>
      </c>
      <c r="E1235" s="2293" t="s">
        <v>835</v>
      </c>
      <c r="F1235" s="2730" t="s">
        <v>818</v>
      </c>
      <c r="G1235" s="2400">
        <v>4.3692129629629629E-2</v>
      </c>
      <c r="H1235" s="2401">
        <v>10.46</v>
      </c>
      <c r="I1235" s="2402">
        <f t="shared" si="182"/>
        <v>4.1770678422208057E-3</v>
      </c>
      <c r="J1235" s="2403">
        <v>131</v>
      </c>
      <c r="K1235" s="2404">
        <v>57</v>
      </c>
      <c r="L1235" s="2815">
        <v>195</v>
      </c>
      <c r="M1235" s="2591">
        <v>36</v>
      </c>
      <c r="N1235" s="2296">
        <f t="shared" si="183"/>
        <v>1.0503767015781513</v>
      </c>
      <c r="O1235" s="2405" t="s">
        <v>1460</v>
      </c>
      <c r="P1235" s="2298">
        <f>IFERROR(VLOOKUP(F1235,Trainingsarten!$A$9:$N$84,12,FALSE),"")</f>
        <v>194.60000000000002</v>
      </c>
      <c r="Q1235" s="2461" t="s">
        <v>437</v>
      </c>
      <c r="R1235" s="2462">
        <f>IFERROR(VLOOKUP(F1235,Trainingsarten!$A$9:$N$84,14,FALSE),"")</f>
        <v>212.96</v>
      </c>
      <c r="S1235" s="2408">
        <f t="shared" si="184"/>
        <v>1.4885496183206106</v>
      </c>
      <c r="T1235" s="2292">
        <f t="shared" si="185"/>
        <v>19.366749015421036</v>
      </c>
      <c r="U1235" s="2292">
        <f t="shared" si="186"/>
        <v>24.510836092351081</v>
      </c>
      <c r="V1235" s="2292">
        <f t="shared" si="187"/>
        <v>10.623876942465998</v>
      </c>
      <c r="W1235" s="3283">
        <f t="shared" si="188"/>
        <v>0.79013008542228702</v>
      </c>
      <c r="X1235" s="3300"/>
      <c r="Y1235" s="3316"/>
      <c r="AA1235" s="3301"/>
      <c r="AB1235" s="3409"/>
      <c r="AE1235" s="1056"/>
    </row>
    <row r="1236" spans="2:31" x14ac:dyDescent="0.2">
      <c r="B1236" s="2991" t="s">
        <v>626</v>
      </c>
      <c r="C1236" s="2488">
        <v>44334</v>
      </c>
      <c r="D1236" s="2489"/>
      <c r="E1236" s="2490"/>
      <c r="F1236" s="2765"/>
      <c r="G1236" s="2491"/>
      <c r="H1236" s="2492" t="str">
        <f>IFERROR(VLOOKUP(F1236,Trainingsarten!$A$9:$K$84,10,FALSE),"")</f>
        <v/>
      </c>
      <c r="I1236" s="2493" t="str">
        <f t="shared" si="182"/>
        <v/>
      </c>
      <c r="J1236" s="2494"/>
      <c r="K1236" s="2495" t="str">
        <f>IFERROR(VLOOKUP(F1236,Trainingsarten!$A$9:$K$84,11,FALSE),"0")</f>
        <v>0</v>
      </c>
      <c r="L1236" s="2816"/>
      <c r="M1236" s="2840"/>
      <c r="N1236" s="2496" t="str">
        <f t="shared" si="183"/>
        <v/>
      </c>
      <c r="O1236" s="2497"/>
      <c r="P1236" s="2498" t="str">
        <f>IFERROR(VLOOKUP(F1236,Trainingsarten!$A$9:$N$84,12,FALSE),"")</f>
        <v/>
      </c>
      <c r="Q1236" s="2499" t="s">
        <v>437</v>
      </c>
      <c r="R1236" s="2500" t="str">
        <f>IFERROR(VLOOKUP(F1236,Trainingsarten!$A$9:$N$84,14,FALSE),"")</f>
        <v/>
      </c>
      <c r="S1236" s="2501" t="str">
        <f t="shared" si="184"/>
        <v/>
      </c>
      <c r="T1236" s="2489">
        <f t="shared" si="185"/>
        <v>16.600070584646602</v>
      </c>
      <c r="U1236" s="2489">
        <f t="shared" si="186"/>
        <v>23.927244756818911</v>
      </c>
      <c r="V1236" s="2489">
        <f t="shared" si="187"/>
        <v>5.1440870769300453</v>
      </c>
      <c r="W1236" s="3284">
        <f t="shared" si="188"/>
        <v>0.69377275793176429</v>
      </c>
      <c r="X1236" s="3300"/>
      <c r="Y1236" s="3316"/>
      <c r="AA1236" s="3301"/>
      <c r="AB1236" s="3409"/>
      <c r="AE1236" s="1056"/>
    </row>
    <row r="1237" spans="2:31" ht="16" thickBot="1" x14ac:dyDescent="0.25">
      <c r="B1237" s="2979">
        <f>SUM(H1235:H1241)</f>
        <v>30.990000000000002</v>
      </c>
      <c r="C1237" s="2488">
        <v>44335</v>
      </c>
      <c r="D1237" s="2489">
        <v>64</v>
      </c>
      <c r="E1237" s="2490" t="s">
        <v>835</v>
      </c>
      <c r="F1237" s="2765" t="s">
        <v>818</v>
      </c>
      <c r="G1237" s="2491">
        <v>3.9675925925925927E-2</v>
      </c>
      <c r="H1237" s="2492">
        <v>9.99</v>
      </c>
      <c r="I1237" s="2493">
        <f t="shared" si="182"/>
        <v>3.9715641567493421E-3</v>
      </c>
      <c r="J1237" s="2494">
        <v>137</v>
      </c>
      <c r="K1237" s="2495">
        <v>58</v>
      </c>
      <c r="L1237" s="2816">
        <v>206</v>
      </c>
      <c r="M1237" s="2840">
        <v>25</v>
      </c>
      <c r="N1237" s="2496">
        <f t="shared" si="183"/>
        <v>1.0550371266789176</v>
      </c>
      <c r="O1237" s="2497" t="s">
        <v>911</v>
      </c>
      <c r="P1237" s="2498">
        <f>IFERROR(VLOOKUP(F1237,Trainingsarten!$A$9:$N$84,12,FALSE),"")</f>
        <v>194.60000000000002</v>
      </c>
      <c r="Q1237" s="2499" t="s">
        <v>437</v>
      </c>
      <c r="R1237" s="2500">
        <f>IFERROR(VLOOKUP(F1237,Trainingsarten!$A$9:$N$84,14,FALSE),"")</f>
        <v>212.96</v>
      </c>
      <c r="S1237" s="2501">
        <f t="shared" si="184"/>
        <v>1.5036496350364963</v>
      </c>
      <c r="T1237" s="2489">
        <f t="shared" si="185"/>
        <v>22.514346215411372</v>
      </c>
      <c r="U1237" s="2489">
        <f t="shared" si="186"/>
        <v>24.738500834037509</v>
      </c>
      <c r="V1237" s="2489">
        <f t="shared" si="187"/>
        <v>7.3271741721723096</v>
      </c>
      <c r="W1237" s="3284">
        <f t="shared" si="188"/>
        <v>0.91009339516782928</v>
      </c>
      <c r="X1237" s="3300"/>
      <c r="Y1237" s="3316"/>
      <c r="AA1237" s="3301"/>
      <c r="AB1237" s="3409"/>
      <c r="AE1237" s="1056"/>
    </row>
    <row r="1238" spans="2:31" x14ac:dyDescent="0.2">
      <c r="B1238" s="2992" t="s">
        <v>628</v>
      </c>
      <c r="C1238" s="2488">
        <v>44336</v>
      </c>
      <c r="D1238" s="2489"/>
      <c r="E1238" s="2490"/>
      <c r="F1238" s="2765"/>
      <c r="G1238" s="2491"/>
      <c r="H1238" s="2492" t="str">
        <f>IFERROR(VLOOKUP(F1238,Trainingsarten!$A$9:$K$84,10,FALSE),"")</f>
        <v/>
      </c>
      <c r="I1238" s="2493" t="str">
        <f t="shared" si="182"/>
        <v/>
      </c>
      <c r="J1238" s="2494"/>
      <c r="K1238" s="2495" t="str">
        <f>IFERROR(VLOOKUP(F1238,Trainingsarten!$A$9:$K$84,11,FALSE),"0")</f>
        <v>0</v>
      </c>
      <c r="L1238" s="2816"/>
      <c r="M1238" s="2840"/>
      <c r="N1238" s="2496" t="str">
        <f t="shared" si="183"/>
        <v/>
      </c>
      <c r="O1238" s="2497"/>
      <c r="P1238" s="2498" t="str">
        <f>IFERROR(VLOOKUP(F1238,Trainingsarten!$A$9:$N$84,12,FALSE),"")</f>
        <v/>
      </c>
      <c r="Q1238" s="2499" t="s">
        <v>437</v>
      </c>
      <c r="R1238" s="2500" t="str">
        <f>IFERROR(VLOOKUP(F1238,Trainingsarten!$A$9:$N$84,14,FALSE),"")</f>
        <v/>
      </c>
      <c r="S1238" s="2501" t="str">
        <f t="shared" si="184"/>
        <v/>
      </c>
      <c r="T1238" s="2489">
        <f t="shared" si="185"/>
        <v>19.298011041781177</v>
      </c>
      <c r="U1238" s="2489">
        <f t="shared" si="186"/>
        <v>24.14948890941757</v>
      </c>
      <c r="V1238" s="2489">
        <f t="shared" si="187"/>
        <v>2.2241546186261374</v>
      </c>
      <c r="W1238" s="3284">
        <f t="shared" si="188"/>
        <v>0.79910639575711828</v>
      </c>
      <c r="X1238" s="3300"/>
      <c r="Y1238" s="3316"/>
      <c r="AA1238" s="3301"/>
      <c r="AB1238" s="3409"/>
      <c r="AE1238" s="1056"/>
    </row>
    <row r="1239" spans="2:31" ht="16" thickBot="1" x14ac:dyDescent="0.25">
      <c r="B1239" s="2993">
        <f>SUM(K1235:K1241)</f>
        <v>179</v>
      </c>
      <c r="C1239" s="2488">
        <v>44337</v>
      </c>
      <c r="D1239" s="2489"/>
      <c r="E1239" s="2490"/>
      <c r="F1239" s="2765"/>
      <c r="G1239" s="2491"/>
      <c r="H1239" s="2492" t="str">
        <f>IFERROR(VLOOKUP(F1239,Trainingsarten!$A$9:$K$84,10,FALSE),"")</f>
        <v/>
      </c>
      <c r="I1239" s="2493" t="str">
        <f t="shared" si="182"/>
        <v/>
      </c>
      <c r="J1239" s="2494"/>
      <c r="K1239" s="2495" t="str">
        <f>IFERROR(VLOOKUP(F1239,Trainingsarten!$A$9:$K$84,11,FALSE),"0")</f>
        <v>0</v>
      </c>
      <c r="L1239" s="2816"/>
      <c r="M1239" s="2840"/>
      <c r="N1239" s="2496" t="str">
        <f t="shared" si="183"/>
        <v/>
      </c>
      <c r="O1239" s="2497"/>
      <c r="P1239" s="2498" t="str">
        <f>IFERROR(VLOOKUP(F1239,Trainingsarten!$A$9:$N$84,12,FALSE),"")</f>
        <v/>
      </c>
      <c r="Q1239" s="2499" t="s">
        <v>437</v>
      </c>
      <c r="R1239" s="2500" t="str">
        <f>IFERROR(VLOOKUP(F1239,Trainingsarten!$A$9:$N$84,14,FALSE),"")</f>
        <v/>
      </c>
      <c r="S1239" s="2501" t="str">
        <f t="shared" si="184"/>
        <v/>
      </c>
      <c r="T1239" s="2489">
        <f t="shared" si="185"/>
        <v>16.541152321526724</v>
      </c>
      <c r="U1239" s="2489">
        <f t="shared" si="186"/>
        <v>23.57450107824096</v>
      </c>
      <c r="V1239" s="2489">
        <f t="shared" si="187"/>
        <v>4.8514778676363939</v>
      </c>
      <c r="W1239" s="3284">
        <f t="shared" si="188"/>
        <v>0.70165439627454296</v>
      </c>
      <c r="X1239" s="3300"/>
      <c r="Y1239" s="3316"/>
      <c r="AA1239" s="3301"/>
      <c r="AB1239" s="3409"/>
      <c r="AE1239" s="1056"/>
    </row>
    <row r="1240" spans="2:31" x14ac:dyDescent="0.2">
      <c r="B1240" s="2994" t="s">
        <v>761</v>
      </c>
      <c r="C1240" s="2488">
        <v>44338</v>
      </c>
      <c r="D1240" s="2489">
        <v>65</v>
      </c>
      <c r="E1240" s="2490" t="s">
        <v>836</v>
      </c>
      <c r="F1240" s="2765" t="s">
        <v>818</v>
      </c>
      <c r="G1240" s="2491">
        <v>4.0937500000000002E-2</v>
      </c>
      <c r="H1240" s="2492">
        <v>10.54</v>
      </c>
      <c r="I1240" s="2493">
        <f t="shared" si="182"/>
        <v>3.8840132827324481E-3</v>
      </c>
      <c r="J1240" s="2494">
        <v>149</v>
      </c>
      <c r="K1240" s="2495">
        <v>64</v>
      </c>
      <c r="L1240" s="2816">
        <v>213</v>
      </c>
      <c r="M1240" s="2840">
        <v>46</v>
      </c>
      <c r="N1240" s="2496">
        <f t="shared" si="183"/>
        <v>1.0668398991758477</v>
      </c>
      <c r="O1240" s="2497" t="s">
        <v>911</v>
      </c>
      <c r="P1240" s="2498">
        <f>IFERROR(VLOOKUP(F1240,Trainingsarten!$A$9:$N$84,12,FALSE),"")</f>
        <v>194.60000000000002</v>
      </c>
      <c r="Q1240" s="2499" t="s">
        <v>437</v>
      </c>
      <c r="R1240" s="2500">
        <f>IFERROR(VLOOKUP(F1240,Trainingsarten!$A$9:$N$84,14,FALSE),"")</f>
        <v>212.96</v>
      </c>
      <c r="S1240" s="2501">
        <f t="shared" si="184"/>
        <v>1.4295302013422819</v>
      </c>
      <c r="T1240" s="2489">
        <f t="shared" si="185"/>
        <v>23.320987704165763</v>
      </c>
      <c r="U1240" s="2489">
        <f t="shared" si="186"/>
        <v>24.537012957330461</v>
      </c>
      <c r="V1240" s="2489">
        <f t="shared" si="187"/>
        <v>7.0333487567142363</v>
      </c>
      <c r="W1240" s="3284">
        <f t="shared" si="188"/>
        <v>0.95044118633024521</v>
      </c>
      <c r="X1240" s="3300"/>
      <c r="Y1240" s="3316"/>
      <c r="AA1240" s="3301"/>
      <c r="AB1240" s="3409"/>
      <c r="AE1240" s="1056"/>
    </row>
    <row r="1241" spans="2:31" ht="16" thickBot="1" x14ac:dyDescent="0.25">
      <c r="B1241" s="2995">
        <f>AVERAGE(W1235:W1241)</f>
        <v>0.81139027735234881</v>
      </c>
      <c r="C1241" s="2502">
        <v>44339</v>
      </c>
      <c r="D1241" s="2332"/>
      <c r="E1241" s="2503"/>
      <c r="F1241" s="2766"/>
      <c r="G1241" s="2504"/>
      <c r="H1241" s="2505" t="str">
        <f>IFERROR(VLOOKUP(F1241,Trainingsarten!$A$9:$K$84,10,FALSE),"")</f>
        <v/>
      </c>
      <c r="I1241" s="2506" t="str">
        <f t="shared" si="182"/>
        <v/>
      </c>
      <c r="J1241" s="2507"/>
      <c r="K1241" s="2508" t="str">
        <f>IFERROR(VLOOKUP(F1241,Trainingsarten!$A$9:$K$84,11,FALSE),"0")</f>
        <v>0</v>
      </c>
      <c r="L1241" s="2818"/>
      <c r="M1241" s="2798"/>
      <c r="N1241" s="2509" t="str">
        <f t="shared" si="183"/>
        <v/>
      </c>
      <c r="O1241" s="2510"/>
      <c r="P1241" s="2511" t="str">
        <f>IFERROR(VLOOKUP(F1241,Trainingsarten!$A$9:$N$84,12,FALSE),"")</f>
        <v/>
      </c>
      <c r="Q1241" s="2512" t="s">
        <v>437</v>
      </c>
      <c r="R1241" s="2513" t="str">
        <f>IFERROR(VLOOKUP(F1241,Trainingsarten!$A$9:$N$84,14,FALSE),"")</f>
        <v/>
      </c>
      <c r="S1241" s="2331" t="str">
        <f t="shared" si="184"/>
        <v/>
      </c>
      <c r="T1241" s="2332">
        <f t="shared" si="185"/>
        <v>19.989418032142083</v>
      </c>
      <c r="U1241" s="2332">
        <f t="shared" si="186"/>
        <v>23.952798363108307</v>
      </c>
      <c r="V1241" s="2332">
        <f t="shared" si="187"/>
        <v>1.2160252531646982</v>
      </c>
      <c r="W1241" s="3285">
        <f t="shared" si="188"/>
        <v>0.8345337245826544</v>
      </c>
      <c r="X1241" s="3300"/>
      <c r="Y1241" s="3316"/>
      <c r="AA1241" s="3301"/>
      <c r="AB1241" s="3409"/>
      <c r="AE1241" s="1056"/>
    </row>
    <row r="1242" spans="2:31" ht="16" thickBot="1" x14ac:dyDescent="0.25">
      <c r="B1242" s="2986">
        <f>B1235+1</f>
        <v>21</v>
      </c>
      <c r="C1242" s="2441">
        <v>44340</v>
      </c>
      <c r="D1242" s="1111"/>
      <c r="E1242" s="1112"/>
      <c r="F1242" s="2769"/>
      <c r="G1242" s="2442"/>
      <c r="H1242" s="2411" t="str">
        <f>IFERROR(VLOOKUP(F1242,Trainingsarten!$A$9:$K$84,10,FALSE),"")</f>
        <v/>
      </c>
      <c r="I1242" s="2444" t="str">
        <f t="shared" si="182"/>
        <v/>
      </c>
      <c r="J1242" s="1320"/>
      <c r="K1242" s="2414" t="str">
        <f>IFERROR(VLOOKUP(F1242,Trainingsarten!$A$9:$K$84,11,FALSE),"0")</f>
        <v>0</v>
      </c>
      <c r="L1242" s="2819"/>
      <c r="M1242" s="1320"/>
      <c r="N1242" s="1119" t="str">
        <f t="shared" si="183"/>
        <v/>
      </c>
      <c r="O1242" s="2446"/>
      <c r="P1242" s="1121" t="str">
        <f>IFERROR(VLOOKUP(F1242,Trainingsarten!$A$9:$N$84,12,FALSE),"")</f>
        <v/>
      </c>
      <c r="Q1242" s="2447" t="s">
        <v>437</v>
      </c>
      <c r="R1242" s="2448" t="str">
        <f>IFERROR(VLOOKUP(F1242,Trainingsarten!$A$9:$N$84,14,FALSE),"")</f>
        <v/>
      </c>
      <c r="S1242" s="2449" t="str">
        <f t="shared" si="184"/>
        <v/>
      </c>
      <c r="T1242" s="1111">
        <f t="shared" si="185"/>
        <v>17.133786884693215</v>
      </c>
      <c r="U1242" s="1111">
        <f t="shared" si="186"/>
        <v>23.382493640177156</v>
      </c>
      <c r="V1242" s="1111">
        <f t="shared" si="187"/>
        <v>3.9633803309662241</v>
      </c>
      <c r="W1242" s="3286">
        <f t="shared" si="188"/>
        <v>0.73276131914574538</v>
      </c>
      <c r="X1242" s="3300"/>
      <c r="Y1242" s="3316"/>
      <c r="AA1242" s="3301"/>
      <c r="AB1242" s="3409"/>
      <c r="AE1242" s="1056"/>
    </row>
    <row r="1243" spans="2:31" x14ac:dyDescent="0.2">
      <c r="B1243" s="2991" t="s">
        <v>626</v>
      </c>
      <c r="C1243" s="2409">
        <v>44341</v>
      </c>
      <c r="D1243" s="2009"/>
      <c r="E1243" s="2010"/>
      <c r="F1243" s="2728"/>
      <c r="G1243" s="2410"/>
      <c r="H1243" s="2411" t="str">
        <f>IFERROR(VLOOKUP(F1243,Trainingsarten!$A$9:$K$84,10,FALSE),"")</f>
        <v/>
      </c>
      <c r="I1243" s="2412" t="str">
        <f t="shared" si="182"/>
        <v/>
      </c>
      <c r="J1243" s="2413"/>
      <c r="K1243" s="2414" t="str">
        <f>IFERROR(VLOOKUP(F1243,Trainingsarten!$A$9:$K$84,11,FALSE),"0")</f>
        <v>0</v>
      </c>
      <c r="L1243" s="2816"/>
      <c r="M1243" s="2840"/>
      <c r="N1243" s="2368" t="str">
        <f t="shared" si="183"/>
        <v/>
      </c>
      <c r="O1243" s="2415"/>
      <c r="P1243" s="2416" t="str">
        <f>IFERROR(VLOOKUP(F1243,Trainingsarten!$A$9:$N$84,12,FALSE),"")</f>
        <v/>
      </c>
      <c r="Q1243" s="2417" t="s">
        <v>437</v>
      </c>
      <c r="R1243" s="2418" t="str">
        <f>IFERROR(VLOOKUP(F1243,Trainingsarten!$A$9:$N$84,14,FALSE),"")</f>
        <v/>
      </c>
      <c r="S1243" s="2419" t="str">
        <f t="shared" si="184"/>
        <v/>
      </c>
      <c r="T1243" s="2009">
        <f t="shared" si="185"/>
        <v>14.686103044022756</v>
      </c>
      <c r="U1243" s="2009">
        <f t="shared" si="186"/>
        <v>22.825767601125317</v>
      </c>
      <c r="V1243" s="2009">
        <f t="shared" si="187"/>
        <v>6.2487067554839406</v>
      </c>
      <c r="W1243" s="3284">
        <f t="shared" si="188"/>
        <v>0.64340018266455701</v>
      </c>
      <c r="X1243" s="3300"/>
      <c r="Y1243" s="3316"/>
      <c r="AA1243" s="3301"/>
      <c r="AB1243" s="3409"/>
      <c r="AE1243" s="1056"/>
    </row>
    <row r="1244" spans="2:31" ht="16" thickBot="1" x14ac:dyDescent="0.25">
      <c r="B1244" s="2979">
        <f>SUM(H1242:H1248)</f>
        <v>21.6</v>
      </c>
      <c r="C1244" s="2409">
        <v>44342</v>
      </c>
      <c r="D1244" s="2009"/>
      <c r="E1244" s="2010"/>
      <c r="F1244" s="2728"/>
      <c r="G1244" s="2410"/>
      <c r="H1244" s="2411" t="str">
        <f>IFERROR(VLOOKUP(F1244,Trainingsarten!$A$9:$K$84,10,FALSE),"")</f>
        <v/>
      </c>
      <c r="I1244" s="2412" t="str">
        <f t="shared" ref="I1244:I1307" si="189">IFERROR(G1244/H1244,"")</f>
        <v/>
      </c>
      <c r="J1244" s="2413"/>
      <c r="K1244" s="2414" t="str">
        <f>IFERROR(VLOOKUP(F1244,Trainingsarten!$A$9:$K$84,11,FALSE),"0")</f>
        <v>0</v>
      </c>
      <c r="L1244" s="2816"/>
      <c r="M1244" s="2840"/>
      <c r="N1244" s="2368" t="str">
        <f t="shared" ref="N1244:N1307" si="190">IFERROR((L1244/67)/(1/(I1244*24)/3.6),"")</f>
        <v/>
      </c>
      <c r="O1244" s="2415"/>
      <c r="P1244" s="2416" t="str">
        <f>IFERROR(VLOOKUP(F1244,Trainingsarten!$A$9:$N$84,12,FALSE),"")</f>
        <v/>
      </c>
      <c r="Q1244" s="2417" t="s">
        <v>437</v>
      </c>
      <c r="R1244" s="2418" t="str">
        <f>IFERROR(VLOOKUP(F1244,Trainingsarten!$A$9:$N$84,14,FALSE),"")</f>
        <v/>
      </c>
      <c r="S1244" s="2419" t="str">
        <f t="shared" ref="S1244:S1307" si="191">IFERROR(L1244/J1244,"")</f>
        <v/>
      </c>
      <c r="T1244" s="2009">
        <f t="shared" ref="T1244:T1307" si="192">T1243+(K1244-T1243)/7</f>
        <v>12.588088323448076</v>
      </c>
      <c r="U1244" s="2009">
        <f t="shared" ref="U1244:U1307" si="193">U1243+(K1244-U1243)/42</f>
        <v>22.282296943955668</v>
      </c>
      <c r="V1244" s="2009">
        <f t="shared" ref="V1244:V1307" si="194">U1243-T1243</f>
        <v>8.1396645571025612</v>
      </c>
      <c r="W1244" s="3284">
        <f t="shared" ref="W1244:W1307" si="195">T1244/U1244</f>
        <v>0.56493674575424513</v>
      </c>
      <c r="X1244" s="3300"/>
      <c r="Y1244" s="3316"/>
      <c r="AA1244" s="3301"/>
      <c r="AB1244" s="3409"/>
      <c r="AE1244" s="1056"/>
    </row>
    <row r="1245" spans="2:31" x14ac:dyDescent="0.2">
      <c r="B1245" s="2992" t="s">
        <v>628</v>
      </c>
      <c r="C1245" s="2409">
        <v>44343</v>
      </c>
      <c r="D1245" s="2009">
        <v>66</v>
      </c>
      <c r="E1245" s="2010" t="s">
        <v>835</v>
      </c>
      <c r="F1245" s="2728" t="s">
        <v>818</v>
      </c>
      <c r="G1245" s="2410">
        <v>4.4849537037037035E-2</v>
      </c>
      <c r="H1245" s="2411">
        <v>11</v>
      </c>
      <c r="I1245" s="2412">
        <f t="shared" si="189"/>
        <v>4.0772306397306394E-3</v>
      </c>
      <c r="J1245" s="2413">
        <v>139</v>
      </c>
      <c r="K1245" s="2414">
        <v>63</v>
      </c>
      <c r="L1245" s="2816">
        <v>201</v>
      </c>
      <c r="M1245" s="2840">
        <v>34</v>
      </c>
      <c r="N1245" s="2368">
        <f t="shared" si="190"/>
        <v>1.0568181818181817</v>
      </c>
      <c r="O1245" s="2415" t="s">
        <v>911</v>
      </c>
      <c r="P1245" s="2416">
        <f>IFERROR(VLOOKUP(F1245,Trainingsarten!$A$9:$N$84,12,FALSE),"")</f>
        <v>194.60000000000002</v>
      </c>
      <c r="Q1245" s="2417" t="s">
        <v>437</v>
      </c>
      <c r="R1245" s="2418">
        <f>IFERROR(VLOOKUP(F1245,Trainingsarten!$A$9:$N$84,14,FALSE),"")</f>
        <v>212.96</v>
      </c>
      <c r="S1245" s="2419">
        <f t="shared" si="191"/>
        <v>1.4460431654676258</v>
      </c>
      <c r="T1245" s="2009">
        <f t="shared" si="192"/>
        <v>19.789789991526924</v>
      </c>
      <c r="U1245" s="2009">
        <f t="shared" si="193"/>
        <v>23.251766064337676</v>
      </c>
      <c r="V1245" s="2009">
        <f t="shared" si="194"/>
        <v>9.6942086205075917</v>
      </c>
      <c r="W1245" s="3284">
        <f t="shared" si="195"/>
        <v>0.85110911303548042</v>
      </c>
      <c r="X1245" s="3300"/>
      <c r="Y1245" s="3316"/>
      <c r="AA1245" s="3301"/>
      <c r="AB1245" s="3409"/>
      <c r="AE1245" s="1056"/>
    </row>
    <row r="1246" spans="2:31" ht="16" thickBot="1" x14ac:dyDescent="0.25">
      <c r="B1246" s="2993">
        <f>SUM(K1242:K1248)</f>
        <v>127</v>
      </c>
      <c r="C1246" s="2409">
        <v>44344</v>
      </c>
      <c r="D1246" s="2009"/>
      <c r="E1246" s="2010"/>
      <c r="F1246" s="2728"/>
      <c r="G1246" s="2410"/>
      <c r="H1246" s="2411" t="str">
        <f>IFERROR(VLOOKUP(F1246,Trainingsarten!$A$9:$K$84,10,FALSE),"")</f>
        <v/>
      </c>
      <c r="I1246" s="2412" t="str">
        <f t="shared" si="189"/>
        <v/>
      </c>
      <c r="J1246" s="2413"/>
      <c r="K1246" s="2414" t="str">
        <f>IFERROR(VLOOKUP(F1246,Trainingsarten!$A$9:$K$84,11,FALSE),"0")</f>
        <v>0</v>
      </c>
      <c r="L1246" s="2816"/>
      <c r="M1246" s="2840"/>
      <c r="N1246" s="2368" t="str">
        <f t="shared" si="190"/>
        <v/>
      </c>
      <c r="O1246" s="2415"/>
      <c r="P1246" s="2416" t="str">
        <f>IFERROR(VLOOKUP(F1246,Trainingsarten!$A$9:$N$84,12,FALSE),"")</f>
        <v/>
      </c>
      <c r="Q1246" s="2417" t="s">
        <v>437</v>
      </c>
      <c r="R1246" s="2418" t="str">
        <f>IFERROR(VLOOKUP(F1246,Trainingsarten!$A$9:$N$84,14,FALSE),"")</f>
        <v/>
      </c>
      <c r="S1246" s="2419" t="str">
        <f t="shared" si="191"/>
        <v/>
      </c>
      <c r="T1246" s="2009">
        <f t="shared" si="192"/>
        <v>16.962677135594507</v>
      </c>
      <c r="U1246" s="2009">
        <f t="shared" si="193"/>
        <v>22.69815258661535</v>
      </c>
      <c r="V1246" s="2009">
        <f t="shared" si="194"/>
        <v>3.4619760728107529</v>
      </c>
      <c r="W1246" s="3284">
        <f t="shared" si="195"/>
        <v>0.74731531876286095</v>
      </c>
      <c r="X1246" s="3300"/>
      <c r="Y1246" s="3316"/>
      <c r="AA1246" s="3301"/>
      <c r="AB1246" s="3409"/>
      <c r="AE1246" s="1056"/>
    </row>
    <row r="1247" spans="2:31" x14ac:dyDescent="0.2">
      <c r="B1247" s="2994" t="s">
        <v>761</v>
      </c>
      <c r="C1247" s="2409">
        <v>44345</v>
      </c>
      <c r="D1247" s="2009">
        <v>67</v>
      </c>
      <c r="E1247" s="2010" t="s">
        <v>836</v>
      </c>
      <c r="F1247" s="2728" t="s">
        <v>818</v>
      </c>
      <c r="G1247" s="2410">
        <v>4.0787037037037038E-2</v>
      </c>
      <c r="H1247" s="2411">
        <v>10.6</v>
      </c>
      <c r="I1247" s="2412">
        <f t="shared" si="189"/>
        <v>3.8478336827393435E-3</v>
      </c>
      <c r="J1247" s="2413">
        <v>141</v>
      </c>
      <c r="K1247" s="2414">
        <v>64</v>
      </c>
      <c r="L1247" s="2816">
        <v>214</v>
      </c>
      <c r="M1247" s="2840">
        <v>36</v>
      </c>
      <c r="N1247" s="2368">
        <f t="shared" si="190"/>
        <v>1.061864263587722</v>
      </c>
      <c r="O1247" s="2415" t="s">
        <v>911</v>
      </c>
      <c r="P1247" s="2416">
        <f>IFERROR(VLOOKUP(F1247,Trainingsarten!$A$9:$N$84,12,FALSE),"")</f>
        <v>194.60000000000002</v>
      </c>
      <c r="Q1247" s="2417" t="s">
        <v>437</v>
      </c>
      <c r="R1247" s="2418">
        <f>IFERROR(VLOOKUP(F1247,Trainingsarten!$A$9:$N$84,14,FALSE),"")</f>
        <v>212.96</v>
      </c>
      <c r="S1247" s="2419">
        <f t="shared" si="191"/>
        <v>1.5177304964539007</v>
      </c>
      <c r="T1247" s="2009">
        <f t="shared" si="192"/>
        <v>23.682294687652437</v>
      </c>
      <c r="U1247" s="2009">
        <f t="shared" si="193"/>
        <v>23.681529905981652</v>
      </c>
      <c r="V1247" s="2009">
        <f t="shared" si="194"/>
        <v>5.735475451020843</v>
      </c>
      <c r="W1247" s="3284">
        <f t="shared" si="195"/>
        <v>1.0000322944367961</v>
      </c>
      <c r="X1247" s="3300"/>
      <c r="Y1247" s="3316"/>
      <c r="AA1247" s="3301"/>
      <c r="AB1247" s="3409"/>
      <c r="AE1247" s="1056"/>
    </row>
    <row r="1248" spans="2:31" ht="16" thickBot="1" x14ac:dyDescent="0.25">
      <c r="B1248" s="2995">
        <f>AVERAGE(W1242:W1248)</f>
        <v>0.77394744433976215</v>
      </c>
      <c r="C1248" s="1631">
        <v>44346</v>
      </c>
      <c r="D1248" s="1108"/>
      <c r="E1248" s="1261"/>
      <c r="F1248" s="2653"/>
      <c r="G1248" s="2433"/>
      <c r="H1248" s="2434" t="str">
        <f>IFERROR(VLOOKUP(F1248,Trainingsarten!$A$9:$K$84,10,FALSE),"")</f>
        <v/>
      </c>
      <c r="I1248" s="2435" t="str">
        <f t="shared" si="189"/>
        <v/>
      </c>
      <c r="J1248" s="1310"/>
      <c r="K1248" s="2436" t="str">
        <f>IFERROR(VLOOKUP(F1248,Trainingsarten!$A$9:$K$84,11,FALSE),"0")</f>
        <v>0</v>
      </c>
      <c r="L1248" s="2818"/>
      <c r="M1248" s="2798"/>
      <c r="N1248" s="1223" t="str">
        <f t="shared" si="190"/>
        <v/>
      </c>
      <c r="O1248" s="2437"/>
      <c r="P1248" s="1519" t="str">
        <f>IFERROR(VLOOKUP(F1248,Trainingsarten!$A$9:$N$84,12,FALSE),"")</f>
        <v/>
      </c>
      <c r="Q1248" s="2477" t="s">
        <v>437</v>
      </c>
      <c r="R1248" s="2439" t="str">
        <f>IFERROR(VLOOKUP(F1248,Trainingsarten!$A$9:$N$84,14,FALSE),"")</f>
        <v/>
      </c>
      <c r="S1248" s="2440" t="str">
        <f t="shared" si="191"/>
        <v/>
      </c>
      <c r="T1248" s="1108">
        <f t="shared" si="192"/>
        <v>20.299109732273518</v>
      </c>
      <c r="U1248" s="1108">
        <f t="shared" si="193"/>
        <v>23.117683955839233</v>
      </c>
      <c r="V1248" s="1108">
        <f t="shared" si="194"/>
        <v>-7.6478167078519732E-4</v>
      </c>
      <c r="W1248" s="3285">
        <f t="shared" si="195"/>
        <v>0.87807713657865027</v>
      </c>
      <c r="X1248" s="3300"/>
      <c r="Y1248" s="3316"/>
      <c r="AA1248" s="3301"/>
      <c r="AB1248" s="3409"/>
      <c r="AE1248" s="1056"/>
    </row>
    <row r="1249" spans="2:31" ht="16" thickBot="1" x14ac:dyDescent="0.25">
      <c r="B1249" s="2986">
        <f>B1242+1</f>
        <v>22</v>
      </c>
      <c r="C1249" s="2441">
        <v>44347</v>
      </c>
      <c r="D1249" s="1111"/>
      <c r="E1249" s="1112"/>
      <c r="F1249" s="2654"/>
      <c r="G1249" s="2442"/>
      <c r="H1249" s="2443" t="str">
        <f>IFERROR(VLOOKUP(F1249,Trainingsarten!$A$9:$K$84,10,FALSE),"")</f>
        <v/>
      </c>
      <c r="I1249" s="2444" t="str">
        <f t="shared" si="189"/>
        <v/>
      </c>
      <c r="J1249" s="1320"/>
      <c r="K1249" s="2445" t="str">
        <f>IFERROR(VLOOKUP(F1249,Trainingsarten!$A$9:$K$84,11,FALSE),"0")</f>
        <v>0</v>
      </c>
      <c r="L1249" s="2819"/>
      <c r="M1249" s="1320"/>
      <c r="N1249" s="1119" t="str">
        <f t="shared" si="190"/>
        <v/>
      </c>
      <c r="O1249" s="2446"/>
      <c r="P1249" s="1121" t="str">
        <f>IFERROR(VLOOKUP(F1249,Trainingsarten!$A$9:$N$84,12,FALSE),"")</f>
        <v/>
      </c>
      <c r="Q1249" s="2447" t="s">
        <v>437</v>
      </c>
      <c r="R1249" s="2448" t="str">
        <f>IFERROR(VLOOKUP(F1249,Trainingsarten!$A$9:$N$84,14,FALSE),"")</f>
        <v/>
      </c>
      <c r="S1249" s="2449" t="str">
        <f t="shared" si="191"/>
        <v/>
      </c>
      <c r="T1249" s="1111">
        <f t="shared" si="192"/>
        <v>17.399236913377301</v>
      </c>
      <c r="U1249" s="1111">
        <f t="shared" si="193"/>
        <v>22.567262909271633</v>
      </c>
      <c r="V1249" s="1111">
        <f t="shared" si="194"/>
        <v>2.8185742235657152</v>
      </c>
      <c r="W1249" s="3286">
        <f t="shared" si="195"/>
        <v>0.77099455894710744</v>
      </c>
      <c r="X1249" s="3300"/>
      <c r="Y1249" s="3316"/>
      <c r="AA1249" s="3301"/>
      <c r="AB1249" s="3409"/>
      <c r="AE1249" s="1056"/>
    </row>
    <row r="1250" spans="2:31" x14ac:dyDescent="0.2">
      <c r="B1250" s="2991" t="s">
        <v>626</v>
      </c>
      <c r="C1250" s="2409">
        <v>44348</v>
      </c>
      <c r="D1250" s="2009">
        <v>68</v>
      </c>
      <c r="E1250" s="2010" t="s">
        <v>836</v>
      </c>
      <c r="F1250" s="2728" t="s">
        <v>818</v>
      </c>
      <c r="G1250" s="2410">
        <v>3.5543981481481475E-2</v>
      </c>
      <c r="H1250" s="2411">
        <v>9.36</v>
      </c>
      <c r="I1250" s="2412">
        <f t="shared" si="189"/>
        <v>3.7974339189616965E-3</v>
      </c>
      <c r="J1250" s="2413">
        <v>147</v>
      </c>
      <c r="K1250" s="2414">
        <v>57</v>
      </c>
      <c r="L1250" s="2816">
        <v>216</v>
      </c>
      <c r="M1250" s="2840">
        <v>19</v>
      </c>
      <c r="N1250" s="2368">
        <f t="shared" si="190"/>
        <v>1.0577497129735933</v>
      </c>
      <c r="O1250" s="2415" t="s">
        <v>911</v>
      </c>
      <c r="P1250" s="2416">
        <f>IFERROR(VLOOKUP(F1250,Trainingsarten!$A$9:$N$84,12,FALSE),"")</f>
        <v>194.60000000000002</v>
      </c>
      <c r="Q1250" s="2417" t="s">
        <v>437</v>
      </c>
      <c r="R1250" s="2418">
        <f>IFERROR(VLOOKUP(F1250,Trainingsarten!$A$9:$N$84,14,FALSE),"")</f>
        <v>212.96</v>
      </c>
      <c r="S1250" s="2419">
        <f t="shared" si="191"/>
        <v>1.4693877551020409</v>
      </c>
      <c r="T1250" s="2009">
        <f t="shared" si="192"/>
        <v>23.056488782894832</v>
      </c>
      <c r="U1250" s="2009">
        <f t="shared" si="193"/>
        <v>23.387089982860402</v>
      </c>
      <c r="V1250" s="2009">
        <f t="shared" si="194"/>
        <v>5.1680259958943324</v>
      </c>
      <c r="W1250" s="3284">
        <f t="shared" si="195"/>
        <v>0.98586394458618587</v>
      </c>
      <c r="X1250" s="3300"/>
      <c r="Y1250" s="3316"/>
      <c r="AA1250" s="3301"/>
      <c r="AB1250" s="3409"/>
      <c r="AE1250" s="1056"/>
    </row>
    <row r="1251" spans="2:31" ht="16" thickBot="1" x14ac:dyDescent="0.25">
      <c r="B1251" s="2979">
        <f>SUM(H1249:H1255)</f>
        <v>28.979999999999997</v>
      </c>
      <c r="C1251" s="2409">
        <v>44349</v>
      </c>
      <c r="D1251" s="2009"/>
      <c r="E1251" s="2010"/>
      <c r="F1251" s="2728"/>
      <c r="G1251" s="2410"/>
      <c r="H1251" s="2411" t="str">
        <f>IFERROR(VLOOKUP(F1251,Trainingsarten!$A$9:$K$84,10,FALSE),"")</f>
        <v/>
      </c>
      <c r="I1251" s="2412" t="str">
        <f t="shared" si="189"/>
        <v/>
      </c>
      <c r="J1251" s="2413"/>
      <c r="K1251" s="2414" t="str">
        <f>IFERROR(VLOOKUP(F1251,Trainingsarten!$A$9:$K$84,11,FALSE),"0")</f>
        <v>0</v>
      </c>
      <c r="L1251" s="2816"/>
      <c r="M1251" s="2840"/>
      <c r="N1251" s="2368" t="str">
        <f t="shared" si="190"/>
        <v/>
      </c>
      <c r="O1251" s="2415"/>
      <c r="P1251" s="2416" t="str">
        <f>IFERROR(VLOOKUP(F1251,Trainingsarten!$A$9:$N$84,12,FALSE),"")</f>
        <v/>
      </c>
      <c r="Q1251" s="2417" t="s">
        <v>437</v>
      </c>
      <c r="R1251" s="2418" t="str">
        <f>IFERROR(VLOOKUP(F1251,Trainingsarten!$A$9:$N$84,14,FALSE),"")</f>
        <v/>
      </c>
      <c r="S1251" s="2419" t="str">
        <f t="shared" si="191"/>
        <v/>
      </c>
      <c r="T1251" s="2009">
        <f t="shared" si="192"/>
        <v>19.762704671052713</v>
      </c>
      <c r="U1251" s="2009">
        <f t="shared" si="193"/>
        <v>22.830254507078013</v>
      </c>
      <c r="V1251" s="2009">
        <f t="shared" si="194"/>
        <v>0.33060119996557091</v>
      </c>
      <c r="W1251" s="3284">
        <f t="shared" si="195"/>
        <v>0.8656366342707974</v>
      </c>
      <c r="X1251" s="3300"/>
      <c r="Y1251" s="3316"/>
      <c r="AA1251" s="3301"/>
      <c r="AB1251" s="3409"/>
      <c r="AE1251" s="1056"/>
    </row>
    <row r="1252" spans="2:31" x14ac:dyDescent="0.2">
      <c r="B1252" s="2992" t="s">
        <v>628</v>
      </c>
      <c r="C1252" s="2409">
        <v>44350</v>
      </c>
      <c r="D1252" s="2009">
        <v>69</v>
      </c>
      <c r="E1252" s="2010" t="s">
        <v>835</v>
      </c>
      <c r="F1252" s="2769" t="s">
        <v>818</v>
      </c>
      <c r="G1252" s="2410">
        <v>4.2997685185185187E-2</v>
      </c>
      <c r="H1252" s="2411">
        <v>10.65</v>
      </c>
      <c r="I1252" s="2412">
        <f t="shared" si="189"/>
        <v>4.0373413319422713E-3</v>
      </c>
      <c r="J1252" s="2413">
        <v>146</v>
      </c>
      <c r="K1252" s="2414">
        <v>61</v>
      </c>
      <c r="L1252" s="2816">
        <v>203</v>
      </c>
      <c r="M1252" s="2840">
        <v>34</v>
      </c>
      <c r="N1252" s="2368">
        <f t="shared" si="190"/>
        <v>1.0568915983462968</v>
      </c>
      <c r="O1252" s="2415" t="s">
        <v>911</v>
      </c>
      <c r="P1252" s="2416">
        <f>IFERROR(VLOOKUP(F1252,Trainingsarten!$A$9:$N$84,12,FALSE),"")</f>
        <v>194.60000000000002</v>
      </c>
      <c r="Q1252" s="2417" t="s">
        <v>437</v>
      </c>
      <c r="R1252" s="2418">
        <f>IFERROR(VLOOKUP(F1252,Trainingsarten!$A$9:$N$84,14,FALSE),"")</f>
        <v>212.96</v>
      </c>
      <c r="S1252" s="2419">
        <f t="shared" si="191"/>
        <v>1.3904109589041096</v>
      </c>
      <c r="T1252" s="2009">
        <f t="shared" si="192"/>
        <v>25.653746860902324</v>
      </c>
      <c r="U1252" s="2009">
        <f t="shared" si="193"/>
        <v>23.739057971195205</v>
      </c>
      <c r="V1252" s="2009">
        <f t="shared" si="194"/>
        <v>3.0675498360253002</v>
      </c>
      <c r="W1252" s="3284">
        <f t="shared" si="195"/>
        <v>1.0806556389908306</v>
      </c>
      <c r="X1252" s="3300"/>
      <c r="Y1252" s="3316"/>
      <c r="AA1252" s="3301"/>
      <c r="AB1252" s="3409"/>
      <c r="AE1252" s="1056"/>
    </row>
    <row r="1253" spans="2:31" ht="16" thickBot="1" x14ac:dyDescent="0.25">
      <c r="B1253" s="2993">
        <f>SUM(K1249:K1255)</f>
        <v>168</v>
      </c>
      <c r="C1253" s="2409">
        <v>44351</v>
      </c>
      <c r="D1253" s="2009"/>
      <c r="E1253" s="2010"/>
      <c r="F1253" s="2769"/>
      <c r="G1253" s="2410"/>
      <c r="H1253" s="2411"/>
      <c r="I1253" s="2412" t="str">
        <f t="shared" si="189"/>
        <v/>
      </c>
      <c r="J1253" s="2413"/>
      <c r="K1253" s="2414" t="str">
        <f>IFERROR(VLOOKUP(F1253,Trainingsarten!$A$9:$K$84,11,FALSE),"0")</f>
        <v>0</v>
      </c>
      <c r="L1253" s="2816"/>
      <c r="M1253" s="2840"/>
      <c r="N1253" s="2368" t="str">
        <f t="shared" si="190"/>
        <v/>
      </c>
      <c r="O1253" s="2415"/>
      <c r="P1253" s="2416" t="str">
        <f>IFERROR(VLOOKUP(F1253,Trainingsarten!$A$9:$N$84,12,FALSE),"")</f>
        <v/>
      </c>
      <c r="Q1253" s="2417" t="s">
        <v>437</v>
      </c>
      <c r="R1253" s="2418" t="str">
        <f>IFERROR(VLOOKUP(F1253,Trainingsarten!$A$9:$N$84,14,FALSE),"")</f>
        <v/>
      </c>
      <c r="S1253" s="2419" t="str">
        <f t="shared" si="191"/>
        <v/>
      </c>
      <c r="T1253" s="2009">
        <f t="shared" si="192"/>
        <v>21.988925880773419</v>
      </c>
      <c r="U1253" s="2009">
        <f t="shared" si="193"/>
        <v>23.173842305214368</v>
      </c>
      <c r="V1253" s="2009">
        <f t="shared" si="194"/>
        <v>-1.9146888897071186</v>
      </c>
      <c r="W1253" s="3284">
        <f t="shared" si="195"/>
        <v>0.94886836594316815</v>
      </c>
      <c r="X1253" s="3300"/>
      <c r="Y1253" s="3316"/>
      <c r="AA1253" s="3301"/>
      <c r="AB1253" s="3409"/>
      <c r="AE1253" s="1056"/>
    </row>
    <row r="1254" spans="2:31" x14ac:dyDescent="0.2">
      <c r="B1254" s="2994" t="s">
        <v>761</v>
      </c>
      <c r="C1254" s="2409">
        <v>44352</v>
      </c>
      <c r="D1254" s="2009"/>
      <c r="E1254" s="2010"/>
      <c r="F1254" s="2728"/>
      <c r="G1254" s="2410"/>
      <c r="H1254" s="2411" t="str">
        <f>IFERROR(VLOOKUP(F1254,Trainingsarten!$A$9:$K$84,10,FALSE),"")</f>
        <v/>
      </c>
      <c r="I1254" s="2412" t="str">
        <f t="shared" si="189"/>
        <v/>
      </c>
      <c r="J1254" s="2413"/>
      <c r="K1254" s="2414" t="str">
        <f>IFERROR(VLOOKUP(F1254,Trainingsarten!$A$9:$K$84,11,FALSE),"0")</f>
        <v>0</v>
      </c>
      <c r="L1254" s="2816"/>
      <c r="M1254" s="2840"/>
      <c r="N1254" s="2368" t="str">
        <f t="shared" si="190"/>
        <v/>
      </c>
      <c r="O1254" s="2415"/>
      <c r="P1254" s="2416" t="str">
        <f>IFERROR(VLOOKUP(F1254,Trainingsarten!$A$9:$N$84,12,FALSE),"")</f>
        <v/>
      </c>
      <c r="Q1254" s="2417" t="s">
        <v>437</v>
      </c>
      <c r="R1254" s="2418" t="str">
        <f>IFERROR(VLOOKUP(F1254,Trainingsarten!$A$9:$N$84,14,FALSE),"")</f>
        <v/>
      </c>
      <c r="S1254" s="2419" t="str">
        <f t="shared" si="191"/>
        <v/>
      </c>
      <c r="T1254" s="2009">
        <f t="shared" si="192"/>
        <v>18.847650754948646</v>
      </c>
      <c r="U1254" s="2009">
        <f t="shared" si="193"/>
        <v>22.622084155090217</v>
      </c>
      <c r="V1254" s="2009">
        <f t="shared" si="194"/>
        <v>1.1849164244409494</v>
      </c>
      <c r="W1254" s="3284">
        <f t="shared" si="195"/>
        <v>0.83315271155985504</v>
      </c>
      <c r="X1254" s="3300"/>
      <c r="Y1254" s="3316"/>
      <c r="AA1254" s="3301"/>
      <c r="AB1254" s="3409"/>
      <c r="AE1254" s="1056"/>
    </row>
    <row r="1255" spans="2:31" ht="16" thickBot="1" x14ac:dyDescent="0.25">
      <c r="B1255" s="2995">
        <f>AVERAGE(W1249:W1255)</f>
        <v>0.92660072470066202</v>
      </c>
      <c r="C1255" s="2451">
        <v>44353</v>
      </c>
      <c r="D1255" s="2280">
        <v>70</v>
      </c>
      <c r="E1255" s="2281" t="s">
        <v>835</v>
      </c>
      <c r="F1255" s="2757" t="s">
        <v>818</v>
      </c>
      <c r="G1255" s="2452">
        <v>3.695601851851852E-2</v>
      </c>
      <c r="H1255" s="2453">
        <v>8.9700000000000006</v>
      </c>
      <c r="I1255" s="2454">
        <f t="shared" si="189"/>
        <v>4.1199574714067466E-3</v>
      </c>
      <c r="J1255" s="2455">
        <v>133</v>
      </c>
      <c r="K1255" s="2456">
        <v>50</v>
      </c>
      <c r="L1255" s="2151">
        <v>199</v>
      </c>
      <c r="M1255" s="2841">
        <v>33</v>
      </c>
      <c r="N1255" s="2457">
        <f t="shared" si="190"/>
        <v>1.0572671758265528</v>
      </c>
      <c r="O1255" s="2458" t="s">
        <v>911</v>
      </c>
      <c r="P1255" s="2336">
        <f>IFERROR(VLOOKUP(F1255,Trainingsarten!$A$9:$N$84,12,FALSE),"")</f>
        <v>194.60000000000002</v>
      </c>
      <c r="Q1255" s="2459" t="s">
        <v>437</v>
      </c>
      <c r="R1255" s="2460">
        <f>IFERROR(VLOOKUP(F1255,Trainingsarten!$A$9:$N$84,14,FALSE),"")</f>
        <v>212.96</v>
      </c>
      <c r="S1255" s="2290">
        <f t="shared" si="191"/>
        <v>1.4962406015037595</v>
      </c>
      <c r="T1255" s="2280">
        <f t="shared" si="192"/>
        <v>23.297986361384552</v>
      </c>
      <c r="U1255" s="2280">
        <f t="shared" si="193"/>
        <v>23.273939294254735</v>
      </c>
      <c r="V1255" s="2280">
        <f t="shared" si="194"/>
        <v>3.7744334001415716</v>
      </c>
      <c r="W1255" s="3287">
        <f t="shared" si="195"/>
        <v>1.0010332186066908</v>
      </c>
      <c r="X1255" s="3300"/>
      <c r="Y1255" s="3316"/>
      <c r="AA1255" s="3301"/>
      <c r="AB1255" s="3409"/>
      <c r="AE1255" s="1056"/>
    </row>
    <row r="1256" spans="2:31" ht="16" thickBot="1" x14ac:dyDescent="0.25">
      <c r="B1256" s="2986">
        <f>B1249+1</f>
        <v>23</v>
      </c>
      <c r="C1256" s="2399">
        <v>44354</v>
      </c>
      <c r="D1256" s="2292"/>
      <c r="E1256" s="2293"/>
      <c r="F1256" s="2730"/>
      <c r="G1256" s="2400"/>
      <c r="H1256" s="2401" t="str">
        <f>IFERROR(VLOOKUP(F1256,Trainingsarten!$A$9:$K$84,10,FALSE),"")</f>
        <v/>
      </c>
      <c r="I1256" s="2402" t="str">
        <f t="shared" si="189"/>
        <v/>
      </c>
      <c r="J1256" s="2403"/>
      <c r="K1256" s="2404" t="str">
        <f>IFERROR(VLOOKUP(F1256,Trainingsarten!$A$9:$K$84,11,FALSE),"0")</f>
        <v>0</v>
      </c>
      <c r="L1256" s="2815"/>
      <c r="M1256" s="2591"/>
      <c r="N1256" s="2296" t="str">
        <f t="shared" si="190"/>
        <v/>
      </c>
      <c r="O1256" s="2405"/>
      <c r="P1256" s="2298" t="str">
        <f>IFERROR(VLOOKUP(F1256,Trainingsarten!$A$9:$N$84,12,FALSE),"")</f>
        <v/>
      </c>
      <c r="Q1256" s="2461" t="s">
        <v>437</v>
      </c>
      <c r="R1256" s="2462" t="str">
        <f>IFERROR(VLOOKUP(F1256,Trainingsarten!$A$9:$N$84,14,FALSE),"")</f>
        <v/>
      </c>
      <c r="S1256" s="2408" t="str">
        <f t="shared" si="191"/>
        <v/>
      </c>
      <c r="T1256" s="2292">
        <f t="shared" si="192"/>
        <v>19.969702595472473</v>
      </c>
      <c r="U1256" s="2292">
        <f t="shared" si="193"/>
        <v>22.719797882486766</v>
      </c>
      <c r="V1256" s="2292">
        <f t="shared" si="194"/>
        <v>-2.4047067129817634E-2</v>
      </c>
      <c r="W1256" s="3283">
        <f t="shared" si="195"/>
        <v>0.87895599682538705</v>
      </c>
      <c r="X1256" s="3300"/>
      <c r="Y1256" s="3316"/>
      <c r="AA1256" s="3301"/>
      <c r="AB1256" s="3409"/>
      <c r="AE1256" s="1056"/>
    </row>
    <row r="1257" spans="2:31" x14ac:dyDescent="0.2">
      <c r="B1257" s="2991" t="s">
        <v>626</v>
      </c>
      <c r="C1257" s="2488">
        <v>44355</v>
      </c>
      <c r="D1257" s="2489"/>
      <c r="E1257" s="2490"/>
      <c r="F1257" s="2765"/>
      <c r="G1257" s="2491"/>
      <c r="H1257" s="2492" t="str">
        <f>IFERROR(VLOOKUP(F1257,Trainingsarten!$A$9:$K$84,10,FALSE),"")</f>
        <v/>
      </c>
      <c r="I1257" s="2493" t="str">
        <f t="shared" si="189"/>
        <v/>
      </c>
      <c r="J1257" s="2494"/>
      <c r="K1257" s="2495" t="str">
        <f>IFERROR(VLOOKUP(F1257,Trainingsarten!$A$9:$K$84,11,FALSE),"0")</f>
        <v>0</v>
      </c>
      <c r="L1257" s="2816"/>
      <c r="M1257" s="2840"/>
      <c r="N1257" s="2496" t="str">
        <f t="shared" si="190"/>
        <v/>
      </c>
      <c r="O1257" s="2497"/>
      <c r="P1257" s="2498" t="str">
        <f>IFERROR(VLOOKUP(F1257,Trainingsarten!$A$9:$N$84,12,FALSE),"")</f>
        <v/>
      </c>
      <c r="Q1257" s="2499" t="s">
        <v>437</v>
      </c>
      <c r="R1257" s="2500" t="str">
        <f>IFERROR(VLOOKUP(F1257,Trainingsarten!$A$9:$N$84,14,FALSE),"")</f>
        <v/>
      </c>
      <c r="S1257" s="2501" t="str">
        <f t="shared" si="191"/>
        <v/>
      </c>
      <c r="T1257" s="2489">
        <f t="shared" si="192"/>
        <v>17.116887938976404</v>
      </c>
      <c r="U1257" s="2489">
        <f t="shared" si="193"/>
        <v>22.178850313856127</v>
      </c>
      <c r="V1257" s="2489">
        <f t="shared" si="194"/>
        <v>2.7500952870142932</v>
      </c>
      <c r="W1257" s="3284">
        <f t="shared" si="195"/>
        <v>0.77176624111497394</v>
      </c>
      <c r="X1257" s="3300"/>
      <c r="Y1257" s="3316"/>
      <c r="AA1257" s="3301"/>
      <c r="AB1257" s="3409"/>
      <c r="AE1257" s="1056"/>
    </row>
    <row r="1258" spans="2:31" ht="16" thickBot="1" x14ac:dyDescent="0.25">
      <c r="B1258" s="2979">
        <f>SUM(H1256:H1262)</f>
        <v>8.68</v>
      </c>
      <c r="C1258" s="2488">
        <v>44356</v>
      </c>
      <c r="D1258" s="2489"/>
      <c r="E1258" s="2490"/>
      <c r="F1258" s="2765"/>
      <c r="G1258" s="2491"/>
      <c r="H1258" s="2492" t="str">
        <f>IFERROR(VLOOKUP(F1258,Trainingsarten!$A$9:$K$84,10,FALSE),"")</f>
        <v/>
      </c>
      <c r="I1258" s="2493" t="str">
        <f t="shared" si="189"/>
        <v/>
      </c>
      <c r="J1258" s="2494"/>
      <c r="K1258" s="2495" t="str">
        <f>IFERROR(VLOOKUP(F1258,Trainingsarten!$A$9:$K$84,11,FALSE),"0")</f>
        <v>0</v>
      </c>
      <c r="L1258" s="2816"/>
      <c r="M1258" s="2840"/>
      <c r="N1258" s="2496" t="str">
        <f t="shared" si="190"/>
        <v/>
      </c>
      <c r="O1258" s="2497"/>
      <c r="P1258" s="2498" t="str">
        <f>IFERROR(VLOOKUP(F1258,Trainingsarten!$A$9:$N$84,12,FALSE),"")</f>
        <v/>
      </c>
      <c r="Q1258" s="2499" t="s">
        <v>437</v>
      </c>
      <c r="R1258" s="2500" t="str">
        <f>IFERROR(VLOOKUP(F1258,Trainingsarten!$A$9:$N$84,14,FALSE),"")</f>
        <v/>
      </c>
      <c r="S1258" s="2501" t="str">
        <f t="shared" si="191"/>
        <v/>
      </c>
      <c r="T1258" s="2489">
        <f t="shared" si="192"/>
        <v>14.671618233408346</v>
      </c>
      <c r="U1258" s="2489">
        <f t="shared" si="193"/>
        <v>21.650782449240506</v>
      </c>
      <c r="V1258" s="2489">
        <f t="shared" si="194"/>
        <v>5.0619623748797231</v>
      </c>
      <c r="W1258" s="3284">
        <f t="shared" si="195"/>
        <v>0.67764840683266003</v>
      </c>
      <c r="X1258" s="3300"/>
      <c r="Y1258" s="3316"/>
      <c r="AA1258" s="3301"/>
      <c r="AB1258" s="3409"/>
      <c r="AE1258" s="1056"/>
    </row>
    <row r="1259" spans="2:31" x14ac:dyDescent="0.2">
      <c r="B1259" s="2992" t="s">
        <v>628</v>
      </c>
      <c r="C1259" s="2488">
        <v>44357</v>
      </c>
      <c r="D1259" s="2489"/>
      <c r="E1259" s="2490"/>
      <c r="F1259" s="2765"/>
      <c r="G1259" s="2491"/>
      <c r="H1259" s="2492" t="str">
        <f>IFERROR(VLOOKUP(F1259,Trainingsarten!$A$9:$K$84,10,FALSE),"")</f>
        <v/>
      </c>
      <c r="I1259" s="2493" t="str">
        <f t="shared" si="189"/>
        <v/>
      </c>
      <c r="J1259" s="2494"/>
      <c r="K1259" s="2495" t="str">
        <f>IFERROR(VLOOKUP(F1259,Trainingsarten!$A$9:$K$84,11,FALSE),"0")</f>
        <v>0</v>
      </c>
      <c r="L1259" s="2816"/>
      <c r="M1259" s="2840"/>
      <c r="N1259" s="2496" t="str">
        <f t="shared" si="190"/>
        <v/>
      </c>
      <c r="O1259" s="2497"/>
      <c r="P1259" s="2498" t="str">
        <f>IFERROR(VLOOKUP(F1259,Trainingsarten!$A$9:$N$84,12,FALSE),"")</f>
        <v/>
      </c>
      <c r="Q1259" s="2499" t="s">
        <v>437</v>
      </c>
      <c r="R1259" s="2500" t="str">
        <f>IFERROR(VLOOKUP(F1259,Trainingsarten!$A$9:$N$84,14,FALSE),"")</f>
        <v/>
      </c>
      <c r="S1259" s="2501" t="str">
        <f t="shared" si="191"/>
        <v/>
      </c>
      <c r="T1259" s="2489">
        <f t="shared" si="192"/>
        <v>12.575672771492869</v>
      </c>
      <c r="U1259" s="2489">
        <f t="shared" si="193"/>
        <v>21.135287629020493</v>
      </c>
      <c r="V1259" s="2489">
        <f t="shared" si="194"/>
        <v>6.9791642158321601</v>
      </c>
      <c r="W1259" s="3284">
        <f t="shared" si="195"/>
        <v>0.59500835721892109</v>
      </c>
      <c r="X1259" s="3300"/>
      <c r="Y1259" s="3316"/>
      <c r="AA1259" s="3301"/>
      <c r="AB1259" s="3409"/>
      <c r="AE1259" s="1056"/>
    </row>
    <row r="1260" spans="2:31" ht="16" thickBot="1" x14ac:dyDescent="0.25">
      <c r="B1260" s="2993">
        <f>SUM(K1256:K1262)</f>
        <v>51</v>
      </c>
      <c r="C1260" s="2488">
        <v>44358</v>
      </c>
      <c r="D1260" s="2489"/>
      <c r="E1260" s="2490"/>
      <c r="F1260" s="2765"/>
      <c r="G1260" s="2491"/>
      <c r="H1260" s="2492" t="str">
        <f>IFERROR(VLOOKUP(F1260,Trainingsarten!$A$9:$K$84,10,FALSE),"")</f>
        <v/>
      </c>
      <c r="I1260" s="2493" t="str">
        <f t="shared" si="189"/>
        <v/>
      </c>
      <c r="J1260" s="2494"/>
      <c r="K1260" s="2495" t="str">
        <f>IFERROR(VLOOKUP(F1260,Trainingsarten!$A$9:$K$84,11,FALSE),"0")</f>
        <v>0</v>
      </c>
      <c r="L1260" s="2816"/>
      <c r="M1260" s="2840"/>
      <c r="N1260" s="2496" t="str">
        <f t="shared" si="190"/>
        <v/>
      </c>
      <c r="O1260" s="2497"/>
      <c r="P1260" s="2498" t="str">
        <f>IFERROR(VLOOKUP(F1260,Trainingsarten!$A$9:$N$84,12,FALSE),"")</f>
        <v/>
      </c>
      <c r="Q1260" s="2499" t="s">
        <v>437</v>
      </c>
      <c r="R1260" s="2500" t="str">
        <f>IFERROR(VLOOKUP(F1260,Trainingsarten!$A$9:$N$84,14,FALSE),"")</f>
        <v/>
      </c>
      <c r="S1260" s="2501" t="str">
        <f t="shared" si="191"/>
        <v/>
      </c>
      <c r="T1260" s="2489">
        <f t="shared" si="192"/>
        <v>10.779148089851031</v>
      </c>
      <c r="U1260" s="2489">
        <f t="shared" si="193"/>
        <v>20.632066494996195</v>
      </c>
      <c r="V1260" s="2489">
        <f t="shared" si="194"/>
        <v>8.5596148575276239</v>
      </c>
      <c r="W1260" s="3284">
        <f t="shared" si="195"/>
        <v>0.52244636243612586</v>
      </c>
      <c r="X1260" s="3300"/>
      <c r="Y1260" s="3316"/>
      <c r="AA1260" s="3301"/>
      <c r="AB1260" s="3409"/>
      <c r="AE1260" s="1056"/>
    </row>
    <row r="1261" spans="2:31" x14ac:dyDescent="0.2">
      <c r="B1261" s="2994" t="s">
        <v>761</v>
      </c>
      <c r="C1261" s="2488">
        <v>44359</v>
      </c>
      <c r="D1261" s="2489">
        <v>71</v>
      </c>
      <c r="E1261" s="2490" t="s">
        <v>836</v>
      </c>
      <c r="F1261" s="2765" t="s">
        <v>827</v>
      </c>
      <c r="G1261" s="2491">
        <v>3.4062500000000002E-2</v>
      </c>
      <c r="H1261" s="2492">
        <v>8.68</v>
      </c>
      <c r="I1261" s="2493">
        <f t="shared" si="189"/>
        <v>3.9242511520737331E-3</v>
      </c>
      <c r="J1261" s="2494">
        <v>140</v>
      </c>
      <c r="K1261" s="2495">
        <v>51</v>
      </c>
      <c r="L1261" s="2816">
        <v>209</v>
      </c>
      <c r="M1261" s="2840">
        <v>12</v>
      </c>
      <c r="N1261" s="2496">
        <f t="shared" si="190"/>
        <v>1.0576501134878604</v>
      </c>
      <c r="O1261" s="2497" t="s">
        <v>911</v>
      </c>
      <c r="P1261" s="2498">
        <f>IFERROR(VLOOKUP(F1261,Trainingsarten!$A$9:$N$84,12,FALSE),"")</f>
        <v>194.60000000000002</v>
      </c>
      <c r="Q1261" s="2499" t="s">
        <v>437</v>
      </c>
      <c r="R1261" s="2500">
        <f>IFERROR(VLOOKUP(F1261,Trainingsarten!$A$9:$N$84,14,FALSE),"")</f>
        <v>212.96</v>
      </c>
      <c r="S1261" s="2501">
        <f t="shared" si="191"/>
        <v>1.4928571428571429</v>
      </c>
      <c r="T1261" s="2489">
        <f t="shared" si="192"/>
        <v>16.524984077015169</v>
      </c>
      <c r="U1261" s="2489">
        <f t="shared" si="193"/>
        <v>21.355112530829619</v>
      </c>
      <c r="V1261" s="2489">
        <f t="shared" si="194"/>
        <v>9.8529184051451644</v>
      </c>
      <c r="W1261" s="3284">
        <f t="shared" si="195"/>
        <v>0.77381863725412992</v>
      </c>
      <c r="X1261" s="3300"/>
      <c r="Y1261" s="3316"/>
      <c r="AA1261" s="3301"/>
      <c r="AB1261" s="3409"/>
      <c r="AE1261" s="1056"/>
    </row>
    <row r="1262" spans="2:31" ht="16" thickBot="1" x14ac:dyDescent="0.25">
      <c r="B1262" s="2995">
        <f>AVERAGE(W1256:W1262)</f>
        <v>0.69987064463456028</v>
      </c>
      <c r="C1262" s="2502">
        <v>44360</v>
      </c>
      <c r="D1262" s="2332"/>
      <c r="E1262" s="2503"/>
      <c r="F1262" s="2766"/>
      <c r="G1262" s="2504"/>
      <c r="H1262" s="2505" t="str">
        <f>IFERROR(VLOOKUP(F1262,Trainingsarten!$A$9:$K$84,10,FALSE),"")</f>
        <v/>
      </c>
      <c r="I1262" s="2506" t="str">
        <f t="shared" si="189"/>
        <v/>
      </c>
      <c r="J1262" s="2507"/>
      <c r="K1262" s="2508" t="str">
        <f>IFERROR(VLOOKUP(F1262,Trainingsarten!$A$9:$K$84,11,FALSE),"0")</f>
        <v>0</v>
      </c>
      <c r="L1262" s="2818"/>
      <c r="M1262" s="2798"/>
      <c r="N1262" s="2509" t="str">
        <f t="shared" si="190"/>
        <v/>
      </c>
      <c r="O1262" s="2510"/>
      <c r="P1262" s="2511" t="str">
        <f>IFERROR(VLOOKUP(F1262,Trainingsarten!$A$9:$N$84,12,FALSE),"")</f>
        <v/>
      </c>
      <c r="Q1262" s="2512" t="s">
        <v>437</v>
      </c>
      <c r="R1262" s="2513" t="str">
        <f>IFERROR(VLOOKUP(F1262,Trainingsarten!$A$9:$N$84,14,FALSE),"")</f>
        <v/>
      </c>
      <c r="S1262" s="2331" t="str">
        <f t="shared" si="191"/>
        <v/>
      </c>
      <c r="T1262" s="2332">
        <f t="shared" si="192"/>
        <v>14.164272066013002</v>
      </c>
      <c r="U1262" s="2332">
        <f t="shared" si="193"/>
        <v>20.84665747057177</v>
      </c>
      <c r="V1262" s="2332">
        <f t="shared" si="194"/>
        <v>4.8301284538144493</v>
      </c>
      <c r="W1262" s="3285">
        <f t="shared" si="195"/>
        <v>0.67945051075972385</v>
      </c>
      <c r="X1262" s="3300"/>
      <c r="Y1262" s="3316"/>
      <c r="AA1262" s="3301"/>
      <c r="AB1262" s="3409"/>
      <c r="AE1262" s="1056"/>
    </row>
    <row r="1263" spans="2:31" ht="16" thickBot="1" x14ac:dyDescent="0.25">
      <c r="B1263" s="2986">
        <f>B1256+1</f>
        <v>24</v>
      </c>
      <c r="C1263" s="2441">
        <v>44361</v>
      </c>
      <c r="D1263" s="1111"/>
      <c r="E1263" s="1112"/>
      <c r="F1263" s="2654"/>
      <c r="G1263" s="2442"/>
      <c r="H1263" s="2443" t="str">
        <f>IFERROR(VLOOKUP(F1263,Trainingsarten!$A$9:$K$84,10,FALSE),"")</f>
        <v/>
      </c>
      <c r="I1263" s="2444" t="str">
        <f t="shared" si="189"/>
        <v/>
      </c>
      <c r="J1263" s="1320"/>
      <c r="K1263" s="2445" t="str">
        <f>IFERROR(VLOOKUP(F1263,Trainingsarten!$A$9:$K$84,11,FALSE),"0")</f>
        <v>0</v>
      </c>
      <c r="L1263" s="2819"/>
      <c r="M1263" s="1320"/>
      <c r="N1263" s="1119" t="str">
        <f t="shared" si="190"/>
        <v/>
      </c>
      <c r="O1263" s="2446"/>
      <c r="P1263" s="1121" t="str">
        <f>IFERROR(VLOOKUP(F1263,Trainingsarten!$A$9:$N$84,12,FALSE),"")</f>
        <v/>
      </c>
      <c r="Q1263" s="2447" t="s">
        <v>437</v>
      </c>
      <c r="R1263" s="2448" t="str">
        <f>IFERROR(VLOOKUP(F1263,Trainingsarten!$A$9:$N$84,14,FALSE),"")</f>
        <v/>
      </c>
      <c r="S1263" s="2449" t="str">
        <f t="shared" si="191"/>
        <v/>
      </c>
      <c r="T1263" s="1111">
        <f t="shared" si="192"/>
        <v>12.140804628011145</v>
      </c>
      <c r="U1263" s="1111">
        <f t="shared" si="193"/>
        <v>20.350308483177205</v>
      </c>
      <c r="V1263" s="1111">
        <f t="shared" si="194"/>
        <v>6.6823854045587687</v>
      </c>
      <c r="W1263" s="3286">
        <f t="shared" si="195"/>
        <v>0.59659069237439166</v>
      </c>
      <c r="X1263" s="3300"/>
      <c r="Y1263" s="3316"/>
      <c r="AA1263" s="3301"/>
      <c r="AB1263" s="3409"/>
      <c r="AE1263" s="1056"/>
    </row>
    <row r="1264" spans="2:31" x14ac:dyDescent="0.2">
      <c r="B1264" s="2991" t="s">
        <v>626</v>
      </c>
      <c r="C1264" s="2409">
        <v>44362</v>
      </c>
      <c r="D1264" s="2009">
        <v>72</v>
      </c>
      <c r="E1264" s="2010" t="s">
        <v>836</v>
      </c>
      <c r="F1264" s="2728" t="s">
        <v>827</v>
      </c>
      <c r="G1264" s="2410">
        <v>3.3587962962962965E-2</v>
      </c>
      <c r="H1264" s="2411">
        <v>8.42</v>
      </c>
      <c r="I1264" s="2412">
        <f t="shared" si="189"/>
        <v>3.9890692355062903E-3</v>
      </c>
      <c r="J1264" s="2413">
        <v>139</v>
      </c>
      <c r="K1264" s="2414">
        <v>49</v>
      </c>
      <c r="L1264" s="2816">
        <v>205</v>
      </c>
      <c r="M1264" s="2840">
        <v>12</v>
      </c>
      <c r="N1264" s="2368">
        <f t="shared" si="190"/>
        <v>1.0545431984968272</v>
      </c>
      <c r="O1264" s="2415" t="s">
        <v>911</v>
      </c>
      <c r="P1264" s="2416">
        <f>IFERROR(VLOOKUP(F1264,Trainingsarten!$A$9:$N$84,12,FALSE),"")</f>
        <v>194.60000000000002</v>
      </c>
      <c r="Q1264" s="2417" t="s">
        <v>437</v>
      </c>
      <c r="R1264" s="2418">
        <f>IFERROR(VLOOKUP(F1264,Trainingsarten!$A$9:$N$84,14,FALSE),"")</f>
        <v>212.96</v>
      </c>
      <c r="S1264" s="2419">
        <f t="shared" si="191"/>
        <v>1.474820143884892</v>
      </c>
      <c r="T1264" s="2009">
        <f t="shared" si="192"/>
        <v>17.406403966866694</v>
      </c>
      <c r="U1264" s="2009">
        <f t="shared" si="193"/>
        <v>21.03244399548251</v>
      </c>
      <c r="V1264" s="2009">
        <f t="shared" si="194"/>
        <v>8.2095038551660604</v>
      </c>
      <c r="W1264" s="3284">
        <f t="shared" si="195"/>
        <v>0.82759778039134968</v>
      </c>
      <c r="X1264" s="3300"/>
      <c r="Y1264" s="3316"/>
      <c r="AA1264" s="3301"/>
      <c r="AB1264" s="3409"/>
      <c r="AE1264" s="1056"/>
    </row>
    <row r="1265" spans="2:31" ht="16" thickBot="1" x14ac:dyDescent="0.25">
      <c r="B1265" s="2979">
        <f>SUM(H1263:H1269)</f>
        <v>16.78</v>
      </c>
      <c r="C1265" s="2409">
        <v>44363</v>
      </c>
      <c r="D1265" s="2009"/>
      <c r="E1265" s="2010"/>
      <c r="F1265" s="2728"/>
      <c r="G1265" s="2410"/>
      <c r="H1265" s="2411" t="str">
        <f>IFERROR(VLOOKUP(F1265,Trainingsarten!$A$9:$K$84,10,FALSE),"")</f>
        <v/>
      </c>
      <c r="I1265" s="2412" t="str">
        <f t="shared" si="189"/>
        <v/>
      </c>
      <c r="J1265" s="2413"/>
      <c r="K1265" s="2414" t="str">
        <f>IFERROR(VLOOKUP(F1265,Trainingsarten!$A$9:$K$84,11,FALSE),"0")</f>
        <v>0</v>
      </c>
      <c r="L1265" s="2816"/>
      <c r="M1265" s="2840"/>
      <c r="N1265" s="2368" t="str">
        <f t="shared" si="190"/>
        <v/>
      </c>
      <c r="O1265" s="2415"/>
      <c r="P1265" s="2416" t="str">
        <f>IFERROR(VLOOKUP(F1265,Trainingsarten!$A$9:$N$84,12,FALSE),"")</f>
        <v/>
      </c>
      <c r="Q1265" s="2417" t="s">
        <v>437</v>
      </c>
      <c r="R1265" s="2418" t="str">
        <f>IFERROR(VLOOKUP(F1265,Trainingsarten!$A$9:$N$84,14,FALSE),"")</f>
        <v/>
      </c>
      <c r="S1265" s="2419" t="str">
        <f t="shared" si="191"/>
        <v/>
      </c>
      <c r="T1265" s="2009">
        <f t="shared" si="192"/>
        <v>14.919774828742881</v>
      </c>
      <c r="U1265" s="2009">
        <f t="shared" si="193"/>
        <v>20.531671519399591</v>
      </c>
      <c r="V1265" s="2009">
        <f t="shared" si="194"/>
        <v>3.6260400286158152</v>
      </c>
      <c r="W1265" s="3284">
        <f t="shared" si="195"/>
        <v>0.7266712218070388</v>
      </c>
      <c r="X1265" s="3300"/>
      <c r="Y1265" s="3316"/>
      <c r="AA1265" s="3301"/>
      <c r="AB1265" s="3409"/>
      <c r="AE1265" s="1056"/>
    </row>
    <row r="1266" spans="2:31" x14ac:dyDescent="0.2">
      <c r="B1266" s="2992" t="s">
        <v>628</v>
      </c>
      <c r="C1266" s="2409">
        <v>44364</v>
      </c>
      <c r="D1266" s="2009"/>
      <c r="E1266" s="2010"/>
      <c r="F1266" s="2728"/>
      <c r="G1266" s="2410"/>
      <c r="H1266" s="2411" t="str">
        <f>IFERROR(VLOOKUP(F1266,Trainingsarten!$A$9:$K$84,10,FALSE),"")</f>
        <v/>
      </c>
      <c r="I1266" s="2412" t="str">
        <f t="shared" si="189"/>
        <v/>
      </c>
      <c r="J1266" s="2413"/>
      <c r="K1266" s="2414" t="str">
        <f>IFERROR(VLOOKUP(F1266,Trainingsarten!$A$9:$K$84,11,FALSE),"0")</f>
        <v>0</v>
      </c>
      <c r="L1266" s="2816"/>
      <c r="M1266" s="2840"/>
      <c r="N1266" s="2368" t="str">
        <f t="shared" si="190"/>
        <v/>
      </c>
      <c r="O1266" s="2415"/>
      <c r="P1266" s="2416" t="str">
        <f>IFERROR(VLOOKUP(F1266,Trainingsarten!$A$9:$N$84,12,FALSE),"")</f>
        <v/>
      </c>
      <c r="Q1266" s="2417" t="s">
        <v>437</v>
      </c>
      <c r="R1266" s="2418" t="str">
        <f>IFERROR(VLOOKUP(F1266,Trainingsarten!$A$9:$N$84,14,FALSE),"")</f>
        <v/>
      </c>
      <c r="S1266" s="2419" t="str">
        <f t="shared" si="191"/>
        <v/>
      </c>
      <c r="T1266" s="2009">
        <f t="shared" si="192"/>
        <v>12.788378424636754</v>
      </c>
      <c r="U1266" s="2009">
        <f t="shared" si="193"/>
        <v>20.042822197509125</v>
      </c>
      <c r="V1266" s="2009">
        <f t="shared" si="194"/>
        <v>5.6118966906567103</v>
      </c>
      <c r="W1266" s="3284">
        <f t="shared" si="195"/>
        <v>0.6380527801232535</v>
      </c>
      <c r="X1266" s="3300"/>
      <c r="Y1266" s="3316"/>
      <c r="AA1266" s="3301"/>
      <c r="AB1266" s="3409"/>
      <c r="AE1266" s="1056"/>
    </row>
    <row r="1267" spans="2:31" ht="16" thickBot="1" x14ac:dyDescent="0.25">
      <c r="B1267" s="2993">
        <f>SUM(K1263:K1269)</f>
        <v>96</v>
      </c>
      <c r="C1267" s="2409">
        <v>44365</v>
      </c>
      <c r="D1267" s="2009">
        <v>73</v>
      </c>
      <c r="E1267" s="2010" t="s">
        <v>836</v>
      </c>
      <c r="F1267" s="2728" t="s">
        <v>827</v>
      </c>
      <c r="G1267" s="2410">
        <v>3.3622685185185179E-2</v>
      </c>
      <c r="H1267" s="2411">
        <v>8.36</v>
      </c>
      <c r="I1267" s="2412">
        <f t="shared" si="189"/>
        <v>4.0218522948786105E-3</v>
      </c>
      <c r="J1267" s="2413">
        <v>137</v>
      </c>
      <c r="K1267" s="2414">
        <v>47</v>
      </c>
      <c r="L1267" s="2816">
        <v>202</v>
      </c>
      <c r="M1267" s="2840">
        <v>12</v>
      </c>
      <c r="N1267" s="2368">
        <f t="shared" si="190"/>
        <v>1.0476505034635435</v>
      </c>
      <c r="O1267" s="2415" t="s">
        <v>1460</v>
      </c>
      <c r="P1267" s="2416">
        <f>IFERROR(VLOOKUP(F1267,Trainingsarten!$A$9:$N$84,12,FALSE),"")</f>
        <v>194.60000000000002</v>
      </c>
      <c r="Q1267" s="2417" t="s">
        <v>437</v>
      </c>
      <c r="R1267" s="2418">
        <f>IFERROR(VLOOKUP(F1267,Trainingsarten!$A$9:$N$84,14,FALSE),"")</f>
        <v>212.96</v>
      </c>
      <c r="S1267" s="2419">
        <f t="shared" si="191"/>
        <v>1.4744525547445255</v>
      </c>
      <c r="T1267" s="2009">
        <f t="shared" si="192"/>
        <v>17.675752935402933</v>
      </c>
      <c r="U1267" s="2009">
        <f t="shared" si="193"/>
        <v>20.684659764235096</v>
      </c>
      <c r="V1267" s="2009">
        <f t="shared" si="194"/>
        <v>7.2544437728723707</v>
      </c>
      <c r="W1267" s="3284">
        <f t="shared" si="195"/>
        <v>0.85453438136629511</v>
      </c>
      <c r="X1267" s="3300"/>
      <c r="Y1267" s="3316"/>
      <c r="AA1267" s="3301"/>
      <c r="AB1267" s="3409"/>
      <c r="AE1267" s="1056"/>
    </row>
    <row r="1268" spans="2:31" x14ac:dyDescent="0.2">
      <c r="B1268" s="2994" t="s">
        <v>761</v>
      </c>
      <c r="C1268" s="2409">
        <v>44366</v>
      </c>
      <c r="D1268" s="2009"/>
      <c r="E1268" s="2010"/>
      <c r="F1268" s="2728"/>
      <c r="G1268" s="2410"/>
      <c r="H1268" s="2411" t="str">
        <f>IFERROR(VLOOKUP(F1268,Trainingsarten!$A$9:$K$84,10,FALSE),"")</f>
        <v/>
      </c>
      <c r="I1268" s="2412" t="str">
        <f t="shared" si="189"/>
        <v/>
      </c>
      <c r="J1268" s="2413"/>
      <c r="K1268" s="2414" t="str">
        <f>IFERROR(VLOOKUP(F1268,Trainingsarten!$A$9:$K$84,11,FALSE),"0")</f>
        <v>0</v>
      </c>
      <c r="L1268" s="2816"/>
      <c r="M1268" s="2840"/>
      <c r="N1268" s="2368" t="str">
        <f t="shared" si="190"/>
        <v/>
      </c>
      <c r="O1268" s="2415"/>
      <c r="P1268" s="2416" t="str">
        <f>IFERROR(VLOOKUP(F1268,Trainingsarten!$A$9:$N$84,12,FALSE),"")</f>
        <v/>
      </c>
      <c r="Q1268" s="2417" t="s">
        <v>437</v>
      </c>
      <c r="R1268" s="2418" t="str">
        <f>IFERROR(VLOOKUP(F1268,Trainingsarten!$A$9:$N$84,14,FALSE),"")</f>
        <v/>
      </c>
      <c r="S1268" s="2419" t="str">
        <f t="shared" si="191"/>
        <v/>
      </c>
      <c r="T1268" s="2009">
        <f t="shared" si="192"/>
        <v>15.150645373202515</v>
      </c>
      <c r="U1268" s="2009">
        <f t="shared" si="193"/>
        <v>20.192167865086642</v>
      </c>
      <c r="V1268" s="2009">
        <f t="shared" si="194"/>
        <v>3.0089068288321634</v>
      </c>
      <c r="W1268" s="3284">
        <f t="shared" si="195"/>
        <v>0.75032287144357623</v>
      </c>
      <c r="X1268" s="3300"/>
      <c r="Y1268" s="3316"/>
      <c r="AA1268" s="3301"/>
      <c r="AB1268" s="3409"/>
      <c r="AE1268" s="1056"/>
    </row>
    <row r="1269" spans="2:31" ht="16" thickBot="1" x14ac:dyDescent="0.25">
      <c r="B1269" s="2995">
        <f>AVERAGE(W1263:W1269)</f>
        <v>0.72179854424986356</v>
      </c>
      <c r="C1269" s="2451">
        <v>44367</v>
      </c>
      <c r="D1269" s="2280"/>
      <c r="E1269" s="2281"/>
      <c r="F1269" s="2757"/>
      <c r="G1269" s="2452"/>
      <c r="H1269" s="2453" t="str">
        <f>IFERROR(VLOOKUP(F1269,Trainingsarten!$A$9:$K$84,10,FALSE),"")</f>
        <v/>
      </c>
      <c r="I1269" s="2454" t="str">
        <f t="shared" si="189"/>
        <v/>
      </c>
      <c r="J1269" s="2455"/>
      <c r="K1269" s="2456" t="str">
        <f>IFERROR(VLOOKUP(F1269,Trainingsarten!$A$9:$K$84,11,FALSE),"0")</f>
        <v>0</v>
      </c>
      <c r="L1269" s="2151"/>
      <c r="M1269" s="2841"/>
      <c r="N1269" s="2457" t="str">
        <f t="shared" si="190"/>
        <v/>
      </c>
      <c r="O1269" s="2458"/>
      <c r="P1269" s="2336" t="str">
        <f>IFERROR(VLOOKUP(F1269,Trainingsarten!$A$9:$N$84,12,FALSE),"")</f>
        <v/>
      </c>
      <c r="Q1269" s="2459" t="s">
        <v>437</v>
      </c>
      <c r="R1269" s="2460" t="str">
        <f>IFERROR(VLOOKUP(F1269,Trainingsarten!$A$9:$N$84,14,FALSE),"")</f>
        <v/>
      </c>
      <c r="S1269" s="2290" t="str">
        <f t="shared" si="191"/>
        <v/>
      </c>
      <c r="T1269" s="2280">
        <f t="shared" si="192"/>
        <v>12.986267462745012</v>
      </c>
      <c r="U1269" s="2280">
        <f t="shared" si="193"/>
        <v>19.711401963536961</v>
      </c>
      <c r="V1269" s="2280">
        <f t="shared" si="194"/>
        <v>5.0415224918841268</v>
      </c>
      <c r="W1269" s="3287">
        <f t="shared" si="195"/>
        <v>0.65882008224314004</v>
      </c>
      <c r="X1269" s="3300"/>
      <c r="Y1269" s="3316"/>
      <c r="AA1269" s="3301"/>
      <c r="AB1269" s="3409"/>
      <c r="AE1269" s="1056"/>
    </row>
    <row r="1270" spans="2:31" ht="16" thickBot="1" x14ac:dyDescent="0.25">
      <c r="B1270" s="2986">
        <f>B1263+1</f>
        <v>25</v>
      </c>
      <c r="C1270" s="2399">
        <v>44368</v>
      </c>
      <c r="D1270" s="2292">
        <v>74</v>
      </c>
      <c r="E1270" s="2293" t="s">
        <v>836</v>
      </c>
      <c r="F1270" s="2730" t="s">
        <v>818</v>
      </c>
      <c r="G1270" s="2400">
        <v>3.3460648148148149E-2</v>
      </c>
      <c r="H1270" s="2401">
        <v>8.5</v>
      </c>
      <c r="I1270" s="2402">
        <f t="shared" si="189"/>
        <v>3.9365468409586057E-3</v>
      </c>
      <c r="J1270" s="2403">
        <v>142</v>
      </c>
      <c r="K1270" s="2404">
        <v>49</v>
      </c>
      <c r="L1270" s="2815">
        <v>206</v>
      </c>
      <c r="M1270" s="2591">
        <v>23</v>
      </c>
      <c r="N1270" s="2296">
        <f t="shared" si="190"/>
        <v>1.0457348551360843</v>
      </c>
      <c r="O1270" s="2405" t="s">
        <v>1460</v>
      </c>
      <c r="P1270" s="2298">
        <f>IFERROR(VLOOKUP(F1270,Trainingsarten!$A$9:$N$84,12,FALSE),"")</f>
        <v>194.60000000000002</v>
      </c>
      <c r="Q1270" s="2461" t="s">
        <v>437</v>
      </c>
      <c r="R1270" s="2462">
        <f>IFERROR(VLOOKUP(F1270,Trainingsarten!$A$9:$N$84,14,FALSE),"")</f>
        <v>212.96</v>
      </c>
      <c r="S1270" s="2408">
        <f t="shared" si="191"/>
        <v>1.4507042253521127</v>
      </c>
      <c r="T1270" s="2292">
        <f t="shared" si="192"/>
        <v>18.13108639663858</v>
      </c>
      <c r="U1270" s="2292">
        <f t="shared" si="193"/>
        <v>20.408749535833699</v>
      </c>
      <c r="V1270" s="2292">
        <f t="shared" si="194"/>
        <v>6.725134500791949</v>
      </c>
      <c r="W1270" s="3283">
        <f t="shared" si="195"/>
        <v>0.8883977122069141</v>
      </c>
      <c r="X1270" s="3300"/>
      <c r="Y1270" s="3316"/>
      <c r="AA1270" s="3301"/>
      <c r="AB1270" s="3409"/>
      <c r="AE1270" s="1056"/>
    </row>
    <row r="1271" spans="2:31" x14ac:dyDescent="0.2">
      <c r="B1271" s="2991" t="s">
        <v>626</v>
      </c>
      <c r="C1271" s="2409">
        <v>44369</v>
      </c>
      <c r="D1271" s="2009"/>
      <c r="E1271" s="2010"/>
      <c r="F1271" s="2728"/>
      <c r="G1271" s="2410"/>
      <c r="H1271" s="2411" t="str">
        <f>IFERROR(VLOOKUP(F1271,Trainingsarten!$A$9:$K$84,10,FALSE),"")</f>
        <v/>
      </c>
      <c r="I1271" s="2412" t="str">
        <f t="shared" si="189"/>
        <v/>
      </c>
      <c r="J1271" s="2413"/>
      <c r="K1271" s="2414" t="str">
        <f>IFERROR(VLOOKUP(F1271,Trainingsarten!$A$9:$K$84,11,FALSE),"0")</f>
        <v>0</v>
      </c>
      <c r="L1271" s="2816"/>
      <c r="M1271" s="2840"/>
      <c r="N1271" s="2368" t="str">
        <f t="shared" si="190"/>
        <v/>
      </c>
      <c r="O1271" s="2415"/>
      <c r="P1271" s="2514" t="str">
        <f>IFERROR(VLOOKUP(F1271,Trainingsarten!$A$9:$N$84,12,FALSE),"")</f>
        <v/>
      </c>
      <c r="Q1271" s="2515" t="s">
        <v>437</v>
      </c>
      <c r="R1271" s="2516" t="str">
        <f>IFERROR(VLOOKUP(F1271,Trainingsarten!$A$9:$N$84,14,FALSE),"")</f>
        <v/>
      </c>
      <c r="S1271" s="2419" t="str">
        <f t="shared" si="191"/>
        <v/>
      </c>
      <c r="T1271" s="2009">
        <f t="shared" si="192"/>
        <v>15.540931197118782</v>
      </c>
      <c r="U1271" s="2009">
        <f t="shared" si="193"/>
        <v>19.922826927837658</v>
      </c>
      <c r="V1271" s="2009">
        <f t="shared" si="194"/>
        <v>2.2776631391951199</v>
      </c>
      <c r="W1271" s="3284">
        <f t="shared" si="195"/>
        <v>0.78005652779143686</v>
      </c>
      <c r="X1271" s="3300"/>
      <c r="Y1271" s="3316"/>
      <c r="AA1271" s="3301"/>
      <c r="AB1271" s="3409"/>
      <c r="AE1271" s="1056"/>
    </row>
    <row r="1272" spans="2:31" ht="16" thickBot="1" x14ac:dyDescent="0.25">
      <c r="B1272" s="2979">
        <f>SUM(H1270:H1276)</f>
        <v>25.51</v>
      </c>
      <c r="C1272" s="2409">
        <v>44370</v>
      </c>
      <c r="D1272" s="2009">
        <v>75</v>
      </c>
      <c r="E1272" s="2010" t="s">
        <v>835</v>
      </c>
      <c r="F1272" s="2728" t="s">
        <v>818</v>
      </c>
      <c r="G1272" s="2410">
        <v>4.1631944444444451E-2</v>
      </c>
      <c r="H1272" s="2411">
        <v>10.3</v>
      </c>
      <c r="I1272" s="2412">
        <f t="shared" si="189"/>
        <v>4.041936353829558E-3</v>
      </c>
      <c r="J1272" s="2413">
        <v>135</v>
      </c>
      <c r="K1272" s="2414">
        <v>58</v>
      </c>
      <c r="L1272" s="2816">
        <v>201</v>
      </c>
      <c r="M1272" s="2840">
        <v>29</v>
      </c>
      <c r="N1272" s="2368">
        <f t="shared" si="190"/>
        <v>1.0476699029126215</v>
      </c>
      <c r="O1272" s="2415" t="s">
        <v>911</v>
      </c>
      <c r="P1272" s="2514">
        <f>IFERROR(VLOOKUP(F1272,Trainingsarten!$A$9:$N$84,12,FALSE),"")</f>
        <v>194.60000000000002</v>
      </c>
      <c r="Q1272" s="2515" t="s">
        <v>437</v>
      </c>
      <c r="R1272" s="2516">
        <f>IFERROR(VLOOKUP(F1272,Trainingsarten!$A$9:$N$84,14,FALSE),"")</f>
        <v>212.96</v>
      </c>
      <c r="S1272" s="2419">
        <f t="shared" si="191"/>
        <v>1.4888888888888889</v>
      </c>
      <c r="T1272" s="2009">
        <f t="shared" si="192"/>
        <v>21.606512454673243</v>
      </c>
      <c r="U1272" s="2009">
        <f t="shared" si="193"/>
        <v>20.829426286698666</v>
      </c>
      <c r="V1272" s="2009">
        <f t="shared" si="194"/>
        <v>4.3818957307188757</v>
      </c>
      <c r="W1272" s="3284">
        <f t="shared" si="195"/>
        <v>1.0373071325767054</v>
      </c>
      <c r="X1272" s="3300"/>
      <c r="Y1272" s="3316"/>
      <c r="AA1272" s="3301"/>
      <c r="AB1272" s="3409"/>
      <c r="AE1272" s="1056"/>
    </row>
    <row r="1273" spans="2:31" x14ac:dyDescent="0.2">
      <c r="B1273" s="2992" t="s">
        <v>628</v>
      </c>
      <c r="C1273" s="2409">
        <v>44371</v>
      </c>
      <c r="D1273" s="2009"/>
      <c r="E1273" s="2010"/>
      <c r="F1273" s="2728"/>
      <c r="G1273" s="2410"/>
      <c r="H1273" s="2411" t="str">
        <f>IFERROR(VLOOKUP(F1273,Trainingsarten!$A$9:$K$84,10,FALSE),"")</f>
        <v/>
      </c>
      <c r="I1273" s="2412" t="str">
        <f t="shared" si="189"/>
        <v/>
      </c>
      <c r="J1273" s="2413"/>
      <c r="K1273" s="2414" t="str">
        <f>IFERROR(VLOOKUP(F1273,Trainingsarten!$A$9:$K$84,11,FALSE),"0")</f>
        <v>0</v>
      </c>
      <c r="L1273" s="2816"/>
      <c r="M1273" s="2840"/>
      <c r="N1273" s="2368" t="str">
        <f t="shared" si="190"/>
        <v/>
      </c>
      <c r="O1273" s="2415"/>
      <c r="P1273" s="2514" t="str">
        <f>IFERROR(VLOOKUP(F1273,Trainingsarten!$A$9:$N$84,12,FALSE),"")</f>
        <v/>
      </c>
      <c r="Q1273" s="2515" t="s">
        <v>437</v>
      </c>
      <c r="R1273" s="2516" t="str">
        <f>IFERROR(VLOOKUP(F1273,Trainingsarten!$A$9:$N$84,14,FALSE),"")</f>
        <v/>
      </c>
      <c r="S1273" s="2419" t="str">
        <f t="shared" si="191"/>
        <v/>
      </c>
      <c r="T1273" s="2009">
        <f t="shared" si="192"/>
        <v>18.519867818291353</v>
      </c>
      <c r="U1273" s="2009">
        <f t="shared" si="193"/>
        <v>20.333487565586793</v>
      </c>
      <c r="V1273" s="2009">
        <f t="shared" si="194"/>
        <v>-0.77708616797457708</v>
      </c>
      <c r="W1273" s="3284">
        <f t="shared" si="195"/>
        <v>0.91080626275027787</v>
      </c>
      <c r="X1273" s="3300"/>
      <c r="Y1273" s="3316"/>
      <c r="AA1273" s="3301"/>
      <c r="AB1273" s="3409"/>
      <c r="AE1273" s="1056"/>
    </row>
    <row r="1274" spans="2:31" ht="16" thickBot="1" x14ac:dyDescent="0.25">
      <c r="B1274" s="2993">
        <f>SUM(K1270:K1276)</f>
        <v>146</v>
      </c>
      <c r="C1274" s="2409">
        <v>44372</v>
      </c>
      <c r="D1274" s="2009">
        <v>76</v>
      </c>
      <c r="E1274" s="2010" t="s">
        <v>836</v>
      </c>
      <c r="F1274" s="2728" t="s">
        <v>826</v>
      </c>
      <c r="G1274" s="2410">
        <v>2.7106481481481481E-2</v>
      </c>
      <c r="H1274" s="2411">
        <v>6.71</v>
      </c>
      <c r="I1274" s="2412">
        <f t="shared" si="189"/>
        <v>4.0397140806976871E-3</v>
      </c>
      <c r="J1274" s="2413">
        <v>138</v>
      </c>
      <c r="K1274" s="2414">
        <v>39</v>
      </c>
      <c r="L1274" s="2816">
        <v>204</v>
      </c>
      <c r="M1274" s="2840">
        <v>11</v>
      </c>
      <c r="N1274" s="2368">
        <f t="shared" si="190"/>
        <v>1.0627221567275396</v>
      </c>
      <c r="O1274" s="2415" t="s">
        <v>911</v>
      </c>
      <c r="P1274" s="2514">
        <f>IFERROR(VLOOKUP(F1274,Trainingsarten!$A$9:$N$84,12,FALSE),"")</f>
        <v>194.60000000000002</v>
      </c>
      <c r="Q1274" s="2515" t="s">
        <v>437</v>
      </c>
      <c r="R1274" s="2516">
        <f>IFERROR(VLOOKUP(F1274,Trainingsarten!$A$9:$N$84,14,FALSE),"")</f>
        <v>212.96</v>
      </c>
      <c r="S1274" s="2419">
        <f t="shared" si="191"/>
        <v>1.4782608695652173</v>
      </c>
      <c r="T1274" s="2009">
        <f t="shared" si="192"/>
        <v>21.445600987106875</v>
      </c>
      <c r="U1274" s="2009">
        <f t="shared" si="193"/>
        <v>20.777928337834727</v>
      </c>
      <c r="V1274" s="2009">
        <f t="shared" si="194"/>
        <v>1.8136197472954407</v>
      </c>
      <c r="W1274" s="3284">
        <f t="shared" si="195"/>
        <v>1.0321337449247228</v>
      </c>
      <c r="X1274" s="3300"/>
      <c r="Y1274" s="3316"/>
      <c r="AA1274" s="3301"/>
      <c r="AB1274" s="3409"/>
      <c r="AE1274" s="1056"/>
    </row>
    <row r="1275" spans="2:31" x14ac:dyDescent="0.2">
      <c r="B1275" s="2994" t="s">
        <v>761</v>
      </c>
      <c r="C1275" s="2409">
        <v>44373</v>
      </c>
      <c r="D1275" s="2009"/>
      <c r="E1275" s="2010"/>
      <c r="F1275" s="2728"/>
      <c r="G1275" s="2410"/>
      <c r="H1275" s="2411" t="str">
        <f>IFERROR(VLOOKUP(F1275,Trainingsarten!$A$9:$K$84,10,FALSE),"")</f>
        <v/>
      </c>
      <c r="I1275" s="2412" t="str">
        <f t="shared" si="189"/>
        <v/>
      </c>
      <c r="J1275" s="2413"/>
      <c r="K1275" s="2414" t="str">
        <f>IFERROR(VLOOKUP(F1275,Trainingsarten!$A$9:$K$84,11,FALSE),"0")</f>
        <v>0</v>
      </c>
      <c r="L1275" s="2816"/>
      <c r="M1275" s="2840"/>
      <c r="N1275" s="2368" t="str">
        <f t="shared" si="190"/>
        <v/>
      </c>
      <c r="O1275" s="2415"/>
      <c r="P1275" s="2514" t="str">
        <f>IFERROR(VLOOKUP(F1275,Trainingsarten!$A$9:$N$84,12,FALSE),"")</f>
        <v/>
      </c>
      <c r="Q1275" s="2515" t="s">
        <v>437</v>
      </c>
      <c r="R1275" s="2516" t="str">
        <f>IFERROR(VLOOKUP(F1275,Trainingsarten!$A$9:$N$84,14,FALSE),"")</f>
        <v/>
      </c>
      <c r="S1275" s="2419" t="str">
        <f t="shared" si="191"/>
        <v/>
      </c>
      <c r="T1275" s="2009">
        <f t="shared" si="192"/>
        <v>18.381943703234466</v>
      </c>
      <c r="U1275" s="2009">
        <f t="shared" si="193"/>
        <v>20.28321575836247</v>
      </c>
      <c r="V1275" s="2009">
        <f t="shared" si="194"/>
        <v>-0.66767264927214853</v>
      </c>
      <c r="W1275" s="3284">
        <f t="shared" si="195"/>
        <v>0.90626377603146391</v>
      </c>
      <c r="X1275" s="3300"/>
      <c r="Y1275" s="3316"/>
      <c r="AA1275" s="3301"/>
      <c r="AB1275" s="3409"/>
      <c r="AE1275" s="1056"/>
    </row>
    <row r="1276" spans="2:31" ht="16" thickBot="1" x14ac:dyDescent="0.25">
      <c r="B1276" s="2995">
        <f>AVERAGE(W1270:W1276)</f>
        <v>0.90724413708946017</v>
      </c>
      <c r="C1276" s="1631">
        <v>44374</v>
      </c>
      <c r="D1276" s="1108"/>
      <c r="E1276" s="1261"/>
      <c r="F1276" s="2653"/>
      <c r="G1276" s="2433"/>
      <c r="H1276" s="2434" t="str">
        <f>IFERROR(VLOOKUP(F1276,Trainingsarten!$A$9:$K$84,10,FALSE),"")</f>
        <v/>
      </c>
      <c r="I1276" s="2435" t="str">
        <f t="shared" si="189"/>
        <v/>
      </c>
      <c r="J1276" s="1310"/>
      <c r="K1276" s="2436" t="str">
        <f>IFERROR(VLOOKUP(F1276,Trainingsarten!$A$9:$K$84,11,FALSE),"0")</f>
        <v>0</v>
      </c>
      <c r="L1276" s="2818"/>
      <c r="M1276" s="2798"/>
      <c r="N1276" s="1223" t="str">
        <f t="shared" si="190"/>
        <v/>
      </c>
      <c r="O1276" s="2437"/>
      <c r="P1276" s="1519" t="str">
        <f>IFERROR(VLOOKUP(F1276,Trainingsarten!$A$9:$N$84,12,FALSE),"")</f>
        <v/>
      </c>
      <c r="Q1276" s="2477" t="s">
        <v>437</v>
      </c>
      <c r="R1276" s="2439" t="str">
        <f>IFERROR(VLOOKUP(F1276,Trainingsarten!$A$9:$N$84,14,FALSE),"")</f>
        <v/>
      </c>
      <c r="S1276" s="2440" t="str">
        <f t="shared" si="191"/>
        <v/>
      </c>
      <c r="T1276" s="1108">
        <f t="shared" si="192"/>
        <v>15.755951745629542</v>
      </c>
      <c r="U1276" s="1108">
        <f t="shared" si="193"/>
        <v>19.800282049830031</v>
      </c>
      <c r="V1276" s="1108">
        <f t="shared" si="194"/>
        <v>1.901272055128004</v>
      </c>
      <c r="W1276" s="3285">
        <f t="shared" si="195"/>
        <v>0.79574380334469996</v>
      </c>
      <c r="X1276" s="3300"/>
      <c r="Y1276" s="3316"/>
      <c r="AA1276" s="3301"/>
      <c r="AB1276" s="3409"/>
      <c r="AE1276" s="1056"/>
    </row>
    <row r="1277" spans="2:31" ht="16" thickBot="1" x14ac:dyDescent="0.25">
      <c r="B1277" s="2986">
        <f>B1270+1</f>
        <v>26</v>
      </c>
      <c r="C1277" s="2441">
        <v>44375</v>
      </c>
      <c r="D1277" s="1111"/>
      <c r="E1277" s="1112"/>
      <c r="F1277" s="2730"/>
      <c r="G1277" s="2442"/>
      <c r="H1277" s="2443" t="str">
        <f>IFERROR(VLOOKUP(F1277,Trainingsarten!$A$9:$K$84,10,FALSE),"")</f>
        <v/>
      </c>
      <c r="I1277" s="2444" t="str">
        <f t="shared" si="189"/>
        <v/>
      </c>
      <c r="J1277" s="1320"/>
      <c r="K1277" s="2445" t="str">
        <f>IFERROR(VLOOKUP(F1277,Trainingsarten!$A$9:$K$84,11,FALSE),"0")</f>
        <v>0</v>
      </c>
      <c r="L1277" s="2819"/>
      <c r="M1277" s="1320"/>
      <c r="N1277" s="1119" t="str">
        <f t="shared" si="190"/>
        <v/>
      </c>
      <c r="O1277" s="2446"/>
      <c r="P1277" s="1121" t="str">
        <f>IFERROR(VLOOKUP(F1277,Trainingsarten!$A$9:$N$84,12,FALSE),"")</f>
        <v/>
      </c>
      <c r="Q1277" s="2447" t="s">
        <v>437</v>
      </c>
      <c r="R1277" s="2448" t="str">
        <f>IFERROR(VLOOKUP(F1277,Trainingsarten!$A$9:$N$84,14,FALSE),"")</f>
        <v/>
      </c>
      <c r="S1277" s="2449" t="str">
        <f t="shared" si="191"/>
        <v/>
      </c>
      <c r="T1277" s="1111">
        <f t="shared" si="192"/>
        <v>13.505101496253893</v>
      </c>
      <c r="U1277" s="1111">
        <f t="shared" si="193"/>
        <v>19.328846762929317</v>
      </c>
      <c r="V1277" s="1111">
        <f t="shared" si="194"/>
        <v>4.0443303042004892</v>
      </c>
      <c r="W1277" s="3286">
        <f t="shared" si="195"/>
        <v>0.69870187610754142</v>
      </c>
      <c r="X1277" s="3300"/>
      <c r="Y1277" s="3316"/>
      <c r="AA1277" s="3301"/>
      <c r="AB1277" s="3409"/>
      <c r="AE1277" s="1056"/>
    </row>
    <row r="1278" spans="2:31" x14ac:dyDescent="0.2">
      <c r="B1278" s="2991" t="s">
        <v>626</v>
      </c>
      <c r="C1278" s="2409">
        <v>44376</v>
      </c>
      <c r="D1278" s="2009"/>
      <c r="E1278" s="2010"/>
      <c r="F1278" s="2728"/>
      <c r="G1278" s="2410"/>
      <c r="H1278" s="2411" t="str">
        <f>IFERROR(VLOOKUP(F1278,Trainingsarten!$A$9:$K$84,10,FALSE),"")</f>
        <v/>
      </c>
      <c r="I1278" s="2412" t="str">
        <f t="shared" si="189"/>
        <v/>
      </c>
      <c r="J1278" s="2413"/>
      <c r="K1278" s="2414" t="str">
        <f>IFERROR(VLOOKUP(F1278,Trainingsarten!$A$9:$K$84,11,FALSE),"0")</f>
        <v>0</v>
      </c>
      <c r="L1278" s="2816"/>
      <c r="M1278" s="2840"/>
      <c r="N1278" s="2368" t="str">
        <f t="shared" si="190"/>
        <v/>
      </c>
      <c r="O1278" s="2415"/>
      <c r="P1278" s="2416" t="str">
        <f>IFERROR(VLOOKUP(F1278,Trainingsarten!$A$9:$N$84,12,FALSE),"")</f>
        <v/>
      </c>
      <c r="Q1278" s="2417" t="s">
        <v>437</v>
      </c>
      <c r="R1278" s="2418" t="str">
        <f>IFERROR(VLOOKUP(F1278,Trainingsarten!$A$9:$N$84,14,FALSE),"")</f>
        <v/>
      </c>
      <c r="S1278" s="2419" t="str">
        <f t="shared" si="191"/>
        <v/>
      </c>
      <c r="T1278" s="2009">
        <f t="shared" si="192"/>
        <v>11.575801282503337</v>
      </c>
      <c r="U1278" s="2009">
        <f t="shared" si="193"/>
        <v>18.868636125716712</v>
      </c>
      <c r="V1278" s="2009">
        <f t="shared" si="194"/>
        <v>5.8237452666754237</v>
      </c>
      <c r="W1278" s="3284">
        <f t="shared" si="195"/>
        <v>0.61349433024076816</v>
      </c>
      <c r="X1278" s="3300"/>
      <c r="Y1278" s="3316"/>
      <c r="AA1278" s="3301"/>
      <c r="AB1278" s="3409"/>
      <c r="AE1278" s="1056"/>
    </row>
    <row r="1279" spans="2:31" ht="16" thickBot="1" x14ac:dyDescent="0.25">
      <c r="B1279" s="2979">
        <f>SUM(H1277:H1283)</f>
        <v>6.14</v>
      </c>
      <c r="C1279" s="2409">
        <v>44377</v>
      </c>
      <c r="D1279" s="2009">
        <v>77</v>
      </c>
      <c r="E1279" s="2010" t="s">
        <v>836</v>
      </c>
      <c r="F1279" s="2770" t="s">
        <v>826</v>
      </c>
      <c r="G1279" s="2410">
        <v>2.5416666666666667E-2</v>
      </c>
      <c r="H1279" s="2411">
        <v>6.14</v>
      </c>
      <c r="I1279" s="2412">
        <f t="shared" si="189"/>
        <v>4.1395222584147667E-3</v>
      </c>
      <c r="J1279" s="2413">
        <v>146</v>
      </c>
      <c r="K1279" s="2414">
        <v>35</v>
      </c>
      <c r="L1279" s="2816">
        <v>198</v>
      </c>
      <c r="M1279" s="2840">
        <v>18</v>
      </c>
      <c r="N1279" s="2368">
        <f t="shared" si="190"/>
        <v>1.05694977879333</v>
      </c>
      <c r="O1279" s="2415" t="s">
        <v>1460</v>
      </c>
      <c r="P1279" s="2416">
        <f>IFERROR(VLOOKUP(F1279,Trainingsarten!$A$9:$N$84,12,FALSE),"")</f>
        <v>194.60000000000002</v>
      </c>
      <c r="Q1279" s="2417" t="s">
        <v>437</v>
      </c>
      <c r="R1279" s="2418">
        <f>IFERROR(VLOOKUP(F1279,Trainingsarten!$A$9:$N$84,14,FALSE),"")</f>
        <v>212.96</v>
      </c>
      <c r="S1279" s="2419">
        <f t="shared" si="191"/>
        <v>1.3561643835616439</v>
      </c>
      <c r="T1279" s="2009">
        <f t="shared" si="192"/>
        <v>14.92211538500286</v>
      </c>
      <c r="U1279" s="2009">
        <f t="shared" si="193"/>
        <v>19.252716217961552</v>
      </c>
      <c r="V1279" s="2009">
        <f t="shared" si="194"/>
        <v>7.2928348432133756</v>
      </c>
      <c r="W1279" s="3284">
        <f t="shared" si="195"/>
        <v>0.77506546172853685</v>
      </c>
      <c r="X1279" s="3300"/>
      <c r="Y1279" s="3316"/>
      <c r="AA1279" s="3301"/>
      <c r="AB1279" s="3409"/>
      <c r="AE1279" s="1056"/>
    </row>
    <row r="1280" spans="2:31" x14ac:dyDescent="0.2">
      <c r="B1280" s="2992" t="s">
        <v>628</v>
      </c>
      <c r="C1280" s="2409">
        <v>44378</v>
      </c>
      <c r="D1280" s="2009"/>
      <c r="E1280" s="2010"/>
      <c r="F1280" s="2728"/>
      <c r="G1280" s="2410"/>
      <c r="H1280" s="2411" t="str">
        <f>IFERROR(VLOOKUP(F1280,Trainingsarten!$A$9:$K$84,10,FALSE),"")</f>
        <v/>
      </c>
      <c r="I1280" s="2412" t="str">
        <f t="shared" si="189"/>
        <v/>
      </c>
      <c r="J1280" s="2413"/>
      <c r="K1280" s="2414" t="str">
        <f>IFERROR(VLOOKUP(F1280,Trainingsarten!$A$9:$K$84,11,FALSE),"0")</f>
        <v>0</v>
      </c>
      <c r="L1280" s="2816"/>
      <c r="M1280" s="2840"/>
      <c r="N1280" s="2368" t="str">
        <f t="shared" si="190"/>
        <v/>
      </c>
      <c r="O1280" s="2415"/>
      <c r="P1280" s="2416" t="str">
        <f>IFERROR(VLOOKUP(F1280,Trainingsarten!$A$9:$N$84,12,FALSE),"")</f>
        <v/>
      </c>
      <c r="Q1280" s="2417" t="s">
        <v>437</v>
      </c>
      <c r="R1280" s="2418" t="str">
        <f>IFERROR(VLOOKUP(F1280,Trainingsarten!$A$9:$N$84,14,FALSE),"")</f>
        <v/>
      </c>
      <c r="S1280" s="2419" t="str">
        <f t="shared" si="191"/>
        <v/>
      </c>
      <c r="T1280" s="2009">
        <f t="shared" si="192"/>
        <v>12.790384615716736</v>
      </c>
      <c r="U1280" s="2009">
        <f t="shared" si="193"/>
        <v>18.794318212771991</v>
      </c>
      <c r="V1280" s="2009">
        <f t="shared" si="194"/>
        <v>4.3306008329586927</v>
      </c>
      <c r="W1280" s="3284">
        <f t="shared" si="195"/>
        <v>0.68054528346895915</v>
      </c>
      <c r="X1280" s="3300"/>
      <c r="Y1280" s="3316"/>
      <c r="AA1280" s="3301"/>
      <c r="AB1280" s="3409"/>
      <c r="AE1280" s="1056"/>
    </row>
    <row r="1281" spans="2:31" ht="16" thickBot="1" x14ac:dyDescent="0.25">
      <c r="B1281" s="2993">
        <f>SUM(K1277:K1283)</f>
        <v>35</v>
      </c>
      <c r="C1281" s="2409">
        <v>44379</v>
      </c>
      <c r="D1281" s="2009"/>
      <c r="E1281" s="2010"/>
      <c r="F1281" s="2728"/>
      <c r="G1281" s="2410"/>
      <c r="H1281" s="2411" t="str">
        <f>IFERROR(VLOOKUP(F1281,Trainingsarten!$A$9:$K$84,10,FALSE),"")</f>
        <v/>
      </c>
      <c r="I1281" s="2412" t="str">
        <f t="shared" si="189"/>
        <v/>
      </c>
      <c r="J1281" s="2413"/>
      <c r="K1281" s="2414" t="str">
        <f>IFERROR(VLOOKUP(F1281,Trainingsarten!$A$9:$K$84,11,FALSE),"0")</f>
        <v>0</v>
      </c>
      <c r="L1281" s="2816"/>
      <c r="M1281" s="2840"/>
      <c r="N1281" s="2368" t="str">
        <f t="shared" si="190"/>
        <v/>
      </c>
      <c r="O1281" s="2415"/>
      <c r="P1281" s="2416" t="str">
        <f>IFERROR(VLOOKUP(F1281,Trainingsarten!$A$9:$N$84,12,FALSE),"")</f>
        <v/>
      </c>
      <c r="Q1281" s="2417" t="s">
        <v>437</v>
      </c>
      <c r="R1281" s="2418" t="str">
        <f>IFERROR(VLOOKUP(F1281,Trainingsarten!$A$9:$N$84,14,FALSE),"")</f>
        <v/>
      </c>
      <c r="S1281" s="2419" t="str">
        <f t="shared" si="191"/>
        <v/>
      </c>
      <c r="T1281" s="2009">
        <f t="shared" si="192"/>
        <v>10.963186813471488</v>
      </c>
      <c r="U1281" s="2009">
        <f t="shared" si="193"/>
        <v>18.346834445801228</v>
      </c>
      <c r="V1281" s="2009">
        <f t="shared" si="194"/>
        <v>6.003933597055255</v>
      </c>
      <c r="W1281" s="3284">
        <f t="shared" si="195"/>
        <v>0.59755195621664703</v>
      </c>
      <c r="X1281" s="3300"/>
      <c r="Y1281" s="3316"/>
      <c r="AA1281" s="3301"/>
      <c r="AB1281" s="3409"/>
      <c r="AE1281" s="1056"/>
    </row>
    <row r="1282" spans="2:31" x14ac:dyDescent="0.2">
      <c r="B1282" s="2994" t="s">
        <v>761</v>
      </c>
      <c r="C1282" s="2409">
        <v>44380</v>
      </c>
      <c r="D1282" s="2009"/>
      <c r="E1282" s="2010"/>
      <c r="F1282" s="2728"/>
      <c r="G1282" s="2410"/>
      <c r="H1282" s="2411" t="str">
        <f>IFERROR(VLOOKUP(F1282,Trainingsarten!$A$9:$K$84,10,FALSE),"")</f>
        <v/>
      </c>
      <c r="I1282" s="2412" t="str">
        <f t="shared" si="189"/>
        <v/>
      </c>
      <c r="J1282" s="2413"/>
      <c r="K1282" s="2414" t="str">
        <f>IFERROR(VLOOKUP(F1282,Trainingsarten!$A$9:$K$84,11,FALSE),"0")</f>
        <v>0</v>
      </c>
      <c r="L1282" s="2816"/>
      <c r="M1282" s="2840"/>
      <c r="N1282" s="2368" t="str">
        <f t="shared" si="190"/>
        <v/>
      </c>
      <c r="O1282" s="2415"/>
      <c r="P1282" s="2416" t="str">
        <f>IFERROR(VLOOKUP(F1282,Trainingsarten!$A$9:$N$84,12,FALSE),"")</f>
        <v/>
      </c>
      <c r="Q1282" s="2417" t="s">
        <v>437</v>
      </c>
      <c r="R1282" s="2418" t="str">
        <f>IFERROR(VLOOKUP(F1282,Trainingsarten!$A$9:$N$84,14,FALSE),"")</f>
        <v/>
      </c>
      <c r="S1282" s="2419" t="str">
        <f t="shared" si="191"/>
        <v/>
      </c>
      <c r="T1282" s="2009">
        <f t="shared" si="192"/>
        <v>9.3970172686898472</v>
      </c>
      <c r="U1282" s="2009">
        <f t="shared" si="193"/>
        <v>17.910005054234531</v>
      </c>
      <c r="V1282" s="2009">
        <f t="shared" si="194"/>
        <v>7.3836476323297404</v>
      </c>
      <c r="W1282" s="3284">
        <f t="shared" si="195"/>
        <v>0.52467976643412917</v>
      </c>
      <c r="X1282" s="3300"/>
      <c r="Y1282" s="3316"/>
      <c r="AA1282" s="3301"/>
      <c r="AB1282" s="3409"/>
      <c r="AE1282" s="1056"/>
    </row>
    <row r="1283" spans="2:31" ht="16" thickBot="1" x14ac:dyDescent="0.25">
      <c r="B1283" s="2995">
        <f>AVERAGE(W1277:W1283)</f>
        <v>0.62153330046581357</v>
      </c>
      <c r="C1283" s="2517">
        <v>44381</v>
      </c>
      <c r="D1283" s="2518"/>
      <c r="E1283" s="2224"/>
      <c r="F1283" s="2653"/>
      <c r="G1283" s="2519"/>
      <c r="H1283" s="2520" t="str">
        <f>IFERROR(VLOOKUP(F1283,Trainingsarten!$A$9:$K$84,10,FALSE),"")</f>
        <v/>
      </c>
      <c r="I1283" s="2521" t="str">
        <f t="shared" si="189"/>
        <v/>
      </c>
      <c r="J1283" s="2522"/>
      <c r="K1283" s="2523" t="str">
        <f>IFERROR(VLOOKUP(F1283,Trainingsarten!$A$9:$K$84,11,FALSE),"0")</f>
        <v>0</v>
      </c>
      <c r="L1283" s="2151"/>
      <c r="M1283" s="2841"/>
      <c r="N1283" s="2524" t="str">
        <f t="shared" si="190"/>
        <v/>
      </c>
      <c r="O1283" s="2525"/>
      <c r="P1283" s="2526" t="str">
        <f>IFERROR(VLOOKUP(F1283,Trainingsarten!$A$9:$N$84,12,FALSE),"")</f>
        <v/>
      </c>
      <c r="Q1283" s="2527" t="s">
        <v>437</v>
      </c>
      <c r="R1283" s="2528" t="str">
        <f>IFERROR(VLOOKUP(F1283,Trainingsarten!$A$9:$N$84,14,FALSE),"")</f>
        <v/>
      </c>
      <c r="S1283" s="2529" t="str">
        <f t="shared" si="191"/>
        <v/>
      </c>
      <c r="T1283" s="2518">
        <f t="shared" si="192"/>
        <v>8.0545862303055831</v>
      </c>
      <c r="U1283" s="2518">
        <f t="shared" si="193"/>
        <v>17.483576362467044</v>
      </c>
      <c r="V1283" s="2518">
        <f t="shared" si="194"/>
        <v>8.5129877855446843</v>
      </c>
      <c r="W1283" s="3287">
        <f t="shared" si="195"/>
        <v>0.4606944290641134</v>
      </c>
      <c r="X1283" s="3300"/>
      <c r="Y1283" s="3316"/>
      <c r="AA1283" s="3301"/>
      <c r="AB1283" s="3409"/>
      <c r="AE1283" s="1056"/>
    </row>
    <row r="1284" spans="2:31" ht="16" thickBot="1" x14ac:dyDescent="0.25">
      <c r="B1284" s="2986">
        <f>B1277+1</f>
        <v>27</v>
      </c>
      <c r="C1284" s="2399">
        <v>44382</v>
      </c>
      <c r="D1284" s="2292"/>
      <c r="E1284" s="2069"/>
      <c r="F1284" s="2730"/>
      <c r="G1284" s="2530"/>
      <c r="H1284" s="2401" t="str">
        <f>IFERROR(VLOOKUP(F1284,Trainingsarten!$A$9:$K$84,10,FALSE),"")</f>
        <v/>
      </c>
      <c r="I1284" s="2402" t="str">
        <f t="shared" si="189"/>
        <v/>
      </c>
      <c r="J1284" s="2403"/>
      <c r="K1284" s="2404" t="str">
        <f>IFERROR(VLOOKUP(F1284,Trainingsarten!$A$9:$K$84,11,FALSE),"0")</f>
        <v>0</v>
      </c>
      <c r="L1284" s="2815"/>
      <c r="M1284" s="2591"/>
      <c r="N1284" s="2296" t="str">
        <f t="shared" si="190"/>
        <v/>
      </c>
      <c r="O1284" s="2405"/>
      <c r="P1284" s="2298" t="str">
        <f>IFERROR(VLOOKUP(F1284,Trainingsarten!$A$9:$N$84,12,FALSE),"")</f>
        <v/>
      </c>
      <c r="Q1284" s="2461" t="s">
        <v>437</v>
      </c>
      <c r="R1284" s="2462" t="str">
        <f>IFERROR(VLOOKUP(F1284,Trainingsarten!$A$9:$N$84,14,FALSE),"")</f>
        <v/>
      </c>
      <c r="S1284" s="2408" t="str">
        <f t="shared" si="191"/>
        <v/>
      </c>
      <c r="T1284" s="2292">
        <f t="shared" si="192"/>
        <v>6.9039310545476429</v>
      </c>
      <c r="U1284" s="2292">
        <f t="shared" si="193"/>
        <v>17.067300734789256</v>
      </c>
      <c r="V1284" s="2292">
        <f t="shared" si="194"/>
        <v>9.4289901321614611</v>
      </c>
      <c r="W1284" s="3283">
        <f t="shared" si="195"/>
        <v>0.40451218161727032</v>
      </c>
      <c r="X1284" s="3300"/>
      <c r="Y1284" s="3316"/>
      <c r="AA1284" s="3301"/>
      <c r="AB1284" s="3409"/>
      <c r="AE1284" s="1056"/>
    </row>
    <row r="1285" spans="2:31" x14ac:dyDescent="0.2">
      <c r="B1285" s="2991" t="s">
        <v>626</v>
      </c>
      <c r="C1285" s="2409">
        <v>44383</v>
      </c>
      <c r="D1285" s="2009"/>
      <c r="E1285" s="2531"/>
      <c r="F1285" s="2728"/>
      <c r="G1285" s="2532"/>
      <c r="H1285" s="2411" t="str">
        <f>IFERROR(VLOOKUP(F1285,Trainingsarten!$A$9:$K$84,10,FALSE),"")</f>
        <v/>
      </c>
      <c r="I1285" s="2412" t="str">
        <f t="shared" si="189"/>
        <v/>
      </c>
      <c r="J1285" s="2413"/>
      <c r="K1285" s="2414" t="str">
        <f>IFERROR(VLOOKUP(F1285,Trainingsarten!$A$9:$K$84,11,FALSE),"0")</f>
        <v>0</v>
      </c>
      <c r="L1285" s="2816"/>
      <c r="M1285" s="2840"/>
      <c r="N1285" s="2368" t="str">
        <f t="shared" si="190"/>
        <v/>
      </c>
      <c r="O1285" s="2415"/>
      <c r="P1285" s="2514" t="str">
        <f>IFERROR(VLOOKUP(F1285,Trainingsarten!$A$9:$N$84,12,FALSE),"")</f>
        <v/>
      </c>
      <c r="Q1285" s="2515" t="s">
        <v>437</v>
      </c>
      <c r="R1285" s="2516" t="str">
        <f>IFERROR(VLOOKUP(F1285,Trainingsarten!$A$9:$N$84,14,FALSE),"")</f>
        <v/>
      </c>
      <c r="S1285" s="2419" t="str">
        <f t="shared" si="191"/>
        <v/>
      </c>
      <c r="T1285" s="2009">
        <f t="shared" si="192"/>
        <v>5.9176551896122653</v>
      </c>
      <c r="U1285" s="2009">
        <f t="shared" si="193"/>
        <v>16.660936431579987</v>
      </c>
      <c r="V1285" s="2009">
        <f t="shared" si="194"/>
        <v>10.163369680241614</v>
      </c>
      <c r="W1285" s="3284">
        <f t="shared" si="195"/>
        <v>0.35518142776150569</v>
      </c>
      <c r="X1285" s="3300"/>
      <c r="Y1285" s="3316"/>
      <c r="AA1285" s="3301"/>
      <c r="AB1285" s="3409"/>
      <c r="AE1285" s="1056"/>
    </row>
    <row r="1286" spans="2:31" ht="16" thickBot="1" x14ac:dyDescent="0.25">
      <c r="B1286" s="2979">
        <f>SUM(H1284:H1290)</f>
        <v>8.32</v>
      </c>
      <c r="C1286" s="2409">
        <v>44384</v>
      </c>
      <c r="D1286" s="2009"/>
      <c r="E1286" s="2531"/>
      <c r="F1286" s="2728"/>
      <c r="G1286" s="2532"/>
      <c r="H1286" s="2411" t="str">
        <f>IFERROR(VLOOKUP(F1286,Trainingsarten!$A$9:$K$84,10,FALSE),"")</f>
        <v/>
      </c>
      <c r="I1286" s="2412" t="str">
        <f t="shared" si="189"/>
        <v/>
      </c>
      <c r="J1286" s="2413"/>
      <c r="K1286" s="2414" t="str">
        <f>IFERROR(VLOOKUP(F1286,Trainingsarten!$A$9:$K$84,11,FALSE),"0")</f>
        <v>0</v>
      </c>
      <c r="L1286" s="2816"/>
      <c r="M1286" s="2840"/>
      <c r="N1286" s="2368" t="str">
        <f t="shared" si="190"/>
        <v/>
      </c>
      <c r="O1286" s="2415"/>
      <c r="P1286" s="2514" t="str">
        <f>IFERROR(VLOOKUP(F1286,Trainingsarten!$A$9:$N$84,12,FALSE),"")</f>
        <v/>
      </c>
      <c r="Q1286" s="2515" t="s">
        <v>437</v>
      </c>
      <c r="R1286" s="2516" t="str">
        <f>IFERROR(VLOOKUP(F1286,Trainingsarten!$A$9:$N$84,14,FALSE),"")</f>
        <v/>
      </c>
      <c r="S1286" s="2419" t="str">
        <f t="shared" si="191"/>
        <v/>
      </c>
      <c r="T1286" s="2009">
        <f t="shared" si="192"/>
        <v>5.0722758768105134</v>
      </c>
      <c r="U1286" s="2009">
        <f t="shared" si="193"/>
        <v>16.264247468923323</v>
      </c>
      <c r="V1286" s="2009">
        <f t="shared" si="194"/>
        <v>10.743281241967722</v>
      </c>
      <c r="W1286" s="3284">
        <f t="shared" si="195"/>
        <v>0.31186661949790739</v>
      </c>
      <c r="X1286" s="3300"/>
      <c r="Y1286" s="3316"/>
      <c r="AA1286" s="3301"/>
      <c r="AB1286" s="3409"/>
      <c r="AE1286" s="1056"/>
    </row>
    <row r="1287" spans="2:31" x14ac:dyDescent="0.2">
      <c r="B1287" s="2992" t="s">
        <v>628</v>
      </c>
      <c r="C1287" s="2409">
        <v>44385</v>
      </c>
      <c r="D1287" s="2009"/>
      <c r="E1287" s="2531"/>
      <c r="F1287" s="2728"/>
      <c r="G1287" s="2532"/>
      <c r="H1287" s="2411" t="str">
        <f>IFERROR(VLOOKUP(F1287,Trainingsarten!$A$9:$K$84,10,FALSE),"")</f>
        <v/>
      </c>
      <c r="I1287" s="2412" t="str">
        <f t="shared" si="189"/>
        <v/>
      </c>
      <c r="J1287" s="2413"/>
      <c r="K1287" s="2414" t="str">
        <f>IFERROR(VLOOKUP(F1287,Trainingsarten!$A$9:$K$84,11,FALSE),"0")</f>
        <v>0</v>
      </c>
      <c r="L1287" s="2816"/>
      <c r="M1287" s="2840"/>
      <c r="N1287" s="2368" t="str">
        <f t="shared" si="190"/>
        <v/>
      </c>
      <c r="O1287" s="2415"/>
      <c r="P1287" s="2514" t="str">
        <f>IFERROR(VLOOKUP(F1287,Trainingsarten!$A$9:$N$84,12,FALSE),"")</f>
        <v/>
      </c>
      <c r="Q1287" s="2515" t="s">
        <v>437</v>
      </c>
      <c r="R1287" s="2516" t="str">
        <f>IFERROR(VLOOKUP(F1287,Trainingsarten!$A$9:$N$84,14,FALSE),"")</f>
        <v/>
      </c>
      <c r="S1287" s="2419" t="str">
        <f t="shared" si="191"/>
        <v/>
      </c>
      <c r="T1287" s="2009">
        <f t="shared" si="192"/>
        <v>4.3476650372661547</v>
      </c>
      <c r="U1287" s="2009">
        <f t="shared" si="193"/>
        <v>15.877003481568005</v>
      </c>
      <c r="V1287" s="2009">
        <f t="shared" si="194"/>
        <v>11.191971592112809</v>
      </c>
      <c r="W1287" s="3284">
        <f t="shared" si="195"/>
        <v>0.27383410492499188</v>
      </c>
      <c r="X1287" s="3300"/>
      <c r="Y1287" s="3316"/>
      <c r="AA1287" s="3301"/>
      <c r="AB1287" s="3409"/>
      <c r="AE1287" s="1056"/>
    </row>
    <row r="1288" spans="2:31" ht="16" thickBot="1" x14ac:dyDescent="0.25">
      <c r="B1288" s="2993">
        <f>SUM(K1284:K1290)</f>
        <v>44</v>
      </c>
      <c r="C1288" s="2409">
        <v>44386</v>
      </c>
      <c r="D1288" s="2009">
        <v>78</v>
      </c>
      <c r="E1288" s="2531" t="s">
        <v>836</v>
      </c>
      <c r="F1288" s="2728" t="s">
        <v>827</v>
      </c>
      <c r="G1288" s="2532">
        <v>3.6099537037037034E-2</v>
      </c>
      <c r="H1288" s="2411">
        <v>8.32</v>
      </c>
      <c r="I1288" s="2412">
        <f t="shared" si="189"/>
        <v>4.3388866631054127E-3</v>
      </c>
      <c r="J1288" s="2413">
        <v>134</v>
      </c>
      <c r="K1288" s="2414">
        <v>44</v>
      </c>
      <c r="L1288" s="2816">
        <v>188</v>
      </c>
      <c r="M1288" s="2840">
        <v>23</v>
      </c>
      <c r="N1288" s="2368">
        <f t="shared" si="190"/>
        <v>1.0519015499425948</v>
      </c>
      <c r="O1288" s="2415" t="s">
        <v>1460</v>
      </c>
      <c r="P1288" s="2514">
        <f>IFERROR(VLOOKUP(F1288,Trainingsarten!$A$9:$N$84,12,FALSE),"")</f>
        <v>194.60000000000002</v>
      </c>
      <c r="Q1288" s="2515" t="s">
        <v>437</v>
      </c>
      <c r="R1288" s="2516">
        <f>IFERROR(VLOOKUP(F1288,Trainingsarten!$A$9:$N$84,14,FALSE),"")</f>
        <v>212.96</v>
      </c>
      <c r="S1288" s="2419">
        <f t="shared" si="191"/>
        <v>1.4029850746268657</v>
      </c>
      <c r="T1288" s="2009">
        <f t="shared" si="192"/>
        <v>10.012284317656704</v>
      </c>
      <c r="U1288" s="2009">
        <f t="shared" si="193"/>
        <v>16.546598636768767</v>
      </c>
      <c r="V1288" s="2009">
        <f t="shared" si="194"/>
        <v>11.52933844430185</v>
      </c>
      <c r="W1288" s="3284">
        <f t="shared" si="195"/>
        <v>0.60509622173393762</v>
      </c>
      <c r="X1288" s="3300"/>
      <c r="Y1288" s="3316"/>
      <c r="AA1288" s="3301"/>
      <c r="AB1288" s="3409"/>
      <c r="AE1288" s="1056"/>
    </row>
    <row r="1289" spans="2:31" x14ac:dyDescent="0.2">
      <c r="B1289" s="2994" t="s">
        <v>761</v>
      </c>
      <c r="C1289" s="2409">
        <v>44387</v>
      </c>
      <c r="D1289" s="2009"/>
      <c r="E1289" s="2531"/>
      <c r="F1289" s="2728"/>
      <c r="G1289" s="2532"/>
      <c r="H1289" s="2411" t="str">
        <f>IFERROR(VLOOKUP(F1289,Trainingsarten!$A$9:$K$84,10,FALSE),"")</f>
        <v/>
      </c>
      <c r="I1289" s="2412" t="str">
        <f t="shared" si="189"/>
        <v/>
      </c>
      <c r="J1289" s="2413"/>
      <c r="K1289" s="2414" t="str">
        <f>IFERROR(VLOOKUP(F1289,Trainingsarten!$A$9:$K$84,11,FALSE),"0")</f>
        <v>0</v>
      </c>
      <c r="L1289" s="2816"/>
      <c r="M1289" s="2840"/>
      <c r="N1289" s="2368" t="str">
        <f t="shared" si="190"/>
        <v/>
      </c>
      <c r="O1289" s="2415"/>
      <c r="P1289" s="2514" t="str">
        <f>IFERROR(VLOOKUP(F1289,Trainingsarten!$A$9:$N$84,12,FALSE),"")</f>
        <v/>
      </c>
      <c r="Q1289" s="2515" t="s">
        <v>437</v>
      </c>
      <c r="R1289" s="2516" t="str">
        <f>IFERROR(VLOOKUP(F1289,Trainingsarten!$A$9:$N$84,14,FALSE),"")</f>
        <v/>
      </c>
      <c r="S1289" s="2419" t="str">
        <f t="shared" si="191"/>
        <v/>
      </c>
      <c r="T1289" s="2009">
        <f t="shared" si="192"/>
        <v>8.5819579865628892</v>
      </c>
      <c r="U1289" s="2009">
        <f t="shared" si="193"/>
        <v>16.152632002559987</v>
      </c>
      <c r="V1289" s="2009">
        <f t="shared" si="194"/>
        <v>6.5343143191120632</v>
      </c>
      <c r="W1289" s="3284">
        <f t="shared" si="195"/>
        <v>0.53130399957126229</v>
      </c>
      <c r="X1289" s="3300"/>
      <c r="Y1289" s="3316"/>
      <c r="AA1289" s="3301"/>
      <c r="AB1289" s="3409"/>
      <c r="AE1289" s="1056"/>
    </row>
    <row r="1290" spans="2:31" ht="16" thickBot="1" x14ac:dyDescent="0.25">
      <c r="B1290" s="2995">
        <f>AVERAGE(W1284:W1290)</f>
        <v>0.42118648342838788</v>
      </c>
      <c r="C1290" s="1631">
        <v>44388</v>
      </c>
      <c r="D1290" s="1108"/>
      <c r="E1290" s="1397"/>
      <c r="F1290" s="2653"/>
      <c r="G1290" s="2533"/>
      <c r="H1290" s="2434" t="str">
        <f>IFERROR(VLOOKUP(F1290,Trainingsarten!$A$9:$K$84,10,FALSE),"")</f>
        <v/>
      </c>
      <c r="I1290" s="2435" t="str">
        <f t="shared" si="189"/>
        <v/>
      </c>
      <c r="J1290" s="1310"/>
      <c r="K1290" s="2436" t="str">
        <f>IFERROR(VLOOKUP(F1290,Trainingsarten!$A$9:$K$84,11,FALSE),"0")</f>
        <v>0</v>
      </c>
      <c r="L1290" s="2818"/>
      <c r="M1290" s="2798"/>
      <c r="N1290" s="1223" t="str">
        <f t="shared" si="190"/>
        <v/>
      </c>
      <c r="O1290" s="2437"/>
      <c r="P1290" s="1519" t="str">
        <f>IFERROR(VLOOKUP(F1290,Trainingsarten!$A$9:$N$84,12,FALSE),"")</f>
        <v/>
      </c>
      <c r="Q1290" s="2477" t="s">
        <v>437</v>
      </c>
      <c r="R1290" s="2439" t="str">
        <f>IFERROR(VLOOKUP(F1290,Trainingsarten!$A$9:$N$84,14,FALSE),"")</f>
        <v/>
      </c>
      <c r="S1290" s="2440" t="str">
        <f t="shared" si="191"/>
        <v/>
      </c>
      <c r="T1290" s="1108">
        <f t="shared" si="192"/>
        <v>7.3559639884824763</v>
      </c>
      <c r="U1290" s="1108">
        <f t="shared" si="193"/>
        <v>15.768045526308558</v>
      </c>
      <c r="V1290" s="1108">
        <f t="shared" si="194"/>
        <v>7.5706740159970973</v>
      </c>
      <c r="W1290" s="3285">
        <f t="shared" si="195"/>
        <v>0.46651082889184009</v>
      </c>
      <c r="X1290" s="3300"/>
      <c r="Y1290" s="3316"/>
      <c r="AA1290" s="3301"/>
      <c r="AB1290" s="3409"/>
      <c r="AE1290" s="1056"/>
    </row>
    <row r="1291" spans="2:31" ht="16" thickBot="1" x14ac:dyDescent="0.25">
      <c r="B1291" s="2986">
        <f>B1284+1</f>
        <v>28</v>
      </c>
      <c r="C1291" s="2441">
        <v>44389</v>
      </c>
      <c r="D1291" s="1111"/>
      <c r="E1291" s="2087"/>
      <c r="F1291" s="2730"/>
      <c r="G1291" s="2534"/>
      <c r="H1291" s="2443" t="str">
        <f>IFERROR(VLOOKUP(F1291,Trainingsarten!$A$9:$K$84,10,FALSE),"")</f>
        <v/>
      </c>
      <c r="I1291" s="2444" t="str">
        <f t="shared" si="189"/>
        <v/>
      </c>
      <c r="J1291" s="1320"/>
      <c r="K1291" s="2445" t="str">
        <f>IFERROR(VLOOKUP(F1291,Trainingsarten!$A$9:$K$84,11,FALSE),"0")</f>
        <v>0</v>
      </c>
      <c r="L1291" s="2819"/>
      <c r="M1291" s="1320"/>
      <c r="N1291" s="1119" t="str">
        <f t="shared" si="190"/>
        <v/>
      </c>
      <c r="O1291" s="2446"/>
      <c r="P1291" s="1121" t="str">
        <f>IFERROR(VLOOKUP(F1291,Trainingsarten!$A$9:$N$84,12,FALSE),"")</f>
        <v/>
      </c>
      <c r="Q1291" s="2447" t="s">
        <v>437</v>
      </c>
      <c r="R1291" s="2448" t="str">
        <f>IFERROR(VLOOKUP(F1291,Trainingsarten!$A$9:$N$84,14,FALSE),"")</f>
        <v/>
      </c>
      <c r="S1291" s="2449" t="str">
        <f t="shared" si="191"/>
        <v/>
      </c>
      <c r="T1291" s="1111">
        <f t="shared" si="192"/>
        <v>6.3051119901278367</v>
      </c>
      <c r="U1291" s="1111">
        <f t="shared" si="193"/>
        <v>15.39261587092026</v>
      </c>
      <c r="V1291" s="1111">
        <f t="shared" si="194"/>
        <v>8.4120815378260829</v>
      </c>
      <c r="W1291" s="3286">
        <f t="shared" si="195"/>
        <v>0.40961926439283519</v>
      </c>
      <c r="X1291" s="3300"/>
      <c r="Y1291" s="3316"/>
      <c r="AA1291" s="3301"/>
      <c r="AB1291" s="3409"/>
      <c r="AE1291" s="1056"/>
    </row>
    <row r="1292" spans="2:31" x14ac:dyDescent="0.2">
      <c r="B1292" s="2991" t="s">
        <v>626</v>
      </c>
      <c r="C1292" s="2409">
        <v>44390</v>
      </c>
      <c r="D1292" s="2009"/>
      <c r="E1292" s="2531"/>
      <c r="F1292" s="2728"/>
      <c r="G1292" s="2532"/>
      <c r="H1292" s="2411" t="str">
        <f>IFERROR(VLOOKUP(F1292,Trainingsarten!$A$9:$K$84,10,FALSE),"")</f>
        <v/>
      </c>
      <c r="I1292" s="2412" t="str">
        <f t="shared" si="189"/>
        <v/>
      </c>
      <c r="J1292" s="2413"/>
      <c r="K1292" s="2414" t="str">
        <f>IFERROR(VLOOKUP(F1292,Trainingsarten!$A$9:$K$84,11,FALSE),"0")</f>
        <v>0</v>
      </c>
      <c r="L1292" s="2816"/>
      <c r="M1292" s="2840"/>
      <c r="N1292" s="2368" t="str">
        <f t="shared" si="190"/>
        <v/>
      </c>
      <c r="O1292" s="2415"/>
      <c r="P1292" s="2416" t="str">
        <f>IFERROR(VLOOKUP(F1292,Trainingsarten!$A$9:$N$84,12,FALSE),"")</f>
        <v/>
      </c>
      <c r="Q1292" s="2417" t="s">
        <v>437</v>
      </c>
      <c r="R1292" s="2418" t="str">
        <f>IFERROR(VLOOKUP(F1292,Trainingsarten!$A$9:$N$84,14,FALSE),"")</f>
        <v/>
      </c>
      <c r="S1292" s="2419" t="str">
        <f t="shared" si="191"/>
        <v/>
      </c>
      <c r="T1292" s="2009">
        <f t="shared" si="192"/>
        <v>5.4043817058238597</v>
      </c>
      <c r="U1292" s="2009">
        <f t="shared" si="193"/>
        <v>15.026125016850729</v>
      </c>
      <c r="V1292" s="2009">
        <f t="shared" si="194"/>
        <v>9.087503880792422</v>
      </c>
      <c r="W1292" s="3284">
        <f t="shared" si="195"/>
        <v>0.35966569556444061</v>
      </c>
      <c r="X1292" s="3300"/>
      <c r="Y1292" s="3316"/>
      <c r="AA1292" s="3301"/>
      <c r="AB1292" s="3409"/>
      <c r="AE1292" s="1056"/>
    </row>
    <row r="1293" spans="2:31" ht="16" thickBot="1" x14ac:dyDescent="0.25">
      <c r="B1293" s="2979">
        <f>SUM(H1291:H1297)</f>
        <v>8.01</v>
      </c>
      <c r="C1293" s="2409">
        <v>44391</v>
      </c>
      <c r="D1293" s="2009">
        <v>79</v>
      </c>
      <c r="E1293" s="2531" t="s">
        <v>835</v>
      </c>
      <c r="F1293" s="2770" t="s">
        <v>827</v>
      </c>
      <c r="G1293" s="2532">
        <v>3.3530092592592591E-2</v>
      </c>
      <c r="H1293" s="2411">
        <v>8.01</v>
      </c>
      <c r="I1293" s="2412">
        <f t="shared" si="189"/>
        <v>4.1860290377768528E-3</v>
      </c>
      <c r="J1293" s="2413">
        <v>145</v>
      </c>
      <c r="K1293" s="2414">
        <v>44</v>
      </c>
      <c r="L1293" s="2816">
        <v>197</v>
      </c>
      <c r="M1293" s="2840">
        <v>17</v>
      </c>
      <c r="N1293" s="2368">
        <f t="shared" si="190"/>
        <v>1.0634263141222724</v>
      </c>
      <c r="O1293" s="2415" t="s">
        <v>911</v>
      </c>
      <c r="P1293" s="2416">
        <f>IFERROR(VLOOKUP(F1293,Trainingsarten!$A$9:$N$84,12,FALSE),"")</f>
        <v>194.60000000000002</v>
      </c>
      <c r="Q1293" s="2417" t="s">
        <v>437</v>
      </c>
      <c r="R1293" s="2418">
        <f>IFERROR(VLOOKUP(F1293,Trainingsarten!$A$9:$N$84,14,FALSE),"")</f>
        <v>212.96</v>
      </c>
      <c r="S1293" s="2419">
        <f t="shared" si="191"/>
        <v>1.3586206896551725</v>
      </c>
      <c r="T1293" s="2009">
        <f t="shared" si="192"/>
        <v>10.918041462134738</v>
      </c>
      <c r="U1293" s="2009">
        <f t="shared" si="193"/>
        <v>15.715979183116188</v>
      </c>
      <c r="V1293" s="2009">
        <f t="shared" si="194"/>
        <v>9.6217433110268686</v>
      </c>
      <c r="W1293" s="3284">
        <f t="shared" si="195"/>
        <v>0.69470959046981207</v>
      </c>
      <c r="X1293" s="3300"/>
      <c r="Y1293" s="3316"/>
      <c r="AA1293" s="3301"/>
      <c r="AB1293" s="3409"/>
      <c r="AE1293" s="1056"/>
    </row>
    <row r="1294" spans="2:31" x14ac:dyDescent="0.2">
      <c r="B1294" s="2992" t="s">
        <v>628</v>
      </c>
      <c r="C1294" s="2409">
        <v>44392</v>
      </c>
      <c r="D1294" s="2009"/>
      <c r="E1294" s="2531"/>
      <c r="F1294" s="2728"/>
      <c r="G1294" s="2532"/>
      <c r="H1294" s="2411" t="str">
        <f>IFERROR(VLOOKUP(F1294,Trainingsarten!$A$9:$K$84,10,FALSE),"")</f>
        <v/>
      </c>
      <c r="I1294" s="2412" t="str">
        <f t="shared" si="189"/>
        <v/>
      </c>
      <c r="J1294" s="2413"/>
      <c r="K1294" s="2414" t="str">
        <f>IFERROR(VLOOKUP(F1294,Trainingsarten!$A$9:$K$84,11,FALSE),"0")</f>
        <v>0</v>
      </c>
      <c r="L1294" s="2816"/>
      <c r="M1294" s="2840"/>
      <c r="N1294" s="2368" t="str">
        <f t="shared" si="190"/>
        <v/>
      </c>
      <c r="O1294" s="2415"/>
      <c r="P1294" s="2416" t="str">
        <f>IFERROR(VLOOKUP(F1294,Trainingsarten!$A$9:$N$84,12,FALSE),"")</f>
        <v/>
      </c>
      <c r="Q1294" s="2417" t="s">
        <v>437</v>
      </c>
      <c r="R1294" s="2418" t="str">
        <f>IFERROR(VLOOKUP(F1294,Trainingsarten!$A$9:$N$84,14,FALSE),"")</f>
        <v/>
      </c>
      <c r="S1294" s="2419" t="str">
        <f t="shared" si="191"/>
        <v/>
      </c>
      <c r="T1294" s="2009">
        <f t="shared" si="192"/>
        <v>9.3583212532583477</v>
      </c>
      <c r="U1294" s="2009">
        <f t="shared" si="193"/>
        <v>15.341789202565803</v>
      </c>
      <c r="V1294" s="2009">
        <f t="shared" si="194"/>
        <v>4.7979377209814498</v>
      </c>
      <c r="W1294" s="3284">
        <f t="shared" si="195"/>
        <v>0.60998890870520084</v>
      </c>
      <c r="X1294" s="3300"/>
      <c r="Y1294" s="3316"/>
      <c r="AA1294" s="3301"/>
      <c r="AB1294" s="3409"/>
      <c r="AE1294" s="1056"/>
    </row>
    <row r="1295" spans="2:31" ht="16" thickBot="1" x14ac:dyDescent="0.25">
      <c r="B1295" s="2993">
        <f>SUM(K1291:K1297)</f>
        <v>44</v>
      </c>
      <c r="C1295" s="2409">
        <v>44393</v>
      </c>
      <c r="D1295" s="2009"/>
      <c r="E1295" s="2531"/>
      <c r="F1295" s="2728"/>
      <c r="G1295" s="2532"/>
      <c r="H1295" s="2411" t="str">
        <f>IFERROR(VLOOKUP(F1295,Trainingsarten!$A$9:$K$84,10,FALSE),"")</f>
        <v/>
      </c>
      <c r="I1295" s="2412" t="str">
        <f t="shared" si="189"/>
        <v/>
      </c>
      <c r="J1295" s="2413"/>
      <c r="K1295" s="2414" t="str">
        <f>IFERROR(VLOOKUP(F1295,Trainingsarten!$A$9:$K$84,11,FALSE),"0")</f>
        <v>0</v>
      </c>
      <c r="L1295" s="2816"/>
      <c r="M1295" s="2840"/>
      <c r="N1295" s="2368" t="str">
        <f t="shared" si="190"/>
        <v/>
      </c>
      <c r="O1295" s="2415"/>
      <c r="P1295" s="2416" t="str">
        <f>IFERROR(VLOOKUP(F1295,Trainingsarten!$A$9:$N$84,12,FALSE),"")</f>
        <v/>
      </c>
      <c r="Q1295" s="2417" t="s">
        <v>437</v>
      </c>
      <c r="R1295" s="2418" t="str">
        <f>IFERROR(VLOOKUP(F1295,Trainingsarten!$A$9:$N$84,14,FALSE),"")</f>
        <v/>
      </c>
      <c r="S1295" s="2419" t="str">
        <f t="shared" si="191"/>
        <v/>
      </c>
      <c r="T1295" s="2009">
        <f t="shared" si="192"/>
        <v>8.0214182170785833</v>
      </c>
      <c r="U1295" s="2009">
        <f t="shared" si="193"/>
        <v>14.976508507266617</v>
      </c>
      <c r="V1295" s="2009">
        <f t="shared" si="194"/>
        <v>5.983467949307455</v>
      </c>
      <c r="W1295" s="3284">
        <f t="shared" si="195"/>
        <v>0.53560001739968854</v>
      </c>
      <c r="X1295" s="3300"/>
      <c r="Y1295" s="3316"/>
      <c r="AA1295" s="3301"/>
      <c r="AB1295" s="3409"/>
      <c r="AE1295" s="1056"/>
    </row>
    <row r="1296" spans="2:31" x14ac:dyDescent="0.2">
      <c r="B1296" s="2994" t="s">
        <v>761</v>
      </c>
      <c r="C1296" s="2409">
        <v>44394</v>
      </c>
      <c r="D1296" s="2009"/>
      <c r="E1296" s="2531"/>
      <c r="F1296" s="2728"/>
      <c r="G1296" s="2532"/>
      <c r="H1296" s="2411" t="str">
        <f>IFERROR(VLOOKUP(F1296,Trainingsarten!$A$9:$K$84,10,FALSE),"")</f>
        <v/>
      </c>
      <c r="I1296" s="2412" t="str">
        <f t="shared" si="189"/>
        <v/>
      </c>
      <c r="J1296" s="2413"/>
      <c r="K1296" s="2414" t="str">
        <f>IFERROR(VLOOKUP(F1296,Trainingsarten!$A$9:$K$84,11,FALSE),"0")</f>
        <v>0</v>
      </c>
      <c r="L1296" s="2816"/>
      <c r="M1296" s="2840"/>
      <c r="N1296" s="2368" t="str">
        <f t="shared" si="190"/>
        <v/>
      </c>
      <c r="O1296" s="2415"/>
      <c r="P1296" s="2416" t="str">
        <f>IFERROR(VLOOKUP(F1296,Trainingsarten!$A$9:$N$84,12,FALSE),"")</f>
        <v/>
      </c>
      <c r="Q1296" s="2417" t="s">
        <v>437</v>
      </c>
      <c r="R1296" s="2418" t="str">
        <f>IFERROR(VLOOKUP(F1296,Trainingsarten!$A$9:$N$84,14,FALSE),"")</f>
        <v/>
      </c>
      <c r="S1296" s="2419" t="str">
        <f t="shared" si="191"/>
        <v/>
      </c>
      <c r="T1296" s="2009">
        <f t="shared" si="192"/>
        <v>6.8755013289244999</v>
      </c>
      <c r="U1296" s="2009">
        <f t="shared" si="193"/>
        <v>14.619924971379316</v>
      </c>
      <c r="V1296" s="2009">
        <f t="shared" si="194"/>
        <v>6.9550902901880338</v>
      </c>
      <c r="W1296" s="3284">
        <f t="shared" si="195"/>
        <v>0.47028294210704363</v>
      </c>
      <c r="X1296" s="3300"/>
      <c r="Y1296" s="3316"/>
      <c r="AA1296" s="3301"/>
      <c r="AB1296" s="3409"/>
      <c r="AE1296" s="1056"/>
    </row>
    <row r="1297" spans="2:31" ht="16" thickBot="1" x14ac:dyDescent="0.25">
      <c r="B1297" s="2995">
        <f>AVERAGE(W1291:W1297)</f>
        <v>0.49897111177718961</v>
      </c>
      <c r="C1297" s="2517">
        <v>44395</v>
      </c>
      <c r="D1297" s="2518"/>
      <c r="E1297" s="2224"/>
      <c r="F1297" s="2653"/>
      <c r="G1297" s="2519"/>
      <c r="H1297" s="2520" t="str">
        <f>IFERROR(VLOOKUP(F1297,Trainingsarten!$A$9:$K$84,10,FALSE),"")</f>
        <v/>
      </c>
      <c r="I1297" s="2521" t="str">
        <f t="shared" si="189"/>
        <v/>
      </c>
      <c r="J1297" s="2522"/>
      <c r="K1297" s="2523" t="str">
        <f>IFERROR(VLOOKUP(F1297,Trainingsarten!$A$9:$K$84,11,FALSE),"0")</f>
        <v>0</v>
      </c>
      <c r="L1297" s="2151"/>
      <c r="M1297" s="2841"/>
      <c r="N1297" s="2524" t="str">
        <f t="shared" si="190"/>
        <v/>
      </c>
      <c r="O1297" s="2525"/>
      <c r="P1297" s="2526" t="str">
        <f>IFERROR(VLOOKUP(F1297,Trainingsarten!$A$9:$N$84,12,FALSE),"")</f>
        <v/>
      </c>
      <c r="Q1297" s="2527" t="s">
        <v>437</v>
      </c>
      <c r="R1297" s="2528" t="str">
        <f>IFERROR(VLOOKUP(F1297,Trainingsarten!$A$9:$N$84,14,FALSE),"")</f>
        <v/>
      </c>
      <c r="S1297" s="2529" t="str">
        <f t="shared" si="191"/>
        <v/>
      </c>
      <c r="T1297" s="2518">
        <f t="shared" si="192"/>
        <v>5.8932868533638567</v>
      </c>
      <c r="U1297" s="2518">
        <f t="shared" si="193"/>
        <v>14.271831519679809</v>
      </c>
      <c r="V1297" s="2518">
        <f t="shared" si="194"/>
        <v>7.7444236424548158</v>
      </c>
      <c r="W1297" s="3287">
        <f t="shared" si="195"/>
        <v>0.41293136380130652</v>
      </c>
      <c r="X1297" s="3300"/>
      <c r="Y1297" s="3316"/>
      <c r="AA1297" s="3301"/>
      <c r="AB1297" s="3409"/>
      <c r="AE1297" s="1056"/>
    </row>
    <row r="1298" spans="2:31" ht="16" thickBot="1" x14ac:dyDescent="0.25">
      <c r="B1298" s="2986">
        <f>B1291+1</f>
        <v>29</v>
      </c>
      <c r="C1298" s="2399">
        <v>44396</v>
      </c>
      <c r="D1298" s="2292"/>
      <c r="E1298" s="2069"/>
      <c r="F1298" s="2730"/>
      <c r="G1298" s="2530"/>
      <c r="H1298" s="2401" t="str">
        <f>IFERROR(VLOOKUP(F1298,Trainingsarten!$A$9:$K$84,10,FALSE),"")</f>
        <v/>
      </c>
      <c r="I1298" s="2402" t="str">
        <f t="shared" si="189"/>
        <v/>
      </c>
      <c r="J1298" s="2403"/>
      <c r="K1298" s="2404" t="str">
        <f>IFERROR(VLOOKUP(F1298,Trainingsarten!$A$9:$K$84,11,FALSE),"0")</f>
        <v>0</v>
      </c>
      <c r="L1298" s="2815"/>
      <c r="M1298" s="2591"/>
      <c r="N1298" s="2296" t="str">
        <f t="shared" si="190"/>
        <v/>
      </c>
      <c r="O1298" s="2405"/>
      <c r="P1298" s="2298" t="str">
        <f>IFERROR(VLOOKUP(F1298,Trainingsarten!$A$9:$N$84,12,FALSE),"")</f>
        <v/>
      </c>
      <c r="Q1298" s="2461" t="s">
        <v>437</v>
      </c>
      <c r="R1298" s="2462" t="str">
        <f>IFERROR(VLOOKUP(F1298,Trainingsarten!$A$9:$N$84,14,FALSE),"")</f>
        <v/>
      </c>
      <c r="S1298" s="2408" t="str">
        <f t="shared" si="191"/>
        <v/>
      </c>
      <c r="T1298" s="2292">
        <f t="shared" si="192"/>
        <v>5.0513887314547343</v>
      </c>
      <c r="U1298" s="2292">
        <f t="shared" si="193"/>
        <v>13.932026007306479</v>
      </c>
      <c r="V1298" s="2292">
        <f t="shared" si="194"/>
        <v>8.3785446663159533</v>
      </c>
      <c r="W1298" s="3283">
        <f t="shared" si="195"/>
        <v>0.36257388041090333</v>
      </c>
      <c r="X1298" s="3300"/>
      <c r="Y1298" s="3316"/>
      <c r="AA1298" s="3301"/>
      <c r="AB1298" s="3409"/>
      <c r="AE1298" s="1056"/>
    </row>
    <row r="1299" spans="2:31" x14ac:dyDescent="0.2">
      <c r="B1299" s="2991" t="s">
        <v>626</v>
      </c>
      <c r="C1299" s="2409">
        <v>44397</v>
      </c>
      <c r="D1299" s="2009"/>
      <c r="E1299" s="2531"/>
      <c r="F1299" s="2728"/>
      <c r="G1299" s="2532"/>
      <c r="H1299" s="2411" t="str">
        <f>IFERROR(VLOOKUP(F1299,Trainingsarten!$A$9:$K$84,10,FALSE),"")</f>
        <v/>
      </c>
      <c r="I1299" s="2412" t="str">
        <f t="shared" si="189"/>
        <v/>
      </c>
      <c r="J1299" s="2413"/>
      <c r="K1299" s="2414" t="str">
        <f>IFERROR(VLOOKUP(F1299,Trainingsarten!$A$9:$K$84,11,FALSE),"0")</f>
        <v>0</v>
      </c>
      <c r="L1299" s="2816"/>
      <c r="M1299" s="2840"/>
      <c r="N1299" s="2368" t="str">
        <f t="shared" si="190"/>
        <v/>
      </c>
      <c r="O1299" s="2415"/>
      <c r="P1299" s="2514" t="str">
        <f>IFERROR(VLOOKUP(F1299,Trainingsarten!$A$9:$N$84,12,FALSE),"")</f>
        <v/>
      </c>
      <c r="Q1299" s="2515" t="s">
        <v>437</v>
      </c>
      <c r="R1299" s="2516" t="str">
        <f>IFERROR(VLOOKUP(F1299,Trainingsarten!$A$9:$N$84,14,FALSE),"")</f>
        <v/>
      </c>
      <c r="S1299" s="2419" t="str">
        <f t="shared" si="191"/>
        <v/>
      </c>
      <c r="T1299" s="2009">
        <f t="shared" si="192"/>
        <v>4.3297617698183437</v>
      </c>
      <c r="U1299" s="2009">
        <f t="shared" si="193"/>
        <v>13.600311102370611</v>
      </c>
      <c r="V1299" s="2009">
        <f t="shared" si="194"/>
        <v>8.8806372758517451</v>
      </c>
      <c r="W1299" s="3284">
        <f t="shared" si="195"/>
        <v>0.31835755353152484</v>
      </c>
      <c r="X1299" s="3300"/>
      <c r="Y1299" s="3316"/>
      <c r="AA1299" s="3301"/>
      <c r="AB1299" s="3409"/>
      <c r="AE1299" s="1056"/>
    </row>
    <row r="1300" spans="2:31" ht="16" thickBot="1" x14ac:dyDescent="0.25">
      <c r="B1300" s="2979">
        <f>SUM(H1298:H1304)</f>
        <v>0</v>
      </c>
      <c r="C1300" s="2409">
        <v>44398</v>
      </c>
      <c r="D1300" s="2009"/>
      <c r="E1300" s="2531"/>
      <c r="F1300" s="2728"/>
      <c r="G1300" s="2532"/>
      <c r="H1300" s="2411" t="str">
        <f>IFERROR(VLOOKUP(F1300,Trainingsarten!$A$9:$K$84,10,FALSE),"")</f>
        <v/>
      </c>
      <c r="I1300" s="2412" t="str">
        <f t="shared" si="189"/>
        <v/>
      </c>
      <c r="J1300" s="2413"/>
      <c r="K1300" s="2414" t="str">
        <f>IFERROR(VLOOKUP(F1300,Trainingsarten!$A$9:$K$84,11,FALSE),"0")</f>
        <v>0</v>
      </c>
      <c r="L1300" s="2816"/>
      <c r="M1300" s="2840"/>
      <c r="N1300" s="2368" t="str">
        <f t="shared" si="190"/>
        <v/>
      </c>
      <c r="O1300" s="2415"/>
      <c r="P1300" s="2514" t="str">
        <f>IFERROR(VLOOKUP(F1300,Trainingsarten!$A$9:$N$84,12,FALSE),"")</f>
        <v/>
      </c>
      <c r="Q1300" s="2515" t="s">
        <v>437</v>
      </c>
      <c r="R1300" s="2516" t="str">
        <f>IFERROR(VLOOKUP(F1300,Trainingsarten!$A$9:$N$84,14,FALSE),"")</f>
        <v/>
      </c>
      <c r="S1300" s="2419" t="str">
        <f t="shared" si="191"/>
        <v/>
      </c>
      <c r="T1300" s="2009">
        <f t="shared" si="192"/>
        <v>3.7112243741300088</v>
      </c>
      <c r="U1300" s="2009">
        <f t="shared" si="193"/>
        <v>13.276494171361787</v>
      </c>
      <c r="V1300" s="2009">
        <f t="shared" si="194"/>
        <v>9.2705493325522674</v>
      </c>
      <c r="W1300" s="3284">
        <f t="shared" si="195"/>
        <v>0.27953346163743648</v>
      </c>
      <c r="X1300" s="3300"/>
      <c r="Y1300" s="3316"/>
      <c r="AA1300" s="3301"/>
      <c r="AB1300" s="3409"/>
      <c r="AE1300" s="1056"/>
    </row>
    <row r="1301" spans="2:31" x14ac:dyDescent="0.2">
      <c r="B1301" s="2992" t="s">
        <v>628</v>
      </c>
      <c r="C1301" s="2409">
        <v>44399</v>
      </c>
      <c r="D1301" s="2009"/>
      <c r="E1301" s="2531"/>
      <c r="F1301" s="2728"/>
      <c r="G1301" s="2532"/>
      <c r="H1301" s="2411" t="str">
        <f>IFERROR(VLOOKUP(F1301,Trainingsarten!$A$9:$K$84,10,FALSE),"")</f>
        <v/>
      </c>
      <c r="I1301" s="2412" t="str">
        <f t="shared" si="189"/>
        <v/>
      </c>
      <c r="J1301" s="2413"/>
      <c r="K1301" s="2414" t="str">
        <f>IFERROR(VLOOKUP(F1301,Trainingsarten!$A$9:$K$84,11,FALSE),"0")</f>
        <v>0</v>
      </c>
      <c r="L1301" s="2816"/>
      <c r="M1301" s="2840"/>
      <c r="N1301" s="2368" t="str">
        <f t="shared" si="190"/>
        <v/>
      </c>
      <c r="O1301" s="2415"/>
      <c r="P1301" s="2514" t="str">
        <f>IFERROR(VLOOKUP(F1301,Trainingsarten!$A$9:$N$84,12,FALSE),"")</f>
        <v/>
      </c>
      <c r="Q1301" s="2515" t="s">
        <v>437</v>
      </c>
      <c r="R1301" s="2516" t="str">
        <f>IFERROR(VLOOKUP(F1301,Trainingsarten!$A$9:$N$84,14,FALSE),"")</f>
        <v/>
      </c>
      <c r="S1301" s="2419" t="str">
        <f t="shared" si="191"/>
        <v/>
      </c>
      <c r="T1301" s="2009">
        <f t="shared" si="192"/>
        <v>3.1810494635400075</v>
      </c>
      <c r="U1301" s="2009">
        <f t="shared" si="193"/>
        <v>12.960387167281745</v>
      </c>
      <c r="V1301" s="2009">
        <f t="shared" si="194"/>
        <v>9.5652697972317782</v>
      </c>
      <c r="W1301" s="3284">
        <f t="shared" si="195"/>
        <v>0.24544401509628566</v>
      </c>
      <c r="X1301" s="3300"/>
      <c r="Y1301" s="3316"/>
      <c r="AA1301" s="3301"/>
      <c r="AB1301" s="3409"/>
      <c r="AE1301" s="1056"/>
    </row>
    <row r="1302" spans="2:31" ht="16" thickBot="1" x14ac:dyDescent="0.25">
      <c r="B1302" s="2993">
        <f>SUM(K1298:K1304)</f>
        <v>0</v>
      </c>
      <c r="C1302" s="2409">
        <v>44400</v>
      </c>
      <c r="D1302" s="2009"/>
      <c r="E1302" s="2531"/>
      <c r="F1302" s="2728"/>
      <c r="G1302" s="2532"/>
      <c r="H1302" s="2411" t="str">
        <f>IFERROR(VLOOKUP(F1302,Trainingsarten!$A$9:$K$84,10,FALSE),"")</f>
        <v/>
      </c>
      <c r="I1302" s="2412" t="str">
        <f t="shared" si="189"/>
        <v/>
      </c>
      <c r="J1302" s="2413"/>
      <c r="K1302" s="2414" t="str">
        <f>IFERROR(VLOOKUP(F1302,Trainingsarten!$A$9:$K$84,11,FALSE),"0")</f>
        <v>0</v>
      </c>
      <c r="L1302" s="2816"/>
      <c r="M1302" s="2840"/>
      <c r="N1302" s="2368" t="str">
        <f t="shared" si="190"/>
        <v/>
      </c>
      <c r="O1302" s="2415"/>
      <c r="P1302" s="2514" t="str">
        <f>IFERROR(VLOOKUP(F1302,Trainingsarten!$A$9:$N$84,12,FALSE),"")</f>
        <v/>
      </c>
      <c r="Q1302" s="2515" t="s">
        <v>437</v>
      </c>
      <c r="R1302" s="2516" t="str">
        <f>IFERROR(VLOOKUP(F1302,Trainingsarten!$A$9:$N$84,14,FALSE),"")</f>
        <v/>
      </c>
      <c r="S1302" s="2419" t="str">
        <f t="shared" si="191"/>
        <v/>
      </c>
      <c r="T1302" s="2009">
        <f t="shared" si="192"/>
        <v>2.7266138258914352</v>
      </c>
      <c r="U1302" s="2009">
        <f t="shared" si="193"/>
        <v>12.651806520441703</v>
      </c>
      <c r="V1302" s="2009">
        <f t="shared" si="194"/>
        <v>9.7793377037417368</v>
      </c>
      <c r="W1302" s="3284">
        <f t="shared" si="195"/>
        <v>0.21551181813332401</v>
      </c>
      <c r="X1302" s="3300"/>
      <c r="Y1302" s="3316"/>
      <c r="AA1302" s="3301"/>
      <c r="AB1302" s="3409"/>
      <c r="AE1302" s="1056"/>
    </row>
    <row r="1303" spans="2:31" x14ac:dyDescent="0.2">
      <c r="B1303" s="2994" t="s">
        <v>761</v>
      </c>
      <c r="C1303" s="2409">
        <v>44401</v>
      </c>
      <c r="D1303" s="2009"/>
      <c r="E1303" s="2531"/>
      <c r="F1303" s="2728"/>
      <c r="G1303" s="2532"/>
      <c r="H1303" s="2411" t="str">
        <f>IFERROR(VLOOKUP(F1303,Trainingsarten!$A$9:$K$84,10,FALSE),"")</f>
        <v/>
      </c>
      <c r="I1303" s="2412" t="str">
        <f t="shared" si="189"/>
        <v/>
      </c>
      <c r="J1303" s="2413"/>
      <c r="K1303" s="2414" t="str">
        <f>IFERROR(VLOOKUP(F1303,Trainingsarten!$A$9:$K$84,11,FALSE),"0")</f>
        <v>0</v>
      </c>
      <c r="L1303" s="2816"/>
      <c r="M1303" s="2840"/>
      <c r="N1303" s="2368" t="str">
        <f t="shared" si="190"/>
        <v/>
      </c>
      <c r="O1303" s="2415"/>
      <c r="P1303" s="2514" t="str">
        <f>IFERROR(VLOOKUP(F1303,Trainingsarten!$A$9:$N$84,12,FALSE),"")</f>
        <v/>
      </c>
      <c r="Q1303" s="2515" t="s">
        <v>437</v>
      </c>
      <c r="R1303" s="2516" t="str">
        <f>IFERROR(VLOOKUP(F1303,Trainingsarten!$A$9:$N$84,14,FALSE),"")</f>
        <v/>
      </c>
      <c r="S1303" s="2419" t="str">
        <f t="shared" si="191"/>
        <v/>
      </c>
      <c r="T1303" s="2009">
        <f t="shared" si="192"/>
        <v>2.3370975650498016</v>
      </c>
      <c r="U1303" s="2009">
        <f t="shared" si="193"/>
        <v>12.350573031859758</v>
      </c>
      <c r="V1303" s="2009">
        <f t="shared" si="194"/>
        <v>9.9251926945502671</v>
      </c>
      <c r="W1303" s="3284">
        <f t="shared" si="195"/>
        <v>0.18922988909267474</v>
      </c>
      <c r="X1303" s="3300"/>
      <c r="Y1303" s="3316"/>
      <c r="AA1303" s="3301"/>
      <c r="AB1303" s="3409"/>
      <c r="AE1303" s="1056"/>
    </row>
    <row r="1304" spans="2:31" ht="16" thickBot="1" x14ac:dyDescent="0.25">
      <c r="B1304" s="2995">
        <f>AVERAGE(W1298:W1304)</f>
        <v>0.25382909875025927</v>
      </c>
      <c r="C1304" s="1631">
        <v>44402</v>
      </c>
      <c r="D1304" s="1108"/>
      <c r="E1304" s="1397"/>
      <c r="F1304" s="2653"/>
      <c r="G1304" s="2533"/>
      <c r="H1304" s="2434" t="str">
        <f>IFERROR(VLOOKUP(F1304,Trainingsarten!$A$9:$K$84,10,FALSE),"")</f>
        <v/>
      </c>
      <c r="I1304" s="2435" t="str">
        <f t="shared" si="189"/>
        <v/>
      </c>
      <c r="J1304" s="1310"/>
      <c r="K1304" s="2436" t="str">
        <f>IFERROR(VLOOKUP(F1304,Trainingsarten!$A$9:$K$84,11,FALSE),"0")</f>
        <v>0</v>
      </c>
      <c r="L1304" s="2818"/>
      <c r="M1304" s="2798"/>
      <c r="N1304" s="1223" t="str">
        <f t="shared" si="190"/>
        <v/>
      </c>
      <c r="O1304" s="2437"/>
      <c r="P1304" s="1519" t="str">
        <f>IFERROR(VLOOKUP(F1304,Trainingsarten!$A$9:$N$84,12,FALSE),"")</f>
        <v/>
      </c>
      <c r="Q1304" s="2477" t="s">
        <v>437</v>
      </c>
      <c r="R1304" s="2439" t="str">
        <f>IFERROR(VLOOKUP(F1304,Trainingsarten!$A$9:$N$84,14,FALSE),"")</f>
        <v/>
      </c>
      <c r="S1304" s="2440" t="str">
        <f t="shared" si="191"/>
        <v/>
      </c>
      <c r="T1304" s="1108">
        <f t="shared" si="192"/>
        <v>2.0032264843284016</v>
      </c>
      <c r="U1304" s="1108">
        <f t="shared" si="193"/>
        <v>12.056511769196431</v>
      </c>
      <c r="V1304" s="1108">
        <f t="shared" si="194"/>
        <v>10.013475466809957</v>
      </c>
      <c r="W1304" s="3285">
        <f t="shared" si="195"/>
        <v>0.16615307334966561</v>
      </c>
      <c r="X1304" s="3300"/>
      <c r="Y1304" s="3316"/>
      <c r="AA1304" s="3301"/>
      <c r="AB1304" s="3409"/>
      <c r="AE1304" s="1056"/>
    </row>
    <row r="1305" spans="2:31" ht="16" thickBot="1" x14ac:dyDescent="0.25">
      <c r="B1305" s="2986">
        <f>B1298+1</f>
        <v>30</v>
      </c>
      <c r="C1305" s="2441">
        <v>44403</v>
      </c>
      <c r="D1305" s="1111">
        <v>80</v>
      </c>
      <c r="E1305" s="2087" t="s">
        <v>836</v>
      </c>
      <c r="F1305" s="2730" t="s">
        <v>800</v>
      </c>
      <c r="G1305" s="2534">
        <v>1.9618055555555555E-2</v>
      </c>
      <c r="H1305" s="2443">
        <v>5.04</v>
      </c>
      <c r="I1305" s="2444">
        <f t="shared" si="189"/>
        <v>3.8924713403880071E-3</v>
      </c>
      <c r="J1305" s="1320">
        <v>146</v>
      </c>
      <c r="K1305" s="2445">
        <v>41</v>
      </c>
      <c r="L1305" s="2819">
        <v>210</v>
      </c>
      <c r="M1305" s="1320">
        <v>12</v>
      </c>
      <c r="N1305" s="1119">
        <f t="shared" si="190"/>
        <v>1.0541044776119404</v>
      </c>
      <c r="O1305" s="2446" t="s">
        <v>1460</v>
      </c>
      <c r="P1305" s="1121">
        <f>IFERROR(VLOOKUP(F1305,Trainingsarten!$A$9:$N$84,12,FALSE),"")</f>
        <v>194.60000000000002</v>
      </c>
      <c r="Q1305" s="2447" t="s">
        <v>437</v>
      </c>
      <c r="R1305" s="2448">
        <f>IFERROR(VLOOKUP(F1305,Trainingsarten!$A$9:$N$84,14,FALSE),"")</f>
        <v>212.96</v>
      </c>
      <c r="S1305" s="2449">
        <f t="shared" si="191"/>
        <v>1.4383561643835616</v>
      </c>
      <c r="T1305" s="1111">
        <f t="shared" si="192"/>
        <v>7.5741941294243436</v>
      </c>
      <c r="U1305" s="1111">
        <f t="shared" si="193"/>
        <v>12.74564244135842</v>
      </c>
      <c r="V1305" s="1111">
        <f t="shared" si="194"/>
        <v>10.05328528486803</v>
      </c>
      <c r="W1305" s="3286">
        <f t="shared" si="195"/>
        <v>0.59425754051022106</v>
      </c>
      <c r="X1305" s="3300"/>
      <c r="Y1305" s="3316"/>
      <c r="AA1305" s="3301"/>
      <c r="AB1305" s="3409"/>
      <c r="AE1305" s="1056"/>
    </row>
    <row r="1306" spans="2:31" x14ac:dyDescent="0.2">
      <c r="B1306" s="2991" t="s">
        <v>626</v>
      </c>
      <c r="C1306" s="2409">
        <v>44404</v>
      </c>
      <c r="D1306" s="2009"/>
      <c r="E1306" s="2531"/>
      <c r="F1306" s="2728"/>
      <c r="G1306" s="2532"/>
      <c r="H1306" s="2411" t="str">
        <f>IFERROR(VLOOKUP(F1306,Trainingsarten!$A$9:$K$84,10,FALSE),"")</f>
        <v/>
      </c>
      <c r="I1306" s="2412" t="str">
        <f t="shared" si="189"/>
        <v/>
      </c>
      <c r="J1306" s="2413"/>
      <c r="K1306" s="2414" t="str">
        <f>IFERROR(VLOOKUP(F1306,Trainingsarten!$A$9:$K$84,11,FALSE),"0")</f>
        <v>0</v>
      </c>
      <c r="L1306" s="2816"/>
      <c r="M1306" s="2840"/>
      <c r="N1306" s="2368" t="str">
        <f t="shared" si="190"/>
        <v/>
      </c>
      <c r="O1306" s="2415"/>
      <c r="P1306" s="2416" t="str">
        <f>IFERROR(VLOOKUP(F1306,Trainingsarten!$A$9:$N$84,12,FALSE),"")</f>
        <v/>
      </c>
      <c r="Q1306" s="2417" t="s">
        <v>437</v>
      </c>
      <c r="R1306" s="2418" t="str">
        <f>IFERROR(VLOOKUP(F1306,Trainingsarten!$A$9:$N$84,14,FALSE),"")</f>
        <v/>
      </c>
      <c r="S1306" s="2419" t="str">
        <f t="shared" si="191"/>
        <v/>
      </c>
      <c r="T1306" s="2009">
        <f t="shared" si="192"/>
        <v>6.4921663966494378</v>
      </c>
      <c r="U1306" s="2009">
        <f t="shared" si="193"/>
        <v>12.442174764183219</v>
      </c>
      <c r="V1306" s="2009">
        <f t="shared" si="194"/>
        <v>5.1714483119340766</v>
      </c>
      <c r="W1306" s="3284">
        <f t="shared" si="195"/>
        <v>0.5217871087406819</v>
      </c>
      <c r="X1306" s="3300"/>
      <c r="Y1306" s="3316"/>
      <c r="AA1306" s="3301"/>
      <c r="AB1306" s="3409"/>
      <c r="AE1306" s="1056"/>
    </row>
    <row r="1307" spans="2:31" ht="16" thickBot="1" x14ac:dyDescent="0.25">
      <c r="B1307" s="2979">
        <f>SUM(H1305:H1311)</f>
        <v>24.839999999999996</v>
      </c>
      <c r="C1307" s="2409">
        <v>44405</v>
      </c>
      <c r="D1307" s="2009">
        <v>81</v>
      </c>
      <c r="E1307" s="2531" t="s">
        <v>836</v>
      </c>
      <c r="F1307" s="2728" t="s">
        <v>800</v>
      </c>
      <c r="G1307" s="2532">
        <v>2.4247685185185181E-2</v>
      </c>
      <c r="H1307" s="2411">
        <v>6.25</v>
      </c>
      <c r="I1307" s="2412">
        <f t="shared" si="189"/>
        <v>3.8796296296296291E-3</v>
      </c>
      <c r="J1307" s="2413">
        <v>146</v>
      </c>
      <c r="K1307" s="2414">
        <v>50</v>
      </c>
      <c r="L1307" s="2816">
        <v>212</v>
      </c>
      <c r="M1307" s="2840">
        <v>12</v>
      </c>
      <c r="N1307" s="2368">
        <f t="shared" si="190"/>
        <v>1.0606328358208954</v>
      </c>
      <c r="O1307" s="2415" t="s">
        <v>911</v>
      </c>
      <c r="P1307" s="2416">
        <f>IFERROR(VLOOKUP(F1307,Trainingsarten!$A$9:$N$84,12,FALSE),"")</f>
        <v>194.60000000000002</v>
      </c>
      <c r="Q1307" s="2417" t="s">
        <v>437</v>
      </c>
      <c r="R1307" s="2418">
        <f>IFERROR(VLOOKUP(F1307,Trainingsarten!$A$9:$N$84,14,FALSE),"")</f>
        <v>212.96</v>
      </c>
      <c r="S1307" s="2419">
        <f t="shared" si="191"/>
        <v>1.452054794520548</v>
      </c>
      <c r="T1307" s="2009">
        <f t="shared" si="192"/>
        <v>12.70757119712809</v>
      </c>
      <c r="U1307" s="2009">
        <f t="shared" si="193"/>
        <v>13.336408698369333</v>
      </c>
      <c r="V1307" s="2009">
        <f t="shared" si="194"/>
        <v>5.9500083675337816</v>
      </c>
      <c r="W1307" s="3284">
        <f t="shared" si="195"/>
        <v>0.95284806311326287</v>
      </c>
      <c r="X1307" s="3300"/>
      <c r="Y1307" s="3316"/>
      <c r="AA1307" s="3301"/>
      <c r="AB1307" s="3409"/>
      <c r="AE1307" s="1056"/>
    </row>
    <row r="1308" spans="2:31" x14ac:dyDescent="0.2">
      <c r="B1308" s="2992" t="s">
        <v>628</v>
      </c>
      <c r="C1308" s="2409">
        <v>44406</v>
      </c>
      <c r="D1308" s="2009"/>
      <c r="E1308" s="2531"/>
      <c r="F1308" s="2728"/>
      <c r="G1308" s="2532"/>
      <c r="H1308" s="2411" t="str">
        <f>IFERROR(VLOOKUP(F1308,Trainingsarten!$A$9:$K$84,10,FALSE),"")</f>
        <v/>
      </c>
      <c r="I1308" s="2412" t="str">
        <f t="shared" ref="I1308:I1371" si="196">IFERROR(G1308/H1308,"")</f>
        <v/>
      </c>
      <c r="J1308" s="2413"/>
      <c r="K1308" s="2414" t="str">
        <f>IFERROR(VLOOKUP(F1308,Trainingsarten!$A$9:$K$84,11,FALSE),"0")</f>
        <v>0</v>
      </c>
      <c r="L1308" s="2816"/>
      <c r="M1308" s="2840"/>
      <c r="N1308" s="2368" t="str">
        <f t="shared" ref="N1308:N1371" si="197">IFERROR((L1308/67)/(1/(I1308*24)/3.6),"")</f>
        <v/>
      </c>
      <c r="O1308" s="2415"/>
      <c r="P1308" s="2416" t="str">
        <f>IFERROR(VLOOKUP(F1308,Trainingsarten!$A$9:$N$84,12,FALSE),"")</f>
        <v/>
      </c>
      <c r="Q1308" s="2417" t="s">
        <v>437</v>
      </c>
      <c r="R1308" s="2418" t="str">
        <f>IFERROR(VLOOKUP(F1308,Trainingsarten!$A$9:$N$84,14,FALSE),"")</f>
        <v/>
      </c>
      <c r="S1308" s="2419" t="str">
        <f t="shared" ref="S1308:S1371" si="198">IFERROR(L1308/J1308,"")</f>
        <v/>
      </c>
      <c r="T1308" s="2009">
        <f t="shared" ref="T1308:T1371" si="199">T1307+(K1308-T1307)/7</f>
        <v>10.892203883252648</v>
      </c>
      <c r="U1308" s="2009">
        <f t="shared" ref="U1308:U1371" si="200">U1307+(K1308-U1307)/42</f>
        <v>13.018875157931967</v>
      </c>
      <c r="V1308" s="2009">
        <f t="shared" ref="V1308:V1371" si="201">U1307-T1307</f>
        <v>0.62883750124124305</v>
      </c>
      <c r="W1308" s="3284">
        <f t="shared" ref="W1308:W1371" si="202">T1308/U1308</f>
        <v>0.83664707980676734</v>
      </c>
      <c r="X1308" s="3300"/>
      <c r="Y1308" s="3316"/>
      <c r="AA1308" s="3301"/>
      <c r="AB1308" s="3409"/>
      <c r="AE1308" s="1056"/>
    </row>
    <row r="1309" spans="2:31" ht="16" thickBot="1" x14ac:dyDescent="0.25">
      <c r="B1309" s="2993">
        <f>SUM(K1305:K1311)</f>
        <v>194</v>
      </c>
      <c r="C1309" s="2409">
        <v>44407</v>
      </c>
      <c r="D1309" s="2009">
        <v>82</v>
      </c>
      <c r="E1309" s="2531" t="s">
        <v>835</v>
      </c>
      <c r="F1309" s="2728" t="s">
        <v>800</v>
      </c>
      <c r="G1309" s="2532">
        <v>2.763888888888889E-2</v>
      </c>
      <c r="H1309" s="2411">
        <v>6.95</v>
      </c>
      <c r="I1309" s="2412">
        <f t="shared" si="196"/>
        <v>3.9768185451638689E-3</v>
      </c>
      <c r="J1309" s="2413">
        <v>136</v>
      </c>
      <c r="K1309" s="2414">
        <v>54</v>
      </c>
      <c r="L1309" s="2816">
        <v>204</v>
      </c>
      <c r="M1309" s="2840">
        <v>20</v>
      </c>
      <c r="N1309" s="2368">
        <f t="shared" si="197"/>
        <v>1.0461763126811983</v>
      </c>
      <c r="O1309" s="2415" t="s">
        <v>911</v>
      </c>
      <c r="P1309" s="2416">
        <f>IFERROR(VLOOKUP(F1309,Trainingsarten!$A$9:$N$84,12,FALSE),"")</f>
        <v>194.60000000000002</v>
      </c>
      <c r="Q1309" s="2417" t="s">
        <v>437</v>
      </c>
      <c r="R1309" s="2418">
        <f>IFERROR(VLOOKUP(F1309,Trainingsarten!$A$9:$N$84,14,FALSE),"")</f>
        <v>212.96</v>
      </c>
      <c r="S1309" s="2419">
        <f t="shared" si="198"/>
        <v>1.5</v>
      </c>
      <c r="T1309" s="2009">
        <f t="shared" si="199"/>
        <v>17.050460471359415</v>
      </c>
      <c r="U1309" s="2009">
        <f t="shared" si="200"/>
        <v>13.994616225600254</v>
      </c>
      <c r="V1309" s="2009">
        <f t="shared" si="201"/>
        <v>2.1266712746793193</v>
      </c>
      <c r="W1309" s="3284">
        <f t="shared" si="202"/>
        <v>1.2183585599274331</v>
      </c>
      <c r="X1309" s="3300"/>
      <c r="Y1309" s="3316"/>
      <c r="AA1309" s="3301"/>
      <c r="AB1309" s="3409"/>
      <c r="AE1309" s="1056"/>
    </row>
    <row r="1310" spans="2:31" x14ac:dyDescent="0.2">
      <c r="B1310" s="2994" t="s">
        <v>761</v>
      </c>
      <c r="C1310" s="2409">
        <v>44408</v>
      </c>
      <c r="D1310" s="2009"/>
      <c r="E1310" s="2535"/>
      <c r="F1310" s="2728"/>
      <c r="G1310" s="2536"/>
      <c r="H1310" s="2411" t="str">
        <f>IFERROR(VLOOKUP(F1310,Trainingsarten!$A$9:$K$84,10,FALSE),"")</f>
        <v/>
      </c>
      <c r="I1310" s="2412" t="str">
        <f t="shared" si="196"/>
        <v/>
      </c>
      <c r="J1310" s="2413"/>
      <c r="K1310" s="2414" t="str">
        <f>IFERROR(VLOOKUP(F1310,Trainingsarten!$A$9:$K$84,11,FALSE),"0")</f>
        <v>0</v>
      </c>
      <c r="L1310" s="2816"/>
      <c r="M1310" s="2840"/>
      <c r="N1310" s="2368" t="str">
        <f t="shared" si="197"/>
        <v/>
      </c>
      <c r="O1310" s="2415"/>
      <c r="P1310" s="2416" t="str">
        <f>IFERROR(VLOOKUP(F1310,Trainingsarten!$A$9:$N$84,12,FALSE),"")</f>
        <v/>
      </c>
      <c r="Q1310" s="2417" t="s">
        <v>437</v>
      </c>
      <c r="R1310" s="2418" t="str">
        <f>IFERROR(VLOOKUP(F1310,Trainingsarten!$A$9:$N$84,14,FALSE),"")</f>
        <v/>
      </c>
      <c r="S1310" s="2419" t="str">
        <f t="shared" si="198"/>
        <v/>
      </c>
      <c r="T1310" s="2009">
        <f t="shared" si="199"/>
        <v>14.614680404022355</v>
      </c>
      <c r="U1310" s="2009">
        <f t="shared" si="200"/>
        <v>13.661411077371676</v>
      </c>
      <c r="V1310" s="2009">
        <f t="shared" si="201"/>
        <v>-3.055844245759161</v>
      </c>
      <c r="W1310" s="3284">
        <f t="shared" si="202"/>
        <v>1.0697782477411608</v>
      </c>
      <c r="X1310" s="3300"/>
      <c r="Y1310" s="3316"/>
      <c r="AA1310" s="3301"/>
      <c r="AB1310" s="3409"/>
      <c r="AE1310" s="1056"/>
    </row>
    <row r="1311" spans="2:31" ht="16" thickBot="1" x14ac:dyDescent="0.25">
      <c r="B1311" s="2995">
        <f>AVERAGE(W1305:W1311)</f>
        <v>0.93429952207976608</v>
      </c>
      <c r="C1311" s="2517">
        <v>44409</v>
      </c>
      <c r="D1311" s="2518">
        <v>83</v>
      </c>
      <c r="E1311" s="2224" t="s">
        <v>836</v>
      </c>
      <c r="F1311" s="2653" t="s">
        <v>801</v>
      </c>
      <c r="G1311" s="2519">
        <v>2.7013888888888889E-2</v>
      </c>
      <c r="H1311" s="2520">
        <v>6.6</v>
      </c>
      <c r="I1311" s="2521">
        <f t="shared" si="196"/>
        <v>4.0930134680134686E-3</v>
      </c>
      <c r="J1311" s="2522">
        <v>140</v>
      </c>
      <c r="K1311" s="2523">
        <v>49</v>
      </c>
      <c r="L1311" s="2151">
        <v>200</v>
      </c>
      <c r="M1311" s="2841">
        <v>18</v>
      </c>
      <c r="N1311" s="2524">
        <f t="shared" si="197"/>
        <v>1.0556309362279515</v>
      </c>
      <c r="O1311" s="2525" t="s">
        <v>1460</v>
      </c>
      <c r="P1311" s="2526">
        <f>IFERROR(VLOOKUP(F1311,Trainingsarten!$A$9:$N$84,12,FALSE),"")</f>
        <v>194.60000000000002</v>
      </c>
      <c r="Q1311" s="2527" t="s">
        <v>437</v>
      </c>
      <c r="R1311" s="2528">
        <f>IFERROR(VLOOKUP(F1311,Trainingsarten!$A$9:$N$84,14,FALSE),"")</f>
        <v>212.96</v>
      </c>
      <c r="S1311" s="2529">
        <f t="shared" si="198"/>
        <v>1.4285714285714286</v>
      </c>
      <c r="T1311" s="2518">
        <f t="shared" si="199"/>
        <v>19.526868917733449</v>
      </c>
      <c r="U1311" s="2518">
        <f t="shared" si="200"/>
        <v>14.50280605171997</v>
      </c>
      <c r="V1311" s="2518">
        <f t="shared" si="201"/>
        <v>-0.95326932665067865</v>
      </c>
      <c r="W1311" s="3287">
        <f t="shared" si="202"/>
        <v>1.3464200547188347</v>
      </c>
      <c r="X1311" s="3300"/>
      <c r="Y1311" s="3316"/>
      <c r="AA1311" s="3301"/>
      <c r="AB1311" s="3409"/>
      <c r="AE1311" s="1056"/>
    </row>
    <row r="1312" spans="2:31" ht="16" thickBot="1" x14ac:dyDescent="0.25">
      <c r="B1312" s="2986">
        <f>B1305+1</f>
        <v>31</v>
      </c>
      <c r="C1312" s="2399">
        <v>44410</v>
      </c>
      <c r="D1312" s="2292"/>
      <c r="E1312" s="2069"/>
      <c r="F1312" s="2730"/>
      <c r="G1312" s="2530"/>
      <c r="H1312" s="2401" t="str">
        <f>IFERROR(VLOOKUP(F1312,Trainingsarten!$A$9:$K$84,10,FALSE),"")</f>
        <v/>
      </c>
      <c r="I1312" s="2402" t="str">
        <f t="shared" si="196"/>
        <v/>
      </c>
      <c r="J1312" s="2403"/>
      <c r="K1312" s="2404" t="str">
        <f>IFERROR(VLOOKUP(F1312,Trainingsarten!$A$9:$K$84,11,FALSE),"0")</f>
        <v>0</v>
      </c>
      <c r="L1312" s="2815"/>
      <c r="M1312" s="2591"/>
      <c r="N1312" s="2296" t="str">
        <f t="shared" si="197"/>
        <v/>
      </c>
      <c r="O1312" s="2405"/>
      <c r="P1312" s="2298" t="str">
        <f>IFERROR(VLOOKUP(F1312,Trainingsarten!$A$9:$N$84,12,FALSE),"")</f>
        <v/>
      </c>
      <c r="Q1312" s="2461" t="s">
        <v>437</v>
      </c>
      <c r="R1312" s="2462" t="str">
        <f>IFERROR(VLOOKUP(F1312,Trainingsarten!$A$9:$N$84,14,FALSE),"")</f>
        <v/>
      </c>
      <c r="S1312" s="2408" t="str">
        <f t="shared" si="198"/>
        <v/>
      </c>
      <c r="T1312" s="2292">
        <f t="shared" si="199"/>
        <v>16.737316215200099</v>
      </c>
      <c r="U1312" s="2292">
        <f t="shared" si="200"/>
        <v>14.157501145726638</v>
      </c>
      <c r="V1312" s="2292">
        <f t="shared" si="201"/>
        <v>-5.0240628660134785</v>
      </c>
      <c r="W1312" s="3283">
        <f t="shared" si="202"/>
        <v>1.1822224870701963</v>
      </c>
      <c r="X1312" s="3300"/>
      <c r="Y1312" s="3316"/>
      <c r="AA1312" s="3301"/>
      <c r="AB1312" s="3409"/>
      <c r="AE1312" s="1056"/>
    </row>
    <row r="1313" spans="2:31" x14ac:dyDescent="0.2">
      <c r="B1313" s="2991" t="s">
        <v>626</v>
      </c>
      <c r="C1313" s="2409">
        <v>44411</v>
      </c>
      <c r="D1313" s="2009"/>
      <c r="E1313" s="2535"/>
      <c r="F1313" s="2728"/>
      <c r="G1313" s="2536"/>
      <c r="H1313" s="2411" t="str">
        <f>IFERROR(VLOOKUP(F1313,Trainingsarten!$A$9:$K$84,10,FALSE),"")</f>
        <v/>
      </c>
      <c r="I1313" s="2412" t="str">
        <f t="shared" si="196"/>
        <v/>
      </c>
      <c r="J1313" s="2413"/>
      <c r="K1313" s="2414" t="str">
        <f>IFERROR(VLOOKUP(F1313,Trainingsarten!$A$9:$K$84,11,FALSE),"0")</f>
        <v>0</v>
      </c>
      <c r="L1313" s="2816"/>
      <c r="M1313" s="2840"/>
      <c r="N1313" s="2368" t="str">
        <f t="shared" si="197"/>
        <v/>
      </c>
      <c r="O1313" s="2415"/>
      <c r="P1313" s="2514" t="str">
        <f>IFERROR(VLOOKUP(F1313,Trainingsarten!$A$9:$N$84,12,FALSE),"")</f>
        <v/>
      </c>
      <c r="Q1313" s="2515" t="s">
        <v>437</v>
      </c>
      <c r="R1313" s="2516" t="str">
        <f>IFERROR(VLOOKUP(F1313,Trainingsarten!$A$9:$N$84,14,FALSE),"")</f>
        <v/>
      </c>
      <c r="S1313" s="2419" t="str">
        <f t="shared" si="198"/>
        <v/>
      </c>
      <c r="T1313" s="2009">
        <f t="shared" si="199"/>
        <v>14.346271041600085</v>
      </c>
      <c r="U1313" s="2009">
        <f t="shared" si="200"/>
        <v>13.820417785114099</v>
      </c>
      <c r="V1313" s="2009">
        <f t="shared" si="201"/>
        <v>-2.5798150694734616</v>
      </c>
      <c r="W1313" s="3284">
        <f t="shared" si="202"/>
        <v>1.0380490130372455</v>
      </c>
      <c r="X1313" s="3300"/>
      <c r="Y1313" s="3316"/>
      <c r="AA1313" s="3301"/>
      <c r="AB1313" s="3409"/>
      <c r="AE1313" s="1056"/>
    </row>
    <row r="1314" spans="2:31" ht="16" thickBot="1" x14ac:dyDescent="0.25">
      <c r="B1314" s="2979">
        <f>SUM(H1312:H1318)</f>
        <v>21.36</v>
      </c>
      <c r="C1314" s="2409">
        <v>44412</v>
      </c>
      <c r="D1314" s="2009">
        <v>84</v>
      </c>
      <c r="E1314" s="2535" t="s">
        <v>836</v>
      </c>
      <c r="F1314" s="2728" t="s">
        <v>801</v>
      </c>
      <c r="G1314" s="2536">
        <v>2.7685185185185188E-2</v>
      </c>
      <c r="H1314" s="2411">
        <v>6.96</v>
      </c>
      <c r="I1314" s="2412">
        <f t="shared" si="196"/>
        <v>3.977756492124309E-3</v>
      </c>
      <c r="J1314" s="2413">
        <v>144</v>
      </c>
      <c r="K1314" s="2414">
        <v>54</v>
      </c>
      <c r="L1314" s="2816">
        <v>206</v>
      </c>
      <c r="M1314" s="2840">
        <v>21</v>
      </c>
      <c r="N1314" s="2368">
        <f t="shared" si="197"/>
        <v>1.0566821067078402</v>
      </c>
      <c r="O1314" s="2415" t="s">
        <v>911</v>
      </c>
      <c r="P1314" s="2514">
        <f>IFERROR(VLOOKUP(F1314,Trainingsarten!$A$9:$N$84,12,FALSE),"")</f>
        <v>194.60000000000002</v>
      </c>
      <c r="Q1314" s="2515" t="s">
        <v>437</v>
      </c>
      <c r="R1314" s="2516">
        <f>IFERROR(VLOOKUP(F1314,Trainingsarten!$A$9:$N$84,14,FALSE),"")</f>
        <v>212.96</v>
      </c>
      <c r="S1314" s="2419">
        <f t="shared" si="198"/>
        <v>1.4305555555555556</v>
      </c>
      <c r="T1314" s="2009">
        <f t="shared" si="199"/>
        <v>20.011089464228643</v>
      </c>
      <c r="U1314" s="2009">
        <f t="shared" si="200"/>
        <v>14.777074504516143</v>
      </c>
      <c r="V1314" s="2009">
        <f t="shared" si="201"/>
        <v>-0.52585325648598591</v>
      </c>
      <c r="W1314" s="3284">
        <f t="shared" si="202"/>
        <v>1.3541983197088767</v>
      </c>
      <c r="X1314" s="3300"/>
      <c r="Y1314" s="3316"/>
      <c r="AA1314" s="3301"/>
      <c r="AB1314" s="3409"/>
      <c r="AE1314" s="1056"/>
    </row>
    <row r="1315" spans="2:31" x14ac:dyDescent="0.2">
      <c r="B1315" s="2992" t="s">
        <v>628</v>
      </c>
      <c r="C1315" s="2409">
        <v>44413</v>
      </c>
      <c r="D1315" s="2009"/>
      <c r="E1315" s="2535"/>
      <c r="F1315" s="2728"/>
      <c r="G1315" s="2536"/>
      <c r="H1315" s="2411" t="str">
        <f>IFERROR(VLOOKUP(F1315,Trainingsarten!$A$9:$K$84,10,FALSE),"")</f>
        <v/>
      </c>
      <c r="I1315" s="2412" t="str">
        <f t="shared" si="196"/>
        <v/>
      </c>
      <c r="J1315" s="2413"/>
      <c r="K1315" s="2414" t="str">
        <f>IFERROR(VLOOKUP(F1315,Trainingsarten!$A$9:$K$84,11,FALSE),"0")</f>
        <v>0</v>
      </c>
      <c r="L1315" s="2816"/>
      <c r="M1315" s="2840"/>
      <c r="N1315" s="2368" t="str">
        <f t="shared" si="197"/>
        <v/>
      </c>
      <c r="O1315" s="2415"/>
      <c r="P1315" s="2514" t="str">
        <f>IFERROR(VLOOKUP(F1315,Trainingsarten!$A$9:$N$84,12,FALSE),"")</f>
        <v/>
      </c>
      <c r="Q1315" s="2515" t="s">
        <v>437</v>
      </c>
      <c r="R1315" s="2516" t="str">
        <f>IFERROR(VLOOKUP(F1315,Trainingsarten!$A$9:$N$84,14,FALSE),"")</f>
        <v/>
      </c>
      <c r="S1315" s="2419" t="str">
        <f t="shared" si="198"/>
        <v/>
      </c>
      <c r="T1315" s="2009">
        <f t="shared" si="199"/>
        <v>17.152362397910267</v>
      </c>
      <c r="U1315" s="2009">
        <f t="shared" si="200"/>
        <v>14.425239397265759</v>
      </c>
      <c r="V1315" s="2009">
        <f t="shared" si="201"/>
        <v>-5.2340149597124999</v>
      </c>
      <c r="W1315" s="3284">
        <f t="shared" si="202"/>
        <v>1.1890521831590137</v>
      </c>
      <c r="X1315" s="3300"/>
      <c r="Y1315" s="3316"/>
      <c r="AA1315" s="3301"/>
      <c r="AB1315" s="3409"/>
      <c r="AE1315" s="1056"/>
    </row>
    <row r="1316" spans="2:31" ht="16" thickBot="1" x14ac:dyDescent="0.25">
      <c r="B1316" s="2993">
        <f>SUM(K1312:K1318)</f>
        <v>165</v>
      </c>
      <c r="C1316" s="2409">
        <v>44414</v>
      </c>
      <c r="D1316" s="2009">
        <v>85</v>
      </c>
      <c r="E1316" s="2535" t="s">
        <v>836</v>
      </c>
      <c r="F1316" s="2728" t="s">
        <v>943</v>
      </c>
      <c r="G1316" s="2536">
        <v>2.8692129629629633E-2</v>
      </c>
      <c r="H1316" s="2411">
        <v>7.84</v>
      </c>
      <c r="I1316" s="2412">
        <f t="shared" si="196"/>
        <v>3.6597104119425552E-3</v>
      </c>
      <c r="J1316" s="2413">
        <v>150</v>
      </c>
      <c r="K1316" s="2414">
        <v>65</v>
      </c>
      <c r="L1316" s="2816">
        <v>221</v>
      </c>
      <c r="M1316" s="2840">
        <v>15</v>
      </c>
      <c r="N1316" s="2368">
        <f t="shared" si="197"/>
        <v>1.0429846938775513</v>
      </c>
      <c r="O1316" s="2415" t="s">
        <v>911</v>
      </c>
      <c r="P1316" s="2514">
        <f>IFERROR(VLOOKUP(F1316,Trainingsarten!$A$9:$N$84,12,FALSE),"")</f>
        <v>194.60000000000002</v>
      </c>
      <c r="Q1316" s="2515" t="s">
        <v>437</v>
      </c>
      <c r="R1316" s="2516">
        <f>IFERROR(VLOOKUP(F1316,Trainingsarten!$A$9:$N$84,14,FALSE),"")</f>
        <v>212.96</v>
      </c>
      <c r="S1316" s="2419">
        <f t="shared" si="198"/>
        <v>1.4733333333333334</v>
      </c>
      <c r="T1316" s="2009">
        <f t="shared" si="199"/>
        <v>23.9877391982088</v>
      </c>
      <c r="U1316" s="2009">
        <f t="shared" si="200"/>
        <v>15.629400363997528</v>
      </c>
      <c r="V1316" s="2009">
        <f t="shared" si="201"/>
        <v>-2.7271230006445073</v>
      </c>
      <c r="W1316" s="3284">
        <f t="shared" si="202"/>
        <v>1.5347830780165299</v>
      </c>
      <c r="X1316" s="3300"/>
      <c r="Y1316" s="3316"/>
      <c r="AA1316" s="3301"/>
      <c r="AB1316" s="3409"/>
      <c r="AE1316" s="1056"/>
    </row>
    <row r="1317" spans="2:31" x14ac:dyDescent="0.2">
      <c r="B1317" s="2994" t="s">
        <v>761</v>
      </c>
      <c r="C1317" s="2409">
        <v>44415</v>
      </c>
      <c r="D1317" s="2009"/>
      <c r="E1317" s="2535"/>
      <c r="F1317" s="2728"/>
      <c r="G1317" s="2536"/>
      <c r="H1317" s="2411" t="str">
        <f>IFERROR(VLOOKUP(F1317,Trainingsarten!$A$9:$K$84,10,FALSE),"")</f>
        <v/>
      </c>
      <c r="I1317" s="2412" t="str">
        <f t="shared" si="196"/>
        <v/>
      </c>
      <c r="J1317" s="2413"/>
      <c r="K1317" s="2414" t="str">
        <f>IFERROR(VLOOKUP(F1317,Trainingsarten!$A$9:$K$84,11,FALSE),"0")</f>
        <v>0</v>
      </c>
      <c r="L1317" s="2816"/>
      <c r="M1317" s="2840"/>
      <c r="N1317" s="2368" t="str">
        <f t="shared" si="197"/>
        <v/>
      </c>
      <c r="O1317" s="2415"/>
      <c r="P1317" s="2514" t="str">
        <f>IFERROR(VLOOKUP(F1317,Trainingsarten!$A$9:$N$84,12,FALSE),"")</f>
        <v/>
      </c>
      <c r="Q1317" s="2515" t="s">
        <v>437</v>
      </c>
      <c r="R1317" s="2516" t="str">
        <f>IFERROR(VLOOKUP(F1317,Trainingsarten!$A$9:$N$84,14,FALSE),"")</f>
        <v/>
      </c>
      <c r="S1317" s="2419" t="str">
        <f t="shared" si="198"/>
        <v/>
      </c>
      <c r="T1317" s="2009">
        <f t="shared" si="199"/>
        <v>20.5609193127504</v>
      </c>
      <c r="U1317" s="2009">
        <f t="shared" si="200"/>
        <v>15.257271783902349</v>
      </c>
      <c r="V1317" s="2009">
        <f t="shared" si="201"/>
        <v>-8.3583388342112723</v>
      </c>
      <c r="W1317" s="3284">
        <f t="shared" si="202"/>
        <v>1.3476144099657337</v>
      </c>
      <c r="X1317" s="3300"/>
      <c r="Y1317" s="3316"/>
      <c r="AA1317" s="3301"/>
      <c r="AB1317" s="3409"/>
      <c r="AE1317" s="1056"/>
    </row>
    <row r="1318" spans="2:31" ht="16" thickBot="1" x14ac:dyDescent="0.25">
      <c r="B1318" s="2996">
        <f>AVERAGE(W1312:W1318)</f>
        <v>1.3084470126104779</v>
      </c>
      <c r="C1318" s="1631">
        <v>44416</v>
      </c>
      <c r="D1318" s="1108">
        <v>86</v>
      </c>
      <c r="E1318" s="1397" t="s">
        <v>835</v>
      </c>
      <c r="F1318" s="2653" t="s">
        <v>943</v>
      </c>
      <c r="G1318" s="2533">
        <v>2.6863425925925926E-2</v>
      </c>
      <c r="H1318" s="2434">
        <v>6.56</v>
      </c>
      <c r="I1318" s="2435">
        <f t="shared" si="196"/>
        <v>4.0950344399277331E-3</v>
      </c>
      <c r="J1318" s="1310">
        <v>144</v>
      </c>
      <c r="K1318" s="2436">
        <v>46</v>
      </c>
      <c r="L1318" s="2818">
        <v>199</v>
      </c>
      <c r="M1318" s="2798">
        <v>15</v>
      </c>
      <c r="N1318" s="1223">
        <f t="shared" si="197"/>
        <v>1.0508714051692756</v>
      </c>
      <c r="O1318" s="2437" t="s">
        <v>1460</v>
      </c>
      <c r="P1318" s="1519">
        <f>IFERROR(VLOOKUP(F1318,Trainingsarten!$A$9:$N$84,12,FALSE),"")</f>
        <v>194.60000000000002</v>
      </c>
      <c r="Q1318" s="2477" t="s">
        <v>437</v>
      </c>
      <c r="R1318" s="2439">
        <f>IFERROR(VLOOKUP(F1318,Trainingsarten!$A$9:$N$84,14,FALSE),"")</f>
        <v>212.96</v>
      </c>
      <c r="S1318" s="2440">
        <f t="shared" si="198"/>
        <v>1.3819444444444444</v>
      </c>
      <c r="T1318" s="1108">
        <f t="shared" si="199"/>
        <v>24.195073696643199</v>
      </c>
      <c r="U1318" s="1108">
        <f t="shared" si="200"/>
        <v>15.989241503333245</v>
      </c>
      <c r="V1318" s="1108">
        <f t="shared" si="201"/>
        <v>-5.3036475288480514</v>
      </c>
      <c r="W1318" s="3285">
        <f t="shared" si="202"/>
        <v>1.5132095973157513</v>
      </c>
      <c r="X1318" s="3300"/>
      <c r="Y1318" s="3316"/>
      <c r="AA1318" s="3301"/>
      <c r="AB1318" s="3409"/>
      <c r="AE1318" s="1056"/>
    </row>
    <row r="1319" spans="2:31" ht="16" thickBot="1" x14ac:dyDescent="0.25">
      <c r="B1319" s="2986">
        <f>B1312+1</f>
        <v>32</v>
      </c>
      <c r="C1319" s="2441">
        <v>44417</v>
      </c>
      <c r="D1319" s="1111"/>
      <c r="E1319" s="2087"/>
      <c r="F1319" s="2771"/>
      <c r="G1319" s="2534"/>
      <c r="H1319" s="2443" t="str">
        <f>IFERROR(VLOOKUP(F1319,Trainingsarten!$A$9:$K$84,10,FALSE),"")</f>
        <v/>
      </c>
      <c r="I1319" s="2444" t="str">
        <f t="shared" si="196"/>
        <v/>
      </c>
      <c r="J1319" s="1320"/>
      <c r="K1319" s="2445" t="str">
        <f>IFERROR(VLOOKUP(F1319,Trainingsarten!$A$9:$K$84,11,FALSE),"0")</f>
        <v>0</v>
      </c>
      <c r="L1319" s="2819"/>
      <c r="M1319" s="1320"/>
      <c r="N1319" s="1119" t="str">
        <f t="shared" si="197"/>
        <v/>
      </c>
      <c r="O1319" s="2446"/>
      <c r="P1319" s="1121" t="str">
        <f>IFERROR(VLOOKUP(F1319,Trainingsarten!$A$9:$N$84,12,FALSE),"")</f>
        <v/>
      </c>
      <c r="Q1319" s="2447" t="s">
        <v>437</v>
      </c>
      <c r="R1319" s="2448" t="str">
        <f>IFERROR(VLOOKUP(F1319,Trainingsarten!$A$9:$N$84,14,FALSE),"")</f>
        <v/>
      </c>
      <c r="S1319" s="2449" t="str">
        <f t="shared" si="198"/>
        <v/>
      </c>
      <c r="T1319" s="1111">
        <f t="shared" si="199"/>
        <v>20.738634597122743</v>
      </c>
      <c r="U1319" s="1111">
        <f t="shared" si="200"/>
        <v>15.608545277063406</v>
      </c>
      <c r="V1319" s="1111">
        <f t="shared" si="201"/>
        <v>-8.2058321933099538</v>
      </c>
      <c r="W1319" s="3286">
        <f t="shared" si="202"/>
        <v>1.3286718415455379</v>
      </c>
      <c r="X1319" s="3300"/>
      <c r="Y1319" s="3316"/>
      <c r="AA1319" s="3301"/>
      <c r="AB1319" s="3409"/>
      <c r="AE1319" s="1056"/>
    </row>
    <row r="1320" spans="2:31" x14ac:dyDescent="0.2">
      <c r="B1320" s="2991" t="s">
        <v>626</v>
      </c>
      <c r="C1320" s="2409">
        <v>44418</v>
      </c>
      <c r="D1320" s="2009">
        <v>87</v>
      </c>
      <c r="E1320" s="2535" t="s">
        <v>836</v>
      </c>
      <c r="F1320" s="2772" t="s">
        <v>819</v>
      </c>
      <c r="G1320" s="2536">
        <v>3.9768518518518516E-2</v>
      </c>
      <c r="H1320" s="2411">
        <v>10.1</v>
      </c>
      <c r="I1320" s="2412">
        <f t="shared" si="196"/>
        <v>3.9374770810414374E-3</v>
      </c>
      <c r="J1320" s="2413">
        <v>154</v>
      </c>
      <c r="K1320" s="2414">
        <v>75</v>
      </c>
      <c r="L1320" s="2816">
        <v>209</v>
      </c>
      <c r="M1320" s="2840">
        <v>26</v>
      </c>
      <c r="N1320" s="2368">
        <f t="shared" si="197"/>
        <v>1.0612147184867742</v>
      </c>
      <c r="O1320" s="2415" t="s">
        <v>911</v>
      </c>
      <c r="P1320" s="2416">
        <f>IFERROR(VLOOKUP(F1320,Trainingsarten!$A$9:$N$84,12,FALSE),"")</f>
        <v>194.60000000000002</v>
      </c>
      <c r="Q1320" s="2417" t="s">
        <v>437</v>
      </c>
      <c r="R1320" s="2418">
        <f>IFERROR(VLOOKUP(F1320,Trainingsarten!$A$9:$N$84,14,FALSE),"")</f>
        <v>212.96</v>
      </c>
      <c r="S1320" s="2419">
        <f t="shared" si="198"/>
        <v>1.3571428571428572</v>
      </c>
      <c r="T1320" s="2009">
        <f t="shared" si="199"/>
        <v>28.490258226105208</v>
      </c>
      <c r="U1320" s="2009">
        <f t="shared" si="200"/>
        <v>17.02262753237142</v>
      </c>
      <c r="V1320" s="2009">
        <f t="shared" si="201"/>
        <v>-5.1300893200593372</v>
      </c>
      <c r="W1320" s="3284">
        <f t="shared" si="202"/>
        <v>1.6736698357481028</v>
      </c>
      <c r="X1320" s="3300"/>
      <c r="Y1320" s="3316"/>
      <c r="AA1320" s="3301"/>
      <c r="AB1320" s="3409"/>
      <c r="AE1320" s="1056"/>
    </row>
    <row r="1321" spans="2:31" ht="16" thickBot="1" x14ac:dyDescent="0.25">
      <c r="B1321" s="2979">
        <f>SUM(H1319:H1325)</f>
        <v>27.39</v>
      </c>
      <c r="C1321" s="2409">
        <v>44419</v>
      </c>
      <c r="D1321" s="2009"/>
      <c r="E1321" s="2535"/>
      <c r="F1321" s="2772"/>
      <c r="G1321" s="2536"/>
      <c r="H1321" s="2411" t="str">
        <f>IFERROR(VLOOKUP(F1321,Trainingsarten!$A$9:$K$84,10,FALSE),"")</f>
        <v/>
      </c>
      <c r="I1321" s="2412" t="str">
        <f t="shared" si="196"/>
        <v/>
      </c>
      <c r="J1321" s="2413"/>
      <c r="K1321" s="2414" t="str">
        <f>IFERROR(VLOOKUP(F1321,Trainingsarten!$A$9:$K$84,11,FALSE),"0")</f>
        <v>0</v>
      </c>
      <c r="L1321" s="2816"/>
      <c r="M1321" s="2840"/>
      <c r="N1321" s="2368" t="str">
        <f t="shared" si="197"/>
        <v/>
      </c>
      <c r="O1321" s="2415"/>
      <c r="P1321" s="2416" t="str">
        <f>IFERROR(VLOOKUP(F1321,Trainingsarten!$A$9:$N$84,12,FALSE),"")</f>
        <v/>
      </c>
      <c r="Q1321" s="2417" t="s">
        <v>437</v>
      </c>
      <c r="R1321" s="2418" t="str">
        <f>IFERROR(VLOOKUP(F1321,Trainingsarten!$A$9:$N$84,14,FALSE),"")</f>
        <v/>
      </c>
      <c r="S1321" s="2419" t="str">
        <f t="shared" si="198"/>
        <v/>
      </c>
      <c r="T1321" s="2009">
        <f t="shared" si="199"/>
        <v>24.420221336661605</v>
      </c>
      <c r="U1321" s="2009">
        <f t="shared" si="200"/>
        <v>16.617326876838767</v>
      </c>
      <c r="V1321" s="2009">
        <f t="shared" si="201"/>
        <v>-11.467630693733788</v>
      </c>
      <c r="W1321" s="3284">
        <f t="shared" si="202"/>
        <v>1.4695637582178462</v>
      </c>
      <c r="X1321" s="3300"/>
      <c r="Y1321" s="3316"/>
      <c r="AA1321" s="3301"/>
      <c r="AB1321" s="3409"/>
      <c r="AE1321" s="1056"/>
    </row>
    <row r="1322" spans="2:31" x14ac:dyDescent="0.2">
      <c r="B1322" s="2992" t="s">
        <v>628</v>
      </c>
      <c r="C1322" s="2409">
        <v>44420</v>
      </c>
      <c r="D1322" s="2009"/>
      <c r="E1322" s="2535"/>
      <c r="F1322" s="2772"/>
      <c r="G1322" s="2536"/>
      <c r="H1322" s="2411" t="str">
        <f>IFERROR(VLOOKUP(F1322,Trainingsarten!$A$9:$K$84,10,FALSE),"")</f>
        <v/>
      </c>
      <c r="I1322" s="2412" t="str">
        <f t="shared" si="196"/>
        <v/>
      </c>
      <c r="J1322" s="2413"/>
      <c r="K1322" s="2414" t="str">
        <f>IFERROR(VLOOKUP(F1322,Trainingsarten!$A$9:$K$84,11,FALSE),"0")</f>
        <v>0</v>
      </c>
      <c r="L1322" s="2816"/>
      <c r="M1322" s="2840"/>
      <c r="N1322" s="2368" t="str">
        <f t="shared" si="197"/>
        <v/>
      </c>
      <c r="O1322" s="2415"/>
      <c r="P1322" s="2416" t="str">
        <f>IFERROR(VLOOKUP(F1322,Trainingsarten!$A$9:$N$84,12,FALSE),"")</f>
        <v/>
      </c>
      <c r="Q1322" s="2417" t="s">
        <v>437</v>
      </c>
      <c r="R1322" s="2418" t="str">
        <f>IFERROR(VLOOKUP(F1322,Trainingsarten!$A$9:$N$84,14,FALSE),"")</f>
        <v/>
      </c>
      <c r="S1322" s="2419" t="str">
        <f t="shared" si="198"/>
        <v/>
      </c>
      <c r="T1322" s="2009">
        <f t="shared" si="199"/>
        <v>20.931618288567091</v>
      </c>
      <c r="U1322" s="2009">
        <f t="shared" si="200"/>
        <v>16.221676236914035</v>
      </c>
      <c r="V1322" s="2009">
        <f t="shared" si="201"/>
        <v>-7.8028944598228378</v>
      </c>
      <c r="W1322" s="3284">
        <f t="shared" si="202"/>
        <v>1.2903486657522552</v>
      </c>
      <c r="X1322" s="3300"/>
      <c r="Y1322" s="3316"/>
      <c r="AA1322" s="3301"/>
      <c r="AB1322" s="3409"/>
      <c r="AE1322" s="1056"/>
    </row>
    <row r="1323" spans="2:31" ht="16" thickBot="1" x14ac:dyDescent="0.25">
      <c r="B1323" s="2993">
        <f>SUM(K1319:K1325)</f>
        <v>194</v>
      </c>
      <c r="C1323" s="2409">
        <v>44421</v>
      </c>
      <c r="D1323" s="2009">
        <v>88</v>
      </c>
      <c r="E1323" s="2535" t="s">
        <v>835</v>
      </c>
      <c r="F1323" s="2772" t="s">
        <v>943</v>
      </c>
      <c r="G1323" s="2536">
        <v>2.6400462962962962E-2</v>
      </c>
      <c r="H1323" s="2411">
        <v>6.49</v>
      </c>
      <c r="I1323" s="2412">
        <f t="shared" si="196"/>
        <v>4.0678679449865892E-3</v>
      </c>
      <c r="J1323" s="2413">
        <v>141</v>
      </c>
      <c r="K1323" s="2414">
        <v>45</v>
      </c>
      <c r="L1323" s="2816">
        <v>199</v>
      </c>
      <c r="M1323" s="2840">
        <v>18</v>
      </c>
      <c r="N1323" s="2368">
        <f t="shared" si="197"/>
        <v>1.0438999149092749</v>
      </c>
      <c r="O1323" s="2415" t="s">
        <v>911</v>
      </c>
      <c r="P1323" s="2416">
        <f>IFERROR(VLOOKUP(F1323,Trainingsarten!$A$9:$N$84,12,FALSE),"")</f>
        <v>194.60000000000002</v>
      </c>
      <c r="Q1323" s="2417" t="s">
        <v>437</v>
      </c>
      <c r="R1323" s="2418">
        <f>IFERROR(VLOOKUP(F1323,Trainingsarten!$A$9:$N$84,14,FALSE),"")</f>
        <v>212.96</v>
      </c>
      <c r="S1323" s="2419">
        <f t="shared" si="198"/>
        <v>1.4113475177304964</v>
      </c>
      <c r="T1323" s="2009">
        <f t="shared" si="199"/>
        <v>24.369958533057506</v>
      </c>
      <c r="U1323" s="2009">
        <f t="shared" si="200"/>
        <v>16.906874421749414</v>
      </c>
      <c r="V1323" s="2009">
        <f t="shared" si="201"/>
        <v>-4.709942051653055</v>
      </c>
      <c r="W1323" s="3284">
        <f t="shared" si="202"/>
        <v>1.4414230522530764</v>
      </c>
      <c r="X1323" s="3300"/>
      <c r="Y1323" s="3316"/>
      <c r="AA1323" s="3301"/>
      <c r="AB1323" s="3409"/>
      <c r="AE1323" s="1056"/>
    </row>
    <row r="1324" spans="2:31" x14ac:dyDescent="0.2">
      <c r="B1324" s="2994" t="s">
        <v>761</v>
      </c>
      <c r="C1324" s="2409">
        <v>44422</v>
      </c>
      <c r="D1324" s="2009"/>
      <c r="E1324" s="2535"/>
      <c r="F1324" s="2772"/>
      <c r="G1324" s="2536"/>
      <c r="H1324" s="2411" t="str">
        <f>IFERROR(VLOOKUP(F1324,Trainingsarten!$A$9:$K$84,10,FALSE),"")</f>
        <v/>
      </c>
      <c r="I1324" s="2412" t="str">
        <f t="shared" si="196"/>
        <v/>
      </c>
      <c r="J1324" s="2413"/>
      <c r="K1324" s="2414" t="str">
        <f>IFERROR(VLOOKUP(F1324,Trainingsarten!$A$9:$K$84,11,FALSE),"0")</f>
        <v>0</v>
      </c>
      <c r="L1324" s="2816"/>
      <c r="M1324" s="2840"/>
      <c r="N1324" s="2368" t="str">
        <f t="shared" si="197"/>
        <v/>
      </c>
      <c r="O1324" s="2415"/>
      <c r="P1324" s="2416" t="str">
        <f>IFERROR(VLOOKUP(F1324,Trainingsarten!$A$9:$N$84,12,FALSE),"")</f>
        <v/>
      </c>
      <c r="Q1324" s="2417" t="s">
        <v>437</v>
      </c>
      <c r="R1324" s="2418" t="str">
        <f>IFERROR(VLOOKUP(F1324,Trainingsarten!$A$9:$N$84,14,FALSE),"")</f>
        <v/>
      </c>
      <c r="S1324" s="2419" t="str">
        <f t="shared" si="198"/>
        <v/>
      </c>
      <c r="T1324" s="2009">
        <f t="shared" si="199"/>
        <v>20.888535885477861</v>
      </c>
      <c r="U1324" s="2009">
        <f t="shared" si="200"/>
        <v>16.504329792660144</v>
      </c>
      <c r="V1324" s="2009">
        <f t="shared" si="201"/>
        <v>-7.4630841113080919</v>
      </c>
      <c r="W1324" s="3284">
        <f t="shared" si="202"/>
        <v>1.265639753197823</v>
      </c>
      <c r="X1324" s="3300"/>
      <c r="Y1324" s="3316"/>
      <c r="AA1324" s="3301"/>
      <c r="AB1324" s="3409"/>
      <c r="AE1324" s="1056"/>
    </row>
    <row r="1325" spans="2:31" ht="16" thickBot="1" x14ac:dyDescent="0.25">
      <c r="B1325" s="2997">
        <f>AVERAGE(W1319:W1325)</f>
        <v>1.437503911916701</v>
      </c>
      <c r="C1325" s="2517">
        <v>44423</v>
      </c>
      <c r="D1325" s="2518">
        <v>89</v>
      </c>
      <c r="E1325" s="2224" t="s">
        <v>835</v>
      </c>
      <c r="F1325" s="2653" t="s">
        <v>819</v>
      </c>
      <c r="G1325" s="2519">
        <v>4.5312499999999999E-2</v>
      </c>
      <c r="H1325" s="2520">
        <v>10.8</v>
      </c>
      <c r="I1325" s="2521">
        <f t="shared" si="196"/>
        <v>4.1956018518518514E-3</v>
      </c>
      <c r="J1325" s="2522">
        <v>137</v>
      </c>
      <c r="K1325" s="2523">
        <v>74</v>
      </c>
      <c r="L1325" s="2151">
        <v>194</v>
      </c>
      <c r="M1325" s="2841">
        <v>36</v>
      </c>
      <c r="N1325" s="2524">
        <f t="shared" si="197"/>
        <v>1.0496268656716417</v>
      </c>
      <c r="O1325" s="2525" t="s">
        <v>1460</v>
      </c>
      <c r="P1325" s="2526">
        <f>IFERROR(VLOOKUP(F1325,Trainingsarten!$A$9:$N$84,12,FALSE),"")</f>
        <v>194.60000000000002</v>
      </c>
      <c r="Q1325" s="2527" t="s">
        <v>437</v>
      </c>
      <c r="R1325" s="2528">
        <f>IFERROR(VLOOKUP(F1325,Trainingsarten!$A$9:$N$84,14,FALSE),"")</f>
        <v>212.96</v>
      </c>
      <c r="S1325" s="2529">
        <f t="shared" si="198"/>
        <v>1.416058394160584</v>
      </c>
      <c r="T1325" s="2518">
        <f t="shared" si="199"/>
        <v>28.475887901838167</v>
      </c>
      <c r="U1325" s="2518">
        <f t="shared" si="200"/>
        <v>17.873274321406331</v>
      </c>
      <c r="V1325" s="2518">
        <f t="shared" si="201"/>
        <v>-4.3842060928177169</v>
      </c>
      <c r="W1325" s="3287">
        <f t="shared" si="202"/>
        <v>1.593210476702267</v>
      </c>
      <c r="X1325" s="3300"/>
      <c r="Y1325" s="3316"/>
      <c r="AA1325" s="3301"/>
      <c r="AB1325" s="3409"/>
      <c r="AE1325" s="1056"/>
    </row>
    <row r="1326" spans="2:31" ht="16" thickBot="1" x14ac:dyDescent="0.25">
      <c r="B1326" s="2986">
        <f>B1319+1</f>
        <v>33</v>
      </c>
      <c r="C1326" s="2399">
        <v>44424</v>
      </c>
      <c r="D1326" s="2292"/>
      <c r="E1326" s="2069"/>
      <c r="F1326" s="2771"/>
      <c r="G1326" s="2530"/>
      <c r="H1326" s="2401" t="str">
        <f>IFERROR(VLOOKUP(F1326,Trainingsarten!$A$9:$K$84,10,FALSE),"")</f>
        <v/>
      </c>
      <c r="I1326" s="2402" t="str">
        <f t="shared" si="196"/>
        <v/>
      </c>
      <c r="J1326" s="2403"/>
      <c r="K1326" s="2404" t="str">
        <f>IFERROR(VLOOKUP(F1326,Trainingsarten!$A$9:$K$84,11,FALSE),"0")</f>
        <v>0</v>
      </c>
      <c r="L1326" s="2815"/>
      <c r="M1326" s="2591"/>
      <c r="N1326" s="2296" t="str">
        <f t="shared" si="197"/>
        <v/>
      </c>
      <c r="O1326" s="2405"/>
      <c r="P1326" s="2298" t="str">
        <f>IFERROR(VLOOKUP(F1326,Trainingsarten!$A$9:$N$84,12,FALSE),"")</f>
        <v/>
      </c>
      <c r="Q1326" s="2461" t="s">
        <v>437</v>
      </c>
      <c r="R1326" s="2462" t="str">
        <f>IFERROR(VLOOKUP(F1326,Trainingsarten!$A$9:$N$84,14,FALSE),"")</f>
        <v/>
      </c>
      <c r="S1326" s="2408" t="str">
        <f t="shared" si="198"/>
        <v/>
      </c>
      <c r="T1326" s="2292">
        <f t="shared" si="199"/>
        <v>24.407903915861286</v>
      </c>
      <c r="U1326" s="2292">
        <f t="shared" si="200"/>
        <v>17.447720170896655</v>
      </c>
      <c r="V1326" s="2292">
        <f t="shared" si="201"/>
        <v>-10.602613580431836</v>
      </c>
      <c r="W1326" s="3283">
        <f t="shared" si="202"/>
        <v>1.39891651612882</v>
      </c>
      <c r="X1326" s="3300"/>
      <c r="Y1326" s="3316"/>
      <c r="AA1326" s="3301"/>
      <c r="AB1326" s="3409"/>
      <c r="AE1326" s="1056"/>
    </row>
    <row r="1327" spans="2:31" x14ac:dyDescent="0.2">
      <c r="B1327" s="2991" t="s">
        <v>626</v>
      </c>
      <c r="C1327" s="2409">
        <v>44425</v>
      </c>
      <c r="D1327" s="2009">
        <v>90</v>
      </c>
      <c r="E1327" s="2535" t="s">
        <v>836</v>
      </c>
      <c r="F1327" s="2772" t="s">
        <v>943</v>
      </c>
      <c r="G1327" s="2536">
        <v>2.8900462962962961E-2</v>
      </c>
      <c r="H1327" s="2411">
        <v>7.38</v>
      </c>
      <c r="I1327" s="2412">
        <f t="shared" si="196"/>
        <v>3.9160518920004009E-3</v>
      </c>
      <c r="J1327" s="2413">
        <v>139</v>
      </c>
      <c r="K1327" s="2414">
        <v>54</v>
      </c>
      <c r="L1327" s="2816">
        <v>209</v>
      </c>
      <c r="M1327" s="2840">
        <v>26</v>
      </c>
      <c r="N1327" s="2368">
        <f t="shared" si="197"/>
        <v>1.0554402782833796</v>
      </c>
      <c r="O1327" s="2415" t="s">
        <v>911</v>
      </c>
      <c r="P1327" s="2514">
        <f>IFERROR(VLOOKUP(F1327,Trainingsarten!$A$9:$N$84,12,FALSE),"")</f>
        <v>194.60000000000002</v>
      </c>
      <c r="Q1327" s="2515" t="s">
        <v>437</v>
      </c>
      <c r="R1327" s="2516">
        <f>IFERROR(VLOOKUP(F1327,Trainingsarten!$A$9:$N$84,14,FALSE),"")</f>
        <v>212.96</v>
      </c>
      <c r="S1327" s="2419">
        <f t="shared" si="198"/>
        <v>1.5035971223021583</v>
      </c>
      <c r="T1327" s="2009">
        <f t="shared" si="199"/>
        <v>28.63534621359539</v>
      </c>
      <c r="U1327" s="2009">
        <f t="shared" si="200"/>
        <v>18.318012547780068</v>
      </c>
      <c r="V1327" s="2009">
        <f t="shared" si="201"/>
        <v>-6.9601837449646311</v>
      </c>
      <c r="W1327" s="3284">
        <f t="shared" si="202"/>
        <v>1.5632343377265381</v>
      </c>
      <c r="X1327" s="3300"/>
      <c r="Y1327" s="3316"/>
      <c r="AA1327" s="3301"/>
      <c r="AB1327" s="3409"/>
      <c r="AE1327" s="1056"/>
    </row>
    <row r="1328" spans="2:31" ht="16" thickBot="1" x14ac:dyDescent="0.25">
      <c r="B1328" s="2979">
        <f>SUM(H1326:H1332)</f>
        <v>23.16</v>
      </c>
      <c r="C1328" s="2409">
        <v>44426</v>
      </c>
      <c r="D1328" s="2009"/>
      <c r="E1328" s="2535"/>
      <c r="F1328" s="2772"/>
      <c r="G1328" s="2536"/>
      <c r="H1328" s="2411" t="str">
        <f>IFERROR(VLOOKUP(F1328,Trainingsarten!$A$9:$K$84,10,FALSE),"")</f>
        <v/>
      </c>
      <c r="I1328" s="2412" t="str">
        <f t="shared" si="196"/>
        <v/>
      </c>
      <c r="J1328" s="2413"/>
      <c r="K1328" s="2414" t="str">
        <f>IFERROR(VLOOKUP(F1328,Trainingsarten!$A$9:$K$84,11,FALSE),"0")</f>
        <v>0</v>
      </c>
      <c r="L1328" s="2816"/>
      <c r="M1328" s="2840"/>
      <c r="N1328" s="2368" t="str">
        <f t="shared" si="197"/>
        <v/>
      </c>
      <c r="O1328" s="2415"/>
      <c r="P1328" s="2514" t="str">
        <f>IFERROR(VLOOKUP(F1328,Trainingsarten!$A$9:$N$84,12,FALSE),"")</f>
        <v/>
      </c>
      <c r="Q1328" s="2515" t="s">
        <v>437</v>
      </c>
      <c r="R1328" s="2516" t="str">
        <f>IFERROR(VLOOKUP(F1328,Trainingsarten!$A$9:$N$84,14,FALSE),"")</f>
        <v/>
      </c>
      <c r="S1328" s="2419" t="str">
        <f t="shared" si="198"/>
        <v/>
      </c>
      <c r="T1328" s="2009">
        <f t="shared" si="199"/>
        <v>24.544582468796051</v>
      </c>
      <c r="U1328" s="2009">
        <f t="shared" si="200"/>
        <v>17.881869391880542</v>
      </c>
      <c r="V1328" s="2009">
        <f t="shared" si="201"/>
        <v>-10.317333665815323</v>
      </c>
      <c r="W1328" s="3284">
        <f t="shared" si="202"/>
        <v>1.3725960038574483</v>
      </c>
      <c r="X1328" s="3300"/>
      <c r="Y1328" s="3316"/>
      <c r="AA1328" s="3301"/>
      <c r="AB1328" s="3409"/>
      <c r="AE1328" s="1056"/>
    </row>
    <row r="1329" spans="2:31" x14ac:dyDescent="0.2">
      <c r="B1329" s="2992" t="s">
        <v>628</v>
      </c>
      <c r="C1329" s="2409">
        <v>44427</v>
      </c>
      <c r="D1329" s="2009">
        <v>91</v>
      </c>
      <c r="E1329" s="2535" t="s">
        <v>836</v>
      </c>
      <c r="F1329" s="2772" t="s">
        <v>943</v>
      </c>
      <c r="G1329" s="2536">
        <v>2.6990740740740742E-2</v>
      </c>
      <c r="H1329" s="2411">
        <v>7.13</v>
      </c>
      <c r="I1329" s="2412">
        <f t="shared" si="196"/>
        <v>3.7855176354475097E-3</v>
      </c>
      <c r="J1329" s="2413">
        <v>143</v>
      </c>
      <c r="K1329" s="2414">
        <v>54</v>
      </c>
      <c r="L1329" s="2816">
        <v>215</v>
      </c>
      <c r="M1329" s="2840">
        <v>17</v>
      </c>
      <c r="N1329" s="2368">
        <f t="shared" si="197"/>
        <v>1.049548889493626</v>
      </c>
      <c r="O1329" s="2415" t="s">
        <v>1460</v>
      </c>
      <c r="P1329" s="2514">
        <f>IFERROR(VLOOKUP(F1329,Trainingsarten!$A$9:$N$84,12,FALSE),"")</f>
        <v>194.60000000000002</v>
      </c>
      <c r="Q1329" s="2515" t="s">
        <v>437</v>
      </c>
      <c r="R1329" s="2516">
        <f>IFERROR(VLOOKUP(F1329,Trainingsarten!$A$9:$N$84,14,FALSE),"")</f>
        <v>212.96</v>
      </c>
      <c r="S1329" s="2419">
        <f t="shared" si="198"/>
        <v>1.5034965034965035</v>
      </c>
      <c r="T1329" s="2009">
        <f t="shared" si="199"/>
        <v>28.752499258968044</v>
      </c>
      <c r="U1329" s="2009">
        <f t="shared" si="200"/>
        <v>18.741824882550052</v>
      </c>
      <c r="V1329" s="2009">
        <f t="shared" si="201"/>
        <v>-6.6627130769155087</v>
      </c>
      <c r="W1329" s="3284">
        <f t="shared" si="202"/>
        <v>1.5341355198414339</v>
      </c>
      <c r="X1329" s="3300"/>
      <c r="Y1329" s="3316"/>
      <c r="AA1329" s="3301"/>
      <c r="AB1329" s="3409"/>
      <c r="AE1329" s="1056"/>
    </row>
    <row r="1330" spans="2:31" ht="16" thickBot="1" x14ac:dyDescent="0.25">
      <c r="B1330" s="2993">
        <f>SUM(K1326:K1332)</f>
        <v>170</v>
      </c>
      <c r="C1330" s="2409">
        <v>44428</v>
      </c>
      <c r="D1330" s="2009"/>
      <c r="E1330" s="2535"/>
      <c r="F1330" s="2772"/>
      <c r="G1330" s="2536"/>
      <c r="H1330" s="2411" t="str">
        <f>IFERROR(VLOOKUP(F1330,Trainingsarten!$A$9:$K$84,10,FALSE),"")</f>
        <v/>
      </c>
      <c r="I1330" s="2412" t="str">
        <f t="shared" si="196"/>
        <v/>
      </c>
      <c r="J1330" s="2413"/>
      <c r="K1330" s="2414" t="str">
        <f>IFERROR(VLOOKUP(F1330,Trainingsarten!$A$9:$K$84,11,FALSE),"0")</f>
        <v>0</v>
      </c>
      <c r="L1330" s="2816"/>
      <c r="M1330" s="2840"/>
      <c r="N1330" s="2368" t="str">
        <f t="shared" si="197"/>
        <v/>
      </c>
      <c r="O1330" s="2415"/>
      <c r="P1330" s="2514" t="str">
        <f>IFERROR(VLOOKUP(F1330,Trainingsarten!$A$9:$N$84,12,FALSE),"")</f>
        <v/>
      </c>
      <c r="Q1330" s="2515" t="s">
        <v>437</v>
      </c>
      <c r="R1330" s="2516" t="str">
        <f>IFERROR(VLOOKUP(F1330,Trainingsarten!$A$9:$N$84,14,FALSE),"")</f>
        <v/>
      </c>
      <c r="S1330" s="2419" t="str">
        <f t="shared" si="198"/>
        <v/>
      </c>
      <c r="T1330" s="2009">
        <f t="shared" si="199"/>
        <v>24.644999364829751</v>
      </c>
      <c r="U1330" s="2009">
        <f t="shared" si="200"/>
        <v>18.295590956775051</v>
      </c>
      <c r="V1330" s="2009">
        <f t="shared" si="201"/>
        <v>-10.010674376417992</v>
      </c>
      <c r="W1330" s="3284">
        <f t="shared" si="202"/>
        <v>1.3470458222997954</v>
      </c>
      <c r="X1330" s="3300"/>
      <c r="Y1330" s="3316"/>
      <c r="AA1330" s="3301"/>
      <c r="AB1330" s="3409"/>
      <c r="AE1330" s="1056"/>
    </row>
    <row r="1331" spans="2:31" x14ac:dyDescent="0.2">
      <c r="B1331" s="2994" t="s">
        <v>761</v>
      </c>
      <c r="C1331" s="2409">
        <v>44429</v>
      </c>
      <c r="D1331" s="2009"/>
      <c r="E1331" s="2535"/>
      <c r="F1331" s="2772"/>
      <c r="G1331" s="2536"/>
      <c r="H1331" s="2411" t="str">
        <f>IFERROR(VLOOKUP(F1331,Trainingsarten!$A$9:$K$84,10,FALSE),"")</f>
        <v/>
      </c>
      <c r="I1331" s="2412" t="str">
        <f t="shared" si="196"/>
        <v/>
      </c>
      <c r="J1331" s="2413"/>
      <c r="K1331" s="2414" t="str">
        <f>IFERROR(VLOOKUP(F1331,Trainingsarten!$A$9:$K$84,11,FALSE),"0")</f>
        <v>0</v>
      </c>
      <c r="L1331" s="2816"/>
      <c r="M1331" s="2840"/>
      <c r="N1331" s="2368" t="str">
        <f t="shared" si="197"/>
        <v/>
      </c>
      <c r="O1331" s="2415"/>
      <c r="P1331" s="2514" t="str">
        <f>IFERROR(VLOOKUP(F1331,Trainingsarten!$A$9:$N$84,12,FALSE),"")</f>
        <v/>
      </c>
      <c r="Q1331" s="2515" t="s">
        <v>437</v>
      </c>
      <c r="R1331" s="2516" t="str">
        <f>IFERROR(VLOOKUP(F1331,Trainingsarten!$A$9:$N$84,14,FALSE),"")</f>
        <v/>
      </c>
      <c r="S1331" s="2419" t="str">
        <f t="shared" si="198"/>
        <v/>
      </c>
      <c r="T1331" s="2009">
        <f t="shared" si="199"/>
        <v>21.124285169854073</v>
      </c>
      <c r="U1331" s="2009">
        <f t="shared" si="200"/>
        <v>17.859981648280407</v>
      </c>
      <c r="V1331" s="2009">
        <f t="shared" si="201"/>
        <v>-6.3494084080546997</v>
      </c>
      <c r="W1331" s="3284">
        <f t="shared" si="202"/>
        <v>1.1827719415315279</v>
      </c>
      <c r="X1331" s="3300"/>
      <c r="Y1331" s="3316"/>
      <c r="AA1331" s="3301"/>
      <c r="AB1331" s="3409"/>
      <c r="AE1331" s="1056"/>
    </row>
    <row r="1332" spans="2:31" ht="16" thickBot="1" x14ac:dyDescent="0.25">
      <c r="B1332" s="2996">
        <f>AVERAGE(W1326:W1332)</f>
        <v>1.403503515083439</v>
      </c>
      <c r="C1332" s="1631">
        <v>44430</v>
      </c>
      <c r="D1332" s="1108">
        <v>92</v>
      </c>
      <c r="E1332" s="1397" t="s">
        <v>835</v>
      </c>
      <c r="F1332" s="2653" t="s">
        <v>943</v>
      </c>
      <c r="G1332" s="2533">
        <v>3.4432870370370371E-2</v>
      </c>
      <c r="H1332" s="2434">
        <v>8.65</v>
      </c>
      <c r="I1332" s="2435">
        <f t="shared" si="196"/>
        <v>3.9806786555341466E-3</v>
      </c>
      <c r="J1332" s="1310">
        <v>140</v>
      </c>
      <c r="K1332" s="2436">
        <v>62</v>
      </c>
      <c r="L1332" s="2818">
        <v>204</v>
      </c>
      <c r="M1332" s="2798">
        <v>32</v>
      </c>
      <c r="N1332" s="1223">
        <f t="shared" si="197"/>
        <v>1.0471917867310845</v>
      </c>
      <c r="O1332" s="2437" t="s">
        <v>911</v>
      </c>
      <c r="P1332" s="1519">
        <f>IFERROR(VLOOKUP(F1332,Trainingsarten!$A$9:$N$84,12,FALSE),"")</f>
        <v>194.60000000000002</v>
      </c>
      <c r="Q1332" s="2477" t="s">
        <v>437</v>
      </c>
      <c r="R1332" s="2439">
        <f>IFERROR(VLOOKUP(F1332,Trainingsarten!$A$9:$N$84,14,FALSE),"")</f>
        <v>212.96</v>
      </c>
      <c r="S1332" s="2440">
        <f t="shared" si="198"/>
        <v>1.4571428571428571</v>
      </c>
      <c r="T1332" s="1108">
        <f t="shared" si="199"/>
        <v>26.963673002732062</v>
      </c>
      <c r="U1332" s="1108">
        <f t="shared" si="200"/>
        <v>18.910934466178492</v>
      </c>
      <c r="V1332" s="1108">
        <f t="shared" si="201"/>
        <v>-3.264303521573666</v>
      </c>
      <c r="W1332" s="3285">
        <f t="shared" si="202"/>
        <v>1.4258244641985087</v>
      </c>
      <c r="X1332" s="3300"/>
      <c r="Y1332" s="3316"/>
      <c r="AA1332" s="3301"/>
      <c r="AB1332" s="3409"/>
      <c r="AE1332" s="1056"/>
    </row>
    <row r="1333" spans="2:31" ht="16" thickBot="1" x14ac:dyDescent="0.25">
      <c r="B1333" s="2986">
        <f>B1326+1</f>
        <v>34</v>
      </c>
      <c r="C1333" s="2441">
        <v>44431</v>
      </c>
      <c r="D1333" s="1111"/>
      <c r="E1333" s="2087"/>
      <c r="F1333" s="2771"/>
      <c r="G1333" s="2534"/>
      <c r="H1333" s="2443" t="str">
        <f>IFERROR(VLOOKUP(F1333,Trainingsarten!$A$9:$K$84,10,FALSE),"")</f>
        <v/>
      </c>
      <c r="I1333" s="2444" t="str">
        <f t="shared" si="196"/>
        <v/>
      </c>
      <c r="J1333" s="1320"/>
      <c r="K1333" s="2445" t="str">
        <f>IFERROR(VLOOKUP(F1333,Trainingsarten!$A$9:$K$84,11,FALSE),"0")</f>
        <v>0</v>
      </c>
      <c r="L1333" s="2819"/>
      <c r="M1333" s="1320"/>
      <c r="N1333" s="1119" t="str">
        <f t="shared" si="197"/>
        <v/>
      </c>
      <c r="O1333" s="2446"/>
      <c r="P1333" s="1121" t="str">
        <f>IFERROR(VLOOKUP(F1333,Trainingsarten!$A$9:$N$84,12,FALSE),"")</f>
        <v/>
      </c>
      <c r="Q1333" s="2447" t="s">
        <v>437</v>
      </c>
      <c r="R1333" s="2448" t="str">
        <f>IFERROR(VLOOKUP(F1333,Trainingsarten!$A$9:$N$84,14,FALSE),"")</f>
        <v/>
      </c>
      <c r="S1333" s="2449" t="str">
        <f t="shared" si="198"/>
        <v/>
      </c>
      <c r="T1333" s="1111">
        <f t="shared" si="199"/>
        <v>23.11171971662748</v>
      </c>
      <c r="U1333" s="1111">
        <f t="shared" si="200"/>
        <v>18.460674121745672</v>
      </c>
      <c r="V1333" s="1111">
        <f t="shared" si="201"/>
        <v>-8.0527385365535693</v>
      </c>
      <c r="W1333" s="3286">
        <f t="shared" si="202"/>
        <v>1.2519434319791782</v>
      </c>
      <c r="X1333" s="3300"/>
      <c r="Y1333" s="3316"/>
      <c r="AA1333" s="3301"/>
      <c r="AB1333" s="3409"/>
      <c r="AE1333" s="1056"/>
    </row>
    <row r="1334" spans="2:31" x14ac:dyDescent="0.2">
      <c r="B1334" s="2991" t="s">
        <v>626</v>
      </c>
      <c r="C1334" s="2409">
        <v>44432</v>
      </c>
      <c r="D1334" s="2009">
        <v>93</v>
      </c>
      <c r="E1334" s="2535" t="s">
        <v>836</v>
      </c>
      <c r="F1334" s="2772" t="s">
        <v>943</v>
      </c>
      <c r="G1334" s="2536">
        <v>2.8599537037037034E-2</v>
      </c>
      <c r="H1334" s="2411">
        <v>7.51</v>
      </c>
      <c r="I1334" s="2412">
        <f t="shared" si="196"/>
        <v>3.8081940129210431E-3</v>
      </c>
      <c r="J1334" s="2413">
        <v>150</v>
      </c>
      <c r="K1334" s="2414">
        <v>54</v>
      </c>
      <c r="L1334" s="2816">
        <v>214</v>
      </c>
      <c r="M1334" s="2840">
        <v>24</v>
      </c>
      <c r="N1334" s="2368">
        <f t="shared" si="197"/>
        <v>1.0509251346463422</v>
      </c>
      <c r="O1334" s="2415" t="s">
        <v>1460</v>
      </c>
      <c r="P1334" s="2416">
        <f>IFERROR(VLOOKUP(F1334,Trainingsarten!$A$9:$N$84,12,FALSE),"")</f>
        <v>194.60000000000002</v>
      </c>
      <c r="Q1334" s="2417" t="s">
        <v>437</v>
      </c>
      <c r="R1334" s="2418">
        <f>IFERROR(VLOOKUP(F1334,Trainingsarten!$A$9:$N$84,14,FALSE),"")</f>
        <v>212.96</v>
      </c>
      <c r="S1334" s="2419">
        <f t="shared" si="198"/>
        <v>1.4266666666666667</v>
      </c>
      <c r="T1334" s="2009">
        <f t="shared" si="199"/>
        <v>27.524331185680698</v>
      </c>
      <c r="U1334" s="2009">
        <f t="shared" si="200"/>
        <v>19.306848547418394</v>
      </c>
      <c r="V1334" s="2009">
        <f t="shared" si="201"/>
        <v>-4.6510455948818077</v>
      </c>
      <c r="W1334" s="3284">
        <f t="shared" si="202"/>
        <v>1.425625270643204</v>
      </c>
      <c r="X1334" s="3300"/>
      <c r="Y1334" s="3316"/>
      <c r="AA1334" s="3301"/>
      <c r="AB1334" s="3409"/>
      <c r="AE1334" s="1056"/>
    </row>
    <row r="1335" spans="2:31" ht="16" thickBot="1" x14ac:dyDescent="0.25">
      <c r="B1335" s="2979">
        <f>SUM(H1333:H1339)</f>
        <v>25.77</v>
      </c>
      <c r="C1335" s="2409">
        <v>44433</v>
      </c>
      <c r="D1335" s="2009"/>
      <c r="E1335" s="2535"/>
      <c r="F1335" s="2772"/>
      <c r="G1335" s="2536"/>
      <c r="H1335" s="2411" t="str">
        <f>IFERROR(VLOOKUP(F1335,Trainingsarten!$A$9:$K$84,10,FALSE),"")</f>
        <v/>
      </c>
      <c r="I1335" s="2412" t="str">
        <f t="shared" si="196"/>
        <v/>
      </c>
      <c r="J1335" s="2413"/>
      <c r="K1335" s="2414" t="str">
        <f>IFERROR(VLOOKUP(F1335,Trainingsarten!$A$9:$K$84,11,FALSE),"0")</f>
        <v>0</v>
      </c>
      <c r="L1335" s="2816"/>
      <c r="M1335" s="2840"/>
      <c r="N1335" s="2368" t="str">
        <f t="shared" si="197"/>
        <v/>
      </c>
      <c r="O1335" s="2415"/>
      <c r="P1335" s="2416" t="str">
        <f>IFERROR(VLOOKUP(F1335,Trainingsarten!$A$9:$N$84,12,FALSE),"")</f>
        <v/>
      </c>
      <c r="Q1335" s="2417" t="s">
        <v>437</v>
      </c>
      <c r="R1335" s="2418" t="str">
        <f>IFERROR(VLOOKUP(F1335,Trainingsarten!$A$9:$N$84,14,FALSE),"")</f>
        <v/>
      </c>
      <c r="S1335" s="2419" t="str">
        <f t="shared" si="198"/>
        <v/>
      </c>
      <c r="T1335" s="2009">
        <f t="shared" si="199"/>
        <v>23.592283873440596</v>
      </c>
      <c r="U1335" s="2009">
        <f t="shared" si="200"/>
        <v>18.847161677241765</v>
      </c>
      <c r="V1335" s="2009">
        <f t="shared" si="201"/>
        <v>-8.2174826382623039</v>
      </c>
      <c r="W1335" s="3284">
        <f t="shared" si="202"/>
        <v>1.2517685303208621</v>
      </c>
      <c r="X1335" s="3300"/>
      <c r="Y1335" s="3316"/>
      <c r="AA1335" s="3301"/>
      <c r="AB1335" s="3409"/>
      <c r="AE1335" s="1056"/>
    </row>
    <row r="1336" spans="2:31" x14ac:dyDescent="0.2">
      <c r="B1336" s="2992" t="s">
        <v>628</v>
      </c>
      <c r="C1336" s="2409">
        <v>44434</v>
      </c>
      <c r="D1336" s="2009">
        <v>94</v>
      </c>
      <c r="E1336" s="2535" t="s">
        <v>836</v>
      </c>
      <c r="F1336" s="2772" t="s">
        <v>948</v>
      </c>
      <c r="G1336" s="2536">
        <v>3.0335648148148143E-2</v>
      </c>
      <c r="H1336" s="2411">
        <v>8.33</v>
      </c>
      <c r="I1336" s="2412">
        <f t="shared" si="196"/>
        <v>3.6417344715664038E-3</v>
      </c>
      <c r="J1336" s="2413">
        <v>149</v>
      </c>
      <c r="K1336" s="2414">
        <v>66</v>
      </c>
      <c r="L1336" s="2816">
        <v>223</v>
      </c>
      <c r="M1336" s="2840">
        <v>34</v>
      </c>
      <c r="N1336" s="2368">
        <f t="shared" si="197"/>
        <v>1.047254125530809</v>
      </c>
      <c r="O1336" s="2415" t="s">
        <v>911</v>
      </c>
      <c r="P1336" s="2416" t="str">
        <f>IFERROR(VLOOKUP(F1336,Trainingsarten!$A$9:$N$84,12,FALSE),"")</f>
        <v/>
      </c>
      <c r="Q1336" s="2417" t="s">
        <v>437</v>
      </c>
      <c r="R1336" s="2418" t="str">
        <f>IFERROR(VLOOKUP(F1336,Trainingsarten!$A$9:$N$84,14,FALSE),"")</f>
        <v/>
      </c>
      <c r="S1336" s="2419">
        <f t="shared" si="198"/>
        <v>1.4966442953020134</v>
      </c>
      <c r="T1336" s="2009">
        <f t="shared" si="199"/>
        <v>29.650529034377655</v>
      </c>
      <c r="U1336" s="2009">
        <f t="shared" si="200"/>
        <v>19.969848303974103</v>
      </c>
      <c r="V1336" s="2009">
        <f t="shared" si="201"/>
        <v>-4.7451221961988317</v>
      </c>
      <c r="W1336" s="3284">
        <f t="shared" si="202"/>
        <v>1.4847648606563049</v>
      </c>
      <c r="X1336" s="3300"/>
      <c r="Y1336" s="3316"/>
      <c r="AA1336" s="3301"/>
      <c r="AB1336" s="3409"/>
      <c r="AE1336" s="1056"/>
    </row>
    <row r="1337" spans="2:31" ht="16" thickBot="1" x14ac:dyDescent="0.25">
      <c r="B1337" s="2993">
        <f>SUM(K1333:K1339)</f>
        <v>187</v>
      </c>
      <c r="C1337" s="2409">
        <v>44435</v>
      </c>
      <c r="D1337" s="2009"/>
      <c r="E1337" s="2535"/>
      <c r="F1337" s="2772"/>
      <c r="G1337" s="2536"/>
      <c r="H1337" s="2411" t="str">
        <f>IFERROR(VLOOKUP(F1337,Trainingsarten!$A$9:$K$84,10,FALSE),"")</f>
        <v/>
      </c>
      <c r="I1337" s="2412" t="str">
        <f t="shared" si="196"/>
        <v/>
      </c>
      <c r="J1337" s="2413"/>
      <c r="K1337" s="2414" t="str">
        <f>IFERROR(VLOOKUP(F1337,Trainingsarten!$A$9:$K$84,11,FALSE),"0")</f>
        <v>0</v>
      </c>
      <c r="L1337" s="2816"/>
      <c r="M1337" s="2840"/>
      <c r="N1337" s="2368" t="str">
        <f t="shared" si="197"/>
        <v/>
      </c>
      <c r="O1337" s="2415"/>
      <c r="P1337" s="2416" t="str">
        <f>IFERROR(VLOOKUP(F1337,Trainingsarten!$A$9:$N$84,12,FALSE),"")</f>
        <v/>
      </c>
      <c r="Q1337" s="2417" t="s">
        <v>437</v>
      </c>
      <c r="R1337" s="2418" t="str">
        <f>IFERROR(VLOOKUP(F1337,Trainingsarten!$A$9:$N$84,14,FALSE),"")</f>
        <v/>
      </c>
      <c r="S1337" s="2419" t="str">
        <f t="shared" si="198"/>
        <v/>
      </c>
      <c r="T1337" s="2009">
        <f t="shared" si="199"/>
        <v>25.414739172323706</v>
      </c>
      <c r="U1337" s="2009">
        <f t="shared" si="200"/>
        <v>19.494375725308053</v>
      </c>
      <c r="V1337" s="2009">
        <f t="shared" si="201"/>
        <v>-9.6806807304035516</v>
      </c>
      <c r="W1337" s="3284">
        <f t="shared" si="202"/>
        <v>1.303695975210414</v>
      </c>
      <c r="X1337" s="3300"/>
      <c r="Y1337" s="3316"/>
      <c r="AA1337" s="3301"/>
      <c r="AB1337" s="3409"/>
      <c r="AE1337" s="1056"/>
    </row>
    <row r="1338" spans="2:31" x14ac:dyDescent="0.2">
      <c r="B1338" s="2994" t="s">
        <v>761</v>
      </c>
      <c r="C1338" s="2409">
        <v>44436</v>
      </c>
      <c r="D1338" s="2009">
        <v>95</v>
      </c>
      <c r="E1338" s="2535" t="s">
        <v>835</v>
      </c>
      <c r="F1338" s="2772" t="s">
        <v>819</v>
      </c>
      <c r="G1338" s="2536">
        <v>4.0335648148148148E-2</v>
      </c>
      <c r="H1338" s="2411">
        <v>9.93</v>
      </c>
      <c r="I1338" s="2412">
        <f t="shared" si="196"/>
        <v>4.0619988064600349E-3</v>
      </c>
      <c r="J1338" s="2413">
        <v>136</v>
      </c>
      <c r="K1338" s="2414">
        <v>67</v>
      </c>
      <c r="L1338" s="2816">
        <v>200</v>
      </c>
      <c r="M1338" s="2840">
        <v>25</v>
      </c>
      <c r="N1338" s="2368">
        <f t="shared" si="197"/>
        <v>1.0476319309795434</v>
      </c>
      <c r="O1338" s="2415" t="s">
        <v>1460</v>
      </c>
      <c r="P1338" s="2416">
        <f>IFERROR(VLOOKUP(F1338,Trainingsarten!$A$9:$N$84,12,FALSE),"")</f>
        <v>194.60000000000002</v>
      </c>
      <c r="Q1338" s="2417" t="s">
        <v>437</v>
      </c>
      <c r="R1338" s="2418">
        <f>IFERROR(VLOOKUP(F1338,Trainingsarten!$A$9:$N$84,14,FALSE),"")</f>
        <v>212.96</v>
      </c>
      <c r="S1338" s="2419">
        <f t="shared" si="198"/>
        <v>1.4705882352941178</v>
      </c>
      <c r="T1338" s="2009">
        <f t="shared" si="199"/>
        <v>31.355490719134608</v>
      </c>
      <c r="U1338" s="2009">
        <f t="shared" si="200"/>
        <v>20.625462017562622</v>
      </c>
      <c r="V1338" s="2009">
        <f t="shared" si="201"/>
        <v>-5.920363447015653</v>
      </c>
      <c r="W1338" s="3284">
        <f t="shared" si="202"/>
        <v>1.5202321621903716</v>
      </c>
      <c r="X1338" s="3300"/>
      <c r="Y1338" s="3316"/>
      <c r="AA1338" s="3301"/>
      <c r="AB1338" s="3409"/>
      <c r="AE1338" s="1056"/>
    </row>
    <row r="1339" spans="2:31" ht="16" thickBot="1" x14ac:dyDescent="0.25">
      <c r="B1339" s="2997">
        <f>AVERAGE(W1333:W1339)</f>
        <v>1.3675526038671328</v>
      </c>
      <c r="C1339" s="2517">
        <v>44437</v>
      </c>
      <c r="D1339" s="2518"/>
      <c r="E1339" s="2224"/>
      <c r="F1339" s="2653"/>
      <c r="G1339" s="2519"/>
      <c r="H1339" s="2520" t="str">
        <f>IFERROR(VLOOKUP(F1339,Trainingsarten!$A$9:$K$84,10,FALSE),"")</f>
        <v/>
      </c>
      <c r="I1339" s="2521" t="str">
        <f t="shared" si="196"/>
        <v/>
      </c>
      <c r="J1339" s="2522"/>
      <c r="K1339" s="2523" t="str">
        <f>IFERROR(VLOOKUP(F1339,Trainingsarten!$A$9:$K$84,11,FALSE),"0")</f>
        <v>0</v>
      </c>
      <c r="L1339" s="2151"/>
      <c r="M1339" s="2841"/>
      <c r="N1339" s="2524" t="str">
        <f t="shared" si="197"/>
        <v/>
      </c>
      <c r="O1339" s="2525"/>
      <c r="P1339" s="2526" t="str">
        <f>IFERROR(VLOOKUP(F1339,Trainingsarten!$A$9:$N$84,12,FALSE),"")</f>
        <v/>
      </c>
      <c r="Q1339" s="2527" t="s">
        <v>437</v>
      </c>
      <c r="R1339" s="2528" t="str">
        <f>IFERROR(VLOOKUP(F1339,Trainingsarten!$A$9:$N$84,14,FALSE),"")</f>
        <v/>
      </c>
      <c r="S1339" s="2529" t="str">
        <f t="shared" si="198"/>
        <v/>
      </c>
      <c r="T1339" s="2518">
        <f t="shared" si="199"/>
        <v>26.876134902115378</v>
      </c>
      <c r="U1339" s="2518">
        <f t="shared" si="200"/>
        <v>20.134379588573037</v>
      </c>
      <c r="V1339" s="2518">
        <f t="shared" si="201"/>
        <v>-10.730028701571985</v>
      </c>
      <c r="W1339" s="3287">
        <f t="shared" si="202"/>
        <v>1.3348379960695944</v>
      </c>
      <c r="X1339" s="3300"/>
      <c r="Y1339" s="3316"/>
      <c r="AA1339" s="3301"/>
      <c r="AB1339" s="3409"/>
      <c r="AE1339" s="1056"/>
    </row>
    <row r="1340" spans="2:31" ht="16" thickBot="1" x14ac:dyDescent="0.25">
      <c r="B1340" s="2986">
        <f>B1333+1</f>
        <v>35</v>
      </c>
      <c r="C1340" s="2399">
        <v>44438</v>
      </c>
      <c r="D1340" s="2292"/>
      <c r="E1340" s="2069"/>
      <c r="F1340" s="2771"/>
      <c r="G1340" s="2530"/>
      <c r="H1340" s="2401" t="str">
        <f>IFERROR(VLOOKUP(F1340,Trainingsarten!$A$9:$K$84,10,FALSE),"")</f>
        <v/>
      </c>
      <c r="I1340" s="2402" t="str">
        <f t="shared" si="196"/>
        <v/>
      </c>
      <c r="J1340" s="2403"/>
      <c r="K1340" s="2404" t="str">
        <f>IFERROR(VLOOKUP(F1340,Trainingsarten!$A$9:$K$84,11,FALSE),"0")</f>
        <v>0</v>
      </c>
      <c r="L1340" s="2815"/>
      <c r="M1340" s="2591"/>
      <c r="N1340" s="2296" t="str">
        <f t="shared" si="197"/>
        <v/>
      </c>
      <c r="O1340" s="2405"/>
      <c r="P1340" s="2298" t="str">
        <f>IFERROR(VLOOKUP(F1340,Trainingsarten!$A$9:$N$84,12,FALSE),"")</f>
        <v/>
      </c>
      <c r="Q1340" s="2461" t="s">
        <v>437</v>
      </c>
      <c r="R1340" s="2462" t="str">
        <f>IFERROR(VLOOKUP(F1340,Trainingsarten!$A$9:$N$84,14,FALSE),"")</f>
        <v/>
      </c>
      <c r="S1340" s="2408" t="str">
        <f t="shared" si="198"/>
        <v/>
      </c>
      <c r="T1340" s="2292">
        <f t="shared" si="199"/>
        <v>23.036687058956037</v>
      </c>
      <c r="U1340" s="2292">
        <f t="shared" si="200"/>
        <v>19.654989598368918</v>
      </c>
      <c r="V1340" s="2292">
        <f t="shared" si="201"/>
        <v>-6.7417553135423418</v>
      </c>
      <c r="W1340" s="3283">
        <f t="shared" si="202"/>
        <v>1.1720528745976926</v>
      </c>
      <c r="X1340" s="3300"/>
      <c r="Y1340" s="3316"/>
      <c r="AA1340" s="3301"/>
      <c r="AB1340" s="3409"/>
      <c r="AE1340" s="1056"/>
    </row>
    <row r="1341" spans="2:31" x14ac:dyDescent="0.2">
      <c r="B1341" s="2991" t="s">
        <v>626</v>
      </c>
      <c r="C1341" s="2409">
        <v>44439</v>
      </c>
      <c r="D1341" s="2009">
        <v>96</v>
      </c>
      <c r="E1341" s="2535" t="s">
        <v>836</v>
      </c>
      <c r="F1341" s="2772" t="s">
        <v>819</v>
      </c>
      <c r="G1341" s="2536">
        <v>4.0462962962962964E-2</v>
      </c>
      <c r="H1341" s="2411">
        <v>10.49</v>
      </c>
      <c r="I1341" s="2412">
        <f t="shared" si="196"/>
        <v>3.8572891289764505E-3</v>
      </c>
      <c r="J1341" s="2413">
        <v>146</v>
      </c>
      <c r="K1341" s="2414">
        <v>75</v>
      </c>
      <c r="L1341" s="2816">
        <v>213</v>
      </c>
      <c r="M1341" s="2840">
        <v>32</v>
      </c>
      <c r="N1341" s="2368">
        <f t="shared" si="197"/>
        <v>1.0594994522146182</v>
      </c>
      <c r="O1341" s="2415" t="s">
        <v>911</v>
      </c>
      <c r="P1341" s="2514">
        <f>IFERROR(VLOOKUP(F1341,Trainingsarten!$A$9:$N$84,12,FALSE),"")</f>
        <v>194.60000000000002</v>
      </c>
      <c r="Q1341" s="2515" t="s">
        <v>437</v>
      </c>
      <c r="R1341" s="2516">
        <f>IFERROR(VLOOKUP(F1341,Trainingsarten!$A$9:$N$84,14,FALSE),"")</f>
        <v>212.96</v>
      </c>
      <c r="S1341" s="2419">
        <f t="shared" si="198"/>
        <v>1.4589041095890412</v>
      </c>
      <c r="T1341" s="2009">
        <f t="shared" si="199"/>
        <v>30.460017479105176</v>
      </c>
      <c r="U1341" s="2009">
        <f t="shared" si="200"/>
        <v>20.972727941264896</v>
      </c>
      <c r="V1341" s="2009">
        <f t="shared" si="201"/>
        <v>-3.3816974605871195</v>
      </c>
      <c r="W1341" s="3284">
        <f t="shared" si="202"/>
        <v>1.452363162503699</v>
      </c>
      <c r="X1341" s="3300"/>
      <c r="Y1341" s="3316"/>
      <c r="AA1341" s="3301"/>
      <c r="AB1341" s="3409"/>
      <c r="AE1341" s="1056"/>
    </row>
    <row r="1342" spans="2:31" ht="16" thickBot="1" x14ac:dyDescent="0.25">
      <c r="B1342" s="2979">
        <f>SUM(H1340:H1346)</f>
        <v>30.1</v>
      </c>
      <c r="C1342" s="2409">
        <v>44440</v>
      </c>
      <c r="D1342" s="2009"/>
      <c r="E1342" s="2535"/>
      <c r="F1342" s="2772"/>
      <c r="G1342" s="2536"/>
      <c r="H1342" s="2411" t="str">
        <f>IFERROR(VLOOKUP(F1342,Trainingsarten!$A$9:$K$84,10,FALSE),"")</f>
        <v/>
      </c>
      <c r="I1342" s="2412" t="str">
        <f t="shared" si="196"/>
        <v/>
      </c>
      <c r="J1342" s="2413"/>
      <c r="K1342" s="2414" t="str">
        <f>IFERROR(VLOOKUP(F1342,Trainingsarten!$A$9:$K$84,11,FALSE),"0")</f>
        <v>0</v>
      </c>
      <c r="L1342" s="2816"/>
      <c r="M1342" s="2840"/>
      <c r="N1342" s="2368" t="str">
        <f t="shared" si="197"/>
        <v/>
      </c>
      <c r="O1342" s="2415"/>
      <c r="P1342" s="2514" t="str">
        <f>IFERROR(VLOOKUP(F1342,Trainingsarten!$A$9:$N$84,12,FALSE),"")</f>
        <v/>
      </c>
      <c r="Q1342" s="2515" t="s">
        <v>437</v>
      </c>
      <c r="R1342" s="2516" t="str">
        <f>IFERROR(VLOOKUP(F1342,Trainingsarten!$A$9:$N$84,14,FALSE),"")</f>
        <v/>
      </c>
      <c r="S1342" s="2419" t="str">
        <f t="shared" si="198"/>
        <v/>
      </c>
      <c r="T1342" s="2009">
        <f t="shared" si="199"/>
        <v>26.10858641066158</v>
      </c>
      <c r="U1342" s="2009">
        <f t="shared" si="200"/>
        <v>20.473377275996683</v>
      </c>
      <c r="V1342" s="2009">
        <f t="shared" si="201"/>
        <v>-9.4872895378402795</v>
      </c>
      <c r="W1342" s="3284">
        <f t="shared" si="202"/>
        <v>1.2752457036617846</v>
      </c>
      <c r="X1342" s="3300"/>
      <c r="Y1342" s="3316"/>
      <c r="AA1342" s="3301"/>
      <c r="AB1342" s="3409"/>
      <c r="AE1342" s="1056"/>
    </row>
    <row r="1343" spans="2:31" x14ac:dyDescent="0.2">
      <c r="B1343" s="2992" t="s">
        <v>628</v>
      </c>
      <c r="C1343" s="2409">
        <v>44441</v>
      </c>
      <c r="D1343" s="2009">
        <v>97</v>
      </c>
      <c r="E1343" s="2535" t="s">
        <v>836</v>
      </c>
      <c r="F1343" s="2772" t="s">
        <v>949</v>
      </c>
      <c r="G1343" s="2536">
        <v>3.1898148148148148E-2</v>
      </c>
      <c r="H1343" s="2411">
        <v>8.9700000000000006</v>
      </c>
      <c r="I1343" s="2412">
        <f t="shared" si="196"/>
        <v>3.556092324208266E-3</v>
      </c>
      <c r="J1343" s="2413">
        <v>152</v>
      </c>
      <c r="K1343" s="2414">
        <v>69</v>
      </c>
      <c r="L1343" s="2816">
        <v>226</v>
      </c>
      <c r="M1343" s="2840">
        <v>16</v>
      </c>
      <c r="N1343" s="2368">
        <f t="shared" si="197"/>
        <v>1.0363833008868699</v>
      </c>
      <c r="O1343" s="2415" t="s">
        <v>1463</v>
      </c>
      <c r="P1343" s="2514" t="str">
        <f>IFERROR(VLOOKUP(F1343,Trainingsarten!$A$9:$N$84,12,FALSE),"")</f>
        <v/>
      </c>
      <c r="Q1343" s="2515" t="s">
        <v>437</v>
      </c>
      <c r="R1343" s="2516" t="str">
        <f>IFERROR(VLOOKUP(F1343,Trainingsarten!$A$9:$N$84,14,FALSE),"")</f>
        <v/>
      </c>
      <c r="S1343" s="2419">
        <f t="shared" si="198"/>
        <v>1.486842105263158</v>
      </c>
      <c r="T1343" s="2009">
        <f t="shared" si="199"/>
        <v>32.235931209138499</v>
      </c>
      <c r="U1343" s="2009">
        <f t="shared" si="200"/>
        <v>21.628773055139618</v>
      </c>
      <c r="V1343" s="2009">
        <f t="shared" si="201"/>
        <v>-5.6352091346648976</v>
      </c>
      <c r="W1343" s="3284">
        <f t="shared" si="202"/>
        <v>1.4904188567218941</v>
      </c>
      <c r="X1343" s="3300"/>
      <c r="Y1343" s="3316"/>
      <c r="AA1343" s="3301"/>
      <c r="AB1343" s="3409"/>
      <c r="AE1343" s="1056"/>
    </row>
    <row r="1344" spans="2:31" ht="16" thickBot="1" x14ac:dyDescent="0.25">
      <c r="B1344" s="2993">
        <f>SUM(K1340:K1346)</f>
        <v>215</v>
      </c>
      <c r="C1344" s="2409">
        <v>44442</v>
      </c>
      <c r="D1344" s="2009"/>
      <c r="E1344" s="2535"/>
      <c r="F1344" s="2772"/>
      <c r="G1344" s="2536"/>
      <c r="H1344" s="2411" t="str">
        <f>IFERROR(VLOOKUP(F1344,Trainingsarten!$A$9:$K$84,10,FALSE),"")</f>
        <v/>
      </c>
      <c r="I1344" s="2412" t="str">
        <f t="shared" si="196"/>
        <v/>
      </c>
      <c r="J1344" s="2413"/>
      <c r="K1344" s="2414" t="str">
        <f>IFERROR(VLOOKUP(F1344,Trainingsarten!$A$9:$K$84,11,FALSE),"0")</f>
        <v>0</v>
      </c>
      <c r="L1344" s="2816"/>
      <c r="M1344" s="2840"/>
      <c r="N1344" s="2368" t="str">
        <f t="shared" si="197"/>
        <v/>
      </c>
      <c r="O1344" s="2415"/>
      <c r="P1344" s="2514" t="str">
        <f>IFERROR(VLOOKUP(F1344,Trainingsarten!$A$9:$N$84,12,FALSE),"")</f>
        <v/>
      </c>
      <c r="Q1344" s="2515" t="s">
        <v>437</v>
      </c>
      <c r="R1344" s="2516" t="str">
        <f>IFERROR(VLOOKUP(F1344,Trainingsarten!$A$9:$N$84,14,FALSE),"")</f>
        <v/>
      </c>
      <c r="S1344" s="2419" t="str">
        <f t="shared" si="198"/>
        <v/>
      </c>
      <c r="T1344" s="2009">
        <f t="shared" si="199"/>
        <v>27.630798179261571</v>
      </c>
      <c r="U1344" s="2009">
        <f t="shared" si="200"/>
        <v>21.113802268112483</v>
      </c>
      <c r="V1344" s="2009">
        <f t="shared" si="201"/>
        <v>-10.607158153998881</v>
      </c>
      <c r="W1344" s="3284">
        <f t="shared" si="202"/>
        <v>1.3086604595606877</v>
      </c>
      <c r="X1344" s="3300"/>
      <c r="Y1344" s="3316"/>
      <c r="AA1344" s="3301"/>
      <c r="AB1344" s="3409"/>
      <c r="AE1344" s="1056"/>
    </row>
    <row r="1345" spans="2:31" x14ac:dyDescent="0.2">
      <c r="B1345" s="2994" t="s">
        <v>761</v>
      </c>
      <c r="C1345" s="2409">
        <v>44443</v>
      </c>
      <c r="D1345" s="2009">
        <v>98</v>
      </c>
      <c r="E1345" s="2535" t="s">
        <v>835</v>
      </c>
      <c r="F1345" s="2772" t="s">
        <v>819</v>
      </c>
      <c r="G1345" s="2536">
        <v>4.3263888888888886E-2</v>
      </c>
      <c r="H1345" s="2411">
        <v>10.64</v>
      </c>
      <c r="I1345" s="2412">
        <f t="shared" si="196"/>
        <v>4.0661549707602333E-3</v>
      </c>
      <c r="J1345" s="2413">
        <v>134</v>
      </c>
      <c r="K1345" s="2414">
        <v>71</v>
      </c>
      <c r="L1345" s="2816">
        <v>200</v>
      </c>
      <c r="M1345" s="2840">
        <v>39</v>
      </c>
      <c r="N1345" s="2368">
        <f t="shared" si="197"/>
        <v>1.0487038491751768</v>
      </c>
      <c r="O1345" s="2415" t="s">
        <v>1460</v>
      </c>
      <c r="P1345" s="2514">
        <f>IFERROR(VLOOKUP(F1345,Trainingsarten!$A$9:$N$84,12,FALSE),"")</f>
        <v>194.60000000000002</v>
      </c>
      <c r="Q1345" s="2515" t="s">
        <v>437</v>
      </c>
      <c r="R1345" s="2516">
        <f>IFERROR(VLOOKUP(F1345,Trainingsarten!$A$9:$N$84,14,FALSE),"")</f>
        <v>212.96</v>
      </c>
      <c r="S1345" s="2419">
        <f t="shared" si="198"/>
        <v>1.4925373134328359</v>
      </c>
      <c r="T1345" s="2009">
        <f t="shared" si="199"/>
        <v>33.826398439367061</v>
      </c>
      <c r="U1345" s="2009">
        <f t="shared" si="200"/>
        <v>22.301568880776472</v>
      </c>
      <c r="V1345" s="2009">
        <f t="shared" si="201"/>
        <v>-6.5169959111490883</v>
      </c>
      <c r="W1345" s="3284">
        <f t="shared" si="202"/>
        <v>1.5167721437089017</v>
      </c>
      <c r="X1345" s="3300"/>
      <c r="Y1345" s="3316"/>
      <c r="AA1345" s="3301"/>
      <c r="AB1345" s="3409"/>
      <c r="AE1345" s="1056"/>
    </row>
    <row r="1346" spans="2:31" ht="16" thickBot="1" x14ac:dyDescent="0.25">
      <c r="B1346" s="2997">
        <f>AVERAGE(W1340:W1346)</f>
        <v>1.3639018759737336</v>
      </c>
      <c r="C1346" s="1631">
        <v>44444</v>
      </c>
      <c r="D1346" s="1108"/>
      <c r="E1346" s="1397"/>
      <c r="F1346" s="2653"/>
      <c r="G1346" s="2533"/>
      <c r="H1346" s="2434" t="str">
        <f>IFERROR(VLOOKUP(F1346,Trainingsarten!$A$9:$K$84,10,FALSE),"")</f>
        <v/>
      </c>
      <c r="I1346" s="2435" t="str">
        <f t="shared" si="196"/>
        <v/>
      </c>
      <c r="J1346" s="1310"/>
      <c r="K1346" s="2436" t="str">
        <f>IFERROR(VLOOKUP(F1346,Trainingsarten!$A$9:$K$84,11,FALSE),"0")</f>
        <v>0</v>
      </c>
      <c r="L1346" s="2818"/>
      <c r="M1346" s="2798"/>
      <c r="N1346" s="1223" t="str">
        <f t="shared" si="197"/>
        <v/>
      </c>
      <c r="O1346" s="2437"/>
      <c r="P1346" s="1519" t="str">
        <f>IFERROR(VLOOKUP(F1346,Trainingsarten!$A$9:$N$84,12,FALSE),"")</f>
        <v/>
      </c>
      <c r="Q1346" s="2477" t="s">
        <v>437</v>
      </c>
      <c r="R1346" s="2439" t="str">
        <f>IFERROR(VLOOKUP(F1346,Trainingsarten!$A$9:$N$84,14,FALSE),"")</f>
        <v/>
      </c>
      <c r="S1346" s="2440" t="str">
        <f t="shared" si="198"/>
        <v/>
      </c>
      <c r="T1346" s="1108">
        <f t="shared" si="199"/>
        <v>28.994055805171769</v>
      </c>
      <c r="U1346" s="1108">
        <f t="shared" si="200"/>
        <v>21.770579145519889</v>
      </c>
      <c r="V1346" s="1108">
        <f t="shared" si="201"/>
        <v>-11.524829558590589</v>
      </c>
      <c r="W1346" s="3285">
        <f t="shared" si="202"/>
        <v>1.3317999310614748</v>
      </c>
      <c r="X1346" s="3300"/>
      <c r="Y1346" s="3316"/>
      <c r="AA1346" s="3301"/>
      <c r="AB1346" s="3409"/>
      <c r="AE1346" s="1056"/>
    </row>
    <row r="1347" spans="2:31" ht="16" thickBot="1" x14ac:dyDescent="0.25">
      <c r="B1347" s="2986">
        <f>B1340+1</f>
        <v>36</v>
      </c>
      <c r="C1347" s="2441">
        <v>44445</v>
      </c>
      <c r="D1347" s="1111"/>
      <c r="E1347" s="2087"/>
      <c r="F1347" s="2771"/>
      <c r="G1347" s="2534"/>
      <c r="H1347" s="2443" t="str">
        <f>IFERROR(VLOOKUP(F1347,Trainingsarten!$A$9:$K$84,10,FALSE),"")</f>
        <v/>
      </c>
      <c r="I1347" s="2444" t="str">
        <f t="shared" si="196"/>
        <v/>
      </c>
      <c r="J1347" s="1320"/>
      <c r="K1347" s="2445" t="str">
        <f>IFERROR(VLOOKUP(F1347,Trainingsarten!$A$9:$K$84,11,FALSE),"0")</f>
        <v>0</v>
      </c>
      <c r="L1347" s="2819"/>
      <c r="M1347" s="1320"/>
      <c r="N1347" s="1119" t="str">
        <f t="shared" si="197"/>
        <v/>
      </c>
      <c r="O1347" s="2446"/>
      <c r="P1347" s="1121" t="str">
        <f>IFERROR(VLOOKUP(F1347,Trainingsarten!$A$9:$N$84,12,FALSE),"")</f>
        <v/>
      </c>
      <c r="Q1347" s="2447" t="s">
        <v>437</v>
      </c>
      <c r="R1347" s="2448" t="str">
        <f>IFERROR(VLOOKUP(F1347,Trainingsarten!$A$9:$N$84,14,FALSE),"")</f>
        <v/>
      </c>
      <c r="S1347" s="2449" t="str">
        <f t="shared" si="198"/>
        <v/>
      </c>
      <c r="T1347" s="1111">
        <f t="shared" si="199"/>
        <v>24.852047833004374</v>
      </c>
      <c r="U1347" s="1111">
        <f t="shared" si="200"/>
        <v>21.252232023007512</v>
      </c>
      <c r="V1347" s="1111">
        <f t="shared" si="201"/>
        <v>-7.2234766596518796</v>
      </c>
      <c r="W1347" s="3286">
        <f t="shared" si="202"/>
        <v>1.1693853053222705</v>
      </c>
      <c r="X1347" s="3300"/>
      <c r="Y1347" s="3316"/>
      <c r="AA1347" s="3301"/>
      <c r="AB1347" s="3409"/>
      <c r="AE1347" s="1056"/>
    </row>
    <row r="1348" spans="2:31" x14ac:dyDescent="0.2">
      <c r="B1348" s="2991" t="s">
        <v>626</v>
      </c>
      <c r="C1348" s="2409">
        <v>44446</v>
      </c>
      <c r="D1348" s="2009">
        <v>99</v>
      </c>
      <c r="E1348" s="2535" t="s">
        <v>836</v>
      </c>
      <c r="F1348" s="2772" t="s">
        <v>819</v>
      </c>
      <c r="G1348" s="2536">
        <v>4.2905092592592592E-2</v>
      </c>
      <c r="H1348" s="2411">
        <v>11.3</v>
      </c>
      <c r="I1348" s="2412">
        <f t="shared" si="196"/>
        <v>3.7969108489019992E-3</v>
      </c>
      <c r="J1348" s="2413">
        <v>139</v>
      </c>
      <c r="K1348" s="2414">
        <v>78</v>
      </c>
      <c r="L1348" s="2816">
        <v>215</v>
      </c>
      <c r="M1348" s="2840">
        <v>33</v>
      </c>
      <c r="N1348" s="2368">
        <f t="shared" si="197"/>
        <v>1.0527077004358736</v>
      </c>
      <c r="O1348" s="2415" t="s">
        <v>911</v>
      </c>
      <c r="P1348" s="2416">
        <f>IFERROR(VLOOKUP(F1348,Trainingsarten!$A$9:$N$84,12,FALSE),"")</f>
        <v>194.60000000000002</v>
      </c>
      <c r="Q1348" s="2417" t="s">
        <v>437</v>
      </c>
      <c r="R1348" s="2418">
        <f>IFERROR(VLOOKUP(F1348,Trainingsarten!$A$9:$N$84,14,FALSE),"")</f>
        <v>212.96</v>
      </c>
      <c r="S1348" s="2419">
        <f t="shared" si="198"/>
        <v>1.5467625899280575</v>
      </c>
      <c r="T1348" s="2009">
        <f t="shared" si="199"/>
        <v>32.44461242828946</v>
      </c>
      <c r="U1348" s="2009">
        <f t="shared" si="200"/>
        <v>22.603369355793049</v>
      </c>
      <c r="V1348" s="2009">
        <f t="shared" si="201"/>
        <v>-3.599815809996862</v>
      </c>
      <c r="W1348" s="3284">
        <f t="shared" si="202"/>
        <v>1.4353883227579161</v>
      </c>
      <c r="X1348" s="3300"/>
      <c r="Y1348" s="3316"/>
      <c r="AA1348" s="3301"/>
      <c r="AB1348" s="3409"/>
      <c r="AE1348" s="1056"/>
    </row>
    <row r="1349" spans="2:31" ht="16" thickBot="1" x14ac:dyDescent="0.25">
      <c r="B1349" s="2979">
        <f>SUM(H1347:H1353)</f>
        <v>31.53</v>
      </c>
      <c r="C1349" s="2409">
        <v>44447</v>
      </c>
      <c r="D1349" s="2009"/>
      <c r="E1349" s="2535"/>
      <c r="F1349" s="2772"/>
      <c r="G1349" s="2536"/>
      <c r="H1349" s="2411" t="str">
        <f>IFERROR(VLOOKUP(F1349,Trainingsarten!$A$9:$K$84,10,FALSE),"")</f>
        <v/>
      </c>
      <c r="I1349" s="2412" t="str">
        <f t="shared" si="196"/>
        <v/>
      </c>
      <c r="J1349" s="2413"/>
      <c r="K1349" s="2414" t="str">
        <f>IFERROR(VLOOKUP(F1349,Trainingsarten!$A$9:$K$84,11,FALSE),"0")</f>
        <v>0</v>
      </c>
      <c r="L1349" s="2816"/>
      <c r="M1349" s="2840"/>
      <c r="N1349" s="2368" t="str">
        <f t="shared" si="197"/>
        <v/>
      </c>
      <c r="O1349" s="2415"/>
      <c r="P1349" s="2416" t="str">
        <f>IFERROR(VLOOKUP(F1349,Trainingsarten!$A$9:$N$84,12,FALSE),"")</f>
        <v/>
      </c>
      <c r="Q1349" s="2417" t="s">
        <v>437</v>
      </c>
      <c r="R1349" s="2418" t="str">
        <f>IFERROR(VLOOKUP(F1349,Trainingsarten!$A$9:$N$84,14,FALSE),"")</f>
        <v/>
      </c>
      <c r="S1349" s="2419" t="str">
        <f t="shared" si="198"/>
        <v/>
      </c>
      <c r="T1349" s="2009">
        <f t="shared" si="199"/>
        <v>27.809667795676681</v>
      </c>
      <c r="U1349" s="2009">
        <f t="shared" si="200"/>
        <v>22.065193894940833</v>
      </c>
      <c r="V1349" s="2009">
        <f t="shared" si="201"/>
        <v>-9.8412430724964111</v>
      </c>
      <c r="W1349" s="3284">
        <f t="shared" si="202"/>
        <v>1.2603409663240239</v>
      </c>
      <c r="X1349" s="3300"/>
      <c r="Y1349" s="3316"/>
      <c r="AA1349" s="3301"/>
      <c r="AB1349" s="3409"/>
      <c r="AE1349" s="1056"/>
    </row>
    <row r="1350" spans="2:31" x14ac:dyDescent="0.2">
      <c r="B1350" s="2992" t="s">
        <v>628</v>
      </c>
      <c r="C1350" s="2409">
        <v>44448</v>
      </c>
      <c r="D1350" s="2009">
        <v>100</v>
      </c>
      <c r="E1350" s="2535" t="s">
        <v>835</v>
      </c>
      <c r="F1350" s="2772" t="s">
        <v>819</v>
      </c>
      <c r="G1350" s="2536">
        <v>4.1909722222222223E-2</v>
      </c>
      <c r="H1350" s="2411">
        <v>10.52</v>
      </c>
      <c r="I1350" s="2412">
        <f t="shared" si="196"/>
        <v>3.9838138994507822E-3</v>
      </c>
      <c r="J1350" s="2413">
        <v>136</v>
      </c>
      <c r="K1350" s="2414">
        <v>69</v>
      </c>
      <c r="L1350" s="2816">
        <v>203</v>
      </c>
      <c r="M1350" s="2840">
        <v>26</v>
      </c>
      <c r="N1350" s="2368">
        <f t="shared" si="197"/>
        <v>1.0428792350036891</v>
      </c>
      <c r="O1350" s="2415" t="s">
        <v>821</v>
      </c>
      <c r="P1350" s="2416">
        <f>IFERROR(VLOOKUP(F1350,Trainingsarten!$A$9:$N$84,12,FALSE),"")</f>
        <v>194.60000000000002</v>
      </c>
      <c r="Q1350" s="2417" t="s">
        <v>437</v>
      </c>
      <c r="R1350" s="2418">
        <f>IFERROR(VLOOKUP(F1350,Trainingsarten!$A$9:$N$84,14,FALSE),"")</f>
        <v>212.96</v>
      </c>
      <c r="S1350" s="2419">
        <f t="shared" si="198"/>
        <v>1.4926470588235294</v>
      </c>
      <c r="T1350" s="2009">
        <f t="shared" si="199"/>
        <v>33.694000967722872</v>
      </c>
      <c r="U1350" s="2009">
        <f t="shared" si="200"/>
        <v>23.182689278394623</v>
      </c>
      <c r="V1350" s="2009">
        <f t="shared" si="201"/>
        <v>-5.7444739007358478</v>
      </c>
      <c r="W1350" s="3284">
        <f t="shared" si="202"/>
        <v>1.4534120939594521</v>
      </c>
      <c r="X1350" s="3300"/>
      <c r="Y1350" s="3316"/>
      <c r="AA1350" s="3301"/>
      <c r="AB1350" s="3409"/>
      <c r="AE1350" s="1056"/>
    </row>
    <row r="1351" spans="2:31" ht="16" thickBot="1" x14ac:dyDescent="0.25">
      <c r="B1351" s="2993">
        <f>SUM(K1347:K1353)</f>
        <v>221</v>
      </c>
      <c r="C1351" s="2409">
        <v>44449</v>
      </c>
      <c r="D1351" s="2009"/>
      <c r="E1351" s="2535"/>
      <c r="F1351" s="2772"/>
      <c r="G1351" s="2536"/>
      <c r="H1351" s="2411" t="str">
        <f>IFERROR(VLOOKUP(F1351,Trainingsarten!$A$9:$K$84,10,FALSE),"")</f>
        <v/>
      </c>
      <c r="I1351" s="2412" t="str">
        <f t="shared" si="196"/>
        <v/>
      </c>
      <c r="J1351" s="2413"/>
      <c r="K1351" s="2414" t="str">
        <f>IFERROR(VLOOKUP(F1351,Trainingsarten!$A$9:$K$84,11,FALSE),"0")</f>
        <v>0</v>
      </c>
      <c r="L1351" s="2816"/>
      <c r="M1351" s="2840"/>
      <c r="N1351" s="2368" t="str">
        <f t="shared" si="197"/>
        <v/>
      </c>
      <c r="O1351" s="2415"/>
      <c r="P1351" s="2416" t="str">
        <f>IFERROR(VLOOKUP(F1351,Trainingsarten!$A$9:$N$84,12,FALSE),"")</f>
        <v/>
      </c>
      <c r="Q1351" s="2417" t="s">
        <v>437</v>
      </c>
      <c r="R1351" s="2418" t="str">
        <f>IFERROR(VLOOKUP(F1351,Trainingsarten!$A$9:$N$84,14,FALSE),"")</f>
        <v/>
      </c>
      <c r="S1351" s="2419" t="str">
        <f t="shared" si="198"/>
        <v/>
      </c>
      <c r="T1351" s="2009">
        <f t="shared" si="199"/>
        <v>28.880572258048176</v>
      </c>
      <c r="U1351" s="2009">
        <f t="shared" si="200"/>
        <v>22.630720486051892</v>
      </c>
      <c r="V1351" s="2009">
        <f t="shared" si="201"/>
        <v>-10.511311689328249</v>
      </c>
      <c r="W1351" s="3284">
        <f t="shared" si="202"/>
        <v>1.2761667166473241</v>
      </c>
      <c r="X1351" s="3300"/>
      <c r="Y1351" s="3316"/>
      <c r="AA1351" s="3301"/>
      <c r="AB1351" s="3409"/>
      <c r="AE1351" s="1056"/>
    </row>
    <row r="1352" spans="2:31" x14ac:dyDescent="0.2">
      <c r="B1352" s="2994" t="s">
        <v>761</v>
      </c>
      <c r="C1352" s="2409">
        <v>44450</v>
      </c>
      <c r="D1352" s="2009"/>
      <c r="E1352" s="2535"/>
      <c r="F1352" s="2772"/>
      <c r="G1352" s="2536"/>
      <c r="H1352" s="2411" t="str">
        <f>IFERROR(VLOOKUP(F1352,Trainingsarten!$A$9:$K$84,10,FALSE),"")</f>
        <v/>
      </c>
      <c r="I1352" s="2412" t="str">
        <f t="shared" si="196"/>
        <v/>
      </c>
      <c r="J1352" s="2413"/>
      <c r="K1352" s="2414" t="str">
        <f>IFERROR(VLOOKUP(F1352,Trainingsarten!$A$9:$K$84,11,FALSE),"0")</f>
        <v>0</v>
      </c>
      <c r="L1352" s="2816"/>
      <c r="M1352" s="2840"/>
      <c r="N1352" s="2368" t="str">
        <f t="shared" si="197"/>
        <v/>
      </c>
      <c r="O1352" s="2415"/>
      <c r="P1352" s="2416" t="str">
        <f>IFERROR(VLOOKUP(F1352,Trainingsarten!$A$9:$N$84,12,FALSE),"")</f>
        <v/>
      </c>
      <c r="Q1352" s="2417" t="s">
        <v>437</v>
      </c>
      <c r="R1352" s="2418" t="str">
        <f>IFERROR(VLOOKUP(F1352,Trainingsarten!$A$9:$N$84,14,FALSE),"")</f>
        <v/>
      </c>
      <c r="S1352" s="2419" t="str">
        <f t="shared" si="198"/>
        <v/>
      </c>
      <c r="T1352" s="2009">
        <f t="shared" si="199"/>
        <v>24.754776221184152</v>
      </c>
      <c r="U1352" s="2009">
        <f t="shared" si="200"/>
        <v>22.091893807812561</v>
      </c>
      <c r="V1352" s="2009">
        <f t="shared" si="201"/>
        <v>-6.2498517719962834</v>
      </c>
      <c r="W1352" s="3284">
        <f t="shared" si="202"/>
        <v>1.120536629251309</v>
      </c>
      <c r="X1352" s="3300"/>
      <c r="Y1352" s="3316"/>
      <c r="AA1352" s="3301"/>
      <c r="AB1352" s="3409"/>
      <c r="AE1352" s="1056"/>
    </row>
    <row r="1353" spans="2:31" ht="16" thickBot="1" x14ac:dyDescent="0.25">
      <c r="B1353" s="2997">
        <f>AVERAGE(W1347:W1353)</f>
        <v>1.2968533551410644</v>
      </c>
      <c r="C1353" s="2517">
        <v>44451</v>
      </c>
      <c r="D1353" s="2518">
        <v>101</v>
      </c>
      <c r="E1353" s="2224" t="s">
        <v>836</v>
      </c>
      <c r="F1353" s="2653" t="s">
        <v>862</v>
      </c>
      <c r="G1353" s="2519">
        <v>4.8344907407407406E-2</v>
      </c>
      <c r="H1353" s="2520">
        <v>9.7100000000000009</v>
      </c>
      <c r="I1353" s="2521">
        <f t="shared" si="196"/>
        <v>4.9788782087958191E-3</v>
      </c>
      <c r="J1353" s="2522">
        <v>140</v>
      </c>
      <c r="K1353" s="2523">
        <v>74</v>
      </c>
      <c r="L1353" s="2151">
        <v>188</v>
      </c>
      <c r="M1353" s="2841">
        <v>381</v>
      </c>
      <c r="N1353" s="2524"/>
      <c r="O1353" s="2525" t="s">
        <v>868</v>
      </c>
      <c r="P1353" s="2526" t="str">
        <f>IFERROR(VLOOKUP(F1353,Trainingsarten!$A$9:$N$84,12,FALSE),"")</f>
        <v/>
      </c>
      <c r="Q1353" s="2527" t="s">
        <v>437</v>
      </c>
      <c r="R1353" s="2528" t="str">
        <f>IFERROR(VLOOKUP(F1353,Trainingsarten!$A$9:$N$84,14,FALSE),"")</f>
        <v/>
      </c>
      <c r="S1353" s="2529"/>
      <c r="T1353" s="2518">
        <f t="shared" si="199"/>
        <v>31.789808189586417</v>
      </c>
      <c r="U1353" s="2518">
        <f t="shared" si="200"/>
        <v>23.327801098102739</v>
      </c>
      <c r="V1353" s="2518">
        <f t="shared" si="201"/>
        <v>-2.6628824133715909</v>
      </c>
      <c r="W1353" s="3287">
        <f t="shared" si="202"/>
        <v>1.3627434517251562</v>
      </c>
      <c r="X1353" s="3300"/>
      <c r="Y1353" s="3316"/>
      <c r="AA1353" s="3301"/>
      <c r="AB1353" s="3409"/>
      <c r="AE1353" s="1056"/>
    </row>
    <row r="1354" spans="2:31" ht="16" thickBot="1" x14ac:dyDescent="0.25">
      <c r="B1354" s="2986">
        <f>B1347+1</f>
        <v>37</v>
      </c>
      <c r="C1354" s="2399">
        <v>44452</v>
      </c>
      <c r="D1354" s="2292"/>
      <c r="E1354" s="2069"/>
      <c r="F1354" s="2771"/>
      <c r="G1354" s="2530"/>
      <c r="H1354" s="2401" t="str">
        <f>IFERROR(VLOOKUP(F1354,Trainingsarten!$A$9:$K$84,10,FALSE),"")</f>
        <v/>
      </c>
      <c r="I1354" s="2402" t="str">
        <f t="shared" si="196"/>
        <v/>
      </c>
      <c r="J1354" s="2403"/>
      <c r="K1354" s="2404" t="str">
        <f>IFERROR(VLOOKUP(F1354,Trainingsarten!$A$9:$K$84,11,FALSE),"0")</f>
        <v>0</v>
      </c>
      <c r="L1354" s="2815"/>
      <c r="M1354" s="2591"/>
      <c r="N1354" s="2296" t="str">
        <f t="shared" si="197"/>
        <v/>
      </c>
      <c r="O1354" s="2405"/>
      <c r="P1354" s="2298" t="str">
        <f>IFERROR(VLOOKUP(F1354,Trainingsarten!$A$9:$N$84,12,FALSE),"")</f>
        <v/>
      </c>
      <c r="Q1354" s="2461" t="s">
        <v>437</v>
      </c>
      <c r="R1354" s="2462" t="str">
        <f>IFERROR(VLOOKUP(F1354,Trainingsarten!$A$9:$N$84,14,FALSE),"")</f>
        <v/>
      </c>
      <c r="S1354" s="2408" t="str">
        <f t="shared" si="198"/>
        <v/>
      </c>
      <c r="T1354" s="2292">
        <f t="shared" si="199"/>
        <v>27.248407019645498</v>
      </c>
      <c r="U1354" s="2292">
        <f t="shared" si="200"/>
        <v>22.772377262433626</v>
      </c>
      <c r="V1354" s="2292">
        <f t="shared" si="201"/>
        <v>-8.4620070914836774</v>
      </c>
      <c r="W1354" s="3283">
        <f t="shared" si="202"/>
        <v>1.1965552259050152</v>
      </c>
      <c r="X1354" s="3300"/>
      <c r="Y1354" s="3316"/>
      <c r="AA1354" s="3301"/>
      <c r="AB1354" s="3409"/>
      <c r="AE1354" s="1056"/>
    </row>
    <row r="1355" spans="2:31" x14ac:dyDescent="0.2">
      <c r="B1355" s="2991" t="s">
        <v>626</v>
      </c>
      <c r="C1355" s="2409">
        <v>44453</v>
      </c>
      <c r="D1355" s="2009">
        <v>102</v>
      </c>
      <c r="E1355" s="2535" t="s">
        <v>836</v>
      </c>
      <c r="F1355" s="2772" t="s">
        <v>943</v>
      </c>
      <c r="G1355" s="2536">
        <v>2.5451388888888888E-2</v>
      </c>
      <c r="H1355" s="2411">
        <v>6.24</v>
      </c>
      <c r="I1355" s="2412">
        <f t="shared" si="196"/>
        <v>4.0787482193732193E-3</v>
      </c>
      <c r="J1355" s="2413">
        <v>140</v>
      </c>
      <c r="K1355" s="2414">
        <v>40</v>
      </c>
      <c r="L1355" s="2816">
        <v>201</v>
      </c>
      <c r="M1355" s="2840">
        <v>15</v>
      </c>
      <c r="N1355" s="2368">
        <f t="shared" si="197"/>
        <v>1.0572115384615384</v>
      </c>
      <c r="O1355" s="2415" t="s">
        <v>1460</v>
      </c>
      <c r="P1355" s="2514">
        <f>IFERROR(VLOOKUP(F1355,Trainingsarten!$A$9:$N$84,12,FALSE),"")</f>
        <v>194.60000000000002</v>
      </c>
      <c r="Q1355" s="2515" t="s">
        <v>437</v>
      </c>
      <c r="R1355" s="2516">
        <f>IFERROR(VLOOKUP(F1355,Trainingsarten!$A$9:$N$84,14,FALSE),"")</f>
        <v>212.96</v>
      </c>
      <c r="S1355" s="2419">
        <f t="shared" si="198"/>
        <v>1.4357142857142857</v>
      </c>
      <c r="T1355" s="2009">
        <f t="shared" si="199"/>
        <v>29.07006315969614</v>
      </c>
      <c r="U1355" s="2009">
        <f t="shared" si="200"/>
        <v>23.182558756185205</v>
      </c>
      <c r="V1355" s="2009">
        <f t="shared" si="201"/>
        <v>-4.4760297572118724</v>
      </c>
      <c r="W1355" s="3284">
        <f t="shared" si="202"/>
        <v>1.2539626650116922</v>
      </c>
      <c r="X1355" s="3300"/>
      <c r="Y1355" s="3316"/>
      <c r="AA1355" s="3301"/>
      <c r="AB1355" s="3409"/>
      <c r="AE1355" s="1056"/>
    </row>
    <row r="1356" spans="2:31" ht="16" thickBot="1" x14ac:dyDescent="0.25">
      <c r="B1356" s="2979">
        <f>SUM(H1354:H1360)</f>
        <v>23.58</v>
      </c>
      <c r="C1356" s="2409">
        <v>44454</v>
      </c>
      <c r="D1356" s="2009"/>
      <c r="E1356" s="2535"/>
      <c r="F1356" s="2772"/>
      <c r="G1356" s="2536"/>
      <c r="H1356" s="2411" t="str">
        <f>IFERROR(VLOOKUP(F1356,Trainingsarten!$A$9:$K$84,10,FALSE),"")</f>
        <v/>
      </c>
      <c r="I1356" s="2412" t="str">
        <f t="shared" si="196"/>
        <v/>
      </c>
      <c r="J1356" s="2413"/>
      <c r="K1356" s="2414" t="str">
        <f>IFERROR(VLOOKUP(F1356,Trainingsarten!$A$9:$K$84,11,FALSE),"0")</f>
        <v>0</v>
      </c>
      <c r="L1356" s="2816"/>
      <c r="M1356" s="2840"/>
      <c r="N1356" s="2368" t="str">
        <f t="shared" si="197"/>
        <v/>
      </c>
      <c r="O1356" s="2415"/>
      <c r="P1356" s="2514" t="str">
        <f>IFERROR(VLOOKUP(F1356,Trainingsarten!$A$9:$N$84,12,FALSE),"")</f>
        <v/>
      </c>
      <c r="Q1356" s="2515" t="s">
        <v>437</v>
      </c>
      <c r="R1356" s="2516" t="str">
        <f>IFERROR(VLOOKUP(F1356,Trainingsarten!$A$9:$N$84,14,FALSE),"")</f>
        <v/>
      </c>
      <c r="S1356" s="2419" t="str">
        <f t="shared" si="198"/>
        <v/>
      </c>
      <c r="T1356" s="2009">
        <f t="shared" si="199"/>
        <v>24.917196994025261</v>
      </c>
      <c r="U1356" s="2009">
        <f t="shared" si="200"/>
        <v>22.630593071514127</v>
      </c>
      <c r="V1356" s="2009">
        <f t="shared" si="201"/>
        <v>-5.8875044035109347</v>
      </c>
      <c r="W1356" s="3284">
        <f t="shared" si="202"/>
        <v>1.1010403887907541</v>
      </c>
      <c r="X1356" s="3300"/>
      <c r="Y1356" s="3316"/>
      <c r="AA1356" s="3301"/>
      <c r="AB1356" s="3409"/>
      <c r="AE1356" s="1056"/>
    </row>
    <row r="1357" spans="2:31" x14ac:dyDescent="0.2">
      <c r="B1357" s="2992" t="s">
        <v>628</v>
      </c>
      <c r="C1357" s="2409">
        <v>44455</v>
      </c>
      <c r="D1357" s="2009">
        <v>103</v>
      </c>
      <c r="E1357" s="2535" t="s">
        <v>836</v>
      </c>
      <c r="F1357" s="2772" t="s">
        <v>943</v>
      </c>
      <c r="G1357" s="2536">
        <v>2.9710648148148149E-2</v>
      </c>
      <c r="H1357" s="2411">
        <v>7.46</v>
      </c>
      <c r="I1357" s="2412">
        <f t="shared" si="196"/>
        <v>3.9826606096713341E-3</v>
      </c>
      <c r="J1357" s="2413">
        <v>141</v>
      </c>
      <c r="K1357" s="2414">
        <v>49</v>
      </c>
      <c r="L1357" s="2816">
        <v>205</v>
      </c>
      <c r="M1357" s="2840">
        <v>19</v>
      </c>
      <c r="N1357" s="2368">
        <f t="shared" si="197"/>
        <v>1.0528490256492342</v>
      </c>
      <c r="O1357" s="2415" t="s">
        <v>911</v>
      </c>
      <c r="P1357" s="2514">
        <f>IFERROR(VLOOKUP(F1357,Trainingsarten!$A$9:$N$84,12,FALSE),"")</f>
        <v>194.60000000000002</v>
      </c>
      <c r="Q1357" s="2515" t="s">
        <v>437</v>
      </c>
      <c r="R1357" s="2516">
        <f>IFERROR(VLOOKUP(F1357,Trainingsarten!$A$9:$N$84,14,FALSE),"")</f>
        <v>212.96</v>
      </c>
      <c r="S1357" s="2419">
        <f t="shared" si="198"/>
        <v>1.4539007092198581</v>
      </c>
      <c r="T1357" s="2009">
        <f t="shared" si="199"/>
        <v>28.357597423450223</v>
      </c>
      <c r="U1357" s="2009">
        <f t="shared" si="200"/>
        <v>23.258436093620933</v>
      </c>
      <c r="V1357" s="2009">
        <f t="shared" si="201"/>
        <v>-2.2866039225111336</v>
      </c>
      <c r="W1357" s="3284">
        <f t="shared" si="202"/>
        <v>1.2192392175167714</v>
      </c>
      <c r="X1357" s="3300"/>
      <c r="Y1357" s="3316"/>
      <c r="AA1357" s="3301"/>
      <c r="AB1357" s="3409"/>
      <c r="AE1357" s="1056"/>
    </row>
    <row r="1358" spans="2:31" ht="16" thickBot="1" x14ac:dyDescent="0.25">
      <c r="B1358" s="2993">
        <f>SUM(K1354:K1360)</f>
        <v>155</v>
      </c>
      <c r="C1358" s="2409">
        <v>44456</v>
      </c>
      <c r="D1358" s="2009"/>
      <c r="E1358" s="2535"/>
      <c r="F1358" s="2772"/>
      <c r="G1358" s="2536"/>
      <c r="H1358" s="2411" t="str">
        <f>IFERROR(VLOOKUP(F1358,Trainingsarten!$A$9:$K$84,10,FALSE),"")</f>
        <v/>
      </c>
      <c r="I1358" s="2412" t="str">
        <f t="shared" si="196"/>
        <v/>
      </c>
      <c r="J1358" s="2413"/>
      <c r="K1358" s="2414" t="str">
        <f>IFERROR(VLOOKUP(F1358,Trainingsarten!$A$9:$K$84,11,FALSE),"0")</f>
        <v>0</v>
      </c>
      <c r="L1358" s="2816"/>
      <c r="M1358" s="2840"/>
      <c r="N1358" s="2368" t="str">
        <f t="shared" si="197"/>
        <v/>
      </c>
      <c r="O1358" s="2415"/>
      <c r="P1358" s="2514" t="str">
        <f>IFERROR(VLOOKUP(F1358,Trainingsarten!$A$9:$N$84,12,FALSE),"")</f>
        <v/>
      </c>
      <c r="Q1358" s="2515" t="s">
        <v>437</v>
      </c>
      <c r="R1358" s="2516" t="str">
        <f>IFERROR(VLOOKUP(F1358,Trainingsarten!$A$9:$N$84,14,FALSE),"")</f>
        <v/>
      </c>
      <c r="S1358" s="2419" t="str">
        <f t="shared" si="198"/>
        <v/>
      </c>
      <c r="T1358" s="2009">
        <f t="shared" si="199"/>
        <v>24.306512077243049</v>
      </c>
      <c r="U1358" s="2009">
        <f t="shared" si="200"/>
        <v>22.704663805677576</v>
      </c>
      <c r="V1358" s="2009">
        <f t="shared" si="201"/>
        <v>-5.0991613298292897</v>
      </c>
      <c r="W1358" s="3284">
        <f t="shared" si="202"/>
        <v>1.0705515080635069</v>
      </c>
      <c r="X1358" s="3300"/>
      <c r="Y1358" s="3316"/>
      <c r="AA1358" s="3301"/>
      <c r="AB1358" s="3409"/>
      <c r="AE1358" s="1056"/>
    </row>
    <row r="1359" spans="2:31" x14ac:dyDescent="0.2">
      <c r="B1359" s="2994" t="s">
        <v>761</v>
      </c>
      <c r="C1359" s="2409">
        <v>44457</v>
      </c>
      <c r="D1359" s="2009">
        <v>104</v>
      </c>
      <c r="E1359" s="2535" t="s">
        <v>835</v>
      </c>
      <c r="F1359" s="2772" t="s">
        <v>819</v>
      </c>
      <c r="G1359" s="2536">
        <v>3.8946759259259257E-2</v>
      </c>
      <c r="H1359" s="2411">
        <v>9.8800000000000008</v>
      </c>
      <c r="I1359" s="2412">
        <f t="shared" si="196"/>
        <v>3.9419796821112607E-3</v>
      </c>
      <c r="J1359" s="2413">
        <v>140</v>
      </c>
      <c r="K1359" s="2414">
        <v>66</v>
      </c>
      <c r="L1359" s="2816">
        <v>205</v>
      </c>
      <c r="M1359" s="2840">
        <v>30</v>
      </c>
      <c r="N1359" s="2368">
        <f t="shared" si="197"/>
        <v>1.0420946885008158</v>
      </c>
      <c r="O1359" s="2415" t="s">
        <v>1460</v>
      </c>
      <c r="P1359" s="2514">
        <f>IFERROR(VLOOKUP(F1359,Trainingsarten!$A$9:$N$84,12,FALSE),"")</f>
        <v>194.60000000000002</v>
      </c>
      <c r="Q1359" s="2515" t="s">
        <v>437</v>
      </c>
      <c r="R1359" s="2516">
        <f>IFERROR(VLOOKUP(F1359,Trainingsarten!$A$9:$N$84,14,FALSE),"")</f>
        <v>212.96</v>
      </c>
      <c r="S1359" s="2419">
        <f t="shared" si="198"/>
        <v>1.4642857142857142</v>
      </c>
      <c r="T1359" s="2009">
        <f t="shared" si="199"/>
        <v>30.2627246376369</v>
      </c>
      <c r="U1359" s="2009">
        <f t="shared" si="200"/>
        <v>23.735505143637635</v>
      </c>
      <c r="V1359" s="2009">
        <f t="shared" si="201"/>
        <v>-1.6018482715654727</v>
      </c>
      <c r="W1359" s="3284">
        <f t="shared" si="202"/>
        <v>1.2749981285209304</v>
      </c>
      <c r="X1359" s="3300"/>
      <c r="Y1359" s="3316"/>
      <c r="AA1359" s="3301"/>
      <c r="AB1359" s="3409"/>
      <c r="AE1359" s="1056"/>
    </row>
    <row r="1360" spans="2:31" ht="16" thickBot="1" x14ac:dyDescent="0.25">
      <c r="B1360" s="2995">
        <f>AVERAGE(W1354:W1360)</f>
        <v>1.1765510979543865</v>
      </c>
      <c r="C1360" s="1631">
        <v>44458</v>
      </c>
      <c r="D1360" s="1108"/>
      <c r="E1360" s="1397"/>
      <c r="F1360" s="2653"/>
      <c r="G1360" s="2533"/>
      <c r="H1360" s="2434" t="str">
        <f>IFERROR(VLOOKUP(F1360,Trainingsarten!$A$9:$K$84,10,FALSE),"")</f>
        <v/>
      </c>
      <c r="I1360" s="2435" t="str">
        <f t="shared" si="196"/>
        <v/>
      </c>
      <c r="J1360" s="1310"/>
      <c r="K1360" s="2436" t="str">
        <f>IFERROR(VLOOKUP(F1360,Trainingsarten!$A$9:$K$84,11,FALSE),"0")</f>
        <v>0</v>
      </c>
      <c r="L1360" s="2818"/>
      <c r="M1360" s="2798"/>
      <c r="N1360" s="1223" t="str">
        <f t="shared" si="197"/>
        <v/>
      </c>
      <c r="O1360" s="2437"/>
      <c r="P1360" s="1519" t="str">
        <f>IFERROR(VLOOKUP(F1360,Trainingsarten!$A$9:$N$84,12,FALSE),"")</f>
        <v/>
      </c>
      <c r="Q1360" s="2477" t="s">
        <v>437</v>
      </c>
      <c r="R1360" s="2439" t="str">
        <f>IFERROR(VLOOKUP(F1360,Trainingsarten!$A$9:$N$84,14,FALSE),"")</f>
        <v/>
      </c>
      <c r="S1360" s="2440" t="str">
        <f t="shared" si="198"/>
        <v/>
      </c>
      <c r="T1360" s="1108">
        <f t="shared" si="199"/>
        <v>25.939478260831628</v>
      </c>
      <c r="U1360" s="1108">
        <f t="shared" si="200"/>
        <v>23.170374068789119</v>
      </c>
      <c r="V1360" s="1108">
        <f t="shared" si="201"/>
        <v>-6.5272194939992652</v>
      </c>
      <c r="W1360" s="3285">
        <f t="shared" si="202"/>
        <v>1.1195105518720363</v>
      </c>
      <c r="X1360" s="3300"/>
      <c r="Y1360" s="3316"/>
      <c r="AA1360" s="3301"/>
      <c r="AB1360" s="3409"/>
      <c r="AE1360" s="1056"/>
    </row>
    <row r="1361" spans="2:31" ht="16" thickBot="1" x14ac:dyDescent="0.25">
      <c r="B1361" s="2986">
        <f>B1354+1</f>
        <v>38</v>
      </c>
      <c r="C1361" s="2441">
        <v>44459</v>
      </c>
      <c r="D1361" s="1111">
        <v>105</v>
      </c>
      <c r="E1361" s="2087" t="s">
        <v>836</v>
      </c>
      <c r="F1361" s="2771" t="s">
        <v>818</v>
      </c>
      <c r="G1361" s="2534">
        <v>3.8217592592592588E-2</v>
      </c>
      <c r="H1361" s="2443">
        <v>9.99</v>
      </c>
      <c r="I1361" s="2444">
        <f t="shared" si="196"/>
        <v>3.8255848441033622E-3</v>
      </c>
      <c r="J1361" s="1320">
        <v>141</v>
      </c>
      <c r="K1361" s="2445">
        <v>69</v>
      </c>
      <c r="L1361" s="2819">
        <v>213</v>
      </c>
      <c r="M1361" s="1320">
        <v>28</v>
      </c>
      <c r="N1361" s="1119">
        <f t="shared" si="197"/>
        <v>1.0507910895970598</v>
      </c>
      <c r="O1361" s="2446" t="s">
        <v>911</v>
      </c>
      <c r="P1361" s="1121">
        <f>IFERROR(VLOOKUP(F1361,Trainingsarten!$A$9:$N$84,12,FALSE),"")</f>
        <v>194.60000000000002</v>
      </c>
      <c r="Q1361" s="2447" t="s">
        <v>437</v>
      </c>
      <c r="R1361" s="2448">
        <f>IFERROR(VLOOKUP(F1361,Trainingsarten!$A$9:$N$84,14,FALSE),"")</f>
        <v>212.96</v>
      </c>
      <c r="S1361" s="2449">
        <f t="shared" si="198"/>
        <v>1.5106382978723405</v>
      </c>
      <c r="T1361" s="1111">
        <f t="shared" si="199"/>
        <v>32.090981366427108</v>
      </c>
      <c r="U1361" s="1111">
        <f t="shared" si="200"/>
        <v>24.261555638579853</v>
      </c>
      <c r="V1361" s="1111">
        <f t="shared" si="201"/>
        <v>-2.7691041920425086</v>
      </c>
      <c r="W1361" s="3286">
        <f t="shared" si="202"/>
        <v>1.3227091388730732</v>
      </c>
      <c r="X1361" s="3300"/>
      <c r="Y1361" s="3316"/>
      <c r="AA1361" s="3301"/>
      <c r="AB1361" s="3409"/>
      <c r="AE1361" s="1056"/>
    </row>
    <row r="1362" spans="2:31" x14ac:dyDescent="0.2">
      <c r="B1362" s="2991" t="s">
        <v>626</v>
      </c>
      <c r="C1362" s="2409">
        <v>44460</v>
      </c>
      <c r="D1362" s="2009"/>
      <c r="E1362" s="2535"/>
      <c r="F1362" s="2772"/>
      <c r="G1362" s="2536"/>
      <c r="H1362" s="2411" t="str">
        <f>IFERROR(VLOOKUP(F1362,Trainingsarten!$A$9:$K$84,10,FALSE),"")</f>
        <v/>
      </c>
      <c r="I1362" s="2412" t="str">
        <f t="shared" si="196"/>
        <v/>
      </c>
      <c r="J1362" s="2413"/>
      <c r="K1362" s="2414" t="str">
        <f>IFERROR(VLOOKUP(F1362,Trainingsarten!$A$9:$K$84,11,FALSE),"0")</f>
        <v>0</v>
      </c>
      <c r="L1362" s="2816"/>
      <c r="M1362" s="2840"/>
      <c r="N1362" s="2368" t="str">
        <f t="shared" si="197"/>
        <v/>
      </c>
      <c r="O1362" s="2415"/>
      <c r="P1362" s="2416" t="str">
        <f>IFERROR(VLOOKUP(F1362,Trainingsarten!$A$9:$N$84,12,FALSE),"")</f>
        <v/>
      </c>
      <c r="Q1362" s="2417" t="s">
        <v>437</v>
      </c>
      <c r="R1362" s="2418" t="str">
        <f>IFERROR(VLOOKUP(F1362,Trainingsarten!$A$9:$N$84,14,FALSE),"")</f>
        <v/>
      </c>
      <c r="S1362" s="2419" t="str">
        <f t="shared" si="198"/>
        <v/>
      </c>
      <c r="T1362" s="2009">
        <f t="shared" si="199"/>
        <v>27.506555456937519</v>
      </c>
      <c r="U1362" s="2009">
        <f t="shared" si="200"/>
        <v>23.683899551947</v>
      </c>
      <c r="V1362" s="2009">
        <f t="shared" si="201"/>
        <v>-7.829425727847255</v>
      </c>
      <c r="W1362" s="3284">
        <f t="shared" si="202"/>
        <v>1.1614031463275762</v>
      </c>
      <c r="X1362" s="3300"/>
      <c r="Y1362" s="3316"/>
      <c r="AA1362" s="3301"/>
      <c r="AB1362" s="3409"/>
      <c r="AE1362" s="1056"/>
    </row>
    <row r="1363" spans="2:31" ht="16" thickBot="1" x14ac:dyDescent="0.25">
      <c r="B1363" s="2979">
        <f>SUM(H1361:H1367)</f>
        <v>31.92</v>
      </c>
      <c r="C1363" s="2409">
        <v>44461</v>
      </c>
      <c r="D1363" s="2009">
        <v>106</v>
      </c>
      <c r="E1363" s="2535" t="s">
        <v>836</v>
      </c>
      <c r="F1363" s="2772" t="s">
        <v>923</v>
      </c>
      <c r="G1363" s="2536">
        <v>3.1446759259259258E-2</v>
      </c>
      <c r="H1363" s="2411">
        <v>8.9600000000000009</v>
      </c>
      <c r="I1363" s="2412">
        <f t="shared" si="196"/>
        <v>3.5096829530423274E-3</v>
      </c>
      <c r="J1363" s="2413">
        <v>155</v>
      </c>
      <c r="K1363" s="2414">
        <v>68</v>
      </c>
      <c r="L1363" s="2816">
        <v>228</v>
      </c>
      <c r="M1363" s="2840">
        <v>24</v>
      </c>
      <c r="N1363" s="2368">
        <f t="shared" si="197"/>
        <v>1.0319096481876333</v>
      </c>
      <c r="O1363" s="2415" t="s">
        <v>1463</v>
      </c>
      <c r="P1363" s="2416">
        <f>IFERROR(VLOOKUP(F1363,Trainingsarten!$A$9:$N$84,12,FALSE),"")</f>
        <v>230.89999999999998</v>
      </c>
      <c r="Q1363" s="2417" t="s">
        <v>437</v>
      </c>
      <c r="R1363" s="2418">
        <f>IFERROR(VLOOKUP(F1363,Trainingsarten!$A$9:$N$84,14,FALSE),"")</f>
        <v>254.10000000000002</v>
      </c>
      <c r="S1363" s="2419">
        <f t="shared" si="198"/>
        <v>1.4709677419354839</v>
      </c>
      <c r="T1363" s="2009">
        <f t="shared" si="199"/>
        <v>33.291333248803589</v>
      </c>
      <c r="U1363" s="2009">
        <f t="shared" si="200"/>
        <v>24.739044800710168</v>
      </c>
      <c r="V1363" s="2009">
        <f t="shared" si="201"/>
        <v>-3.8226559049905191</v>
      </c>
      <c r="W1363" s="3284">
        <f t="shared" si="202"/>
        <v>1.345700026698198</v>
      </c>
      <c r="X1363" s="3300"/>
      <c r="Y1363" s="3316"/>
      <c r="AA1363" s="3301"/>
      <c r="AB1363" s="3409"/>
      <c r="AE1363" s="1056"/>
    </row>
    <row r="1364" spans="2:31" x14ac:dyDescent="0.2">
      <c r="B1364" s="2992" t="s">
        <v>628</v>
      </c>
      <c r="C1364" s="2409">
        <v>44462</v>
      </c>
      <c r="D1364" s="2009">
        <v>107</v>
      </c>
      <c r="E1364" s="2535" t="s">
        <v>836</v>
      </c>
      <c r="F1364" s="2772" t="s">
        <v>950</v>
      </c>
      <c r="G1364" s="2536">
        <v>3.0682870370370371E-2</v>
      </c>
      <c r="H1364" s="2411">
        <v>7.4</v>
      </c>
      <c r="I1364" s="2412">
        <f t="shared" si="196"/>
        <v>4.1463338338338339E-3</v>
      </c>
      <c r="J1364" s="2413">
        <v>138</v>
      </c>
      <c r="K1364" s="2414">
        <v>46</v>
      </c>
      <c r="L1364" s="2816">
        <v>198</v>
      </c>
      <c r="M1364" s="2840">
        <v>21</v>
      </c>
      <c r="N1364" s="2368">
        <f t="shared" si="197"/>
        <v>1.0586889874949577</v>
      </c>
      <c r="O1364" s="2415" t="s">
        <v>1460</v>
      </c>
      <c r="P1364" s="2416">
        <f>IFERROR(VLOOKUP(F1364,Trainingsarten!$A$9:$N$84,12,FALSE),"")</f>
        <v>169.39999999999998</v>
      </c>
      <c r="Q1364" s="2417" t="s">
        <v>437</v>
      </c>
      <c r="R1364" s="2418">
        <f>IFERROR(VLOOKUP(F1364,Trainingsarten!$A$9:$N$84,14,FALSE),"")</f>
        <v>193.60000000000002</v>
      </c>
      <c r="S1364" s="2419">
        <f t="shared" si="198"/>
        <v>1.4347826086956521</v>
      </c>
      <c r="T1364" s="2009">
        <f t="shared" si="199"/>
        <v>35.106857070403073</v>
      </c>
      <c r="U1364" s="2009">
        <f t="shared" si="200"/>
        <v>25.245258019740877</v>
      </c>
      <c r="V1364" s="2009">
        <f t="shared" si="201"/>
        <v>-8.5522884480934209</v>
      </c>
      <c r="W1364" s="3284">
        <f t="shared" si="202"/>
        <v>1.3906317393528236</v>
      </c>
      <c r="X1364" s="3300"/>
      <c r="Y1364" s="3316"/>
      <c r="AA1364" s="3301"/>
      <c r="AB1364" s="3409"/>
      <c r="AE1364" s="1056"/>
    </row>
    <row r="1365" spans="2:31" ht="16" thickBot="1" x14ac:dyDescent="0.25">
      <c r="B1365" s="2993">
        <f>SUM(K1361:K1367)</f>
        <v>233</v>
      </c>
      <c r="C1365" s="2409">
        <v>44463</v>
      </c>
      <c r="D1365" s="2009"/>
      <c r="E1365" s="2535"/>
      <c r="F1365" s="2772"/>
      <c r="G1365" s="2536"/>
      <c r="H1365" s="2411" t="str">
        <f>IFERROR(VLOOKUP(F1365,Trainingsarten!$A$9:$K$84,10,FALSE),"")</f>
        <v/>
      </c>
      <c r="I1365" s="2412" t="str">
        <f t="shared" si="196"/>
        <v/>
      </c>
      <c r="J1365" s="2413"/>
      <c r="K1365" s="2414" t="str">
        <f>IFERROR(VLOOKUP(F1365,Trainingsarten!$A$9:$K$84,11,FALSE),"0")</f>
        <v>0</v>
      </c>
      <c r="L1365" s="2816"/>
      <c r="M1365" s="2840"/>
      <c r="N1365" s="2368" t="str">
        <f t="shared" si="197"/>
        <v/>
      </c>
      <c r="O1365" s="2415"/>
      <c r="P1365" s="2416" t="str">
        <f>IFERROR(VLOOKUP(F1365,Trainingsarten!$A$9:$N$84,12,FALSE),"")</f>
        <v/>
      </c>
      <c r="Q1365" s="2417" t="s">
        <v>437</v>
      </c>
      <c r="R1365" s="2418" t="str">
        <f>IFERROR(VLOOKUP(F1365,Trainingsarten!$A$9:$N$84,14,FALSE),"")</f>
        <v/>
      </c>
      <c r="S1365" s="2419" t="str">
        <f t="shared" si="198"/>
        <v/>
      </c>
      <c r="T1365" s="2009">
        <f t="shared" si="199"/>
        <v>30.091591774631205</v>
      </c>
      <c r="U1365" s="2009">
        <f t="shared" si="200"/>
        <v>24.644180447842285</v>
      </c>
      <c r="V1365" s="2009">
        <f t="shared" si="201"/>
        <v>-9.8615990506621962</v>
      </c>
      <c r="W1365" s="3284">
        <f t="shared" si="202"/>
        <v>1.2210425028463816</v>
      </c>
      <c r="X1365" s="3300"/>
      <c r="Y1365" s="3316"/>
      <c r="AA1365" s="3301"/>
      <c r="AB1365" s="3409"/>
      <c r="AE1365" s="1056"/>
    </row>
    <row r="1366" spans="2:31" x14ac:dyDescent="0.2">
      <c r="B1366" s="2994" t="s">
        <v>761</v>
      </c>
      <c r="C1366" s="2409">
        <v>44464</v>
      </c>
      <c r="D1366" s="2009">
        <v>108</v>
      </c>
      <c r="E1366" s="2535" t="s">
        <v>836</v>
      </c>
      <c r="F1366" s="2772" t="s">
        <v>862</v>
      </c>
      <c r="G1366" s="2536">
        <v>3.0150462962962962E-2</v>
      </c>
      <c r="H1366" s="2411">
        <v>5.57</v>
      </c>
      <c r="I1366" s="2412">
        <f t="shared" si="196"/>
        <v>5.4130095086109449E-3</v>
      </c>
      <c r="J1366" s="2413">
        <v>151</v>
      </c>
      <c r="K1366" s="2414">
        <v>50</v>
      </c>
      <c r="L1366" s="2816">
        <v>191</v>
      </c>
      <c r="M1366" s="2840">
        <v>334</v>
      </c>
      <c r="N1366" s="2368"/>
      <c r="O1366" s="2415" t="s">
        <v>868</v>
      </c>
      <c r="P1366" s="2416" t="str">
        <f>IFERROR(VLOOKUP(F1366,Trainingsarten!$A$9:$N$84,12,FALSE),"")</f>
        <v/>
      </c>
      <c r="Q1366" s="2417" t="s">
        <v>437</v>
      </c>
      <c r="R1366" s="2418" t="str">
        <f>IFERROR(VLOOKUP(F1366,Trainingsarten!$A$9:$N$84,14,FALSE),"")</f>
        <v/>
      </c>
      <c r="S1366" s="2419"/>
      <c r="T1366" s="2009">
        <f t="shared" si="199"/>
        <v>32.935650092541032</v>
      </c>
      <c r="U1366" s="2009">
        <f t="shared" si="200"/>
        <v>25.247890437179372</v>
      </c>
      <c r="V1366" s="2009">
        <f t="shared" si="201"/>
        <v>-5.4474113267889201</v>
      </c>
      <c r="W1366" s="3284">
        <f t="shared" si="202"/>
        <v>1.3044911682617597</v>
      </c>
      <c r="X1366" s="3300"/>
      <c r="Y1366" s="3316"/>
      <c r="AA1366" s="3301"/>
      <c r="AB1366" s="3409"/>
      <c r="AE1366" s="1056"/>
    </row>
    <row r="1367" spans="2:31" ht="16" thickBot="1" x14ac:dyDescent="0.25">
      <c r="B1367" s="2997">
        <f>AVERAGE(W1361:W1367)</f>
        <v>1.2701978002584515</v>
      </c>
      <c r="C1367" s="2517">
        <v>44465</v>
      </c>
      <c r="D1367" s="2518"/>
      <c r="E1367" s="2224"/>
      <c r="F1367" s="2653"/>
      <c r="G1367" s="2519"/>
      <c r="H1367" s="2520" t="str">
        <f>IFERROR(VLOOKUP(F1367,Trainingsarten!$A$9:$K$84,10,FALSE),"")</f>
        <v/>
      </c>
      <c r="I1367" s="2521" t="str">
        <f t="shared" si="196"/>
        <v/>
      </c>
      <c r="J1367" s="2522"/>
      <c r="K1367" s="2523" t="str">
        <f>IFERROR(VLOOKUP(F1367,Trainingsarten!$A$9:$K$84,11,FALSE),"0")</f>
        <v>0</v>
      </c>
      <c r="L1367" s="2151"/>
      <c r="M1367" s="2841"/>
      <c r="N1367" s="2524" t="str">
        <f t="shared" si="197"/>
        <v/>
      </c>
      <c r="O1367" s="2525"/>
      <c r="P1367" s="2526" t="str">
        <f>IFERROR(VLOOKUP(F1367,Trainingsarten!$A$9:$N$84,12,FALSE),"")</f>
        <v/>
      </c>
      <c r="Q1367" s="2527" t="s">
        <v>437</v>
      </c>
      <c r="R1367" s="2528" t="str">
        <f>IFERROR(VLOOKUP(F1367,Trainingsarten!$A$9:$N$84,14,FALSE),"")</f>
        <v/>
      </c>
      <c r="S1367" s="2529" t="str">
        <f t="shared" si="198"/>
        <v/>
      </c>
      <c r="T1367" s="2518">
        <f t="shared" si="199"/>
        <v>28.230557222178028</v>
      </c>
      <c r="U1367" s="2518">
        <f t="shared" si="200"/>
        <v>24.646750188675099</v>
      </c>
      <c r="V1367" s="2518">
        <f t="shared" si="201"/>
        <v>-7.6877596553616598</v>
      </c>
      <c r="W1367" s="3287">
        <f t="shared" si="202"/>
        <v>1.1454068794493502</v>
      </c>
      <c r="X1367" s="3300"/>
      <c r="Y1367" s="3316"/>
      <c r="AA1367" s="3301"/>
      <c r="AB1367" s="3409"/>
      <c r="AE1367" s="1056"/>
    </row>
    <row r="1368" spans="2:31" ht="16" thickBot="1" x14ac:dyDescent="0.25">
      <c r="B1368" s="2986">
        <f>B1361+1</f>
        <v>39</v>
      </c>
      <c r="C1368" s="2399">
        <v>44466</v>
      </c>
      <c r="D1368" s="2292">
        <v>109</v>
      </c>
      <c r="E1368" s="2069" t="s">
        <v>836</v>
      </c>
      <c r="F1368" s="2771" t="s">
        <v>818</v>
      </c>
      <c r="G1368" s="2530">
        <v>4.2673611111111114E-2</v>
      </c>
      <c r="H1368" s="2401">
        <v>10.8</v>
      </c>
      <c r="I1368" s="2402">
        <f t="shared" si="196"/>
        <v>3.9512602880658436E-3</v>
      </c>
      <c r="J1368" s="2403">
        <v>141</v>
      </c>
      <c r="K1368" s="2404">
        <v>72</v>
      </c>
      <c r="L1368" s="2815">
        <v>208</v>
      </c>
      <c r="M1368" s="2591">
        <v>28</v>
      </c>
      <c r="N1368" s="2296">
        <f t="shared" si="197"/>
        <v>1.0598341625207297</v>
      </c>
      <c r="O1368" s="2405" t="s">
        <v>911</v>
      </c>
      <c r="P1368" s="2298">
        <f>IFERROR(VLOOKUP(F1368,Trainingsarten!$A$9:$N$84,12,FALSE),"")</f>
        <v>194.60000000000002</v>
      </c>
      <c r="Q1368" s="2461" t="s">
        <v>437</v>
      </c>
      <c r="R1368" s="2462">
        <f>IFERROR(VLOOKUP(F1368,Trainingsarten!$A$9:$N$84,14,FALSE),"")</f>
        <v>212.96</v>
      </c>
      <c r="S1368" s="2408">
        <f t="shared" si="198"/>
        <v>1.4751773049645389</v>
      </c>
      <c r="T1368" s="2292">
        <f t="shared" si="199"/>
        <v>34.483334761866878</v>
      </c>
      <c r="U1368" s="2292">
        <f t="shared" si="200"/>
        <v>25.774208517516168</v>
      </c>
      <c r="V1368" s="2292">
        <f t="shared" si="201"/>
        <v>-3.5838070335029286</v>
      </c>
      <c r="W1368" s="3283">
        <f t="shared" si="202"/>
        <v>1.3379008219954449</v>
      </c>
      <c r="X1368" s="3300"/>
      <c r="Y1368" s="3316"/>
      <c r="AA1368" s="3301"/>
      <c r="AB1368" s="3409"/>
      <c r="AE1368" s="1056"/>
    </row>
    <row r="1369" spans="2:31" x14ac:dyDescent="0.2">
      <c r="B1369" s="2991" t="s">
        <v>626</v>
      </c>
      <c r="C1369" s="2409">
        <v>44467</v>
      </c>
      <c r="D1369" s="2009"/>
      <c r="E1369" s="2535"/>
      <c r="F1369" s="2772"/>
      <c r="G1369" s="2536"/>
      <c r="H1369" s="2411" t="str">
        <f>IFERROR(VLOOKUP(F1369,Trainingsarten!$A$9:$K$84,10,FALSE),"")</f>
        <v/>
      </c>
      <c r="I1369" s="2412" t="str">
        <f t="shared" si="196"/>
        <v/>
      </c>
      <c r="J1369" s="2413"/>
      <c r="K1369" s="2414" t="str">
        <f>IFERROR(VLOOKUP(F1369,Trainingsarten!$A$9:$K$84,11,FALSE),"0")</f>
        <v>0</v>
      </c>
      <c r="L1369" s="2816"/>
      <c r="M1369" s="2840"/>
      <c r="N1369" s="2368" t="str">
        <f t="shared" si="197"/>
        <v/>
      </c>
      <c r="O1369" s="2415"/>
      <c r="P1369" s="2514" t="str">
        <f>IFERROR(VLOOKUP(F1369,Trainingsarten!$A$9:$N$84,12,FALSE),"")</f>
        <v/>
      </c>
      <c r="Q1369" s="2515" t="s">
        <v>437</v>
      </c>
      <c r="R1369" s="2516" t="str">
        <f>IFERROR(VLOOKUP(F1369,Trainingsarten!$A$9:$N$84,14,FALSE),"")</f>
        <v/>
      </c>
      <c r="S1369" s="2419" t="str">
        <f t="shared" si="198"/>
        <v/>
      </c>
      <c r="T1369" s="2009">
        <f t="shared" si="199"/>
        <v>29.557144081600182</v>
      </c>
      <c r="U1369" s="2009">
        <f t="shared" si="200"/>
        <v>25.160536886146737</v>
      </c>
      <c r="V1369" s="2009">
        <f t="shared" si="201"/>
        <v>-8.7091262443507098</v>
      </c>
      <c r="W1369" s="3284">
        <f t="shared" si="202"/>
        <v>1.1747421851667321</v>
      </c>
      <c r="X1369" s="3300"/>
      <c r="Y1369" s="3316"/>
      <c r="AA1369" s="3301"/>
      <c r="AB1369" s="3409"/>
      <c r="AE1369" s="1056"/>
    </row>
    <row r="1370" spans="2:31" ht="16" thickBot="1" x14ac:dyDescent="0.25">
      <c r="B1370" s="2979">
        <f>SUM(H1368:H1374)</f>
        <v>17.22</v>
      </c>
      <c r="C1370" s="2409">
        <v>44468</v>
      </c>
      <c r="D1370" s="2009">
        <v>110</v>
      </c>
      <c r="E1370" s="2535" t="s">
        <v>836</v>
      </c>
      <c r="F1370" s="2772" t="s">
        <v>950</v>
      </c>
      <c r="G1370" s="2536">
        <v>2.6053240740740738E-2</v>
      </c>
      <c r="H1370" s="2411">
        <v>6.42</v>
      </c>
      <c r="I1370" s="2412">
        <f t="shared" si="196"/>
        <v>4.0581371870312679E-3</v>
      </c>
      <c r="J1370" s="2413">
        <v>133</v>
      </c>
      <c r="K1370" s="2414">
        <v>41</v>
      </c>
      <c r="L1370" s="2816">
        <v>202</v>
      </c>
      <c r="M1370" s="2840">
        <v>17</v>
      </c>
      <c r="N1370" s="2368">
        <f t="shared" si="197"/>
        <v>1.0571023387734224</v>
      </c>
      <c r="O1370" s="2415" t="s">
        <v>911</v>
      </c>
      <c r="P1370" s="2514">
        <f>IFERROR(VLOOKUP(F1370,Trainingsarten!$A$9:$N$84,12,FALSE),"")</f>
        <v>169.39999999999998</v>
      </c>
      <c r="Q1370" s="2515" t="s">
        <v>437</v>
      </c>
      <c r="R1370" s="2516">
        <f>IFERROR(VLOOKUP(F1370,Trainingsarten!$A$9:$N$84,14,FALSE),"")</f>
        <v>193.60000000000002</v>
      </c>
      <c r="S1370" s="2419">
        <f t="shared" si="198"/>
        <v>1.518796992481203</v>
      </c>
      <c r="T1370" s="2009">
        <f t="shared" si="199"/>
        <v>31.191837784228728</v>
      </c>
      <c r="U1370" s="2009">
        <f t="shared" si="200"/>
        <v>25.537666960286099</v>
      </c>
      <c r="V1370" s="2009">
        <f t="shared" si="201"/>
        <v>-4.3966071954534449</v>
      </c>
      <c r="W1370" s="3284">
        <f t="shared" si="202"/>
        <v>1.2214051437328042</v>
      </c>
      <c r="X1370" s="3300"/>
      <c r="Y1370" s="3316"/>
      <c r="AA1370" s="3301"/>
      <c r="AB1370" s="3409"/>
      <c r="AE1370" s="1056"/>
    </row>
    <row r="1371" spans="2:31" x14ac:dyDescent="0.2">
      <c r="B1371" s="2992" t="s">
        <v>628</v>
      </c>
      <c r="C1371" s="2409">
        <v>44469</v>
      </c>
      <c r="D1371" s="2009"/>
      <c r="E1371" s="2535"/>
      <c r="F1371" s="2772"/>
      <c r="G1371" s="2536"/>
      <c r="H1371" s="2411" t="str">
        <f>IFERROR(VLOOKUP(F1371,Trainingsarten!$A$9:$K$84,10,FALSE),"")</f>
        <v/>
      </c>
      <c r="I1371" s="2412" t="str">
        <f t="shared" si="196"/>
        <v/>
      </c>
      <c r="J1371" s="2413"/>
      <c r="K1371" s="2414" t="str">
        <f>IFERROR(VLOOKUP(F1371,Trainingsarten!$A$9:$K$84,11,FALSE),"0")</f>
        <v>0</v>
      </c>
      <c r="L1371" s="2816"/>
      <c r="M1371" s="2840"/>
      <c r="N1371" s="2368" t="str">
        <f t="shared" si="197"/>
        <v/>
      </c>
      <c r="O1371" s="2415"/>
      <c r="P1371" s="2514" t="str">
        <f>IFERROR(VLOOKUP(F1371,Trainingsarten!$A$9:$N$84,12,FALSE),"")</f>
        <v/>
      </c>
      <c r="Q1371" s="2515" t="s">
        <v>437</v>
      </c>
      <c r="R1371" s="2516" t="str">
        <f>IFERROR(VLOOKUP(F1371,Trainingsarten!$A$9:$N$84,14,FALSE),"")</f>
        <v/>
      </c>
      <c r="S1371" s="2419" t="str">
        <f t="shared" si="198"/>
        <v/>
      </c>
      <c r="T1371" s="2009">
        <f t="shared" si="199"/>
        <v>26.73586095791034</v>
      </c>
      <c r="U1371" s="2009">
        <f t="shared" si="200"/>
        <v>24.929627270755478</v>
      </c>
      <c r="V1371" s="2009">
        <f t="shared" si="201"/>
        <v>-5.6541708239426285</v>
      </c>
      <c r="W1371" s="3284">
        <f t="shared" si="202"/>
        <v>1.0724532969361209</v>
      </c>
      <c r="X1371" s="3300"/>
      <c r="Y1371" s="3316"/>
      <c r="AA1371" s="3301"/>
      <c r="AB1371" s="3409"/>
      <c r="AE1371" s="1056"/>
    </row>
    <row r="1372" spans="2:31" ht="16" thickBot="1" x14ac:dyDescent="0.25">
      <c r="B1372" s="2993">
        <f>SUM(K1368:K1374)</f>
        <v>113</v>
      </c>
      <c r="C1372" s="2409">
        <v>44470</v>
      </c>
      <c r="D1372" s="2009"/>
      <c r="E1372" s="2535"/>
      <c r="F1372" s="2772"/>
      <c r="G1372" s="2536"/>
      <c r="H1372" s="2411" t="str">
        <f>IFERROR(VLOOKUP(F1372,Trainingsarten!$A$9:$K$84,10,FALSE),"")</f>
        <v/>
      </c>
      <c r="I1372" s="2412" t="str">
        <f t="shared" ref="I1372:I1394" si="203">IFERROR(G1372/H1372,"")</f>
        <v/>
      </c>
      <c r="J1372" s="2413"/>
      <c r="K1372" s="2414" t="str">
        <f>IFERROR(VLOOKUP(F1372,Trainingsarten!$A$9:$K$84,11,FALSE),"0")</f>
        <v>0</v>
      </c>
      <c r="L1372" s="2816"/>
      <c r="M1372" s="2840"/>
      <c r="N1372" s="2368" t="str">
        <f t="shared" ref="N1372:N1395" si="204">IFERROR((L1372/67)/(1/(I1372*24)/3.6),"")</f>
        <v/>
      </c>
      <c r="O1372" s="2415"/>
      <c r="P1372" s="2514" t="str">
        <f>IFERROR(VLOOKUP(F1372,Trainingsarten!$A$9:$N$84,12,FALSE),"")</f>
        <v/>
      </c>
      <c r="Q1372" s="2515" t="s">
        <v>437</v>
      </c>
      <c r="R1372" s="2516" t="str">
        <f>IFERROR(VLOOKUP(F1372,Trainingsarten!$A$9:$N$84,14,FALSE),"")</f>
        <v/>
      </c>
      <c r="S1372" s="2419" t="str">
        <f t="shared" ref="S1372:S1395" si="205">IFERROR(L1372/J1372,"")</f>
        <v/>
      </c>
      <c r="T1372" s="2009">
        <f t="shared" ref="T1372:T1395" si="206">T1371+(K1372-T1371)/7</f>
        <v>22.916452249637434</v>
      </c>
      <c r="U1372" s="2009">
        <f t="shared" ref="U1372:U1395" si="207">U1371+(K1372-U1371)/42</f>
        <v>24.336064716689872</v>
      </c>
      <c r="V1372" s="2009">
        <f t="shared" ref="V1372:V1395" si="208">U1371-T1371</f>
        <v>-1.8062336871548617</v>
      </c>
      <c r="W1372" s="3284">
        <f t="shared" ref="W1372:W1395" si="209">T1372/U1372</f>
        <v>0.9416663095048865</v>
      </c>
      <c r="X1372" s="3300"/>
      <c r="Y1372" s="3316"/>
      <c r="AA1372" s="3301"/>
      <c r="AB1372" s="3409"/>
      <c r="AE1372" s="1056"/>
    </row>
    <row r="1373" spans="2:31" x14ac:dyDescent="0.2">
      <c r="B1373" s="2994" t="s">
        <v>761</v>
      </c>
      <c r="C1373" s="2409">
        <v>44471</v>
      </c>
      <c r="D1373" s="2009"/>
      <c r="E1373" s="2535"/>
      <c r="F1373" s="2772"/>
      <c r="G1373" s="2536"/>
      <c r="H1373" s="2411" t="str">
        <f>IFERROR(VLOOKUP(F1373,Trainingsarten!$A$9:$K$84,10,FALSE),"")</f>
        <v/>
      </c>
      <c r="I1373" s="2412" t="str">
        <f t="shared" si="203"/>
        <v/>
      </c>
      <c r="J1373" s="2413"/>
      <c r="K1373" s="2414" t="str">
        <f>IFERROR(VLOOKUP(F1373,Trainingsarten!$A$9:$K$84,11,FALSE),"0")</f>
        <v>0</v>
      </c>
      <c r="L1373" s="2816"/>
      <c r="M1373" s="2840"/>
      <c r="N1373" s="2368" t="str">
        <f t="shared" si="204"/>
        <v/>
      </c>
      <c r="O1373" s="2415"/>
      <c r="P1373" s="2514" t="str">
        <f>IFERROR(VLOOKUP(F1373,Trainingsarten!$A$9:$N$84,12,FALSE),"")</f>
        <v/>
      </c>
      <c r="Q1373" s="2515" t="s">
        <v>437</v>
      </c>
      <c r="R1373" s="2516" t="str">
        <f>IFERROR(VLOOKUP(F1373,Trainingsarten!$A$9:$N$84,14,FALSE),"")</f>
        <v/>
      </c>
      <c r="S1373" s="2419" t="str">
        <f t="shared" si="205"/>
        <v/>
      </c>
      <c r="T1373" s="2009">
        <f t="shared" si="206"/>
        <v>19.642673356832088</v>
      </c>
      <c r="U1373" s="2009">
        <f t="shared" si="207"/>
        <v>23.756634604387731</v>
      </c>
      <c r="V1373" s="2009">
        <f t="shared" si="208"/>
        <v>1.4196124670524384</v>
      </c>
      <c r="W1373" s="3284">
        <f t="shared" si="209"/>
        <v>0.82682895468721751</v>
      </c>
      <c r="X1373" s="3300"/>
      <c r="Y1373" s="3316"/>
      <c r="AA1373" s="3301"/>
      <c r="AB1373" s="3409"/>
      <c r="AE1373" s="1056"/>
    </row>
    <row r="1374" spans="2:31" ht="16" thickBot="1" x14ac:dyDescent="0.25">
      <c r="B1374" s="2997">
        <f>AVERAGE(W1368:W1374)</f>
        <v>1.042998981051189</v>
      </c>
      <c r="C1374" s="1631">
        <v>44472</v>
      </c>
      <c r="D1374" s="1108"/>
      <c r="E1374" s="1397"/>
      <c r="F1374" s="2653"/>
      <c r="G1374" s="2533"/>
      <c r="H1374" s="2434" t="str">
        <f>IFERROR(VLOOKUP(F1374,Trainingsarten!$A$9:$K$84,10,FALSE),"")</f>
        <v/>
      </c>
      <c r="I1374" s="2435" t="str">
        <f t="shared" si="203"/>
        <v/>
      </c>
      <c r="J1374" s="1310"/>
      <c r="K1374" s="2436" t="str">
        <f>IFERROR(VLOOKUP(F1374,Trainingsarten!$A$9:$K$84,11,FALSE),"0")</f>
        <v>0</v>
      </c>
      <c r="L1374" s="2818"/>
      <c r="M1374" s="2798"/>
      <c r="N1374" s="1223" t="str">
        <f t="shared" si="204"/>
        <v/>
      </c>
      <c r="O1374" s="2437"/>
      <c r="P1374" s="1519" t="str">
        <f>IFERROR(VLOOKUP(F1374,Trainingsarten!$A$9:$N$84,12,FALSE),"")</f>
        <v/>
      </c>
      <c r="Q1374" s="2477" t="s">
        <v>437</v>
      </c>
      <c r="R1374" s="2439" t="str">
        <f>IFERROR(VLOOKUP(F1374,Trainingsarten!$A$9:$N$84,14,FALSE),"")</f>
        <v/>
      </c>
      <c r="S1374" s="2440" t="str">
        <f t="shared" si="205"/>
        <v/>
      </c>
      <c r="T1374" s="1108">
        <f t="shared" si="206"/>
        <v>16.836577162998932</v>
      </c>
      <c r="U1374" s="1108">
        <f t="shared" si="207"/>
        <v>23.191000447140404</v>
      </c>
      <c r="V1374" s="1108">
        <f t="shared" si="208"/>
        <v>4.1139612475556433</v>
      </c>
      <c r="W1374" s="3285">
        <f t="shared" si="209"/>
        <v>0.72599615533511785</v>
      </c>
      <c r="X1374" s="3300"/>
      <c r="Y1374" s="3316"/>
      <c r="AA1374" s="3301"/>
      <c r="AB1374" s="3409"/>
      <c r="AE1374" s="1056"/>
    </row>
    <row r="1375" spans="2:31" ht="16" thickBot="1" x14ac:dyDescent="0.25">
      <c r="B1375" s="2986">
        <f>B1368+1</f>
        <v>40</v>
      </c>
      <c r="C1375" s="2441">
        <v>44473</v>
      </c>
      <c r="D1375" s="1111"/>
      <c r="E1375" s="2087"/>
      <c r="F1375" s="2771"/>
      <c r="G1375" s="2534"/>
      <c r="H1375" s="2443" t="str">
        <f>IFERROR(VLOOKUP(F1375,Trainingsarten!$A$9:$K$84,10,FALSE),"")</f>
        <v/>
      </c>
      <c r="I1375" s="2444" t="str">
        <f t="shared" si="203"/>
        <v/>
      </c>
      <c r="J1375" s="1320"/>
      <c r="K1375" s="2445" t="str">
        <f>IFERROR(VLOOKUP(F1375,Trainingsarten!$A$9:$K$84,11,FALSE),"0")</f>
        <v>0</v>
      </c>
      <c r="L1375" s="2819"/>
      <c r="M1375" s="1320"/>
      <c r="N1375" s="1119" t="str">
        <f t="shared" si="204"/>
        <v/>
      </c>
      <c r="O1375" s="2446"/>
      <c r="P1375" s="1121" t="str">
        <f>IFERROR(VLOOKUP(F1375,Trainingsarten!$A$9:$N$84,12,FALSE),"")</f>
        <v/>
      </c>
      <c r="Q1375" s="2447" t="s">
        <v>437</v>
      </c>
      <c r="R1375" s="2448" t="str">
        <f>IFERROR(VLOOKUP(F1375,Trainingsarten!$A$9:$N$84,14,FALSE),"")</f>
        <v/>
      </c>
      <c r="S1375" s="2449" t="str">
        <f t="shared" si="205"/>
        <v/>
      </c>
      <c r="T1375" s="1111">
        <f t="shared" si="206"/>
        <v>14.431351853999084</v>
      </c>
      <c r="U1375" s="1111">
        <f t="shared" si="207"/>
        <v>22.638833769827539</v>
      </c>
      <c r="V1375" s="1111">
        <f t="shared" si="208"/>
        <v>6.3544232841414718</v>
      </c>
      <c r="W1375" s="3286">
        <f t="shared" si="209"/>
        <v>0.63746003883083513</v>
      </c>
      <c r="X1375" s="3300"/>
      <c r="Y1375" s="3316"/>
      <c r="AA1375" s="3301"/>
      <c r="AB1375" s="3409"/>
      <c r="AE1375" s="1056"/>
    </row>
    <row r="1376" spans="2:31" x14ac:dyDescent="0.2">
      <c r="B1376" s="2991" t="s">
        <v>626</v>
      </c>
      <c r="C1376" s="2409">
        <v>44474</v>
      </c>
      <c r="D1376" s="2009"/>
      <c r="E1376" s="2535"/>
      <c r="F1376" s="2772"/>
      <c r="G1376" s="2536"/>
      <c r="H1376" s="2411" t="str">
        <f>IFERROR(VLOOKUP(F1376,Trainingsarten!$A$9:$K$84,10,FALSE),"")</f>
        <v/>
      </c>
      <c r="I1376" s="2412" t="str">
        <f t="shared" si="203"/>
        <v/>
      </c>
      <c r="J1376" s="2413"/>
      <c r="K1376" s="2414" t="str">
        <f>IFERROR(VLOOKUP(F1376,Trainingsarten!$A$9:$K$84,11,FALSE),"0")</f>
        <v>0</v>
      </c>
      <c r="L1376" s="2816"/>
      <c r="M1376" s="2840"/>
      <c r="N1376" s="2368" t="str">
        <f t="shared" si="204"/>
        <v/>
      </c>
      <c r="O1376" s="2415"/>
      <c r="P1376" s="2416" t="str">
        <f>IFERROR(VLOOKUP(F1376,Trainingsarten!$A$9:$N$84,12,FALSE),"")</f>
        <v/>
      </c>
      <c r="Q1376" s="2417" t="s">
        <v>437</v>
      </c>
      <c r="R1376" s="2418" t="str">
        <f>IFERROR(VLOOKUP(F1376,Trainingsarten!$A$9:$N$84,14,FALSE),"")</f>
        <v/>
      </c>
      <c r="S1376" s="2419" t="str">
        <f t="shared" si="205"/>
        <v/>
      </c>
      <c r="T1376" s="2009">
        <f t="shared" si="206"/>
        <v>12.369730160570644</v>
      </c>
      <c r="U1376" s="2009">
        <f t="shared" si="207"/>
        <v>22.09981391816498</v>
      </c>
      <c r="V1376" s="2009">
        <f t="shared" si="208"/>
        <v>8.2074819158284544</v>
      </c>
      <c r="W1376" s="3284">
        <f t="shared" si="209"/>
        <v>0.55972100970512351</v>
      </c>
      <c r="X1376" s="3300"/>
      <c r="Y1376" s="3316"/>
      <c r="AA1376" s="3301"/>
      <c r="AB1376" s="3409"/>
      <c r="AE1376" s="1056"/>
    </row>
    <row r="1377" spans="2:31" ht="16" thickBot="1" x14ac:dyDescent="0.25">
      <c r="B1377" s="2979">
        <f>SUM(H1375:H1381)</f>
        <v>0</v>
      </c>
      <c r="C1377" s="2409">
        <v>44475</v>
      </c>
      <c r="D1377" s="2009"/>
      <c r="E1377" s="2535"/>
      <c r="F1377" s="2772"/>
      <c r="G1377" s="2536"/>
      <c r="H1377" s="2411" t="str">
        <f>IFERROR(VLOOKUP(F1377,Trainingsarten!$A$9:$K$84,10,FALSE),"")</f>
        <v/>
      </c>
      <c r="I1377" s="2412" t="str">
        <f t="shared" si="203"/>
        <v/>
      </c>
      <c r="J1377" s="2413"/>
      <c r="K1377" s="2414" t="str">
        <f>IFERROR(VLOOKUP(F1377,Trainingsarten!$A$9:$K$84,11,FALSE),"0")</f>
        <v>0</v>
      </c>
      <c r="L1377" s="2816"/>
      <c r="M1377" s="2840"/>
      <c r="N1377" s="2368" t="str">
        <f t="shared" si="204"/>
        <v/>
      </c>
      <c r="O1377" s="2415"/>
      <c r="P1377" s="2416" t="str">
        <f>IFERROR(VLOOKUP(F1377,Trainingsarten!$A$9:$N$84,12,FALSE),"")</f>
        <v/>
      </c>
      <c r="Q1377" s="2417" t="s">
        <v>437</v>
      </c>
      <c r="R1377" s="2418" t="str">
        <f>IFERROR(VLOOKUP(F1377,Trainingsarten!$A$9:$N$84,14,FALSE),"")</f>
        <v/>
      </c>
      <c r="S1377" s="2419" t="str">
        <f t="shared" si="205"/>
        <v/>
      </c>
      <c r="T1377" s="2009">
        <f t="shared" si="206"/>
        <v>10.602625851917695</v>
      </c>
      <c r="U1377" s="2009">
        <f t="shared" si="207"/>
        <v>21.573627872494384</v>
      </c>
      <c r="V1377" s="2009">
        <f t="shared" si="208"/>
        <v>9.7300837575943362</v>
      </c>
      <c r="W1377" s="3284">
        <f t="shared" si="209"/>
        <v>0.4914623499849865</v>
      </c>
      <c r="X1377" s="3300"/>
      <c r="Y1377" s="3316"/>
      <c r="AA1377" s="3301"/>
      <c r="AB1377" s="3409"/>
      <c r="AE1377" s="1056"/>
    </row>
    <row r="1378" spans="2:31" x14ac:dyDescent="0.2">
      <c r="B1378" s="2992" t="s">
        <v>628</v>
      </c>
      <c r="C1378" s="2409">
        <v>44476</v>
      </c>
      <c r="D1378" s="2009"/>
      <c r="E1378" s="2535"/>
      <c r="F1378" s="2772"/>
      <c r="G1378" s="2536"/>
      <c r="H1378" s="2411" t="str">
        <f>IFERROR(VLOOKUP(F1378,Trainingsarten!$A$9:$K$84,10,FALSE),"")</f>
        <v/>
      </c>
      <c r="I1378" s="2412" t="str">
        <f t="shared" si="203"/>
        <v/>
      </c>
      <c r="J1378" s="2413"/>
      <c r="K1378" s="2414" t="str">
        <f>IFERROR(VLOOKUP(F1378,Trainingsarten!$A$9:$K$84,11,FALSE),"0")</f>
        <v>0</v>
      </c>
      <c r="L1378" s="2816"/>
      <c r="M1378" s="2840"/>
      <c r="N1378" s="2368" t="str">
        <f t="shared" si="204"/>
        <v/>
      </c>
      <c r="O1378" s="2415"/>
      <c r="P1378" s="2416" t="str">
        <f>IFERROR(VLOOKUP(F1378,Trainingsarten!$A$9:$N$84,12,FALSE),"")</f>
        <v/>
      </c>
      <c r="Q1378" s="2417" t="s">
        <v>437</v>
      </c>
      <c r="R1378" s="2418" t="str">
        <f>IFERROR(VLOOKUP(F1378,Trainingsarten!$A$9:$N$84,14,FALSE),"")</f>
        <v/>
      </c>
      <c r="S1378" s="2419" t="str">
        <f t="shared" si="205"/>
        <v/>
      </c>
      <c r="T1378" s="2009">
        <f t="shared" si="206"/>
        <v>9.0879650159294538</v>
      </c>
      <c r="U1378" s="2009">
        <f t="shared" si="207"/>
        <v>21.059970066006422</v>
      </c>
      <c r="V1378" s="2009">
        <f t="shared" si="208"/>
        <v>10.971002020576689</v>
      </c>
      <c r="W1378" s="3284">
        <f t="shared" si="209"/>
        <v>0.43152791705998822</v>
      </c>
      <c r="X1378" s="3300"/>
      <c r="Y1378" s="3316"/>
      <c r="AA1378" s="3301"/>
      <c r="AB1378" s="3409"/>
      <c r="AE1378" s="1056"/>
    </row>
    <row r="1379" spans="2:31" ht="16" thickBot="1" x14ac:dyDescent="0.25">
      <c r="B1379" s="2993">
        <f>SUM(K1375:K1381)</f>
        <v>0</v>
      </c>
      <c r="C1379" s="2409">
        <v>44477</v>
      </c>
      <c r="D1379" s="2009"/>
      <c r="E1379" s="2535"/>
      <c r="F1379" s="2772"/>
      <c r="G1379" s="2536"/>
      <c r="H1379" s="2411" t="str">
        <f>IFERROR(VLOOKUP(F1379,Trainingsarten!$A$9:$K$84,10,FALSE),"")</f>
        <v/>
      </c>
      <c r="I1379" s="2412" t="str">
        <f t="shared" si="203"/>
        <v/>
      </c>
      <c r="J1379" s="2413"/>
      <c r="K1379" s="2414" t="str">
        <f>IFERROR(VLOOKUP(F1379,Trainingsarten!$A$9:$K$84,11,FALSE),"0")</f>
        <v>0</v>
      </c>
      <c r="L1379" s="2816"/>
      <c r="M1379" s="2840"/>
      <c r="N1379" s="2368" t="str">
        <f t="shared" si="204"/>
        <v/>
      </c>
      <c r="O1379" s="2415"/>
      <c r="P1379" s="2416" t="str">
        <f>IFERROR(VLOOKUP(F1379,Trainingsarten!$A$9:$N$84,12,FALSE),"")</f>
        <v/>
      </c>
      <c r="Q1379" s="2417" t="s">
        <v>437</v>
      </c>
      <c r="R1379" s="2418" t="str">
        <f>IFERROR(VLOOKUP(F1379,Trainingsarten!$A$9:$N$84,14,FALSE),"")</f>
        <v/>
      </c>
      <c r="S1379" s="2419" t="str">
        <f t="shared" si="205"/>
        <v/>
      </c>
      <c r="T1379" s="2009">
        <f t="shared" si="206"/>
        <v>7.789684299368103</v>
      </c>
      <c r="U1379" s="2009">
        <f t="shared" si="207"/>
        <v>20.558542207291982</v>
      </c>
      <c r="V1379" s="2009">
        <f t="shared" si="208"/>
        <v>11.972005050076968</v>
      </c>
      <c r="W1379" s="3284">
        <f t="shared" si="209"/>
        <v>0.37890256132096528</v>
      </c>
      <c r="X1379" s="3300"/>
      <c r="Y1379" s="3316"/>
      <c r="AA1379" s="3301"/>
      <c r="AB1379" s="3409"/>
      <c r="AE1379" s="1056"/>
    </row>
    <row r="1380" spans="2:31" x14ac:dyDescent="0.2">
      <c r="B1380" s="2994" t="s">
        <v>761</v>
      </c>
      <c r="C1380" s="2409">
        <v>44478</v>
      </c>
      <c r="D1380" s="2009"/>
      <c r="E1380" s="2535"/>
      <c r="F1380" s="2772"/>
      <c r="G1380" s="2536"/>
      <c r="H1380" s="2411" t="str">
        <f>IFERROR(VLOOKUP(F1380,Trainingsarten!$A$9:$K$84,10,FALSE),"")</f>
        <v/>
      </c>
      <c r="I1380" s="2412" t="str">
        <f t="shared" si="203"/>
        <v/>
      </c>
      <c r="J1380" s="2413"/>
      <c r="K1380" s="2414" t="str">
        <f>IFERROR(VLOOKUP(F1380,Trainingsarten!$A$9:$K$84,11,FALSE),"0")</f>
        <v>0</v>
      </c>
      <c r="L1380" s="2816"/>
      <c r="M1380" s="2840"/>
      <c r="N1380" s="2368" t="str">
        <f t="shared" si="204"/>
        <v/>
      </c>
      <c r="O1380" s="2415"/>
      <c r="P1380" s="2416" t="str">
        <f>IFERROR(VLOOKUP(F1380,Trainingsarten!$A$9:$N$84,12,FALSE),"")</f>
        <v/>
      </c>
      <c r="Q1380" s="2417" t="s">
        <v>437</v>
      </c>
      <c r="R1380" s="2418" t="str">
        <f>IFERROR(VLOOKUP(F1380,Trainingsarten!$A$9:$N$84,14,FALSE),"")</f>
        <v/>
      </c>
      <c r="S1380" s="2419" t="str">
        <f t="shared" si="205"/>
        <v/>
      </c>
      <c r="T1380" s="2009">
        <f t="shared" si="206"/>
        <v>6.6768722566012313</v>
      </c>
      <c r="U1380" s="2009">
        <f t="shared" si="207"/>
        <v>20.069053107118364</v>
      </c>
      <c r="V1380" s="2009">
        <f t="shared" si="208"/>
        <v>12.768857907923879</v>
      </c>
      <c r="W1380" s="3284">
        <f t="shared" si="209"/>
        <v>0.33269493189157928</v>
      </c>
      <c r="X1380" s="3300"/>
      <c r="Y1380" s="3316"/>
      <c r="AA1380" s="3301"/>
      <c r="AB1380" s="3409"/>
      <c r="AE1380" s="1056"/>
    </row>
    <row r="1381" spans="2:31" ht="16" thickBot="1" x14ac:dyDescent="0.25">
      <c r="B1381" s="2997">
        <f>AVERAGE(W1375:W1381)</f>
        <v>0.44627016971647887</v>
      </c>
      <c r="C1381" s="2420">
        <v>44479</v>
      </c>
      <c r="D1381" s="2421"/>
      <c r="E1381" s="2224"/>
      <c r="F1381" s="2653"/>
      <c r="G1381" s="2519"/>
      <c r="H1381" s="2424" t="str">
        <f>IFERROR(VLOOKUP(F1381,Trainingsarten!$A$9:$K$84,10,FALSE),"")</f>
        <v/>
      </c>
      <c r="I1381" s="2425" t="str">
        <f t="shared" si="203"/>
        <v/>
      </c>
      <c r="J1381" s="2426"/>
      <c r="K1381" s="2427" t="str">
        <f>IFERROR(VLOOKUP(F1381,Trainingsarten!$A$9:$K$84,11,FALSE),"0")</f>
        <v>0</v>
      </c>
      <c r="L1381" s="2151"/>
      <c r="M1381" s="2841"/>
      <c r="N1381" s="2397" t="str">
        <f t="shared" si="204"/>
        <v/>
      </c>
      <c r="O1381" s="2428"/>
      <c r="P1381" s="2336" t="str">
        <f>IFERROR(VLOOKUP(F1381,Trainingsarten!$A$9:$N$84,12,FALSE),"")</f>
        <v/>
      </c>
      <c r="Q1381" s="1381" t="s">
        <v>437</v>
      </c>
      <c r="R1381" s="2430" t="str">
        <f>IFERROR(VLOOKUP(F1381,Trainingsarten!$A$9:$N$84,14,FALSE),"")</f>
        <v/>
      </c>
      <c r="S1381" s="2431" t="str">
        <f t="shared" si="205"/>
        <v/>
      </c>
      <c r="T1381" s="2421">
        <f t="shared" si="206"/>
        <v>5.723033362801055</v>
      </c>
      <c r="U1381" s="2421">
        <f t="shared" si="207"/>
        <v>19.591218509329831</v>
      </c>
      <c r="V1381" s="2421">
        <f t="shared" si="208"/>
        <v>13.392180850517132</v>
      </c>
      <c r="W1381" s="3287">
        <f t="shared" si="209"/>
        <v>0.29212237922187445</v>
      </c>
      <c r="X1381" s="3300"/>
      <c r="Y1381" s="3316"/>
      <c r="AA1381" s="3301"/>
      <c r="AB1381" s="3409"/>
      <c r="AE1381" s="1056"/>
    </row>
    <row r="1382" spans="2:31" ht="16" thickBot="1" x14ac:dyDescent="0.25">
      <c r="B1382" s="2986">
        <f>B1375+1</f>
        <v>41</v>
      </c>
      <c r="C1382" s="2399">
        <v>44480</v>
      </c>
      <c r="D1382" s="2292"/>
      <c r="E1382" s="2293"/>
      <c r="F1382" s="2771"/>
      <c r="G1382" s="2400"/>
      <c r="H1382" s="2401" t="str">
        <f>IFERROR(VLOOKUP(F1382,Trainingsarten!$A$9:$K$84,10,FALSE),"")</f>
        <v/>
      </c>
      <c r="I1382" s="2402" t="str">
        <f t="shared" si="203"/>
        <v/>
      </c>
      <c r="J1382" s="2403"/>
      <c r="K1382" s="2404" t="str">
        <f>IFERROR(VLOOKUP(F1382,Trainingsarten!$A$9:$K$84,11,FALSE),"0")</f>
        <v>0</v>
      </c>
      <c r="L1382" s="2815"/>
      <c r="M1382" s="2591"/>
      <c r="N1382" s="2296" t="str">
        <f t="shared" si="204"/>
        <v/>
      </c>
      <c r="O1382" s="2405"/>
      <c r="P1382" s="2298" t="str">
        <f>IFERROR(VLOOKUP(F1382,Trainingsarten!$A$9:$N$84,12,FALSE),"")</f>
        <v/>
      </c>
      <c r="Q1382" s="2406" t="s">
        <v>437</v>
      </c>
      <c r="R1382" s="2407" t="str">
        <f>IFERROR(VLOOKUP(F1382,Trainingsarten!$A$9:$N$84,14,FALSE),"")</f>
        <v/>
      </c>
      <c r="S1382" s="2408" t="str">
        <f t="shared" si="205"/>
        <v/>
      </c>
      <c r="T1382" s="2292">
        <f t="shared" si="206"/>
        <v>4.9054571681151904</v>
      </c>
      <c r="U1382" s="2292">
        <f t="shared" si="207"/>
        <v>19.12476092577436</v>
      </c>
      <c r="V1382" s="2292">
        <f t="shared" si="208"/>
        <v>13.868185146528777</v>
      </c>
      <c r="W1382" s="3283">
        <f t="shared" si="209"/>
        <v>0.25649769882896295</v>
      </c>
      <c r="X1382" s="3300"/>
      <c r="Y1382" s="3316"/>
      <c r="AA1382" s="3301"/>
      <c r="AB1382" s="3409"/>
      <c r="AE1382" s="1056"/>
    </row>
    <row r="1383" spans="2:31" x14ac:dyDescent="0.2">
      <c r="B1383" s="2991" t="s">
        <v>626</v>
      </c>
      <c r="C1383" s="2409">
        <v>44481</v>
      </c>
      <c r="D1383" s="2009"/>
      <c r="E1383" s="2010"/>
      <c r="F1383" s="2772"/>
      <c r="G1383" s="2410"/>
      <c r="H1383" s="2411" t="str">
        <f>IFERROR(VLOOKUP(F1383,Trainingsarten!$A$9:$K$84,10,FALSE),"")</f>
        <v/>
      </c>
      <c r="I1383" s="2412" t="str">
        <f t="shared" si="203"/>
        <v/>
      </c>
      <c r="J1383" s="2413"/>
      <c r="K1383" s="2414" t="str">
        <f>IFERROR(VLOOKUP(F1383,Trainingsarten!$A$9:$K$84,11,FALSE),"0")</f>
        <v>0</v>
      </c>
      <c r="L1383" s="2816"/>
      <c r="M1383" s="2840"/>
      <c r="N1383" s="2368" t="str">
        <f t="shared" si="204"/>
        <v/>
      </c>
      <c r="O1383" s="2415"/>
      <c r="P1383" s="2370" t="str">
        <f>IFERROR(VLOOKUP(F1383,Trainingsarten!$A$9:$N$84,12,FALSE),"")</f>
        <v/>
      </c>
      <c r="Q1383" s="2432" t="s">
        <v>437</v>
      </c>
      <c r="R1383" s="2537" t="str">
        <f>IFERROR(VLOOKUP(F1383,Trainingsarten!$A$9:$N$84,14,FALSE),"")</f>
        <v/>
      </c>
      <c r="S1383" s="2419" t="str">
        <f t="shared" si="205"/>
        <v/>
      </c>
      <c r="T1383" s="2009">
        <f t="shared" si="206"/>
        <v>4.2046775726701631</v>
      </c>
      <c r="U1383" s="2009">
        <f t="shared" si="207"/>
        <v>18.669409475160684</v>
      </c>
      <c r="V1383" s="2009">
        <f t="shared" si="208"/>
        <v>14.219303757659169</v>
      </c>
      <c r="W1383" s="3284">
        <f t="shared" si="209"/>
        <v>0.22521749165469918</v>
      </c>
      <c r="X1383" s="3300"/>
      <c r="Y1383" s="3316"/>
      <c r="AA1383" s="3301"/>
      <c r="AB1383" s="3409"/>
      <c r="AE1383" s="1056"/>
    </row>
    <row r="1384" spans="2:31" ht="16" thickBot="1" x14ac:dyDescent="0.25">
      <c r="B1384" s="2979">
        <f>SUM(H1382:H1388)</f>
        <v>6.26</v>
      </c>
      <c r="C1384" s="2409">
        <v>44482</v>
      </c>
      <c r="D1384" s="2009"/>
      <c r="E1384" s="2010"/>
      <c r="F1384" s="2772"/>
      <c r="G1384" s="2410"/>
      <c r="H1384" s="2411" t="str">
        <f>IFERROR(VLOOKUP(F1384,Trainingsarten!$A$9:$K$84,10,FALSE),"")</f>
        <v/>
      </c>
      <c r="I1384" s="2412" t="str">
        <f t="shared" si="203"/>
        <v/>
      </c>
      <c r="J1384" s="2413"/>
      <c r="K1384" s="2414" t="str">
        <f>IFERROR(VLOOKUP(F1384,Trainingsarten!$A$9:$K$84,11,FALSE),"0")</f>
        <v>0</v>
      </c>
      <c r="L1384" s="2816"/>
      <c r="M1384" s="2840"/>
      <c r="N1384" s="2368" t="str">
        <f t="shared" si="204"/>
        <v/>
      </c>
      <c r="O1384" s="2415"/>
      <c r="P1384" s="2370" t="str">
        <f>IFERROR(VLOOKUP(F1384,Trainingsarten!$A$9:$N$84,12,FALSE),"")</f>
        <v/>
      </c>
      <c r="Q1384" s="2432" t="s">
        <v>437</v>
      </c>
      <c r="R1384" s="2537" t="str">
        <f>IFERROR(VLOOKUP(F1384,Trainingsarten!$A$9:$N$84,14,FALSE),"")</f>
        <v/>
      </c>
      <c r="S1384" s="2419" t="str">
        <f t="shared" si="205"/>
        <v/>
      </c>
      <c r="T1384" s="2009">
        <f t="shared" si="206"/>
        <v>3.6040093480029967</v>
      </c>
      <c r="U1384" s="2009">
        <f t="shared" si="207"/>
        <v>18.224899725752095</v>
      </c>
      <c r="V1384" s="2009">
        <f t="shared" si="208"/>
        <v>14.46473190249052</v>
      </c>
      <c r="W1384" s="3284">
        <f t="shared" si="209"/>
        <v>0.19775194389193099</v>
      </c>
      <c r="X1384" s="3300"/>
      <c r="Y1384" s="3316"/>
      <c r="AA1384" s="3301"/>
      <c r="AB1384" s="3409"/>
      <c r="AE1384" s="1056"/>
    </row>
    <row r="1385" spans="2:31" x14ac:dyDescent="0.2">
      <c r="B1385" s="2992" t="s">
        <v>628</v>
      </c>
      <c r="C1385" s="2409">
        <v>44483</v>
      </c>
      <c r="D1385" s="2009"/>
      <c r="E1385" s="2010"/>
      <c r="F1385" s="2772"/>
      <c r="G1385" s="2410"/>
      <c r="H1385" s="2411" t="str">
        <f>IFERROR(VLOOKUP(F1385,Trainingsarten!$A$9:$K$84,10,FALSE),"")</f>
        <v/>
      </c>
      <c r="I1385" s="2412" t="str">
        <f t="shared" si="203"/>
        <v/>
      </c>
      <c r="J1385" s="2413"/>
      <c r="K1385" s="2414" t="str">
        <f>IFERROR(VLOOKUP(F1385,Trainingsarten!$A$9:$K$84,11,FALSE),"0")</f>
        <v>0</v>
      </c>
      <c r="L1385" s="2816"/>
      <c r="M1385" s="2840"/>
      <c r="N1385" s="2368" t="str">
        <f t="shared" si="204"/>
        <v/>
      </c>
      <c r="O1385" s="2415"/>
      <c r="P1385" s="2370" t="str">
        <f>IFERROR(VLOOKUP(F1385,Trainingsarten!$A$9:$N$84,12,FALSE),"")</f>
        <v/>
      </c>
      <c r="Q1385" s="2432" t="s">
        <v>437</v>
      </c>
      <c r="R1385" s="2537" t="str">
        <f>IFERROR(VLOOKUP(F1385,Trainingsarten!$A$9:$N$84,14,FALSE),"")</f>
        <v/>
      </c>
      <c r="S1385" s="2419" t="str">
        <f t="shared" si="205"/>
        <v/>
      </c>
      <c r="T1385" s="2009">
        <f t="shared" si="206"/>
        <v>3.0891508697168542</v>
      </c>
      <c r="U1385" s="2009">
        <f t="shared" si="207"/>
        <v>17.790973541805617</v>
      </c>
      <c r="V1385" s="2009">
        <f t="shared" si="208"/>
        <v>14.620890377749099</v>
      </c>
      <c r="W1385" s="3284">
        <f t="shared" si="209"/>
        <v>0.1736358531734028</v>
      </c>
      <c r="X1385" s="3300"/>
      <c r="Y1385" s="3316"/>
      <c r="AA1385" s="3301"/>
      <c r="AB1385" s="3409"/>
      <c r="AE1385" s="1056"/>
    </row>
    <row r="1386" spans="2:31" ht="16" thickBot="1" x14ac:dyDescent="0.25">
      <c r="B1386" s="2993">
        <f>SUM(K1382:K1388)</f>
        <v>40</v>
      </c>
      <c r="C1386" s="2409">
        <v>44484</v>
      </c>
      <c r="D1386" s="2009"/>
      <c r="E1386" s="2010"/>
      <c r="F1386" s="2772"/>
      <c r="G1386" s="2410"/>
      <c r="H1386" s="2411" t="str">
        <f>IFERROR(VLOOKUP(F1386,Trainingsarten!$A$9:$K$84,10,FALSE),"")</f>
        <v/>
      </c>
      <c r="I1386" s="2412" t="str">
        <f t="shared" si="203"/>
        <v/>
      </c>
      <c r="J1386" s="2413"/>
      <c r="K1386" s="2414" t="str">
        <f>IFERROR(VLOOKUP(F1386,Trainingsarten!$A$9:$K$84,11,FALSE),"0")</f>
        <v>0</v>
      </c>
      <c r="L1386" s="2816"/>
      <c r="M1386" s="2840"/>
      <c r="N1386" s="2368" t="str">
        <f t="shared" si="204"/>
        <v/>
      </c>
      <c r="O1386" s="2415"/>
      <c r="P1386" s="2370" t="str">
        <f>IFERROR(VLOOKUP(F1386,Trainingsarten!$A$9:$N$84,12,FALSE),"")</f>
        <v/>
      </c>
      <c r="Q1386" s="2432" t="s">
        <v>437</v>
      </c>
      <c r="R1386" s="2537" t="str">
        <f>IFERROR(VLOOKUP(F1386,Trainingsarten!$A$9:$N$84,14,FALSE),"")</f>
        <v/>
      </c>
      <c r="S1386" s="2419" t="str">
        <f t="shared" si="205"/>
        <v/>
      </c>
      <c r="T1386" s="2009">
        <f t="shared" si="206"/>
        <v>2.6478436026144463</v>
      </c>
      <c r="U1386" s="2009">
        <f t="shared" si="207"/>
        <v>17.367378933667389</v>
      </c>
      <c r="V1386" s="2009">
        <f t="shared" si="208"/>
        <v>14.701822672088763</v>
      </c>
      <c r="W1386" s="3284">
        <f t="shared" si="209"/>
        <v>0.15246074912786586</v>
      </c>
      <c r="X1386" s="3300"/>
      <c r="Y1386" s="3316"/>
      <c r="AA1386" s="3301"/>
      <c r="AB1386" s="3409"/>
      <c r="AE1386" s="1056"/>
    </row>
    <row r="1387" spans="2:31" x14ac:dyDescent="0.2">
      <c r="B1387" s="2994" t="s">
        <v>761</v>
      </c>
      <c r="C1387" s="2409">
        <v>44485</v>
      </c>
      <c r="D1387" s="2009">
        <v>111</v>
      </c>
      <c r="E1387" s="2010" t="s">
        <v>836</v>
      </c>
      <c r="F1387" s="2772" t="s">
        <v>943</v>
      </c>
      <c r="G1387" s="2410">
        <v>2.4999999999999998E-2</v>
      </c>
      <c r="H1387" s="2411">
        <v>6.26</v>
      </c>
      <c r="I1387" s="2412">
        <f t="shared" si="203"/>
        <v>3.9936102236421724E-3</v>
      </c>
      <c r="J1387" s="2413">
        <v>143</v>
      </c>
      <c r="K1387" s="2414">
        <v>40</v>
      </c>
      <c r="L1387" s="2816">
        <v>205</v>
      </c>
      <c r="M1387" s="2840">
        <v>16</v>
      </c>
      <c r="N1387" s="2368">
        <f t="shared" si="204"/>
        <v>1.0557436459873157</v>
      </c>
      <c r="O1387" s="2415" t="s">
        <v>911</v>
      </c>
      <c r="P1387" s="2370">
        <f>IFERROR(VLOOKUP(F1387,Trainingsarten!$A$9:$N$84,12,FALSE),"")</f>
        <v>194.60000000000002</v>
      </c>
      <c r="Q1387" s="2432" t="s">
        <v>437</v>
      </c>
      <c r="R1387" s="2537">
        <f>IFERROR(VLOOKUP(F1387,Trainingsarten!$A$9:$N$84,14,FALSE),"")</f>
        <v>212.96</v>
      </c>
      <c r="S1387" s="2419">
        <f t="shared" si="205"/>
        <v>1.4335664335664335</v>
      </c>
      <c r="T1387" s="2009">
        <f t="shared" si="206"/>
        <v>7.9838659450980973</v>
      </c>
      <c r="U1387" s="2009">
        <f t="shared" si="207"/>
        <v>17.906250863818165</v>
      </c>
      <c r="V1387" s="2009">
        <f t="shared" si="208"/>
        <v>14.719535331052942</v>
      </c>
      <c r="W1387" s="3284">
        <f t="shared" si="209"/>
        <v>0.44587032795516696</v>
      </c>
      <c r="X1387" s="3300"/>
      <c r="Y1387" s="3316"/>
      <c r="AA1387" s="3301"/>
      <c r="AB1387" s="3409"/>
      <c r="AE1387" s="1056"/>
    </row>
    <row r="1388" spans="2:31" ht="16" thickBot="1" x14ac:dyDescent="0.25">
      <c r="B1388" s="2995">
        <f>AVERAGE(W1382:W1388)</f>
        <v>0.26327570890696583</v>
      </c>
      <c r="C1388" s="1631">
        <v>44486</v>
      </c>
      <c r="D1388" s="1108"/>
      <c r="E1388" s="1261"/>
      <c r="F1388" s="2653"/>
      <c r="G1388" s="2433"/>
      <c r="H1388" s="2434" t="str">
        <f>IFERROR(VLOOKUP(F1388,Trainingsarten!$A$9:$K$84,10,FALSE),"")</f>
        <v/>
      </c>
      <c r="I1388" s="2435" t="str">
        <f t="shared" si="203"/>
        <v/>
      </c>
      <c r="J1388" s="1310"/>
      <c r="K1388" s="2436" t="str">
        <f>IFERROR(VLOOKUP(F1388,Trainingsarten!$A$9:$K$84,11,FALSE),"0")</f>
        <v>0</v>
      </c>
      <c r="L1388" s="2818"/>
      <c r="M1388" s="2798"/>
      <c r="N1388" s="1223" t="str">
        <f t="shared" si="204"/>
        <v/>
      </c>
      <c r="O1388" s="2437"/>
      <c r="P1388" s="1519" t="str">
        <f>IFERROR(VLOOKUP(F1388,Trainingsarten!$A$9:$N$84,12,FALSE),"")</f>
        <v/>
      </c>
      <c r="Q1388" s="2438" t="s">
        <v>437</v>
      </c>
      <c r="R1388" s="2439" t="str">
        <f>IFERROR(VLOOKUP(F1388,Trainingsarten!$A$9:$N$84,14,FALSE),"")</f>
        <v/>
      </c>
      <c r="S1388" s="2440" t="str">
        <f t="shared" si="205"/>
        <v/>
      </c>
      <c r="T1388" s="1108">
        <f t="shared" si="206"/>
        <v>6.8433136672269406</v>
      </c>
      <c r="U1388" s="1108">
        <f t="shared" si="207"/>
        <v>17.479911557536781</v>
      </c>
      <c r="V1388" s="1108">
        <f t="shared" si="208"/>
        <v>9.9223849187200681</v>
      </c>
      <c r="W1388" s="3285">
        <f t="shared" si="209"/>
        <v>0.39149589771673199</v>
      </c>
      <c r="X1388" s="3300"/>
      <c r="Y1388" s="3316"/>
      <c r="AA1388" s="3301"/>
      <c r="AB1388" s="3409"/>
      <c r="AE1388" s="1056"/>
    </row>
    <row r="1389" spans="2:31" ht="16" thickBot="1" x14ac:dyDescent="0.25">
      <c r="B1389" s="2986">
        <f>B1382+1</f>
        <v>42</v>
      </c>
      <c r="C1389" s="2399">
        <v>44487</v>
      </c>
      <c r="D1389" s="2292">
        <v>112</v>
      </c>
      <c r="E1389" s="2293" t="s">
        <v>836</v>
      </c>
      <c r="F1389" s="2771" t="s">
        <v>943</v>
      </c>
      <c r="G1389" s="2400">
        <v>2.9270833333333333E-2</v>
      </c>
      <c r="H1389" s="2401">
        <v>7.54</v>
      </c>
      <c r="I1389" s="2402">
        <f t="shared" si="203"/>
        <v>3.8820733863837312E-3</v>
      </c>
      <c r="J1389" s="2403">
        <v>143</v>
      </c>
      <c r="K1389" s="2404">
        <v>42</v>
      </c>
      <c r="L1389" s="2815"/>
      <c r="M1389" s="2591">
        <v>19</v>
      </c>
      <c r="N1389" s="2296"/>
      <c r="O1389" s="2405" t="s">
        <v>1460</v>
      </c>
      <c r="P1389" s="2298">
        <f>IFERROR(VLOOKUP(F1389,Trainingsarten!$A$9:$N$84,12,FALSE),"")</f>
        <v>194.60000000000002</v>
      </c>
      <c r="Q1389" s="2406" t="s">
        <v>437</v>
      </c>
      <c r="R1389" s="2407">
        <f>IFERROR(VLOOKUP(F1389,Trainingsarten!$A$9:$N$84,14,FALSE),"")</f>
        <v>212.96</v>
      </c>
      <c r="S1389" s="2408"/>
      <c r="T1389" s="2292">
        <f t="shared" si="206"/>
        <v>11.865697429051664</v>
      </c>
      <c r="U1389" s="2292">
        <f t="shared" si="207"/>
        <v>18.063723187119237</v>
      </c>
      <c r="V1389" s="2292">
        <f t="shared" si="208"/>
        <v>10.63659789030984</v>
      </c>
      <c r="W1389" s="3283">
        <f t="shared" si="209"/>
        <v>0.65687994142385764</v>
      </c>
      <c r="X1389" s="3300"/>
      <c r="Y1389" s="3316"/>
      <c r="AA1389" s="3301"/>
      <c r="AB1389" s="3409"/>
      <c r="AE1389" s="1056"/>
    </row>
    <row r="1390" spans="2:31" x14ac:dyDescent="0.2">
      <c r="B1390" s="2991" t="s">
        <v>626</v>
      </c>
      <c r="C1390" s="2409">
        <v>44488</v>
      </c>
      <c r="D1390" s="2009"/>
      <c r="E1390" s="2010"/>
      <c r="F1390" s="2772"/>
      <c r="G1390" s="2410"/>
      <c r="H1390" s="2411" t="str">
        <f>IFERROR(VLOOKUP(F1390,Trainingsarten!$A$9:$K$84,10,FALSE),"")</f>
        <v/>
      </c>
      <c r="I1390" s="2412" t="str">
        <f t="shared" si="203"/>
        <v/>
      </c>
      <c r="J1390" s="2413"/>
      <c r="K1390" s="2414" t="str">
        <f>IFERROR(VLOOKUP(F1390,Trainingsarten!$A$9:$K$84,11,FALSE),"0")</f>
        <v>0</v>
      </c>
      <c r="L1390" s="2816"/>
      <c r="M1390" s="2840"/>
      <c r="N1390" s="2368" t="str">
        <f t="shared" si="204"/>
        <v/>
      </c>
      <c r="O1390" s="2415"/>
      <c r="P1390" s="2370" t="str">
        <f>IFERROR(VLOOKUP(F1390,Trainingsarten!$A$9:$N$84,12,FALSE),"")</f>
        <v/>
      </c>
      <c r="Q1390" s="2432" t="s">
        <v>437</v>
      </c>
      <c r="R1390" s="2537" t="str">
        <f>IFERROR(VLOOKUP(F1390,Trainingsarten!$A$9:$N$84,14,FALSE),"")</f>
        <v/>
      </c>
      <c r="S1390" s="2419" t="str">
        <f t="shared" si="205"/>
        <v/>
      </c>
      <c r="T1390" s="2009">
        <f t="shared" si="206"/>
        <v>10.170597796329998</v>
      </c>
      <c r="U1390" s="2009">
        <f t="shared" si="207"/>
        <v>17.633634539806874</v>
      </c>
      <c r="V1390" s="2009">
        <f t="shared" si="208"/>
        <v>6.1980257580675726</v>
      </c>
      <c r="W1390" s="3284">
        <f t="shared" si="209"/>
        <v>0.57677263149411895</v>
      </c>
      <c r="X1390" s="3300"/>
      <c r="Y1390" s="3316"/>
      <c r="AA1390" s="3301"/>
      <c r="AB1390" s="3409"/>
      <c r="AE1390" s="1056"/>
    </row>
    <row r="1391" spans="2:31" ht="16" thickBot="1" x14ac:dyDescent="0.25">
      <c r="B1391" s="2979">
        <f>SUM(H1389:H1395)</f>
        <v>31.950000000000003</v>
      </c>
      <c r="C1391" s="2409">
        <v>44489</v>
      </c>
      <c r="D1391" s="2009">
        <v>113</v>
      </c>
      <c r="E1391" s="2010" t="s">
        <v>836</v>
      </c>
      <c r="F1391" s="2772" t="s">
        <v>943</v>
      </c>
      <c r="G1391" s="2410">
        <v>3.0844907407407404E-2</v>
      </c>
      <c r="H1391" s="2411">
        <v>8.01</v>
      </c>
      <c r="I1391" s="2412">
        <f t="shared" si="203"/>
        <v>3.8507999260184028E-3</v>
      </c>
      <c r="J1391" s="2413">
        <v>146</v>
      </c>
      <c r="K1391" s="2414">
        <v>53</v>
      </c>
      <c r="L1391" s="2816">
        <v>211</v>
      </c>
      <c r="M1391" s="2840">
        <v>20</v>
      </c>
      <c r="N1391" s="2368">
        <f t="shared" si="204"/>
        <v>1.047785417481879</v>
      </c>
      <c r="O1391" s="2415" t="s">
        <v>911</v>
      </c>
      <c r="P1391" s="2370">
        <f>IFERROR(VLOOKUP(F1391,Trainingsarten!$A$9:$N$84,12,FALSE),"")</f>
        <v>194.60000000000002</v>
      </c>
      <c r="Q1391" s="2432" t="s">
        <v>437</v>
      </c>
      <c r="R1391" s="2537">
        <f>IFERROR(VLOOKUP(F1391,Trainingsarten!$A$9:$N$84,14,FALSE),"")</f>
        <v>212.96</v>
      </c>
      <c r="S1391" s="2419">
        <f t="shared" si="205"/>
        <v>1.4452054794520548</v>
      </c>
      <c r="T1391" s="2009">
        <f t="shared" si="206"/>
        <v>16.289083825425713</v>
      </c>
      <c r="U1391" s="2009">
        <f t="shared" si="207"/>
        <v>18.475690860287663</v>
      </c>
      <c r="V1391" s="2009">
        <f t="shared" si="208"/>
        <v>7.4630367434768754</v>
      </c>
      <c r="W1391" s="3284">
        <f t="shared" si="209"/>
        <v>0.88164951170719552</v>
      </c>
      <c r="X1391" s="3300"/>
      <c r="Y1391" s="3316"/>
      <c r="AA1391" s="3301"/>
      <c r="AB1391" s="3409"/>
      <c r="AE1391" s="1056"/>
    </row>
    <row r="1392" spans="2:31" x14ac:dyDescent="0.2">
      <c r="B1392" s="2992" t="s">
        <v>628</v>
      </c>
      <c r="C1392" s="2409">
        <v>44490</v>
      </c>
      <c r="D1392" s="2009"/>
      <c r="E1392" s="2010"/>
      <c r="F1392" s="2772"/>
      <c r="G1392" s="2410"/>
      <c r="H1392" s="2411" t="str">
        <f>IFERROR(VLOOKUP(F1392,Trainingsarten!$A$9:$K$84,10,FALSE),"")</f>
        <v/>
      </c>
      <c r="I1392" s="2412" t="str">
        <f t="shared" si="203"/>
        <v/>
      </c>
      <c r="J1392" s="2413"/>
      <c r="K1392" s="2414" t="str">
        <f>IFERROR(VLOOKUP(F1392,Trainingsarten!$A$9:$K$84,11,FALSE),"0")</f>
        <v>0</v>
      </c>
      <c r="L1392" s="2816"/>
      <c r="M1392" s="2840"/>
      <c r="N1392" s="2368" t="str">
        <f t="shared" si="204"/>
        <v/>
      </c>
      <c r="O1392" s="2415"/>
      <c r="P1392" s="2370" t="str">
        <f>IFERROR(VLOOKUP(F1392,Trainingsarten!$A$9:$N$84,12,FALSE),"")</f>
        <v/>
      </c>
      <c r="Q1392" s="2432" t="s">
        <v>437</v>
      </c>
      <c r="R1392" s="2537" t="str">
        <f>IFERROR(VLOOKUP(F1392,Trainingsarten!$A$9:$N$84,14,FALSE),"")</f>
        <v/>
      </c>
      <c r="S1392" s="2419" t="str">
        <f t="shared" si="205"/>
        <v/>
      </c>
      <c r="T1392" s="2009">
        <f t="shared" si="206"/>
        <v>13.962071850364897</v>
      </c>
      <c r="U1392" s="2009">
        <f t="shared" si="207"/>
        <v>18.035793458852243</v>
      </c>
      <c r="V1392" s="2009">
        <f t="shared" si="208"/>
        <v>2.1866070348619502</v>
      </c>
      <c r="W1392" s="3284">
        <f t="shared" si="209"/>
        <v>0.77413127857217157</v>
      </c>
      <c r="X1392" s="3300"/>
      <c r="Y1392" s="3316"/>
      <c r="AA1392" s="3301"/>
      <c r="AB1392" s="3409"/>
      <c r="AE1392" s="1056"/>
    </row>
    <row r="1393" spans="2:31" ht="16" thickBot="1" x14ac:dyDescent="0.25">
      <c r="B1393" s="2993">
        <f>SUM(K1389:K1395)</f>
        <v>200</v>
      </c>
      <c r="C1393" s="2409">
        <v>44491</v>
      </c>
      <c r="D1393" s="2009">
        <v>114</v>
      </c>
      <c r="E1393" s="2010" t="s">
        <v>835</v>
      </c>
      <c r="F1393" s="2772" t="s">
        <v>943</v>
      </c>
      <c r="G1393" s="2410">
        <v>2.8101851851851854E-2</v>
      </c>
      <c r="H1393" s="2411">
        <v>7.27</v>
      </c>
      <c r="I1393" s="2412">
        <f t="shared" si="203"/>
        <v>3.8654541749452345E-3</v>
      </c>
      <c r="J1393" s="2413">
        <v>141</v>
      </c>
      <c r="K1393" s="2414">
        <v>48</v>
      </c>
      <c r="L1393" s="2816">
        <v>210</v>
      </c>
      <c r="M1393" s="2840">
        <v>26</v>
      </c>
      <c r="N1393" s="2368">
        <f t="shared" si="204"/>
        <v>1.0467880679135273</v>
      </c>
      <c r="O1393" s="2415" t="s">
        <v>911</v>
      </c>
      <c r="P1393" s="2370">
        <f>IFERROR(VLOOKUP(F1393,Trainingsarten!$A$9:$N$84,12,FALSE),"")</f>
        <v>194.60000000000002</v>
      </c>
      <c r="Q1393" s="2432" t="s">
        <v>437</v>
      </c>
      <c r="R1393" s="2537">
        <f>IFERROR(VLOOKUP(F1393,Trainingsarten!$A$9:$N$84,14,FALSE),"")</f>
        <v>212.96</v>
      </c>
      <c r="S1393" s="2419">
        <f t="shared" si="205"/>
        <v>1.4893617021276595</v>
      </c>
      <c r="T1393" s="2009">
        <f t="shared" si="206"/>
        <v>18.824633014598483</v>
      </c>
      <c r="U1393" s="2009">
        <f t="shared" si="207"/>
        <v>18.749226947927191</v>
      </c>
      <c r="V1393" s="2009">
        <f t="shared" si="208"/>
        <v>4.0737216084873467</v>
      </c>
      <c r="W1393" s="3284">
        <f t="shared" si="209"/>
        <v>1.0040218227066491</v>
      </c>
      <c r="X1393" s="3300"/>
      <c r="Y1393" s="3316"/>
      <c r="AA1393" s="3301"/>
      <c r="AB1393" s="3409"/>
      <c r="AE1393" s="1056"/>
    </row>
    <row r="1394" spans="2:31" x14ac:dyDescent="0.2">
      <c r="B1394" s="2994" t="s">
        <v>761</v>
      </c>
      <c r="C1394" s="2409">
        <v>44492</v>
      </c>
      <c r="D1394" s="2009"/>
      <c r="E1394" s="2010"/>
      <c r="F1394" s="2772"/>
      <c r="G1394" s="2410"/>
      <c r="H1394" s="2411" t="str">
        <f>IFERROR(VLOOKUP(F1394,Trainingsarten!$A$9:$K$84,10,FALSE),"")</f>
        <v/>
      </c>
      <c r="I1394" s="2412" t="str">
        <f t="shared" si="203"/>
        <v/>
      </c>
      <c r="J1394" s="2413"/>
      <c r="K1394" s="2414" t="str">
        <f>IFERROR(VLOOKUP(F1394,Trainingsarten!$A$9:$K$84,11,FALSE),"0")</f>
        <v>0</v>
      </c>
      <c r="L1394" s="2816"/>
      <c r="M1394" s="2840"/>
      <c r="N1394" s="2368" t="str">
        <f t="shared" si="204"/>
        <v/>
      </c>
      <c r="O1394" s="2415"/>
      <c r="P1394" s="2370" t="str">
        <f>IFERROR(VLOOKUP(F1394,Trainingsarten!$A$9:$N$84,12,FALSE),"")</f>
        <v/>
      </c>
      <c r="Q1394" s="2432" t="s">
        <v>437</v>
      </c>
      <c r="R1394" s="2537" t="str">
        <f>IFERROR(VLOOKUP(F1394,Trainingsarten!$A$9:$N$84,14,FALSE),"")</f>
        <v/>
      </c>
      <c r="S1394" s="2419" t="str">
        <f t="shared" si="205"/>
        <v/>
      </c>
      <c r="T1394" s="2009">
        <f t="shared" si="206"/>
        <v>16.135399726798699</v>
      </c>
      <c r="U1394" s="2009">
        <f t="shared" si="207"/>
        <v>18.302816782500354</v>
      </c>
      <c r="V1394" s="2009">
        <f t="shared" si="208"/>
        <v>-7.5406066671291683E-2</v>
      </c>
      <c r="W1394" s="3284">
        <f t="shared" si="209"/>
        <v>0.88158013701071625</v>
      </c>
      <c r="X1394" s="3300"/>
      <c r="Y1394" s="3316"/>
      <c r="AA1394" s="3301"/>
      <c r="AB1394" s="3409"/>
      <c r="AE1394" s="1056"/>
    </row>
    <row r="1395" spans="2:31" ht="16" thickBot="1" x14ac:dyDescent="0.25">
      <c r="B1395" s="2995">
        <f>AVERAGE(W1389:W1395)</f>
        <v>0.84543334991273444</v>
      </c>
      <c r="C1395" s="1631">
        <v>44493</v>
      </c>
      <c r="D1395" s="1108">
        <v>115</v>
      </c>
      <c r="E1395" s="1261" t="s">
        <v>835</v>
      </c>
      <c r="F1395" s="2653" t="s">
        <v>819</v>
      </c>
      <c r="G1395" s="2433">
        <v>3.7395833333333336E-2</v>
      </c>
      <c r="H1395" s="2411">
        <v>9.1300000000000008</v>
      </c>
      <c r="I1395" s="2412">
        <f t="shared" ref="I1395" si="210">IFERROR(G1395/H1395,"")</f>
        <v>4.0959291712303761E-3</v>
      </c>
      <c r="J1395" s="1310">
        <v>139</v>
      </c>
      <c r="K1395" s="2414">
        <v>57</v>
      </c>
      <c r="L1395" s="2818">
        <v>198</v>
      </c>
      <c r="M1395" s="2798">
        <v>21</v>
      </c>
      <c r="N1395" s="1223">
        <f t="shared" si="204"/>
        <v>1.0458190972846613</v>
      </c>
      <c r="O1395" s="2437" t="s">
        <v>1460</v>
      </c>
      <c r="P1395" s="1519">
        <f>IFERROR(VLOOKUP(F1395,Trainingsarten!$A$9:$N$84,12,FALSE),"")</f>
        <v>194.60000000000002</v>
      </c>
      <c r="Q1395" s="2438" t="s">
        <v>437</v>
      </c>
      <c r="R1395" s="2439">
        <f>IFERROR(VLOOKUP(F1395,Trainingsarten!$A$9:$N$84,14,FALSE),"")</f>
        <v>212.96</v>
      </c>
      <c r="S1395" s="2440">
        <f t="shared" si="205"/>
        <v>1.4244604316546763</v>
      </c>
      <c r="T1395" s="1108">
        <f t="shared" si="206"/>
        <v>21.973199765827456</v>
      </c>
      <c r="U1395" s="1108">
        <f t="shared" si="207"/>
        <v>19.224178287678917</v>
      </c>
      <c r="V1395" s="1108">
        <f t="shared" si="208"/>
        <v>2.1674170557016552</v>
      </c>
      <c r="W1395" s="3285">
        <f t="shared" si="209"/>
        <v>1.142998126474432</v>
      </c>
      <c r="X1395" s="3300"/>
      <c r="Y1395" s="3316"/>
      <c r="AA1395" s="3301"/>
      <c r="AB1395" s="3409"/>
      <c r="AE1395" s="1056"/>
    </row>
    <row r="1396" spans="2:31" ht="16" thickBot="1" x14ac:dyDescent="0.25">
      <c r="B1396" s="2986">
        <f>B1389+1</f>
        <v>43</v>
      </c>
      <c r="C1396" s="2399">
        <v>44494</v>
      </c>
      <c r="D1396" s="2292"/>
      <c r="E1396" s="2293"/>
      <c r="F1396" s="2771"/>
      <c r="G1396" s="2400"/>
      <c r="H1396" s="2401" t="str">
        <f>IFERROR(VLOOKUP(F1396,Trainingsarten!$A$9:$K$84,10,FALSE),"")</f>
        <v/>
      </c>
      <c r="I1396" s="2402" t="str">
        <f t="shared" ref="I1396:I1459" si="211">IFERROR(G1396/H1396,"")</f>
        <v/>
      </c>
      <c r="J1396" s="2403"/>
      <c r="K1396" s="2404" t="str">
        <f>IFERROR(VLOOKUP(F1396,Trainingsarten!$A$9:$K$84,11,FALSE),"0")</f>
        <v>0</v>
      </c>
      <c r="L1396" s="2815"/>
      <c r="M1396" s="2591"/>
      <c r="N1396" s="2296" t="str">
        <f t="shared" ref="N1396:N1459" si="212">IFERROR((L1396/67)/(1/(I1396*24)/3.6),"")</f>
        <v/>
      </c>
      <c r="O1396" s="2405"/>
      <c r="P1396" s="2298" t="str">
        <f>IFERROR(VLOOKUP(F1396,Trainingsarten!$A$9:$N$84,12,FALSE),"")</f>
        <v/>
      </c>
      <c r="Q1396" s="2406" t="s">
        <v>437</v>
      </c>
      <c r="R1396" s="2407" t="str">
        <f>IFERROR(VLOOKUP(F1396,Trainingsarten!$A$9:$N$84,14,FALSE),"")</f>
        <v/>
      </c>
      <c r="S1396" s="2408" t="str">
        <f t="shared" ref="S1396:S1459" si="213">IFERROR(L1396/J1396,"")</f>
        <v/>
      </c>
      <c r="T1396" s="2292">
        <f t="shared" ref="T1396:T1459" si="214">T1395+(K1396-T1395)/7</f>
        <v>18.834171227852107</v>
      </c>
      <c r="U1396" s="2292">
        <f t="shared" ref="U1396:U1459" si="215">U1395+(K1396-U1395)/42</f>
        <v>18.766459757019895</v>
      </c>
      <c r="V1396" s="2292">
        <f t="shared" ref="V1396:V1459" si="216">U1395-T1395</f>
        <v>-2.7490214781485385</v>
      </c>
      <c r="W1396" s="3283">
        <f t="shared" ref="W1396:W1459" si="217">T1396/U1396</f>
        <v>1.0036081110507209</v>
      </c>
      <c r="X1396" s="3300"/>
      <c r="Y1396" s="3316"/>
      <c r="AA1396" s="3301"/>
      <c r="AB1396" s="3409"/>
      <c r="AE1396" s="1056"/>
    </row>
    <row r="1397" spans="2:31" x14ac:dyDescent="0.2">
      <c r="B1397" s="2991" t="s">
        <v>626</v>
      </c>
      <c r="C1397" s="2409">
        <v>44495</v>
      </c>
      <c r="D1397" s="2009"/>
      <c r="E1397" s="2010"/>
      <c r="F1397" s="2772"/>
      <c r="G1397" s="2410"/>
      <c r="H1397" s="2411" t="str">
        <f>IFERROR(VLOOKUP(F1397,Trainingsarten!$A$9:$K$84,10,FALSE),"")</f>
        <v/>
      </c>
      <c r="I1397" s="2412" t="str">
        <f t="shared" si="211"/>
        <v/>
      </c>
      <c r="J1397" s="2413"/>
      <c r="K1397" s="2414" t="str">
        <f>IFERROR(VLOOKUP(F1397,Trainingsarten!$A$9:$K$84,11,FALSE),"0")</f>
        <v>0</v>
      </c>
      <c r="L1397" s="2816"/>
      <c r="M1397" s="2840"/>
      <c r="N1397" s="2368" t="str">
        <f t="shared" si="212"/>
        <v/>
      </c>
      <c r="O1397" s="2415"/>
      <c r="P1397" s="2370" t="str">
        <f>IFERROR(VLOOKUP(F1397,Trainingsarten!$A$9:$N$84,12,FALSE),"")</f>
        <v/>
      </c>
      <c r="Q1397" s="2432" t="s">
        <v>437</v>
      </c>
      <c r="R1397" s="2537" t="str">
        <f>IFERROR(VLOOKUP(F1397,Trainingsarten!$A$9:$N$84,14,FALSE),"")</f>
        <v/>
      </c>
      <c r="S1397" s="2419" t="str">
        <f t="shared" si="213"/>
        <v/>
      </c>
      <c r="T1397" s="2009">
        <f t="shared" si="214"/>
        <v>16.14357533815895</v>
      </c>
      <c r="U1397" s="2009">
        <f t="shared" si="215"/>
        <v>18.31963928661466</v>
      </c>
      <c r="V1397" s="2009">
        <f t="shared" si="216"/>
        <v>-6.7711470832211518E-2</v>
      </c>
      <c r="W1397" s="3284">
        <f t="shared" si="217"/>
        <v>0.88121687799575499</v>
      </c>
      <c r="X1397" s="3300"/>
      <c r="Y1397" s="3316"/>
      <c r="AA1397" s="3301"/>
      <c r="AB1397" s="3409"/>
      <c r="AE1397" s="1056"/>
    </row>
    <row r="1398" spans="2:31" ht="16" thickBot="1" x14ac:dyDescent="0.25">
      <c r="B1398" s="2979">
        <f>SUM(H1396:H1402)</f>
        <v>13.469999999999999</v>
      </c>
      <c r="C1398" s="2409">
        <v>44496</v>
      </c>
      <c r="D1398" s="2009"/>
      <c r="E1398" s="2010"/>
      <c r="F1398" s="2772"/>
      <c r="G1398" s="2410"/>
      <c r="H1398" s="2411" t="str">
        <f>IFERROR(VLOOKUP(F1398,Trainingsarten!$A$9:$K$84,10,FALSE),"")</f>
        <v/>
      </c>
      <c r="I1398" s="2412" t="str">
        <f t="shared" si="211"/>
        <v/>
      </c>
      <c r="J1398" s="2413"/>
      <c r="K1398" s="2414" t="str">
        <f>IFERROR(VLOOKUP(F1398,Trainingsarten!$A$9:$K$84,11,FALSE),"0")</f>
        <v>0</v>
      </c>
      <c r="L1398" s="2816"/>
      <c r="M1398" s="2840"/>
      <c r="N1398" s="2368" t="str">
        <f t="shared" si="212"/>
        <v/>
      </c>
      <c r="O1398" s="2415"/>
      <c r="P1398" s="2370" t="str">
        <f>IFERROR(VLOOKUP(F1398,Trainingsarten!$A$9:$N$84,12,FALSE),"")</f>
        <v/>
      </c>
      <c r="Q1398" s="2432" t="s">
        <v>437</v>
      </c>
      <c r="R1398" s="2537" t="str">
        <f>IFERROR(VLOOKUP(F1398,Trainingsarten!$A$9:$N$84,14,FALSE),"")</f>
        <v/>
      </c>
      <c r="S1398" s="2419" t="str">
        <f t="shared" si="213"/>
        <v/>
      </c>
      <c r="T1398" s="2009">
        <f t="shared" si="214"/>
        <v>13.837350289850528</v>
      </c>
      <c r="U1398" s="2009">
        <f t="shared" si="215"/>
        <v>17.883457398838122</v>
      </c>
      <c r="V1398" s="2009">
        <f t="shared" si="216"/>
        <v>2.1760639484557096</v>
      </c>
      <c r="W1398" s="3284">
        <f t="shared" si="217"/>
        <v>0.77375140506944329</v>
      </c>
      <c r="X1398" s="3300"/>
      <c r="Y1398" s="3316"/>
      <c r="AA1398" s="3301"/>
      <c r="AB1398" s="3409"/>
      <c r="AE1398" s="1056"/>
    </row>
    <row r="1399" spans="2:31" x14ac:dyDescent="0.2">
      <c r="B1399" s="2992" t="s">
        <v>628</v>
      </c>
      <c r="C1399" s="2409">
        <v>44497</v>
      </c>
      <c r="D1399" s="2009">
        <v>116</v>
      </c>
      <c r="E1399" s="2010" t="s">
        <v>836</v>
      </c>
      <c r="F1399" s="2772" t="s">
        <v>943</v>
      </c>
      <c r="G1399" s="2410">
        <v>2.3009259259259257E-2</v>
      </c>
      <c r="H1399" s="2411">
        <v>6.26</v>
      </c>
      <c r="I1399" s="2412">
        <f t="shared" si="211"/>
        <v>3.6756005206484439E-3</v>
      </c>
      <c r="J1399" s="2413">
        <v>149</v>
      </c>
      <c r="K1399" s="2414">
        <v>43</v>
      </c>
      <c r="L1399" s="2816">
        <v>220</v>
      </c>
      <c r="M1399" s="2840">
        <v>21</v>
      </c>
      <c r="N1399" s="2368">
        <f t="shared" si="212"/>
        <v>1.0427733536788899</v>
      </c>
      <c r="O1399" s="2415" t="s">
        <v>911</v>
      </c>
      <c r="P1399" s="2370">
        <f>IFERROR(VLOOKUP(F1399,Trainingsarten!$A$9:$N$84,12,FALSE),"")</f>
        <v>194.60000000000002</v>
      </c>
      <c r="Q1399" s="2432" t="s">
        <v>437</v>
      </c>
      <c r="R1399" s="2537">
        <f>IFERROR(VLOOKUP(F1399,Trainingsarten!$A$9:$N$84,14,FALSE),"")</f>
        <v>212.96</v>
      </c>
      <c r="S1399" s="2419">
        <f t="shared" si="213"/>
        <v>1.476510067114094</v>
      </c>
      <c r="T1399" s="2009">
        <f t="shared" si="214"/>
        <v>18.003443105586168</v>
      </c>
      <c r="U1399" s="2009">
        <f t="shared" si="215"/>
        <v>18.481470317913406</v>
      </c>
      <c r="V1399" s="2009">
        <f t="shared" si="216"/>
        <v>4.0461071089875933</v>
      </c>
      <c r="W1399" s="3284">
        <f t="shared" si="217"/>
        <v>0.97413478451095403</v>
      </c>
      <c r="X1399" s="3300"/>
      <c r="Y1399" s="3316"/>
      <c r="AA1399" s="3301"/>
      <c r="AB1399" s="3409"/>
      <c r="AE1399" s="1056"/>
    </row>
    <row r="1400" spans="2:31" ht="16" thickBot="1" x14ac:dyDescent="0.25">
      <c r="B1400" s="2993">
        <f>SUM(K1396:K1402)</f>
        <v>89</v>
      </c>
      <c r="C1400" s="2409">
        <v>44498</v>
      </c>
      <c r="D1400" s="2009"/>
      <c r="E1400" s="2010"/>
      <c r="F1400" s="2772"/>
      <c r="G1400" s="2410"/>
      <c r="H1400" s="2411" t="str">
        <f>IFERROR(VLOOKUP(F1400,Trainingsarten!$A$9:$K$84,10,FALSE),"")</f>
        <v/>
      </c>
      <c r="I1400" s="2412" t="str">
        <f t="shared" si="211"/>
        <v/>
      </c>
      <c r="J1400" s="2413"/>
      <c r="K1400" s="2414" t="str">
        <f>IFERROR(VLOOKUP(F1400,Trainingsarten!$A$9:$K$84,11,FALSE),"0")</f>
        <v>0</v>
      </c>
      <c r="L1400" s="2816"/>
      <c r="M1400" s="2840"/>
      <c r="N1400" s="2368" t="str">
        <f t="shared" si="212"/>
        <v/>
      </c>
      <c r="O1400" s="2415"/>
      <c r="P1400" s="2370" t="str">
        <f>IFERROR(VLOOKUP(F1400,Trainingsarten!$A$9:$N$84,12,FALSE),"")</f>
        <v/>
      </c>
      <c r="Q1400" s="2432" t="s">
        <v>437</v>
      </c>
      <c r="R1400" s="2537" t="str">
        <f>IFERROR(VLOOKUP(F1400,Trainingsarten!$A$9:$N$84,14,FALSE),"")</f>
        <v/>
      </c>
      <c r="S1400" s="2419" t="str">
        <f t="shared" si="213"/>
        <v/>
      </c>
      <c r="T1400" s="2009">
        <f t="shared" si="214"/>
        <v>15.431522661931002</v>
      </c>
      <c r="U1400" s="2009">
        <f t="shared" si="215"/>
        <v>18.041435310344038</v>
      </c>
      <c r="V1400" s="2009">
        <f t="shared" si="216"/>
        <v>0.47802721232723755</v>
      </c>
      <c r="W1400" s="3284">
        <f t="shared" si="217"/>
        <v>0.85533785957059383</v>
      </c>
      <c r="X1400" s="3300"/>
      <c r="Y1400" s="3316"/>
      <c r="AA1400" s="3301"/>
      <c r="AB1400" s="3409"/>
      <c r="AE1400" s="1056"/>
    </row>
    <row r="1401" spans="2:31" x14ac:dyDescent="0.2">
      <c r="B1401" s="2994" t="s">
        <v>761</v>
      </c>
      <c r="C1401" s="2409">
        <v>44499</v>
      </c>
      <c r="D1401" s="2009"/>
      <c r="E1401" s="2010"/>
      <c r="F1401" s="2772"/>
      <c r="G1401" s="2410"/>
      <c r="H1401" s="2411" t="str">
        <f>IFERROR(VLOOKUP(F1401,Trainingsarten!$A$9:$K$84,10,FALSE),"")</f>
        <v/>
      </c>
      <c r="I1401" s="2412" t="str">
        <f t="shared" si="211"/>
        <v/>
      </c>
      <c r="J1401" s="2413"/>
      <c r="K1401" s="2414" t="str">
        <f>IFERROR(VLOOKUP(F1401,Trainingsarten!$A$9:$K$84,11,FALSE),"0")</f>
        <v>0</v>
      </c>
      <c r="L1401" s="2816"/>
      <c r="M1401" s="2840"/>
      <c r="N1401" s="2368" t="str">
        <f t="shared" si="212"/>
        <v/>
      </c>
      <c r="O1401" s="2415"/>
      <c r="P1401" s="2370" t="str">
        <f>IFERROR(VLOOKUP(F1401,Trainingsarten!$A$9:$N$84,12,FALSE),"")</f>
        <v/>
      </c>
      <c r="Q1401" s="2432" t="s">
        <v>437</v>
      </c>
      <c r="R1401" s="2537" t="str">
        <f>IFERROR(VLOOKUP(F1401,Trainingsarten!$A$9:$N$84,14,FALSE),"")</f>
        <v/>
      </c>
      <c r="S1401" s="2419" t="str">
        <f t="shared" si="213"/>
        <v/>
      </c>
      <c r="T1401" s="2009">
        <f t="shared" si="214"/>
        <v>13.227019424512287</v>
      </c>
      <c r="U1401" s="2009">
        <f t="shared" si="215"/>
        <v>17.611877326764418</v>
      </c>
      <c r="V1401" s="2009">
        <f t="shared" si="216"/>
        <v>2.6099126484130366</v>
      </c>
      <c r="W1401" s="3284">
        <f t="shared" si="217"/>
        <v>0.75102836450100918</v>
      </c>
      <c r="X1401" s="3300"/>
      <c r="Y1401" s="3316"/>
      <c r="AA1401" s="3301"/>
      <c r="AB1401" s="3409"/>
      <c r="AE1401" s="1056"/>
    </row>
    <row r="1402" spans="2:31" ht="16" thickBot="1" x14ac:dyDescent="0.25">
      <c r="B1402" s="3127">
        <f>AVERAGE(W1396:W1402)</f>
        <v>0.88833686311915494</v>
      </c>
      <c r="C1402" s="1631">
        <v>44500</v>
      </c>
      <c r="D1402" s="1108">
        <v>117</v>
      </c>
      <c r="E1402" s="1261" t="s">
        <v>835</v>
      </c>
      <c r="F1402" s="2653" t="s">
        <v>943</v>
      </c>
      <c r="G1402" s="2433">
        <v>2.9687500000000002E-2</v>
      </c>
      <c r="H1402" s="2434">
        <v>7.21</v>
      </c>
      <c r="I1402" s="2435">
        <f t="shared" si="211"/>
        <v>4.1175450762829403E-3</v>
      </c>
      <c r="J1402" s="1310">
        <v>135</v>
      </c>
      <c r="K1402" s="2436">
        <v>46</v>
      </c>
      <c r="L1402" s="2818">
        <v>198</v>
      </c>
      <c r="M1402" s="2798">
        <v>20</v>
      </c>
      <c r="N1402" s="1223">
        <f t="shared" si="212"/>
        <v>1.0513383153580227</v>
      </c>
      <c r="O1402" s="2437" t="s">
        <v>911</v>
      </c>
      <c r="P1402" s="1519">
        <f>IFERROR(VLOOKUP(F1402,Trainingsarten!$A$9:$N$84,12,FALSE),"")</f>
        <v>194.60000000000002</v>
      </c>
      <c r="Q1402" s="2438" t="s">
        <v>437</v>
      </c>
      <c r="R1402" s="2439">
        <f>IFERROR(VLOOKUP(F1402,Trainingsarten!$A$9:$N$84,14,FALSE),"")</f>
        <v>212.96</v>
      </c>
      <c r="S1402" s="2440">
        <f t="shared" si="213"/>
        <v>1.4666666666666666</v>
      </c>
      <c r="T1402" s="1108">
        <f t="shared" si="214"/>
        <v>17.908873792439103</v>
      </c>
      <c r="U1402" s="1108">
        <f t="shared" si="215"/>
        <v>18.287785009460503</v>
      </c>
      <c r="V1402" s="1108">
        <f t="shared" si="216"/>
        <v>4.384857902252131</v>
      </c>
      <c r="W1402" s="3285">
        <f t="shared" si="217"/>
        <v>0.9792806391356097</v>
      </c>
      <c r="X1402" s="3300"/>
      <c r="Y1402" s="3316"/>
      <c r="AA1402" s="3301"/>
      <c r="AB1402" s="3409"/>
      <c r="AE1402" s="1056"/>
    </row>
    <row r="1403" spans="2:31" ht="16" thickBot="1" x14ac:dyDescent="0.25">
      <c r="B1403" s="2986">
        <f>B1396+1</f>
        <v>44</v>
      </c>
      <c r="C1403" s="2399">
        <v>44501</v>
      </c>
      <c r="D1403" s="2292"/>
      <c r="E1403" s="2293"/>
      <c r="F1403" s="2771"/>
      <c r="G1403" s="2400"/>
      <c r="H1403" s="2401" t="str">
        <f>IFERROR(VLOOKUP(F1403,Trainingsarten!$A$9:$K$84,10,FALSE),"")</f>
        <v/>
      </c>
      <c r="I1403" s="2402" t="str">
        <f t="shared" si="211"/>
        <v/>
      </c>
      <c r="J1403" s="2403"/>
      <c r="K1403" s="2404" t="str">
        <f>IFERROR(VLOOKUP(F1403,Trainingsarten!$A$9:$K$84,11,FALSE),"0")</f>
        <v>0</v>
      </c>
      <c r="L1403" s="2815"/>
      <c r="M1403" s="2591"/>
      <c r="N1403" s="2296" t="str">
        <f t="shared" si="212"/>
        <v/>
      </c>
      <c r="O1403" s="2405"/>
      <c r="P1403" s="2298" t="str">
        <f>IFERROR(VLOOKUP(F1403,Trainingsarten!$A$9:$N$84,12,FALSE),"")</f>
        <v/>
      </c>
      <c r="Q1403" s="2406" t="s">
        <v>437</v>
      </c>
      <c r="R1403" s="2407" t="str">
        <f>IFERROR(VLOOKUP(F1403,Trainingsarten!$A$9:$N$84,14,FALSE),"")</f>
        <v/>
      </c>
      <c r="S1403" s="2408" t="str">
        <f t="shared" si="213"/>
        <v/>
      </c>
      <c r="T1403" s="2292">
        <f t="shared" si="214"/>
        <v>15.350463250662088</v>
      </c>
      <c r="U1403" s="2292">
        <f t="shared" si="215"/>
        <v>17.852361556854301</v>
      </c>
      <c r="V1403" s="2292">
        <f t="shared" si="216"/>
        <v>0.3789112170214004</v>
      </c>
      <c r="W1403" s="3283">
        <f t="shared" si="217"/>
        <v>0.8598561709483401</v>
      </c>
      <c r="X1403" s="3300"/>
      <c r="Y1403" s="3316"/>
      <c r="AA1403" s="3301"/>
      <c r="AB1403" s="3409"/>
      <c r="AE1403" s="1056"/>
    </row>
    <row r="1404" spans="2:31" x14ac:dyDescent="0.2">
      <c r="B1404" s="2991" t="s">
        <v>626</v>
      </c>
      <c r="C1404" s="2409">
        <v>44502</v>
      </c>
      <c r="D1404" s="2009"/>
      <c r="E1404" s="2010"/>
      <c r="F1404" s="2772"/>
      <c r="G1404" s="2410"/>
      <c r="H1404" s="2411" t="str">
        <f>IFERROR(VLOOKUP(F1404,Trainingsarten!$A$9:$K$84,10,FALSE),"")</f>
        <v/>
      </c>
      <c r="I1404" s="2412" t="str">
        <f t="shared" si="211"/>
        <v/>
      </c>
      <c r="J1404" s="2413"/>
      <c r="K1404" s="2414" t="str">
        <f>IFERROR(VLOOKUP(F1404,Trainingsarten!$A$9:$K$84,11,FALSE),"0")</f>
        <v>0</v>
      </c>
      <c r="L1404" s="2816"/>
      <c r="M1404" s="2840"/>
      <c r="N1404" s="2368" t="str">
        <f t="shared" si="212"/>
        <v/>
      </c>
      <c r="O1404" s="2415"/>
      <c r="P1404" s="2370" t="str">
        <f>IFERROR(VLOOKUP(F1404,Trainingsarten!$A$9:$N$84,12,FALSE),"")</f>
        <v/>
      </c>
      <c r="Q1404" s="2432" t="s">
        <v>437</v>
      </c>
      <c r="R1404" s="2537" t="str">
        <f>IFERROR(VLOOKUP(F1404,Trainingsarten!$A$9:$N$84,14,FALSE),"")</f>
        <v/>
      </c>
      <c r="S1404" s="2419" t="str">
        <f t="shared" si="213"/>
        <v/>
      </c>
      <c r="T1404" s="2009">
        <f t="shared" si="214"/>
        <v>13.157539929138933</v>
      </c>
      <c r="U1404" s="2009">
        <f t="shared" si="215"/>
        <v>17.427305329310151</v>
      </c>
      <c r="V1404" s="2009">
        <f t="shared" si="216"/>
        <v>2.5018983061922135</v>
      </c>
      <c r="W1404" s="3284">
        <f t="shared" si="217"/>
        <v>0.7549956622961036</v>
      </c>
      <c r="X1404" s="3300"/>
      <c r="Y1404" s="3316"/>
      <c r="AA1404" s="3301"/>
      <c r="AB1404" s="3409"/>
      <c r="AE1404" s="1056"/>
    </row>
    <row r="1405" spans="2:31" ht="16" thickBot="1" x14ac:dyDescent="0.25">
      <c r="B1405" s="2979">
        <f>SUM(H1403:H1409)</f>
        <v>17.88</v>
      </c>
      <c r="C1405" s="2409">
        <v>44503</v>
      </c>
      <c r="D1405" s="2009">
        <v>118</v>
      </c>
      <c r="E1405" s="2010" t="s">
        <v>836</v>
      </c>
      <c r="F1405" s="2772" t="s">
        <v>943</v>
      </c>
      <c r="G1405" s="2410">
        <v>2.3946759259259261E-2</v>
      </c>
      <c r="H1405" s="2411">
        <v>6.28</v>
      </c>
      <c r="I1405" s="2412">
        <f t="shared" si="211"/>
        <v>3.8131782259966975E-3</v>
      </c>
      <c r="J1405" s="2413">
        <v>145</v>
      </c>
      <c r="K1405" s="2414">
        <v>42</v>
      </c>
      <c r="L1405" s="2816">
        <v>211</v>
      </c>
      <c r="M1405" s="2840">
        <v>11</v>
      </c>
      <c r="N1405" s="2368">
        <f t="shared" si="212"/>
        <v>1.0375487213613463</v>
      </c>
      <c r="O1405" s="2415" t="s">
        <v>1460</v>
      </c>
      <c r="P1405" s="2370">
        <f>IFERROR(VLOOKUP(F1405,Trainingsarten!$A$9:$N$84,12,FALSE),"")</f>
        <v>194.60000000000002</v>
      </c>
      <c r="Q1405" s="2432" t="s">
        <v>437</v>
      </c>
      <c r="R1405" s="2537">
        <f>IFERROR(VLOOKUP(F1405,Trainingsarten!$A$9:$N$84,14,FALSE),"")</f>
        <v>212.96</v>
      </c>
      <c r="S1405" s="2419">
        <f t="shared" si="213"/>
        <v>1.4551724137931035</v>
      </c>
      <c r="T1405" s="2009">
        <f t="shared" si="214"/>
        <v>17.277891367833369</v>
      </c>
      <c r="U1405" s="2009">
        <f t="shared" si="215"/>
        <v>18.012369488136098</v>
      </c>
      <c r="V1405" s="2009">
        <f t="shared" si="216"/>
        <v>4.2697654001712184</v>
      </c>
      <c r="W1405" s="3284">
        <f t="shared" si="217"/>
        <v>0.95922368121603907</v>
      </c>
      <c r="X1405" s="3300"/>
      <c r="Y1405" s="3316"/>
      <c r="AA1405" s="3301"/>
      <c r="AB1405" s="3409"/>
      <c r="AE1405" s="1056"/>
    </row>
    <row r="1406" spans="2:31" x14ac:dyDescent="0.2">
      <c r="B1406" s="2992" t="s">
        <v>628</v>
      </c>
      <c r="C1406" s="2409">
        <v>44504</v>
      </c>
      <c r="D1406" s="2009"/>
      <c r="E1406" s="2010"/>
      <c r="F1406" s="2772"/>
      <c r="G1406" s="2410"/>
      <c r="H1406" s="2411"/>
      <c r="I1406" s="2412" t="str">
        <f t="shared" si="211"/>
        <v/>
      </c>
      <c r="J1406" s="2413"/>
      <c r="K1406" s="2414" t="str">
        <f>IFERROR(VLOOKUP(F1406,Trainingsarten!$A$9:$K$84,11,FALSE),"0")</f>
        <v>0</v>
      </c>
      <c r="L1406" s="2816"/>
      <c r="M1406" s="2840"/>
      <c r="N1406" s="2368" t="str">
        <f t="shared" si="212"/>
        <v/>
      </c>
      <c r="O1406" s="2415"/>
      <c r="P1406" s="2370" t="str">
        <f>IFERROR(VLOOKUP(F1406,Trainingsarten!$A$9:$N$84,12,FALSE),"")</f>
        <v/>
      </c>
      <c r="Q1406" s="2432" t="s">
        <v>437</v>
      </c>
      <c r="R1406" s="2537" t="str">
        <f>IFERROR(VLOOKUP(F1406,Trainingsarten!$A$9:$N$84,14,FALSE),"")</f>
        <v/>
      </c>
      <c r="S1406" s="2419" t="str">
        <f t="shared" si="213"/>
        <v/>
      </c>
      <c r="T1406" s="2009">
        <f t="shared" si="214"/>
        <v>14.809621172428603</v>
      </c>
      <c r="U1406" s="2009">
        <f t="shared" si="215"/>
        <v>17.583503547942382</v>
      </c>
      <c r="V1406" s="2009">
        <f t="shared" si="216"/>
        <v>0.73447812030272885</v>
      </c>
      <c r="W1406" s="3284">
        <f t="shared" si="217"/>
        <v>0.84224518350676603</v>
      </c>
      <c r="X1406" s="3300"/>
      <c r="Y1406" s="3316"/>
      <c r="AA1406" s="3301"/>
      <c r="AB1406" s="3409"/>
      <c r="AE1406" s="1056"/>
    </row>
    <row r="1407" spans="2:31" ht="16" thickBot="1" x14ac:dyDescent="0.25">
      <c r="B1407" s="2993">
        <f>SUM(K1403:K1409)</f>
        <v>122</v>
      </c>
      <c r="C1407" s="2409">
        <v>44505</v>
      </c>
      <c r="D1407" s="2009"/>
      <c r="E1407" s="2010"/>
      <c r="F1407" s="2772"/>
      <c r="G1407" s="2410"/>
      <c r="H1407" s="2411" t="str">
        <f>IFERROR(VLOOKUP(F1407,Trainingsarten!$A$9:$K$84,10,FALSE),"")</f>
        <v/>
      </c>
      <c r="I1407" s="2412" t="str">
        <f t="shared" si="211"/>
        <v/>
      </c>
      <c r="J1407" s="2413"/>
      <c r="K1407" s="2414" t="str">
        <f>IFERROR(VLOOKUP(F1407,Trainingsarten!$A$9:$K$84,11,FALSE),"0")</f>
        <v>0</v>
      </c>
      <c r="L1407" s="2816"/>
      <c r="M1407" s="2840"/>
      <c r="N1407" s="2368" t="str">
        <f t="shared" si="212"/>
        <v/>
      </c>
      <c r="O1407" s="2415"/>
      <c r="P1407" s="2370" t="str">
        <f>IFERROR(VLOOKUP(F1407,Trainingsarten!$A$9:$N$84,12,FALSE),"")</f>
        <v/>
      </c>
      <c r="Q1407" s="2432" t="s">
        <v>437</v>
      </c>
      <c r="R1407" s="2537" t="str">
        <f>IFERROR(VLOOKUP(F1407,Trainingsarten!$A$9:$N$84,14,FALSE),"")</f>
        <v/>
      </c>
      <c r="S1407" s="2419" t="str">
        <f t="shared" si="213"/>
        <v/>
      </c>
      <c r="T1407" s="2009">
        <f t="shared" si="214"/>
        <v>12.693961004938803</v>
      </c>
      <c r="U1407" s="2009">
        <f t="shared" si="215"/>
        <v>17.1648487015628</v>
      </c>
      <c r="V1407" s="2009">
        <f t="shared" si="216"/>
        <v>2.7738823755137787</v>
      </c>
      <c r="W1407" s="3284">
        <f t="shared" si="217"/>
        <v>0.73953235624984348</v>
      </c>
      <c r="X1407" s="3300"/>
      <c r="Y1407" s="3316"/>
      <c r="AA1407" s="3301"/>
      <c r="AB1407" s="3409"/>
      <c r="AE1407" s="1056"/>
    </row>
    <row r="1408" spans="2:31" x14ac:dyDescent="0.2">
      <c r="B1408" s="2994" t="s">
        <v>761</v>
      </c>
      <c r="C1408" s="2409">
        <v>44506</v>
      </c>
      <c r="D1408" s="2009">
        <v>119</v>
      </c>
      <c r="E1408" s="2010" t="s">
        <v>836</v>
      </c>
      <c r="F1408" s="2772" t="s">
        <v>819</v>
      </c>
      <c r="G1408" s="2410">
        <v>4.3368055555555556E-2</v>
      </c>
      <c r="H1408" s="2411">
        <v>11.6</v>
      </c>
      <c r="I1408" s="2412">
        <f t="shared" si="211"/>
        <v>3.7386254789272032E-3</v>
      </c>
      <c r="J1408" s="2413">
        <v>148</v>
      </c>
      <c r="K1408" s="2414">
        <v>80</v>
      </c>
      <c r="L1408" s="2816">
        <v>217</v>
      </c>
      <c r="M1408" s="2840">
        <v>44</v>
      </c>
      <c r="N1408" s="2368">
        <f t="shared" si="212"/>
        <v>1.046190169840453</v>
      </c>
      <c r="O1408" s="2415" t="s">
        <v>911</v>
      </c>
      <c r="P1408" s="2370">
        <f>IFERROR(VLOOKUP(F1408,Trainingsarten!$A$9:$N$84,12,FALSE),"")</f>
        <v>194.60000000000002</v>
      </c>
      <c r="Q1408" s="2432" t="s">
        <v>437</v>
      </c>
      <c r="R1408" s="2537">
        <f>IFERROR(VLOOKUP(F1408,Trainingsarten!$A$9:$N$84,14,FALSE),"")</f>
        <v>212.96</v>
      </c>
      <c r="S1408" s="2419">
        <f t="shared" si="213"/>
        <v>1.4662162162162162</v>
      </c>
      <c r="T1408" s="2009">
        <f t="shared" si="214"/>
        <v>22.309109432804689</v>
      </c>
      <c r="U1408" s="2009">
        <f t="shared" si="215"/>
        <v>18.660923732477972</v>
      </c>
      <c r="V1408" s="2009">
        <f t="shared" si="216"/>
        <v>4.470887696623997</v>
      </c>
      <c r="W1408" s="3284">
        <f t="shared" si="217"/>
        <v>1.195498666230403</v>
      </c>
      <c r="X1408" s="3300"/>
      <c r="Y1408" s="3316"/>
      <c r="AA1408" s="3301"/>
      <c r="AB1408" s="3409"/>
      <c r="AE1408" s="1056"/>
    </row>
    <row r="1409" spans="2:31" ht="16" thickBot="1" x14ac:dyDescent="0.25">
      <c r="B1409" s="3127">
        <f>AVERAGE(W1403:W1409)</f>
        <v>0.91443683805798537</v>
      </c>
      <c r="C1409" s="1631">
        <v>44507</v>
      </c>
      <c r="D1409" s="1108"/>
      <c r="E1409" s="1261"/>
      <c r="F1409" s="2653"/>
      <c r="G1409" s="2433"/>
      <c r="H1409" s="2434" t="str">
        <f>IFERROR(VLOOKUP(F1409,Trainingsarten!$A$9:$K$84,10,FALSE),"")</f>
        <v/>
      </c>
      <c r="I1409" s="2435" t="str">
        <f t="shared" si="211"/>
        <v/>
      </c>
      <c r="J1409" s="1310"/>
      <c r="K1409" s="2436" t="str">
        <f>IFERROR(VLOOKUP(F1409,Trainingsarten!$A$9:$K$84,11,FALSE),"0")</f>
        <v>0</v>
      </c>
      <c r="L1409" s="2818"/>
      <c r="M1409" s="2798"/>
      <c r="N1409" s="1223" t="str">
        <f t="shared" si="212"/>
        <v/>
      </c>
      <c r="O1409" s="2437"/>
      <c r="P1409" s="1519" t="str">
        <f>IFERROR(VLOOKUP(F1409,Trainingsarten!$A$9:$N$84,12,FALSE),"")</f>
        <v/>
      </c>
      <c r="Q1409" s="2438" t="s">
        <v>437</v>
      </c>
      <c r="R1409" s="2439" t="str">
        <f>IFERROR(VLOOKUP(F1409,Trainingsarten!$A$9:$N$84,14,FALSE),"")</f>
        <v/>
      </c>
      <c r="S1409" s="2440" t="str">
        <f t="shared" si="213"/>
        <v/>
      </c>
      <c r="T1409" s="1108">
        <f t="shared" si="214"/>
        <v>19.122093799546878</v>
      </c>
      <c r="U1409" s="1108">
        <f t="shared" si="215"/>
        <v>18.21661602456183</v>
      </c>
      <c r="V1409" s="1108">
        <f t="shared" si="216"/>
        <v>-3.6481857003267173</v>
      </c>
      <c r="W1409" s="3285">
        <f t="shared" si="217"/>
        <v>1.0497061459584027</v>
      </c>
      <c r="X1409" s="3300"/>
      <c r="Y1409" s="3316"/>
      <c r="AA1409" s="3301"/>
      <c r="AB1409" s="3409"/>
      <c r="AE1409" s="1056"/>
    </row>
    <row r="1410" spans="2:31" ht="16" thickBot="1" x14ac:dyDescent="0.25">
      <c r="B1410" s="2986">
        <f>B1403+1</f>
        <v>45</v>
      </c>
      <c r="C1410" s="2399">
        <v>44508</v>
      </c>
      <c r="D1410" s="2292">
        <v>120</v>
      </c>
      <c r="E1410" s="2293" t="s">
        <v>836</v>
      </c>
      <c r="F1410" s="2771" t="s">
        <v>943</v>
      </c>
      <c r="G1410" s="2400">
        <v>2.4479166666666666E-2</v>
      </c>
      <c r="H1410" s="2401">
        <v>6.13</v>
      </c>
      <c r="I1410" s="2402">
        <f t="shared" si="211"/>
        <v>3.9933387710712346E-3</v>
      </c>
      <c r="J1410" s="2403">
        <v>148</v>
      </c>
      <c r="K1410" s="2404">
        <v>39</v>
      </c>
      <c r="L1410" s="2815">
        <v>204</v>
      </c>
      <c r="M1410" s="2591">
        <v>19</v>
      </c>
      <c r="N1410" s="2296">
        <f t="shared" si="212"/>
        <v>1.0505222663193008</v>
      </c>
      <c r="O1410" s="2405" t="s">
        <v>1460</v>
      </c>
      <c r="P1410" s="2298">
        <f>IFERROR(VLOOKUP(F1410,Trainingsarten!$A$9:$N$84,12,FALSE),"")</f>
        <v>194.60000000000002</v>
      </c>
      <c r="Q1410" s="2406" t="s">
        <v>437</v>
      </c>
      <c r="R1410" s="2407">
        <f>IFERROR(VLOOKUP(F1410,Trainingsarten!$A$9:$N$84,14,FALSE),"")</f>
        <v>212.96</v>
      </c>
      <c r="S1410" s="2408">
        <f t="shared" si="213"/>
        <v>1.3783783783783783</v>
      </c>
      <c r="T1410" s="2292">
        <f t="shared" si="214"/>
        <v>21.961794685325895</v>
      </c>
      <c r="U1410" s="2292">
        <f t="shared" si="215"/>
        <v>18.711458500167502</v>
      </c>
      <c r="V1410" s="2292">
        <f t="shared" si="216"/>
        <v>-0.905477774985048</v>
      </c>
      <c r="W1410" s="3283">
        <f t="shared" si="217"/>
        <v>1.1737083287830981</v>
      </c>
      <c r="X1410" s="3300"/>
      <c r="Y1410" s="3316"/>
      <c r="AA1410" s="3301"/>
      <c r="AB1410" s="3409"/>
      <c r="AE1410" s="1056"/>
    </row>
    <row r="1411" spans="2:31" x14ac:dyDescent="0.2">
      <c r="B1411" s="2991" t="s">
        <v>626</v>
      </c>
      <c r="C1411" s="2409">
        <v>44509</v>
      </c>
      <c r="D1411" s="2009"/>
      <c r="E1411" s="2010"/>
      <c r="F1411" s="2772"/>
      <c r="G1411" s="2410"/>
      <c r="H1411" s="2411" t="str">
        <f>IFERROR(VLOOKUP(F1411,Trainingsarten!$A$9:$K$84,10,FALSE),"")</f>
        <v/>
      </c>
      <c r="I1411" s="2412" t="str">
        <f t="shared" si="211"/>
        <v/>
      </c>
      <c r="J1411" s="2413"/>
      <c r="K1411" s="2414" t="str">
        <f>IFERROR(VLOOKUP(F1411,Trainingsarten!$A$9:$K$84,11,FALSE),"0")</f>
        <v>0</v>
      </c>
      <c r="L1411" s="2816"/>
      <c r="M1411" s="2840"/>
      <c r="N1411" s="2368" t="str">
        <f t="shared" si="212"/>
        <v/>
      </c>
      <c r="O1411" s="2415"/>
      <c r="P1411" s="2370" t="str">
        <f>IFERROR(VLOOKUP(F1411,Trainingsarten!$A$9:$N$84,12,FALSE),"")</f>
        <v/>
      </c>
      <c r="Q1411" s="2432" t="s">
        <v>437</v>
      </c>
      <c r="R1411" s="2537" t="str">
        <f>IFERROR(VLOOKUP(F1411,Trainingsarten!$A$9:$N$84,14,FALSE),"")</f>
        <v/>
      </c>
      <c r="S1411" s="2419" t="str">
        <f t="shared" si="213"/>
        <v/>
      </c>
      <c r="T1411" s="2009">
        <f t="shared" si="214"/>
        <v>18.824395444565052</v>
      </c>
      <c r="U1411" s="2009">
        <f t="shared" si="215"/>
        <v>18.265947583496846</v>
      </c>
      <c r="V1411" s="2009">
        <f t="shared" si="216"/>
        <v>-3.2503361851583925</v>
      </c>
      <c r="W1411" s="3284">
        <f t="shared" si="217"/>
        <v>1.0305731667363789</v>
      </c>
      <c r="X1411" s="3300"/>
      <c r="Y1411" s="3316"/>
      <c r="AA1411" s="3301"/>
      <c r="AB1411" s="3409"/>
      <c r="AE1411" s="1056"/>
    </row>
    <row r="1412" spans="2:31" ht="16" thickBot="1" x14ac:dyDescent="0.25">
      <c r="B1412" s="2979">
        <f>SUM(H1410:H1416)</f>
        <v>23.73</v>
      </c>
      <c r="C1412" s="2409">
        <v>44510</v>
      </c>
      <c r="D1412" s="2009">
        <v>121</v>
      </c>
      <c r="E1412" s="2010" t="s">
        <v>836</v>
      </c>
      <c r="F1412" s="2772" t="s">
        <v>943</v>
      </c>
      <c r="G1412" s="2410">
        <v>2.9849537037037036E-2</v>
      </c>
      <c r="H1412" s="2411">
        <v>7.87</v>
      </c>
      <c r="I1412" s="2412">
        <f t="shared" si="211"/>
        <v>3.7928255447315165E-3</v>
      </c>
      <c r="J1412" s="2413">
        <v>146</v>
      </c>
      <c r="K1412" s="2414">
        <v>53</v>
      </c>
      <c r="L1412" s="2816">
        <v>215</v>
      </c>
      <c r="M1412" s="2840">
        <v>19</v>
      </c>
      <c r="N1412" s="2368">
        <f t="shared" si="212"/>
        <v>1.0515750346109352</v>
      </c>
      <c r="O1412" s="2415" t="s">
        <v>911</v>
      </c>
      <c r="P1412" s="2370">
        <f>IFERROR(VLOOKUP(F1412,Trainingsarten!$A$9:$N$84,12,FALSE),"")</f>
        <v>194.60000000000002</v>
      </c>
      <c r="Q1412" s="2432" t="s">
        <v>437</v>
      </c>
      <c r="R1412" s="2537">
        <f>IFERROR(VLOOKUP(F1412,Trainingsarten!$A$9:$N$84,14,FALSE),"")</f>
        <v>212.96</v>
      </c>
      <c r="S1412" s="2419">
        <f t="shared" si="213"/>
        <v>1.4726027397260273</v>
      </c>
      <c r="T1412" s="2009">
        <f t="shared" si="214"/>
        <v>23.706624666770043</v>
      </c>
      <c r="U1412" s="2009">
        <f t="shared" si="215"/>
        <v>19.092948831508824</v>
      </c>
      <c r="V1412" s="2009">
        <f t="shared" si="216"/>
        <v>-0.55844786106820621</v>
      </c>
      <c r="W1412" s="3284">
        <f t="shared" si="217"/>
        <v>1.2416429162397029</v>
      </c>
      <c r="X1412" s="3300"/>
      <c r="Y1412" s="3316"/>
      <c r="AA1412" s="3301"/>
      <c r="AB1412" s="3409"/>
      <c r="AE1412" s="1056"/>
    </row>
    <row r="1413" spans="2:31" x14ac:dyDescent="0.2">
      <c r="B1413" s="2992" t="s">
        <v>628</v>
      </c>
      <c r="C1413" s="2409">
        <v>44511</v>
      </c>
      <c r="D1413" s="2009"/>
      <c r="E1413" s="2010"/>
      <c r="F1413" s="2772"/>
      <c r="G1413" s="2410"/>
      <c r="H1413" s="2411" t="str">
        <f>IFERROR(VLOOKUP(F1413,Trainingsarten!$A$9:$K$84,10,FALSE),"")</f>
        <v/>
      </c>
      <c r="I1413" s="2412" t="str">
        <f t="shared" si="211"/>
        <v/>
      </c>
      <c r="J1413" s="2413"/>
      <c r="K1413" s="2414" t="str">
        <f>IFERROR(VLOOKUP(F1413,Trainingsarten!$A$9:$K$84,11,FALSE),"0")</f>
        <v>0</v>
      </c>
      <c r="L1413" s="2816"/>
      <c r="M1413" s="2840"/>
      <c r="N1413" s="2368" t="str">
        <f t="shared" si="212"/>
        <v/>
      </c>
      <c r="O1413" s="2415"/>
      <c r="P1413" s="2370" t="str">
        <f>IFERROR(VLOOKUP(F1413,Trainingsarten!$A$9:$N$84,12,FALSE),"")</f>
        <v/>
      </c>
      <c r="Q1413" s="2432" t="s">
        <v>437</v>
      </c>
      <c r="R1413" s="2537" t="str">
        <f>IFERROR(VLOOKUP(F1413,Trainingsarten!$A$9:$N$84,14,FALSE),"")</f>
        <v/>
      </c>
      <c r="S1413" s="2419" t="str">
        <f t="shared" si="213"/>
        <v/>
      </c>
      <c r="T1413" s="2009">
        <f t="shared" si="214"/>
        <v>20.319964000088607</v>
      </c>
      <c r="U1413" s="2009">
        <f t="shared" si="215"/>
        <v>18.638354811710997</v>
      </c>
      <c r="V1413" s="2009">
        <f t="shared" si="216"/>
        <v>-4.613675835261219</v>
      </c>
      <c r="W1413" s="3284">
        <f t="shared" si="217"/>
        <v>1.0902230484055926</v>
      </c>
      <c r="X1413" s="3300"/>
      <c r="Y1413" s="3316"/>
      <c r="AA1413" s="3301"/>
      <c r="AB1413" s="3409"/>
      <c r="AE1413" s="1056"/>
    </row>
    <row r="1414" spans="2:31" ht="16" thickBot="1" x14ac:dyDescent="0.25">
      <c r="B1414" s="2993">
        <f>SUM(K1410:K1416)</f>
        <v>157</v>
      </c>
      <c r="C1414" s="2409">
        <v>44512</v>
      </c>
      <c r="D1414" s="2009"/>
      <c r="E1414" s="2010"/>
      <c r="F1414" s="2772"/>
      <c r="G1414" s="2410"/>
      <c r="H1414" s="2411" t="str">
        <f>IFERROR(VLOOKUP(F1414,Trainingsarten!$A$9:$K$84,10,FALSE),"")</f>
        <v/>
      </c>
      <c r="I1414" s="2412" t="str">
        <f t="shared" si="211"/>
        <v/>
      </c>
      <c r="J1414" s="2413"/>
      <c r="K1414" s="2414" t="str">
        <f>IFERROR(VLOOKUP(F1414,Trainingsarten!$A$9:$K$84,11,FALSE),"0")</f>
        <v>0</v>
      </c>
      <c r="L1414" s="2816"/>
      <c r="M1414" s="2840"/>
      <c r="N1414" s="2368" t="str">
        <f t="shared" si="212"/>
        <v/>
      </c>
      <c r="O1414" s="2415"/>
      <c r="P1414" s="2370" t="str">
        <f>IFERROR(VLOOKUP(F1414,Trainingsarten!$A$9:$N$84,12,FALSE),"")</f>
        <v/>
      </c>
      <c r="Q1414" s="2432" t="s">
        <v>437</v>
      </c>
      <c r="R1414" s="2537" t="str">
        <f>IFERROR(VLOOKUP(F1414,Trainingsarten!$A$9:$N$84,14,FALSE),"")</f>
        <v/>
      </c>
      <c r="S1414" s="2419" t="str">
        <f t="shared" si="213"/>
        <v/>
      </c>
      <c r="T1414" s="2009">
        <f t="shared" si="214"/>
        <v>17.417112000075949</v>
      </c>
      <c r="U1414" s="2009">
        <f t="shared" si="215"/>
        <v>18.19458445905121</v>
      </c>
      <c r="V1414" s="2009">
        <f t="shared" si="216"/>
        <v>-1.6816091883776103</v>
      </c>
      <c r="W1414" s="3284">
        <f t="shared" si="217"/>
        <v>0.95726901811222764</v>
      </c>
      <c r="X1414" s="3300"/>
      <c r="Y1414" s="3316"/>
      <c r="AA1414" s="3301"/>
      <c r="AB1414" s="3409"/>
      <c r="AE1414" s="1056"/>
    </row>
    <row r="1415" spans="2:31" x14ac:dyDescent="0.2">
      <c r="B1415" s="2994" t="s">
        <v>761</v>
      </c>
      <c r="C1415" s="2409">
        <v>44513</v>
      </c>
      <c r="D1415" s="2009"/>
      <c r="E1415" s="2010"/>
      <c r="F1415" s="2772"/>
      <c r="G1415" s="2410"/>
      <c r="H1415" s="2411" t="str">
        <f>IFERROR(VLOOKUP(F1415,Trainingsarten!$A$9:$K$84,10,FALSE),"")</f>
        <v/>
      </c>
      <c r="I1415" s="2412" t="str">
        <f t="shared" si="211"/>
        <v/>
      </c>
      <c r="J1415" s="2413"/>
      <c r="K1415" s="2414" t="str">
        <f>IFERROR(VLOOKUP(F1415,Trainingsarten!$A$9:$K$84,11,FALSE),"0")</f>
        <v>0</v>
      </c>
      <c r="L1415" s="2816"/>
      <c r="M1415" s="2840"/>
      <c r="N1415" s="2368" t="str">
        <f t="shared" si="212"/>
        <v/>
      </c>
      <c r="O1415" s="2415"/>
      <c r="P1415" s="2370" t="str">
        <f>IFERROR(VLOOKUP(F1415,Trainingsarten!$A$9:$N$84,12,FALSE),"")</f>
        <v/>
      </c>
      <c r="Q1415" s="2432" t="s">
        <v>437</v>
      </c>
      <c r="R1415" s="2537" t="str">
        <f>IFERROR(VLOOKUP(F1415,Trainingsarten!$A$9:$N$84,14,FALSE),"")</f>
        <v/>
      </c>
      <c r="S1415" s="2419" t="str">
        <f t="shared" si="213"/>
        <v/>
      </c>
      <c r="T1415" s="2009">
        <f t="shared" si="214"/>
        <v>14.928953142922243</v>
      </c>
      <c r="U1415" s="2009">
        <f t="shared" si="215"/>
        <v>17.761380067169039</v>
      </c>
      <c r="V1415" s="2009">
        <f t="shared" si="216"/>
        <v>0.77747245897526085</v>
      </c>
      <c r="W1415" s="3284">
        <f t="shared" si="217"/>
        <v>0.84052889395219987</v>
      </c>
      <c r="X1415" s="3300"/>
      <c r="Y1415" s="3316"/>
      <c r="AA1415" s="3301"/>
      <c r="AB1415" s="3409"/>
      <c r="AE1415" s="1056"/>
    </row>
    <row r="1416" spans="2:31" ht="16" thickBot="1" x14ac:dyDescent="0.25">
      <c r="B1416" s="3127">
        <f>AVERAGE(W1410:W1416)</f>
        <v>1.0718803388732083</v>
      </c>
      <c r="C1416" s="1631">
        <v>44514</v>
      </c>
      <c r="D1416" s="1108">
        <v>122</v>
      </c>
      <c r="E1416" s="1261" t="s">
        <v>836</v>
      </c>
      <c r="F1416" s="2653" t="s">
        <v>819</v>
      </c>
      <c r="G1416" s="2433">
        <v>3.7685185185185183E-2</v>
      </c>
      <c r="H1416" s="2434">
        <v>9.73</v>
      </c>
      <c r="I1416" s="2435">
        <f t="shared" si="211"/>
        <v>3.873092002588405E-3</v>
      </c>
      <c r="J1416" s="1310">
        <v>146</v>
      </c>
      <c r="K1416" s="2436">
        <v>65</v>
      </c>
      <c r="L1416" s="2818">
        <v>211</v>
      </c>
      <c r="M1416" s="2798">
        <v>37</v>
      </c>
      <c r="N1416" s="1223">
        <f t="shared" si="212"/>
        <v>1.0538509917013084</v>
      </c>
      <c r="O1416" s="2437" t="s">
        <v>911</v>
      </c>
      <c r="P1416" s="1519">
        <f>IFERROR(VLOOKUP(F1416,Trainingsarten!$A$9:$N$84,12,FALSE),"")</f>
        <v>194.60000000000002</v>
      </c>
      <c r="Q1416" s="2438" t="s">
        <v>437</v>
      </c>
      <c r="R1416" s="2439">
        <f>IFERROR(VLOOKUP(F1416,Trainingsarten!$A$9:$N$84,14,FALSE),"")</f>
        <v>212.96</v>
      </c>
      <c r="S1416" s="2440">
        <f t="shared" si="213"/>
        <v>1.4452054794520548</v>
      </c>
      <c r="T1416" s="1108">
        <f t="shared" si="214"/>
        <v>22.081959836790496</v>
      </c>
      <c r="U1416" s="1108">
        <f t="shared" si="215"/>
        <v>18.886109113188823</v>
      </c>
      <c r="V1416" s="1108">
        <f t="shared" si="216"/>
        <v>2.8324269242467963</v>
      </c>
      <c r="W1416" s="3285">
        <f t="shared" si="217"/>
        <v>1.169216999883258</v>
      </c>
      <c r="X1416" s="3300"/>
      <c r="Y1416" s="3316"/>
      <c r="AA1416" s="3301"/>
      <c r="AB1416" s="3409"/>
      <c r="AE1416" s="1056"/>
    </row>
    <row r="1417" spans="2:31" ht="16" thickBot="1" x14ac:dyDescent="0.25">
      <c r="B1417" s="2986">
        <f>B1410+1</f>
        <v>46</v>
      </c>
      <c r="C1417" s="2399">
        <v>44515</v>
      </c>
      <c r="D1417" s="2292"/>
      <c r="E1417" s="2293"/>
      <c r="F1417" s="2771"/>
      <c r="G1417" s="2400"/>
      <c r="H1417" s="2401" t="str">
        <f>IFERROR(VLOOKUP(F1417,Trainingsarten!$A$9:$K$84,10,FALSE),"")</f>
        <v/>
      </c>
      <c r="I1417" s="2402" t="str">
        <f t="shared" si="211"/>
        <v/>
      </c>
      <c r="J1417" s="2403"/>
      <c r="K1417" s="2404" t="str">
        <f>IFERROR(VLOOKUP(F1417,Trainingsarten!$A$9:$K$84,11,FALSE),"0")</f>
        <v>0</v>
      </c>
      <c r="L1417" s="2815"/>
      <c r="M1417" s="2591"/>
      <c r="N1417" s="2296" t="str">
        <f t="shared" si="212"/>
        <v/>
      </c>
      <c r="O1417" s="2405"/>
      <c r="P1417" s="2298" t="str">
        <f>IFERROR(VLOOKUP(F1417,Trainingsarten!$A$9:$N$84,12,FALSE),"")</f>
        <v/>
      </c>
      <c r="Q1417" s="2406" t="s">
        <v>437</v>
      </c>
      <c r="R1417" s="2407" t="str">
        <f>IFERROR(VLOOKUP(F1417,Trainingsarten!$A$9:$N$84,14,FALSE),"")</f>
        <v/>
      </c>
      <c r="S1417" s="2408" t="str">
        <f t="shared" si="213"/>
        <v/>
      </c>
      <c r="T1417" s="2292">
        <f t="shared" si="214"/>
        <v>18.927394145820426</v>
      </c>
      <c r="U1417" s="2292">
        <f t="shared" si="215"/>
        <v>18.436439848589089</v>
      </c>
      <c r="V1417" s="2292">
        <f t="shared" si="216"/>
        <v>-3.1958507236016729</v>
      </c>
      <c r="W1417" s="3283">
        <f t="shared" si="217"/>
        <v>1.0266295608731046</v>
      </c>
      <c r="X1417" s="3300"/>
      <c r="Y1417" s="3316"/>
      <c r="AA1417" s="3301"/>
      <c r="AB1417" s="3409"/>
      <c r="AE1417" s="1056"/>
    </row>
    <row r="1418" spans="2:31" x14ac:dyDescent="0.2">
      <c r="B1418" s="2991" t="s">
        <v>626</v>
      </c>
      <c r="C1418" s="2409">
        <v>44516</v>
      </c>
      <c r="D1418" s="2009"/>
      <c r="E1418" s="2010"/>
      <c r="F1418" s="2772"/>
      <c r="G1418" s="2410"/>
      <c r="H1418" s="2411" t="str">
        <f>IFERROR(VLOOKUP(F1418,Trainingsarten!$A$9:$K$84,10,FALSE),"")</f>
        <v/>
      </c>
      <c r="I1418" s="2412" t="str">
        <f t="shared" si="211"/>
        <v/>
      </c>
      <c r="J1418" s="2413"/>
      <c r="K1418" s="2414" t="str">
        <f>IFERROR(VLOOKUP(F1418,Trainingsarten!$A$9:$K$84,11,FALSE),"0")</f>
        <v>0</v>
      </c>
      <c r="L1418" s="2816"/>
      <c r="M1418" s="2840"/>
      <c r="N1418" s="2368" t="str">
        <f t="shared" si="212"/>
        <v/>
      </c>
      <c r="O1418" s="2415"/>
      <c r="P1418" s="2370" t="str">
        <f>IFERROR(VLOOKUP(F1418,Trainingsarten!$A$9:$N$84,12,FALSE),"")</f>
        <v/>
      </c>
      <c r="Q1418" s="2432" t="s">
        <v>437</v>
      </c>
      <c r="R1418" s="2537" t="str">
        <f>IFERROR(VLOOKUP(F1418,Trainingsarten!$A$9:$N$84,14,FALSE),"")</f>
        <v/>
      </c>
      <c r="S1418" s="2419" t="str">
        <f t="shared" si="213"/>
        <v/>
      </c>
      <c r="T1418" s="2009">
        <f t="shared" si="214"/>
        <v>16.223480696417507</v>
      </c>
      <c r="U1418" s="2009">
        <f t="shared" si="215"/>
        <v>17.997476995051255</v>
      </c>
      <c r="V1418" s="2009">
        <f t="shared" si="216"/>
        <v>-0.49095429723133677</v>
      </c>
      <c r="W1418" s="3284">
        <f t="shared" si="217"/>
        <v>0.90143083393736012</v>
      </c>
      <c r="X1418" s="3300"/>
      <c r="Y1418" s="3316"/>
      <c r="AA1418" s="3301"/>
      <c r="AB1418" s="3409"/>
      <c r="AE1418" s="1056"/>
    </row>
    <row r="1419" spans="2:31" ht="16" thickBot="1" x14ac:dyDescent="0.25">
      <c r="B1419" s="2979">
        <f>SUM(H1417:H1423)</f>
        <v>16.560000000000002</v>
      </c>
      <c r="C1419" s="2409">
        <v>44517</v>
      </c>
      <c r="D1419" s="2009"/>
      <c r="E1419" s="2010"/>
      <c r="F1419" s="2772"/>
      <c r="G1419" s="2410"/>
      <c r="H1419" s="2411" t="str">
        <f>IFERROR(VLOOKUP(F1419,Trainingsarten!$A$9:$K$84,10,FALSE),"")</f>
        <v/>
      </c>
      <c r="I1419" s="2412" t="str">
        <f t="shared" si="211"/>
        <v/>
      </c>
      <c r="J1419" s="2413"/>
      <c r="K1419" s="2414" t="str">
        <f>IFERROR(VLOOKUP(F1419,Trainingsarten!$A$9:$K$84,11,FALSE),"0")</f>
        <v>0</v>
      </c>
      <c r="L1419" s="2816"/>
      <c r="M1419" s="2840"/>
      <c r="N1419" s="2368" t="str">
        <f t="shared" si="212"/>
        <v/>
      </c>
      <c r="O1419" s="2415"/>
      <c r="P1419" s="2370" t="str">
        <f>IFERROR(VLOOKUP(F1419,Trainingsarten!$A$9:$N$84,12,FALSE),"")</f>
        <v/>
      </c>
      <c r="Q1419" s="2432" t="s">
        <v>437</v>
      </c>
      <c r="R1419" s="2537" t="str">
        <f>IFERROR(VLOOKUP(F1419,Trainingsarten!$A$9:$N$84,14,FALSE),"")</f>
        <v/>
      </c>
      <c r="S1419" s="2419" t="str">
        <f t="shared" si="213"/>
        <v/>
      </c>
      <c r="T1419" s="2009">
        <f t="shared" si="214"/>
        <v>13.905840596929291</v>
      </c>
      <c r="U1419" s="2009">
        <f t="shared" si="215"/>
        <v>17.568965638026224</v>
      </c>
      <c r="V1419" s="2009">
        <f t="shared" si="216"/>
        <v>1.7739962986337474</v>
      </c>
      <c r="W1419" s="3284">
        <f t="shared" si="217"/>
        <v>0.79150024443280398</v>
      </c>
      <c r="X1419" s="3300"/>
      <c r="Y1419" s="3316"/>
      <c r="AA1419" s="3301"/>
      <c r="AB1419" s="3409"/>
      <c r="AE1419" s="1056"/>
    </row>
    <row r="1420" spans="2:31" x14ac:dyDescent="0.2">
      <c r="B1420" s="2992" t="s">
        <v>628</v>
      </c>
      <c r="C1420" s="2409">
        <v>44518</v>
      </c>
      <c r="D1420" s="2009"/>
      <c r="E1420" s="2010"/>
      <c r="F1420" s="2772"/>
      <c r="G1420" s="2410"/>
      <c r="H1420" s="2411" t="str">
        <f>IFERROR(VLOOKUP(F1420,Trainingsarten!$A$9:$K$84,10,FALSE),"")</f>
        <v/>
      </c>
      <c r="I1420" s="2412" t="str">
        <f t="shared" si="211"/>
        <v/>
      </c>
      <c r="J1420" s="2413"/>
      <c r="K1420" s="2414" t="str">
        <f>IFERROR(VLOOKUP(F1420,Trainingsarten!$A$9:$K$84,11,FALSE),"0")</f>
        <v>0</v>
      </c>
      <c r="L1420" s="2816"/>
      <c r="M1420" s="2840"/>
      <c r="N1420" s="2368" t="str">
        <f t="shared" si="212"/>
        <v/>
      </c>
      <c r="O1420" s="2415"/>
      <c r="P1420" s="2370" t="str">
        <f>IFERROR(VLOOKUP(F1420,Trainingsarten!$A$9:$N$84,12,FALSE),"")</f>
        <v/>
      </c>
      <c r="Q1420" s="2432" t="s">
        <v>437</v>
      </c>
      <c r="R1420" s="2537" t="str">
        <f>IFERROR(VLOOKUP(F1420,Trainingsarten!$A$9:$N$84,14,FALSE),"")</f>
        <v/>
      </c>
      <c r="S1420" s="2419" t="str">
        <f t="shared" si="213"/>
        <v/>
      </c>
      <c r="T1420" s="2009">
        <f t="shared" si="214"/>
        <v>11.919291940225106</v>
      </c>
      <c r="U1420" s="2009">
        <f t="shared" si="215"/>
        <v>17.150656932358935</v>
      </c>
      <c r="V1420" s="2009">
        <f t="shared" si="216"/>
        <v>3.6631250410969329</v>
      </c>
      <c r="W1420" s="3284">
        <f t="shared" si="217"/>
        <v>0.69497582438002292</v>
      </c>
      <c r="X1420" s="3300"/>
      <c r="Y1420" s="3316"/>
      <c r="AA1420" s="3301"/>
      <c r="AB1420" s="3409"/>
      <c r="AE1420" s="1056"/>
    </row>
    <row r="1421" spans="2:31" ht="16" thickBot="1" x14ac:dyDescent="0.25">
      <c r="B1421" s="2993">
        <f>SUM(K1417:K1423)</f>
        <v>106</v>
      </c>
      <c r="C1421" s="2409">
        <v>44519</v>
      </c>
      <c r="D1421" s="2009">
        <v>123</v>
      </c>
      <c r="E1421" s="2010" t="s">
        <v>836</v>
      </c>
      <c r="F1421" s="2772" t="s">
        <v>943</v>
      </c>
      <c r="G1421" s="2410">
        <v>2.4351851851851857E-2</v>
      </c>
      <c r="H1421" s="2411">
        <v>6.16</v>
      </c>
      <c r="I1421" s="2412">
        <f t="shared" si="211"/>
        <v>3.9532227032227042E-3</v>
      </c>
      <c r="J1421" s="2413">
        <v>138</v>
      </c>
      <c r="K1421" s="2414">
        <v>40</v>
      </c>
      <c r="L1421" s="2816">
        <v>206</v>
      </c>
      <c r="M1421" s="2840">
        <v>17</v>
      </c>
      <c r="N1421" s="2368">
        <f t="shared" si="212"/>
        <v>1.050164760612522</v>
      </c>
      <c r="O1421" s="2415" t="s">
        <v>911</v>
      </c>
      <c r="P1421" s="2370">
        <f>IFERROR(VLOOKUP(F1421,Trainingsarten!$A$9:$N$84,12,FALSE),"")</f>
        <v>194.60000000000002</v>
      </c>
      <c r="Q1421" s="2432" t="s">
        <v>437</v>
      </c>
      <c r="R1421" s="2537">
        <f>IFERROR(VLOOKUP(F1421,Trainingsarten!$A$9:$N$84,14,FALSE),"")</f>
        <v>212.96</v>
      </c>
      <c r="S1421" s="2419">
        <f t="shared" si="213"/>
        <v>1.4927536231884058</v>
      </c>
      <c r="T1421" s="2009">
        <f t="shared" si="214"/>
        <v>15.930821663050089</v>
      </c>
      <c r="U1421" s="2009">
        <f t="shared" si="215"/>
        <v>17.694688910159911</v>
      </c>
      <c r="V1421" s="2009">
        <f t="shared" si="216"/>
        <v>5.2313649921338286</v>
      </c>
      <c r="W1421" s="3284">
        <f t="shared" si="217"/>
        <v>0.90031657204795235</v>
      </c>
      <c r="X1421" s="3300"/>
      <c r="Y1421" s="3316"/>
      <c r="AA1421" s="3301"/>
      <c r="AB1421" s="3409"/>
      <c r="AE1421" s="1056"/>
    </row>
    <row r="1422" spans="2:31" x14ac:dyDescent="0.2">
      <c r="B1422" s="2994" t="s">
        <v>761</v>
      </c>
      <c r="C1422" s="2409">
        <v>44520</v>
      </c>
      <c r="D1422" s="2009"/>
      <c r="E1422" s="2010"/>
      <c r="F1422" s="2772"/>
      <c r="G1422" s="2410"/>
      <c r="H1422" s="2411" t="str">
        <f>IFERROR(VLOOKUP(F1422,Trainingsarten!$A$9:$K$84,10,FALSE),"")</f>
        <v/>
      </c>
      <c r="I1422" s="2412" t="str">
        <f t="shared" si="211"/>
        <v/>
      </c>
      <c r="J1422" s="2413"/>
      <c r="K1422" s="2414" t="str">
        <f>IFERROR(VLOOKUP(F1422,Trainingsarten!$A$9:$K$84,11,FALSE),"0")</f>
        <v>0</v>
      </c>
      <c r="L1422" s="2816"/>
      <c r="M1422" s="2840"/>
      <c r="N1422" s="2368" t="str">
        <f t="shared" si="212"/>
        <v/>
      </c>
      <c r="O1422" s="2415"/>
      <c r="P1422" s="2370" t="str">
        <f>IFERROR(VLOOKUP(F1422,Trainingsarten!$A$9:$N$84,12,FALSE),"")</f>
        <v/>
      </c>
      <c r="Q1422" s="2432" t="s">
        <v>437</v>
      </c>
      <c r="R1422" s="2537" t="str">
        <f>IFERROR(VLOOKUP(F1422,Trainingsarten!$A$9:$N$84,14,FALSE),"")</f>
        <v/>
      </c>
      <c r="S1422" s="2419" t="str">
        <f t="shared" si="213"/>
        <v/>
      </c>
      <c r="T1422" s="2009">
        <f t="shared" si="214"/>
        <v>13.654989996900078</v>
      </c>
      <c r="U1422" s="2009">
        <f t="shared" si="215"/>
        <v>17.273386793251341</v>
      </c>
      <c r="V1422" s="2009">
        <f t="shared" si="216"/>
        <v>1.7638672471098218</v>
      </c>
      <c r="W1422" s="3284">
        <f t="shared" si="217"/>
        <v>0.79052186813966563</v>
      </c>
      <c r="X1422" s="3300"/>
      <c r="Y1422" s="3316"/>
      <c r="AA1422" s="3301"/>
      <c r="AB1422" s="3409"/>
      <c r="AE1422" s="1056"/>
    </row>
    <row r="1423" spans="2:31" ht="16" thickBot="1" x14ac:dyDescent="0.25">
      <c r="B1423" s="3127">
        <f>AVERAGE(W1417:W1423)</f>
        <v>0.89311560960683523</v>
      </c>
      <c r="C1423" s="1631">
        <v>44521</v>
      </c>
      <c r="D1423" s="1108">
        <v>124</v>
      </c>
      <c r="E1423" s="1261" t="s">
        <v>835</v>
      </c>
      <c r="F1423" s="2653" t="s">
        <v>819</v>
      </c>
      <c r="G1423" s="2433">
        <v>4.1701388888888885E-2</v>
      </c>
      <c r="H1423" s="2434">
        <v>10.4</v>
      </c>
      <c r="I1423" s="2435">
        <f t="shared" si="211"/>
        <v>4.0097489316239313E-3</v>
      </c>
      <c r="J1423" s="1310">
        <v>142</v>
      </c>
      <c r="K1423" s="2436">
        <v>66</v>
      </c>
      <c r="L1423" s="2818">
        <v>202</v>
      </c>
      <c r="M1423" s="2798">
        <v>27</v>
      </c>
      <c r="N1423" s="1223">
        <f t="shared" si="212"/>
        <v>1.0444977037887484</v>
      </c>
      <c r="O1423" s="2437" t="s">
        <v>911</v>
      </c>
      <c r="P1423" s="1519">
        <f>IFERROR(VLOOKUP(F1423,Trainingsarten!$A$9:$N$84,12,FALSE),"")</f>
        <v>194.60000000000002</v>
      </c>
      <c r="Q1423" s="2438" t="s">
        <v>437</v>
      </c>
      <c r="R1423" s="2439">
        <f>IFERROR(VLOOKUP(F1423,Trainingsarten!$A$9:$N$84,14,FALSE),"")</f>
        <v>212.96</v>
      </c>
      <c r="S1423" s="2440">
        <f t="shared" si="213"/>
        <v>1.4225352112676057</v>
      </c>
      <c r="T1423" s="1108">
        <f t="shared" si="214"/>
        <v>21.132848568771493</v>
      </c>
      <c r="U1423" s="1108">
        <f t="shared" si="215"/>
        <v>18.433544250554881</v>
      </c>
      <c r="V1423" s="1108">
        <f t="shared" si="216"/>
        <v>3.6183967963512629</v>
      </c>
      <c r="W1423" s="3285">
        <f t="shared" si="217"/>
        <v>1.1464343634369369</v>
      </c>
      <c r="X1423" s="3300"/>
      <c r="Y1423" s="3316"/>
      <c r="AA1423" s="3301"/>
      <c r="AB1423" s="3409"/>
      <c r="AE1423" s="1056"/>
    </row>
    <row r="1424" spans="2:31" ht="16" thickBot="1" x14ac:dyDescent="0.25">
      <c r="B1424" s="2986">
        <f>B1417+1</f>
        <v>47</v>
      </c>
      <c r="C1424" s="2399">
        <v>44522</v>
      </c>
      <c r="D1424" s="2292"/>
      <c r="E1424" s="2293"/>
      <c r="F1424" s="2771"/>
      <c r="G1424" s="2400"/>
      <c r="H1424" s="2401" t="str">
        <f>IFERROR(VLOOKUP(F1424,Trainingsarten!$A$9:$K$84,10,FALSE),"")</f>
        <v/>
      </c>
      <c r="I1424" s="2402" t="str">
        <f t="shared" si="211"/>
        <v/>
      </c>
      <c r="J1424" s="2403"/>
      <c r="K1424" s="2404" t="str">
        <f>IFERROR(VLOOKUP(F1424,Trainingsarten!$A$9:$K$84,11,FALSE),"0")</f>
        <v>0</v>
      </c>
      <c r="L1424" s="2815"/>
      <c r="M1424" s="2591"/>
      <c r="N1424" s="2296" t="str">
        <f t="shared" si="212"/>
        <v/>
      </c>
      <c r="O1424" s="2405"/>
      <c r="P1424" s="2298" t="str">
        <f>IFERROR(VLOOKUP(F1424,Trainingsarten!$A$9:$N$84,12,FALSE),"")</f>
        <v/>
      </c>
      <c r="Q1424" s="2406" t="s">
        <v>437</v>
      </c>
      <c r="R1424" s="2407" t="str">
        <f>IFERROR(VLOOKUP(F1424,Trainingsarten!$A$9:$N$84,14,FALSE),"")</f>
        <v/>
      </c>
      <c r="S1424" s="2408" t="str">
        <f t="shared" si="213"/>
        <v/>
      </c>
      <c r="T1424" s="2292">
        <f t="shared" si="214"/>
        <v>18.113870201804136</v>
      </c>
      <c r="U1424" s="2292">
        <f t="shared" si="215"/>
        <v>17.994650339827384</v>
      </c>
      <c r="V1424" s="2292">
        <f t="shared" si="216"/>
        <v>-2.6993043182166119</v>
      </c>
      <c r="W1424" s="3283">
        <f t="shared" si="217"/>
        <v>1.0066252947251153</v>
      </c>
      <c r="X1424" s="3300"/>
      <c r="Y1424" s="3316"/>
      <c r="AA1424" s="3301"/>
      <c r="AB1424" s="3409"/>
      <c r="AE1424" s="1056"/>
    </row>
    <row r="1425" spans="2:31" x14ac:dyDescent="0.2">
      <c r="B1425" s="2991" t="s">
        <v>626</v>
      </c>
      <c r="C1425" s="2409">
        <v>44523</v>
      </c>
      <c r="D1425" s="2009">
        <v>125</v>
      </c>
      <c r="E1425" s="2010" t="s">
        <v>836</v>
      </c>
      <c r="F1425" s="2772" t="s">
        <v>819</v>
      </c>
      <c r="G1425" s="2410">
        <v>3.9247685185185184E-2</v>
      </c>
      <c r="H1425" s="2411">
        <v>10.6</v>
      </c>
      <c r="I1425" s="2412">
        <f t="shared" si="211"/>
        <v>3.7026118099231305E-3</v>
      </c>
      <c r="J1425" s="2413">
        <v>146</v>
      </c>
      <c r="K1425" s="2414">
        <v>75</v>
      </c>
      <c r="L1425" s="2816">
        <v>217</v>
      </c>
      <c r="M1425" s="2840">
        <v>39</v>
      </c>
      <c r="N1425" s="2368">
        <f t="shared" si="212"/>
        <v>1.0361123627147282</v>
      </c>
      <c r="O1425" s="2415" t="s">
        <v>821</v>
      </c>
      <c r="P1425" s="2370">
        <f>IFERROR(VLOOKUP(F1425,Trainingsarten!$A$9:$N$84,12,FALSE),"")</f>
        <v>194.60000000000002</v>
      </c>
      <c r="Q1425" s="2432" t="s">
        <v>437</v>
      </c>
      <c r="R1425" s="2537">
        <f>IFERROR(VLOOKUP(F1425,Trainingsarten!$A$9:$N$84,14,FALSE),"")</f>
        <v>212.96</v>
      </c>
      <c r="S1425" s="2419">
        <f t="shared" si="213"/>
        <v>1.4863013698630136</v>
      </c>
      <c r="T1425" s="2009">
        <f t="shared" si="214"/>
        <v>26.240460172974977</v>
      </c>
      <c r="U1425" s="2009">
        <f t="shared" si="215"/>
        <v>19.351920569831492</v>
      </c>
      <c r="V1425" s="2009">
        <f t="shared" si="216"/>
        <v>-0.11921986197675238</v>
      </c>
      <c r="W1425" s="3284">
        <f t="shared" si="217"/>
        <v>1.3559615480172191</v>
      </c>
      <c r="X1425" s="3300"/>
      <c r="Y1425" s="3316"/>
      <c r="AA1425" s="3301"/>
      <c r="AB1425" s="3409"/>
      <c r="AE1425" s="1056"/>
    </row>
    <row r="1426" spans="2:31" ht="16" thickBot="1" x14ac:dyDescent="0.25">
      <c r="B1426" s="2979">
        <f>SUM(H1424:H1430)</f>
        <v>35.099999999999994</v>
      </c>
      <c r="C1426" s="2409">
        <v>44524</v>
      </c>
      <c r="D1426" s="2009"/>
      <c r="E1426" s="2010"/>
      <c r="F1426" s="2772"/>
      <c r="G1426" s="2410"/>
      <c r="H1426" s="2411" t="str">
        <f>IFERROR(VLOOKUP(F1426,Trainingsarten!$A$9:$K$84,10,FALSE),"")</f>
        <v/>
      </c>
      <c r="I1426" s="2412" t="str">
        <f t="shared" si="211"/>
        <v/>
      </c>
      <c r="J1426" s="2413"/>
      <c r="K1426" s="2414" t="str">
        <f>IFERROR(VLOOKUP(F1426,Trainingsarten!$A$9:$K$84,11,FALSE),"0")</f>
        <v>0</v>
      </c>
      <c r="L1426" s="2816"/>
      <c r="M1426" s="2840"/>
      <c r="N1426" s="2368" t="str">
        <f t="shared" si="212"/>
        <v/>
      </c>
      <c r="O1426" s="2415"/>
      <c r="P1426" s="2370" t="str">
        <f>IFERROR(VLOOKUP(F1426,Trainingsarten!$A$9:$N$84,12,FALSE),"")</f>
        <v/>
      </c>
      <c r="Q1426" s="2432" t="s">
        <v>437</v>
      </c>
      <c r="R1426" s="2537" t="str">
        <f>IFERROR(VLOOKUP(F1426,Trainingsarten!$A$9:$N$84,14,FALSE),"")</f>
        <v/>
      </c>
      <c r="S1426" s="2419" t="str">
        <f t="shared" si="213"/>
        <v/>
      </c>
      <c r="T1426" s="2009">
        <f t="shared" si="214"/>
        <v>22.491823005407124</v>
      </c>
      <c r="U1426" s="2009">
        <f t="shared" si="215"/>
        <v>18.891160556264076</v>
      </c>
      <c r="V1426" s="2009">
        <f t="shared" si="216"/>
        <v>-6.8885396031434851</v>
      </c>
      <c r="W1426" s="3284">
        <f t="shared" si="217"/>
        <v>1.1906003836248755</v>
      </c>
      <c r="X1426" s="3300"/>
      <c r="Y1426" s="3316"/>
      <c r="AA1426" s="3301"/>
      <c r="AB1426" s="3409"/>
      <c r="AE1426" s="1056"/>
    </row>
    <row r="1427" spans="2:31" x14ac:dyDescent="0.2">
      <c r="B1427" s="2992" t="s">
        <v>628</v>
      </c>
      <c r="C1427" s="2409">
        <v>44525</v>
      </c>
      <c r="D1427" s="2009"/>
      <c r="E1427" s="2010"/>
      <c r="F1427" s="2772"/>
      <c r="G1427" s="2410"/>
      <c r="H1427" s="2411" t="str">
        <f>IFERROR(VLOOKUP(F1427,Trainingsarten!$A$9:$K$84,10,FALSE),"")</f>
        <v/>
      </c>
      <c r="I1427" s="2412" t="str">
        <f t="shared" si="211"/>
        <v/>
      </c>
      <c r="J1427" s="2413"/>
      <c r="K1427" s="2414" t="str">
        <f>IFERROR(VLOOKUP(F1427,Trainingsarten!$A$9:$K$84,11,FALSE),"0")</f>
        <v>0</v>
      </c>
      <c r="L1427" s="2816"/>
      <c r="M1427" s="2840"/>
      <c r="N1427" s="2368" t="str">
        <f t="shared" si="212"/>
        <v/>
      </c>
      <c r="O1427" s="2415"/>
      <c r="P1427" s="2370" t="str">
        <f>IFERROR(VLOOKUP(F1427,Trainingsarten!$A$9:$N$84,12,FALSE),"")</f>
        <v/>
      </c>
      <c r="Q1427" s="2432" t="s">
        <v>437</v>
      </c>
      <c r="R1427" s="2537" t="str">
        <f>IFERROR(VLOOKUP(F1427,Trainingsarten!$A$9:$N$84,14,FALSE),"")</f>
        <v/>
      </c>
      <c r="S1427" s="2419" t="str">
        <f t="shared" si="213"/>
        <v/>
      </c>
      <c r="T1427" s="2009">
        <f t="shared" si="214"/>
        <v>19.278705433206106</v>
      </c>
      <c r="U1427" s="2009">
        <f t="shared" si="215"/>
        <v>18.44137101921017</v>
      </c>
      <c r="V1427" s="2009">
        <f t="shared" si="216"/>
        <v>-3.6006624491430479</v>
      </c>
      <c r="W1427" s="3284">
        <f t="shared" si="217"/>
        <v>1.0454052148901345</v>
      </c>
      <c r="X1427" s="3300"/>
      <c r="Y1427" s="3316"/>
      <c r="AA1427" s="3301"/>
      <c r="AB1427" s="3409"/>
      <c r="AE1427" s="1056"/>
    </row>
    <row r="1428" spans="2:31" ht="16" thickBot="1" x14ac:dyDescent="0.25">
      <c r="B1428" s="2993">
        <f>SUM(K1424:K1430)</f>
        <v>234</v>
      </c>
      <c r="C1428" s="2409">
        <v>44526</v>
      </c>
      <c r="D1428" s="2009">
        <v>126</v>
      </c>
      <c r="E1428" s="2010" t="s">
        <v>835</v>
      </c>
      <c r="F1428" s="2772" t="s">
        <v>819</v>
      </c>
      <c r="G1428" s="2410">
        <v>4.8564814814814818E-2</v>
      </c>
      <c r="H1428" s="2411">
        <v>11.8</v>
      </c>
      <c r="I1428" s="2412">
        <f t="shared" si="211"/>
        <v>4.1156622724419336E-3</v>
      </c>
      <c r="J1428" s="2413">
        <v>141</v>
      </c>
      <c r="K1428" s="2414">
        <v>72</v>
      </c>
      <c r="L1428" s="2816">
        <v>196</v>
      </c>
      <c r="M1428" s="2840">
        <v>45</v>
      </c>
      <c r="N1428" s="2368">
        <f t="shared" si="212"/>
        <v>1.0402428535289654</v>
      </c>
      <c r="O1428" s="2415" t="s">
        <v>1460</v>
      </c>
      <c r="P1428" s="2370">
        <f>IFERROR(VLOOKUP(F1428,Trainingsarten!$A$9:$N$84,12,FALSE),"")</f>
        <v>194.60000000000002</v>
      </c>
      <c r="Q1428" s="2432" t="s">
        <v>437</v>
      </c>
      <c r="R1428" s="2537">
        <f>IFERROR(VLOOKUP(F1428,Trainingsarten!$A$9:$N$84,14,FALSE),"")</f>
        <v>212.96</v>
      </c>
      <c r="S1428" s="2419">
        <f t="shared" si="213"/>
        <v>1.3900709219858156</v>
      </c>
      <c r="T1428" s="2009">
        <f t="shared" si="214"/>
        <v>26.81031894274809</v>
      </c>
      <c r="U1428" s="2009">
        <f t="shared" si="215"/>
        <v>19.716576471133738</v>
      </c>
      <c r="V1428" s="2009">
        <f t="shared" si="216"/>
        <v>-0.83733441399593644</v>
      </c>
      <c r="W1428" s="3284">
        <f t="shared" si="217"/>
        <v>1.3597857103640696</v>
      </c>
      <c r="X1428" s="3300"/>
      <c r="Y1428" s="3316"/>
      <c r="AA1428" s="3301"/>
      <c r="AB1428" s="3409"/>
      <c r="AE1428" s="1056"/>
    </row>
    <row r="1429" spans="2:31" x14ac:dyDescent="0.2">
      <c r="B1429" s="2994" t="s">
        <v>761</v>
      </c>
      <c r="C1429" s="2409">
        <v>44527</v>
      </c>
      <c r="D1429" s="2009"/>
      <c r="E1429" s="2010"/>
      <c r="F1429" s="2772"/>
      <c r="G1429" s="2410"/>
      <c r="H1429" s="2411" t="str">
        <f>IFERROR(VLOOKUP(F1429,Trainingsarten!$A$9:$K$84,10,FALSE),"")</f>
        <v/>
      </c>
      <c r="I1429" s="2412" t="str">
        <f t="shared" si="211"/>
        <v/>
      </c>
      <c r="J1429" s="2413"/>
      <c r="K1429" s="2414" t="str">
        <f>IFERROR(VLOOKUP(F1429,Trainingsarten!$A$9:$K$84,11,FALSE),"0")</f>
        <v>0</v>
      </c>
      <c r="L1429" s="2816"/>
      <c r="M1429" s="2840"/>
      <c r="N1429" s="2368" t="str">
        <f t="shared" si="212"/>
        <v/>
      </c>
      <c r="O1429" s="2415"/>
      <c r="P1429" s="2370" t="str">
        <f>IFERROR(VLOOKUP(F1429,Trainingsarten!$A$9:$N$84,12,FALSE),"")</f>
        <v/>
      </c>
      <c r="Q1429" s="2432" t="s">
        <v>437</v>
      </c>
      <c r="R1429" s="2537" t="str">
        <f>IFERROR(VLOOKUP(F1429,Trainingsarten!$A$9:$N$84,14,FALSE),"")</f>
        <v/>
      </c>
      <c r="S1429" s="2419" t="str">
        <f t="shared" si="213"/>
        <v/>
      </c>
      <c r="T1429" s="2009">
        <f t="shared" si="214"/>
        <v>22.980273379498364</v>
      </c>
      <c r="U1429" s="2009">
        <f t="shared" si="215"/>
        <v>19.247134174201982</v>
      </c>
      <c r="V1429" s="2009">
        <f t="shared" si="216"/>
        <v>-7.0937424716143518</v>
      </c>
      <c r="W1429" s="3284">
        <f t="shared" si="217"/>
        <v>1.1939581847099148</v>
      </c>
      <c r="X1429" s="3300"/>
      <c r="Y1429" s="3316"/>
      <c r="AA1429" s="3301"/>
      <c r="AB1429" s="3409"/>
      <c r="AE1429" s="1056"/>
    </row>
    <row r="1430" spans="2:31" ht="16" thickBot="1" x14ac:dyDescent="0.25">
      <c r="B1430" s="3127">
        <f>AVERAGE(W1424:W1430)</f>
        <v>1.2417698000006647</v>
      </c>
      <c r="C1430" s="1631">
        <v>44528</v>
      </c>
      <c r="D1430" s="1108">
        <v>127</v>
      </c>
      <c r="E1430" s="1261" t="s">
        <v>836</v>
      </c>
      <c r="F1430" s="2653" t="s">
        <v>819</v>
      </c>
      <c r="G1430" s="2433">
        <v>4.701388888888889E-2</v>
      </c>
      <c r="H1430" s="2434">
        <v>12.7</v>
      </c>
      <c r="I1430" s="2435">
        <f t="shared" si="211"/>
        <v>3.7018810148731411E-3</v>
      </c>
      <c r="J1430" s="1310">
        <v>150</v>
      </c>
      <c r="K1430" s="2436">
        <v>87</v>
      </c>
      <c r="L1430" s="2818">
        <v>221</v>
      </c>
      <c r="M1430" s="2798">
        <v>44</v>
      </c>
      <c r="N1430" s="1223">
        <f t="shared" si="212"/>
        <v>1.0550029380655777</v>
      </c>
      <c r="O1430" s="2437" t="s">
        <v>911</v>
      </c>
      <c r="P1430" s="1519">
        <f>IFERROR(VLOOKUP(F1430,Trainingsarten!$A$9:$N$84,12,FALSE),"")</f>
        <v>194.60000000000002</v>
      </c>
      <c r="Q1430" s="2438" t="s">
        <v>437</v>
      </c>
      <c r="R1430" s="2439">
        <f>IFERROR(VLOOKUP(F1430,Trainingsarten!$A$9:$N$84,14,FALSE),"")</f>
        <v>212.96</v>
      </c>
      <c r="S1430" s="2440">
        <f t="shared" si="213"/>
        <v>1.4733333333333334</v>
      </c>
      <c r="T1430" s="1108">
        <f t="shared" si="214"/>
        <v>32.125948610998599</v>
      </c>
      <c r="U1430" s="1108">
        <f t="shared" si="215"/>
        <v>20.860297646244792</v>
      </c>
      <c r="V1430" s="1108">
        <f t="shared" si="216"/>
        <v>-3.7331392052963821</v>
      </c>
      <c r="W1430" s="3285">
        <f t="shared" si="217"/>
        <v>1.5400522636733238</v>
      </c>
      <c r="X1430" s="3300"/>
      <c r="Y1430" s="3316"/>
      <c r="AA1430" s="3301"/>
      <c r="AB1430" s="3409"/>
      <c r="AE1430" s="1056"/>
    </row>
    <row r="1431" spans="2:31" ht="16" thickBot="1" x14ac:dyDescent="0.25">
      <c r="B1431" s="2986">
        <f>B1424+1</f>
        <v>48</v>
      </c>
      <c r="C1431" s="2399">
        <v>44529</v>
      </c>
      <c r="D1431" s="2292"/>
      <c r="E1431" s="2293"/>
      <c r="F1431" s="2771"/>
      <c r="G1431" s="2400"/>
      <c r="H1431" s="2401" t="str">
        <f>IFERROR(VLOOKUP(F1431,Trainingsarten!$A$9:$K$84,10,FALSE),"")</f>
        <v/>
      </c>
      <c r="I1431" s="2402" t="str">
        <f t="shared" si="211"/>
        <v/>
      </c>
      <c r="J1431" s="2403"/>
      <c r="K1431" s="2404" t="str">
        <f>IFERROR(VLOOKUP(F1431,Trainingsarten!$A$9:$K$84,11,FALSE),"0")</f>
        <v>0</v>
      </c>
      <c r="L1431" s="2815"/>
      <c r="M1431" s="2591"/>
      <c r="N1431" s="2296" t="str">
        <f t="shared" si="212"/>
        <v/>
      </c>
      <c r="O1431" s="2405"/>
      <c r="P1431" s="2298" t="str">
        <f>IFERROR(VLOOKUP(F1431,Trainingsarten!$A$9:$N$84,12,FALSE),"")</f>
        <v/>
      </c>
      <c r="Q1431" s="2406" t="s">
        <v>437</v>
      </c>
      <c r="R1431" s="2407" t="str">
        <f>IFERROR(VLOOKUP(F1431,Trainingsarten!$A$9:$N$84,14,FALSE),"")</f>
        <v/>
      </c>
      <c r="S1431" s="2408" t="str">
        <f t="shared" si="213"/>
        <v/>
      </c>
      <c r="T1431" s="2292">
        <f t="shared" si="214"/>
        <v>27.536527380855944</v>
      </c>
      <c r="U1431" s="2292">
        <f t="shared" si="215"/>
        <v>20.363623892762774</v>
      </c>
      <c r="V1431" s="2292">
        <f t="shared" si="216"/>
        <v>-11.265650964753807</v>
      </c>
      <c r="W1431" s="3283">
        <f t="shared" si="217"/>
        <v>1.3522410120058452</v>
      </c>
      <c r="X1431" s="3300"/>
      <c r="Y1431" s="3316"/>
      <c r="AA1431" s="3301"/>
      <c r="AB1431" s="3409"/>
      <c r="AE1431" s="1056"/>
    </row>
    <row r="1432" spans="2:31" x14ac:dyDescent="0.2">
      <c r="B1432" s="2991" t="s">
        <v>626</v>
      </c>
      <c r="C1432" s="2409">
        <v>44530</v>
      </c>
      <c r="D1432" s="2009"/>
      <c r="E1432" s="2010"/>
      <c r="F1432" s="2772"/>
      <c r="G1432" s="2410"/>
      <c r="H1432" s="2411" t="str">
        <f>IFERROR(VLOOKUP(F1432,Trainingsarten!$A$9:$K$84,10,FALSE),"")</f>
        <v/>
      </c>
      <c r="I1432" s="2412" t="str">
        <f t="shared" si="211"/>
        <v/>
      </c>
      <c r="J1432" s="2413"/>
      <c r="K1432" s="2414" t="str">
        <f>IFERROR(VLOOKUP(F1432,Trainingsarten!$A$9:$K$84,11,FALSE),"0")</f>
        <v>0</v>
      </c>
      <c r="L1432" s="2816"/>
      <c r="M1432" s="2840"/>
      <c r="N1432" s="2368" t="str">
        <f t="shared" si="212"/>
        <v/>
      </c>
      <c r="O1432" s="2415"/>
      <c r="P1432" s="2370" t="str">
        <f>IFERROR(VLOOKUP(F1432,Trainingsarten!$A$9:$N$84,12,FALSE),"")</f>
        <v/>
      </c>
      <c r="Q1432" s="2432" t="s">
        <v>437</v>
      </c>
      <c r="R1432" s="2537" t="str">
        <f>IFERROR(VLOOKUP(F1432,Trainingsarten!$A$9:$N$84,14,FALSE),"")</f>
        <v/>
      </c>
      <c r="S1432" s="2419" t="str">
        <f t="shared" si="213"/>
        <v/>
      </c>
      <c r="T1432" s="2009">
        <f t="shared" si="214"/>
        <v>23.60273775501938</v>
      </c>
      <c r="U1432" s="2009">
        <f t="shared" si="215"/>
        <v>19.87877570483985</v>
      </c>
      <c r="V1432" s="2009">
        <f t="shared" si="216"/>
        <v>-7.1729034880931692</v>
      </c>
      <c r="W1432" s="3284">
        <f t="shared" si="217"/>
        <v>1.1873335715173277</v>
      </c>
      <c r="X1432" s="3300"/>
      <c r="Y1432" s="3316"/>
      <c r="AA1432" s="3301"/>
      <c r="AB1432" s="3409"/>
      <c r="AE1432" s="1056"/>
    </row>
    <row r="1433" spans="2:31" ht="16" thickBot="1" x14ac:dyDescent="0.25">
      <c r="B1433" s="2979">
        <f>SUM(H1431:H1437)</f>
        <v>33.26</v>
      </c>
      <c r="C1433" s="2409">
        <v>44531</v>
      </c>
      <c r="D1433" s="2009">
        <v>128</v>
      </c>
      <c r="E1433" s="2010" t="s">
        <v>836</v>
      </c>
      <c r="F1433" s="2772" t="s">
        <v>943</v>
      </c>
      <c r="G1433" s="2410">
        <v>3.079861111111111E-2</v>
      </c>
      <c r="H1433" s="2411">
        <v>7.96</v>
      </c>
      <c r="I1433" s="2412">
        <f t="shared" si="211"/>
        <v>3.8691722501395867E-3</v>
      </c>
      <c r="J1433" s="2413">
        <v>140</v>
      </c>
      <c r="K1433" s="2414">
        <v>52</v>
      </c>
      <c r="L1433" s="2816">
        <v>211</v>
      </c>
      <c r="M1433" s="2840">
        <v>26</v>
      </c>
      <c r="N1433" s="2368">
        <f t="shared" si="212"/>
        <v>1.0527844446111152</v>
      </c>
      <c r="O1433" s="2415" t="s">
        <v>911</v>
      </c>
      <c r="P1433" s="2370">
        <f>IFERROR(VLOOKUP(F1433,Trainingsarten!$A$9:$N$84,12,FALSE),"")</f>
        <v>194.60000000000002</v>
      </c>
      <c r="Q1433" s="2432" t="s">
        <v>437</v>
      </c>
      <c r="R1433" s="2537">
        <f>IFERROR(VLOOKUP(F1433,Trainingsarten!$A$9:$N$84,14,FALSE),"")</f>
        <v>212.96</v>
      </c>
      <c r="S1433" s="2419">
        <f t="shared" si="213"/>
        <v>1.5071428571428571</v>
      </c>
      <c r="T1433" s="2009">
        <f t="shared" si="214"/>
        <v>27.659489504302325</v>
      </c>
      <c r="U1433" s="2009">
        <f t="shared" si="215"/>
        <v>20.643566759486522</v>
      </c>
      <c r="V1433" s="2009">
        <f t="shared" si="216"/>
        <v>-3.7239620501795301</v>
      </c>
      <c r="W1433" s="3284">
        <f t="shared" si="217"/>
        <v>1.3398600070693556</v>
      </c>
      <c r="X1433" s="3300"/>
      <c r="Y1433" s="3316"/>
      <c r="AA1433" s="3301"/>
      <c r="AB1433" s="3409"/>
      <c r="AE1433" s="1056"/>
    </row>
    <row r="1434" spans="2:31" x14ac:dyDescent="0.2">
      <c r="B1434" s="2992" t="s">
        <v>628</v>
      </c>
      <c r="C1434" s="2409">
        <v>44532</v>
      </c>
      <c r="D1434" s="2009"/>
      <c r="E1434" s="2010"/>
      <c r="F1434" s="2772"/>
      <c r="G1434" s="2410"/>
      <c r="H1434" s="2411" t="str">
        <f>IFERROR(VLOOKUP(F1434,Trainingsarten!$A$9:$K$84,10,FALSE),"")</f>
        <v/>
      </c>
      <c r="I1434" s="2412" t="str">
        <f t="shared" si="211"/>
        <v/>
      </c>
      <c r="J1434" s="2413"/>
      <c r="K1434" s="2414" t="str">
        <f>IFERROR(VLOOKUP(F1434,Trainingsarten!$A$9:$K$84,11,FALSE),"0")</f>
        <v>0</v>
      </c>
      <c r="L1434" s="2816"/>
      <c r="M1434" s="2840"/>
      <c r="N1434" s="2368" t="str">
        <f t="shared" si="212"/>
        <v/>
      </c>
      <c r="O1434" s="2415"/>
      <c r="P1434" s="2370" t="str">
        <f>IFERROR(VLOOKUP(F1434,Trainingsarten!$A$9:$N$84,12,FALSE),"")</f>
        <v/>
      </c>
      <c r="Q1434" s="2432" t="s">
        <v>437</v>
      </c>
      <c r="R1434" s="2537" t="str">
        <f>IFERROR(VLOOKUP(F1434,Trainingsarten!$A$9:$N$84,14,FALSE),"")</f>
        <v/>
      </c>
      <c r="S1434" s="2419" t="str">
        <f t="shared" si="213"/>
        <v/>
      </c>
      <c r="T1434" s="2009">
        <f t="shared" si="214"/>
        <v>23.708133860830564</v>
      </c>
      <c r="U1434" s="2009">
        <f t="shared" si="215"/>
        <v>20.152053265213034</v>
      </c>
      <c r="V1434" s="2009">
        <f t="shared" si="216"/>
        <v>-7.0159227448158035</v>
      </c>
      <c r="W1434" s="3284">
        <f t="shared" si="217"/>
        <v>1.1764624452316292</v>
      </c>
      <c r="X1434" s="3300"/>
      <c r="Y1434" s="3316"/>
      <c r="AA1434" s="3301"/>
      <c r="AB1434" s="3409"/>
      <c r="AE1434" s="1056"/>
    </row>
    <row r="1435" spans="2:31" ht="16" thickBot="1" x14ac:dyDescent="0.25">
      <c r="B1435" s="2993">
        <f>SUM(K1431:K1437)</f>
        <v>216</v>
      </c>
      <c r="C1435" s="2409">
        <v>44533</v>
      </c>
      <c r="D1435" s="2009">
        <v>129</v>
      </c>
      <c r="E1435" s="2010" t="s">
        <v>835</v>
      </c>
      <c r="F1435" s="2772" t="s">
        <v>819</v>
      </c>
      <c r="G1435" s="2410">
        <v>4.0069444444444442E-2</v>
      </c>
      <c r="H1435" s="2411">
        <v>10.4</v>
      </c>
      <c r="I1435" s="2412">
        <f t="shared" si="211"/>
        <v>3.8528311965811963E-3</v>
      </c>
      <c r="J1435" s="2413">
        <v>141</v>
      </c>
      <c r="K1435" s="2414">
        <v>68</v>
      </c>
      <c r="L1435" s="2816">
        <v>210</v>
      </c>
      <c r="M1435" s="2840">
        <v>33</v>
      </c>
      <c r="N1435" s="2368">
        <f t="shared" si="212"/>
        <v>1.0433696900114811</v>
      </c>
      <c r="O1435" s="2415" t="s">
        <v>911</v>
      </c>
      <c r="P1435" s="2370">
        <f>IFERROR(VLOOKUP(F1435,Trainingsarten!$A$9:$N$84,12,FALSE),"")</f>
        <v>194.60000000000002</v>
      </c>
      <c r="Q1435" s="2432" t="s">
        <v>437</v>
      </c>
      <c r="R1435" s="2537">
        <f>IFERROR(VLOOKUP(F1435,Trainingsarten!$A$9:$N$84,14,FALSE),"")</f>
        <v>212.96</v>
      </c>
      <c r="S1435" s="2419">
        <f t="shared" si="213"/>
        <v>1.4893617021276595</v>
      </c>
      <c r="T1435" s="2009">
        <f t="shared" si="214"/>
        <v>30.035543309283341</v>
      </c>
      <c r="U1435" s="2009">
        <f t="shared" si="215"/>
        <v>21.291290092231772</v>
      </c>
      <c r="V1435" s="2009">
        <f t="shared" si="216"/>
        <v>-3.5560805956175301</v>
      </c>
      <c r="W1435" s="3284">
        <f t="shared" si="217"/>
        <v>1.4106962602628739</v>
      </c>
      <c r="X1435" s="3300"/>
      <c r="Y1435" s="3316"/>
      <c r="AA1435" s="3301"/>
      <c r="AB1435" s="3409"/>
      <c r="AE1435" s="1056"/>
    </row>
    <row r="1436" spans="2:31" x14ac:dyDescent="0.2">
      <c r="B1436" s="2994" t="s">
        <v>761</v>
      </c>
      <c r="C1436" s="2409">
        <v>44534</v>
      </c>
      <c r="D1436" s="2009"/>
      <c r="E1436" s="2010"/>
      <c r="F1436" s="2772"/>
      <c r="G1436" s="2410"/>
      <c r="H1436" s="2411" t="str">
        <f>IFERROR(VLOOKUP(F1436,Trainingsarten!$A$9:$K$84,10,FALSE),"")</f>
        <v/>
      </c>
      <c r="I1436" s="2412" t="str">
        <f t="shared" si="211"/>
        <v/>
      </c>
      <c r="J1436" s="2413"/>
      <c r="K1436" s="2414" t="str">
        <f>IFERROR(VLOOKUP(F1436,Trainingsarten!$A$9:$K$84,11,FALSE),"0")</f>
        <v>0</v>
      </c>
      <c r="L1436" s="2816"/>
      <c r="M1436" s="2840"/>
      <c r="N1436" s="2368" t="str">
        <f t="shared" si="212"/>
        <v/>
      </c>
      <c r="O1436" s="2415"/>
      <c r="P1436" s="2370" t="str">
        <f>IFERROR(VLOOKUP(F1436,Trainingsarten!$A$9:$N$84,12,FALSE),"")</f>
        <v/>
      </c>
      <c r="Q1436" s="2432" t="s">
        <v>437</v>
      </c>
      <c r="R1436" s="2537" t="str">
        <f>IFERROR(VLOOKUP(F1436,Trainingsarten!$A$9:$N$84,14,FALSE),"")</f>
        <v/>
      </c>
      <c r="S1436" s="2419" t="str">
        <f t="shared" si="213"/>
        <v/>
      </c>
      <c r="T1436" s="2009">
        <f t="shared" si="214"/>
        <v>25.74475140795715</v>
      </c>
      <c r="U1436" s="2009">
        <f t="shared" si="215"/>
        <v>20.784354613845302</v>
      </c>
      <c r="V1436" s="2009">
        <f t="shared" si="216"/>
        <v>-8.7442532170515683</v>
      </c>
      <c r="W1436" s="3284">
        <f t="shared" si="217"/>
        <v>1.2386601309625234</v>
      </c>
      <c r="X1436" s="3300"/>
      <c r="Y1436" s="3316"/>
      <c r="AA1436" s="3301"/>
      <c r="AB1436" s="3409"/>
      <c r="AE1436" s="1056"/>
    </row>
    <row r="1437" spans="2:31" ht="16" thickBot="1" x14ac:dyDescent="0.25">
      <c r="B1437" s="3127">
        <f>AVERAGE(W1431:W1437)</f>
        <v>1.327176012406865</v>
      </c>
      <c r="C1437" s="1631">
        <v>44535</v>
      </c>
      <c r="D1437" s="1108">
        <v>130</v>
      </c>
      <c r="E1437" s="1261" t="s">
        <v>835</v>
      </c>
      <c r="F1437" s="2653" t="s">
        <v>906</v>
      </c>
      <c r="G1437" s="2433">
        <v>5.8101851851851849E-2</v>
      </c>
      <c r="H1437" s="2434">
        <v>14.9</v>
      </c>
      <c r="I1437" s="2435">
        <f t="shared" si="211"/>
        <v>3.8994531444195872E-3</v>
      </c>
      <c r="J1437" s="1310">
        <v>144</v>
      </c>
      <c r="K1437" s="2436">
        <v>96</v>
      </c>
      <c r="L1437" s="2818">
        <v>209</v>
      </c>
      <c r="M1437" s="2798">
        <v>64</v>
      </c>
      <c r="N1437" s="1223">
        <f t="shared" si="212"/>
        <v>1.0509666432935989</v>
      </c>
      <c r="O1437" s="2437" t="s">
        <v>911</v>
      </c>
      <c r="P1437" s="1519">
        <f>IFERROR(VLOOKUP(F1437,Trainingsarten!$A$9:$N$84,12,FALSE),"")</f>
        <v>194.60000000000002</v>
      </c>
      <c r="Q1437" s="2438" t="s">
        <v>437</v>
      </c>
      <c r="R1437" s="2439">
        <f>IFERROR(VLOOKUP(F1437,Trainingsarten!$A$9:$N$84,14,FALSE),"")</f>
        <v>212.96</v>
      </c>
      <c r="S1437" s="2440">
        <f t="shared" si="213"/>
        <v>1.4513888888888888</v>
      </c>
      <c r="T1437" s="1108">
        <f t="shared" si="214"/>
        <v>35.781215492534699</v>
      </c>
      <c r="U1437" s="1108">
        <f t="shared" si="215"/>
        <v>22.575203313515651</v>
      </c>
      <c r="V1437" s="1108">
        <f t="shared" si="216"/>
        <v>-4.9603967941118476</v>
      </c>
      <c r="W1437" s="3285">
        <f t="shared" si="217"/>
        <v>1.5849786597985003</v>
      </c>
      <c r="X1437" s="3300"/>
      <c r="Y1437" s="3316"/>
      <c r="AA1437" s="3301"/>
      <c r="AB1437" s="3409"/>
      <c r="AE1437" s="1056"/>
    </row>
    <row r="1438" spans="2:31" ht="16" thickBot="1" x14ac:dyDescent="0.25">
      <c r="B1438" s="2986">
        <f>B1431+1</f>
        <v>49</v>
      </c>
      <c r="C1438" s="2399">
        <v>44536</v>
      </c>
      <c r="D1438" s="2292"/>
      <c r="E1438" s="2293"/>
      <c r="F1438" s="2771"/>
      <c r="G1438" s="2400"/>
      <c r="H1438" s="2401" t="str">
        <f>IFERROR(VLOOKUP(F1438,Trainingsarten!$A$9:$K$84,10,FALSE),"")</f>
        <v/>
      </c>
      <c r="I1438" s="2402" t="str">
        <f t="shared" si="211"/>
        <v/>
      </c>
      <c r="J1438" s="2403"/>
      <c r="K1438" s="2404" t="str">
        <f>IFERROR(VLOOKUP(F1438,Trainingsarten!$A$9:$K$84,11,FALSE),"0")</f>
        <v>0</v>
      </c>
      <c r="L1438" s="2815"/>
      <c r="M1438" s="2591"/>
      <c r="N1438" s="2296" t="str">
        <f t="shared" si="212"/>
        <v/>
      </c>
      <c r="O1438" s="2405"/>
      <c r="P1438" s="2298" t="str">
        <f>IFERROR(VLOOKUP(F1438,Trainingsarten!$A$9:$N$84,12,FALSE),"")</f>
        <v/>
      </c>
      <c r="Q1438" s="2406" t="s">
        <v>437</v>
      </c>
      <c r="R1438" s="2407" t="str">
        <f>IFERROR(VLOOKUP(F1438,Trainingsarten!$A$9:$N$84,14,FALSE),"")</f>
        <v/>
      </c>
      <c r="S1438" s="2408" t="str">
        <f t="shared" si="213"/>
        <v/>
      </c>
      <c r="T1438" s="2292">
        <f t="shared" si="214"/>
        <v>30.669613279315456</v>
      </c>
      <c r="U1438" s="2292">
        <f t="shared" si="215"/>
        <v>22.037698472717658</v>
      </c>
      <c r="V1438" s="2292">
        <f t="shared" si="216"/>
        <v>-13.206012179019048</v>
      </c>
      <c r="W1438" s="3283">
        <f t="shared" si="217"/>
        <v>1.3916885793352687</v>
      </c>
      <c r="X1438" s="3300"/>
      <c r="Y1438" s="3316"/>
      <c r="AA1438" s="3301"/>
      <c r="AB1438" s="3409"/>
      <c r="AE1438" s="1056"/>
    </row>
    <row r="1439" spans="2:31" x14ac:dyDescent="0.2">
      <c r="B1439" s="2991" t="s">
        <v>626</v>
      </c>
      <c r="C1439" s="2409">
        <v>44537</v>
      </c>
      <c r="D1439" s="2009">
        <v>131</v>
      </c>
      <c r="E1439" s="2010" t="s">
        <v>836</v>
      </c>
      <c r="F1439" s="2772" t="s">
        <v>819</v>
      </c>
      <c r="G1439" s="2410">
        <v>3.7326388888888888E-2</v>
      </c>
      <c r="H1439" s="2411">
        <v>9.67</v>
      </c>
      <c r="I1439" s="2412">
        <f t="shared" si="211"/>
        <v>3.8600195334941973E-3</v>
      </c>
      <c r="J1439" s="2413">
        <v>143</v>
      </c>
      <c r="K1439" s="2414">
        <v>64</v>
      </c>
      <c r="L1439" s="2816">
        <v>212</v>
      </c>
      <c r="M1439" s="2840">
        <v>35</v>
      </c>
      <c r="N1439" s="2368">
        <f t="shared" si="212"/>
        <v>1.0552717282254702</v>
      </c>
      <c r="O1439" s="2415" t="s">
        <v>1460</v>
      </c>
      <c r="P1439" s="2370">
        <f>IFERROR(VLOOKUP(F1439,Trainingsarten!$A$9:$N$84,12,FALSE),"")</f>
        <v>194.60000000000002</v>
      </c>
      <c r="Q1439" s="2432" t="s">
        <v>437</v>
      </c>
      <c r="R1439" s="2537">
        <f>IFERROR(VLOOKUP(F1439,Trainingsarten!$A$9:$N$84,14,FALSE),"")</f>
        <v>212.96</v>
      </c>
      <c r="S1439" s="2419">
        <f t="shared" si="213"/>
        <v>1.4825174825174825</v>
      </c>
      <c r="T1439" s="2009">
        <f t="shared" si="214"/>
        <v>35.431097096556108</v>
      </c>
      <c r="U1439" s="2009">
        <f t="shared" si="215"/>
        <v>23.036800890033906</v>
      </c>
      <c r="V1439" s="2009">
        <f t="shared" si="216"/>
        <v>-8.6319148065977984</v>
      </c>
      <c r="W1439" s="3284">
        <f t="shared" si="217"/>
        <v>1.5380215884005046</v>
      </c>
      <c r="X1439" s="3300"/>
      <c r="Y1439" s="3316"/>
      <c r="AA1439" s="3301"/>
      <c r="AB1439" s="3409"/>
      <c r="AE1439" s="1056"/>
    </row>
    <row r="1440" spans="2:31" ht="16" thickBot="1" x14ac:dyDescent="0.25">
      <c r="B1440" s="2979">
        <f>SUM(H1438:H1444)</f>
        <v>37.700000000000003</v>
      </c>
      <c r="C1440" s="2409">
        <v>44538</v>
      </c>
      <c r="D1440" s="2009">
        <v>132</v>
      </c>
      <c r="E1440" s="2010" t="s">
        <v>836</v>
      </c>
      <c r="F1440" s="2772" t="s">
        <v>943</v>
      </c>
      <c r="G1440" s="2410">
        <v>2.6493055555555558E-2</v>
      </c>
      <c r="H1440" s="2411">
        <v>6.83</v>
      </c>
      <c r="I1440" s="2412">
        <f t="shared" si="211"/>
        <v>3.8789246787050598E-3</v>
      </c>
      <c r="J1440" s="2413">
        <v>135</v>
      </c>
      <c r="K1440" s="2414">
        <v>44</v>
      </c>
      <c r="L1440" s="2816">
        <v>212</v>
      </c>
      <c r="M1440" s="2840">
        <v>23</v>
      </c>
      <c r="N1440" s="2368">
        <f t="shared" si="212"/>
        <v>1.0604401127597738</v>
      </c>
      <c r="O1440" s="2415" t="s">
        <v>911</v>
      </c>
      <c r="P1440" s="2370">
        <f>IFERROR(VLOOKUP(F1440,Trainingsarten!$A$9:$N$84,12,FALSE),"")</f>
        <v>194.60000000000002</v>
      </c>
      <c r="Q1440" s="2432" t="s">
        <v>437</v>
      </c>
      <c r="R1440" s="2537">
        <f>IFERROR(VLOOKUP(F1440,Trainingsarten!$A$9:$N$84,14,FALSE),"")</f>
        <v>212.96</v>
      </c>
      <c r="S1440" s="2419">
        <f t="shared" si="213"/>
        <v>1.5703703703703704</v>
      </c>
      <c r="T1440" s="2009">
        <f t="shared" si="214"/>
        <v>36.655226082762375</v>
      </c>
      <c r="U1440" s="2009">
        <f t="shared" si="215"/>
        <v>23.535924678366431</v>
      </c>
      <c r="V1440" s="2009">
        <f t="shared" si="216"/>
        <v>-12.394296206522203</v>
      </c>
      <c r="W1440" s="3284">
        <f t="shared" si="217"/>
        <v>1.5574160175850174</v>
      </c>
      <c r="X1440" s="3300"/>
      <c r="Y1440" s="3316"/>
      <c r="AA1440" s="3301"/>
      <c r="AB1440" s="3409"/>
      <c r="AE1440" s="1056"/>
    </row>
    <row r="1441" spans="2:31" x14ac:dyDescent="0.2">
      <c r="B1441" s="2992" t="s">
        <v>628</v>
      </c>
      <c r="C1441" s="2409">
        <v>44539</v>
      </c>
      <c r="D1441" s="2009"/>
      <c r="E1441" s="2010"/>
      <c r="F1441" s="2772"/>
      <c r="G1441" s="2410"/>
      <c r="H1441" s="2411" t="str">
        <f>IFERROR(VLOOKUP(F1441,Trainingsarten!$A$9:$K$84,10,FALSE),"")</f>
        <v/>
      </c>
      <c r="I1441" s="2412" t="str">
        <f t="shared" si="211"/>
        <v/>
      </c>
      <c r="J1441" s="2413"/>
      <c r="K1441" s="2414" t="str">
        <f>IFERROR(VLOOKUP(F1441,Trainingsarten!$A$9:$K$84,11,FALSE),"0")</f>
        <v>0</v>
      </c>
      <c r="L1441" s="2816"/>
      <c r="M1441" s="2840"/>
      <c r="N1441" s="2368" t="str">
        <f t="shared" si="212"/>
        <v/>
      </c>
      <c r="O1441" s="2415"/>
      <c r="P1441" s="2370" t="str">
        <f>IFERROR(VLOOKUP(F1441,Trainingsarten!$A$9:$N$84,12,FALSE),"")</f>
        <v/>
      </c>
      <c r="Q1441" s="2432" t="s">
        <v>437</v>
      </c>
      <c r="R1441" s="2537" t="str">
        <f>IFERROR(VLOOKUP(F1441,Trainingsarten!$A$9:$N$84,14,FALSE),"")</f>
        <v/>
      </c>
      <c r="S1441" s="2419" t="str">
        <f t="shared" si="213"/>
        <v/>
      </c>
      <c r="T1441" s="2009">
        <f t="shared" si="214"/>
        <v>31.41876521379632</v>
      </c>
      <c r="U1441" s="2009">
        <f t="shared" si="215"/>
        <v>22.975545519357706</v>
      </c>
      <c r="V1441" s="2009">
        <f t="shared" si="216"/>
        <v>-13.119301404395944</v>
      </c>
      <c r="W1441" s="3284">
        <f t="shared" si="217"/>
        <v>1.3674872349526981</v>
      </c>
      <c r="X1441" s="3300"/>
      <c r="Y1441" s="3316"/>
      <c r="AA1441" s="3301"/>
      <c r="AB1441" s="3409"/>
      <c r="AE1441" s="1056"/>
    </row>
    <row r="1442" spans="2:31" ht="16" thickBot="1" x14ac:dyDescent="0.25">
      <c r="B1442" s="2993">
        <f>SUM(K1438:K1444)</f>
        <v>249</v>
      </c>
      <c r="C1442" s="2409">
        <v>44540</v>
      </c>
      <c r="D1442" s="2009">
        <v>133</v>
      </c>
      <c r="E1442" s="2010" t="s">
        <v>836</v>
      </c>
      <c r="F1442" s="2772" t="s">
        <v>927</v>
      </c>
      <c r="G1442" s="2410">
        <v>3.6284722222222225E-2</v>
      </c>
      <c r="H1442" s="2411">
        <v>10.6</v>
      </c>
      <c r="I1442" s="2412">
        <f t="shared" si="211"/>
        <v>3.4230870020964363E-3</v>
      </c>
      <c r="J1442" s="2413">
        <v>151</v>
      </c>
      <c r="K1442" s="2414">
        <v>76</v>
      </c>
      <c r="L1442" s="2816">
        <v>235</v>
      </c>
      <c r="M1442" s="2840">
        <v>38</v>
      </c>
      <c r="N1442" s="2368">
        <f t="shared" si="212"/>
        <v>1.0373486341875531</v>
      </c>
      <c r="O1442" s="2415" t="s">
        <v>1463</v>
      </c>
      <c r="P1442" s="2370">
        <f>IFERROR(VLOOKUP(F1442,Trainingsarten!$A$9:$N$84,12,FALSE),"")</f>
        <v>229.68</v>
      </c>
      <c r="Q1442" s="2432" t="s">
        <v>437</v>
      </c>
      <c r="R1442" s="2537">
        <f>IFERROR(VLOOKUP(F1442,Trainingsarten!$A$9:$N$84,14,FALSE),"")</f>
        <v>247.95</v>
      </c>
      <c r="S1442" s="2419">
        <f t="shared" si="213"/>
        <v>1.5562913907284768</v>
      </c>
      <c r="T1442" s="2009">
        <f t="shared" si="214"/>
        <v>37.787513040396846</v>
      </c>
      <c r="U1442" s="2009">
        <f t="shared" si="215"/>
        <v>24.238032530801568</v>
      </c>
      <c r="V1442" s="2009">
        <f t="shared" si="216"/>
        <v>-8.4432196944386142</v>
      </c>
      <c r="W1442" s="3284">
        <f t="shared" si="217"/>
        <v>1.5590173415427455</v>
      </c>
      <c r="X1442" s="3300"/>
      <c r="Y1442" s="3316"/>
      <c r="AA1442" s="3301"/>
      <c r="AB1442" s="3409"/>
      <c r="AE1442" s="1056"/>
    </row>
    <row r="1443" spans="2:31" x14ac:dyDescent="0.2">
      <c r="B1443" s="2994" t="s">
        <v>761</v>
      </c>
      <c r="C1443" s="2409">
        <v>44541</v>
      </c>
      <c r="D1443" s="2009">
        <v>134</v>
      </c>
      <c r="E1443" s="2010" t="s">
        <v>835</v>
      </c>
      <c r="F1443" s="2772" t="s">
        <v>819</v>
      </c>
      <c r="G1443" s="2410">
        <v>4.3912037037037034E-2</v>
      </c>
      <c r="H1443" s="2411">
        <v>10.6</v>
      </c>
      <c r="I1443" s="2412">
        <f t="shared" si="211"/>
        <v>4.1426450034940596E-3</v>
      </c>
      <c r="J1443" s="2413">
        <v>136</v>
      </c>
      <c r="K1443" s="2414">
        <v>65</v>
      </c>
      <c r="L1443" s="2816">
        <v>197</v>
      </c>
      <c r="M1443" s="2840">
        <v>36</v>
      </c>
      <c r="N1443" s="2368">
        <f t="shared" si="212"/>
        <v>1.0524049563503237</v>
      </c>
      <c r="O1443" s="2415" t="s">
        <v>911</v>
      </c>
      <c r="P1443" s="2370">
        <f>IFERROR(VLOOKUP(F1443,Trainingsarten!$A$9:$N$84,12,FALSE),"")</f>
        <v>194.60000000000002</v>
      </c>
      <c r="Q1443" s="2432" t="s">
        <v>437</v>
      </c>
      <c r="R1443" s="2537">
        <f>IFERROR(VLOOKUP(F1443,Trainingsarten!$A$9:$N$84,14,FALSE),"")</f>
        <v>212.96</v>
      </c>
      <c r="S1443" s="2419">
        <f t="shared" si="213"/>
        <v>1.4485294117647058</v>
      </c>
      <c r="T1443" s="2009">
        <f t="shared" si="214"/>
        <v>41.675011177483007</v>
      </c>
      <c r="U1443" s="2009">
        <f t="shared" si="215"/>
        <v>25.208555565782483</v>
      </c>
      <c r="V1443" s="2009">
        <f t="shared" si="216"/>
        <v>-13.549480509595277</v>
      </c>
      <c r="W1443" s="3284">
        <f t="shared" si="217"/>
        <v>1.6532090094861174</v>
      </c>
      <c r="X1443" s="3300"/>
      <c r="Y1443" s="3316"/>
      <c r="AA1443" s="3301"/>
      <c r="AB1443" s="3409"/>
      <c r="AE1443" s="1056"/>
    </row>
    <row r="1444" spans="2:31" ht="16" thickBot="1" x14ac:dyDescent="0.25">
      <c r="B1444" s="3127">
        <f>AVERAGE(W1438:W1444)</f>
        <v>1.5026339894247269</v>
      </c>
      <c r="C1444" s="1631">
        <v>44542</v>
      </c>
      <c r="D1444" s="1108"/>
      <c r="E1444" s="1261"/>
      <c r="F1444" s="2653"/>
      <c r="G1444" s="2433"/>
      <c r="H1444" s="2434" t="str">
        <f>IFERROR(VLOOKUP(F1444,Trainingsarten!$A$9:$K$84,10,FALSE),"")</f>
        <v/>
      </c>
      <c r="I1444" s="2435" t="str">
        <f t="shared" si="211"/>
        <v/>
      </c>
      <c r="J1444" s="1310"/>
      <c r="K1444" s="2436" t="str">
        <f>IFERROR(VLOOKUP(F1444,Trainingsarten!$A$9:$K$84,11,FALSE),"0")</f>
        <v>0</v>
      </c>
      <c r="L1444" s="2818"/>
      <c r="M1444" s="2798"/>
      <c r="N1444" s="1223" t="str">
        <f t="shared" si="212"/>
        <v/>
      </c>
      <c r="O1444" s="2437"/>
      <c r="P1444" s="1519" t="str">
        <f>IFERROR(VLOOKUP(F1444,Trainingsarten!$A$9:$N$84,12,FALSE),"")</f>
        <v/>
      </c>
      <c r="Q1444" s="2438" t="s">
        <v>437</v>
      </c>
      <c r="R1444" s="2439" t="str">
        <f>IFERROR(VLOOKUP(F1444,Trainingsarten!$A$9:$N$84,14,FALSE),"")</f>
        <v/>
      </c>
      <c r="S1444" s="2440" t="str">
        <f t="shared" si="213"/>
        <v/>
      </c>
      <c r="T1444" s="1108">
        <f t="shared" si="214"/>
        <v>35.721438152128293</v>
      </c>
      <c r="U1444" s="1108">
        <f t="shared" si="215"/>
        <v>24.608351861835281</v>
      </c>
      <c r="V1444" s="1108">
        <f t="shared" si="216"/>
        <v>-16.466455611700525</v>
      </c>
      <c r="W1444" s="3285">
        <f t="shared" si="217"/>
        <v>1.4515981546707371</v>
      </c>
      <c r="X1444" s="3300"/>
      <c r="Y1444" s="3316"/>
      <c r="AA1444" s="3301"/>
      <c r="AB1444" s="3409"/>
      <c r="AE1444" s="1056"/>
    </row>
    <row r="1445" spans="2:31" ht="16" thickBot="1" x14ac:dyDescent="0.25">
      <c r="B1445" s="2986">
        <f>B1438+1</f>
        <v>50</v>
      </c>
      <c r="C1445" s="2399">
        <v>44543</v>
      </c>
      <c r="D1445" s="2292">
        <v>135</v>
      </c>
      <c r="E1445" s="2293" t="s">
        <v>836</v>
      </c>
      <c r="F1445" s="2771" t="s">
        <v>943</v>
      </c>
      <c r="G1445" s="2400">
        <v>2.7210648148148147E-2</v>
      </c>
      <c r="H1445" s="2401">
        <v>7.02</v>
      </c>
      <c r="I1445" s="2402">
        <f t="shared" si="211"/>
        <v>3.8761607048644086E-3</v>
      </c>
      <c r="J1445" s="2403">
        <v>138</v>
      </c>
      <c r="K1445" s="2404">
        <v>45</v>
      </c>
      <c r="L1445" s="2815">
        <v>210</v>
      </c>
      <c r="M1445" s="2591">
        <v>18</v>
      </c>
      <c r="N1445" s="2296">
        <f t="shared" si="212"/>
        <v>1.0496874601352213</v>
      </c>
      <c r="O1445" s="2405" t="s">
        <v>1460</v>
      </c>
      <c r="P1445" s="2298">
        <f>IFERROR(VLOOKUP(F1445,Trainingsarten!$A$9:$N$84,12,FALSE),"")</f>
        <v>194.60000000000002</v>
      </c>
      <c r="Q1445" s="2406" t="s">
        <v>437</v>
      </c>
      <c r="R1445" s="2407">
        <f>IFERROR(VLOOKUP(F1445,Trainingsarten!$A$9:$N$84,14,FALSE),"")</f>
        <v>212.96</v>
      </c>
      <c r="S1445" s="2408">
        <f t="shared" si="213"/>
        <v>1.5217391304347827</v>
      </c>
      <c r="T1445" s="2292">
        <f t="shared" si="214"/>
        <v>37.04694698753854</v>
      </c>
      <c r="U1445" s="2292">
        <f t="shared" si="215"/>
        <v>25.093867293696345</v>
      </c>
      <c r="V1445" s="2292">
        <f t="shared" si="216"/>
        <v>-11.113086290293012</v>
      </c>
      <c r="W1445" s="3283">
        <f t="shared" si="217"/>
        <v>1.4763346977946616</v>
      </c>
      <c r="X1445" s="3300"/>
      <c r="Y1445" s="3316"/>
      <c r="AA1445" s="3301"/>
      <c r="AB1445" s="3409"/>
      <c r="AE1445" s="1056"/>
    </row>
    <row r="1446" spans="2:31" x14ac:dyDescent="0.2">
      <c r="B1446" s="2991" t="s">
        <v>626</v>
      </c>
      <c r="C1446" s="2409">
        <v>44544</v>
      </c>
      <c r="D1446" s="2009"/>
      <c r="E1446" s="2010"/>
      <c r="F1446" s="2772"/>
      <c r="G1446" s="2410"/>
      <c r="H1446" s="2411" t="str">
        <f>IFERROR(VLOOKUP(F1446,Trainingsarten!$A$9:$K$84,10,FALSE),"")</f>
        <v/>
      </c>
      <c r="I1446" s="2412" t="str">
        <f t="shared" si="211"/>
        <v/>
      </c>
      <c r="J1446" s="2413"/>
      <c r="K1446" s="2414" t="str">
        <f>IFERROR(VLOOKUP(F1446,Trainingsarten!$A$9:$K$84,11,FALSE),"0")</f>
        <v>0</v>
      </c>
      <c r="L1446" s="2816"/>
      <c r="M1446" s="2840"/>
      <c r="N1446" s="2368" t="str">
        <f t="shared" si="212"/>
        <v/>
      </c>
      <c r="O1446" s="2415"/>
      <c r="P1446" s="2370" t="str">
        <f>IFERROR(VLOOKUP(F1446,Trainingsarten!$A$9:$N$84,12,FALSE),"")</f>
        <v/>
      </c>
      <c r="Q1446" s="2432" t="s">
        <v>437</v>
      </c>
      <c r="R1446" s="2537" t="str">
        <f>IFERROR(VLOOKUP(F1446,Trainingsarten!$A$9:$N$84,14,FALSE),"")</f>
        <v/>
      </c>
      <c r="S1446" s="2419" t="str">
        <f t="shared" si="213"/>
        <v/>
      </c>
      <c r="T1446" s="2009">
        <f t="shared" si="214"/>
        <v>31.754525989318751</v>
      </c>
      <c r="U1446" s="2009">
        <f t="shared" si="215"/>
        <v>24.49639426289405</v>
      </c>
      <c r="V1446" s="2009">
        <f t="shared" si="216"/>
        <v>-11.953079693842195</v>
      </c>
      <c r="W1446" s="3284">
        <f t="shared" si="217"/>
        <v>1.2962938809904347</v>
      </c>
      <c r="X1446" s="3300"/>
      <c r="Y1446" s="3316"/>
      <c r="AA1446" s="3301"/>
      <c r="AB1446" s="3409"/>
      <c r="AE1446" s="1056"/>
    </row>
    <row r="1447" spans="2:31" ht="16" thickBot="1" x14ac:dyDescent="0.25">
      <c r="B1447" s="2979">
        <f>SUM(H1445:H1451)</f>
        <v>17.119999999999997</v>
      </c>
      <c r="C1447" s="2409">
        <v>44545</v>
      </c>
      <c r="D1447" s="2009">
        <v>136</v>
      </c>
      <c r="E1447" s="2010" t="s">
        <v>836</v>
      </c>
      <c r="F1447" s="2772" t="s">
        <v>819</v>
      </c>
      <c r="G1447" s="2410">
        <v>3.8206018518518521E-2</v>
      </c>
      <c r="H1447" s="2411">
        <v>10.1</v>
      </c>
      <c r="I1447" s="2412">
        <f t="shared" si="211"/>
        <v>3.782774110744408E-3</v>
      </c>
      <c r="J1447" s="2413">
        <v>140</v>
      </c>
      <c r="K1447" s="2414">
        <v>67</v>
      </c>
      <c r="L1447" s="2816">
        <v>214</v>
      </c>
      <c r="M1447" s="2840">
        <v>39</v>
      </c>
      <c r="N1447" s="2368">
        <f t="shared" si="212"/>
        <v>1.0439101522092509</v>
      </c>
      <c r="O1447" s="2415" t="s">
        <v>1460</v>
      </c>
      <c r="P1447" s="2370">
        <f>IFERROR(VLOOKUP(F1447,Trainingsarten!$A$9:$N$84,12,FALSE),"")</f>
        <v>194.60000000000002</v>
      </c>
      <c r="Q1447" s="2432" t="s">
        <v>437</v>
      </c>
      <c r="R1447" s="2537">
        <f>IFERROR(VLOOKUP(F1447,Trainingsarten!$A$9:$N$84,14,FALSE),"")</f>
        <v>212.96</v>
      </c>
      <c r="S1447" s="2419">
        <f t="shared" si="213"/>
        <v>1.5285714285714285</v>
      </c>
      <c r="T1447" s="2009">
        <f t="shared" si="214"/>
        <v>36.789593705130358</v>
      </c>
      <c r="U1447" s="2009">
        <f t="shared" si="215"/>
        <v>25.508384875682289</v>
      </c>
      <c r="V1447" s="2009">
        <f t="shared" si="216"/>
        <v>-7.2581317264247005</v>
      </c>
      <c r="W1447" s="3284">
        <f t="shared" si="217"/>
        <v>1.4422549245837473</v>
      </c>
      <c r="X1447" s="3300"/>
      <c r="Y1447" s="3316"/>
      <c r="AA1447" s="3301"/>
      <c r="AB1447" s="3409"/>
      <c r="AE1447" s="1056"/>
    </row>
    <row r="1448" spans="2:31" x14ac:dyDescent="0.2">
      <c r="B1448" s="2992" t="s">
        <v>628</v>
      </c>
      <c r="C1448" s="2409">
        <v>44546</v>
      </c>
      <c r="D1448" s="2009"/>
      <c r="E1448" s="2010"/>
      <c r="F1448" s="2772"/>
      <c r="G1448" s="2410"/>
      <c r="H1448" s="2411" t="str">
        <f>IFERROR(VLOOKUP(F1448,Trainingsarten!$A$9:$K$84,10,FALSE),"")</f>
        <v/>
      </c>
      <c r="I1448" s="2412" t="str">
        <f t="shared" si="211"/>
        <v/>
      </c>
      <c r="J1448" s="2413"/>
      <c r="K1448" s="2414" t="str">
        <f>IFERROR(VLOOKUP(F1448,Trainingsarten!$A$9:$K$84,11,FALSE),"0")</f>
        <v>0</v>
      </c>
      <c r="L1448" s="2816"/>
      <c r="M1448" s="2840"/>
      <c r="N1448" s="2368" t="str">
        <f t="shared" si="212"/>
        <v/>
      </c>
      <c r="O1448" s="2415"/>
      <c r="P1448" s="2370" t="str">
        <f>IFERROR(VLOOKUP(F1448,Trainingsarten!$A$9:$N$84,12,FALSE),"")</f>
        <v/>
      </c>
      <c r="Q1448" s="2432" t="s">
        <v>437</v>
      </c>
      <c r="R1448" s="2537" t="str">
        <f>IFERROR(VLOOKUP(F1448,Trainingsarten!$A$9:$N$84,14,FALSE),"")</f>
        <v/>
      </c>
      <c r="S1448" s="2419" t="str">
        <f t="shared" si="213"/>
        <v/>
      </c>
      <c r="T1448" s="2009">
        <f t="shared" si="214"/>
        <v>31.533937461540305</v>
      </c>
      <c r="U1448" s="2009">
        <f t="shared" si="215"/>
        <v>24.901042378642234</v>
      </c>
      <c r="V1448" s="2009">
        <f t="shared" si="216"/>
        <v>-11.281208829448069</v>
      </c>
      <c r="W1448" s="3284">
        <f t="shared" si="217"/>
        <v>1.2663701776832901</v>
      </c>
      <c r="X1448" s="3300"/>
      <c r="Y1448" s="3316"/>
      <c r="AA1448" s="3301"/>
      <c r="AB1448" s="3409"/>
      <c r="AE1448" s="1056"/>
    </row>
    <row r="1449" spans="2:31" ht="16" thickBot="1" x14ac:dyDescent="0.25">
      <c r="B1449" s="2993">
        <f>SUM(K1445:K1451)</f>
        <v>112</v>
      </c>
      <c r="C1449" s="2409">
        <v>44547</v>
      </c>
      <c r="D1449" s="2009"/>
      <c r="E1449" s="2010"/>
      <c r="F1449" s="2772"/>
      <c r="G1449" s="2410"/>
      <c r="H1449" s="2411"/>
      <c r="I1449" s="2412" t="str">
        <f t="shared" si="211"/>
        <v/>
      </c>
      <c r="J1449" s="2413"/>
      <c r="K1449" s="2414" t="str">
        <f>IFERROR(VLOOKUP(F1449,Trainingsarten!$A$9:$K$84,11,FALSE),"0")</f>
        <v>0</v>
      </c>
      <c r="L1449" s="2816"/>
      <c r="M1449" s="2840"/>
      <c r="N1449" s="2368" t="str">
        <f t="shared" si="212"/>
        <v/>
      </c>
      <c r="O1449" s="2415"/>
      <c r="P1449" s="2370" t="str">
        <f>IFERROR(VLOOKUP(F1449,Trainingsarten!$A$9:$N$84,12,FALSE),"")</f>
        <v/>
      </c>
      <c r="Q1449" s="2432" t="s">
        <v>437</v>
      </c>
      <c r="R1449" s="2537" t="str">
        <f>IFERROR(VLOOKUP(F1449,Trainingsarten!$A$9:$N$84,14,FALSE),"")</f>
        <v/>
      </c>
      <c r="S1449" s="2419" t="str">
        <f t="shared" si="213"/>
        <v/>
      </c>
      <c r="T1449" s="2009">
        <f t="shared" si="214"/>
        <v>27.029089252748832</v>
      </c>
      <c r="U1449" s="2009">
        <f t="shared" si="215"/>
        <v>24.30816041724599</v>
      </c>
      <c r="V1449" s="2009">
        <f t="shared" si="216"/>
        <v>-6.6328950828980702</v>
      </c>
      <c r="W1449" s="3284">
        <f t="shared" si="217"/>
        <v>1.1119347901609378</v>
      </c>
      <c r="X1449" s="3300"/>
      <c r="Y1449" s="3316"/>
      <c r="AA1449" s="3301"/>
      <c r="AB1449" s="3409"/>
      <c r="AE1449" s="1056"/>
    </row>
    <row r="1450" spans="2:31" x14ac:dyDescent="0.2">
      <c r="B1450" s="2994" t="s">
        <v>761</v>
      </c>
      <c r="C1450" s="2409">
        <v>44548</v>
      </c>
      <c r="D1450" s="2009"/>
      <c r="E1450" s="2010"/>
      <c r="F1450" s="2772"/>
      <c r="G1450" s="2410"/>
      <c r="H1450" s="2411"/>
      <c r="I1450" s="2412" t="str">
        <f t="shared" si="211"/>
        <v/>
      </c>
      <c r="J1450" s="2413"/>
      <c r="K1450" s="2414" t="str">
        <f>IFERROR(VLOOKUP(F1450,Trainingsarten!$A$9:$K$84,11,FALSE),"0")</f>
        <v>0</v>
      </c>
      <c r="L1450" s="2816"/>
      <c r="M1450" s="2840"/>
      <c r="N1450" s="2368" t="str">
        <f t="shared" si="212"/>
        <v/>
      </c>
      <c r="O1450" s="2415"/>
      <c r="P1450" s="2370" t="str">
        <f>IFERROR(VLOOKUP(F1450,Trainingsarten!$A$9:$N$84,12,FALSE),"")</f>
        <v/>
      </c>
      <c r="Q1450" s="2432" t="s">
        <v>437</v>
      </c>
      <c r="R1450" s="2537" t="str">
        <f>IFERROR(VLOOKUP(F1450,Trainingsarten!$A$9:$N$84,14,FALSE),"")</f>
        <v/>
      </c>
      <c r="S1450" s="2419" t="str">
        <f t="shared" si="213"/>
        <v/>
      </c>
      <c r="T1450" s="2009">
        <f t="shared" si="214"/>
        <v>23.167790788070427</v>
      </c>
      <c r="U1450" s="2009">
        <f t="shared" si="215"/>
        <v>23.729394693025846</v>
      </c>
      <c r="V1450" s="2009">
        <f t="shared" si="216"/>
        <v>-2.7209288355028427</v>
      </c>
      <c r="W1450" s="3284">
        <f t="shared" si="217"/>
        <v>0.97633298648277467</v>
      </c>
      <c r="X1450" s="3300"/>
      <c r="Y1450" s="3316"/>
      <c r="AA1450" s="3301"/>
      <c r="AB1450" s="3409"/>
      <c r="AE1450" s="1056"/>
    </row>
    <row r="1451" spans="2:31" ht="16" thickBot="1" x14ac:dyDescent="0.25">
      <c r="B1451" s="3127">
        <f>AVERAGE(W1445:W1451)</f>
        <v>1.2038270636895805</v>
      </c>
      <c r="C1451" s="1631">
        <v>44549</v>
      </c>
      <c r="D1451" s="1108"/>
      <c r="E1451" s="1261"/>
      <c r="F1451" s="2653"/>
      <c r="G1451" s="2433"/>
      <c r="H1451" s="2434"/>
      <c r="I1451" s="2435" t="str">
        <f t="shared" si="211"/>
        <v/>
      </c>
      <c r="J1451" s="1310"/>
      <c r="K1451" s="2436" t="str">
        <f>IFERROR(VLOOKUP(F1451,Trainingsarten!$A$9:$K$84,11,FALSE),"0")</f>
        <v>0</v>
      </c>
      <c r="L1451" s="2818"/>
      <c r="M1451" s="2798"/>
      <c r="N1451" s="1223" t="str">
        <f t="shared" si="212"/>
        <v/>
      </c>
      <c r="O1451" s="2437"/>
      <c r="P1451" s="1519" t="str">
        <f>IFERROR(VLOOKUP(F1451,Trainingsarten!$A$9:$N$84,12,FALSE),"")</f>
        <v/>
      </c>
      <c r="Q1451" s="2438" t="s">
        <v>437</v>
      </c>
      <c r="R1451" s="2439" t="str">
        <f>IFERROR(VLOOKUP(F1451,Trainingsarten!$A$9:$N$84,14,FALSE),"")</f>
        <v/>
      </c>
      <c r="S1451" s="2440" t="str">
        <f t="shared" si="213"/>
        <v/>
      </c>
      <c r="T1451" s="1108">
        <f t="shared" si="214"/>
        <v>19.858106389774651</v>
      </c>
      <c r="U1451" s="1108">
        <f t="shared" si="215"/>
        <v>23.164409105096659</v>
      </c>
      <c r="V1451" s="1108">
        <f t="shared" si="216"/>
        <v>0.5616039049554189</v>
      </c>
      <c r="W1451" s="3285">
        <f t="shared" si="217"/>
        <v>0.85726798813121674</v>
      </c>
      <c r="X1451" s="3300"/>
      <c r="Y1451" s="3316"/>
      <c r="AA1451" s="3301"/>
      <c r="AB1451" s="3409"/>
      <c r="AE1451" s="1056"/>
    </row>
    <row r="1452" spans="2:31" ht="16" thickBot="1" x14ac:dyDescent="0.25">
      <c r="B1452" s="2986">
        <f>B1445+1</f>
        <v>51</v>
      </c>
      <c r="C1452" s="2399">
        <v>44550</v>
      </c>
      <c r="D1452" s="2292"/>
      <c r="E1452" s="2293"/>
      <c r="F1452" s="2771"/>
      <c r="G1452" s="2400"/>
      <c r="H1452" s="2401"/>
      <c r="I1452" s="2402" t="str">
        <f t="shared" si="211"/>
        <v/>
      </c>
      <c r="J1452" s="2403"/>
      <c r="K1452" s="2404" t="str">
        <f>IFERROR(VLOOKUP(F1452,Trainingsarten!$A$9:$K$84,11,FALSE),"0")</f>
        <v>0</v>
      </c>
      <c r="L1452" s="2815"/>
      <c r="M1452" s="2591"/>
      <c r="N1452" s="2296" t="str">
        <f t="shared" si="212"/>
        <v/>
      </c>
      <c r="O1452" s="2405"/>
      <c r="P1452" s="2298" t="str">
        <f>IFERROR(VLOOKUP(F1452,Trainingsarten!$A$9:$N$84,12,FALSE),"")</f>
        <v/>
      </c>
      <c r="Q1452" s="2406" t="s">
        <v>437</v>
      </c>
      <c r="R1452" s="2407" t="str">
        <f>IFERROR(VLOOKUP(F1452,Trainingsarten!$A$9:$N$84,14,FALSE),"")</f>
        <v/>
      </c>
      <c r="S1452" s="2408" t="str">
        <f t="shared" si="213"/>
        <v/>
      </c>
      <c r="T1452" s="2292">
        <f t="shared" si="214"/>
        <v>17.021234048378272</v>
      </c>
      <c r="U1452" s="2292">
        <f t="shared" si="215"/>
        <v>22.612875554975311</v>
      </c>
      <c r="V1452" s="2292">
        <f t="shared" si="216"/>
        <v>3.3063027153220084</v>
      </c>
      <c r="W1452" s="3283">
        <f t="shared" si="217"/>
        <v>0.75272311152984872</v>
      </c>
      <c r="X1452" s="3300"/>
      <c r="Y1452" s="3316"/>
      <c r="AA1452" s="3301"/>
      <c r="AB1452" s="3409"/>
      <c r="AE1452" s="1056"/>
    </row>
    <row r="1453" spans="2:31" x14ac:dyDescent="0.2">
      <c r="B1453" s="2991" t="s">
        <v>626</v>
      </c>
      <c r="C1453" s="2409">
        <v>44551</v>
      </c>
      <c r="D1453" s="2009"/>
      <c r="E1453" s="2010"/>
      <c r="F1453" s="2772"/>
      <c r="G1453" s="2410"/>
      <c r="H1453" s="2411"/>
      <c r="I1453" s="2412" t="str">
        <f t="shared" si="211"/>
        <v/>
      </c>
      <c r="J1453" s="2413"/>
      <c r="K1453" s="2414" t="str">
        <f>IFERROR(VLOOKUP(F1453,Trainingsarten!$A$9:$K$84,11,FALSE),"0")</f>
        <v>0</v>
      </c>
      <c r="L1453" s="2816"/>
      <c r="M1453" s="2840"/>
      <c r="N1453" s="2368" t="str">
        <f t="shared" si="212"/>
        <v/>
      </c>
      <c r="O1453" s="2415"/>
      <c r="P1453" s="2370" t="str">
        <f>IFERROR(VLOOKUP(F1453,Trainingsarten!$A$9:$N$84,12,FALSE),"")</f>
        <v/>
      </c>
      <c r="Q1453" s="2432" t="s">
        <v>437</v>
      </c>
      <c r="R1453" s="2537" t="str">
        <f>IFERROR(VLOOKUP(F1453,Trainingsarten!$A$9:$N$84,14,FALSE),"")</f>
        <v/>
      </c>
      <c r="S1453" s="2419" t="str">
        <f t="shared" si="213"/>
        <v/>
      </c>
      <c r="T1453" s="2009">
        <f t="shared" si="214"/>
        <v>14.589629184324233</v>
      </c>
      <c r="U1453" s="2009">
        <f t="shared" si="215"/>
        <v>22.074473756047329</v>
      </c>
      <c r="V1453" s="2009">
        <f t="shared" si="216"/>
        <v>5.5916415065970391</v>
      </c>
      <c r="W1453" s="3284">
        <f t="shared" si="217"/>
        <v>0.66092761012376955</v>
      </c>
      <c r="X1453" s="3300"/>
      <c r="Y1453" s="3316"/>
      <c r="AA1453" s="3301"/>
      <c r="AB1453" s="3409"/>
      <c r="AE1453" s="1056"/>
    </row>
    <row r="1454" spans="2:31" ht="16" thickBot="1" x14ac:dyDescent="0.25">
      <c r="B1454" s="2979">
        <f>SUM(H1452:H1458)</f>
        <v>0</v>
      </c>
      <c r="C1454" s="2409">
        <v>44552</v>
      </c>
      <c r="D1454" s="2009"/>
      <c r="E1454" s="2010"/>
      <c r="F1454" s="2772"/>
      <c r="G1454" s="2410"/>
      <c r="H1454" s="2411"/>
      <c r="I1454" s="2412" t="str">
        <f t="shared" si="211"/>
        <v/>
      </c>
      <c r="J1454" s="2413"/>
      <c r="K1454" s="2414" t="str">
        <f>IFERROR(VLOOKUP(F1454,Trainingsarten!$A$9:$K$84,11,FALSE),"0")</f>
        <v>0</v>
      </c>
      <c r="L1454" s="2816"/>
      <c r="M1454" s="2840"/>
      <c r="N1454" s="2368" t="str">
        <f t="shared" si="212"/>
        <v/>
      </c>
      <c r="O1454" s="2415"/>
      <c r="P1454" s="2370" t="str">
        <f>IFERROR(VLOOKUP(F1454,Trainingsarten!$A$9:$N$84,12,FALSE),"")</f>
        <v/>
      </c>
      <c r="Q1454" s="2432" t="s">
        <v>437</v>
      </c>
      <c r="R1454" s="2537" t="str">
        <f>IFERROR(VLOOKUP(F1454,Trainingsarten!$A$9:$N$84,14,FALSE),"")</f>
        <v/>
      </c>
      <c r="S1454" s="2419" t="str">
        <f t="shared" si="213"/>
        <v/>
      </c>
      <c r="T1454" s="2009">
        <f t="shared" si="214"/>
        <v>12.505396443706484</v>
      </c>
      <c r="U1454" s="2009">
        <f t="shared" si="215"/>
        <v>21.548891047570013</v>
      </c>
      <c r="V1454" s="2009">
        <f t="shared" si="216"/>
        <v>7.4848445717230963</v>
      </c>
      <c r="W1454" s="3284">
        <f t="shared" si="217"/>
        <v>0.58032668205989513</v>
      </c>
      <c r="X1454" s="3300"/>
      <c r="Y1454" s="3316"/>
      <c r="AA1454" s="3301"/>
      <c r="AB1454" s="3409"/>
      <c r="AE1454" s="1056"/>
    </row>
    <row r="1455" spans="2:31" x14ac:dyDescent="0.2">
      <c r="B1455" s="2992" t="s">
        <v>628</v>
      </c>
      <c r="C1455" s="2409">
        <v>44553</v>
      </c>
      <c r="D1455" s="2009"/>
      <c r="E1455" s="2010"/>
      <c r="F1455" s="2772"/>
      <c r="G1455" s="2410"/>
      <c r="H1455" s="2411"/>
      <c r="I1455" s="2412" t="str">
        <f t="shared" si="211"/>
        <v/>
      </c>
      <c r="J1455" s="2413"/>
      <c r="K1455" s="2414" t="str">
        <f>IFERROR(VLOOKUP(F1455,Trainingsarten!$A$9:$K$84,11,FALSE),"0")</f>
        <v>0</v>
      </c>
      <c r="L1455" s="2816"/>
      <c r="M1455" s="2840"/>
      <c r="N1455" s="2368" t="str">
        <f t="shared" si="212"/>
        <v/>
      </c>
      <c r="O1455" s="2415"/>
      <c r="P1455" s="2370" t="str">
        <f>IFERROR(VLOOKUP(F1455,Trainingsarten!$A$9:$N$84,12,FALSE),"")</f>
        <v/>
      </c>
      <c r="Q1455" s="2432" t="s">
        <v>437</v>
      </c>
      <c r="R1455" s="2537" t="str">
        <f>IFERROR(VLOOKUP(F1455,Trainingsarten!$A$9:$N$84,14,FALSE),"")</f>
        <v/>
      </c>
      <c r="S1455" s="2419" t="str">
        <f t="shared" si="213"/>
        <v/>
      </c>
      <c r="T1455" s="2009">
        <f t="shared" si="214"/>
        <v>10.7189112374627</v>
      </c>
      <c r="U1455" s="2009">
        <f t="shared" si="215"/>
        <v>21.035822213104062</v>
      </c>
      <c r="V1455" s="2009">
        <f t="shared" si="216"/>
        <v>9.0434946038635289</v>
      </c>
      <c r="W1455" s="3284">
        <f t="shared" si="217"/>
        <v>0.50955513546722497</v>
      </c>
      <c r="X1455" s="3300"/>
      <c r="Y1455" s="3316"/>
      <c r="AA1455" s="3301"/>
      <c r="AB1455" s="3409"/>
      <c r="AE1455" s="1056"/>
    </row>
    <row r="1456" spans="2:31" ht="16" thickBot="1" x14ac:dyDescent="0.25">
      <c r="B1456" s="2993">
        <f>SUM(K1452:K1458)</f>
        <v>0</v>
      </c>
      <c r="C1456" s="2409">
        <v>44554</v>
      </c>
      <c r="D1456" s="2009"/>
      <c r="E1456" s="2010"/>
      <c r="F1456" s="2772"/>
      <c r="G1456" s="2410"/>
      <c r="H1456" s="2411" t="str">
        <f>IFERROR(VLOOKUP(F1456,Trainingsarten!$A$9:$K$84,10,FALSE),"")</f>
        <v/>
      </c>
      <c r="I1456" s="2412" t="str">
        <f t="shared" si="211"/>
        <v/>
      </c>
      <c r="J1456" s="2413"/>
      <c r="K1456" s="2414" t="str">
        <f>IFERROR(VLOOKUP(F1456,Trainingsarten!$A$9:$K$84,11,FALSE),"0")</f>
        <v>0</v>
      </c>
      <c r="L1456" s="2816"/>
      <c r="M1456" s="2840"/>
      <c r="N1456" s="2368" t="str">
        <f t="shared" si="212"/>
        <v/>
      </c>
      <c r="O1456" s="2415"/>
      <c r="P1456" s="2370" t="str">
        <f>IFERROR(VLOOKUP(F1456,Trainingsarten!$A$9:$N$84,12,FALSE),"")</f>
        <v/>
      </c>
      <c r="Q1456" s="2432" t="s">
        <v>437</v>
      </c>
      <c r="R1456" s="2537" t="str">
        <f>IFERROR(VLOOKUP(F1456,Trainingsarten!$A$9:$N$84,14,FALSE),"")</f>
        <v/>
      </c>
      <c r="S1456" s="2419" t="str">
        <f t="shared" si="213"/>
        <v/>
      </c>
      <c r="T1456" s="2009">
        <f t="shared" si="214"/>
        <v>9.187638203539457</v>
      </c>
      <c r="U1456" s="2009">
        <f t="shared" si="215"/>
        <v>20.534969303268252</v>
      </c>
      <c r="V1456" s="2009">
        <f t="shared" si="216"/>
        <v>10.316910975641362</v>
      </c>
      <c r="W1456" s="3284">
        <f t="shared" si="217"/>
        <v>0.44741426528829503</v>
      </c>
      <c r="X1456" s="3300"/>
      <c r="Y1456" s="3316"/>
      <c r="AA1456" s="3301"/>
      <c r="AB1456" s="3409"/>
      <c r="AE1456" s="1056"/>
    </row>
    <row r="1457" spans="2:31" x14ac:dyDescent="0.2">
      <c r="B1457" s="2994" t="s">
        <v>761</v>
      </c>
      <c r="C1457" s="2409">
        <v>44555</v>
      </c>
      <c r="D1457" s="2009"/>
      <c r="E1457" s="2010"/>
      <c r="F1457" s="2772"/>
      <c r="G1457" s="2410"/>
      <c r="H1457" s="2411" t="str">
        <f>IFERROR(VLOOKUP(F1457,Trainingsarten!$A$9:$K$84,10,FALSE),"")</f>
        <v/>
      </c>
      <c r="I1457" s="2412" t="str">
        <f t="shared" si="211"/>
        <v/>
      </c>
      <c r="J1457" s="2413"/>
      <c r="K1457" s="2414" t="str">
        <f>IFERROR(VLOOKUP(F1457,Trainingsarten!$A$9:$K$84,11,FALSE),"0")</f>
        <v>0</v>
      </c>
      <c r="L1457" s="2816"/>
      <c r="M1457" s="2840"/>
      <c r="N1457" s="2368" t="str">
        <f t="shared" si="212"/>
        <v/>
      </c>
      <c r="O1457" s="2415"/>
      <c r="P1457" s="2370" t="str">
        <f>IFERROR(VLOOKUP(F1457,Trainingsarten!$A$9:$N$84,12,FALSE),"")</f>
        <v/>
      </c>
      <c r="Q1457" s="2432" t="s">
        <v>437</v>
      </c>
      <c r="R1457" s="2537" t="str">
        <f>IFERROR(VLOOKUP(F1457,Trainingsarten!$A$9:$N$84,14,FALSE),"")</f>
        <v/>
      </c>
      <c r="S1457" s="2419" t="str">
        <f t="shared" si="213"/>
        <v/>
      </c>
      <c r="T1457" s="2009">
        <f t="shared" si="214"/>
        <v>7.8751184601766777</v>
      </c>
      <c r="U1457" s="2009">
        <f t="shared" si="215"/>
        <v>20.046041462714246</v>
      </c>
      <c r="V1457" s="2009">
        <f t="shared" si="216"/>
        <v>11.347331099728795</v>
      </c>
      <c r="W1457" s="3284">
        <f t="shared" si="217"/>
        <v>0.39285155000923466</v>
      </c>
      <c r="X1457" s="3300"/>
      <c r="Y1457" s="3316"/>
      <c r="AA1457" s="3301"/>
      <c r="AB1457" s="3409"/>
      <c r="AE1457" s="1056"/>
    </row>
    <row r="1458" spans="2:31" ht="16" thickBot="1" x14ac:dyDescent="0.25">
      <c r="B1458" s="3127">
        <f>AVERAGE(W1452:W1458)</f>
        <v>0.52696302555380281</v>
      </c>
      <c r="C1458" s="1631">
        <v>44556</v>
      </c>
      <c r="D1458" s="1108"/>
      <c r="E1458" s="1261"/>
      <c r="F1458" s="2653"/>
      <c r="G1458" s="2433"/>
      <c r="H1458" s="2434" t="str">
        <f>IFERROR(VLOOKUP(F1458,Trainingsarten!$A$9:$K$84,10,FALSE),"")</f>
        <v/>
      </c>
      <c r="I1458" s="2435" t="str">
        <f t="shared" si="211"/>
        <v/>
      </c>
      <c r="J1458" s="1310"/>
      <c r="K1458" s="2436" t="str">
        <f>IFERROR(VLOOKUP(F1458,Trainingsarten!$A$9:$K$84,11,FALSE),"0")</f>
        <v>0</v>
      </c>
      <c r="L1458" s="2818"/>
      <c r="M1458" s="2798"/>
      <c r="N1458" s="1223" t="str">
        <f t="shared" si="212"/>
        <v/>
      </c>
      <c r="O1458" s="2437"/>
      <c r="P1458" s="1519" t="str">
        <f>IFERROR(VLOOKUP(F1458,Trainingsarten!$A$9:$N$84,12,FALSE),"")</f>
        <v/>
      </c>
      <c r="Q1458" s="2438" t="s">
        <v>437</v>
      </c>
      <c r="R1458" s="2439" t="str">
        <f>IFERROR(VLOOKUP(F1458,Trainingsarten!$A$9:$N$84,14,FALSE),"")</f>
        <v/>
      </c>
      <c r="S1458" s="2440" t="str">
        <f t="shared" si="213"/>
        <v/>
      </c>
      <c r="T1458" s="1108">
        <f t="shared" si="214"/>
        <v>6.7501015372942952</v>
      </c>
      <c r="U1458" s="1108">
        <f t="shared" si="215"/>
        <v>19.568754761221051</v>
      </c>
      <c r="V1458" s="1108">
        <f t="shared" si="216"/>
        <v>12.170923002537569</v>
      </c>
      <c r="W1458" s="3285">
        <f t="shared" si="217"/>
        <v>0.34494282439835239</v>
      </c>
      <c r="X1458" s="3300"/>
      <c r="Y1458" s="3316"/>
      <c r="AA1458" s="3301"/>
      <c r="AB1458" s="3409"/>
      <c r="AE1458" s="1056"/>
    </row>
    <row r="1459" spans="2:31" ht="16" thickBot="1" x14ac:dyDescent="0.25">
      <c r="B1459" s="2986">
        <v>52</v>
      </c>
      <c r="C1459" s="2399">
        <v>44557</v>
      </c>
      <c r="D1459" s="2292"/>
      <c r="E1459" s="2293"/>
      <c r="F1459" s="2761"/>
      <c r="G1459" s="2400"/>
      <c r="H1459" s="2401" t="str">
        <f>IFERROR(VLOOKUP(F1459,Trainingsarten!$A$9:$K$84,10,FALSE),"")</f>
        <v/>
      </c>
      <c r="I1459" s="2402" t="str">
        <f t="shared" si="211"/>
        <v/>
      </c>
      <c r="J1459" s="2403"/>
      <c r="K1459" s="2404" t="str">
        <f>IFERROR(VLOOKUP(F1459,Trainingsarten!$A$9:$K$84,11,FALSE),"0")</f>
        <v>0</v>
      </c>
      <c r="L1459" s="2815"/>
      <c r="M1459" s="2591"/>
      <c r="N1459" s="2296" t="str">
        <f t="shared" si="212"/>
        <v/>
      </c>
      <c r="O1459" s="2405"/>
      <c r="P1459" s="2298" t="str">
        <f>IFERROR(VLOOKUP(F1459,Trainingsarten!$A$9:$N$84,12,FALSE),"")</f>
        <v/>
      </c>
      <c r="Q1459" s="2406" t="s">
        <v>437</v>
      </c>
      <c r="R1459" s="2407" t="str">
        <f>IFERROR(VLOOKUP(F1459,Trainingsarten!$A$9:$N$84,14,FALSE),"")</f>
        <v/>
      </c>
      <c r="S1459" s="2408" t="str">
        <f t="shared" si="213"/>
        <v/>
      </c>
      <c r="T1459" s="2292">
        <f t="shared" si="214"/>
        <v>5.7858013176808241</v>
      </c>
      <c r="U1459" s="2292">
        <f t="shared" si="215"/>
        <v>19.102832028811026</v>
      </c>
      <c r="V1459" s="2292">
        <f t="shared" si="216"/>
        <v>12.818653223926756</v>
      </c>
      <c r="W1459" s="3283">
        <f t="shared" si="217"/>
        <v>0.30287662630099232</v>
      </c>
      <c r="X1459" s="3300"/>
      <c r="Y1459" s="3316"/>
      <c r="AA1459" s="3301"/>
      <c r="AB1459" s="3409"/>
      <c r="AE1459" s="1056"/>
    </row>
    <row r="1460" spans="2:31" x14ac:dyDescent="0.2">
      <c r="B1460" s="2991" t="s">
        <v>626</v>
      </c>
      <c r="C1460" s="2409">
        <v>44558</v>
      </c>
      <c r="D1460" s="2009"/>
      <c r="E1460" s="2010"/>
      <c r="F1460" s="2759"/>
      <c r="G1460" s="2410"/>
      <c r="H1460" s="2411" t="str">
        <f>IFERROR(VLOOKUP(F1460,Trainingsarten!$A$9:$K$84,10,FALSE),"")</f>
        <v/>
      </c>
      <c r="I1460" s="2412" t="str">
        <f t="shared" ref="I1460:I1466" si="218">IFERROR(G1460/H1460,"")</f>
        <v/>
      </c>
      <c r="J1460" s="2413"/>
      <c r="K1460" s="2414" t="str">
        <f>IFERROR(VLOOKUP(F1460,Trainingsarten!$A$9:$K$84,11,FALSE),"0")</f>
        <v>0</v>
      </c>
      <c r="L1460" s="2816"/>
      <c r="M1460" s="2840"/>
      <c r="N1460" s="2368" t="str">
        <f t="shared" ref="N1460:N1466" si="219">IFERROR((L1460/67)/(1/(I1460*24)/3.6),"")</f>
        <v/>
      </c>
      <c r="O1460" s="2415"/>
      <c r="P1460" s="2370" t="str">
        <f>IFERROR(VLOOKUP(F1460,Trainingsarten!$A$9:$N$84,12,FALSE),"")</f>
        <v/>
      </c>
      <c r="Q1460" s="2432" t="s">
        <v>437</v>
      </c>
      <c r="R1460" s="2537" t="str">
        <f>IFERROR(VLOOKUP(F1460,Trainingsarten!$A$9:$N$84,14,FALSE),"")</f>
        <v/>
      </c>
      <c r="S1460" s="2419" t="str">
        <f t="shared" ref="S1460:S1466" si="220">IFERROR(L1460/J1460,"")</f>
        <v/>
      </c>
      <c r="T1460" s="2009">
        <f t="shared" ref="T1460:T1466" si="221">T1459+(K1460-T1459)/7</f>
        <v>4.9592582722978493</v>
      </c>
      <c r="U1460" s="2009">
        <f t="shared" ref="U1460:U1466" si="222">U1459+(K1460-U1459)/42</f>
        <v>18.648002694791714</v>
      </c>
      <c r="V1460" s="2009">
        <f t="shared" ref="V1460:V1466" si="223">U1459-T1459</f>
        <v>13.317030711130201</v>
      </c>
      <c r="W1460" s="3284">
        <f t="shared" ref="W1460:W1466" si="224">T1460/U1460</f>
        <v>0.26594045236184694</v>
      </c>
      <c r="X1460" s="3300"/>
      <c r="Y1460" s="3316"/>
      <c r="AA1460" s="3301"/>
      <c r="AB1460" s="3409"/>
      <c r="AE1460" s="1056"/>
    </row>
    <row r="1461" spans="2:31" ht="16" thickBot="1" x14ac:dyDescent="0.25">
      <c r="B1461" s="2979">
        <f>SUM(H1459:H1465)</f>
        <v>27.999999999999996</v>
      </c>
      <c r="C1461" s="2409">
        <v>44559</v>
      </c>
      <c r="D1461" s="2009">
        <v>137</v>
      </c>
      <c r="E1461" s="2010" t="s">
        <v>836</v>
      </c>
      <c r="F1461" s="2759" t="s">
        <v>943</v>
      </c>
      <c r="G1461" s="2410">
        <v>2.7534722222222221E-2</v>
      </c>
      <c r="H1461" s="2411">
        <v>7.1</v>
      </c>
      <c r="I1461" s="2412">
        <f t="shared" si="218"/>
        <v>3.8781298904538341E-3</v>
      </c>
      <c r="J1461" s="2413">
        <v>149</v>
      </c>
      <c r="K1461" s="2414">
        <v>46</v>
      </c>
      <c r="L1461" s="2816">
        <v>210</v>
      </c>
      <c r="M1461" s="2840">
        <v>21</v>
      </c>
      <c r="N1461" s="2368">
        <f t="shared" si="219"/>
        <v>1.0502207273491697</v>
      </c>
      <c r="O1461" s="2415" t="s">
        <v>953</v>
      </c>
      <c r="P1461" s="2370">
        <f>IFERROR(VLOOKUP(F1461,Trainingsarten!$A$9:$N$84,12,FALSE),"")</f>
        <v>194.60000000000002</v>
      </c>
      <c r="Q1461" s="2432" t="s">
        <v>437</v>
      </c>
      <c r="R1461" s="2537">
        <f>IFERROR(VLOOKUP(F1461,Trainingsarten!$A$9:$N$84,14,FALSE),"")</f>
        <v>212.96</v>
      </c>
      <c r="S1461" s="2419">
        <f t="shared" si="220"/>
        <v>1.4093959731543624</v>
      </c>
      <c r="T1461" s="2009">
        <f t="shared" si="221"/>
        <v>10.8222213762553</v>
      </c>
      <c r="U1461" s="2009">
        <f t="shared" si="222"/>
        <v>19.299240725868103</v>
      </c>
      <c r="V1461" s="2009">
        <f t="shared" si="223"/>
        <v>13.688744422493865</v>
      </c>
      <c r="W1461" s="3284">
        <f t="shared" si="224"/>
        <v>0.56075891948171463</v>
      </c>
      <c r="X1461" s="3300"/>
      <c r="Y1461" s="3316"/>
      <c r="AA1461" s="3301"/>
      <c r="AB1461" s="3409"/>
      <c r="AE1461" s="1056"/>
    </row>
    <row r="1462" spans="2:31" x14ac:dyDescent="0.2">
      <c r="B1462" s="2992" t="s">
        <v>628</v>
      </c>
      <c r="C1462" s="2409">
        <v>44560</v>
      </c>
      <c r="D1462" s="2009"/>
      <c r="E1462" s="2010"/>
      <c r="F1462" s="2759"/>
      <c r="G1462" s="2410"/>
      <c r="H1462" s="2411" t="str">
        <f>IFERROR(VLOOKUP(F1462,Trainingsarten!$A$9:$K$84,10,FALSE),"")</f>
        <v/>
      </c>
      <c r="I1462" s="2412" t="str">
        <f t="shared" si="218"/>
        <v/>
      </c>
      <c r="J1462" s="2413"/>
      <c r="K1462" s="2414" t="str">
        <f>IFERROR(VLOOKUP(F1462,Trainingsarten!$A$9:$K$84,11,FALSE),"0")</f>
        <v>0</v>
      </c>
      <c r="L1462" s="2816"/>
      <c r="M1462" s="2840"/>
      <c r="N1462" s="2368" t="str">
        <f t="shared" si="219"/>
        <v/>
      </c>
      <c r="O1462" s="2415"/>
      <c r="P1462" s="2370" t="str">
        <f>IFERROR(VLOOKUP(F1462,Trainingsarten!$A$9:$N$84,12,FALSE),"")</f>
        <v/>
      </c>
      <c r="Q1462" s="2432" t="s">
        <v>437</v>
      </c>
      <c r="R1462" s="2537" t="str">
        <f>IFERROR(VLOOKUP(F1462,Trainingsarten!$A$9:$N$84,14,FALSE),"")</f>
        <v/>
      </c>
      <c r="S1462" s="2419" t="str">
        <f t="shared" si="220"/>
        <v/>
      </c>
      <c r="T1462" s="2009">
        <f t="shared" si="221"/>
        <v>9.2761897510759717</v>
      </c>
      <c r="U1462" s="2009">
        <f t="shared" si="222"/>
        <v>18.839734994299814</v>
      </c>
      <c r="V1462" s="2009">
        <f t="shared" si="223"/>
        <v>8.477019349612803</v>
      </c>
      <c r="W1462" s="3284">
        <f t="shared" si="224"/>
        <v>0.49237368539857879</v>
      </c>
      <c r="X1462" s="3300"/>
      <c r="Y1462" s="3316"/>
      <c r="AA1462" s="3301"/>
      <c r="AB1462" s="3409"/>
      <c r="AE1462" s="1056"/>
    </row>
    <row r="1463" spans="2:31" ht="16" thickBot="1" x14ac:dyDescent="0.25">
      <c r="B1463" s="2993">
        <f>SUM(K1459:K1465)</f>
        <v>189</v>
      </c>
      <c r="C1463" s="2538">
        <v>44561</v>
      </c>
      <c r="D1463" s="1925">
        <v>138</v>
      </c>
      <c r="E1463" s="1926" t="s">
        <v>836</v>
      </c>
      <c r="F1463" s="2773" t="s">
        <v>927</v>
      </c>
      <c r="G1463" s="2539">
        <v>3.5914351851851857E-2</v>
      </c>
      <c r="H1463" s="2540">
        <v>10.199999999999999</v>
      </c>
      <c r="I1463" s="2541">
        <f t="shared" si="218"/>
        <v>3.5210148874364566E-3</v>
      </c>
      <c r="J1463" s="2542">
        <v>155</v>
      </c>
      <c r="K1463" s="2543">
        <v>72</v>
      </c>
      <c r="L1463" s="2820">
        <v>228</v>
      </c>
      <c r="M1463" s="2542">
        <v>31</v>
      </c>
      <c r="N1463" s="1932">
        <f t="shared" si="219"/>
        <v>1.035241439859526</v>
      </c>
      <c r="O1463" s="2544" t="s">
        <v>821</v>
      </c>
      <c r="P1463" s="2545">
        <f>IFERROR(VLOOKUP(F1463,Trainingsarten!$A$9:$N$84,12,FALSE),"")</f>
        <v>229.68</v>
      </c>
      <c r="Q1463" s="2546" t="s">
        <v>437</v>
      </c>
      <c r="R1463" s="2547">
        <f>IFERROR(VLOOKUP(F1463,Trainingsarten!$A$9:$N$84,14,FALSE),"")</f>
        <v>247.95</v>
      </c>
      <c r="S1463" s="1936">
        <f t="shared" si="220"/>
        <v>1.4709677419354839</v>
      </c>
      <c r="T1463" s="1925">
        <f t="shared" si="221"/>
        <v>18.236734072350835</v>
      </c>
      <c r="U1463" s="1925">
        <f t="shared" si="222"/>
        <v>20.105455589673628</v>
      </c>
      <c r="V1463" s="1925">
        <f t="shared" si="223"/>
        <v>9.5635452432238424</v>
      </c>
      <c r="W1463" s="3289">
        <f t="shared" si="224"/>
        <v>0.90705400785433643</v>
      </c>
      <c r="X1463" s="3300"/>
      <c r="Y1463" s="3316"/>
      <c r="AA1463" s="3301"/>
      <c r="AB1463" s="3409"/>
      <c r="AE1463" s="1056"/>
    </row>
    <row r="1464" spans="2:31" ht="16" thickTop="1" x14ac:dyDescent="0.2">
      <c r="B1464" s="2994" t="s">
        <v>761</v>
      </c>
      <c r="C1464" s="2441">
        <v>44562</v>
      </c>
      <c r="D1464" s="1111"/>
      <c r="E1464" s="1112"/>
      <c r="F1464" s="2774"/>
      <c r="G1464" s="2442"/>
      <c r="H1464" s="2443" t="str">
        <f>IFERROR(VLOOKUP(F1464,Trainingsarten!$A$9:$K$84,10,FALSE),"")</f>
        <v/>
      </c>
      <c r="I1464" s="2444" t="str">
        <f t="shared" si="218"/>
        <v/>
      </c>
      <c r="J1464" s="1320"/>
      <c r="K1464" s="2445" t="str">
        <f>IFERROR(VLOOKUP(F1464,Trainingsarten!$A$9:$K$84,11,FALSE),"0")</f>
        <v>0</v>
      </c>
      <c r="L1464" s="2819"/>
      <c r="M1464" s="1320"/>
      <c r="N1464" s="1119" t="str">
        <f t="shared" si="219"/>
        <v/>
      </c>
      <c r="O1464" s="2446"/>
      <c r="P1464" s="1121" t="str">
        <f>IFERROR(VLOOKUP(F1464,Trainingsarten!$A$9:$N$84,12,FALSE),"")</f>
        <v/>
      </c>
      <c r="Q1464" s="2447" t="s">
        <v>437</v>
      </c>
      <c r="R1464" s="2448" t="str">
        <f>IFERROR(VLOOKUP(F1464,Trainingsarten!$A$9:$N$84,14,FALSE),"")</f>
        <v/>
      </c>
      <c r="S1464" s="2449" t="str">
        <f t="shared" si="220"/>
        <v/>
      </c>
      <c r="T1464" s="1111">
        <f t="shared" si="221"/>
        <v>15.631486347729286</v>
      </c>
      <c r="U1464" s="1111">
        <f t="shared" si="222"/>
        <v>19.62675426610997</v>
      </c>
      <c r="V1464" s="1111">
        <f t="shared" si="223"/>
        <v>1.8687215173227933</v>
      </c>
      <c r="W1464" s="3286">
        <f t="shared" si="224"/>
        <v>0.79643766543307581</v>
      </c>
      <c r="X1464" s="3300"/>
      <c r="Y1464" s="3316"/>
      <c r="AA1464" s="3301"/>
      <c r="AB1464" s="3409"/>
      <c r="AE1464" s="1056"/>
    </row>
    <row r="1465" spans="2:31" ht="16" thickBot="1" x14ac:dyDescent="0.25">
      <c r="B1465" s="3127">
        <f>AVERAGE(W1459:W1465)</f>
        <v>0.63636045885291925</v>
      </c>
      <c r="C1465" s="1631">
        <v>44563</v>
      </c>
      <c r="D1465" s="1108">
        <v>1</v>
      </c>
      <c r="E1465" s="1261" t="s">
        <v>836</v>
      </c>
      <c r="F1465" s="2763" t="s">
        <v>819</v>
      </c>
      <c r="G1465" s="2433">
        <v>4.0960648148148149E-2</v>
      </c>
      <c r="H1465" s="2434">
        <v>10.7</v>
      </c>
      <c r="I1465" s="2435">
        <f t="shared" si="218"/>
        <v>3.8280979577708552E-3</v>
      </c>
      <c r="J1465" s="1310">
        <v>141</v>
      </c>
      <c r="K1465" s="2436">
        <v>71</v>
      </c>
      <c r="L1465" s="2818">
        <v>213</v>
      </c>
      <c r="M1465" s="2798">
        <v>38</v>
      </c>
      <c r="N1465" s="1223">
        <f t="shared" si="219"/>
        <v>1.0514813781559493</v>
      </c>
      <c r="O1465" s="2437" t="s">
        <v>953</v>
      </c>
      <c r="P1465" s="1519">
        <f>IFERROR(VLOOKUP(F1465,Trainingsarten!$A$9:$N$84,12,FALSE),"")</f>
        <v>194.60000000000002</v>
      </c>
      <c r="Q1465" s="2438" t="s">
        <v>437</v>
      </c>
      <c r="R1465" s="2439">
        <f>IFERROR(VLOOKUP(F1465,Trainingsarten!$A$9:$N$84,14,FALSE),"")</f>
        <v>212.96</v>
      </c>
      <c r="S1465" s="2440">
        <f t="shared" si="220"/>
        <v>1.5106382978723405</v>
      </c>
      <c r="T1465" s="1108">
        <f t="shared" si="221"/>
        <v>23.541274012339386</v>
      </c>
      <c r="U1465" s="1108">
        <f t="shared" si="222"/>
        <v>20.849926783583541</v>
      </c>
      <c r="V1465" s="1108">
        <f t="shared" si="223"/>
        <v>3.9952679183806836</v>
      </c>
      <c r="W1465" s="3285">
        <f t="shared" si="224"/>
        <v>1.12908185513989</v>
      </c>
      <c r="X1465" s="3300"/>
      <c r="Y1465" s="3316"/>
      <c r="AA1465" s="3301"/>
      <c r="AB1465" s="3409"/>
      <c r="AE1465" s="1056"/>
    </row>
    <row r="1466" spans="2:31" ht="16" thickBot="1" x14ac:dyDescent="0.25">
      <c r="B1466" s="2986">
        <v>1</v>
      </c>
      <c r="C1466" s="2399">
        <v>44564</v>
      </c>
      <c r="D1466" s="2292"/>
      <c r="E1466" s="2293"/>
      <c r="F1466" s="2776"/>
      <c r="G1466" s="2400"/>
      <c r="H1466" s="2401" t="str">
        <f>IFERROR(VLOOKUP(F1466,Trainingsarten!$A$9:$K$84,10,FALSE),"")</f>
        <v/>
      </c>
      <c r="I1466" s="2402" t="str">
        <f t="shared" si="218"/>
        <v/>
      </c>
      <c r="J1466" s="2403"/>
      <c r="K1466" s="2404" t="str">
        <f>IFERROR(VLOOKUP(F1466,Trainingsarten!$A$9:$K$84,11,FALSE),"0")</f>
        <v>0</v>
      </c>
      <c r="L1466" s="2815"/>
      <c r="M1466" s="2591"/>
      <c r="N1466" s="2296" t="str">
        <f t="shared" si="219"/>
        <v/>
      </c>
      <c r="O1466" s="2405"/>
      <c r="P1466" s="2298" t="str">
        <f>IFERROR(VLOOKUP(F1466,Trainingsarten!$A$9:$N$84,12,FALSE),"")</f>
        <v/>
      </c>
      <c r="Q1466" s="2406" t="s">
        <v>437</v>
      </c>
      <c r="R1466" s="2407" t="str">
        <f>IFERROR(VLOOKUP(F1466,Trainingsarten!$A$9:$N$84,14,FALSE),"")</f>
        <v/>
      </c>
      <c r="S1466" s="2408" t="str">
        <f t="shared" si="220"/>
        <v/>
      </c>
      <c r="T1466" s="2292">
        <f t="shared" si="221"/>
        <v>20.178234867719475</v>
      </c>
      <c r="U1466" s="2292">
        <f t="shared" si="222"/>
        <v>20.353499955402981</v>
      </c>
      <c r="V1466" s="2292">
        <f t="shared" si="223"/>
        <v>-2.6913472287558449</v>
      </c>
      <c r="W1466" s="3283">
        <f t="shared" si="224"/>
        <v>0.99138894597648886</v>
      </c>
      <c r="X1466" s="3300"/>
      <c r="Y1466" s="3316"/>
      <c r="AA1466" s="3301"/>
      <c r="AB1466" s="3409"/>
      <c r="AE1466" s="2548"/>
    </row>
    <row r="1467" spans="2:31" x14ac:dyDescent="0.2">
      <c r="B1467" s="2991" t="s">
        <v>626</v>
      </c>
      <c r="C1467" s="2409">
        <v>44565</v>
      </c>
      <c r="D1467" s="2009">
        <v>2</v>
      </c>
      <c r="E1467" s="2010" t="s">
        <v>836</v>
      </c>
      <c r="F1467" s="2777" t="s">
        <v>819</v>
      </c>
      <c r="G1467" s="2410">
        <v>4.1921296296296297E-2</v>
      </c>
      <c r="H1467" s="2411">
        <v>10.83</v>
      </c>
      <c r="I1467" s="2412">
        <f t="shared" ref="I1467:I1479" si="225">IFERROR(G1467/H1467,"")</f>
        <v>3.8708491501658628E-3</v>
      </c>
      <c r="J1467" s="2413">
        <v>149</v>
      </c>
      <c r="K1467" s="2414">
        <v>71</v>
      </c>
      <c r="L1467" s="2816">
        <v>212</v>
      </c>
      <c r="M1467" s="2840">
        <v>40</v>
      </c>
      <c r="N1467" s="2368">
        <f t="shared" ref="N1467:N1479" si="226">IFERROR((L1467/67)/(1/(I1467*24)/3.6),"")</f>
        <v>1.0582323837874339</v>
      </c>
      <c r="O1467" s="2415" t="s">
        <v>911</v>
      </c>
      <c r="P1467" s="2370">
        <f>IFERROR(VLOOKUP(F1467,Trainingsarten!$A$9:$N$84,12,FALSE),"")</f>
        <v>194.60000000000002</v>
      </c>
      <c r="Q1467" s="2432" t="s">
        <v>437</v>
      </c>
      <c r="R1467" s="2537">
        <f>IFERROR(VLOOKUP(F1467,Trainingsarten!$A$9:$N$84,14,FALSE),"")</f>
        <v>212.96</v>
      </c>
      <c r="S1467" s="2419">
        <f t="shared" ref="S1467:S1479" si="227">IFERROR(L1467/J1467,"")</f>
        <v>1.4228187919463087</v>
      </c>
      <c r="T1467" s="2009">
        <f t="shared" ref="T1467:T1479" si="228">T1466+(K1467-T1466)/7</f>
        <v>27.438487029473833</v>
      </c>
      <c r="U1467" s="2009">
        <f t="shared" ref="U1467:U1479" si="229">U1466+(K1467-U1466)/42</f>
        <v>21.559369004083862</v>
      </c>
      <c r="V1467" s="2009">
        <f t="shared" ref="V1467:V1479" si="230">U1466-T1466</f>
        <v>0.17526508768350624</v>
      </c>
      <c r="W1467" s="3284">
        <f t="shared" ref="W1467:W1479" si="231">T1467/U1467</f>
        <v>1.2726943457517854</v>
      </c>
      <c r="X1467" s="3300"/>
      <c r="Y1467" s="3316"/>
      <c r="AA1467" s="3301"/>
      <c r="AB1467" s="3409"/>
      <c r="AE1467" s="2548"/>
    </row>
    <row r="1468" spans="2:31" ht="16" thickBot="1" x14ac:dyDescent="0.25">
      <c r="B1468" s="2979">
        <f t="shared" ref="B1468" si="232">SUM(H1466:H1472)</f>
        <v>30.409999999999997</v>
      </c>
      <c r="C1468" s="2409">
        <v>44566</v>
      </c>
      <c r="D1468" s="2009"/>
      <c r="E1468" s="2010"/>
      <c r="F1468" s="2777"/>
      <c r="G1468" s="2410"/>
      <c r="H1468" s="2411" t="str">
        <f>IFERROR(VLOOKUP(F1468,Trainingsarten!$A$9:$K$84,10,FALSE),"")</f>
        <v/>
      </c>
      <c r="I1468" s="2412" t="str">
        <f t="shared" si="225"/>
        <v/>
      </c>
      <c r="J1468" s="2413"/>
      <c r="K1468" s="2414" t="str">
        <f>IFERROR(VLOOKUP(F1468,Trainingsarten!$A$9:$K$84,11,FALSE),"0")</f>
        <v>0</v>
      </c>
      <c r="L1468" s="2816"/>
      <c r="M1468" s="2840"/>
      <c r="N1468" s="2368" t="str">
        <f t="shared" si="226"/>
        <v/>
      </c>
      <c r="O1468" s="2415"/>
      <c r="P1468" s="2370" t="str">
        <f>IFERROR(VLOOKUP(F1468,Trainingsarten!$A$9:$N$84,12,FALSE),"")</f>
        <v/>
      </c>
      <c r="Q1468" s="2432" t="s">
        <v>437</v>
      </c>
      <c r="R1468" s="2537" t="str">
        <f>IFERROR(VLOOKUP(F1468,Trainingsarten!$A$9:$N$84,14,FALSE),"")</f>
        <v/>
      </c>
      <c r="S1468" s="2419" t="str">
        <f t="shared" si="227"/>
        <v/>
      </c>
      <c r="T1468" s="2009">
        <f t="shared" si="228"/>
        <v>23.518703168120428</v>
      </c>
      <c r="U1468" s="2009">
        <f t="shared" si="229"/>
        <v>21.046050694462817</v>
      </c>
      <c r="V1468" s="2009">
        <f t="shared" si="230"/>
        <v>-5.8791180253899711</v>
      </c>
      <c r="W1468" s="3284">
        <f t="shared" si="231"/>
        <v>1.1174877182210798</v>
      </c>
      <c r="X1468" s="3300"/>
      <c r="Y1468" s="3316"/>
      <c r="AA1468" s="3301"/>
      <c r="AB1468" s="3409"/>
      <c r="AE1468" s="2548"/>
    </row>
    <row r="1469" spans="2:31" x14ac:dyDescent="0.2">
      <c r="B1469" s="2992" t="s">
        <v>628</v>
      </c>
      <c r="C1469" s="2409">
        <v>44567</v>
      </c>
      <c r="D1469" s="2009">
        <v>3</v>
      </c>
      <c r="E1469" s="2010" t="s">
        <v>836</v>
      </c>
      <c r="F1469" s="2777" t="s">
        <v>819</v>
      </c>
      <c r="G1469" s="2410">
        <v>4.1273148148148149E-2</v>
      </c>
      <c r="H1469" s="2411">
        <v>10.64</v>
      </c>
      <c r="I1469" s="2412">
        <f t="shared" si="225"/>
        <v>3.8790552770815927E-3</v>
      </c>
      <c r="J1469" s="2413">
        <v>141</v>
      </c>
      <c r="K1469" s="2414">
        <v>68</v>
      </c>
      <c r="L1469" s="2816">
        <v>210</v>
      </c>
      <c r="M1469" s="2840">
        <v>39</v>
      </c>
      <c r="N1469" s="2368">
        <f t="shared" si="226"/>
        <v>1.0504713275726629</v>
      </c>
      <c r="O1469" s="2415" t="s">
        <v>1460</v>
      </c>
      <c r="P1469" s="2370">
        <f>IFERROR(VLOOKUP(F1469,Trainingsarten!$A$9:$N$84,12,FALSE),"")</f>
        <v>194.60000000000002</v>
      </c>
      <c r="Q1469" s="2432" t="s">
        <v>437</v>
      </c>
      <c r="R1469" s="2537">
        <f>IFERROR(VLOOKUP(F1469,Trainingsarten!$A$9:$N$84,14,FALSE),"")</f>
        <v>212.96</v>
      </c>
      <c r="S1469" s="2419">
        <f t="shared" si="227"/>
        <v>1.4893617021276595</v>
      </c>
      <c r="T1469" s="2009">
        <f t="shared" si="228"/>
        <v>29.873174144103224</v>
      </c>
      <c r="U1469" s="2009">
        <f t="shared" si="229"/>
        <v>22.164001868404178</v>
      </c>
      <c r="V1469" s="2009">
        <f t="shared" si="230"/>
        <v>-2.472652473657611</v>
      </c>
      <c r="W1469" s="3284">
        <f t="shared" si="231"/>
        <v>1.3478240220999453</v>
      </c>
      <c r="X1469" s="3300"/>
      <c r="Y1469" s="3316"/>
      <c r="AA1469" s="3301"/>
      <c r="AB1469" s="3409"/>
      <c r="AE1469" s="2548"/>
    </row>
    <row r="1470" spans="2:31" ht="16" thickBot="1" x14ac:dyDescent="0.25">
      <c r="B1470" s="2993">
        <f t="shared" ref="B1470" si="233">SUM(K1466:K1472)</f>
        <v>197</v>
      </c>
      <c r="C1470" s="2549">
        <v>44568</v>
      </c>
      <c r="D1470" s="2550"/>
      <c r="E1470" s="2551"/>
      <c r="F1470" s="2777"/>
      <c r="G1470" s="2552"/>
      <c r="H1470" s="2553" t="str">
        <f>IFERROR(VLOOKUP(F1470,Trainingsarten!$A$9:$K$84,10,FALSE),"")</f>
        <v/>
      </c>
      <c r="I1470" s="2554" t="str">
        <f t="shared" si="225"/>
        <v/>
      </c>
      <c r="J1470" s="2555"/>
      <c r="K1470" s="2487" t="str">
        <f>IFERROR(VLOOKUP(F1470,Trainingsarten!$A$9:$K$84,11,FALSE),"0")</f>
        <v>0</v>
      </c>
      <c r="L1470" s="2816"/>
      <c r="M1470" s="2840"/>
      <c r="N1470" s="2556" t="str">
        <f t="shared" si="226"/>
        <v/>
      </c>
      <c r="O1470" s="2557"/>
      <c r="P1470" s="2558" t="str">
        <f>IFERROR(VLOOKUP(F1470,Trainingsarten!$A$9:$N$84,12,FALSE),"")</f>
        <v/>
      </c>
      <c r="Q1470" s="2559" t="s">
        <v>437</v>
      </c>
      <c r="R1470" s="2560" t="str">
        <f>IFERROR(VLOOKUP(F1470,Trainingsarten!$A$9:$N$84,14,FALSE),"")</f>
        <v/>
      </c>
      <c r="S1470" s="2561" t="str">
        <f t="shared" si="227"/>
        <v/>
      </c>
      <c r="T1470" s="2550">
        <f t="shared" si="228"/>
        <v>25.605577837802763</v>
      </c>
      <c r="U1470" s="2550">
        <f t="shared" si="229"/>
        <v>21.63628753820408</v>
      </c>
      <c r="V1470" s="2550">
        <f t="shared" si="230"/>
        <v>-7.7091722756990464</v>
      </c>
      <c r="W1470" s="3284">
        <f t="shared" si="231"/>
        <v>1.1834552389170252</v>
      </c>
      <c r="X1470" s="3300"/>
      <c r="Y1470" s="3316"/>
      <c r="AA1470" s="3301"/>
      <c r="AB1470" s="3409"/>
      <c r="AE1470" s="2548"/>
    </row>
    <row r="1471" spans="2:31" x14ac:dyDescent="0.2">
      <c r="B1471" s="2994" t="s">
        <v>761</v>
      </c>
      <c r="C1471" s="2441">
        <v>44569</v>
      </c>
      <c r="D1471" s="1111">
        <v>4</v>
      </c>
      <c r="E1471" s="1112" t="s">
        <v>836</v>
      </c>
      <c r="F1471" s="2777" t="s">
        <v>819</v>
      </c>
      <c r="G1471" s="2442">
        <v>3.4097222222222223E-2</v>
      </c>
      <c r="H1471" s="2443">
        <v>8.94</v>
      </c>
      <c r="I1471" s="2444">
        <f t="shared" si="225"/>
        <v>3.8140069599801145E-3</v>
      </c>
      <c r="J1471" s="1320">
        <v>143</v>
      </c>
      <c r="K1471" s="2445">
        <v>58</v>
      </c>
      <c r="L1471" s="2819">
        <v>214</v>
      </c>
      <c r="M1471" s="1320">
        <v>28</v>
      </c>
      <c r="N1471" s="1119">
        <f t="shared" si="226"/>
        <v>1.0525292998096765</v>
      </c>
      <c r="O1471" s="2446" t="s">
        <v>953</v>
      </c>
      <c r="P1471" s="1121">
        <f>IFERROR(VLOOKUP(F1471,Trainingsarten!$A$9:$N$84,12,FALSE),"")</f>
        <v>194.60000000000002</v>
      </c>
      <c r="Q1471" s="2447" t="s">
        <v>437</v>
      </c>
      <c r="R1471" s="2448">
        <f>IFERROR(VLOOKUP(F1471,Trainingsarten!$A$9:$N$84,14,FALSE),"")</f>
        <v>212.96</v>
      </c>
      <c r="S1471" s="2449">
        <f t="shared" si="227"/>
        <v>1.4965034965034965</v>
      </c>
      <c r="T1471" s="1111">
        <f t="shared" si="228"/>
        <v>30.23335243240237</v>
      </c>
      <c r="U1471" s="1111">
        <f t="shared" si="229"/>
        <v>22.502090215865888</v>
      </c>
      <c r="V1471" s="1111">
        <f t="shared" si="230"/>
        <v>-3.9692902995986827</v>
      </c>
      <c r="W1471" s="3286">
        <f t="shared" si="231"/>
        <v>1.3435797360320458</v>
      </c>
      <c r="X1471" s="3300"/>
      <c r="Y1471" s="3316"/>
      <c r="AA1471" s="3301"/>
      <c r="AB1471" s="3409"/>
      <c r="AE1471" s="2548"/>
    </row>
    <row r="1472" spans="2:31" ht="16" thickBot="1" x14ac:dyDescent="0.25">
      <c r="B1472" s="3127">
        <f t="shared" ref="B1472" si="234">AVERAGE(W1466:W1472)</f>
        <v>1.2051655079584906</v>
      </c>
      <c r="C1472" s="1631">
        <v>44570</v>
      </c>
      <c r="D1472" s="1108"/>
      <c r="E1472" s="1261"/>
      <c r="F1472" s="2778"/>
      <c r="G1472" s="2433"/>
      <c r="H1472" s="2434" t="str">
        <f>IFERROR(VLOOKUP(F1472,Trainingsarten!$A$9:$K$84,10,FALSE),"")</f>
        <v/>
      </c>
      <c r="I1472" s="2435" t="str">
        <f t="shared" si="225"/>
        <v/>
      </c>
      <c r="J1472" s="1310"/>
      <c r="K1472" s="2436" t="str">
        <f>IFERROR(VLOOKUP(F1472,Trainingsarten!$A$9:$K$84,11,FALSE),"0")</f>
        <v>0</v>
      </c>
      <c r="L1472" s="2818"/>
      <c r="M1472" s="2798"/>
      <c r="N1472" s="1223" t="str">
        <f t="shared" si="226"/>
        <v/>
      </c>
      <c r="O1472" s="2437"/>
      <c r="P1472" s="1519" t="str">
        <f>IFERROR(VLOOKUP(F1472,Trainingsarten!$A$9:$N$84,12,FALSE),"")</f>
        <v/>
      </c>
      <c r="Q1472" s="2438" t="s">
        <v>437</v>
      </c>
      <c r="R1472" s="2439" t="str">
        <f>IFERROR(VLOOKUP(F1472,Trainingsarten!$A$9:$N$84,14,FALSE),"")</f>
        <v/>
      </c>
      <c r="S1472" s="2440" t="str">
        <f t="shared" si="227"/>
        <v/>
      </c>
      <c r="T1472" s="1108">
        <f t="shared" si="228"/>
        <v>25.914302084916315</v>
      </c>
      <c r="U1472" s="1108">
        <f t="shared" si="229"/>
        <v>21.966326163107176</v>
      </c>
      <c r="V1472" s="1108">
        <f t="shared" si="230"/>
        <v>-7.7312622165364822</v>
      </c>
      <c r="W1472" s="3285">
        <f t="shared" si="231"/>
        <v>1.1797285487110645</v>
      </c>
      <c r="X1472" s="3300"/>
      <c r="Y1472" s="3316"/>
      <c r="AA1472" s="3301"/>
      <c r="AB1472" s="3409"/>
      <c r="AE1472" s="2548"/>
    </row>
    <row r="1473" spans="2:31" ht="16" thickBot="1" x14ac:dyDescent="0.25">
      <c r="B1473" s="2986">
        <f>B1466+1</f>
        <v>2</v>
      </c>
      <c r="C1473" s="2399">
        <v>44571</v>
      </c>
      <c r="D1473" s="2292">
        <v>5</v>
      </c>
      <c r="E1473" s="2293" t="s">
        <v>836</v>
      </c>
      <c r="F1473" s="2776" t="s">
        <v>943</v>
      </c>
      <c r="G1473" s="2400">
        <v>3.1793981481481479E-2</v>
      </c>
      <c r="H1473" s="2401">
        <v>8.31</v>
      </c>
      <c r="I1473" s="2402">
        <f t="shared" si="225"/>
        <v>3.8259905513214772E-3</v>
      </c>
      <c r="J1473" s="2403">
        <v>140</v>
      </c>
      <c r="K1473" s="2404">
        <v>54</v>
      </c>
      <c r="L1473" s="2815">
        <v>212</v>
      </c>
      <c r="M1473" s="2591">
        <v>23</v>
      </c>
      <c r="N1473" s="2296">
        <f t="shared" si="226"/>
        <v>1.0459687123947048</v>
      </c>
      <c r="O1473" s="2405" t="s">
        <v>1460</v>
      </c>
      <c r="P1473" s="2298">
        <f>IFERROR(VLOOKUP(F1473,Trainingsarten!$A$9:$N$84,12,FALSE),"")</f>
        <v>194.60000000000002</v>
      </c>
      <c r="Q1473" s="2406" t="s">
        <v>437</v>
      </c>
      <c r="R1473" s="2407">
        <f>IFERROR(VLOOKUP(F1473,Trainingsarten!$A$9:$N$84,14,FALSE),"")</f>
        <v>212.96</v>
      </c>
      <c r="S1473" s="2408">
        <f t="shared" si="227"/>
        <v>1.5142857142857142</v>
      </c>
      <c r="T1473" s="2292">
        <f t="shared" si="228"/>
        <v>29.926544644213983</v>
      </c>
      <c r="U1473" s="2292">
        <f t="shared" si="229"/>
        <v>22.729032683033196</v>
      </c>
      <c r="V1473" s="2292">
        <f t="shared" si="230"/>
        <v>-3.9479759218091388</v>
      </c>
      <c r="W1473" s="3283">
        <f t="shared" si="231"/>
        <v>1.316666004292985</v>
      </c>
      <c r="X1473" s="3296"/>
      <c r="Y1473" s="3320"/>
      <c r="AA1473" s="3301"/>
      <c r="AB1473" s="3409"/>
      <c r="AE1473" s="2548"/>
    </row>
    <row r="1474" spans="2:31" x14ac:dyDescent="0.2">
      <c r="B1474" s="2991" t="s">
        <v>626</v>
      </c>
      <c r="C1474" s="2409">
        <v>44572</v>
      </c>
      <c r="D1474" s="2009">
        <v>6</v>
      </c>
      <c r="E1474" s="2010" t="s">
        <v>836</v>
      </c>
      <c r="F1474" s="2777" t="s">
        <v>819</v>
      </c>
      <c r="G1474" s="2410">
        <v>3.8599537037037036E-2</v>
      </c>
      <c r="H1474" s="2411">
        <v>10.14</v>
      </c>
      <c r="I1474" s="2412">
        <f t="shared" si="225"/>
        <v>3.8066604573014826E-3</v>
      </c>
      <c r="J1474" s="2413">
        <v>139</v>
      </c>
      <c r="K1474" s="2414">
        <v>66</v>
      </c>
      <c r="L1474" s="2816">
        <v>212</v>
      </c>
      <c r="M1474" s="2840">
        <v>39</v>
      </c>
      <c r="N1474" s="2368">
        <f t="shared" si="226"/>
        <v>1.0406841531985043</v>
      </c>
      <c r="O1474" s="2415" t="s">
        <v>911</v>
      </c>
      <c r="P1474" s="2370">
        <f>IFERROR(VLOOKUP(F1474,Trainingsarten!$A$9:$N$84,12,FALSE),"")</f>
        <v>194.60000000000002</v>
      </c>
      <c r="Q1474" s="2432" t="s">
        <v>437</v>
      </c>
      <c r="R1474" s="2537">
        <f>IFERROR(VLOOKUP(F1474,Trainingsarten!$A$9:$N$84,14,FALSE),"")</f>
        <v>212.96</v>
      </c>
      <c r="S1474" s="2419">
        <f t="shared" si="227"/>
        <v>1.525179856115108</v>
      </c>
      <c r="T1474" s="2009">
        <f t="shared" si="228"/>
        <v>35.079895409326269</v>
      </c>
      <c r="U1474" s="2009">
        <f t="shared" si="229"/>
        <v>23.759293809627643</v>
      </c>
      <c r="V1474" s="2009">
        <f t="shared" si="230"/>
        <v>-7.197511961180787</v>
      </c>
      <c r="W1474" s="3284">
        <f t="shared" si="231"/>
        <v>1.4764704578513752</v>
      </c>
      <c r="X1474" s="3296"/>
      <c r="Y1474" s="3320"/>
      <c r="AA1474" s="3301"/>
      <c r="AB1474" s="3409"/>
      <c r="AE1474" s="2548"/>
    </row>
    <row r="1475" spans="2:31" ht="16" thickBot="1" x14ac:dyDescent="0.25">
      <c r="B1475" s="2979">
        <f t="shared" ref="B1475" si="235">SUM(H1473:H1479)</f>
        <v>40.020000000000003</v>
      </c>
      <c r="C1475" s="2409">
        <v>44573</v>
      </c>
      <c r="D1475" s="2009"/>
      <c r="E1475" s="2010"/>
      <c r="F1475" s="2777"/>
      <c r="G1475" s="2410"/>
      <c r="H1475" s="2411" t="str">
        <f>IFERROR(VLOOKUP(F1475,Trainingsarten!$A$9:$K$84,10,FALSE),"")</f>
        <v/>
      </c>
      <c r="I1475" s="2412" t="str">
        <f t="shared" si="225"/>
        <v/>
      </c>
      <c r="J1475" s="2413"/>
      <c r="K1475" s="2414" t="str">
        <f>IFERROR(VLOOKUP(F1475,Trainingsarten!$A$9:$K$84,11,FALSE),"0")</f>
        <v>0</v>
      </c>
      <c r="L1475" s="2816"/>
      <c r="M1475" s="2840"/>
      <c r="N1475" s="2368" t="str">
        <f t="shared" si="226"/>
        <v/>
      </c>
      <c r="O1475" s="2415"/>
      <c r="P1475" s="2370" t="str">
        <f>IFERROR(VLOOKUP(F1475,Trainingsarten!$A$9:$N$84,12,FALSE),"")</f>
        <v/>
      </c>
      <c r="Q1475" s="2432" t="s">
        <v>437</v>
      </c>
      <c r="R1475" s="2537" t="str">
        <f>IFERROR(VLOOKUP(F1475,Trainingsarten!$A$9:$N$84,14,FALSE),"")</f>
        <v/>
      </c>
      <c r="S1475" s="2419" t="str">
        <f t="shared" si="227"/>
        <v/>
      </c>
      <c r="T1475" s="2009">
        <f t="shared" si="228"/>
        <v>30.068481779422516</v>
      </c>
      <c r="U1475" s="2009">
        <f t="shared" si="229"/>
        <v>23.19359633796984</v>
      </c>
      <c r="V1475" s="2009">
        <f t="shared" si="230"/>
        <v>-11.320601599698627</v>
      </c>
      <c r="W1475" s="3284">
        <f t="shared" si="231"/>
        <v>1.2964130849426709</v>
      </c>
      <c r="X1475" s="3296"/>
      <c r="Y1475" s="3320"/>
      <c r="AA1475" s="3301"/>
      <c r="AB1475" s="3409"/>
      <c r="AE1475" s="2548"/>
    </row>
    <row r="1476" spans="2:31" x14ac:dyDescent="0.2">
      <c r="B1476" s="2992" t="s">
        <v>628</v>
      </c>
      <c r="C1476" s="2409">
        <v>44574</v>
      </c>
      <c r="D1476" s="2009">
        <v>7</v>
      </c>
      <c r="E1476" s="2010" t="s">
        <v>836</v>
      </c>
      <c r="F1476" s="2777" t="s">
        <v>819</v>
      </c>
      <c r="G1476" s="2410">
        <v>3.7303240740740741E-2</v>
      </c>
      <c r="H1476" s="2411">
        <v>10.130000000000001</v>
      </c>
      <c r="I1476" s="2412">
        <f t="shared" si="225"/>
        <v>3.6824521955321557E-3</v>
      </c>
      <c r="J1476" s="2413">
        <v>142</v>
      </c>
      <c r="K1476" s="2414">
        <v>74</v>
      </c>
      <c r="L1476" s="2816">
        <v>219</v>
      </c>
      <c r="M1476" s="2840">
        <v>66</v>
      </c>
      <c r="N1476" s="2368">
        <f t="shared" si="226"/>
        <v>1.0399684695967348</v>
      </c>
      <c r="O1476" s="2415" t="s">
        <v>821</v>
      </c>
      <c r="P1476" s="2370">
        <f>IFERROR(VLOOKUP(F1476,Trainingsarten!$A$9:$N$84,12,FALSE),"")</f>
        <v>194.60000000000002</v>
      </c>
      <c r="Q1476" s="2432" t="s">
        <v>437</v>
      </c>
      <c r="R1476" s="2537">
        <f>IFERROR(VLOOKUP(F1476,Trainingsarten!$A$9:$N$84,14,FALSE),"")</f>
        <v>212.96</v>
      </c>
      <c r="S1476" s="2419">
        <f t="shared" si="227"/>
        <v>1.5422535211267605</v>
      </c>
      <c r="T1476" s="2009">
        <f t="shared" si="228"/>
        <v>36.34441295379073</v>
      </c>
      <c r="U1476" s="2009">
        <f t="shared" si="229"/>
        <v>24.403272615637224</v>
      </c>
      <c r="V1476" s="2009">
        <f t="shared" si="230"/>
        <v>-6.8748854414526761</v>
      </c>
      <c r="W1476" s="3284">
        <f t="shared" si="231"/>
        <v>1.4893253673895286</v>
      </c>
      <c r="X1476" s="3296"/>
      <c r="Y1476" s="3320"/>
      <c r="AA1476" s="3301"/>
      <c r="AB1476" s="3409"/>
      <c r="AE1476" s="2548"/>
    </row>
    <row r="1477" spans="2:31" ht="16" thickBot="1" x14ac:dyDescent="0.25">
      <c r="B1477" s="2993">
        <f t="shared" ref="B1477" si="236">SUM(K1473:K1479)</f>
        <v>264</v>
      </c>
      <c r="C1477" s="2562">
        <v>44575</v>
      </c>
      <c r="D1477" s="2563"/>
      <c r="E1477" s="2564"/>
      <c r="F1477" s="2777"/>
      <c r="G1477" s="2565"/>
      <c r="H1477" s="2566" t="str">
        <f>IFERROR(VLOOKUP(F1477,Trainingsarten!$A$9:$K$84,10,FALSE),"")</f>
        <v/>
      </c>
      <c r="I1477" s="2567" t="str">
        <f t="shared" si="225"/>
        <v/>
      </c>
      <c r="J1477" s="2568"/>
      <c r="K1477" s="2569" t="str">
        <f>IFERROR(VLOOKUP(F1477,Trainingsarten!$A$9:$K$84,11,FALSE),"0")</f>
        <v>0</v>
      </c>
      <c r="L1477" s="2816"/>
      <c r="M1477" s="2840"/>
      <c r="N1477" s="2570" t="str">
        <f t="shared" si="226"/>
        <v/>
      </c>
      <c r="O1477" s="2571"/>
      <c r="P1477" s="2572" t="str">
        <f>IFERROR(VLOOKUP(F1477,Trainingsarten!$A$9:$N$84,12,FALSE),"")</f>
        <v/>
      </c>
      <c r="Q1477" s="2573" t="s">
        <v>437</v>
      </c>
      <c r="R1477" s="2574" t="str">
        <f>IFERROR(VLOOKUP(F1477,Trainingsarten!$A$9:$N$84,14,FALSE),"")</f>
        <v/>
      </c>
      <c r="S1477" s="2575" t="str">
        <f t="shared" si="227"/>
        <v/>
      </c>
      <c r="T1477" s="2563">
        <f t="shared" si="228"/>
        <v>31.152353960392055</v>
      </c>
      <c r="U1477" s="2563">
        <f t="shared" si="229"/>
        <v>23.822242315264909</v>
      </c>
      <c r="V1477" s="2563">
        <f t="shared" si="230"/>
        <v>-11.941140338153506</v>
      </c>
      <c r="W1477" s="3284">
        <f t="shared" si="231"/>
        <v>1.3077003225859276</v>
      </c>
      <c r="X1477" s="3296"/>
      <c r="Y1477" s="3320"/>
      <c r="AA1477" s="3301"/>
      <c r="AB1477" s="3409"/>
      <c r="AE1477" s="2548"/>
    </row>
    <row r="1478" spans="2:31" x14ac:dyDescent="0.2">
      <c r="B1478" s="2994" t="s">
        <v>761</v>
      </c>
      <c r="C1478" s="2441">
        <v>44576</v>
      </c>
      <c r="D1478" s="1111">
        <v>8</v>
      </c>
      <c r="E1478" s="1112" t="s">
        <v>835</v>
      </c>
      <c r="F1478" s="2777" t="s">
        <v>906</v>
      </c>
      <c r="G1478" s="2442">
        <v>4.6203703703703698E-2</v>
      </c>
      <c r="H1478" s="2443">
        <v>11.44</v>
      </c>
      <c r="I1478" s="2444">
        <f t="shared" si="225"/>
        <v>4.0387852887852887E-3</v>
      </c>
      <c r="J1478" s="1320">
        <v>139</v>
      </c>
      <c r="K1478" s="2445">
        <v>70</v>
      </c>
      <c r="L1478" s="2819">
        <v>201</v>
      </c>
      <c r="M1478" s="1320">
        <v>38</v>
      </c>
      <c r="N1478" s="1119">
        <f t="shared" si="226"/>
        <v>1.0468531468531468</v>
      </c>
      <c r="O1478" s="2446" t="s">
        <v>953</v>
      </c>
      <c r="P1478" s="1121">
        <f>IFERROR(VLOOKUP(F1478,Trainingsarten!$A$9:$N$84,12,FALSE),"")</f>
        <v>194.60000000000002</v>
      </c>
      <c r="Q1478" s="2447" t="s">
        <v>437</v>
      </c>
      <c r="R1478" s="2448">
        <f>IFERROR(VLOOKUP(F1478,Trainingsarten!$A$9:$N$84,14,FALSE),"")</f>
        <v>212.96</v>
      </c>
      <c r="S1478" s="2449">
        <f t="shared" si="227"/>
        <v>1.4460431654676258</v>
      </c>
      <c r="T1478" s="1111">
        <f t="shared" si="228"/>
        <v>36.702017680336048</v>
      </c>
      <c r="U1478" s="1111">
        <f t="shared" si="229"/>
        <v>24.921712736330029</v>
      </c>
      <c r="V1478" s="1111">
        <f t="shared" si="230"/>
        <v>-7.3301116451271469</v>
      </c>
      <c r="W1478" s="3286">
        <f t="shared" si="231"/>
        <v>1.4726924296351867</v>
      </c>
      <c r="X1478" s="3296"/>
      <c r="Y1478" s="3320"/>
      <c r="AA1478" s="3301"/>
      <c r="AB1478" s="3409"/>
      <c r="AE1478" s="2548"/>
    </row>
    <row r="1479" spans="2:31" ht="16" thickBot="1" x14ac:dyDescent="0.25">
      <c r="B1479" s="3127">
        <f t="shared" ref="B1479" si="237">AVERAGE(W1473:W1479)</f>
        <v>1.3789090655103531</v>
      </c>
      <c r="C1479" s="1631">
        <v>44577</v>
      </c>
      <c r="D1479" s="1108"/>
      <c r="E1479" s="1261"/>
      <c r="F1479" s="2778"/>
      <c r="G1479" s="2433"/>
      <c r="H1479" s="2434" t="str">
        <f>IFERROR(VLOOKUP(F1479,Trainingsarten!$A$9:$K$84,10,FALSE),"")</f>
        <v/>
      </c>
      <c r="I1479" s="2435" t="str">
        <f t="shared" si="225"/>
        <v/>
      </c>
      <c r="J1479" s="1310"/>
      <c r="K1479" s="2436" t="str">
        <f>IFERROR(VLOOKUP(F1479,Trainingsarten!$A$9:$K$84,11,FALSE),"0")</f>
        <v>0</v>
      </c>
      <c r="L1479" s="2818"/>
      <c r="M1479" s="2798"/>
      <c r="N1479" s="1223" t="str">
        <f t="shared" si="226"/>
        <v/>
      </c>
      <c r="O1479" s="2437"/>
      <c r="P1479" s="1519" t="str">
        <f>IFERROR(VLOOKUP(F1479,Trainingsarten!$A$9:$N$84,12,FALSE),"")</f>
        <v/>
      </c>
      <c r="Q1479" s="2438" t="s">
        <v>437</v>
      </c>
      <c r="R1479" s="2439" t="str">
        <f>IFERROR(VLOOKUP(F1479,Trainingsarten!$A$9:$N$84,14,FALSE),"")</f>
        <v/>
      </c>
      <c r="S1479" s="2440" t="str">
        <f t="shared" si="227"/>
        <v/>
      </c>
      <c r="T1479" s="1108">
        <f t="shared" si="228"/>
        <v>31.458872297430901</v>
      </c>
      <c r="U1479" s="1108">
        <f t="shared" si="229"/>
        <v>24.328338623560267</v>
      </c>
      <c r="V1479" s="1108">
        <f t="shared" si="230"/>
        <v>-11.780304944006019</v>
      </c>
      <c r="W1479" s="3285">
        <f t="shared" si="231"/>
        <v>1.2930957918747981</v>
      </c>
      <c r="X1479" s="3296"/>
      <c r="Y1479" s="3320"/>
      <c r="AA1479" s="3301"/>
      <c r="AB1479" s="3409"/>
      <c r="AE1479" s="2548"/>
    </row>
    <row r="1480" spans="2:31" ht="16" thickBot="1" x14ac:dyDescent="0.25">
      <c r="B1480" s="2986">
        <f t="shared" ref="B1480" si="238">B1473+1</f>
        <v>3</v>
      </c>
      <c r="C1480" s="2399">
        <v>44578</v>
      </c>
      <c r="D1480" s="2292">
        <v>9</v>
      </c>
      <c r="E1480" s="2293" t="s">
        <v>836</v>
      </c>
      <c r="F1480" s="2776" t="s">
        <v>819</v>
      </c>
      <c r="G1480" s="2400">
        <v>3.8622685185185184E-2</v>
      </c>
      <c r="H1480" s="2401">
        <v>10.14</v>
      </c>
      <c r="I1480" s="2402">
        <f t="shared" ref="I1480:I1543" si="239">IFERROR(G1480/H1480,"")</f>
        <v>3.8089433121484399E-3</v>
      </c>
      <c r="J1480" s="2403">
        <v>143</v>
      </c>
      <c r="K1480" s="2404">
        <v>66</v>
      </c>
      <c r="L1480" s="2815">
        <v>214</v>
      </c>
      <c r="M1480" s="2591">
        <v>61</v>
      </c>
      <c r="N1480" s="2296">
        <f t="shared" ref="N1480:N1543" si="240">IFERROR((L1480/67)/(1/(I1480*24)/3.6),"")</f>
        <v>1.0511319143925342</v>
      </c>
      <c r="O1480" s="2405" t="s">
        <v>911</v>
      </c>
      <c r="P1480" s="2298">
        <f>IFERROR(VLOOKUP(F1480,Trainingsarten!$A$9:$N$84,12,FALSE),"")</f>
        <v>194.60000000000002</v>
      </c>
      <c r="Q1480" s="2406" t="s">
        <v>437</v>
      </c>
      <c r="R1480" s="2407">
        <f>IFERROR(VLOOKUP(F1480,Trainingsarten!$A$9:$N$84,14,FALSE),"")</f>
        <v>212.96</v>
      </c>
      <c r="S1480" s="2408">
        <f t="shared" ref="S1480:S1543" si="241">IFERROR(L1480/J1480,"")</f>
        <v>1.4965034965034965</v>
      </c>
      <c r="T1480" s="2292">
        <f t="shared" ref="T1480:T1543" si="242">T1479+(K1480-T1479)/7</f>
        <v>36.393319112083631</v>
      </c>
      <c r="U1480" s="2292">
        <f t="shared" ref="U1480:U1543" si="243">U1479+(K1480-U1479)/42</f>
        <v>25.320521037285022</v>
      </c>
      <c r="V1480" s="2292">
        <f t="shared" ref="V1480:V1543" si="244">U1479-T1479</f>
        <v>-7.1305336738706337</v>
      </c>
      <c r="W1480" s="3283">
        <f t="shared" ref="W1480:W1543" si="245">T1480/U1480</f>
        <v>1.437305301043911</v>
      </c>
      <c r="X1480" s="3296"/>
      <c r="Y1480" s="3320"/>
      <c r="AA1480" s="3301"/>
      <c r="AB1480" s="3409"/>
      <c r="AE1480" s="2548"/>
    </row>
    <row r="1481" spans="2:31" x14ac:dyDescent="0.2">
      <c r="B1481" s="2991" t="s">
        <v>626</v>
      </c>
      <c r="C1481" s="2409">
        <v>44579</v>
      </c>
      <c r="D1481" s="2009">
        <v>10</v>
      </c>
      <c r="E1481" s="2010" t="s">
        <v>836</v>
      </c>
      <c r="F1481" s="2777" t="s">
        <v>819</v>
      </c>
      <c r="G1481" s="2410">
        <v>3.8912037037037037E-2</v>
      </c>
      <c r="H1481" s="2411">
        <v>10.44</v>
      </c>
      <c r="I1481" s="2412">
        <f t="shared" si="239"/>
        <v>3.7272066127430115E-3</v>
      </c>
      <c r="J1481" s="2413">
        <v>142</v>
      </c>
      <c r="K1481" s="2414">
        <v>68</v>
      </c>
      <c r="L1481" s="2816">
        <v>216</v>
      </c>
      <c r="M1481" s="2840">
        <v>19</v>
      </c>
      <c r="N1481" s="2368">
        <f t="shared" si="240"/>
        <v>1.0381883685023161</v>
      </c>
      <c r="O1481" s="2415" t="s">
        <v>1460</v>
      </c>
      <c r="P1481" s="2370">
        <f>IFERROR(VLOOKUP(F1481,Trainingsarten!$A$9:$N$84,12,FALSE),"")</f>
        <v>194.60000000000002</v>
      </c>
      <c r="Q1481" s="2432" t="s">
        <v>437</v>
      </c>
      <c r="R1481" s="2537">
        <f>IFERROR(VLOOKUP(F1481,Trainingsarten!$A$9:$N$84,14,FALSE),"")</f>
        <v>212.96</v>
      </c>
      <c r="S1481" s="2419">
        <f t="shared" si="241"/>
        <v>1.5211267605633803</v>
      </c>
      <c r="T1481" s="2009">
        <f t="shared" si="242"/>
        <v>40.908559238928824</v>
      </c>
      <c r="U1481" s="2009">
        <f t="shared" si="243"/>
        <v>26.336699107825854</v>
      </c>
      <c r="V1481" s="2009">
        <f t="shared" si="244"/>
        <v>-11.072798074798609</v>
      </c>
      <c r="W1481" s="3284">
        <f t="shared" si="245"/>
        <v>1.5532910586647131</v>
      </c>
      <c r="X1481" s="3296"/>
      <c r="Y1481" s="3320"/>
      <c r="AA1481" s="3301"/>
      <c r="AB1481" s="3409"/>
      <c r="AE1481" s="2548"/>
    </row>
    <row r="1482" spans="2:31" ht="16" thickBot="1" x14ac:dyDescent="0.25">
      <c r="B1482" s="2979">
        <f t="shared" ref="B1482" si="246">SUM(H1480:H1486)</f>
        <v>43.65</v>
      </c>
      <c r="C1482" s="2409">
        <v>44580</v>
      </c>
      <c r="D1482" s="2009"/>
      <c r="E1482" s="2010"/>
      <c r="F1482" s="2789"/>
      <c r="G1482" s="2410"/>
      <c r="H1482" s="2411" t="str">
        <f>IFERROR(VLOOKUP(F1482,Trainingsarten!$A$9:$K$84,10,FALSE),"")</f>
        <v/>
      </c>
      <c r="I1482" s="2412" t="str">
        <f t="shared" si="239"/>
        <v/>
      </c>
      <c r="J1482" s="2413"/>
      <c r="K1482" s="2414" t="str">
        <f>IFERROR(VLOOKUP(F1482,Trainingsarten!$A$9:$K$84,11,FALSE),"0")</f>
        <v>0</v>
      </c>
      <c r="L1482" s="2816"/>
      <c r="M1482" s="2840"/>
      <c r="N1482" s="2368" t="str">
        <f t="shared" si="240"/>
        <v/>
      </c>
      <c r="O1482" s="2415"/>
      <c r="P1482" s="2370" t="str">
        <f>IFERROR(VLOOKUP(F1482,Trainingsarten!$A$9:$N$84,12,FALSE),"")</f>
        <v/>
      </c>
      <c r="Q1482" s="2432" t="s">
        <v>437</v>
      </c>
      <c r="R1482" s="2537" t="str">
        <f>IFERROR(VLOOKUP(F1482,Trainingsarten!$A$9:$N$84,14,FALSE),"")</f>
        <v/>
      </c>
      <c r="S1482" s="2419" t="str">
        <f t="shared" si="241"/>
        <v/>
      </c>
      <c r="T1482" s="2009">
        <f t="shared" si="242"/>
        <v>35.064479347653275</v>
      </c>
      <c r="U1482" s="2009">
        <f t="shared" si="243"/>
        <v>25.709634843353811</v>
      </c>
      <c r="V1482" s="2009">
        <f t="shared" si="244"/>
        <v>-14.571860131102969</v>
      </c>
      <c r="W1482" s="3284">
        <f t="shared" si="245"/>
        <v>1.3638653198031625</v>
      </c>
      <c r="X1482" s="3296"/>
      <c r="Y1482" s="3320"/>
      <c r="AA1482" s="3301"/>
      <c r="AB1482" s="3409"/>
      <c r="AE1482" s="2548"/>
    </row>
    <row r="1483" spans="2:31" x14ac:dyDescent="0.2">
      <c r="B1483" s="2992" t="s">
        <v>628</v>
      </c>
      <c r="C1483" s="2409">
        <v>44581</v>
      </c>
      <c r="D1483" s="2009">
        <v>11</v>
      </c>
      <c r="E1483" s="2010" t="s">
        <v>836</v>
      </c>
      <c r="F1483" s="2789" t="s">
        <v>927</v>
      </c>
      <c r="G1483" s="2410">
        <v>3.7962962962962962E-2</v>
      </c>
      <c r="H1483" s="2411">
        <v>10.65</v>
      </c>
      <c r="I1483" s="2412">
        <f t="shared" si="239"/>
        <v>3.5645974613110762E-3</v>
      </c>
      <c r="J1483" s="2413">
        <v>151</v>
      </c>
      <c r="K1483" s="2414">
        <v>75</v>
      </c>
      <c r="L1483" s="2816">
        <v>224</v>
      </c>
      <c r="M1483" s="2840">
        <v>48</v>
      </c>
      <c r="N1483" s="2368">
        <f t="shared" si="240"/>
        <v>1.029668558615374</v>
      </c>
      <c r="O1483" s="2415" t="s">
        <v>821</v>
      </c>
      <c r="P1483" s="2370">
        <f>IFERROR(VLOOKUP(F1483,Trainingsarten!$A$9:$N$84,12,FALSE),"")</f>
        <v>229.68</v>
      </c>
      <c r="Q1483" s="2432" t="s">
        <v>437</v>
      </c>
      <c r="R1483" s="2537">
        <f>IFERROR(VLOOKUP(F1483,Trainingsarten!$A$9:$N$84,14,FALSE),"")</f>
        <v>247.95</v>
      </c>
      <c r="S1483" s="2419">
        <f t="shared" si="241"/>
        <v>1.4834437086092715</v>
      </c>
      <c r="T1483" s="2009">
        <f t="shared" si="242"/>
        <v>40.769553726559948</v>
      </c>
      <c r="U1483" s="2009">
        <f t="shared" si="243"/>
        <v>26.883214966131103</v>
      </c>
      <c r="V1483" s="2009">
        <f t="shared" si="244"/>
        <v>-9.3548445042994643</v>
      </c>
      <c r="W1483" s="3284">
        <f t="shared" si="245"/>
        <v>1.5165430837763858</v>
      </c>
      <c r="X1483" s="3296"/>
      <c r="Y1483" s="3320"/>
      <c r="AA1483" s="3301"/>
      <c r="AB1483" s="3409"/>
      <c r="AE1483" s="2548"/>
    </row>
    <row r="1484" spans="2:31" ht="16" thickBot="1" x14ac:dyDescent="0.25">
      <c r="B1484" s="2993">
        <f t="shared" ref="B1484" si="247">SUM(K1480:K1486)</f>
        <v>288</v>
      </c>
      <c r="C1484" s="2562">
        <v>44582</v>
      </c>
      <c r="D1484" s="2563"/>
      <c r="E1484" s="2564"/>
      <c r="F1484" s="2789"/>
      <c r="G1484" s="2565"/>
      <c r="H1484" s="2566" t="str">
        <f>IFERROR(VLOOKUP(F1484,Trainingsarten!$A$9:$K$84,10,FALSE),"")</f>
        <v/>
      </c>
      <c r="I1484" s="2567" t="str">
        <f t="shared" si="239"/>
        <v/>
      </c>
      <c r="J1484" s="2568"/>
      <c r="K1484" s="2569" t="str">
        <f>IFERROR(VLOOKUP(F1484,Trainingsarten!$A$9:$K$84,11,FALSE),"0")</f>
        <v>0</v>
      </c>
      <c r="L1484" s="2816"/>
      <c r="M1484" s="2840"/>
      <c r="N1484" s="2570" t="str">
        <f t="shared" si="240"/>
        <v/>
      </c>
      <c r="O1484" s="2571"/>
      <c r="P1484" s="2572" t="str">
        <f>IFERROR(VLOOKUP(F1484,Trainingsarten!$A$9:$N$84,12,FALSE),"")</f>
        <v/>
      </c>
      <c r="Q1484" s="2573" t="s">
        <v>437</v>
      </c>
      <c r="R1484" s="2574" t="str">
        <f>IFERROR(VLOOKUP(F1484,Trainingsarten!$A$9:$N$84,14,FALSE),"")</f>
        <v/>
      </c>
      <c r="S1484" s="2575" t="str">
        <f t="shared" si="241"/>
        <v/>
      </c>
      <c r="T1484" s="2563">
        <f t="shared" si="242"/>
        <v>34.945331765622811</v>
      </c>
      <c r="U1484" s="2563">
        <f t="shared" si="243"/>
        <v>26.243138419318459</v>
      </c>
      <c r="V1484" s="2563">
        <f t="shared" si="244"/>
        <v>-13.886338760428846</v>
      </c>
      <c r="W1484" s="3284">
        <f t="shared" si="245"/>
        <v>1.3315988052670702</v>
      </c>
      <c r="X1484" s="3296"/>
      <c r="Y1484" s="3320"/>
      <c r="AA1484" s="3301"/>
      <c r="AB1484" s="3409"/>
      <c r="AE1484" s="2548"/>
    </row>
    <row r="1485" spans="2:31" x14ac:dyDescent="0.2">
      <c r="B1485" s="2994" t="s">
        <v>761</v>
      </c>
      <c r="C1485" s="2441">
        <v>44583</v>
      </c>
      <c r="D1485" s="1111">
        <v>12</v>
      </c>
      <c r="E1485" s="1112" t="s">
        <v>835</v>
      </c>
      <c r="F1485" s="2789" t="s">
        <v>906</v>
      </c>
      <c r="G1485" s="2442">
        <v>4.8148148148148141E-2</v>
      </c>
      <c r="H1485" s="2443">
        <v>12.42</v>
      </c>
      <c r="I1485" s="2444">
        <f t="shared" si="239"/>
        <v>3.8766624917993672E-3</v>
      </c>
      <c r="J1485" s="1320">
        <v>142</v>
      </c>
      <c r="K1485" s="2445">
        <v>79</v>
      </c>
      <c r="L1485" s="2819">
        <v>208</v>
      </c>
      <c r="M1485" s="1320">
        <v>50</v>
      </c>
      <c r="N1485" s="1119">
        <f t="shared" si="240"/>
        <v>1.0398250294421609</v>
      </c>
      <c r="O1485" s="2446" t="s">
        <v>953</v>
      </c>
      <c r="P1485" s="1121">
        <f>IFERROR(VLOOKUP(F1485,Trainingsarten!$A$9:$N$84,12,FALSE),"")</f>
        <v>194.60000000000002</v>
      </c>
      <c r="Q1485" s="2447" t="s">
        <v>437</v>
      </c>
      <c r="R1485" s="2448">
        <f>IFERROR(VLOOKUP(F1485,Trainingsarten!$A$9:$N$84,14,FALSE),"")</f>
        <v>212.96</v>
      </c>
      <c r="S1485" s="2449">
        <f t="shared" si="241"/>
        <v>1.4647887323943662</v>
      </c>
      <c r="T1485" s="1111">
        <f t="shared" si="242"/>
        <v>41.238855799105266</v>
      </c>
      <c r="U1485" s="1111">
        <f t="shared" si="243"/>
        <v>27.49925417123945</v>
      </c>
      <c r="V1485" s="1111">
        <f t="shared" si="244"/>
        <v>-8.7021933463043517</v>
      </c>
      <c r="W1485" s="3286">
        <f t="shared" si="245"/>
        <v>1.4996354280122843</v>
      </c>
      <c r="X1485" s="3296"/>
      <c r="Y1485" s="3320"/>
      <c r="AA1485" s="3301"/>
      <c r="AB1485" s="3409"/>
      <c r="AE1485" s="2548"/>
    </row>
    <row r="1486" spans="2:31" ht="16" thickBot="1" x14ac:dyDescent="0.25">
      <c r="B1486" s="3127">
        <f t="shared" ref="B1486" si="248">AVERAGE(W1480:W1486)</f>
        <v>1.4312845793300029</v>
      </c>
      <c r="C1486" s="1631">
        <v>44584</v>
      </c>
      <c r="D1486" s="1108"/>
      <c r="E1486" s="1261"/>
      <c r="F1486" s="2790"/>
      <c r="G1486" s="2433"/>
      <c r="H1486" s="2434" t="str">
        <f>IFERROR(VLOOKUP(F1486,Trainingsarten!$A$9:$K$84,10,FALSE),"")</f>
        <v/>
      </c>
      <c r="I1486" s="2435" t="str">
        <f t="shared" si="239"/>
        <v/>
      </c>
      <c r="J1486" s="1310"/>
      <c r="K1486" s="2436" t="str">
        <f>IFERROR(VLOOKUP(F1486,Trainingsarten!$A$9:$K$84,11,FALSE),"0")</f>
        <v>0</v>
      </c>
      <c r="L1486" s="2818"/>
      <c r="M1486" s="2798"/>
      <c r="N1486" s="1223" t="str">
        <f t="shared" si="240"/>
        <v/>
      </c>
      <c r="O1486" s="2437"/>
      <c r="P1486" s="1519" t="str">
        <f>IFERROR(VLOOKUP(F1486,Trainingsarten!$A$9:$N$84,12,FALSE),"")</f>
        <v/>
      </c>
      <c r="Q1486" s="2438" t="s">
        <v>437</v>
      </c>
      <c r="R1486" s="2439" t="str">
        <f>IFERROR(VLOOKUP(F1486,Trainingsarten!$A$9:$N$84,14,FALSE),"")</f>
        <v/>
      </c>
      <c r="S1486" s="2440" t="str">
        <f t="shared" si="241"/>
        <v/>
      </c>
      <c r="T1486" s="1108">
        <f t="shared" si="242"/>
        <v>35.34759068494737</v>
      </c>
      <c r="U1486" s="1108">
        <f t="shared" si="243"/>
        <v>26.844510024305176</v>
      </c>
      <c r="V1486" s="1108">
        <f t="shared" si="244"/>
        <v>-13.739601627865817</v>
      </c>
      <c r="W1486" s="3285">
        <f t="shared" si="245"/>
        <v>1.3167530587424936</v>
      </c>
      <c r="X1486" s="3296"/>
      <c r="Y1486" s="3320"/>
      <c r="AA1486" s="3301"/>
      <c r="AB1486" s="3409"/>
      <c r="AE1486" s="2548"/>
    </row>
    <row r="1487" spans="2:31" ht="16" thickBot="1" x14ac:dyDescent="0.25">
      <c r="B1487" s="2986">
        <f t="shared" ref="B1487" si="249">B1480+1</f>
        <v>4</v>
      </c>
      <c r="C1487" s="2399">
        <v>44585</v>
      </c>
      <c r="D1487" s="2292">
        <v>13</v>
      </c>
      <c r="E1487" s="2293" t="s">
        <v>836</v>
      </c>
      <c r="F1487" s="2847" t="s">
        <v>927</v>
      </c>
      <c r="G1487" s="2400">
        <v>3.8043981481481477E-2</v>
      </c>
      <c r="H1487" s="2401">
        <v>10.63</v>
      </c>
      <c r="I1487" s="2412">
        <f t="shared" si="239"/>
        <v>3.5789258213999504E-3</v>
      </c>
      <c r="J1487" s="2403">
        <v>148</v>
      </c>
      <c r="K1487" s="2404">
        <f>IFERROR(VLOOKUP(F1487,Trainingsarten!$A$9:$K$84,11,FALSE),"0")</f>
        <v>83.722499999999997</v>
      </c>
      <c r="L1487" s="2815">
        <v>225</v>
      </c>
      <c r="M1487" s="2591">
        <v>35</v>
      </c>
      <c r="N1487" s="2296">
        <f>IFERROR((L1487/67)/(1/(I1487*24)/3.6),"")</f>
        <v>1.0384226562390304</v>
      </c>
      <c r="O1487" s="2405" t="s">
        <v>911</v>
      </c>
      <c r="P1487" s="2298">
        <f>IFERROR(VLOOKUP(F1487,Trainingsarten!$A$9:$N$84,12,FALSE),"")</f>
        <v>229.68</v>
      </c>
      <c r="Q1487" s="2406" t="s">
        <v>437</v>
      </c>
      <c r="R1487" s="2407">
        <f>IFERROR(VLOOKUP(F1487,Trainingsarten!$A$9:$N$84,14,FALSE),"")</f>
        <v>247.95</v>
      </c>
      <c r="S1487" s="2408">
        <f t="shared" si="241"/>
        <v>1.5202702702702702</v>
      </c>
      <c r="T1487" s="2292">
        <f t="shared" si="242"/>
        <v>42.258292015669177</v>
      </c>
      <c r="U1487" s="2292">
        <f t="shared" si="243"/>
        <v>28.198747880869337</v>
      </c>
      <c r="V1487" s="2292">
        <f t="shared" si="244"/>
        <v>-8.503080660642194</v>
      </c>
      <c r="W1487" s="3283">
        <f t="shared" si="245"/>
        <v>1.4985875328293619</v>
      </c>
      <c r="X1487" s="3296"/>
      <c r="Y1487" s="3320"/>
      <c r="AA1487" s="3301"/>
      <c r="AB1487" s="3409"/>
      <c r="AE1487" s="2548"/>
    </row>
    <row r="1488" spans="2:31" x14ac:dyDescent="0.2">
      <c r="B1488" s="2991" t="s">
        <v>626</v>
      </c>
      <c r="C1488" s="2409">
        <v>44586</v>
      </c>
      <c r="D1488" s="2009">
        <v>14</v>
      </c>
      <c r="E1488" s="2010" t="s">
        <v>836</v>
      </c>
      <c r="F1488" s="2789" t="s">
        <v>943</v>
      </c>
      <c r="G1488" s="2410">
        <v>3.3680555555555554E-2</v>
      </c>
      <c r="H1488" s="2411">
        <v>8.51</v>
      </c>
      <c r="I1488" s="2412">
        <f t="shared" si="239"/>
        <v>3.957762109936023E-3</v>
      </c>
      <c r="J1488" s="2413">
        <v>133</v>
      </c>
      <c r="K1488" s="2414">
        <v>54</v>
      </c>
      <c r="L1488" s="2816">
        <v>206</v>
      </c>
      <c r="M1488" s="2840">
        <v>24</v>
      </c>
      <c r="N1488" s="2368">
        <f t="shared" si="240"/>
        <v>1.0513706438430643</v>
      </c>
      <c r="O1488" s="2415" t="s">
        <v>1460</v>
      </c>
      <c r="P1488" s="2370">
        <f>IFERROR(VLOOKUP(F1488,Trainingsarten!$A$9:$N$84,12,FALSE),"")</f>
        <v>194.60000000000002</v>
      </c>
      <c r="Q1488" s="2432" t="s">
        <v>437</v>
      </c>
      <c r="R1488" s="2537">
        <f>IFERROR(VLOOKUP(F1488,Trainingsarten!$A$9:$N$84,14,FALSE),"")</f>
        <v>212.96</v>
      </c>
      <c r="S1488" s="2419">
        <f t="shared" si="241"/>
        <v>1.5488721804511278</v>
      </c>
      <c r="T1488" s="2009">
        <f t="shared" si="242"/>
        <v>43.935678870573582</v>
      </c>
      <c r="U1488" s="2009">
        <f t="shared" si="243"/>
        <v>28.813063407515305</v>
      </c>
      <c r="V1488" s="2009">
        <f t="shared" si="244"/>
        <v>-14.05954413479984</v>
      </c>
      <c r="W1488" s="3284">
        <f t="shared" si="245"/>
        <v>1.5248527464495099</v>
      </c>
      <c r="X1488" s="3296"/>
      <c r="Y1488" s="3320"/>
      <c r="AA1488" s="3301"/>
      <c r="AB1488" s="3409"/>
      <c r="AE1488" s="2548"/>
    </row>
    <row r="1489" spans="2:31" ht="16" thickBot="1" x14ac:dyDescent="0.25">
      <c r="B1489" s="2979">
        <f t="shared" ref="B1489" si="250">SUM(H1487:H1493)</f>
        <v>48.040000000000006</v>
      </c>
      <c r="C1489" s="2409">
        <v>44587</v>
      </c>
      <c r="D1489" s="2009"/>
      <c r="E1489" s="2010"/>
      <c r="F1489" s="2789"/>
      <c r="G1489" s="2410"/>
      <c r="H1489" s="2411" t="str">
        <f>IFERROR(VLOOKUP(F1489,Trainingsarten!$A$9:$K$84,10,FALSE),"")</f>
        <v/>
      </c>
      <c r="I1489" s="2412" t="str">
        <f t="shared" si="239"/>
        <v/>
      </c>
      <c r="J1489" s="2413"/>
      <c r="K1489" s="2414" t="str">
        <f>IFERROR(VLOOKUP(F1489,Trainingsarten!$A$9:$K$84,11,FALSE),"0")</f>
        <v>0</v>
      </c>
      <c r="L1489" s="2816"/>
      <c r="M1489" s="2840"/>
      <c r="N1489" s="2368" t="str">
        <f t="shared" si="240"/>
        <v/>
      </c>
      <c r="O1489" s="2415"/>
      <c r="P1489" s="2370" t="str">
        <f>IFERROR(VLOOKUP(F1489,Trainingsarten!$A$9:$N$84,12,FALSE),"")</f>
        <v/>
      </c>
      <c r="Q1489" s="2432" t="s">
        <v>437</v>
      </c>
      <c r="R1489" s="2537" t="str">
        <f>IFERROR(VLOOKUP(F1489,Trainingsarten!$A$9:$N$84,14,FALSE),"")</f>
        <v/>
      </c>
      <c r="S1489" s="2419" t="str">
        <f t="shared" si="241"/>
        <v/>
      </c>
      <c r="T1489" s="2009">
        <f t="shared" si="242"/>
        <v>37.659153317634498</v>
      </c>
      <c r="U1489" s="2009">
        <f t="shared" si="243"/>
        <v>28.127038088288749</v>
      </c>
      <c r="V1489" s="2009">
        <f t="shared" si="244"/>
        <v>-15.122615463058278</v>
      </c>
      <c r="W1489" s="3284">
        <f t="shared" si="245"/>
        <v>1.3388950944434719</v>
      </c>
      <c r="X1489" s="3296"/>
      <c r="Y1489" s="3320"/>
      <c r="AA1489" s="3301"/>
      <c r="AB1489" s="3409"/>
      <c r="AE1489" s="2548"/>
    </row>
    <row r="1490" spans="2:31" x14ac:dyDescent="0.2">
      <c r="B1490" s="2992" t="s">
        <v>628</v>
      </c>
      <c r="C1490" s="2409">
        <v>44588</v>
      </c>
      <c r="D1490" s="2009">
        <v>15</v>
      </c>
      <c r="E1490" s="2010" t="s">
        <v>836</v>
      </c>
      <c r="F1490" s="2789" t="s">
        <v>927</v>
      </c>
      <c r="G1490" s="2410">
        <v>4.3078703703703702E-2</v>
      </c>
      <c r="H1490" s="2411">
        <v>12.74</v>
      </c>
      <c r="I1490" s="2412">
        <f t="shared" si="239"/>
        <v>3.3813739170882027E-3</v>
      </c>
      <c r="J1490" s="2413">
        <v>150</v>
      </c>
      <c r="K1490" s="2414">
        <v>92</v>
      </c>
      <c r="L1490" s="2816">
        <v>236</v>
      </c>
      <c r="M1490" s="2840">
        <v>54</v>
      </c>
      <c r="N1490" s="2368">
        <f t="shared" si="240"/>
        <v>1.0290681599850042</v>
      </c>
      <c r="O1490" s="2415" t="s">
        <v>1463</v>
      </c>
      <c r="P1490" s="2370">
        <f>IFERROR(VLOOKUP(F1490,Trainingsarten!$A$9:$N$84,12,FALSE),"")</f>
        <v>229.68</v>
      </c>
      <c r="Q1490" s="2432" t="s">
        <v>437</v>
      </c>
      <c r="R1490" s="2537">
        <f>IFERROR(VLOOKUP(F1490,Trainingsarten!$A$9:$N$84,14,FALSE),"")</f>
        <v>247.95</v>
      </c>
      <c r="S1490" s="2419">
        <f t="shared" si="241"/>
        <v>1.5733333333333333</v>
      </c>
      <c r="T1490" s="2009">
        <f t="shared" si="242"/>
        <v>45.422131415115281</v>
      </c>
      <c r="U1490" s="2009">
        <f t="shared" si="243"/>
        <v>29.647822895710448</v>
      </c>
      <c r="V1490" s="2009">
        <f t="shared" si="244"/>
        <v>-9.5321152293457487</v>
      </c>
      <c r="W1490" s="3284">
        <f t="shared" si="245"/>
        <v>1.5320562179183523</v>
      </c>
      <c r="X1490" s="3296"/>
      <c r="Y1490" s="3320"/>
      <c r="AA1490" s="3301"/>
      <c r="AB1490" s="3409"/>
      <c r="AE1490" s="2548"/>
    </row>
    <row r="1491" spans="2:31" ht="16" thickBot="1" x14ac:dyDescent="0.25">
      <c r="B1491" s="2993">
        <f t="shared" ref="B1491" si="251">SUM(K1487:K1493)</f>
        <v>337.72249999999997</v>
      </c>
      <c r="C1491" s="2562">
        <v>44589</v>
      </c>
      <c r="D1491" s="2563"/>
      <c r="E1491" s="2564"/>
      <c r="F1491" s="2789"/>
      <c r="G1491" s="2565"/>
      <c r="H1491" s="2566" t="str">
        <f>IFERROR(VLOOKUP(F1491,Trainingsarten!$A$9:$K$84,10,FALSE),"")</f>
        <v/>
      </c>
      <c r="I1491" s="2567" t="str">
        <f t="shared" si="239"/>
        <v/>
      </c>
      <c r="J1491" s="2568"/>
      <c r="K1491" s="2569" t="str">
        <f>IFERROR(VLOOKUP(F1491,Trainingsarten!$A$9:$K$84,11,FALSE),"0")</f>
        <v>0</v>
      </c>
      <c r="L1491" s="2816"/>
      <c r="M1491" s="2840"/>
      <c r="N1491" s="2570" t="str">
        <f t="shared" si="240"/>
        <v/>
      </c>
      <c r="O1491" s="2571"/>
      <c r="P1491" s="2572" t="str">
        <f>IFERROR(VLOOKUP(F1491,Trainingsarten!$A$9:$N$84,12,FALSE),"")</f>
        <v/>
      </c>
      <c r="Q1491" s="2573" t="s">
        <v>437</v>
      </c>
      <c r="R1491" s="2574" t="str">
        <f>IFERROR(VLOOKUP(F1491,Trainingsarten!$A$9:$N$84,14,FALSE),"")</f>
        <v/>
      </c>
      <c r="S1491" s="2575" t="str">
        <f t="shared" si="241"/>
        <v/>
      </c>
      <c r="T1491" s="2563">
        <f t="shared" si="242"/>
        <v>38.933255498670242</v>
      </c>
      <c r="U1491" s="2563">
        <f t="shared" si="243"/>
        <v>28.941922350574483</v>
      </c>
      <c r="V1491" s="2563">
        <f t="shared" si="244"/>
        <v>-15.774308519404833</v>
      </c>
      <c r="W1491" s="3284">
        <f t="shared" si="245"/>
        <v>1.3452200937819681</v>
      </c>
      <c r="X1491" s="3296"/>
      <c r="Y1491" s="3320"/>
      <c r="AA1491" s="3301"/>
      <c r="AB1491" s="3409"/>
      <c r="AE1491" s="2548"/>
    </row>
    <row r="1492" spans="2:31" x14ac:dyDescent="0.2">
      <c r="B1492" s="2994" t="s">
        <v>761</v>
      </c>
      <c r="C1492" s="2441">
        <v>44590</v>
      </c>
      <c r="D1492" s="1111">
        <v>16</v>
      </c>
      <c r="E1492" s="1112" t="s">
        <v>836</v>
      </c>
      <c r="F1492" s="2789" t="s">
        <v>809</v>
      </c>
      <c r="G1492" s="2442">
        <v>5.9756944444444439E-2</v>
      </c>
      <c r="H1492" s="2443">
        <v>16.16</v>
      </c>
      <c r="I1492" s="2444">
        <f t="shared" si="239"/>
        <v>3.6978307205720569E-3</v>
      </c>
      <c r="J1492" s="1320">
        <v>142</v>
      </c>
      <c r="K1492" s="2445">
        <v>108</v>
      </c>
      <c r="L1492" s="2819">
        <v>220</v>
      </c>
      <c r="M1492" s="1320">
        <v>59</v>
      </c>
      <c r="N1492" s="1119">
        <f t="shared" si="240"/>
        <v>1.0490800945766221</v>
      </c>
      <c r="O1492" s="2446" t="s">
        <v>953</v>
      </c>
      <c r="P1492" s="1121">
        <f>IFERROR(VLOOKUP(F1492,Trainingsarten!$A$9:$N$84,12,FALSE),"")</f>
        <v>194.60000000000002</v>
      </c>
      <c r="Q1492" s="2447" t="s">
        <v>437</v>
      </c>
      <c r="R1492" s="2448">
        <f>IFERROR(VLOOKUP(F1492,Trainingsarten!$A$9:$N$84,14,FALSE),"")</f>
        <v>212.96</v>
      </c>
      <c r="S1492" s="2449">
        <f t="shared" si="241"/>
        <v>1.5492957746478873</v>
      </c>
      <c r="T1492" s="1111">
        <f t="shared" si="242"/>
        <v>48.799933284574493</v>
      </c>
      <c r="U1492" s="1111">
        <f t="shared" si="243"/>
        <v>30.824257532703662</v>
      </c>
      <c r="V1492" s="1111">
        <f t="shared" si="244"/>
        <v>-9.9913331480957588</v>
      </c>
      <c r="W1492" s="3286">
        <f t="shared" si="245"/>
        <v>1.5831665444917578</v>
      </c>
      <c r="X1492" s="3296"/>
      <c r="Y1492" s="3320"/>
      <c r="AA1492" s="3301"/>
      <c r="AB1492" s="3409"/>
      <c r="AE1492" s="2548"/>
    </row>
    <row r="1493" spans="2:31" ht="16" thickBot="1" x14ac:dyDescent="0.25">
      <c r="B1493" s="3128">
        <f t="shared" ref="B1493" si="252">AVERAGE(W1487:W1493)</f>
        <v>1.4589822405163575</v>
      </c>
      <c r="C1493" s="1631">
        <v>44591</v>
      </c>
      <c r="D1493" s="1108"/>
      <c r="E1493" s="1261"/>
      <c r="F1493" s="2848"/>
      <c r="G1493" s="2433"/>
      <c r="H1493" s="2434" t="str">
        <f>IFERROR(VLOOKUP(F1493,Trainingsarten!$A$9:$K$84,10,FALSE),"")</f>
        <v/>
      </c>
      <c r="I1493" s="2435" t="str">
        <f t="shared" si="239"/>
        <v/>
      </c>
      <c r="J1493" s="1310"/>
      <c r="K1493" s="2436" t="str">
        <f>IFERROR(VLOOKUP(F1493,Trainingsarten!$A$9:$K$84,11,FALSE),"0")</f>
        <v>0</v>
      </c>
      <c r="L1493" s="2818"/>
      <c r="M1493" s="2798"/>
      <c r="N1493" s="1223" t="str">
        <f t="shared" si="240"/>
        <v/>
      </c>
      <c r="O1493" s="2437"/>
      <c r="P1493" s="1519" t="str">
        <f>IFERROR(VLOOKUP(F1493,Trainingsarten!$A$9:$N$84,12,FALSE),"")</f>
        <v/>
      </c>
      <c r="Q1493" s="2438" t="s">
        <v>437</v>
      </c>
      <c r="R1493" s="2439" t="str">
        <f>IFERROR(VLOOKUP(F1493,Trainingsarten!$A$9:$N$84,14,FALSE),"")</f>
        <v/>
      </c>
      <c r="S1493" s="2440" t="str">
        <f t="shared" si="241"/>
        <v/>
      </c>
      <c r="T1493" s="1108">
        <f t="shared" si="242"/>
        <v>41.828514243920992</v>
      </c>
      <c r="U1493" s="1108">
        <f t="shared" si="243"/>
        <v>30.09034663906786</v>
      </c>
      <c r="V1493" s="1108">
        <f t="shared" si="244"/>
        <v>-17.975675751870831</v>
      </c>
      <c r="W1493" s="3285">
        <f t="shared" si="245"/>
        <v>1.3900974537000801</v>
      </c>
      <c r="X1493" s="3296"/>
      <c r="Y1493" s="3320"/>
      <c r="AA1493" s="3301"/>
      <c r="AB1493" s="3409"/>
      <c r="AE1493" s="2548"/>
    </row>
    <row r="1494" spans="2:31" ht="16" thickBot="1" x14ac:dyDescent="0.25">
      <c r="B1494" s="2986">
        <f t="shared" ref="B1494" si="253">B1487+1</f>
        <v>5</v>
      </c>
      <c r="C1494" s="2399">
        <v>44592</v>
      </c>
      <c r="D1494" s="2292">
        <v>17</v>
      </c>
      <c r="E1494" s="2293" t="s">
        <v>836</v>
      </c>
      <c r="F1494" s="2793" t="s">
        <v>943</v>
      </c>
      <c r="G1494" s="2400">
        <v>3.1099537037037037E-2</v>
      </c>
      <c r="H1494" s="2401">
        <v>7.84</v>
      </c>
      <c r="I1494" s="2402">
        <f t="shared" si="239"/>
        <v>3.9667776832955403E-3</v>
      </c>
      <c r="J1494" s="2403">
        <v>133</v>
      </c>
      <c r="K1494" s="2404">
        <v>49</v>
      </c>
      <c r="L1494" s="2815">
        <v>206</v>
      </c>
      <c r="M1494" s="2591">
        <v>33</v>
      </c>
      <c r="N1494" s="2296">
        <f t="shared" si="240"/>
        <v>1.0537656107219007</v>
      </c>
      <c r="O1494" s="2405" t="s">
        <v>911</v>
      </c>
      <c r="P1494" s="2298">
        <f>IFERROR(VLOOKUP(F1494,Trainingsarten!$A$9:$N$84,12,FALSE),"")</f>
        <v>194.60000000000002</v>
      </c>
      <c r="Q1494" s="2406" t="s">
        <v>437</v>
      </c>
      <c r="R1494" s="2407">
        <f>IFERROR(VLOOKUP(F1494,Trainingsarten!$A$9:$N$84,14,FALSE),"")</f>
        <v>212.96</v>
      </c>
      <c r="S1494" s="2408">
        <f t="shared" si="241"/>
        <v>1.5488721804511278</v>
      </c>
      <c r="T1494" s="2292">
        <f t="shared" si="242"/>
        <v>42.853012209075139</v>
      </c>
      <c r="U1494" s="2292">
        <f t="shared" si="243"/>
        <v>30.540576480994815</v>
      </c>
      <c r="V1494" s="2292">
        <f t="shared" si="244"/>
        <v>-11.738167604853132</v>
      </c>
      <c r="W1494" s="3283">
        <f t="shared" si="245"/>
        <v>1.4031500759568918</v>
      </c>
      <c r="X1494" s="3296"/>
      <c r="Y1494" s="3320"/>
      <c r="AA1494" s="3301"/>
      <c r="AB1494" s="3409"/>
      <c r="AE1494" s="2548"/>
    </row>
    <row r="1495" spans="2:31" x14ac:dyDescent="0.2">
      <c r="B1495" s="2991" t="s">
        <v>626</v>
      </c>
      <c r="C1495" s="2409">
        <v>44593</v>
      </c>
      <c r="D1495" s="2009"/>
      <c r="E1495" s="2010"/>
      <c r="F1495" s="2789"/>
      <c r="G1495" s="2410"/>
      <c r="H1495" s="2411" t="str">
        <f>IFERROR(VLOOKUP(F1495,Trainingsarten!$A$9:$K$84,10,FALSE),"")</f>
        <v/>
      </c>
      <c r="I1495" s="2412" t="str">
        <f t="shared" si="239"/>
        <v/>
      </c>
      <c r="J1495" s="2413"/>
      <c r="K1495" s="2414" t="str">
        <f>IFERROR(VLOOKUP(F1495,Trainingsarten!$A$9:$K$84,11,FALSE),"0")</f>
        <v>0</v>
      </c>
      <c r="L1495" s="2816"/>
      <c r="M1495" s="2840"/>
      <c r="N1495" s="2368" t="str">
        <f t="shared" si="240"/>
        <v/>
      </c>
      <c r="O1495" s="2415"/>
      <c r="P1495" s="2370" t="str">
        <f>IFERROR(VLOOKUP(F1495,Trainingsarten!$A$9:$N$84,12,FALSE),"")</f>
        <v/>
      </c>
      <c r="Q1495" s="2432" t="s">
        <v>437</v>
      </c>
      <c r="R1495" s="2537" t="str">
        <f>IFERROR(VLOOKUP(F1495,Trainingsarten!$A$9:$N$84,14,FALSE),"")</f>
        <v/>
      </c>
      <c r="S1495" s="2419" t="str">
        <f t="shared" si="241"/>
        <v/>
      </c>
      <c r="T1495" s="2009">
        <f t="shared" si="242"/>
        <v>36.731153322064408</v>
      </c>
      <c r="U1495" s="2009">
        <f t="shared" si="243"/>
        <v>29.813419898113985</v>
      </c>
      <c r="V1495" s="2009">
        <f t="shared" si="244"/>
        <v>-12.312435728080324</v>
      </c>
      <c r="W1495" s="3284">
        <f t="shared" si="245"/>
        <v>1.2320342130353199</v>
      </c>
      <c r="X1495" s="3296"/>
      <c r="Y1495" s="3320"/>
      <c r="AA1495" s="3301"/>
      <c r="AB1495" s="3409"/>
      <c r="AE1495" s="2548"/>
    </row>
    <row r="1496" spans="2:31" ht="16" thickBot="1" x14ac:dyDescent="0.25">
      <c r="B1496" s="2979">
        <f t="shared" ref="B1496" si="254">SUM(H1494:H1500)</f>
        <v>26.16</v>
      </c>
      <c r="C1496" s="2409">
        <v>44594</v>
      </c>
      <c r="D1496" s="2009">
        <v>18</v>
      </c>
      <c r="E1496" s="2010" t="s">
        <v>836</v>
      </c>
      <c r="F1496" s="2789" t="s">
        <v>819</v>
      </c>
      <c r="G1496" s="2410">
        <v>3.4826388888888886E-2</v>
      </c>
      <c r="H1496" s="2411">
        <v>9.25</v>
      </c>
      <c r="I1496" s="2412">
        <f t="shared" si="239"/>
        <v>3.7650150150150149E-3</v>
      </c>
      <c r="J1496" s="2413">
        <v>142</v>
      </c>
      <c r="K1496" s="2414">
        <v>59</v>
      </c>
      <c r="L1496" s="2816">
        <v>214</v>
      </c>
      <c r="M1496" s="2840">
        <v>39</v>
      </c>
      <c r="N1496" s="2368">
        <f t="shared" si="240"/>
        <v>1.0390092779346511</v>
      </c>
      <c r="O1496" s="2415" t="s">
        <v>1460</v>
      </c>
      <c r="P1496" s="2370">
        <f>IFERROR(VLOOKUP(F1496,Trainingsarten!$A$9:$N$84,12,FALSE),"")</f>
        <v>194.60000000000002</v>
      </c>
      <c r="Q1496" s="2432" t="s">
        <v>437</v>
      </c>
      <c r="R1496" s="2537">
        <f>IFERROR(VLOOKUP(F1496,Trainingsarten!$A$9:$N$84,14,FALSE),"")</f>
        <v>212.96</v>
      </c>
      <c r="S1496" s="2419">
        <f t="shared" si="241"/>
        <v>1.5070422535211268</v>
      </c>
      <c r="T1496" s="2009">
        <f t="shared" si="242"/>
        <v>39.912417133198062</v>
      </c>
      <c r="U1496" s="2009">
        <f t="shared" si="243"/>
        <v>30.508338471968415</v>
      </c>
      <c r="V1496" s="2009">
        <f t="shared" si="244"/>
        <v>-6.9177334239504233</v>
      </c>
      <c r="W1496" s="3284">
        <f t="shared" si="245"/>
        <v>1.3082461757093156</v>
      </c>
      <c r="X1496" s="3296"/>
      <c r="Y1496" s="3320"/>
      <c r="AA1496" s="3301"/>
      <c r="AB1496" s="3409"/>
      <c r="AE1496" s="2548"/>
    </row>
    <row r="1497" spans="2:31" x14ac:dyDescent="0.2">
      <c r="B1497" s="2992" t="s">
        <v>628</v>
      </c>
      <c r="C1497" s="2409">
        <v>44595</v>
      </c>
      <c r="D1497" s="2009"/>
      <c r="E1497" s="2010"/>
      <c r="F1497" s="2789"/>
      <c r="G1497" s="2410"/>
      <c r="H1497" s="2411" t="str">
        <f>IFERROR(VLOOKUP(F1497,Trainingsarten!$A$9:$K$84,10,FALSE),"")</f>
        <v/>
      </c>
      <c r="I1497" s="2412" t="str">
        <f t="shared" si="239"/>
        <v/>
      </c>
      <c r="J1497" s="2413"/>
      <c r="K1497" s="2414" t="str">
        <f>IFERROR(VLOOKUP(F1497,Trainingsarten!$A$9:$K$84,11,FALSE),"0")</f>
        <v>0</v>
      </c>
      <c r="L1497" s="2816"/>
      <c r="M1497" s="2840"/>
      <c r="N1497" s="2368" t="str">
        <f t="shared" si="240"/>
        <v/>
      </c>
      <c r="O1497" s="2415"/>
      <c r="P1497" s="2370" t="str">
        <f>IFERROR(VLOOKUP(F1497,Trainingsarten!$A$9:$N$84,12,FALSE),"")</f>
        <v/>
      </c>
      <c r="Q1497" s="2432" t="s">
        <v>437</v>
      </c>
      <c r="R1497" s="2537" t="str">
        <f>IFERROR(VLOOKUP(F1497,Trainingsarten!$A$9:$N$84,14,FALSE),"")</f>
        <v/>
      </c>
      <c r="S1497" s="2419" t="str">
        <f t="shared" si="241"/>
        <v/>
      </c>
      <c r="T1497" s="2009">
        <f t="shared" si="242"/>
        <v>34.210643257026909</v>
      </c>
      <c r="U1497" s="2009">
        <f t="shared" si="243"/>
        <v>29.78194946073107</v>
      </c>
      <c r="V1497" s="2009">
        <f t="shared" si="244"/>
        <v>-9.4040786612296472</v>
      </c>
      <c r="W1497" s="3284">
        <f t="shared" si="245"/>
        <v>1.148703959159399</v>
      </c>
      <c r="X1497" s="3296"/>
      <c r="Y1497" s="3320"/>
      <c r="AA1497" s="3301"/>
      <c r="AB1497" s="3409"/>
      <c r="AE1497" s="2548"/>
    </row>
    <row r="1498" spans="2:31" ht="16" thickBot="1" x14ac:dyDescent="0.25">
      <c r="B1498" s="2993">
        <f t="shared" ref="B1498" si="255">SUM(K1494:K1500)</f>
        <v>167</v>
      </c>
      <c r="C1498" s="2562">
        <v>44596</v>
      </c>
      <c r="D1498" s="2563">
        <v>19</v>
      </c>
      <c r="E1498" s="2564" t="s">
        <v>835</v>
      </c>
      <c r="F1498" s="2789" t="s">
        <v>819</v>
      </c>
      <c r="G1498" s="2565">
        <v>3.4652777777777775E-2</v>
      </c>
      <c r="H1498" s="2566">
        <v>9.07</v>
      </c>
      <c r="I1498" s="2567">
        <f t="shared" si="239"/>
        <v>3.8205929192698758E-3</v>
      </c>
      <c r="J1498" s="2568">
        <v>139</v>
      </c>
      <c r="K1498" s="2569">
        <v>59</v>
      </c>
      <c r="L1498" s="2816">
        <v>213</v>
      </c>
      <c r="M1498" s="2840">
        <v>28</v>
      </c>
      <c r="N1498" s="2570">
        <f t="shared" si="240"/>
        <v>1.0494199345060802</v>
      </c>
      <c r="O1498" s="2571" t="s">
        <v>953</v>
      </c>
      <c r="P1498" s="2572">
        <f>IFERROR(VLOOKUP(F1498,Trainingsarten!$A$9:$N$84,12,FALSE),"")</f>
        <v>194.60000000000002</v>
      </c>
      <c r="Q1498" s="2573" t="s">
        <v>437</v>
      </c>
      <c r="R1498" s="2574">
        <f>IFERROR(VLOOKUP(F1498,Trainingsarten!$A$9:$N$84,14,FALSE),"")</f>
        <v>212.96</v>
      </c>
      <c r="S1498" s="2575">
        <f t="shared" si="241"/>
        <v>1.5323741007194245</v>
      </c>
      <c r="T1498" s="2563">
        <f t="shared" si="242"/>
        <v>37.751979934594495</v>
      </c>
      <c r="U1498" s="2563">
        <f t="shared" si="243"/>
        <v>30.477617330713663</v>
      </c>
      <c r="V1498" s="2563">
        <f t="shared" si="244"/>
        <v>-4.428693796295839</v>
      </c>
      <c r="W1498" s="3284">
        <f t="shared" si="245"/>
        <v>1.2386788483150266</v>
      </c>
      <c r="X1498" s="3296"/>
      <c r="Y1498" s="3320"/>
      <c r="AA1498" s="3301"/>
      <c r="AB1498" s="3409"/>
      <c r="AE1498" s="2548"/>
    </row>
    <row r="1499" spans="2:31" ht="16" thickBot="1" x14ac:dyDescent="0.25">
      <c r="B1499" s="2994" t="s">
        <v>761</v>
      </c>
      <c r="C1499" s="2441">
        <v>44597</v>
      </c>
      <c r="D1499" s="1111"/>
      <c r="E1499" s="1112"/>
      <c r="F1499" s="2790"/>
      <c r="G1499" s="2442"/>
      <c r="H1499" s="2443" t="str">
        <f>IFERROR(VLOOKUP(F1499,Trainingsarten!$A$9:$K$84,10,FALSE),"")</f>
        <v/>
      </c>
      <c r="I1499" s="2444" t="str">
        <f t="shared" si="239"/>
        <v/>
      </c>
      <c r="J1499" s="1320"/>
      <c r="K1499" s="2445" t="str">
        <f>IFERROR(VLOOKUP(F1499,Trainingsarten!$A$9:$K$84,11,FALSE),"0")</f>
        <v>0</v>
      </c>
      <c r="L1499" s="2819"/>
      <c r="M1499" s="1320"/>
      <c r="N1499" s="1119" t="str">
        <f t="shared" si="240"/>
        <v/>
      </c>
      <c r="O1499" s="2446"/>
      <c r="P1499" s="1121" t="str">
        <f>IFERROR(VLOOKUP(F1499,Trainingsarten!$A$9:$N$84,12,FALSE),"")</f>
        <v/>
      </c>
      <c r="Q1499" s="2447" t="s">
        <v>437</v>
      </c>
      <c r="R1499" s="2448" t="str">
        <f>IFERROR(VLOOKUP(F1499,Trainingsarten!$A$9:$N$84,14,FALSE),"")</f>
        <v/>
      </c>
      <c r="S1499" s="2449" t="str">
        <f t="shared" si="241"/>
        <v/>
      </c>
      <c r="T1499" s="1111">
        <f t="shared" si="242"/>
        <v>32.358839943938136</v>
      </c>
      <c r="U1499" s="1111">
        <f t="shared" si="243"/>
        <v>29.751959775220481</v>
      </c>
      <c r="V1499" s="1111">
        <f t="shared" si="244"/>
        <v>-7.2743626038808316</v>
      </c>
      <c r="W1499" s="3286">
        <f t="shared" si="245"/>
        <v>1.0876204521790476</v>
      </c>
      <c r="X1499" s="3296"/>
      <c r="Y1499" s="3320"/>
      <c r="AA1499" s="3301"/>
      <c r="AB1499" s="3409"/>
      <c r="AE1499" s="2548"/>
    </row>
    <row r="1500" spans="2:31" ht="16" thickBot="1" x14ac:dyDescent="0.25">
      <c r="B1500" s="3128">
        <f t="shared" ref="B1500" si="256">AVERAGE(W1494:W1500)</f>
        <v>1.1962025051463441</v>
      </c>
      <c r="C1500" s="1631">
        <v>44598</v>
      </c>
      <c r="D1500" s="1108"/>
      <c r="E1500" s="1261"/>
      <c r="F1500" s="2791"/>
      <c r="G1500" s="2433"/>
      <c r="H1500" s="2434" t="str">
        <f>IFERROR(VLOOKUP(F1500,Trainingsarten!$A$9:$K$84,10,FALSE),"")</f>
        <v/>
      </c>
      <c r="I1500" s="2435" t="str">
        <f t="shared" si="239"/>
        <v/>
      </c>
      <c r="J1500" s="1310"/>
      <c r="K1500" s="2436" t="str">
        <f>IFERROR(VLOOKUP(F1500,Trainingsarten!$A$9:$K$84,11,FALSE),"0")</f>
        <v>0</v>
      </c>
      <c r="L1500" s="2818"/>
      <c r="M1500" s="2798"/>
      <c r="N1500" s="1223" t="str">
        <f t="shared" si="240"/>
        <v/>
      </c>
      <c r="O1500" s="2437"/>
      <c r="P1500" s="1519" t="str">
        <f>IFERROR(VLOOKUP(F1500,Trainingsarten!$A$9:$N$84,12,FALSE),"")</f>
        <v/>
      </c>
      <c r="Q1500" s="2438" t="s">
        <v>437</v>
      </c>
      <c r="R1500" s="2439" t="str">
        <f>IFERROR(VLOOKUP(F1500,Trainingsarten!$A$9:$N$84,14,FALSE),"")</f>
        <v/>
      </c>
      <c r="S1500" s="2440" t="str">
        <f t="shared" si="241"/>
        <v/>
      </c>
      <c r="T1500" s="1108">
        <f t="shared" si="242"/>
        <v>27.736148523375547</v>
      </c>
      <c r="U1500" s="1108">
        <f t="shared" si="243"/>
        <v>29.043579780572376</v>
      </c>
      <c r="V1500" s="1108">
        <f t="shared" si="244"/>
        <v>-2.6068801687176553</v>
      </c>
      <c r="W1500" s="3285">
        <f t="shared" si="245"/>
        <v>0.95498381166940771</v>
      </c>
      <c r="X1500" s="3296"/>
      <c r="Y1500" s="3320"/>
      <c r="AA1500" s="3301"/>
      <c r="AB1500" s="3409"/>
      <c r="AE1500" s="2548"/>
    </row>
    <row r="1501" spans="2:31" ht="16" thickBot="1" x14ac:dyDescent="0.25">
      <c r="B1501" s="2986">
        <f t="shared" ref="B1501" si="257">B1494+1</f>
        <v>6</v>
      </c>
      <c r="C1501" s="2399">
        <v>44599</v>
      </c>
      <c r="D1501" s="2292">
        <v>20</v>
      </c>
      <c r="E1501" s="2293" t="s">
        <v>836</v>
      </c>
      <c r="F1501" s="2792" t="s">
        <v>819</v>
      </c>
      <c r="G1501" s="2400">
        <v>3.8506944444444448E-2</v>
      </c>
      <c r="H1501" s="2401">
        <v>10.130000000000001</v>
      </c>
      <c r="I1501" s="2402">
        <f t="shared" si="239"/>
        <v>3.8012778326203794E-3</v>
      </c>
      <c r="J1501" s="2403">
        <v>141</v>
      </c>
      <c r="K1501" s="2404">
        <v>65</v>
      </c>
      <c r="L1501" s="2815">
        <v>214</v>
      </c>
      <c r="M1501" s="2591">
        <v>63</v>
      </c>
      <c r="N1501" s="2296">
        <f t="shared" si="240"/>
        <v>1.0490165166271308</v>
      </c>
      <c r="O1501" s="2405" t="s">
        <v>911</v>
      </c>
      <c r="P1501" s="2298">
        <f>IFERROR(VLOOKUP(F1501,Trainingsarten!$A$9:$N$84,12,FALSE),"")</f>
        <v>194.60000000000002</v>
      </c>
      <c r="Q1501" s="2406" t="s">
        <v>437</v>
      </c>
      <c r="R1501" s="2407">
        <f>IFERROR(VLOOKUP(F1501,Trainingsarten!$A$9:$N$84,14,FALSE),"")</f>
        <v>212.96</v>
      </c>
      <c r="S1501" s="2408">
        <f t="shared" si="241"/>
        <v>1.5177304964539007</v>
      </c>
      <c r="T1501" s="2292">
        <f t="shared" si="242"/>
        <v>33.059555877179044</v>
      </c>
      <c r="U1501" s="2292">
        <f t="shared" si="243"/>
        <v>29.899685023892083</v>
      </c>
      <c r="V1501" s="2292">
        <f t="shared" si="244"/>
        <v>1.3074312571968285</v>
      </c>
      <c r="W1501" s="3283">
        <f t="shared" si="245"/>
        <v>1.1056824127331772</v>
      </c>
      <c r="X1501" s="3296"/>
      <c r="Y1501" s="3320"/>
      <c r="AA1501" s="3301"/>
      <c r="AB1501" s="3409"/>
      <c r="AE1501" s="2548"/>
    </row>
    <row r="1502" spans="2:31" x14ac:dyDescent="0.2">
      <c r="B1502" s="2991" t="s">
        <v>626</v>
      </c>
      <c r="C1502" s="2409">
        <v>44600</v>
      </c>
      <c r="D1502" s="2009">
        <v>21</v>
      </c>
      <c r="E1502" s="2010" t="s">
        <v>836</v>
      </c>
      <c r="F1502" s="2793" t="s">
        <v>918</v>
      </c>
      <c r="G1502" s="2410">
        <v>2.9942129629629628E-2</v>
      </c>
      <c r="H1502" s="2411">
        <v>7.94</v>
      </c>
      <c r="I1502" s="2412">
        <f t="shared" si="239"/>
        <v>3.7710490717417664E-3</v>
      </c>
      <c r="J1502" s="2413">
        <v>140</v>
      </c>
      <c r="K1502" s="2414">
        <v>57</v>
      </c>
      <c r="L1502" s="2816">
        <v>210</v>
      </c>
      <c r="M1502" s="2840">
        <v>26</v>
      </c>
      <c r="N1502" s="2368">
        <f t="shared" si="240"/>
        <v>1.0212226023534718</v>
      </c>
      <c r="O1502" s="2415" t="s">
        <v>1463</v>
      </c>
      <c r="P1502" s="2370">
        <f>IFERROR(VLOOKUP(F1502,Trainingsarten!$A$9:$N$84,12,FALSE),"")</f>
        <v>279.29999999999995</v>
      </c>
      <c r="Q1502" s="2432" t="s">
        <v>437</v>
      </c>
      <c r="R1502" s="2537">
        <f>IFERROR(VLOOKUP(F1502,Trainingsarten!$A$9:$N$84,14,FALSE),"")</f>
        <v>314.60000000000002</v>
      </c>
      <c r="S1502" s="2419">
        <f t="shared" si="241"/>
        <v>1.5</v>
      </c>
      <c r="T1502" s="2009">
        <f t="shared" si="242"/>
        <v>36.479619323296326</v>
      </c>
      <c r="U1502" s="2009">
        <f t="shared" si="243"/>
        <v>30.54493061856132</v>
      </c>
      <c r="V1502" s="2009">
        <f t="shared" si="244"/>
        <v>-3.1598708532869608</v>
      </c>
      <c r="W1502" s="3284">
        <f t="shared" si="245"/>
        <v>1.194293736621836</v>
      </c>
      <c r="X1502" s="3296"/>
      <c r="Y1502" s="3320"/>
      <c r="AA1502" s="3301"/>
      <c r="AB1502" s="3409"/>
      <c r="AE1502" s="2548"/>
    </row>
    <row r="1503" spans="2:31" ht="16" thickBot="1" x14ac:dyDescent="0.25">
      <c r="B1503" s="2979">
        <f t="shared" ref="B1503" si="258">SUM(H1501:H1507)</f>
        <v>59</v>
      </c>
      <c r="C1503" s="2409">
        <v>44601</v>
      </c>
      <c r="D1503" s="2009">
        <v>22</v>
      </c>
      <c r="E1503" s="2010" t="s">
        <v>836</v>
      </c>
      <c r="F1503" s="2790" t="s">
        <v>819</v>
      </c>
      <c r="G1503" s="2410">
        <v>3.9861111111111111E-2</v>
      </c>
      <c r="H1503" s="2411">
        <v>10.07</v>
      </c>
      <c r="I1503" s="2412">
        <f t="shared" si="239"/>
        <v>3.9584022950457905E-3</v>
      </c>
      <c r="J1503" s="2413">
        <v>135</v>
      </c>
      <c r="K1503" s="2414">
        <v>64</v>
      </c>
      <c r="L1503" s="2816">
        <v>207</v>
      </c>
      <c r="M1503" s="2840">
        <v>37</v>
      </c>
      <c r="N1503" s="2368">
        <f t="shared" si="240"/>
        <v>1.0566452741258949</v>
      </c>
      <c r="O1503" s="2415" t="s">
        <v>1460</v>
      </c>
      <c r="P1503" s="2370">
        <f>IFERROR(VLOOKUP(F1503,Trainingsarten!$A$9:$N$84,12,FALSE),"")</f>
        <v>194.60000000000002</v>
      </c>
      <c r="Q1503" s="2432" t="s">
        <v>437</v>
      </c>
      <c r="R1503" s="2537">
        <f>IFERROR(VLOOKUP(F1503,Trainingsarten!$A$9:$N$84,14,FALSE),"")</f>
        <v>212.96</v>
      </c>
      <c r="S1503" s="2419">
        <f t="shared" si="241"/>
        <v>1.5333333333333334</v>
      </c>
      <c r="T1503" s="2009">
        <f t="shared" si="242"/>
        <v>40.411102277111134</v>
      </c>
      <c r="U1503" s="2009">
        <f t="shared" si="243"/>
        <v>31.341479889547955</v>
      </c>
      <c r="V1503" s="2009">
        <f t="shared" si="244"/>
        <v>-5.9346887047350059</v>
      </c>
      <c r="W1503" s="3284">
        <f t="shared" si="245"/>
        <v>1.2893807956588483</v>
      </c>
      <c r="X1503" s="3296"/>
      <c r="Y1503" s="3320"/>
      <c r="AA1503" s="3301"/>
      <c r="AB1503" s="3409"/>
      <c r="AE1503" s="2548"/>
    </row>
    <row r="1504" spans="2:31" x14ac:dyDescent="0.2">
      <c r="B1504" s="2992" t="s">
        <v>628</v>
      </c>
      <c r="C1504" s="2409">
        <v>44602</v>
      </c>
      <c r="D1504" s="2009">
        <v>23</v>
      </c>
      <c r="E1504" s="2010" t="s">
        <v>836</v>
      </c>
      <c r="F1504" s="2792" t="s">
        <v>906</v>
      </c>
      <c r="G1504" s="2410">
        <v>4.5740740740740742E-2</v>
      </c>
      <c r="H1504" s="2411">
        <v>12.72</v>
      </c>
      <c r="I1504" s="2412">
        <f t="shared" si="239"/>
        <v>3.5959701840204985E-3</v>
      </c>
      <c r="J1504" s="2413">
        <v>142</v>
      </c>
      <c r="K1504" s="2414">
        <v>88</v>
      </c>
      <c r="L1504" s="2816">
        <v>227</v>
      </c>
      <c r="M1504" s="2840">
        <v>52</v>
      </c>
      <c r="N1504" s="2368">
        <f t="shared" si="240"/>
        <v>1.052642448136675</v>
      </c>
      <c r="O1504" s="2415" t="s">
        <v>953</v>
      </c>
      <c r="P1504" s="2370">
        <f>IFERROR(VLOOKUP(F1504,Trainingsarten!$A$9:$N$84,12,FALSE),"")</f>
        <v>194.60000000000002</v>
      </c>
      <c r="Q1504" s="2432" t="s">
        <v>437</v>
      </c>
      <c r="R1504" s="2537">
        <f>IFERROR(VLOOKUP(F1504,Trainingsarten!$A$9:$N$84,14,FALSE),"")</f>
        <v>212.96</v>
      </c>
      <c r="S1504" s="2419">
        <f t="shared" si="241"/>
        <v>1.5985915492957747</v>
      </c>
      <c r="T1504" s="2009">
        <f t="shared" si="242"/>
        <v>47.209516237523829</v>
      </c>
      <c r="U1504" s="2009">
        <f t="shared" si="243"/>
        <v>32.690492273130147</v>
      </c>
      <c r="V1504" s="2009">
        <f t="shared" si="244"/>
        <v>-9.0696223875631787</v>
      </c>
      <c r="W1504" s="3284">
        <f t="shared" si="245"/>
        <v>1.4441359843432995</v>
      </c>
      <c r="X1504" s="3296"/>
      <c r="Y1504" s="3320"/>
      <c r="AA1504" s="3301"/>
      <c r="AB1504" s="3409"/>
      <c r="AE1504" s="2548"/>
    </row>
    <row r="1505" spans="2:31" ht="16" thickBot="1" x14ac:dyDescent="0.25">
      <c r="B1505" s="2993">
        <f t="shared" ref="B1505" si="259">SUM(K1501:K1507)</f>
        <v>392</v>
      </c>
      <c r="C1505" s="2562">
        <v>44603</v>
      </c>
      <c r="D1505" s="2563"/>
      <c r="E1505" s="2564"/>
      <c r="F1505" s="2793"/>
      <c r="G1505" s="2565"/>
      <c r="H1505" s="2566" t="str">
        <f>IFERROR(VLOOKUP(F1505,Trainingsarten!$A$9:$K$84,10,FALSE),"")</f>
        <v/>
      </c>
      <c r="I1505" s="2567" t="str">
        <f t="shared" si="239"/>
        <v/>
      </c>
      <c r="J1505" s="2568"/>
      <c r="K1505" s="2569" t="str">
        <f>IFERROR(VLOOKUP(F1505,Trainingsarten!$A$9:$K$84,11,FALSE),"0")</f>
        <v>0</v>
      </c>
      <c r="L1505" s="2816"/>
      <c r="M1505" s="2840"/>
      <c r="N1505" s="2570" t="str">
        <f t="shared" si="240"/>
        <v/>
      </c>
      <c r="O1505" s="2571"/>
      <c r="P1505" s="2572" t="str">
        <f>IFERROR(VLOOKUP(F1505,Trainingsarten!$A$9:$N$84,12,FALSE),"")</f>
        <v/>
      </c>
      <c r="Q1505" s="2573" t="s">
        <v>437</v>
      </c>
      <c r="R1505" s="2574" t="str">
        <f>IFERROR(VLOOKUP(F1505,Trainingsarten!$A$9:$N$84,14,FALSE),"")</f>
        <v/>
      </c>
      <c r="S1505" s="2575" t="str">
        <f t="shared" si="241"/>
        <v/>
      </c>
      <c r="T1505" s="2563">
        <f t="shared" si="242"/>
        <v>40.46529963216328</v>
      </c>
      <c r="U1505" s="2563">
        <f t="shared" si="243"/>
        <v>31.912147219008002</v>
      </c>
      <c r="V1505" s="2563">
        <f t="shared" si="244"/>
        <v>-14.519023964393682</v>
      </c>
      <c r="W1505" s="3284">
        <f t="shared" si="245"/>
        <v>1.2680218399111896</v>
      </c>
      <c r="X1505" s="3296"/>
      <c r="Y1505" s="3320"/>
      <c r="AA1505" s="3301"/>
      <c r="AB1505" s="3409"/>
      <c r="AE1505" s="2548"/>
    </row>
    <row r="1506" spans="2:31" x14ac:dyDescent="0.2">
      <c r="B1506" s="2994" t="s">
        <v>761</v>
      </c>
      <c r="C1506" s="2441">
        <v>44604</v>
      </c>
      <c r="D1506" s="1111">
        <v>24</v>
      </c>
      <c r="E1506" s="1112" t="s">
        <v>836</v>
      </c>
      <c r="F1506" s="2792" t="s">
        <v>810</v>
      </c>
      <c r="G1506" s="2442">
        <v>6.8495370370370359E-2</v>
      </c>
      <c r="H1506" s="2443">
        <v>18.14</v>
      </c>
      <c r="I1506" s="2444">
        <f t="shared" si="239"/>
        <v>3.775930009391971E-3</v>
      </c>
      <c r="J1506" s="1320">
        <v>144</v>
      </c>
      <c r="K1506" s="2445">
        <v>118</v>
      </c>
      <c r="L1506" s="2819">
        <v>215</v>
      </c>
      <c r="M1506" s="1320">
        <v>80</v>
      </c>
      <c r="N1506" s="1119">
        <f t="shared" si="240"/>
        <v>1.0468906843950039</v>
      </c>
      <c r="O1506" s="2446" t="s">
        <v>953</v>
      </c>
      <c r="P1506" s="1121">
        <f>IFERROR(VLOOKUP(F1506,Trainingsarten!$A$9:$N$84,12,FALSE),"")</f>
        <v>194.60000000000002</v>
      </c>
      <c r="Q1506" s="2447" t="s">
        <v>437</v>
      </c>
      <c r="R1506" s="2448">
        <f>IFERROR(VLOOKUP(F1506,Trainingsarten!$A$9:$N$84,14,FALSE),"")</f>
        <v>212.96</v>
      </c>
      <c r="S1506" s="2449">
        <f t="shared" si="241"/>
        <v>1.4930555555555556</v>
      </c>
      <c r="T1506" s="1111">
        <f t="shared" si="242"/>
        <v>51.541685398997096</v>
      </c>
      <c r="U1506" s="1111">
        <f t="shared" si="243"/>
        <v>33.961857999507814</v>
      </c>
      <c r="V1506" s="1111">
        <f t="shared" si="244"/>
        <v>-8.5531524131552779</v>
      </c>
      <c r="W1506" s="3286">
        <f t="shared" si="245"/>
        <v>1.5176344415474576</v>
      </c>
      <c r="X1506" s="3296"/>
      <c r="Y1506" s="3320"/>
      <c r="AA1506" s="3301"/>
      <c r="AB1506" s="3409"/>
      <c r="AE1506" s="2548"/>
    </row>
    <row r="1507" spans="2:31" ht="16" thickBot="1" x14ac:dyDescent="0.25">
      <c r="B1507" s="3128">
        <f t="shared" ref="B1507" si="260">AVERAGE(W1501:W1507)</f>
        <v>1.3073866116346919</v>
      </c>
      <c r="C1507" s="1631">
        <v>44605</v>
      </c>
      <c r="D1507" s="1108"/>
      <c r="E1507" s="1261"/>
      <c r="F1507" s="2792"/>
      <c r="G1507" s="2433"/>
      <c r="H1507" s="2434" t="str">
        <f>IFERROR(VLOOKUP(F1507,Trainingsarten!$A$9:$K$84,10,FALSE),"")</f>
        <v/>
      </c>
      <c r="I1507" s="2435" t="str">
        <f t="shared" si="239"/>
        <v/>
      </c>
      <c r="J1507" s="1310"/>
      <c r="K1507" s="2436" t="str">
        <f>IFERROR(VLOOKUP(F1507,Trainingsarten!$A$9:$K$84,11,FALSE),"0")</f>
        <v>0</v>
      </c>
      <c r="L1507" s="2818"/>
      <c r="M1507" s="2798"/>
      <c r="N1507" s="1223" t="str">
        <f t="shared" si="240"/>
        <v/>
      </c>
      <c r="O1507" s="2437"/>
      <c r="P1507" s="1519" t="str">
        <f>IFERROR(VLOOKUP(F1507,Trainingsarten!$A$9:$N$84,12,FALSE),"")</f>
        <v/>
      </c>
      <c r="Q1507" s="2438" t="s">
        <v>437</v>
      </c>
      <c r="R1507" s="2439" t="str">
        <f>IFERROR(VLOOKUP(F1507,Trainingsarten!$A$9:$N$84,14,FALSE),"")</f>
        <v/>
      </c>
      <c r="S1507" s="2440" t="str">
        <f t="shared" si="241"/>
        <v/>
      </c>
      <c r="T1507" s="1108">
        <f t="shared" si="242"/>
        <v>44.178587484854653</v>
      </c>
      <c r="U1507" s="1108">
        <f t="shared" si="243"/>
        <v>33.153242332852862</v>
      </c>
      <c r="V1507" s="1108">
        <f t="shared" si="244"/>
        <v>-17.579827399489282</v>
      </c>
      <c r="W1507" s="3285">
        <f t="shared" si="245"/>
        <v>1.332557070627036</v>
      </c>
      <c r="X1507" s="3296"/>
      <c r="Y1507" s="3320"/>
      <c r="AA1507" s="3301"/>
      <c r="AB1507" s="3409"/>
      <c r="AE1507" s="2548"/>
    </row>
    <row r="1508" spans="2:31" ht="16" thickBot="1" x14ac:dyDescent="0.25">
      <c r="B1508" s="2986">
        <f t="shared" ref="B1508" si="261">B1501+1</f>
        <v>7</v>
      </c>
      <c r="C1508" s="2399">
        <v>44606</v>
      </c>
      <c r="D1508" s="2292">
        <v>25</v>
      </c>
      <c r="E1508" s="2293" t="s">
        <v>836</v>
      </c>
      <c r="F1508" s="2794" t="s">
        <v>819</v>
      </c>
      <c r="G1508" s="2400">
        <v>3.7743055555555557E-2</v>
      </c>
      <c r="H1508" s="2401">
        <v>10.14</v>
      </c>
      <c r="I1508" s="2402">
        <f t="shared" si="239"/>
        <v>3.7221948279640587E-3</v>
      </c>
      <c r="J1508" s="2403">
        <v>140</v>
      </c>
      <c r="K1508" s="2404">
        <v>67</v>
      </c>
      <c r="L1508" s="2815">
        <v>219</v>
      </c>
      <c r="M1508" s="2591">
        <v>38</v>
      </c>
      <c r="N1508" s="2296">
        <f t="shared" si="240"/>
        <v>1.0511922635343991</v>
      </c>
      <c r="O1508" s="2405" t="s">
        <v>911</v>
      </c>
      <c r="P1508" s="2298">
        <f>IFERROR(VLOOKUP(F1508,Trainingsarten!$A$9:$N$84,12,FALSE),"")</f>
        <v>194.60000000000002</v>
      </c>
      <c r="Q1508" s="2406" t="s">
        <v>437</v>
      </c>
      <c r="R1508" s="2407">
        <f>IFERROR(VLOOKUP(F1508,Trainingsarten!$A$9:$N$84,14,FALSE),"")</f>
        <v>212.96</v>
      </c>
      <c r="S1508" s="2408">
        <f t="shared" si="241"/>
        <v>1.5642857142857143</v>
      </c>
      <c r="T1508" s="2292">
        <f t="shared" si="242"/>
        <v>47.438789272732556</v>
      </c>
      <c r="U1508" s="2292">
        <f t="shared" si="243"/>
        <v>33.959117515403982</v>
      </c>
      <c r="V1508" s="2292">
        <f t="shared" si="244"/>
        <v>-11.02534515200179</v>
      </c>
      <c r="W1508" s="3283">
        <f t="shared" si="245"/>
        <v>1.3969382228856255</v>
      </c>
      <c r="X1508" s="3296"/>
      <c r="Y1508" s="3320"/>
      <c r="AA1508" s="3301"/>
      <c r="AB1508" s="3409"/>
      <c r="AE1508" s="2548"/>
    </row>
    <row r="1509" spans="2:31" x14ac:dyDescent="0.2">
      <c r="B1509" s="2991" t="s">
        <v>626</v>
      </c>
      <c r="C1509" s="2409">
        <v>44607</v>
      </c>
      <c r="D1509" s="2009">
        <v>26</v>
      </c>
      <c r="E1509" s="2010" t="s">
        <v>836</v>
      </c>
      <c r="F1509" s="2792" t="s">
        <v>918</v>
      </c>
      <c r="G1509" s="2410">
        <v>3.4016203703703708E-2</v>
      </c>
      <c r="H1509" s="2411">
        <v>8.16</v>
      </c>
      <c r="I1509" s="2412">
        <f t="shared" si="239"/>
        <v>4.1686524146695722E-3</v>
      </c>
      <c r="J1509" s="2413">
        <v>140</v>
      </c>
      <c r="K1509" s="2414">
        <v>59</v>
      </c>
      <c r="L1509" s="2816">
        <v>188</v>
      </c>
      <c r="M1509" s="2840">
        <v>24</v>
      </c>
      <c r="N1509" s="2368">
        <f t="shared" si="240"/>
        <v>1.0106306701785195</v>
      </c>
      <c r="O1509" s="2415" t="s">
        <v>1463</v>
      </c>
      <c r="P1509" s="2370">
        <f>IFERROR(VLOOKUP(F1509,Trainingsarten!$A$9:$N$84,12,FALSE),"")</f>
        <v>279.29999999999995</v>
      </c>
      <c r="Q1509" s="2432" t="s">
        <v>437</v>
      </c>
      <c r="R1509" s="2537">
        <f>IFERROR(VLOOKUP(F1509,Trainingsarten!$A$9:$N$84,14,FALSE),"")</f>
        <v>314.60000000000002</v>
      </c>
      <c r="S1509" s="2419">
        <f t="shared" si="241"/>
        <v>1.3428571428571427</v>
      </c>
      <c r="T1509" s="2009">
        <f t="shared" si="242"/>
        <v>49.090390805199334</v>
      </c>
      <c r="U1509" s="2009">
        <f t="shared" si="243"/>
        <v>34.555329003132456</v>
      </c>
      <c r="V1509" s="2009">
        <f t="shared" si="244"/>
        <v>-13.479671757328575</v>
      </c>
      <c r="W1509" s="3284">
        <f t="shared" si="245"/>
        <v>1.4206315558665139</v>
      </c>
      <c r="X1509" s="3296"/>
      <c r="Y1509" s="3320"/>
      <c r="AA1509" s="3301"/>
      <c r="AB1509" s="3409"/>
      <c r="AE1509" s="2548"/>
    </row>
    <row r="1510" spans="2:31" ht="16" thickBot="1" x14ac:dyDescent="0.25">
      <c r="B1510" s="2979">
        <f>SUM(H1508:H1514)</f>
        <v>59.39</v>
      </c>
      <c r="C1510" s="2409">
        <v>44608</v>
      </c>
      <c r="D1510" s="2009">
        <v>27</v>
      </c>
      <c r="E1510" s="2010" t="s">
        <v>836</v>
      </c>
      <c r="F1510" s="2792" t="s">
        <v>950</v>
      </c>
      <c r="G1510" s="2410">
        <v>3.096064814814815E-2</v>
      </c>
      <c r="H1510" s="2411">
        <v>7.85</v>
      </c>
      <c r="I1510" s="2412">
        <f t="shared" si="239"/>
        <v>3.9440316112290636E-3</v>
      </c>
      <c r="J1510" s="2413">
        <v>131</v>
      </c>
      <c r="K1510" s="2414">
        <v>49</v>
      </c>
      <c r="L1510" s="2816">
        <v>206</v>
      </c>
      <c r="M1510" s="2840">
        <v>22</v>
      </c>
      <c r="N1510" s="2368">
        <f t="shared" si="240"/>
        <v>1.0477231676014831</v>
      </c>
      <c r="O1510" s="2415" t="s">
        <v>1460</v>
      </c>
      <c r="P1510" s="2370">
        <f>IFERROR(VLOOKUP(F1510,Trainingsarten!$A$9:$N$84,12,FALSE),"")</f>
        <v>169.39999999999998</v>
      </c>
      <c r="Q1510" s="2432" t="s">
        <v>437</v>
      </c>
      <c r="R1510" s="2537">
        <f>IFERROR(VLOOKUP(F1510,Trainingsarten!$A$9:$N$84,14,FALSE),"")</f>
        <v>193.60000000000002</v>
      </c>
      <c r="S1510" s="2419">
        <f t="shared" si="241"/>
        <v>1.5725190839694656</v>
      </c>
      <c r="T1510" s="2009">
        <f t="shared" si="242"/>
        <v>49.077477833027999</v>
      </c>
      <c r="U1510" s="2009">
        <f t="shared" si="243"/>
        <v>34.899249741153113</v>
      </c>
      <c r="V1510" s="2009">
        <f t="shared" si="244"/>
        <v>-14.535061802066878</v>
      </c>
      <c r="W1510" s="3284">
        <f t="shared" si="245"/>
        <v>1.4062616874871081</v>
      </c>
      <c r="X1510" s="3296"/>
      <c r="Y1510" s="3320"/>
      <c r="AA1510" s="3301"/>
      <c r="AB1510" s="3409"/>
      <c r="AE1510" s="2548"/>
    </row>
    <row r="1511" spans="2:31" x14ac:dyDescent="0.2">
      <c r="B1511" s="2992" t="s">
        <v>628</v>
      </c>
      <c r="C1511" s="2409">
        <v>44609</v>
      </c>
      <c r="D1511" s="2009"/>
      <c r="E1511" s="2010"/>
      <c r="F1511" s="2793"/>
      <c r="G1511" s="2410"/>
      <c r="H1511" s="2411" t="str">
        <f>IFERROR(VLOOKUP(F1511,Trainingsarten!$A$9:$K$84,10,FALSE),"")</f>
        <v/>
      </c>
      <c r="I1511" s="2412" t="str">
        <f t="shared" si="239"/>
        <v/>
      </c>
      <c r="J1511" s="2413"/>
      <c r="K1511" s="2414" t="str">
        <f>IFERROR(VLOOKUP(F1511,Trainingsarten!$A$9:$K$84,11,FALSE),"0")</f>
        <v>0</v>
      </c>
      <c r="L1511" s="2816"/>
      <c r="M1511" s="2840"/>
      <c r="N1511" s="2368" t="str">
        <f t="shared" si="240"/>
        <v/>
      </c>
      <c r="O1511" s="2415"/>
      <c r="P1511" s="2370" t="str">
        <f>IFERROR(VLOOKUP(F1511,Trainingsarten!$A$9:$N$84,12,FALSE),"")</f>
        <v/>
      </c>
      <c r="Q1511" s="2432" t="s">
        <v>437</v>
      </c>
      <c r="R1511" s="2537" t="str">
        <f>IFERROR(VLOOKUP(F1511,Trainingsarten!$A$9:$N$84,14,FALSE),"")</f>
        <v/>
      </c>
      <c r="S1511" s="2419" t="str">
        <f t="shared" si="241"/>
        <v/>
      </c>
      <c r="T1511" s="2009">
        <f>T1510+(K1511-T1510)/7</f>
        <v>42.066409571166858</v>
      </c>
      <c r="U1511" s="2009">
        <f>U1510+(K1511-U1510)/42</f>
        <v>34.068315223506609</v>
      </c>
      <c r="V1511" s="2009">
        <f>U1510-T1510</f>
        <v>-14.178228091874885</v>
      </c>
      <c r="W1511" s="3284">
        <f t="shared" si="245"/>
        <v>1.234766359744778</v>
      </c>
      <c r="X1511" s="3296"/>
      <c r="Y1511" s="3320"/>
      <c r="AA1511" s="3301"/>
      <c r="AB1511" s="3409"/>
      <c r="AE1511" s="2548" t="s">
        <v>955</v>
      </c>
    </row>
    <row r="1512" spans="2:31" ht="16" thickBot="1" x14ac:dyDescent="0.25">
      <c r="B1512" s="2993">
        <f>SUM(K1508:K1514)</f>
        <v>421</v>
      </c>
      <c r="C1512" s="2562">
        <v>44610</v>
      </c>
      <c r="D1512" s="2563">
        <v>28</v>
      </c>
      <c r="E1512" s="2564" t="s">
        <v>836</v>
      </c>
      <c r="F1512" s="2792" t="s">
        <v>906</v>
      </c>
      <c r="G1512" s="2565">
        <v>4.8449074074074082E-2</v>
      </c>
      <c r="H1512" s="2566">
        <v>13.24</v>
      </c>
      <c r="I1512" s="2567">
        <f t="shared" si="239"/>
        <v>3.6592956249300664E-3</v>
      </c>
      <c r="J1512" s="2568">
        <v>137</v>
      </c>
      <c r="K1512" s="2569">
        <v>99</v>
      </c>
      <c r="L1512" s="2816">
        <v>234</v>
      </c>
      <c r="M1512" s="2840">
        <v>56</v>
      </c>
      <c r="N1512" s="2368">
        <f t="shared" si="240"/>
        <v>1.1042115705460613</v>
      </c>
      <c r="O1512" s="2571" t="s">
        <v>953</v>
      </c>
      <c r="P1512" s="2572">
        <f>IFERROR(VLOOKUP(F1512,Trainingsarten!$A$9:$N$84,12,FALSE),"")</f>
        <v>194.60000000000002</v>
      </c>
      <c r="Q1512" s="2573" t="s">
        <v>437</v>
      </c>
      <c r="R1512" s="2574">
        <f>IFERROR(VLOOKUP(F1512,Trainingsarten!$A$9:$N$84,14,FALSE),"")</f>
        <v>212.96</v>
      </c>
      <c r="S1512" s="2449">
        <f t="shared" si="241"/>
        <v>1.7080291970802919</v>
      </c>
      <c r="T1512" s="2563">
        <f t="shared" si="242"/>
        <v>50.199779632428736</v>
      </c>
      <c r="U1512" s="2563">
        <f t="shared" si="243"/>
        <v>35.614307718185024</v>
      </c>
      <c r="V1512" s="2563">
        <f t="shared" si="244"/>
        <v>-7.9980943476602491</v>
      </c>
      <c r="W1512" s="3284">
        <f t="shared" si="245"/>
        <v>1.4095396723602807</v>
      </c>
      <c r="X1512" s="3296"/>
      <c r="Y1512" s="3320"/>
      <c r="AA1512" s="3301"/>
      <c r="AB1512" s="3409"/>
      <c r="AE1512" s="2548"/>
    </row>
    <row r="1513" spans="2:31" x14ac:dyDescent="0.2">
      <c r="B1513" s="2994" t="s">
        <v>761</v>
      </c>
      <c r="C1513" s="2441">
        <v>44611</v>
      </c>
      <c r="D1513" s="1111">
        <v>29</v>
      </c>
      <c r="E1513" s="1112" t="s">
        <v>836</v>
      </c>
      <c r="F1513" s="2792" t="s">
        <v>811</v>
      </c>
      <c r="G1513" s="2442">
        <v>7.587962962962963E-2</v>
      </c>
      <c r="H1513" s="2443">
        <v>20</v>
      </c>
      <c r="I1513" s="2444">
        <f t="shared" si="239"/>
        <v>3.7939814814814815E-3</v>
      </c>
      <c r="J1513" s="1320">
        <v>137</v>
      </c>
      <c r="K1513" s="2445">
        <v>147</v>
      </c>
      <c r="L1513" s="2819">
        <v>228</v>
      </c>
      <c r="M1513" s="1320">
        <v>120</v>
      </c>
      <c r="N1513" s="2368">
        <f t="shared" si="240"/>
        <v>1.1154985074626866</v>
      </c>
      <c r="O1513" s="2446" t="s">
        <v>953</v>
      </c>
      <c r="P1513" s="1121">
        <f>IFERROR(VLOOKUP(F1513,Trainingsarten!$A$9:$N$84,12,FALSE),"")</f>
        <v>194.60000000000002</v>
      </c>
      <c r="Q1513" s="2447" t="s">
        <v>437</v>
      </c>
      <c r="R1513" s="2448">
        <f>IFERROR(VLOOKUP(F1513,Trainingsarten!$A$9:$N$84,14,FALSE),"")</f>
        <v>212.96</v>
      </c>
      <c r="S1513" s="2449">
        <f t="shared" si="241"/>
        <v>1.6642335766423357</v>
      </c>
      <c r="T1513" s="1111">
        <f t="shared" si="242"/>
        <v>64.028382542081772</v>
      </c>
      <c r="U1513" s="1111">
        <f t="shared" si="243"/>
        <v>38.266348010609192</v>
      </c>
      <c r="V1513" s="1111">
        <f t="shared" si="244"/>
        <v>-14.585471914243712</v>
      </c>
      <c r="W1513" s="3286">
        <f t="shared" si="245"/>
        <v>1.6732295050557258</v>
      </c>
      <c r="X1513" s="3296"/>
      <c r="Y1513" s="3320"/>
      <c r="AA1513" s="3301"/>
      <c r="AB1513" s="3409"/>
      <c r="AE1513" s="2548"/>
    </row>
    <row r="1514" spans="2:31" ht="16" thickBot="1" x14ac:dyDescent="0.25">
      <c r="B1514" s="3128">
        <f>AVERAGE(W1508:W1514)</f>
        <v>1.4300777328272036</v>
      </c>
      <c r="C1514" s="1631">
        <v>44612</v>
      </c>
      <c r="D1514" s="1108"/>
      <c r="E1514" s="1261"/>
      <c r="F1514" s="2793"/>
      <c r="G1514" s="2433"/>
      <c r="H1514" s="2434" t="str">
        <f>IFERROR(VLOOKUP(F1514,Trainingsarten!$A$9:$K$84,10,FALSE),"")</f>
        <v/>
      </c>
      <c r="I1514" s="2435" t="str">
        <f t="shared" si="239"/>
        <v/>
      </c>
      <c r="J1514" s="1310"/>
      <c r="K1514" s="2436" t="str">
        <f>IFERROR(VLOOKUP(F1514,Trainingsarten!$A$9:$K$84,11,FALSE),"0")</f>
        <v>0</v>
      </c>
      <c r="L1514" s="2818"/>
      <c r="M1514" s="2798"/>
      <c r="N1514" s="1223" t="str">
        <f t="shared" si="240"/>
        <v/>
      </c>
      <c r="O1514" s="2437"/>
      <c r="P1514" s="1519" t="str">
        <f>IFERROR(VLOOKUP(F1514,Trainingsarten!$A$9:$N$84,12,FALSE),"")</f>
        <v/>
      </c>
      <c r="Q1514" s="2438" t="s">
        <v>437</v>
      </c>
      <c r="R1514" s="2439" t="str">
        <f>IFERROR(VLOOKUP(F1514,Trainingsarten!$A$9:$N$84,14,FALSE),"")</f>
        <v/>
      </c>
      <c r="S1514" s="2440" t="str">
        <f t="shared" si="241"/>
        <v/>
      </c>
      <c r="T1514" s="1108">
        <f t="shared" si="242"/>
        <v>54.881470750355803</v>
      </c>
      <c r="U1514" s="1108">
        <f t="shared" si="243"/>
        <v>37.355244486547072</v>
      </c>
      <c r="V1514" s="1108">
        <f t="shared" si="244"/>
        <v>-25.76203453147258</v>
      </c>
      <c r="W1514" s="3285">
        <f t="shared" si="245"/>
        <v>1.469177126390393</v>
      </c>
      <c r="X1514" s="3296"/>
      <c r="Y1514" s="3320"/>
      <c r="AA1514" s="3301"/>
      <c r="AB1514" s="3409"/>
      <c r="AE1514" s="2548"/>
    </row>
    <row r="1515" spans="2:31" ht="16" thickBot="1" x14ac:dyDescent="0.25">
      <c r="B1515" s="2986">
        <f>B1508+1</f>
        <v>8</v>
      </c>
      <c r="C1515" s="2399">
        <v>44613</v>
      </c>
      <c r="D1515" s="2292"/>
      <c r="E1515" s="2293"/>
      <c r="F1515" s="2792"/>
      <c r="G1515" s="2400"/>
      <c r="H1515" s="2401" t="str">
        <f>IFERROR(VLOOKUP(F1515,Trainingsarten!$A$9:$K$84,10,FALSE),"")</f>
        <v/>
      </c>
      <c r="I1515" s="2402" t="str">
        <f t="shared" si="239"/>
        <v/>
      </c>
      <c r="J1515" s="2403"/>
      <c r="K1515" s="2404" t="str">
        <f>IFERROR(VLOOKUP(F1515,Trainingsarten!$A$9:$K$84,11,FALSE),"0")</f>
        <v>0</v>
      </c>
      <c r="L1515" s="2815"/>
      <c r="M1515" s="2591"/>
      <c r="N1515" s="2296" t="str">
        <f t="shared" si="240"/>
        <v/>
      </c>
      <c r="O1515" s="2405"/>
      <c r="P1515" s="2298" t="str">
        <f>IFERROR(VLOOKUP(F1515,Trainingsarten!$A$9:$N$84,12,FALSE),"")</f>
        <v/>
      </c>
      <c r="Q1515" s="2406" t="s">
        <v>437</v>
      </c>
      <c r="R1515" s="2407" t="str">
        <f>IFERROR(VLOOKUP(F1515,Trainingsarten!$A$9:$N$84,14,FALSE),"")</f>
        <v/>
      </c>
      <c r="S1515" s="2408" t="str">
        <f t="shared" si="241"/>
        <v/>
      </c>
      <c r="T1515" s="2292">
        <f t="shared" si="242"/>
        <v>47.041260643162119</v>
      </c>
      <c r="U1515" s="2292">
        <f t="shared" si="243"/>
        <v>36.465833903534048</v>
      </c>
      <c r="V1515" s="2292">
        <f t="shared" si="244"/>
        <v>-17.526226263808731</v>
      </c>
      <c r="W1515" s="3283">
        <f t="shared" si="245"/>
        <v>1.2900091841476622</v>
      </c>
      <c r="X1515" s="3296"/>
      <c r="Y1515" s="3320"/>
      <c r="AA1515" s="3301"/>
      <c r="AB1515" s="3409"/>
      <c r="AE1515" s="2548"/>
    </row>
    <row r="1516" spans="2:31" x14ac:dyDescent="0.2">
      <c r="B1516" s="2991" t="s">
        <v>626</v>
      </c>
      <c r="C1516" s="2409">
        <v>44614</v>
      </c>
      <c r="D1516" s="2009">
        <v>30</v>
      </c>
      <c r="E1516" s="2010" t="s">
        <v>836</v>
      </c>
      <c r="F1516" s="2792" t="s">
        <v>906</v>
      </c>
      <c r="G1516" s="2410">
        <v>4.7129629629629632E-2</v>
      </c>
      <c r="H1516" s="2411">
        <v>12.57</v>
      </c>
      <c r="I1516" s="2412">
        <f t="shared" si="239"/>
        <v>3.7493738766610687E-3</v>
      </c>
      <c r="J1516" s="2413">
        <v>135</v>
      </c>
      <c r="K1516" s="2414">
        <v>93</v>
      </c>
      <c r="L1516" s="2816">
        <v>230</v>
      </c>
      <c r="M1516" s="2840">
        <v>61</v>
      </c>
      <c r="N1516" s="2368">
        <f t="shared" si="240"/>
        <v>1.1120530996568472</v>
      </c>
      <c r="O1516" s="2415" t="s">
        <v>911</v>
      </c>
      <c r="P1516" s="2370">
        <f>IFERROR(VLOOKUP(F1516,Trainingsarten!$A$9:$N$84,12,FALSE),"")</f>
        <v>194.60000000000002</v>
      </c>
      <c r="Q1516" s="2432" t="s">
        <v>437</v>
      </c>
      <c r="R1516" s="2537">
        <f>IFERROR(VLOOKUP(F1516,Trainingsarten!$A$9:$N$84,14,FALSE),"")</f>
        <v>212.96</v>
      </c>
      <c r="S1516" s="2419">
        <f t="shared" si="241"/>
        <v>1.7037037037037037</v>
      </c>
      <c r="T1516" s="2009">
        <f t="shared" si="242"/>
        <v>53.606794836996102</v>
      </c>
      <c r="U1516" s="2009">
        <f t="shared" si="243"/>
        <v>37.81188547725943</v>
      </c>
      <c r="V1516" s="2009">
        <f t="shared" si="244"/>
        <v>-10.575426739628071</v>
      </c>
      <c r="W1516" s="3284">
        <f t="shared" si="245"/>
        <v>1.417723399940898</v>
      </c>
      <c r="X1516" s="3296"/>
      <c r="Y1516" s="3320"/>
      <c r="AA1516" s="3301"/>
      <c r="AB1516" s="3409"/>
      <c r="AE1516" s="2548"/>
    </row>
    <row r="1517" spans="2:31" ht="16" thickBot="1" x14ac:dyDescent="0.25">
      <c r="B1517" s="2979">
        <f t="shared" ref="B1517" si="262">SUM(H1515:H1521)</f>
        <v>64.180000000000007</v>
      </c>
      <c r="C1517" s="2409">
        <v>44615</v>
      </c>
      <c r="D1517" s="2009">
        <v>31</v>
      </c>
      <c r="E1517" s="2010" t="s">
        <v>836</v>
      </c>
      <c r="F1517" s="2792" t="s">
        <v>819</v>
      </c>
      <c r="G1517" s="2410">
        <v>3.8425925925925926E-2</v>
      </c>
      <c r="H1517" s="2411">
        <v>10.199999999999999</v>
      </c>
      <c r="I1517" s="2412">
        <f t="shared" si="239"/>
        <v>3.7672476397966597E-3</v>
      </c>
      <c r="J1517" s="2413">
        <v>135</v>
      </c>
      <c r="K1517" s="2414">
        <v>73</v>
      </c>
      <c r="L1517" s="2816">
        <v>226</v>
      </c>
      <c r="M1517" s="2840">
        <v>37</v>
      </c>
      <c r="N1517" s="2368">
        <f t="shared" si="240"/>
        <v>1.0979221539362014</v>
      </c>
      <c r="O1517" s="2415" t="s">
        <v>1460</v>
      </c>
      <c r="P1517" s="2370">
        <f>IFERROR(VLOOKUP(F1517,Trainingsarten!$A$9:$N$84,12,FALSE),"")</f>
        <v>194.60000000000002</v>
      </c>
      <c r="Q1517" s="2432" t="s">
        <v>437</v>
      </c>
      <c r="R1517" s="2537">
        <f>IFERROR(VLOOKUP(F1517,Trainingsarten!$A$9:$N$84,14,FALSE),"")</f>
        <v>212.96</v>
      </c>
      <c r="S1517" s="2419">
        <f t="shared" si="241"/>
        <v>1.674074074074074</v>
      </c>
      <c r="T1517" s="2009">
        <f t="shared" si="242"/>
        <v>56.377252717425229</v>
      </c>
      <c r="U1517" s="2009">
        <f t="shared" si="243"/>
        <v>38.64969772780087</v>
      </c>
      <c r="V1517" s="2009">
        <f t="shared" si="244"/>
        <v>-15.794909359736671</v>
      </c>
      <c r="W1517" s="3284">
        <f t="shared" si="245"/>
        <v>1.4586725390318607</v>
      </c>
      <c r="X1517" s="3296"/>
      <c r="Y1517" s="3320"/>
      <c r="AA1517" s="3301"/>
      <c r="AB1517" s="3409"/>
      <c r="AE1517" s="2548"/>
    </row>
    <row r="1518" spans="2:31" x14ac:dyDescent="0.2">
      <c r="B1518" s="2992" t="s">
        <v>628</v>
      </c>
      <c r="C1518" s="2409">
        <v>44616</v>
      </c>
      <c r="D1518" s="2009">
        <v>32</v>
      </c>
      <c r="E1518" s="2010" t="s">
        <v>836</v>
      </c>
      <c r="F1518" s="2849" t="s">
        <v>923</v>
      </c>
      <c r="G1518" s="2410">
        <v>4.2905092592592592E-2</v>
      </c>
      <c r="H1518" s="2411">
        <v>12.3</v>
      </c>
      <c r="I1518" s="2412">
        <f t="shared" si="239"/>
        <v>3.488218909966877E-3</v>
      </c>
      <c r="J1518" s="2413">
        <v>152</v>
      </c>
      <c r="K1518" s="2414">
        <v>98</v>
      </c>
      <c r="L1518" s="2816">
        <v>244</v>
      </c>
      <c r="M1518" s="2840">
        <v>50</v>
      </c>
      <c r="N1518" s="2368">
        <f t="shared" si="240"/>
        <v>1.097570683169518</v>
      </c>
      <c r="O1518" s="2415" t="s">
        <v>1463</v>
      </c>
      <c r="P1518" s="2370">
        <f>IFERROR(VLOOKUP(F1518,Trainingsarten!$A$9:$N$84,12,FALSE),"")</f>
        <v>230.89999999999998</v>
      </c>
      <c r="Q1518" s="2432" t="s">
        <v>437</v>
      </c>
      <c r="R1518" s="2537">
        <f>IFERROR(VLOOKUP(F1518,Trainingsarten!$A$9:$N$84,14,FALSE),"")</f>
        <v>254.10000000000002</v>
      </c>
      <c r="S1518" s="2419">
        <f t="shared" si="241"/>
        <v>1.6052631578947369</v>
      </c>
      <c r="T1518" s="2009">
        <f t="shared" si="242"/>
        <v>62.323359472078771</v>
      </c>
      <c r="U1518" s="2009">
        <f t="shared" si="243"/>
        <v>40.062800162853229</v>
      </c>
      <c r="V1518" s="2009">
        <f t="shared" si="244"/>
        <v>-17.727554989624359</v>
      </c>
      <c r="W1518" s="3284">
        <f t="shared" si="245"/>
        <v>1.5556416231201391</v>
      </c>
      <c r="X1518" s="3296"/>
      <c r="Y1518" s="3320"/>
      <c r="AA1518" s="3301"/>
      <c r="AB1518" s="3409"/>
      <c r="AE1518" s="2548"/>
    </row>
    <row r="1519" spans="2:31" ht="16" thickBot="1" x14ac:dyDescent="0.25">
      <c r="B1519" s="2993">
        <f t="shared" ref="B1519" si="263">SUM(K1515:K1521)</f>
        <v>455</v>
      </c>
      <c r="C1519" s="2562">
        <v>44617</v>
      </c>
      <c r="D1519" s="2563">
        <v>33</v>
      </c>
      <c r="E1519" s="2564" t="s">
        <v>836</v>
      </c>
      <c r="F1519" s="2792" t="s">
        <v>943</v>
      </c>
      <c r="G1519" s="2565">
        <v>3.0162037037037032E-2</v>
      </c>
      <c r="H1519" s="2566">
        <v>7.93</v>
      </c>
      <c r="I1519" s="2567">
        <f t="shared" si="239"/>
        <v>3.8035355658306473E-3</v>
      </c>
      <c r="J1519" s="2568">
        <v>137</v>
      </c>
      <c r="K1519" s="2569">
        <v>54</v>
      </c>
      <c r="L1519" s="2816">
        <v>224</v>
      </c>
      <c r="M1519" s="2840">
        <v>25</v>
      </c>
      <c r="N1519" s="2570">
        <f t="shared" si="240"/>
        <v>1.0986881481620898</v>
      </c>
      <c r="O1519" s="2571" t="s">
        <v>953</v>
      </c>
      <c r="P1519" s="2572">
        <f>IFERROR(VLOOKUP(F1519,Trainingsarten!$A$9:$N$84,12,FALSE),"")</f>
        <v>194.60000000000002</v>
      </c>
      <c r="Q1519" s="2573" t="s">
        <v>437</v>
      </c>
      <c r="R1519" s="2574">
        <f>IFERROR(VLOOKUP(F1519,Trainingsarten!$A$9:$N$84,14,FALSE),"")</f>
        <v>212.96</v>
      </c>
      <c r="S1519" s="2575">
        <f t="shared" si="241"/>
        <v>1.635036496350365</v>
      </c>
      <c r="T1519" s="2563">
        <f t="shared" si="242"/>
        <v>61.134308118924658</v>
      </c>
      <c r="U1519" s="2563">
        <f t="shared" si="243"/>
        <v>40.394638254213866</v>
      </c>
      <c r="V1519" s="2563">
        <f t="shared" si="244"/>
        <v>-22.260559309225542</v>
      </c>
      <c r="W1519" s="3284">
        <f t="shared" si="245"/>
        <v>1.5134263050999666</v>
      </c>
      <c r="X1519" s="3296"/>
      <c r="Y1519" s="3320"/>
      <c r="AA1519" s="3301"/>
      <c r="AB1519" s="3409"/>
      <c r="AE1519" s="2548"/>
    </row>
    <row r="1520" spans="2:31" x14ac:dyDescent="0.2">
      <c r="B1520" s="2994" t="s">
        <v>761</v>
      </c>
      <c r="C1520" s="2441">
        <v>44618</v>
      </c>
      <c r="D1520" s="1111"/>
      <c r="E1520" s="1112"/>
      <c r="F1520" s="2793"/>
      <c r="G1520" s="2442"/>
      <c r="H1520" s="2443" t="str">
        <f>IFERROR(VLOOKUP(F1520,Trainingsarten!$A$9:$K$84,10,FALSE),"")</f>
        <v/>
      </c>
      <c r="I1520" s="2444" t="str">
        <f t="shared" si="239"/>
        <v/>
      </c>
      <c r="J1520" s="1320"/>
      <c r="K1520" s="2445" t="str">
        <f>IFERROR(VLOOKUP(F1520,Trainingsarten!$A$9:$K$84,11,FALSE),"0")</f>
        <v>0</v>
      </c>
      <c r="L1520" s="2819"/>
      <c r="M1520" s="1320"/>
      <c r="N1520" s="1119" t="str">
        <f t="shared" si="240"/>
        <v/>
      </c>
      <c r="O1520" s="2446"/>
      <c r="P1520" s="1121" t="str">
        <f>IFERROR(VLOOKUP(F1520,Trainingsarten!$A$9:$N$84,12,FALSE),"")</f>
        <v/>
      </c>
      <c r="Q1520" s="2447" t="s">
        <v>437</v>
      </c>
      <c r="R1520" s="2448" t="str">
        <f>IFERROR(VLOOKUP(F1520,Trainingsarten!$A$9:$N$84,14,FALSE),"")</f>
        <v/>
      </c>
      <c r="S1520" s="2449" t="str">
        <f t="shared" si="241"/>
        <v/>
      </c>
      <c r="T1520" s="1111">
        <f t="shared" si="242"/>
        <v>52.400835530506853</v>
      </c>
      <c r="U1520" s="1111">
        <f t="shared" si="243"/>
        <v>39.43286115292306</v>
      </c>
      <c r="V1520" s="1111">
        <f t="shared" si="244"/>
        <v>-20.739669864710791</v>
      </c>
      <c r="W1520" s="3286">
        <f t="shared" si="245"/>
        <v>1.3288621215511902</v>
      </c>
      <c r="X1520" s="3296"/>
      <c r="Y1520" s="3320"/>
      <c r="AA1520" s="3301"/>
      <c r="AB1520" s="3409"/>
      <c r="AE1520" s="2548"/>
    </row>
    <row r="1521" spans="2:31" ht="16" thickBot="1" x14ac:dyDescent="0.25">
      <c r="B1521" s="3128">
        <f t="shared" ref="B1521" si="264">AVERAGE(W1515:W1521)</f>
        <v>1.4441003602176254</v>
      </c>
      <c r="C1521" s="1631">
        <v>44619</v>
      </c>
      <c r="D1521" s="1108">
        <v>34</v>
      </c>
      <c r="E1521" s="1261" t="s">
        <v>835</v>
      </c>
      <c r="F1521" s="2792" t="s">
        <v>812</v>
      </c>
      <c r="G1521" s="2433">
        <v>8.2465277777777776E-2</v>
      </c>
      <c r="H1521" s="2434">
        <v>21.18</v>
      </c>
      <c r="I1521" s="2435">
        <f t="shared" si="239"/>
        <v>3.8935447487147205E-3</v>
      </c>
      <c r="J1521" s="1310">
        <v>137</v>
      </c>
      <c r="K1521" s="2436">
        <v>137</v>
      </c>
      <c r="L1521" s="2818">
        <v>216</v>
      </c>
      <c r="M1521" s="2798">
        <v>107</v>
      </c>
      <c r="N1521" s="1223">
        <f t="shared" si="240"/>
        <v>1.0845207390807998</v>
      </c>
      <c r="O1521" s="2437" t="s">
        <v>953</v>
      </c>
      <c r="P1521" s="1519">
        <f>IFERROR(VLOOKUP(F1521,Trainingsarten!$A$9:$N$84,12,FALSE),"")</f>
        <v>194.60000000000002</v>
      </c>
      <c r="Q1521" s="2438" t="s">
        <v>437</v>
      </c>
      <c r="R1521" s="2439">
        <f>IFERROR(VLOOKUP(F1521,Trainingsarten!$A$9:$N$84,14,FALSE),"")</f>
        <v>212.96</v>
      </c>
      <c r="S1521" s="2440">
        <f t="shared" si="241"/>
        <v>1.5766423357664234</v>
      </c>
      <c r="T1521" s="1108">
        <f t="shared" si="242"/>
        <v>64.486430454720164</v>
      </c>
      <c r="U1521" s="1108">
        <f t="shared" si="243"/>
        <v>41.755888268329656</v>
      </c>
      <c r="V1521" s="1108">
        <f t="shared" si="244"/>
        <v>-12.967974377583793</v>
      </c>
      <c r="W1521" s="3285">
        <f t="shared" si="245"/>
        <v>1.5443673486316614</v>
      </c>
      <c r="X1521" s="3296"/>
      <c r="Y1521" s="3320"/>
      <c r="AA1521" s="3301"/>
      <c r="AB1521" s="3409"/>
      <c r="AE1521" s="2548"/>
    </row>
    <row r="1522" spans="2:31" ht="16" thickBot="1" x14ac:dyDescent="0.25">
      <c r="B1522" s="2986">
        <f t="shared" ref="B1522" si="265">B1515+1</f>
        <v>9</v>
      </c>
      <c r="C1522" s="2399">
        <v>44620</v>
      </c>
      <c r="D1522" s="2292"/>
      <c r="E1522" s="2293"/>
      <c r="F1522" s="2792"/>
      <c r="G1522" s="2400"/>
      <c r="H1522" s="2401" t="str">
        <f>IFERROR(VLOOKUP(F1522,Trainingsarten!$A$9:$K$84,10,FALSE),"")</f>
        <v/>
      </c>
      <c r="I1522" s="2402" t="str">
        <f t="shared" si="239"/>
        <v/>
      </c>
      <c r="J1522" s="2403"/>
      <c r="K1522" s="2404" t="str">
        <f>IFERROR(VLOOKUP(F1522,Trainingsarten!$A$9:$K$84,11,FALSE),"0")</f>
        <v>0</v>
      </c>
      <c r="L1522" s="2815"/>
      <c r="M1522" s="2591"/>
      <c r="N1522" s="2296" t="str">
        <f t="shared" si="240"/>
        <v/>
      </c>
      <c r="O1522" s="2405"/>
      <c r="P1522" s="2298" t="str">
        <f>IFERROR(VLOOKUP(F1522,Trainingsarten!$A$9:$N$84,12,FALSE),"")</f>
        <v/>
      </c>
      <c r="Q1522" s="2406" t="s">
        <v>437</v>
      </c>
      <c r="R1522" s="2407" t="str">
        <f>IFERROR(VLOOKUP(F1522,Trainingsarten!$A$9:$N$84,14,FALSE),"")</f>
        <v/>
      </c>
      <c r="S1522" s="2408" t="str">
        <f t="shared" si="241"/>
        <v/>
      </c>
      <c r="T1522" s="2292">
        <f t="shared" si="242"/>
        <v>55.274083246902997</v>
      </c>
      <c r="U1522" s="2292">
        <f t="shared" si="243"/>
        <v>40.761700452417045</v>
      </c>
      <c r="V1522" s="2292">
        <f t="shared" si="244"/>
        <v>-22.730542186390508</v>
      </c>
      <c r="W1522" s="3283">
        <f t="shared" si="245"/>
        <v>1.3560298670912148</v>
      </c>
      <c r="X1522" s="3296"/>
      <c r="Y1522" s="3320"/>
      <c r="AA1522" s="3301"/>
      <c r="AB1522" s="3409"/>
      <c r="AE1522" s="2548"/>
    </row>
    <row r="1523" spans="2:31" x14ac:dyDescent="0.2">
      <c r="B1523" s="2991" t="s">
        <v>626</v>
      </c>
      <c r="C1523" s="2409">
        <v>44621</v>
      </c>
      <c r="D1523" s="2009">
        <v>35</v>
      </c>
      <c r="E1523" s="2010" t="s">
        <v>836</v>
      </c>
      <c r="F1523" s="2793" t="s">
        <v>906</v>
      </c>
      <c r="G1523" s="2410">
        <v>4.594907407407408E-2</v>
      </c>
      <c r="H1523" s="2411">
        <v>12.5</v>
      </c>
      <c r="I1523" s="2412">
        <f t="shared" si="239"/>
        <v>3.6759259259259262E-3</v>
      </c>
      <c r="J1523" s="2413">
        <v>136</v>
      </c>
      <c r="K1523" s="2414">
        <v>88</v>
      </c>
      <c r="L1523" s="2816">
        <v>232</v>
      </c>
      <c r="M1523" s="2840">
        <v>54</v>
      </c>
      <c r="N1523" s="2368">
        <f t="shared" si="240"/>
        <v>1.0997492537313434</v>
      </c>
      <c r="O1523" s="2415" t="s">
        <v>1460</v>
      </c>
      <c r="P1523" s="2370">
        <f>IFERROR(VLOOKUP(F1523,Trainingsarten!$A$9:$N$84,12,FALSE),"")</f>
        <v>194.60000000000002</v>
      </c>
      <c r="Q1523" s="2432" t="s">
        <v>437</v>
      </c>
      <c r="R1523" s="2537">
        <f>IFERROR(VLOOKUP(F1523,Trainingsarten!$A$9:$N$84,14,FALSE),"")</f>
        <v>212.96</v>
      </c>
      <c r="S1523" s="2419">
        <f t="shared" si="241"/>
        <v>1.7058823529411764</v>
      </c>
      <c r="T1523" s="2009">
        <f t="shared" si="242"/>
        <v>59.949214211631137</v>
      </c>
      <c r="U1523" s="2009">
        <f t="shared" si="243"/>
        <v>41.886421870216637</v>
      </c>
      <c r="V1523" s="2009">
        <f t="shared" si="244"/>
        <v>-14.512382794485951</v>
      </c>
      <c r="W1523" s="3284">
        <f t="shared" si="245"/>
        <v>1.4312326413886898</v>
      </c>
      <c r="X1523" s="3296"/>
      <c r="Y1523" s="3320"/>
      <c r="AA1523" s="3301"/>
      <c r="AB1523" s="3409"/>
      <c r="AE1523" s="2548"/>
    </row>
    <row r="1524" spans="2:31" ht="16" thickBot="1" x14ac:dyDescent="0.25">
      <c r="B1524" s="2979">
        <f t="shared" ref="B1524" si="266">SUM(H1522:H1528)</f>
        <v>35.020000000000003</v>
      </c>
      <c r="C1524" s="2409">
        <v>44622</v>
      </c>
      <c r="D1524" s="2009">
        <v>36</v>
      </c>
      <c r="E1524" s="2010" t="s">
        <v>836</v>
      </c>
      <c r="F1524" s="2792" t="s">
        <v>919</v>
      </c>
      <c r="G1524" s="2410">
        <v>3.1296296296296301E-2</v>
      </c>
      <c r="H1524" s="2411">
        <v>8.09</v>
      </c>
      <c r="I1524" s="2412">
        <f t="shared" si="239"/>
        <v>3.8685162294556617E-3</v>
      </c>
      <c r="J1524" s="2413">
        <v>135</v>
      </c>
      <c r="K1524" s="2414">
        <v>60</v>
      </c>
      <c r="L1524" s="2816">
        <v>211</v>
      </c>
      <c r="M1524" s="2840">
        <v>13</v>
      </c>
      <c r="N1524" s="2368">
        <f t="shared" si="240"/>
        <v>1.0526059443204254</v>
      </c>
      <c r="O1524" s="2415" t="s">
        <v>1463</v>
      </c>
      <c r="P1524" s="2370">
        <f>IFERROR(VLOOKUP(F1524,Trainingsarten!$A$9:$N$84,12,FALSE),"")</f>
        <v>279.29999999999995</v>
      </c>
      <c r="Q1524" s="2432" t="s">
        <v>437</v>
      </c>
      <c r="R1524" s="2537">
        <f>IFERROR(VLOOKUP(F1524,Trainingsarten!$A$9:$N$84,14,FALSE),"")</f>
        <v>314.60000000000002</v>
      </c>
      <c r="S1524" s="2419">
        <f t="shared" si="241"/>
        <v>1.5629629629629629</v>
      </c>
      <c r="T1524" s="2009">
        <f t="shared" si="242"/>
        <v>59.956469324255259</v>
      </c>
      <c r="U1524" s="2009">
        <f t="shared" si="243"/>
        <v>42.317697539973381</v>
      </c>
      <c r="V1524" s="2009">
        <f t="shared" si="244"/>
        <v>-18.0627923414145</v>
      </c>
      <c r="W1524" s="3284">
        <f t="shared" si="245"/>
        <v>1.4168178518602119</v>
      </c>
      <c r="X1524" s="3296"/>
      <c r="Y1524" s="3320"/>
      <c r="AA1524" s="3301"/>
      <c r="AB1524" s="3409"/>
      <c r="AE1524" s="2548"/>
    </row>
    <row r="1525" spans="2:31" x14ac:dyDescent="0.2">
      <c r="B1525" s="2992" t="s">
        <v>628</v>
      </c>
      <c r="C1525" s="2409">
        <v>44623</v>
      </c>
      <c r="D1525" s="2009"/>
      <c r="E1525" s="2010"/>
      <c r="F1525" s="2792"/>
      <c r="G1525" s="2410"/>
      <c r="H1525" s="2411" t="str">
        <f>IFERROR(VLOOKUP(F1525,Trainingsarten!$A$9:$K$84,10,FALSE),"")</f>
        <v/>
      </c>
      <c r="I1525" s="2412" t="str">
        <f t="shared" si="239"/>
        <v/>
      </c>
      <c r="J1525" s="2413"/>
      <c r="K1525" s="2414" t="str">
        <f>IFERROR(VLOOKUP(F1525,Trainingsarten!$A$9:$K$84,11,FALSE),"0")</f>
        <v>0</v>
      </c>
      <c r="L1525" s="2816"/>
      <c r="M1525" s="2840"/>
      <c r="N1525" s="2368" t="str">
        <f t="shared" si="240"/>
        <v/>
      </c>
      <c r="O1525" s="2415"/>
      <c r="P1525" s="2370" t="str">
        <f>IFERROR(VLOOKUP(F1525,Trainingsarten!$A$9:$N$84,12,FALSE),"")</f>
        <v/>
      </c>
      <c r="Q1525" s="2432" t="s">
        <v>437</v>
      </c>
      <c r="R1525" s="2537" t="str">
        <f>IFERROR(VLOOKUP(F1525,Trainingsarten!$A$9:$N$84,14,FALSE),"")</f>
        <v/>
      </c>
      <c r="S1525" s="2419" t="str">
        <f t="shared" si="241"/>
        <v/>
      </c>
      <c r="T1525" s="2009">
        <f t="shared" si="242"/>
        <v>51.39125942079022</v>
      </c>
      <c r="U1525" s="2009">
        <f t="shared" si="243"/>
        <v>41.310133312831155</v>
      </c>
      <c r="V1525" s="2009">
        <f t="shared" si="244"/>
        <v>-17.638771784281879</v>
      </c>
      <c r="W1525" s="3284">
        <f t="shared" si="245"/>
        <v>1.2440351869992106</v>
      </c>
      <c r="X1525" s="3296"/>
      <c r="Y1525" s="3320"/>
      <c r="AA1525" s="3301"/>
      <c r="AB1525" s="3409"/>
      <c r="AE1525" s="2548"/>
    </row>
    <row r="1526" spans="2:31" ht="16" thickBot="1" x14ac:dyDescent="0.25">
      <c r="B1526" s="2993">
        <f t="shared" ref="B1526" si="267">SUM(K1522:K1528)</f>
        <v>254</v>
      </c>
      <c r="C1526" s="2562">
        <v>44624</v>
      </c>
      <c r="D1526" s="2563">
        <v>37</v>
      </c>
      <c r="E1526" s="2564" t="s">
        <v>836</v>
      </c>
      <c r="F1526" s="2794" t="s">
        <v>862</v>
      </c>
      <c r="G1526" s="2565">
        <v>4.8969907407407413E-2</v>
      </c>
      <c r="H1526" s="2566">
        <v>8.9700000000000006</v>
      </c>
      <c r="I1526" s="2567">
        <f t="shared" si="239"/>
        <v>5.4592984846608041E-3</v>
      </c>
      <c r="J1526" s="2568">
        <v>142</v>
      </c>
      <c r="K1526" s="2569">
        <v>74</v>
      </c>
      <c r="L1526" s="2816">
        <v>192</v>
      </c>
      <c r="M1526" s="2840">
        <v>501</v>
      </c>
      <c r="N1526" s="2368"/>
      <c r="O1526" s="2571" t="s">
        <v>868</v>
      </c>
      <c r="P1526" s="2572" t="str">
        <f>IFERROR(VLOOKUP(F1526,Trainingsarten!$A$9:$N$84,12,FALSE),"")</f>
        <v/>
      </c>
      <c r="Q1526" s="2573" t="s">
        <v>437</v>
      </c>
      <c r="R1526" s="2574" t="str">
        <f>IFERROR(VLOOKUP(F1526,Trainingsarten!$A$9:$N$84,14,FALSE),"")</f>
        <v/>
      </c>
      <c r="S1526" s="2575"/>
      <c r="T1526" s="2563">
        <f t="shared" si="242"/>
        <v>54.621079503534474</v>
      </c>
      <c r="U1526" s="2563">
        <f t="shared" si="243"/>
        <v>42.088463472049462</v>
      </c>
      <c r="V1526" s="2563">
        <f t="shared" si="244"/>
        <v>-10.081126107959065</v>
      </c>
      <c r="W1526" s="3284">
        <f t="shared" si="245"/>
        <v>1.2977684381328818</v>
      </c>
      <c r="X1526" s="3296"/>
      <c r="Y1526" s="3320"/>
      <c r="AA1526" s="3301"/>
      <c r="AB1526" s="3409"/>
      <c r="AE1526" s="2548"/>
    </row>
    <row r="1527" spans="2:31" x14ac:dyDescent="0.2">
      <c r="B1527" s="2994" t="s">
        <v>761</v>
      </c>
      <c r="C1527" s="2441">
        <v>44625</v>
      </c>
      <c r="D1527" s="1111"/>
      <c r="E1527" s="1112"/>
      <c r="F1527" s="2791"/>
      <c r="G1527" s="2442"/>
      <c r="H1527" s="2443" t="str">
        <f>IFERROR(VLOOKUP(F1527,Trainingsarten!$A$9:$K$84,10,FALSE),"")</f>
        <v/>
      </c>
      <c r="I1527" s="2444" t="str">
        <f t="shared" si="239"/>
        <v/>
      </c>
      <c r="J1527" s="1320"/>
      <c r="K1527" s="2445" t="str">
        <f>IFERROR(VLOOKUP(F1527,Trainingsarten!$A$9:$K$84,11,FALSE),"0")</f>
        <v>0</v>
      </c>
      <c r="L1527" s="2819"/>
      <c r="M1527" s="1320"/>
      <c r="N1527" s="1119" t="str">
        <f t="shared" si="240"/>
        <v/>
      </c>
      <c r="O1527" s="2446"/>
      <c r="P1527" s="1121" t="str">
        <f>IFERROR(VLOOKUP(F1527,Trainingsarten!$A$9:$N$84,12,FALSE),"")</f>
        <v/>
      </c>
      <c r="Q1527" s="2447" t="s">
        <v>437</v>
      </c>
      <c r="R1527" s="2448" t="str">
        <f>IFERROR(VLOOKUP(F1527,Trainingsarten!$A$9:$N$84,14,FALSE),"")</f>
        <v/>
      </c>
      <c r="S1527" s="2449" t="str">
        <f t="shared" si="241"/>
        <v/>
      </c>
      <c r="T1527" s="1111">
        <f t="shared" si="242"/>
        <v>46.818068145886691</v>
      </c>
      <c r="U1527" s="1111">
        <f t="shared" si="243"/>
        <v>41.086357198905425</v>
      </c>
      <c r="V1527" s="1111">
        <f t="shared" si="244"/>
        <v>-12.532616031485013</v>
      </c>
      <c r="W1527" s="3286">
        <f t="shared" si="245"/>
        <v>1.13950399445814</v>
      </c>
      <c r="X1527" s="3296"/>
      <c r="Y1527" s="3320"/>
      <c r="AA1527" s="3301"/>
      <c r="AB1527" s="3409"/>
      <c r="AE1527" s="2548"/>
    </row>
    <row r="1528" spans="2:31" ht="16" thickBot="1" x14ac:dyDescent="0.25">
      <c r="B1528" s="3128">
        <f t="shared" ref="B1528" si="268">AVERAGE(W1522:W1528)</f>
        <v>1.2827326757554744</v>
      </c>
      <c r="C1528" s="1631">
        <v>44626</v>
      </c>
      <c r="D1528" s="1108">
        <v>38</v>
      </c>
      <c r="E1528" s="1261" t="s">
        <v>835</v>
      </c>
      <c r="F1528" s="2792" t="s">
        <v>950</v>
      </c>
      <c r="G1528" s="2433">
        <v>2.2476851851851855E-2</v>
      </c>
      <c r="H1528" s="2434">
        <v>5.46</v>
      </c>
      <c r="I1528" s="2435">
        <f t="shared" si="239"/>
        <v>4.1166395333062005E-3</v>
      </c>
      <c r="J1528" s="1310">
        <v>126</v>
      </c>
      <c r="K1528" s="2436">
        <v>32</v>
      </c>
      <c r="L1528" s="2818">
        <v>202</v>
      </c>
      <c r="M1528" s="2798">
        <v>8</v>
      </c>
      <c r="N1528" s="1223">
        <f t="shared" si="240"/>
        <v>1.0723415887594994</v>
      </c>
      <c r="O1528" s="2437" t="s">
        <v>953</v>
      </c>
      <c r="P1528" s="1519">
        <f>IFERROR(VLOOKUP(F1528,Trainingsarten!$A$9:$N$84,12,FALSE),"")</f>
        <v>169.39999999999998</v>
      </c>
      <c r="Q1528" s="2438" t="s">
        <v>437</v>
      </c>
      <c r="R1528" s="2439">
        <f>IFERROR(VLOOKUP(F1528,Trainingsarten!$A$9:$N$84,14,FALSE),"")</f>
        <v>193.60000000000002</v>
      </c>
      <c r="S1528" s="2440">
        <f t="shared" si="241"/>
        <v>1.6031746031746033</v>
      </c>
      <c r="T1528" s="1108">
        <f t="shared" si="242"/>
        <v>44.701201267902881</v>
      </c>
      <c r="U1528" s="1108">
        <f t="shared" si="243"/>
        <v>40.870015360836248</v>
      </c>
      <c r="V1528" s="1108">
        <f t="shared" si="244"/>
        <v>-5.7317109469812664</v>
      </c>
      <c r="W1528" s="3285">
        <f t="shared" si="245"/>
        <v>1.0937407503579721</v>
      </c>
      <c r="X1528" s="3296"/>
      <c r="Y1528" s="3320"/>
      <c r="AA1528" s="3301"/>
      <c r="AB1528" s="3409"/>
    </row>
    <row r="1529" spans="2:31" ht="16" thickBot="1" x14ac:dyDescent="0.25">
      <c r="B1529" s="2986">
        <f t="shared" ref="B1529" si="269">B1522+1</f>
        <v>10</v>
      </c>
      <c r="C1529" s="2399">
        <v>44627</v>
      </c>
      <c r="D1529" s="2292"/>
      <c r="E1529" s="2293"/>
      <c r="F1529" s="2792"/>
      <c r="G1529" s="2400"/>
      <c r="H1529" s="2401" t="str">
        <f>IFERROR(VLOOKUP(F1529,Trainingsarten!$A$9:$K$84,10,FALSE),"")</f>
        <v/>
      </c>
      <c r="I1529" s="2402" t="str">
        <f t="shared" si="239"/>
        <v/>
      </c>
      <c r="J1529" s="2403"/>
      <c r="K1529" s="2404" t="str">
        <f>IFERROR(VLOOKUP(F1529,Trainingsarten!$A$9:$K$84,11,FALSE),"0")</f>
        <v>0</v>
      </c>
      <c r="L1529" s="2815"/>
      <c r="M1529" s="2591"/>
      <c r="N1529" s="2296" t="str">
        <f t="shared" si="240"/>
        <v/>
      </c>
      <c r="O1529" s="2405"/>
      <c r="P1529" s="2298" t="str">
        <f>IFERROR(VLOOKUP(F1529,Trainingsarten!$A$9:$N$84,12,FALSE),"")</f>
        <v/>
      </c>
      <c r="Q1529" s="2406" t="s">
        <v>437</v>
      </c>
      <c r="R1529" s="2407" t="str">
        <f>IFERROR(VLOOKUP(F1529,Trainingsarten!$A$9:$N$84,14,FALSE),"")</f>
        <v/>
      </c>
      <c r="S1529" s="2408" t="str">
        <f t="shared" si="241"/>
        <v/>
      </c>
      <c r="T1529" s="2292">
        <f t="shared" si="242"/>
        <v>38.315315372488186</v>
      </c>
      <c r="U1529" s="2292">
        <f t="shared" si="243"/>
        <v>39.896919757006813</v>
      </c>
      <c r="V1529" s="2292">
        <f t="shared" si="244"/>
        <v>-3.831185907066633</v>
      </c>
      <c r="W1529" s="3283">
        <f t="shared" si="245"/>
        <v>0.96035773202163399</v>
      </c>
      <c r="X1529" s="3296"/>
      <c r="Y1529" s="3320"/>
      <c r="AA1529" s="3301"/>
      <c r="AB1529" s="3409"/>
      <c r="AE1529" s="2548"/>
    </row>
    <row r="1530" spans="2:31" x14ac:dyDescent="0.2">
      <c r="B1530" s="2991" t="s">
        <v>626</v>
      </c>
      <c r="C1530" s="2409">
        <v>44628</v>
      </c>
      <c r="D1530" s="2009">
        <v>39</v>
      </c>
      <c r="E1530" s="2010" t="s">
        <v>836</v>
      </c>
      <c r="F1530" s="2792" t="s">
        <v>819</v>
      </c>
      <c r="G1530" s="2410">
        <v>3.9398148148148147E-2</v>
      </c>
      <c r="H1530" s="2411">
        <v>10.119999999999999</v>
      </c>
      <c r="I1530" s="2412">
        <f t="shared" si="239"/>
        <v>3.8930976430976432E-3</v>
      </c>
      <c r="J1530" s="2413">
        <v>132</v>
      </c>
      <c r="K1530" s="2414">
        <v>67</v>
      </c>
      <c r="L1530" s="2816">
        <v>219</v>
      </c>
      <c r="M1530" s="2840">
        <v>33</v>
      </c>
      <c r="N1530" s="2368">
        <f t="shared" si="240"/>
        <v>1.0994572591587517</v>
      </c>
      <c r="O1530" s="2415" t="s">
        <v>953</v>
      </c>
      <c r="P1530" s="2370">
        <f>IFERROR(VLOOKUP(F1530,Trainingsarten!$A$9:$N$84,12,FALSE),"")</f>
        <v>194.60000000000002</v>
      </c>
      <c r="Q1530" s="2432" t="s">
        <v>437</v>
      </c>
      <c r="R1530" s="2537">
        <f>IFERROR(VLOOKUP(F1530,Trainingsarten!$A$9:$N$84,14,FALSE),"")</f>
        <v>212.96</v>
      </c>
      <c r="S1530" s="2419">
        <f t="shared" si="241"/>
        <v>1.6590909090909092</v>
      </c>
      <c r="T1530" s="2009">
        <f t="shared" si="242"/>
        <v>42.413127462132728</v>
      </c>
      <c r="U1530" s="2009">
        <f t="shared" si="243"/>
        <v>40.542231191363797</v>
      </c>
      <c r="V1530" s="2009">
        <f t="shared" si="244"/>
        <v>1.5816043845186272</v>
      </c>
      <c r="W1530" s="3284">
        <f t="shared" si="245"/>
        <v>1.0461468502297788</v>
      </c>
      <c r="X1530" s="3296"/>
      <c r="Y1530" s="3320"/>
      <c r="AA1530" s="3301"/>
      <c r="AB1530" s="3409"/>
      <c r="AE1530" s="2548"/>
    </row>
    <row r="1531" spans="2:31" ht="16" thickBot="1" x14ac:dyDescent="0.25">
      <c r="B1531" s="2979">
        <f t="shared" ref="B1531" si="270">SUM(H1529:H1535)</f>
        <v>35.78</v>
      </c>
      <c r="C1531" s="2409">
        <v>44629</v>
      </c>
      <c r="D1531" s="2009"/>
      <c r="E1531" s="2010"/>
      <c r="F1531" s="2792"/>
      <c r="G1531" s="2410"/>
      <c r="H1531" s="2411" t="str">
        <f>IFERROR(VLOOKUP(F1531,Trainingsarten!$A$9:$K$84,10,FALSE),"")</f>
        <v/>
      </c>
      <c r="I1531" s="2412" t="str">
        <f t="shared" si="239"/>
        <v/>
      </c>
      <c r="J1531" s="2413"/>
      <c r="K1531" s="2414" t="str">
        <f>IFERROR(VLOOKUP(F1531,Trainingsarten!$A$9:$K$84,11,FALSE),"0")</f>
        <v>0</v>
      </c>
      <c r="L1531" s="2816"/>
      <c r="M1531" s="2840"/>
      <c r="N1531" s="2368" t="str">
        <f t="shared" si="240"/>
        <v/>
      </c>
      <c r="O1531" s="2415"/>
      <c r="P1531" s="2370" t="str">
        <f>IFERROR(VLOOKUP(F1531,Trainingsarten!$A$9:$N$84,12,FALSE),"")</f>
        <v/>
      </c>
      <c r="Q1531" s="2432" t="s">
        <v>437</v>
      </c>
      <c r="R1531" s="2537" t="str">
        <f>IFERROR(VLOOKUP(F1531,Trainingsarten!$A$9:$N$84,14,FALSE),"")</f>
        <v/>
      </c>
      <c r="S1531" s="2419" t="str">
        <f t="shared" si="241"/>
        <v/>
      </c>
      <c r="T1531" s="2009">
        <f t="shared" si="242"/>
        <v>36.354109253256624</v>
      </c>
      <c r="U1531" s="2009">
        <f t="shared" si="243"/>
        <v>39.576939972521799</v>
      </c>
      <c r="V1531" s="2009">
        <f t="shared" si="244"/>
        <v>-1.8708962707689309</v>
      </c>
      <c r="W1531" s="3284">
        <f t="shared" si="245"/>
        <v>0.91856796605541557</v>
      </c>
      <c r="X1531" s="3296"/>
      <c r="Y1531" s="3320"/>
      <c r="AA1531" s="3301"/>
      <c r="AB1531" s="3409"/>
      <c r="AE1531" s="2548"/>
    </row>
    <row r="1532" spans="2:31" x14ac:dyDescent="0.2">
      <c r="B1532" s="2992" t="s">
        <v>628</v>
      </c>
      <c r="C1532" s="2409">
        <v>44630</v>
      </c>
      <c r="D1532" s="2009">
        <v>40</v>
      </c>
      <c r="E1532" s="2010" t="s">
        <v>836</v>
      </c>
      <c r="F1532" s="2792" t="s">
        <v>819</v>
      </c>
      <c r="G1532" s="2410">
        <v>3.8287037037037036E-2</v>
      </c>
      <c r="H1532" s="2411">
        <v>10.119999999999999</v>
      </c>
      <c r="I1532" s="2412">
        <f t="shared" si="239"/>
        <v>3.7833040550431856E-3</v>
      </c>
      <c r="J1532" s="2413">
        <v>136</v>
      </c>
      <c r="K1532" s="2414">
        <v>69</v>
      </c>
      <c r="L1532" s="2816">
        <v>226</v>
      </c>
      <c r="M1532" s="2840">
        <v>34</v>
      </c>
      <c r="N1532" s="2368">
        <f t="shared" si="240"/>
        <v>1.1026016164238097</v>
      </c>
      <c r="O1532" s="2415" t="s">
        <v>911</v>
      </c>
      <c r="P1532" s="2370">
        <f>IFERROR(VLOOKUP(F1532,Trainingsarten!$A$9:$N$84,12,FALSE),"")</f>
        <v>194.60000000000002</v>
      </c>
      <c r="Q1532" s="2432" t="s">
        <v>437</v>
      </c>
      <c r="R1532" s="2537">
        <f>IFERROR(VLOOKUP(F1532,Trainingsarten!$A$9:$N$84,14,FALSE),"")</f>
        <v>212.96</v>
      </c>
      <c r="S1532" s="2419">
        <f t="shared" si="241"/>
        <v>1.661764705882353</v>
      </c>
      <c r="T1532" s="2009">
        <f t="shared" si="242"/>
        <v>41.017807931362817</v>
      </c>
      <c r="U1532" s="2009">
        <f t="shared" si="243"/>
        <v>40.277489020795088</v>
      </c>
      <c r="V1532" s="2009">
        <f t="shared" si="244"/>
        <v>3.2228307192651755</v>
      </c>
      <c r="W1532" s="3284">
        <f t="shared" si="245"/>
        <v>1.0183804633448104</v>
      </c>
      <c r="X1532" s="3296"/>
      <c r="Y1532" s="3320"/>
      <c r="AA1532" s="3301"/>
      <c r="AB1532" s="3409"/>
      <c r="AE1532" s="2548"/>
    </row>
    <row r="1533" spans="2:31" ht="16" thickBot="1" x14ac:dyDescent="0.25">
      <c r="B1533" s="2993">
        <f t="shared" ref="B1533" si="271">SUM(K1529:K1535)</f>
        <v>240</v>
      </c>
      <c r="C1533" s="2562">
        <v>44631</v>
      </c>
      <c r="D1533" s="2563"/>
      <c r="E1533" s="2564"/>
      <c r="F1533" s="2792"/>
      <c r="G1533" s="2565"/>
      <c r="H1533" s="2566" t="str">
        <f>IFERROR(VLOOKUP(F1533,Trainingsarten!$A$9:$K$84,10,FALSE),"")</f>
        <v/>
      </c>
      <c r="I1533" s="2567" t="str">
        <f t="shared" si="239"/>
        <v/>
      </c>
      <c r="J1533" s="2568"/>
      <c r="K1533" s="2569" t="str">
        <f>IFERROR(VLOOKUP(F1533,Trainingsarten!$A$9:$K$84,11,FALSE),"0")</f>
        <v>0</v>
      </c>
      <c r="L1533" s="2816"/>
      <c r="M1533" s="2840"/>
      <c r="N1533" s="2570" t="str">
        <f t="shared" si="240"/>
        <v/>
      </c>
      <c r="O1533" s="2571"/>
      <c r="P1533" s="2572" t="str">
        <f>IFERROR(VLOOKUP(F1533,Trainingsarten!$A$9:$N$84,12,FALSE),"")</f>
        <v/>
      </c>
      <c r="Q1533" s="2573" t="s">
        <v>437</v>
      </c>
      <c r="R1533" s="2574" t="str">
        <f>IFERROR(VLOOKUP(F1533,Trainingsarten!$A$9:$N$84,14,FALSE),"")</f>
        <v/>
      </c>
      <c r="S1533" s="2575" t="str">
        <f t="shared" si="241"/>
        <v/>
      </c>
      <c r="T1533" s="2563">
        <f t="shared" si="242"/>
        <v>35.158121084025275</v>
      </c>
      <c r="U1533" s="2563">
        <f t="shared" si="243"/>
        <v>39.318501186966635</v>
      </c>
      <c r="V1533" s="2563">
        <f t="shared" si="244"/>
        <v>-0.74031891056772992</v>
      </c>
      <c r="W1533" s="3284">
        <f t="shared" si="245"/>
        <v>0.89418772391251655</v>
      </c>
      <c r="X1533" s="3296"/>
      <c r="Y1533" s="3320"/>
      <c r="AA1533" s="3301"/>
      <c r="AB1533" s="3409"/>
      <c r="AE1533" s="2548"/>
    </row>
    <row r="1534" spans="2:31" x14ac:dyDescent="0.2">
      <c r="B1534" s="2994" t="s">
        <v>761</v>
      </c>
      <c r="C1534" s="2441">
        <v>44632</v>
      </c>
      <c r="D1534" s="1111">
        <v>41</v>
      </c>
      <c r="E1534" s="1112" t="s">
        <v>836</v>
      </c>
      <c r="F1534" s="2792" t="s">
        <v>809</v>
      </c>
      <c r="G1534" s="2442">
        <v>5.9895833333333336E-2</v>
      </c>
      <c r="H1534" s="2443">
        <v>15.54</v>
      </c>
      <c r="I1534" s="2444">
        <f t="shared" si="239"/>
        <v>3.8543007293007298E-3</v>
      </c>
      <c r="J1534" s="1320">
        <v>139</v>
      </c>
      <c r="K1534" s="2445">
        <v>104</v>
      </c>
      <c r="L1534" s="2819">
        <v>221</v>
      </c>
      <c r="M1534" s="1320">
        <v>63</v>
      </c>
      <c r="N1534" s="1119">
        <f t="shared" si="240"/>
        <v>1.0984411917247741</v>
      </c>
      <c r="O1534" s="2446" t="s">
        <v>953</v>
      </c>
      <c r="P1534" s="1121">
        <f>IFERROR(VLOOKUP(F1534,Trainingsarten!$A$9:$N$84,12,FALSE),"")</f>
        <v>194.60000000000002</v>
      </c>
      <c r="Q1534" s="2447" t="s">
        <v>437</v>
      </c>
      <c r="R1534" s="2448">
        <f>IFERROR(VLOOKUP(F1534,Trainingsarten!$A$9:$N$84,14,FALSE),"")</f>
        <v>212.96</v>
      </c>
      <c r="S1534" s="2449">
        <f t="shared" si="241"/>
        <v>1.5899280575539569</v>
      </c>
      <c r="T1534" s="1111">
        <f t="shared" si="242"/>
        <v>44.992675214878808</v>
      </c>
      <c r="U1534" s="1111">
        <f t="shared" si="243"/>
        <v>40.858536872991237</v>
      </c>
      <c r="V1534" s="1111">
        <f t="shared" si="244"/>
        <v>4.1603801029413603</v>
      </c>
      <c r="W1534" s="3286">
        <f t="shared" si="245"/>
        <v>1.1011817519246601</v>
      </c>
      <c r="X1534" s="3296"/>
      <c r="Y1534" s="3320"/>
      <c r="AA1534" s="3301"/>
      <c r="AB1534" s="3409"/>
      <c r="AE1534" s="2548"/>
    </row>
    <row r="1535" spans="2:31" ht="16" thickBot="1" x14ac:dyDescent="0.25">
      <c r="B1535" s="3128">
        <f t="shared" ref="B1535" si="272">AVERAGE(W1529:W1535)</f>
        <v>0.98653054026595532</v>
      </c>
      <c r="C1535" s="1631">
        <v>44633</v>
      </c>
      <c r="D1535" s="1108"/>
      <c r="E1535" s="1261"/>
      <c r="F1535" s="2792"/>
      <c r="G1535" s="2433"/>
      <c r="H1535" s="2434" t="str">
        <f>IFERROR(VLOOKUP(F1535,Trainingsarten!$A$9:$K$84,10,FALSE),"")</f>
        <v/>
      </c>
      <c r="I1535" s="2435" t="str">
        <f t="shared" si="239"/>
        <v/>
      </c>
      <c r="J1535" s="1310"/>
      <c r="K1535" s="2436" t="str">
        <f>IFERROR(VLOOKUP(F1535,Trainingsarten!$A$9:$K$84,11,FALSE),"0")</f>
        <v>0</v>
      </c>
      <c r="L1535" s="2818"/>
      <c r="M1535" s="2798"/>
      <c r="N1535" s="1223" t="str">
        <f t="shared" si="240"/>
        <v/>
      </c>
      <c r="O1535" s="2437"/>
      <c r="P1535" s="1519" t="str">
        <f>IFERROR(VLOOKUP(F1535,Trainingsarten!$A$9:$N$84,12,FALSE),"")</f>
        <v/>
      </c>
      <c r="Q1535" s="2438" t="s">
        <v>437</v>
      </c>
      <c r="R1535" s="2439" t="str">
        <f>IFERROR(VLOOKUP(F1535,Trainingsarten!$A$9:$N$84,14,FALSE),"")</f>
        <v/>
      </c>
      <c r="S1535" s="2440" t="str">
        <f t="shared" si="241"/>
        <v/>
      </c>
      <c r="T1535" s="1108">
        <f t="shared" si="242"/>
        <v>38.565150184181839</v>
      </c>
      <c r="U1535" s="1108">
        <f t="shared" si="243"/>
        <v>39.885714566491444</v>
      </c>
      <c r="V1535" s="1108">
        <f t="shared" si="244"/>
        <v>-4.1341383418875708</v>
      </c>
      <c r="W1535" s="3285">
        <f t="shared" si="245"/>
        <v>0.96689129437287225</v>
      </c>
      <c r="X1535" s="3296"/>
      <c r="Y1535" s="3320"/>
      <c r="AA1535" s="3301"/>
      <c r="AB1535" s="3409"/>
      <c r="AE1535" s="2548"/>
    </row>
    <row r="1536" spans="2:31" ht="16" thickBot="1" x14ac:dyDescent="0.25">
      <c r="B1536" s="2986">
        <f t="shared" ref="B1536" si="273">B1529+1</f>
        <v>11</v>
      </c>
      <c r="C1536" s="2399">
        <v>44634</v>
      </c>
      <c r="D1536" s="2292">
        <v>42</v>
      </c>
      <c r="E1536" s="2293" t="s">
        <v>836</v>
      </c>
      <c r="F1536" s="2791" t="s">
        <v>914</v>
      </c>
      <c r="G1536" s="2400">
        <v>3.7337962962962962E-2</v>
      </c>
      <c r="H1536" s="2401">
        <v>9.74</v>
      </c>
      <c r="I1536" s="2402">
        <f t="shared" si="239"/>
        <v>3.8334664233021522E-3</v>
      </c>
      <c r="J1536" s="2403">
        <v>141</v>
      </c>
      <c r="K1536" s="2404">
        <v>75</v>
      </c>
      <c r="L1536" s="2815">
        <v>213</v>
      </c>
      <c r="M1536" s="2591">
        <v>30</v>
      </c>
      <c r="N1536" s="2296">
        <f t="shared" si="240"/>
        <v>1.0529559594225997</v>
      </c>
      <c r="O1536" s="2405" t="s">
        <v>1463</v>
      </c>
      <c r="P1536" s="2298">
        <f>IFERROR(VLOOKUP(F1536,Trainingsarten!$A$9:$N$84,12,FALSE),"")</f>
        <v>255.10000000000002</v>
      </c>
      <c r="Q1536" s="2406" t="s">
        <v>437</v>
      </c>
      <c r="R1536" s="2407">
        <f>IFERROR(VLOOKUP(F1536,Trainingsarten!$A$9:$N$84,14,FALSE),"")</f>
        <v>278.29999999999995</v>
      </c>
      <c r="S1536" s="2408">
        <f t="shared" si="241"/>
        <v>1.5106382978723405</v>
      </c>
      <c r="T1536" s="2292">
        <f t="shared" si="242"/>
        <v>43.770128729298719</v>
      </c>
      <c r="U1536" s="2292">
        <f t="shared" si="243"/>
        <v>40.721768981574982</v>
      </c>
      <c r="V1536" s="2292">
        <f t="shared" si="244"/>
        <v>1.3205643823096054</v>
      </c>
      <c r="W1536" s="3283">
        <f t="shared" si="245"/>
        <v>1.0748582348940441</v>
      </c>
      <c r="X1536" s="3296"/>
      <c r="Y1536" s="3320"/>
      <c r="AA1536" s="3301"/>
      <c r="AB1536" s="3409"/>
      <c r="AE1536" s="2548"/>
    </row>
    <row r="1537" spans="2:31" x14ac:dyDescent="0.2">
      <c r="B1537" s="2991" t="s">
        <v>626</v>
      </c>
      <c r="C1537" s="2409">
        <v>44635</v>
      </c>
      <c r="D1537" s="2009">
        <v>43</v>
      </c>
      <c r="E1537" s="2010" t="s">
        <v>836</v>
      </c>
      <c r="F1537" s="2792" t="s">
        <v>950</v>
      </c>
      <c r="G1537" s="2410">
        <v>3.2384259259259258E-2</v>
      </c>
      <c r="H1537" s="2411">
        <v>8.11</v>
      </c>
      <c r="I1537" s="2412">
        <f t="shared" si="239"/>
        <v>3.9931269123624239E-3</v>
      </c>
      <c r="J1537" s="2413">
        <v>127</v>
      </c>
      <c r="K1537" s="2414">
        <v>52</v>
      </c>
      <c r="L1537" s="2816">
        <v>212</v>
      </c>
      <c r="M1537" s="2840">
        <v>23</v>
      </c>
      <c r="N1537" s="2368">
        <f t="shared" si="240"/>
        <v>1.0916612989307468</v>
      </c>
      <c r="O1537" s="2415" t="s">
        <v>1460</v>
      </c>
      <c r="P1537" s="2370">
        <f>IFERROR(VLOOKUP(F1537,Trainingsarten!$A$9:$N$84,12,FALSE),"")</f>
        <v>169.39999999999998</v>
      </c>
      <c r="Q1537" s="2432" t="s">
        <v>437</v>
      </c>
      <c r="R1537" s="2537">
        <f>IFERROR(VLOOKUP(F1537,Trainingsarten!$A$9:$N$84,14,FALSE),"")</f>
        <v>193.60000000000002</v>
      </c>
      <c r="S1537" s="2419">
        <f t="shared" si="241"/>
        <v>1.6692913385826771</v>
      </c>
      <c r="T1537" s="2009">
        <f t="shared" si="242"/>
        <v>44.94582462511319</v>
      </c>
      <c r="U1537" s="2009">
        <f t="shared" si="243"/>
        <v>40.990298291537485</v>
      </c>
      <c r="V1537" s="2009">
        <f t="shared" si="244"/>
        <v>-3.0483597477237367</v>
      </c>
      <c r="W1537" s="3284">
        <f t="shared" si="245"/>
        <v>1.0964990863311754</v>
      </c>
      <c r="X1537" s="3296"/>
      <c r="Y1537" s="3320"/>
      <c r="AA1537" s="3301"/>
      <c r="AB1537" s="3409"/>
      <c r="AE1537" s="2548"/>
    </row>
    <row r="1538" spans="2:31" ht="16" thickBot="1" x14ac:dyDescent="0.25">
      <c r="B1538" s="2979">
        <f t="shared" ref="B1538" si="274">SUM(H1536:H1542)</f>
        <v>53.269999999999996</v>
      </c>
      <c r="C1538" s="2409">
        <v>44636</v>
      </c>
      <c r="D1538" s="2009"/>
      <c r="E1538" s="2010"/>
      <c r="F1538" s="2793"/>
      <c r="G1538" s="2410"/>
      <c r="H1538" s="2411" t="str">
        <f>IFERROR(VLOOKUP(F1538,Trainingsarten!$A$9:$K$84,10,FALSE),"")</f>
        <v/>
      </c>
      <c r="I1538" s="2412" t="str">
        <f t="shared" si="239"/>
        <v/>
      </c>
      <c r="J1538" s="2413"/>
      <c r="K1538" s="2414" t="str">
        <f>IFERROR(VLOOKUP(F1538,Trainingsarten!$A$9:$K$84,11,FALSE),"0")</f>
        <v>0</v>
      </c>
      <c r="L1538" s="2816"/>
      <c r="M1538" s="2840"/>
      <c r="N1538" s="2368" t="str">
        <f t="shared" si="240"/>
        <v/>
      </c>
      <c r="O1538" s="2415"/>
      <c r="P1538" s="2370" t="str">
        <f>IFERROR(VLOOKUP(F1538,Trainingsarten!$A$9:$N$84,12,FALSE),"")</f>
        <v/>
      </c>
      <c r="Q1538" s="2432" t="s">
        <v>437</v>
      </c>
      <c r="R1538" s="2537" t="str">
        <f>IFERROR(VLOOKUP(F1538,Trainingsarten!$A$9:$N$84,14,FALSE),"")</f>
        <v/>
      </c>
      <c r="S1538" s="2419" t="str">
        <f t="shared" si="241"/>
        <v/>
      </c>
      <c r="T1538" s="2009">
        <f t="shared" si="242"/>
        <v>38.524992535811307</v>
      </c>
      <c r="U1538" s="2009">
        <f t="shared" si="243"/>
        <v>40.01433880840564</v>
      </c>
      <c r="V1538" s="2009">
        <f t="shared" si="244"/>
        <v>-3.9555263335757047</v>
      </c>
      <c r="W1538" s="3284">
        <f t="shared" si="245"/>
        <v>0.96277968555908089</v>
      </c>
      <c r="X1538" s="3296"/>
      <c r="Y1538" s="3320"/>
      <c r="AA1538" s="3301"/>
      <c r="AB1538" s="3409"/>
      <c r="AE1538" s="2548"/>
    </row>
    <row r="1539" spans="2:31" x14ac:dyDescent="0.2">
      <c r="B1539" s="2992" t="s">
        <v>628</v>
      </c>
      <c r="C1539" s="2409">
        <v>44637</v>
      </c>
      <c r="D1539" s="2009">
        <v>44</v>
      </c>
      <c r="E1539" s="2010" t="s">
        <v>836</v>
      </c>
      <c r="F1539" s="2790" t="s">
        <v>899</v>
      </c>
      <c r="G1539" s="2410">
        <v>3.3611111111111112E-2</v>
      </c>
      <c r="H1539" s="2411">
        <v>9.75</v>
      </c>
      <c r="I1539" s="2412">
        <f t="shared" si="239"/>
        <v>3.4472934472934472E-3</v>
      </c>
      <c r="J1539" s="2413">
        <v>152</v>
      </c>
      <c r="K1539" s="2414">
        <v>74</v>
      </c>
      <c r="L1539" s="2816">
        <v>239</v>
      </c>
      <c r="M1539" s="2840">
        <v>17</v>
      </c>
      <c r="N1539" s="2368">
        <f t="shared" si="240"/>
        <v>1.0624661308840413</v>
      </c>
      <c r="O1539" s="2415" t="s">
        <v>1463</v>
      </c>
      <c r="P1539" s="2370">
        <f>IFERROR(VLOOKUP(F1539,Trainingsarten!$A$9:$N$84,12,FALSE),"")</f>
        <v>230.89999999999998</v>
      </c>
      <c r="Q1539" s="2432" t="s">
        <v>437</v>
      </c>
      <c r="R1539" s="2537">
        <f>IFERROR(VLOOKUP(F1539,Trainingsarten!$A$9:$N$84,14,FALSE),"")</f>
        <v>254.10000000000002</v>
      </c>
      <c r="S1539" s="2419">
        <f t="shared" si="241"/>
        <v>1.5723684210526316</v>
      </c>
      <c r="T1539" s="2009">
        <f t="shared" si="242"/>
        <v>43.592850744981121</v>
      </c>
      <c r="U1539" s="2009">
        <f t="shared" si="243"/>
        <v>40.823521217729315</v>
      </c>
      <c r="V1539" s="2009">
        <f t="shared" si="244"/>
        <v>1.4893462725943323</v>
      </c>
      <c r="W1539" s="3284">
        <f t="shared" si="245"/>
        <v>1.0678366158686259</v>
      </c>
      <c r="X1539" s="3296"/>
      <c r="Y1539" s="3320"/>
      <c r="AA1539" s="3301"/>
      <c r="AB1539" s="3409"/>
      <c r="AE1539" s="2548"/>
    </row>
    <row r="1540" spans="2:31" ht="16" thickBot="1" x14ac:dyDescent="0.25">
      <c r="B1540" s="2993">
        <f t="shared" ref="B1540" si="275">SUM(K1536:K1542)</f>
        <v>376</v>
      </c>
      <c r="C1540" s="2562">
        <v>44638</v>
      </c>
      <c r="D1540" s="2563">
        <v>45</v>
      </c>
      <c r="E1540" s="2564" t="s">
        <v>836</v>
      </c>
      <c r="F1540" s="2792" t="s">
        <v>950</v>
      </c>
      <c r="G1540" s="2565">
        <v>3.0949074074074077E-2</v>
      </c>
      <c r="H1540" s="2566">
        <v>8.09</v>
      </c>
      <c r="I1540" s="2567">
        <f t="shared" si="239"/>
        <v>3.8255963008744223E-3</v>
      </c>
      <c r="J1540" s="2568">
        <v>129</v>
      </c>
      <c r="K1540" s="2569">
        <v>53</v>
      </c>
      <c r="L1540" s="2816">
        <v>219</v>
      </c>
      <c r="M1540" s="2840">
        <v>21</v>
      </c>
      <c r="N1540" s="2570">
        <f t="shared" si="240"/>
        <v>1.0803940741287383</v>
      </c>
      <c r="O1540" s="2571" t="s">
        <v>1460</v>
      </c>
      <c r="P1540" s="2572">
        <f>IFERROR(VLOOKUP(F1540,Trainingsarten!$A$9:$N$84,12,FALSE),"")</f>
        <v>169.39999999999998</v>
      </c>
      <c r="Q1540" s="2573" t="s">
        <v>437</v>
      </c>
      <c r="R1540" s="2574">
        <f>IFERROR(VLOOKUP(F1540,Trainingsarten!$A$9:$N$84,14,FALSE),"")</f>
        <v>193.60000000000002</v>
      </c>
      <c r="S1540" s="2575">
        <f t="shared" si="241"/>
        <v>1.6976744186046511</v>
      </c>
      <c r="T1540" s="2563">
        <f t="shared" si="242"/>
        <v>44.936729209983817</v>
      </c>
      <c r="U1540" s="2563">
        <f t="shared" si="243"/>
        <v>41.113437379211952</v>
      </c>
      <c r="V1540" s="2563">
        <f t="shared" si="244"/>
        <v>-2.7693295272518057</v>
      </c>
      <c r="W1540" s="3284">
        <f t="shared" si="245"/>
        <v>1.0929937284374336</v>
      </c>
      <c r="X1540" s="3296"/>
      <c r="Y1540" s="3320"/>
      <c r="AA1540" s="3301"/>
      <c r="AB1540" s="3409"/>
      <c r="AE1540" s="2548"/>
    </row>
    <row r="1541" spans="2:31" x14ac:dyDescent="0.2">
      <c r="B1541" s="2994" t="s">
        <v>761</v>
      </c>
      <c r="C1541" s="2441">
        <v>44639</v>
      </c>
      <c r="D1541" s="1111"/>
      <c r="E1541" s="1112"/>
      <c r="F1541" s="2793"/>
      <c r="G1541" s="2442"/>
      <c r="H1541" s="2443" t="str">
        <f>IFERROR(VLOOKUP(F1541,Trainingsarten!$A$9:$K$84,10,FALSE),"")</f>
        <v/>
      </c>
      <c r="I1541" s="2444" t="str">
        <f t="shared" si="239"/>
        <v/>
      </c>
      <c r="J1541" s="1320"/>
      <c r="K1541" s="2445" t="str">
        <f>IFERROR(VLOOKUP(F1541,Trainingsarten!$A$9:$K$84,11,FALSE),"0")</f>
        <v>0</v>
      </c>
      <c r="L1541" s="2819"/>
      <c r="M1541" s="1320"/>
      <c r="N1541" s="1119" t="str">
        <f t="shared" si="240"/>
        <v/>
      </c>
      <c r="O1541" s="2446"/>
      <c r="P1541" s="1121" t="str">
        <f>IFERROR(VLOOKUP(F1541,Trainingsarten!$A$9:$N$84,12,FALSE),"")</f>
        <v/>
      </c>
      <c r="Q1541" s="2447" t="s">
        <v>437</v>
      </c>
      <c r="R1541" s="2448" t="str">
        <f>IFERROR(VLOOKUP(F1541,Trainingsarten!$A$9:$N$84,14,FALSE),"")</f>
        <v/>
      </c>
      <c r="S1541" s="2449" t="str">
        <f t="shared" si="241"/>
        <v/>
      </c>
      <c r="T1541" s="1111">
        <f t="shared" si="242"/>
        <v>38.517196465700415</v>
      </c>
      <c r="U1541" s="1111">
        <f t="shared" si="243"/>
        <v>40.134546013040236</v>
      </c>
      <c r="V1541" s="1111">
        <f t="shared" si="244"/>
        <v>-3.8232918307718649</v>
      </c>
      <c r="W1541" s="3286">
        <f t="shared" si="245"/>
        <v>0.95970181033530755</v>
      </c>
      <c r="X1541" s="3296"/>
      <c r="Y1541" s="3320"/>
      <c r="AA1541" s="3301"/>
      <c r="AB1541" s="3409"/>
      <c r="AE1541" s="2548"/>
    </row>
    <row r="1542" spans="2:31" ht="16" thickBot="1" x14ac:dyDescent="0.25">
      <c r="B1542" s="3128">
        <f t="shared" ref="B1542" si="276">AVERAGE(W1536:W1542)</f>
        <v>1.0647587127904008</v>
      </c>
      <c r="C1542" s="1631">
        <v>44640</v>
      </c>
      <c r="D1542" s="1108">
        <v>46</v>
      </c>
      <c r="E1542" s="1261" t="s">
        <v>836</v>
      </c>
      <c r="F1542" s="2792" t="s">
        <v>810</v>
      </c>
      <c r="G1542" s="2433">
        <v>6.7199074074074064E-2</v>
      </c>
      <c r="H1542" s="2434">
        <v>17.579999999999998</v>
      </c>
      <c r="I1542" s="2435">
        <f t="shared" si="239"/>
        <v>3.8224729279905615E-3</v>
      </c>
      <c r="J1542" s="1310">
        <v>134</v>
      </c>
      <c r="K1542" s="2436">
        <v>122</v>
      </c>
      <c r="L1542" s="2818">
        <v>222</v>
      </c>
      <c r="M1542" s="2798">
        <v>58</v>
      </c>
      <c r="N1542" s="1223">
        <f t="shared" si="240"/>
        <v>1.0942998318985278</v>
      </c>
      <c r="O1542" s="2437" t="s">
        <v>953</v>
      </c>
      <c r="P1542" s="1519">
        <f>IFERROR(VLOOKUP(F1542,Trainingsarten!$A$9:$N$84,12,FALSE),"")</f>
        <v>194.60000000000002</v>
      </c>
      <c r="Q1542" s="2438" t="s">
        <v>437</v>
      </c>
      <c r="R1542" s="2439">
        <f>IFERROR(VLOOKUP(F1542,Trainingsarten!$A$9:$N$84,14,FALSE),"")</f>
        <v>212.96</v>
      </c>
      <c r="S1542" s="2440">
        <f t="shared" si="241"/>
        <v>1.6567164179104477</v>
      </c>
      <c r="T1542" s="1108">
        <f t="shared" si="242"/>
        <v>50.443311256314644</v>
      </c>
      <c r="U1542" s="1108">
        <f t="shared" si="243"/>
        <v>42.083723488920228</v>
      </c>
      <c r="V1542" s="1108">
        <f t="shared" si="244"/>
        <v>1.6173495473398205</v>
      </c>
      <c r="W1542" s="3285">
        <f t="shared" si="245"/>
        <v>1.198641828107138</v>
      </c>
      <c r="X1542" s="3296"/>
      <c r="Y1542" s="3320"/>
      <c r="AA1542" s="3301"/>
      <c r="AB1542" s="3409"/>
      <c r="AE1542" s="2548"/>
    </row>
    <row r="1543" spans="2:31" ht="16" thickBot="1" x14ac:dyDescent="0.25">
      <c r="B1543" s="2986">
        <f t="shared" ref="B1543" si="277">B1536+1</f>
        <v>12</v>
      </c>
      <c r="C1543" s="2399">
        <v>44641</v>
      </c>
      <c r="D1543" s="2292"/>
      <c r="E1543" s="2293"/>
      <c r="F1543" s="2792"/>
      <c r="G1543" s="2400"/>
      <c r="H1543" s="2401" t="str">
        <f>IFERROR(VLOOKUP(F1543,Trainingsarten!$A$9:$K$84,10,FALSE),"")</f>
        <v/>
      </c>
      <c r="I1543" s="2402" t="str">
        <f t="shared" si="239"/>
        <v/>
      </c>
      <c r="J1543" s="2403"/>
      <c r="K1543" s="2404" t="str">
        <f>IFERROR(VLOOKUP(F1543,Trainingsarten!$A$9:$K$84,11,FALSE),"0")</f>
        <v>0</v>
      </c>
      <c r="L1543" s="2815"/>
      <c r="M1543" s="2591"/>
      <c r="N1543" s="2296" t="str">
        <f t="shared" si="240"/>
        <v/>
      </c>
      <c r="O1543" s="2405"/>
      <c r="P1543" s="2298" t="str">
        <f>IFERROR(VLOOKUP(F1543,Trainingsarten!$A$9:$N$84,12,FALSE),"")</f>
        <v/>
      </c>
      <c r="Q1543" s="2406" t="s">
        <v>437</v>
      </c>
      <c r="R1543" s="2407" t="str">
        <f>IFERROR(VLOOKUP(F1543,Trainingsarten!$A$9:$N$84,14,FALSE),"")</f>
        <v/>
      </c>
      <c r="S1543" s="2408" t="str">
        <f t="shared" si="241"/>
        <v/>
      </c>
      <c r="T1543" s="2292">
        <f t="shared" si="242"/>
        <v>43.23712393398398</v>
      </c>
      <c r="U1543" s="2292">
        <f t="shared" si="243"/>
        <v>41.081730072517367</v>
      </c>
      <c r="V1543" s="2292">
        <f t="shared" si="244"/>
        <v>-8.3595877673944159</v>
      </c>
      <c r="W1543" s="3283">
        <f t="shared" si="245"/>
        <v>1.0524659954111455</v>
      </c>
      <c r="X1543" s="3296"/>
      <c r="Y1543" s="3320"/>
      <c r="AA1543" s="3301"/>
      <c r="AB1543" s="3409"/>
      <c r="AE1543" s="2548"/>
    </row>
    <row r="1544" spans="2:31" ht="16" thickBot="1" x14ac:dyDescent="0.25">
      <c r="B1544" s="2991" t="s">
        <v>626</v>
      </c>
      <c r="C1544" s="2409">
        <v>44642</v>
      </c>
      <c r="D1544" s="2009">
        <v>47</v>
      </c>
      <c r="E1544" s="2010" t="s">
        <v>836</v>
      </c>
      <c r="F1544" s="2794" t="s">
        <v>906</v>
      </c>
      <c r="G1544" s="2410">
        <v>4.6469907407407411E-2</v>
      </c>
      <c r="H1544" s="2411">
        <v>12.71</v>
      </c>
      <c r="I1544" s="2412">
        <f t="shared" ref="I1544:I1607" si="278">IFERROR(G1544/H1544,"")</f>
        <v>3.6561689541626599E-3</v>
      </c>
      <c r="J1544" s="2413">
        <v>143</v>
      </c>
      <c r="K1544" s="2414">
        <v>90</v>
      </c>
      <c r="L1544" s="2816">
        <v>234</v>
      </c>
      <c r="M1544" s="2840">
        <v>50</v>
      </c>
      <c r="N1544" s="2368">
        <f t="shared" ref="N1544:N1607" si="279">IFERROR((L1544/67)/(1/(I1544*24)/3.6),"")</f>
        <v>1.1032680813086415</v>
      </c>
      <c r="O1544" s="2415" t="s">
        <v>911</v>
      </c>
      <c r="P1544" s="2370">
        <f>IFERROR(VLOOKUP(F1544,Trainingsarten!$A$9:$N$84,12,FALSE),"")</f>
        <v>194.60000000000002</v>
      </c>
      <c r="Q1544" s="2432" t="s">
        <v>437</v>
      </c>
      <c r="R1544" s="2537">
        <f>IFERROR(VLOOKUP(F1544,Trainingsarten!$A$9:$N$84,14,FALSE),"")</f>
        <v>212.96</v>
      </c>
      <c r="S1544" s="2419">
        <f t="shared" ref="S1544:S1607" si="280">IFERROR(L1544/J1544,"")</f>
        <v>1.6363636363636365</v>
      </c>
      <c r="T1544" s="2009">
        <f t="shared" ref="T1544:T1607" si="281">T1543+(K1544-T1543)/7</f>
        <v>49.917534800557696</v>
      </c>
      <c r="U1544" s="2009">
        <f t="shared" ref="U1544:U1607" si="282">U1543+(K1544-U1543)/42</f>
        <v>42.246450785076476</v>
      </c>
      <c r="V1544" s="2009">
        <f t="shared" ref="V1544:V1607" si="283">U1543-T1543</f>
        <v>-2.1553938614666137</v>
      </c>
      <c r="W1544" s="3284">
        <f t="shared" ref="W1544:W1607" si="284">T1544/U1544</f>
        <v>1.1815793723005725</v>
      </c>
      <c r="X1544" s="3296"/>
      <c r="Y1544" s="3320"/>
      <c r="AA1544" s="3301"/>
      <c r="AB1544" s="3409"/>
      <c r="AE1544" s="2548"/>
    </row>
    <row r="1545" spans="2:31" ht="16" thickBot="1" x14ac:dyDescent="0.25">
      <c r="B1545" s="2979">
        <f t="shared" ref="B1545" si="285">SUM(H1543:H1549)</f>
        <v>50.88000000000001</v>
      </c>
      <c r="C1545" s="2409">
        <v>44643</v>
      </c>
      <c r="D1545" s="2009">
        <v>48</v>
      </c>
      <c r="E1545" s="2010" t="s">
        <v>836</v>
      </c>
      <c r="F1545" s="2792" t="s">
        <v>915</v>
      </c>
      <c r="G1545" s="2410">
        <v>4.3819444444444446E-2</v>
      </c>
      <c r="H1545" s="2411">
        <v>12.38</v>
      </c>
      <c r="I1545" s="2412">
        <f t="shared" si="278"/>
        <v>3.5395350924430084E-3</v>
      </c>
      <c r="J1545" s="2413">
        <v>144</v>
      </c>
      <c r="K1545" s="2414">
        <v>96</v>
      </c>
      <c r="L1545" s="2816">
        <v>234</v>
      </c>
      <c r="M1545" s="2840">
        <v>22</v>
      </c>
      <c r="N1545" s="2368">
        <f t="shared" si="279"/>
        <v>1.0680732042533696</v>
      </c>
      <c r="O1545" s="2415" t="s">
        <v>1463</v>
      </c>
      <c r="P1545" s="2370">
        <f>IFERROR(VLOOKUP(F1545,Trainingsarten!$A$9:$N$84,12,FALSE),"")</f>
        <v>255.10000000000002</v>
      </c>
      <c r="Q1545" s="2432" t="s">
        <v>437</v>
      </c>
      <c r="R1545" s="2537">
        <f>IFERROR(VLOOKUP(F1545,Trainingsarten!$A$9:$N$84,14,FALSE),"")</f>
        <v>278.29999999999995</v>
      </c>
      <c r="S1545" s="2419">
        <f t="shared" si="280"/>
        <v>1.625</v>
      </c>
      <c r="T1545" s="2009">
        <f t="shared" si="281"/>
        <v>56.500744114763741</v>
      </c>
      <c r="U1545" s="2009">
        <f t="shared" si="282"/>
        <v>43.52629719495561</v>
      </c>
      <c r="V1545" s="2009">
        <f t="shared" si="283"/>
        <v>-7.6710840154812203</v>
      </c>
      <c r="W1545" s="3284">
        <f t="shared" si="284"/>
        <v>1.2980829465390815</v>
      </c>
      <c r="X1545" s="3296"/>
      <c r="Y1545" s="3320"/>
      <c r="AA1545" s="3301"/>
      <c r="AB1545" s="3409"/>
      <c r="AE1545" s="2548"/>
    </row>
    <row r="1546" spans="2:31" x14ac:dyDescent="0.2">
      <c r="B1546" s="2992" t="s">
        <v>628</v>
      </c>
      <c r="C1546" s="2409">
        <v>44644</v>
      </c>
      <c r="D1546" s="2009">
        <v>49</v>
      </c>
      <c r="E1546" s="2010" t="s">
        <v>836</v>
      </c>
      <c r="F1546" s="2792" t="s">
        <v>819</v>
      </c>
      <c r="G1546" s="2410">
        <v>3.9664351851851853E-2</v>
      </c>
      <c r="H1546" s="2411">
        <v>10.7</v>
      </c>
      <c r="I1546" s="2412">
        <f t="shared" si="278"/>
        <v>3.706948771201108E-3</v>
      </c>
      <c r="J1546" s="2413">
        <v>140</v>
      </c>
      <c r="K1546" s="2414">
        <v>72</v>
      </c>
      <c r="L1546" s="2816">
        <v>226</v>
      </c>
      <c r="M1546" s="2840">
        <v>32</v>
      </c>
      <c r="N1546" s="2368">
        <f t="shared" si="279"/>
        <v>1.0803487236713629</v>
      </c>
      <c r="O1546" s="2415" t="s">
        <v>1460</v>
      </c>
      <c r="P1546" s="2370">
        <f>IFERROR(VLOOKUP(F1546,Trainingsarten!$A$9:$N$84,12,FALSE),"")</f>
        <v>194.60000000000002</v>
      </c>
      <c r="Q1546" s="2432" t="s">
        <v>437</v>
      </c>
      <c r="R1546" s="2537">
        <f>IFERROR(VLOOKUP(F1546,Trainingsarten!$A$9:$N$84,14,FALSE),"")</f>
        <v>212.96</v>
      </c>
      <c r="S1546" s="2419">
        <f t="shared" si="280"/>
        <v>1.6142857142857143</v>
      </c>
      <c r="T1546" s="2009">
        <f t="shared" si="281"/>
        <v>58.714923526940346</v>
      </c>
      <c r="U1546" s="2009">
        <f t="shared" si="282"/>
        <v>44.204242499837619</v>
      </c>
      <c r="V1546" s="2009">
        <f t="shared" si="283"/>
        <v>-12.97444691980813</v>
      </c>
      <c r="W1546" s="3284">
        <f t="shared" si="284"/>
        <v>1.3282644426528976</v>
      </c>
      <c r="X1546" s="3296"/>
      <c r="Y1546" s="3320"/>
      <c r="AA1546" s="3301"/>
      <c r="AB1546" s="3409"/>
      <c r="AE1546" s="2548"/>
    </row>
    <row r="1547" spans="2:31" ht="16" thickBot="1" x14ac:dyDescent="0.25">
      <c r="B1547" s="2993">
        <f t="shared" ref="B1547" si="286">SUM(K1543:K1549)</f>
        <v>355</v>
      </c>
      <c r="C1547" s="2562">
        <v>44645</v>
      </c>
      <c r="D1547" s="2563"/>
      <c r="E1547" s="2564"/>
      <c r="F1547" s="2793"/>
      <c r="G1547" s="2565"/>
      <c r="H1547" s="2566" t="str">
        <f>IFERROR(VLOOKUP(F1547,Trainingsarten!$A$9:$K$84,10,FALSE),"")</f>
        <v/>
      </c>
      <c r="I1547" s="2567" t="str">
        <f t="shared" si="278"/>
        <v/>
      </c>
      <c r="J1547" s="2568"/>
      <c r="K1547" s="2569" t="str">
        <f>IFERROR(VLOOKUP(F1547,Trainingsarten!$A$9:$K$84,11,FALSE),"0")</f>
        <v>0</v>
      </c>
      <c r="L1547" s="2816"/>
      <c r="M1547" s="2840"/>
      <c r="N1547" s="2570" t="str">
        <f t="shared" si="279"/>
        <v/>
      </c>
      <c r="O1547" s="2571"/>
      <c r="P1547" s="2572" t="str">
        <f>IFERROR(VLOOKUP(F1547,Trainingsarten!$A$9:$N$84,12,FALSE),"")</f>
        <v/>
      </c>
      <c r="Q1547" s="2573" t="s">
        <v>437</v>
      </c>
      <c r="R1547" s="2574" t="str">
        <f>IFERROR(VLOOKUP(F1547,Trainingsarten!$A$9:$N$84,14,FALSE),"")</f>
        <v/>
      </c>
      <c r="S1547" s="2575" t="str">
        <f t="shared" si="280"/>
        <v/>
      </c>
      <c r="T1547" s="2563">
        <f t="shared" si="281"/>
        <v>50.327077308806011</v>
      </c>
      <c r="U1547" s="2563">
        <f t="shared" si="282"/>
        <v>43.151760535555773</v>
      </c>
      <c r="V1547" s="2563">
        <f t="shared" si="283"/>
        <v>-14.510681027102727</v>
      </c>
      <c r="W1547" s="3284">
        <f t="shared" si="284"/>
        <v>1.1662809740366906</v>
      </c>
      <c r="X1547" s="3296"/>
      <c r="Y1547" s="3320"/>
      <c r="AA1547" s="3301"/>
      <c r="AB1547" s="3409"/>
      <c r="AE1547" s="2548"/>
    </row>
    <row r="1548" spans="2:31" x14ac:dyDescent="0.2">
      <c r="B1548" s="2994" t="s">
        <v>761</v>
      </c>
      <c r="C1548" s="2441">
        <v>44646</v>
      </c>
      <c r="D1548" s="1111">
        <v>50</v>
      </c>
      <c r="E1548" s="1112" t="s">
        <v>836</v>
      </c>
      <c r="F1548" s="2792" t="s">
        <v>862</v>
      </c>
      <c r="G1548" s="2442">
        <v>8.8379629629629627E-2</v>
      </c>
      <c r="H1548" s="2443">
        <v>15.09</v>
      </c>
      <c r="I1548" s="2444">
        <f t="shared" si="278"/>
        <v>5.8568343028250255E-3</v>
      </c>
      <c r="J1548" s="1320">
        <v>135</v>
      </c>
      <c r="K1548" s="2445">
        <v>97</v>
      </c>
      <c r="L1548" s="2819">
        <v>160</v>
      </c>
      <c r="M1548" s="1320">
        <v>668</v>
      </c>
      <c r="N1548" s="1119"/>
      <c r="O1548" s="2446" t="s">
        <v>868</v>
      </c>
      <c r="P1548" s="1121" t="str">
        <f>IFERROR(VLOOKUP(F1548,Trainingsarten!$A$9:$N$84,12,FALSE),"")</f>
        <v/>
      </c>
      <c r="Q1548" s="2447" t="s">
        <v>437</v>
      </c>
      <c r="R1548" s="2448" t="str">
        <f>IFERROR(VLOOKUP(F1548,Trainingsarten!$A$9:$N$84,14,FALSE),"")</f>
        <v/>
      </c>
      <c r="S1548" s="2575"/>
      <c r="T1548" s="1111">
        <f t="shared" si="281"/>
        <v>56.994637693262298</v>
      </c>
      <c r="U1548" s="1111">
        <f t="shared" si="282"/>
        <v>44.433861475185395</v>
      </c>
      <c r="V1548" s="1111">
        <f t="shared" si="283"/>
        <v>-7.1753167732502376</v>
      </c>
      <c r="W1548" s="3286">
        <f t="shared" si="284"/>
        <v>1.2826847769035696</v>
      </c>
      <c r="X1548" s="3296"/>
      <c r="Y1548" s="3320"/>
      <c r="AA1548" s="3301"/>
      <c r="AB1548" s="3409"/>
      <c r="AE1548" s="2548"/>
    </row>
    <row r="1549" spans="2:31" ht="16" thickBot="1" x14ac:dyDescent="0.25">
      <c r="B1549" s="3128">
        <f t="shared" ref="B1549" si="287">AVERAGE(W1543:W1549)</f>
        <v>1.2050883302792013</v>
      </c>
      <c r="C1549" s="1631">
        <v>44647</v>
      </c>
      <c r="D1549" s="1108"/>
      <c r="E1549" s="1261"/>
      <c r="F1549" s="2792"/>
      <c r="G1549" s="2433"/>
      <c r="H1549" s="2434" t="str">
        <f>IFERROR(VLOOKUP(F1549,Trainingsarten!$A$9:$K$84,10,FALSE),"")</f>
        <v/>
      </c>
      <c r="I1549" s="2435" t="str">
        <f t="shared" si="278"/>
        <v/>
      </c>
      <c r="J1549" s="1310"/>
      <c r="K1549" s="2436" t="str">
        <f>IFERROR(VLOOKUP(F1549,Trainingsarten!$A$9:$K$84,11,FALSE),"0")</f>
        <v>0</v>
      </c>
      <c r="L1549" s="2818"/>
      <c r="M1549" s="2798"/>
      <c r="N1549" s="1223" t="str">
        <f t="shared" si="279"/>
        <v/>
      </c>
      <c r="O1549" s="2437"/>
      <c r="P1549" s="1519" t="str">
        <f>IFERROR(VLOOKUP(F1549,Trainingsarten!$A$9:$N$84,12,FALSE),"")</f>
        <v/>
      </c>
      <c r="Q1549" s="2438" t="s">
        <v>437</v>
      </c>
      <c r="R1549" s="2439" t="str">
        <f>IFERROR(VLOOKUP(F1549,Trainingsarten!$A$9:$N$84,14,FALSE),"")</f>
        <v/>
      </c>
      <c r="S1549" s="2440" t="str">
        <f t="shared" si="280"/>
        <v/>
      </c>
      <c r="T1549" s="1108">
        <f t="shared" si="281"/>
        <v>48.852546594224826</v>
      </c>
      <c r="U1549" s="1108">
        <f t="shared" si="282"/>
        <v>43.375912392442885</v>
      </c>
      <c r="V1549" s="1108">
        <f t="shared" si="283"/>
        <v>-12.560776218076903</v>
      </c>
      <c r="W1549" s="3285">
        <f t="shared" si="284"/>
        <v>1.1262598041104515</v>
      </c>
      <c r="X1549" s="3296"/>
      <c r="Y1549" s="3320"/>
      <c r="AA1549" s="3301"/>
      <c r="AB1549" s="3409"/>
      <c r="AE1549" s="2548"/>
    </row>
    <row r="1550" spans="2:31" ht="16" thickBot="1" x14ac:dyDescent="0.25">
      <c r="B1550" s="2986">
        <f t="shared" ref="B1550" si="288">B1543+1</f>
        <v>13</v>
      </c>
      <c r="C1550" s="2399">
        <v>44648</v>
      </c>
      <c r="D1550" s="2292">
        <v>51</v>
      </c>
      <c r="E1550" s="2293" t="s">
        <v>836</v>
      </c>
      <c r="F1550" s="2793" t="s">
        <v>819</v>
      </c>
      <c r="G1550" s="2400">
        <v>3.953703703703703E-2</v>
      </c>
      <c r="H1550" s="2401">
        <v>10.119999999999999</v>
      </c>
      <c r="I1550" s="2402">
        <f t="shared" si="278"/>
        <v>3.9068218416044498E-3</v>
      </c>
      <c r="J1550" s="2403">
        <v>133</v>
      </c>
      <c r="K1550" s="2404">
        <v>64</v>
      </c>
      <c r="L1550" s="2815">
        <v>217</v>
      </c>
      <c r="M1550" s="2591">
        <v>33</v>
      </c>
      <c r="N1550" s="2296">
        <f t="shared" si="279"/>
        <v>1.0932570349831867</v>
      </c>
      <c r="O1550" s="2405" t="s">
        <v>1460</v>
      </c>
      <c r="P1550" s="2298">
        <f>IFERROR(VLOOKUP(F1550,Trainingsarten!$A$9:$N$84,12,FALSE),"")</f>
        <v>194.60000000000002</v>
      </c>
      <c r="Q1550" s="2406" t="s">
        <v>437</v>
      </c>
      <c r="R1550" s="2407">
        <f>IFERROR(VLOOKUP(F1550,Trainingsarten!$A$9:$N$84,14,FALSE),"")</f>
        <v>212.96</v>
      </c>
      <c r="S1550" s="2408">
        <f t="shared" si="280"/>
        <v>1.631578947368421</v>
      </c>
      <c r="T1550" s="2292">
        <f t="shared" si="281"/>
        <v>51.016468509335567</v>
      </c>
      <c r="U1550" s="2292">
        <f t="shared" si="282"/>
        <v>43.866962097384722</v>
      </c>
      <c r="V1550" s="2292">
        <f t="shared" si="283"/>
        <v>-5.4766342017819412</v>
      </c>
      <c r="W1550" s="3283">
        <f t="shared" si="284"/>
        <v>1.1629815713264786</v>
      </c>
      <c r="X1550" s="3296"/>
      <c r="Y1550" s="3320"/>
      <c r="AA1550" s="3301"/>
      <c r="AB1550" s="3409"/>
      <c r="AE1550" s="2548"/>
    </row>
    <row r="1551" spans="2:31" x14ac:dyDescent="0.2">
      <c r="B1551" s="2991" t="s">
        <v>626</v>
      </c>
      <c r="C1551" s="2409">
        <v>44649</v>
      </c>
      <c r="D1551" s="2009"/>
      <c r="E1551" s="2010"/>
      <c r="F1551" s="2792"/>
      <c r="G1551" s="2410"/>
      <c r="H1551" s="2411" t="str">
        <f>IFERROR(VLOOKUP(F1551,Trainingsarten!$A$9:$K$84,10,FALSE),"")</f>
        <v/>
      </c>
      <c r="I1551" s="2412" t="str">
        <f t="shared" si="278"/>
        <v/>
      </c>
      <c r="J1551" s="2413"/>
      <c r="K1551" s="2414" t="str">
        <f>IFERROR(VLOOKUP(F1551,Trainingsarten!$A$9:$K$84,11,FALSE),"0")</f>
        <v>0</v>
      </c>
      <c r="L1551" s="2816"/>
      <c r="M1551" s="2840"/>
      <c r="N1551" s="2368" t="str">
        <f t="shared" si="279"/>
        <v/>
      </c>
      <c r="O1551" s="2415"/>
      <c r="P1551" s="2370" t="str">
        <f>IFERROR(VLOOKUP(F1551,Trainingsarten!$A$9:$N$84,12,FALSE),"")</f>
        <v/>
      </c>
      <c r="Q1551" s="2432" t="s">
        <v>437</v>
      </c>
      <c r="R1551" s="2537" t="str">
        <f>IFERROR(VLOOKUP(F1551,Trainingsarten!$A$9:$N$84,14,FALSE),"")</f>
        <v/>
      </c>
      <c r="S1551" s="2419" t="str">
        <f t="shared" si="280"/>
        <v/>
      </c>
      <c r="T1551" s="2009">
        <f t="shared" si="281"/>
        <v>43.728401579430489</v>
      </c>
      <c r="U1551" s="2009">
        <f t="shared" si="282"/>
        <v>42.822510618875562</v>
      </c>
      <c r="V1551" s="2009">
        <f t="shared" si="283"/>
        <v>-7.1495064119508456</v>
      </c>
      <c r="W1551" s="3284">
        <f t="shared" si="284"/>
        <v>1.0211545504330057</v>
      </c>
      <c r="X1551" s="3296"/>
      <c r="Y1551" s="3320"/>
      <c r="AA1551" s="3301"/>
      <c r="AB1551" s="3409"/>
      <c r="AE1551" s="2548"/>
    </row>
    <row r="1552" spans="2:31" ht="16" thickBot="1" x14ac:dyDescent="0.25">
      <c r="B1552" s="2979">
        <f t="shared" ref="B1552" si="289">SUM(H1550:H1556)</f>
        <v>63.63</v>
      </c>
      <c r="C1552" s="2409">
        <v>44650</v>
      </c>
      <c r="D1552" s="2009">
        <v>52</v>
      </c>
      <c r="E1552" s="2010" t="s">
        <v>836</v>
      </c>
      <c r="F1552" s="2792" t="s">
        <v>900</v>
      </c>
      <c r="G1552" s="2410">
        <v>4.4699074074074079E-2</v>
      </c>
      <c r="H1552" s="2411">
        <v>12.63</v>
      </c>
      <c r="I1552" s="2412">
        <f t="shared" si="278"/>
        <v>3.5391190874167915E-3</v>
      </c>
      <c r="J1552" s="2413">
        <v>145</v>
      </c>
      <c r="K1552" s="2414">
        <v>89</v>
      </c>
      <c r="L1552" s="2816">
        <v>232</v>
      </c>
      <c r="M1552" s="2840">
        <v>21</v>
      </c>
      <c r="N1552" s="2368">
        <f t="shared" si="279"/>
        <v>1.0588199146783897</v>
      </c>
      <c r="O1552" s="2415" t="s">
        <v>1463</v>
      </c>
      <c r="P1552" s="2370">
        <f>IFERROR(VLOOKUP(F1552,Trainingsarten!$A$9:$N$84,12,FALSE),"")</f>
        <v>230.89999999999998</v>
      </c>
      <c r="Q1552" s="2432" t="s">
        <v>437</v>
      </c>
      <c r="R1552" s="2537">
        <f>IFERROR(VLOOKUP(F1552,Trainingsarten!$A$9:$N$84,14,FALSE),"")</f>
        <v>254.10000000000002</v>
      </c>
      <c r="S1552" s="2419">
        <f t="shared" si="280"/>
        <v>1.6</v>
      </c>
      <c r="T1552" s="2009">
        <f t="shared" si="281"/>
        <v>50.195772782368991</v>
      </c>
      <c r="U1552" s="2009">
        <f t="shared" si="282"/>
        <v>43.921974651759477</v>
      </c>
      <c r="V1552" s="2009">
        <f t="shared" si="283"/>
        <v>-0.90589096055492746</v>
      </c>
      <c r="W1552" s="3284">
        <f t="shared" si="284"/>
        <v>1.1428396191280574</v>
      </c>
      <c r="X1552" s="3296"/>
      <c r="Y1552" s="3320"/>
      <c r="AA1552" s="3301"/>
      <c r="AB1552" s="3409"/>
      <c r="AE1552" s="2548"/>
    </row>
    <row r="1553" spans="2:31" ht="16" thickBot="1" x14ac:dyDescent="0.25">
      <c r="B1553" s="2992" t="s">
        <v>628</v>
      </c>
      <c r="C1553" s="2409">
        <v>44651</v>
      </c>
      <c r="D1553" s="2009">
        <v>53</v>
      </c>
      <c r="E1553" s="2010" t="s">
        <v>836</v>
      </c>
      <c r="F1553" s="2792" t="s">
        <v>950</v>
      </c>
      <c r="G1553" s="2410">
        <v>2.836805555555556E-2</v>
      </c>
      <c r="H1553" s="2411">
        <v>7.25</v>
      </c>
      <c r="I1553" s="2412">
        <f t="shared" si="278"/>
        <v>3.9128352490421462E-3</v>
      </c>
      <c r="J1553" s="2413">
        <v>130</v>
      </c>
      <c r="K1553" s="2414">
        <v>46</v>
      </c>
      <c r="L1553" s="2816">
        <v>217</v>
      </c>
      <c r="M1553" s="2840">
        <v>27</v>
      </c>
      <c r="N1553" s="2368">
        <f t="shared" si="279"/>
        <v>1.0949397838394237</v>
      </c>
      <c r="O1553" s="2415" t="s">
        <v>911</v>
      </c>
      <c r="P1553" s="2370">
        <f>IFERROR(VLOOKUP(F1553,Trainingsarten!$A$9:$N$84,12,FALSE),"")</f>
        <v>169.39999999999998</v>
      </c>
      <c r="Q1553" s="2432" t="s">
        <v>437</v>
      </c>
      <c r="R1553" s="2537">
        <f>IFERROR(VLOOKUP(F1553,Trainingsarten!$A$9:$N$84,14,FALSE),"")</f>
        <v>193.60000000000002</v>
      </c>
      <c r="S1553" s="2419">
        <f t="shared" si="280"/>
        <v>1.6692307692307693</v>
      </c>
      <c r="T1553" s="2009">
        <f t="shared" si="281"/>
        <v>49.596376670601991</v>
      </c>
      <c r="U1553" s="2009">
        <f t="shared" si="282"/>
        <v>43.971451445765204</v>
      </c>
      <c r="V1553" s="2009">
        <f t="shared" si="283"/>
        <v>-6.2737981306095136</v>
      </c>
      <c r="W1553" s="3284">
        <f t="shared" si="284"/>
        <v>1.1279222095221173</v>
      </c>
      <c r="X1553" s="3296"/>
      <c r="Y1553" s="3320"/>
      <c r="AA1553" s="3301"/>
      <c r="AB1553" s="3409"/>
      <c r="AE1553" s="2548"/>
    </row>
    <row r="1554" spans="2:31" ht="16" thickBot="1" x14ac:dyDescent="0.25">
      <c r="B1554" s="2993">
        <f t="shared" ref="B1554" si="290">SUM(K1550:K1556)</f>
        <v>430</v>
      </c>
      <c r="C1554" s="2562">
        <v>44652</v>
      </c>
      <c r="D1554" s="2563">
        <v>54</v>
      </c>
      <c r="E1554" s="2564" t="s">
        <v>836</v>
      </c>
      <c r="F1554" s="2849" t="s">
        <v>819</v>
      </c>
      <c r="G1554" s="2565">
        <v>4.3969907407407409E-2</v>
      </c>
      <c r="H1554" s="2566">
        <v>12.23</v>
      </c>
      <c r="I1554" s="2567">
        <f t="shared" si="278"/>
        <v>3.5952499924290604E-3</v>
      </c>
      <c r="J1554" s="2568">
        <v>138</v>
      </c>
      <c r="K1554" s="2569">
        <v>87</v>
      </c>
      <c r="L1554" s="2816">
        <v>239</v>
      </c>
      <c r="M1554" s="2840">
        <v>40</v>
      </c>
      <c r="N1554" s="2570">
        <f t="shared" si="279"/>
        <v>1.1080667797561659</v>
      </c>
      <c r="O1554" s="2571" t="s">
        <v>957</v>
      </c>
      <c r="P1554" s="2572">
        <f>IFERROR(VLOOKUP(F1554,Trainingsarten!$A$9:$N$84,12,FALSE),"")</f>
        <v>194.60000000000002</v>
      </c>
      <c r="Q1554" s="2573" t="s">
        <v>437</v>
      </c>
      <c r="R1554" s="2574">
        <f>IFERROR(VLOOKUP(F1554,Trainingsarten!$A$9:$N$84,14,FALSE),"")</f>
        <v>212.96</v>
      </c>
      <c r="S1554" s="2575">
        <f t="shared" si="280"/>
        <v>1.7318840579710144</v>
      </c>
      <c r="T1554" s="2563">
        <f t="shared" si="281"/>
        <v>54.939751431944565</v>
      </c>
      <c r="U1554" s="2563">
        <f t="shared" si="282"/>
        <v>44.995940697056511</v>
      </c>
      <c r="V1554" s="2563">
        <f t="shared" si="283"/>
        <v>-5.6249252248367867</v>
      </c>
      <c r="W1554" s="3284">
        <f t="shared" si="284"/>
        <v>1.220993506988477</v>
      </c>
      <c r="X1554" s="3296"/>
      <c r="Y1554" s="3320"/>
      <c r="AA1554" s="3301"/>
      <c r="AB1554" s="3409"/>
      <c r="AE1554" s="2548"/>
    </row>
    <row r="1555" spans="2:31" x14ac:dyDescent="0.2">
      <c r="B1555" s="2994" t="s">
        <v>761</v>
      </c>
      <c r="C1555" s="2441">
        <v>44653</v>
      </c>
      <c r="D1555" s="1111"/>
      <c r="E1555" s="1112"/>
      <c r="F1555" s="2792"/>
      <c r="G1555" s="2442"/>
      <c r="H1555" s="2443" t="str">
        <f>IFERROR(VLOOKUP(F1555,Trainingsarten!$A$9:$K$84,10,FALSE),"")</f>
        <v/>
      </c>
      <c r="I1555" s="2444" t="str">
        <f t="shared" si="278"/>
        <v/>
      </c>
      <c r="J1555" s="1320"/>
      <c r="K1555" s="2445" t="str">
        <f>IFERROR(VLOOKUP(F1555,Trainingsarten!$A$9:$K$84,11,FALSE),"0")</f>
        <v>0</v>
      </c>
      <c r="L1555" s="2819"/>
      <c r="M1555" s="1320"/>
      <c r="N1555" s="1119" t="str">
        <f t="shared" si="279"/>
        <v/>
      </c>
      <c r="O1555" s="2446"/>
      <c r="P1555" s="1121" t="str">
        <f>IFERROR(VLOOKUP(F1555,Trainingsarten!$A$9:$N$84,12,FALSE),"")</f>
        <v/>
      </c>
      <c r="Q1555" s="2447" t="s">
        <v>437</v>
      </c>
      <c r="R1555" s="2448" t="str">
        <f>IFERROR(VLOOKUP(F1555,Trainingsarten!$A$9:$N$84,14,FALSE),"")</f>
        <v/>
      </c>
      <c r="S1555" s="2449" t="str">
        <f t="shared" si="280"/>
        <v/>
      </c>
      <c r="T1555" s="1111">
        <f t="shared" si="281"/>
        <v>47.091215513095342</v>
      </c>
      <c r="U1555" s="1111">
        <f t="shared" si="282"/>
        <v>43.924608775698026</v>
      </c>
      <c r="V1555" s="1111">
        <f t="shared" si="283"/>
        <v>-9.9438107348880536</v>
      </c>
      <c r="W1555" s="3286">
        <f t="shared" si="284"/>
        <v>1.0720918597947602</v>
      </c>
      <c r="X1555" s="3296"/>
      <c r="Y1555" s="3320"/>
      <c r="AA1555" s="3301"/>
      <c r="AB1555" s="3409"/>
      <c r="AE1555" s="2548"/>
    </row>
    <row r="1556" spans="2:31" ht="16" thickBot="1" x14ac:dyDescent="0.25">
      <c r="B1556" s="3128">
        <f t="shared" ref="B1556" si="291">AVERAGE(W1550:W1556)</f>
        <v>1.1519817193667978</v>
      </c>
      <c r="C1556" s="1631">
        <v>44654</v>
      </c>
      <c r="D1556" s="1108">
        <v>55</v>
      </c>
      <c r="E1556" s="1261" t="s">
        <v>836</v>
      </c>
      <c r="F1556" s="2793" t="s">
        <v>812</v>
      </c>
      <c r="G1556" s="2433">
        <v>7.767361111111111E-2</v>
      </c>
      <c r="H1556" s="2434">
        <v>21.4</v>
      </c>
      <c r="I1556" s="2435">
        <f t="shared" si="278"/>
        <v>3.6296079958463138E-3</v>
      </c>
      <c r="J1556" s="1310">
        <v>142</v>
      </c>
      <c r="K1556" s="2436">
        <v>144</v>
      </c>
      <c r="L1556" s="2818">
        <v>232</v>
      </c>
      <c r="M1556" s="2798">
        <v>91</v>
      </c>
      <c r="N1556" s="1223">
        <f t="shared" si="279"/>
        <v>1.0858920351513461</v>
      </c>
      <c r="O1556" s="2437" t="s">
        <v>953</v>
      </c>
      <c r="P1556" s="1519">
        <f>IFERROR(VLOOKUP(F1556,Trainingsarten!$A$9:$N$84,12,FALSE),"")</f>
        <v>194.60000000000002</v>
      </c>
      <c r="Q1556" s="2438" t="s">
        <v>437</v>
      </c>
      <c r="R1556" s="2439">
        <f>IFERROR(VLOOKUP(F1556,Trainingsarten!$A$9:$N$84,14,FALSE),"")</f>
        <v>212.96</v>
      </c>
      <c r="S1556" s="2440">
        <f t="shared" si="280"/>
        <v>1.6338028169014085</v>
      </c>
      <c r="T1556" s="1108">
        <f t="shared" si="281"/>
        <v>60.935327582653152</v>
      </c>
      <c r="U1556" s="1108">
        <f t="shared" si="282"/>
        <v>46.307356185800451</v>
      </c>
      <c r="V1556" s="1108">
        <f t="shared" si="283"/>
        <v>-3.1666067373973164</v>
      </c>
      <c r="W1556" s="3285">
        <f t="shared" si="284"/>
        <v>1.3158887183746883</v>
      </c>
      <c r="X1556" s="3296"/>
      <c r="Y1556" s="3320"/>
      <c r="AA1556" s="3301"/>
      <c r="AB1556" s="3409"/>
      <c r="AE1556" s="2548"/>
    </row>
    <row r="1557" spans="2:31" ht="16" thickBot="1" x14ac:dyDescent="0.25">
      <c r="B1557" s="2986">
        <f t="shared" ref="B1557" si="292">B1550+1</f>
        <v>14</v>
      </c>
      <c r="C1557" s="2399">
        <v>44655</v>
      </c>
      <c r="D1557" s="2292"/>
      <c r="E1557" s="2293"/>
      <c r="F1557" s="2792"/>
      <c r="G1557" s="2400"/>
      <c r="H1557" s="2401" t="str">
        <f>IFERROR(VLOOKUP(F1557,Trainingsarten!$A$9:$K$84,10,FALSE),"")</f>
        <v/>
      </c>
      <c r="I1557" s="2402" t="str">
        <f t="shared" si="278"/>
        <v/>
      </c>
      <c r="J1557" s="2403"/>
      <c r="K1557" s="2404" t="str">
        <f>IFERROR(VLOOKUP(F1557,Trainingsarten!$A$9:$K$84,11,FALSE),"0")</f>
        <v>0</v>
      </c>
      <c r="L1557" s="2815"/>
      <c r="M1557" s="2591"/>
      <c r="N1557" s="2296" t="str">
        <f t="shared" si="279"/>
        <v/>
      </c>
      <c r="O1557" s="2405"/>
      <c r="P1557" s="2298" t="str">
        <f>IFERROR(VLOOKUP(F1557,Trainingsarten!$A$9:$N$84,12,FALSE),"")</f>
        <v/>
      </c>
      <c r="Q1557" s="2406" t="s">
        <v>437</v>
      </c>
      <c r="R1557" s="2407" t="str">
        <f>IFERROR(VLOOKUP(F1557,Trainingsarten!$A$9:$N$84,14,FALSE),"")</f>
        <v/>
      </c>
      <c r="S1557" s="2408" t="str">
        <f t="shared" si="280"/>
        <v/>
      </c>
      <c r="T1557" s="2292">
        <f t="shared" si="281"/>
        <v>52.230280785131271</v>
      </c>
      <c r="U1557" s="2292">
        <f t="shared" si="282"/>
        <v>45.204800086138533</v>
      </c>
      <c r="V1557" s="2292">
        <f t="shared" si="283"/>
        <v>-14.627971396852701</v>
      </c>
      <c r="W1557" s="3283">
        <f t="shared" si="284"/>
        <v>1.1554144844265557</v>
      </c>
      <c r="X1557" s="3296"/>
      <c r="Y1557" s="3320"/>
      <c r="AA1557" s="3301"/>
      <c r="AB1557" s="3409"/>
      <c r="AE1557" s="2548"/>
    </row>
    <row r="1558" spans="2:31" x14ac:dyDescent="0.2">
      <c r="B1558" s="2991" t="s">
        <v>626</v>
      </c>
      <c r="C1558" s="2409">
        <v>44656</v>
      </c>
      <c r="D1558" s="2009">
        <v>56</v>
      </c>
      <c r="E1558" s="2010" t="s">
        <v>836</v>
      </c>
      <c r="F1558" s="2792" t="s">
        <v>819</v>
      </c>
      <c r="G1558" s="2410">
        <v>3.7268518518518513E-2</v>
      </c>
      <c r="H1558" s="2411">
        <v>10.1</v>
      </c>
      <c r="I1558" s="2412">
        <f t="shared" ref="I1558" si="293">IFERROR(G1558/H1558,"")</f>
        <v>3.6899523285661897E-3</v>
      </c>
      <c r="J1558" s="2413"/>
      <c r="K1558" s="2414">
        <v>67</v>
      </c>
      <c r="L1558" s="2816">
        <v>230</v>
      </c>
      <c r="M1558" s="2840">
        <v>43</v>
      </c>
      <c r="N1558" s="2368">
        <f t="shared" si="279"/>
        <v>1.0944288458696616</v>
      </c>
      <c r="O1558" s="2415" t="s">
        <v>958</v>
      </c>
      <c r="P1558" s="2370">
        <f>IFERROR(VLOOKUP(F1558,Trainingsarten!$A$9:$N$84,12,FALSE),"")</f>
        <v>194.60000000000002</v>
      </c>
      <c r="Q1558" s="2432" t="s">
        <v>437</v>
      </c>
      <c r="R1558" s="2537">
        <f>IFERROR(VLOOKUP(F1558,Trainingsarten!$A$9:$N$84,14,FALSE),"")</f>
        <v>212.96</v>
      </c>
      <c r="S1558" s="2419" t="str">
        <f t="shared" si="280"/>
        <v/>
      </c>
      <c r="T1558" s="2009">
        <f t="shared" si="281"/>
        <v>54.340240672969664</v>
      </c>
      <c r="U1558" s="2009">
        <f t="shared" si="282"/>
        <v>45.723733417420952</v>
      </c>
      <c r="V1558" s="2009">
        <f t="shared" si="283"/>
        <v>-7.0254806989927374</v>
      </c>
      <c r="W1558" s="3284">
        <f t="shared" si="284"/>
        <v>1.1884471501241363</v>
      </c>
      <c r="X1558" s="3296"/>
      <c r="Y1558" s="3320"/>
      <c r="AA1558" s="3301"/>
      <c r="AB1558" s="3409"/>
      <c r="AE1558" s="2548"/>
    </row>
    <row r="1559" spans="2:31" ht="16" thickBot="1" x14ac:dyDescent="0.25">
      <c r="B1559" s="2979">
        <f t="shared" ref="B1559" si="294">SUM(H1557:H1563)</f>
        <v>43.029999999999994</v>
      </c>
      <c r="C1559" s="2409">
        <v>44657</v>
      </c>
      <c r="D1559" s="2009">
        <v>57</v>
      </c>
      <c r="E1559" s="2010" t="s">
        <v>836</v>
      </c>
      <c r="F1559" s="2793" t="s">
        <v>464</v>
      </c>
      <c r="G1559" s="2410">
        <v>4.4085648148148145E-2</v>
      </c>
      <c r="H1559" s="2411">
        <v>12.41</v>
      </c>
      <c r="I1559" s="2412">
        <f t="shared" si="278"/>
        <v>3.5524293431223324E-3</v>
      </c>
      <c r="J1559" s="2413">
        <v>142</v>
      </c>
      <c r="K1559" s="2414">
        <v>89</v>
      </c>
      <c r="L1559" s="2816">
        <v>237</v>
      </c>
      <c r="M1559" s="2840">
        <v>50</v>
      </c>
      <c r="N1559" s="2368">
        <f t="shared" si="279"/>
        <v>1.0857072413917521</v>
      </c>
      <c r="O1559" s="2415" t="s">
        <v>821</v>
      </c>
      <c r="P1559" s="2370" t="str">
        <f>IFERROR(VLOOKUP(F1559,Trainingsarten!$A$9:$N$84,12,FALSE),"")</f>
        <v/>
      </c>
      <c r="Q1559" s="2432" t="s">
        <v>437</v>
      </c>
      <c r="R1559" s="2537" t="str">
        <f>IFERROR(VLOOKUP(F1559,Trainingsarten!$A$9:$N$84,14,FALSE),"")</f>
        <v/>
      </c>
      <c r="S1559" s="2419">
        <f t="shared" si="280"/>
        <v>1.6690140845070423</v>
      </c>
      <c r="T1559" s="2009">
        <f t="shared" si="281"/>
        <v>59.291634862545429</v>
      </c>
      <c r="U1559" s="2009">
        <f t="shared" si="282"/>
        <v>46.754120717006167</v>
      </c>
      <c r="V1559" s="2009">
        <f t="shared" si="283"/>
        <v>-8.6165072555487114</v>
      </c>
      <c r="W1559" s="3284">
        <f t="shared" si="284"/>
        <v>1.2681584842847642</v>
      </c>
      <c r="X1559" s="3296"/>
      <c r="Y1559" s="3320"/>
      <c r="AA1559" s="3301"/>
      <c r="AB1559" s="3409"/>
      <c r="AE1559" s="2548"/>
    </row>
    <row r="1560" spans="2:31" x14ac:dyDescent="0.2">
      <c r="B1560" s="2992" t="s">
        <v>628</v>
      </c>
      <c r="C1560" s="2409">
        <v>44658</v>
      </c>
      <c r="D1560" s="2009"/>
      <c r="E1560" s="2010"/>
      <c r="F1560" s="2792"/>
      <c r="G1560" s="2410"/>
      <c r="H1560" s="2411" t="str">
        <f>IFERROR(VLOOKUP(F1560,Trainingsarten!$A$9:$K$84,10,FALSE),"")</f>
        <v/>
      </c>
      <c r="I1560" s="2412" t="str">
        <f t="shared" si="278"/>
        <v/>
      </c>
      <c r="J1560" s="2413"/>
      <c r="K1560" s="2414" t="str">
        <f>IFERROR(VLOOKUP(F1560,Trainingsarten!$A$9:$K$84,11,FALSE),"0")</f>
        <v>0</v>
      </c>
      <c r="L1560" s="2816"/>
      <c r="M1560" s="2840"/>
      <c r="N1560" s="2368" t="str">
        <f t="shared" si="279"/>
        <v/>
      </c>
      <c r="O1560" s="2415"/>
      <c r="P1560" s="2370" t="str">
        <f>IFERROR(VLOOKUP(F1560,Trainingsarten!$A$9:$N$84,12,FALSE),"")</f>
        <v/>
      </c>
      <c r="Q1560" s="2432" t="s">
        <v>437</v>
      </c>
      <c r="R1560" s="2537" t="str">
        <f>IFERROR(VLOOKUP(F1560,Trainingsarten!$A$9:$N$84,14,FALSE),"")</f>
        <v/>
      </c>
      <c r="S1560" s="2419" t="str">
        <f t="shared" si="280"/>
        <v/>
      </c>
      <c r="T1560" s="2009">
        <f t="shared" si="281"/>
        <v>50.821401310753224</v>
      </c>
      <c r="U1560" s="2009">
        <f t="shared" si="282"/>
        <v>45.640927366601261</v>
      </c>
      <c r="V1560" s="2009">
        <f t="shared" si="283"/>
        <v>-12.537514145539262</v>
      </c>
      <c r="W1560" s="3284">
        <f t="shared" si="284"/>
        <v>1.1135050105915001</v>
      </c>
      <c r="X1560" s="3296"/>
      <c r="Y1560" s="3320"/>
      <c r="AA1560" s="3301"/>
      <c r="AB1560" s="3409"/>
      <c r="AE1560" s="2548"/>
    </row>
    <row r="1561" spans="2:31" ht="16" thickBot="1" x14ac:dyDescent="0.25">
      <c r="B1561" s="2993">
        <f t="shared" ref="B1561" si="295">SUM(K1557:K1563)</f>
        <v>295</v>
      </c>
      <c r="C1561" s="2562">
        <v>44659</v>
      </c>
      <c r="D1561" s="2563">
        <v>58</v>
      </c>
      <c r="E1561" s="2564" t="s">
        <v>836</v>
      </c>
      <c r="F1561" s="2855" t="s">
        <v>819</v>
      </c>
      <c r="G1561" s="2565">
        <v>3.6469907407407402E-2</v>
      </c>
      <c r="H1561" s="2566">
        <v>10.08</v>
      </c>
      <c r="I1561" s="2567">
        <f t="shared" si="278"/>
        <v>3.6180463697824804E-3</v>
      </c>
      <c r="J1561" s="2568">
        <v>137</v>
      </c>
      <c r="K1561" s="2569">
        <v>68</v>
      </c>
      <c r="L1561" s="2816">
        <v>234</v>
      </c>
      <c r="M1561" s="2840">
        <v>37</v>
      </c>
      <c r="N1561" s="2570">
        <f t="shared" si="279"/>
        <v>1.0917643923240936</v>
      </c>
      <c r="O1561" s="2571" t="s">
        <v>957</v>
      </c>
      <c r="P1561" s="2572">
        <f>IFERROR(VLOOKUP(F1561,Trainingsarten!$A$9:$N$84,12,FALSE),"")</f>
        <v>194.60000000000002</v>
      </c>
      <c r="Q1561" s="2573" t="s">
        <v>437</v>
      </c>
      <c r="R1561" s="2574">
        <f>IFERROR(VLOOKUP(F1561,Trainingsarten!$A$9:$N$84,14,FALSE),"")</f>
        <v>212.96</v>
      </c>
      <c r="S1561" s="2575">
        <f t="shared" si="280"/>
        <v>1.7080291970802919</v>
      </c>
      <c r="T1561" s="2563">
        <f t="shared" si="281"/>
        <v>53.275486837788478</v>
      </c>
      <c r="U1561" s="2563">
        <f t="shared" si="282"/>
        <v>46.173286238825042</v>
      </c>
      <c r="V1561" s="2563">
        <f t="shared" si="283"/>
        <v>-5.1804739441519629</v>
      </c>
      <c r="W1561" s="3284">
        <f t="shared" si="284"/>
        <v>1.1538162253002369</v>
      </c>
      <c r="X1561" s="3296"/>
      <c r="Y1561" s="3320"/>
      <c r="AA1561" s="3301"/>
      <c r="AB1561" s="3409"/>
      <c r="AE1561" s="2548"/>
    </row>
    <row r="1562" spans="2:31" ht="16" thickBot="1" x14ac:dyDescent="0.25">
      <c r="B1562" s="2994" t="s">
        <v>761</v>
      </c>
      <c r="C1562" s="2441">
        <v>44660</v>
      </c>
      <c r="D1562" s="1111"/>
      <c r="E1562" s="1112"/>
      <c r="F1562" s="2794"/>
      <c r="G1562" s="2442"/>
      <c r="H1562" s="2566" t="str">
        <f>IFERROR(VLOOKUP(F1562,Trainingsarten!$A$9:$K$84,10,FALSE),"")</f>
        <v/>
      </c>
      <c r="I1562" s="2444" t="str">
        <f t="shared" si="278"/>
        <v/>
      </c>
      <c r="J1562" s="1320"/>
      <c r="K1562" s="2445" t="str">
        <f>IFERROR(VLOOKUP(F1562,Trainingsarten!$A$9:$K$84,11,FALSE),"0")</f>
        <v>0</v>
      </c>
      <c r="L1562" s="2819"/>
      <c r="M1562" s="1320"/>
      <c r="N1562" s="1119" t="str">
        <f t="shared" si="279"/>
        <v/>
      </c>
      <c r="O1562" s="2446"/>
      <c r="P1562" s="1121" t="str">
        <f>IFERROR(VLOOKUP(F1562,Trainingsarten!$A$9:$N$84,12,FALSE),"")</f>
        <v/>
      </c>
      <c r="Q1562" s="2447" t="s">
        <v>437</v>
      </c>
      <c r="R1562" s="2448" t="str">
        <f>IFERROR(VLOOKUP(F1562,Trainingsarten!$A$9:$N$84,14,FALSE),"")</f>
        <v/>
      </c>
      <c r="S1562" s="2449" t="str">
        <f t="shared" si="280"/>
        <v/>
      </c>
      <c r="T1562" s="1111">
        <f t="shared" si="281"/>
        <v>45.664703003818694</v>
      </c>
      <c r="U1562" s="1111">
        <f t="shared" si="282"/>
        <v>45.073922280757778</v>
      </c>
      <c r="V1562" s="1111">
        <f t="shared" si="283"/>
        <v>-7.1022005989634351</v>
      </c>
      <c r="W1562" s="3286">
        <f t="shared" si="284"/>
        <v>1.0131069295319153</v>
      </c>
      <c r="X1562" s="3296"/>
      <c r="Y1562" s="3320"/>
      <c r="AA1562" s="3301"/>
      <c r="AB1562" s="3409"/>
      <c r="AE1562" s="2548"/>
    </row>
    <row r="1563" spans="2:31" ht="16" thickBot="1" x14ac:dyDescent="0.25">
      <c r="B1563" s="3128">
        <f t="shared" ref="B1563" si="296">AVERAGE(W1557:W1563)</f>
        <v>1.1387258489668235</v>
      </c>
      <c r="C1563" s="1631">
        <v>44661</v>
      </c>
      <c r="D1563" s="1108">
        <v>59</v>
      </c>
      <c r="E1563" s="1261" t="s">
        <v>836</v>
      </c>
      <c r="F1563" s="2791" t="s">
        <v>819</v>
      </c>
      <c r="G1563" s="2433">
        <v>3.8217592592592588E-2</v>
      </c>
      <c r="H1563" s="2566">
        <v>10.44</v>
      </c>
      <c r="I1563" s="2435">
        <f t="shared" si="278"/>
        <v>3.6606889456506312E-3</v>
      </c>
      <c r="J1563" s="1310">
        <v>136</v>
      </c>
      <c r="K1563" s="2436">
        <v>71</v>
      </c>
      <c r="L1563" s="2818">
        <v>234</v>
      </c>
      <c r="M1563" s="2798">
        <v>35</v>
      </c>
      <c r="N1563" s="1223">
        <f t="shared" si="279"/>
        <v>1.1046320123520328</v>
      </c>
      <c r="O1563" s="2437" t="s">
        <v>958</v>
      </c>
      <c r="P1563" s="1519">
        <f>IFERROR(VLOOKUP(F1563,Trainingsarten!$A$9:$N$84,12,FALSE),"")</f>
        <v>194.60000000000002</v>
      </c>
      <c r="Q1563" s="2438" t="s">
        <v>437</v>
      </c>
      <c r="R1563" s="2439">
        <f>IFERROR(VLOOKUP(F1563,Trainingsarten!$A$9:$N$84,14,FALSE),"")</f>
        <v>212.96</v>
      </c>
      <c r="S1563" s="2440">
        <f t="shared" si="280"/>
        <v>1.7205882352941178</v>
      </c>
      <c r="T1563" s="1108">
        <f t="shared" si="281"/>
        <v>49.28403114613031</v>
      </c>
      <c r="U1563" s="1108">
        <f t="shared" si="282"/>
        <v>45.691209845501639</v>
      </c>
      <c r="V1563" s="1108">
        <f t="shared" si="283"/>
        <v>-0.59078072306091656</v>
      </c>
      <c r="W1563" s="3285">
        <f t="shared" si="284"/>
        <v>1.0786326585086561</v>
      </c>
      <c r="X1563" s="3296"/>
      <c r="Y1563" s="3320"/>
      <c r="AA1563" s="3301"/>
      <c r="AB1563" s="3409"/>
      <c r="AE1563" s="2548"/>
    </row>
    <row r="1564" spans="2:31" ht="16" thickBot="1" x14ac:dyDescent="0.25">
      <c r="B1564" s="2986">
        <f t="shared" ref="B1564" si="297">B1557+1</f>
        <v>15</v>
      </c>
      <c r="C1564" s="2399">
        <v>44662</v>
      </c>
      <c r="D1564" s="2292"/>
      <c r="E1564" s="2293"/>
      <c r="F1564" s="2792"/>
      <c r="G1564" s="2400"/>
      <c r="H1564" s="2401" t="str">
        <f>IFERROR(VLOOKUP(F1564,Trainingsarten!$A$9:$K$84,10,FALSE),"")</f>
        <v/>
      </c>
      <c r="I1564" s="2402" t="str">
        <f t="shared" si="278"/>
        <v/>
      </c>
      <c r="J1564" s="2403"/>
      <c r="K1564" s="2404" t="str">
        <f>IFERROR(VLOOKUP(F1564,Trainingsarten!$A$9:$K$84,11,FALSE),"0")</f>
        <v>0</v>
      </c>
      <c r="L1564" s="2815"/>
      <c r="M1564" s="2591"/>
      <c r="N1564" s="2296" t="str">
        <f t="shared" si="279"/>
        <v/>
      </c>
      <c r="O1564" s="2405"/>
      <c r="P1564" s="2298" t="str">
        <f>IFERROR(VLOOKUP(F1564,Trainingsarten!$A$9:$N$84,12,FALSE),"")</f>
        <v/>
      </c>
      <c r="Q1564" s="2406" t="s">
        <v>437</v>
      </c>
      <c r="R1564" s="2407" t="str">
        <f>IFERROR(VLOOKUP(F1564,Trainingsarten!$A$9:$N$84,14,FALSE),"")</f>
        <v/>
      </c>
      <c r="S1564" s="2408" t="str">
        <f t="shared" si="280"/>
        <v/>
      </c>
      <c r="T1564" s="2292">
        <f t="shared" si="281"/>
        <v>42.243455268111695</v>
      </c>
      <c r="U1564" s="2292">
        <f t="shared" si="282"/>
        <v>44.603323896799218</v>
      </c>
      <c r="V1564" s="2292">
        <f t="shared" si="283"/>
        <v>-3.5928213006286711</v>
      </c>
      <c r="W1564" s="3283">
        <f t="shared" si="284"/>
        <v>0.94709209039784437</v>
      </c>
      <c r="X1564" s="3296"/>
      <c r="Y1564" s="3320"/>
      <c r="AA1564" s="3301"/>
      <c r="AB1564" s="3409"/>
      <c r="AE1564" s="2548"/>
    </row>
    <row r="1565" spans="2:31" x14ac:dyDescent="0.2">
      <c r="B1565" s="2991" t="s">
        <v>626</v>
      </c>
      <c r="C1565" s="2409">
        <v>44663</v>
      </c>
      <c r="D1565" s="2009">
        <v>60</v>
      </c>
      <c r="E1565" s="2010" t="s">
        <v>836</v>
      </c>
      <c r="F1565" s="2792" t="s">
        <v>819</v>
      </c>
      <c r="G1565" s="2410">
        <v>3.7974537037037036E-2</v>
      </c>
      <c r="H1565" s="2411">
        <v>10.33</v>
      </c>
      <c r="I1565" s="2412">
        <f t="shared" si="278"/>
        <v>3.6761410490839339E-3</v>
      </c>
      <c r="J1565" s="2413">
        <v>142</v>
      </c>
      <c r="K1565" s="2414">
        <v>69</v>
      </c>
      <c r="L1565" s="2816">
        <v>231</v>
      </c>
      <c r="M1565" s="2840">
        <v>35</v>
      </c>
      <c r="N1565" s="2368">
        <f t="shared" si="279"/>
        <v>1.0950730375229372</v>
      </c>
      <c r="O1565" s="2415" t="s">
        <v>1460</v>
      </c>
      <c r="P1565" s="2370">
        <f>IFERROR(VLOOKUP(F1565,Trainingsarten!$A$9:$N$84,12,FALSE),"")</f>
        <v>194.60000000000002</v>
      </c>
      <c r="Q1565" s="2432" t="s">
        <v>437</v>
      </c>
      <c r="R1565" s="2537">
        <f>IFERROR(VLOOKUP(F1565,Trainingsarten!$A$9:$N$84,14,FALSE),"")</f>
        <v>212.96</v>
      </c>
      <c r="S1565" s="2419">
        <f t="shared" si="280"/>
        <v>1.6267605633802817</v>
      </c>
      <c r="T1565" s="2009">
        <f t="shared" si="281"/>
        <v>46.065818801238599</v>
      </c>
      <c r="U1565" s="2009">
        <f t="shared" si="282"/>
        <v>45.184197137351617</v>
      </c>
      <c r="V1565" s="2009">
        <f t="shared" si="283"/>
        <v>2.3598686286875221</v>
      </c>
      <c r="W1565" s="3284">
        <f t="shared" si="284"/>
        <v>1.019511725774545</v>
      </c>
      <c r="X1565" s="3296"/>
      <c r="Y1565" s="3320"/>
      <c r="AA1565" s="3301"/>
      <c r="AB1565" s="3409"/>
      <c r="AE1565" s="2548"/>
    </row>
    <row r="1566" spans="2:31" ht="16" thickBot="1" x14ac:dyDescent="0.25">
      <c r="B1566" s="2979">
        <f t="shared" ref="B1566" si="298">SUM(H1564:H1570)</f>
        <v>30.020000000000003</v>
      </c>
      <c r="C1566" s="2409">
        <v>44664</v>
      </c>
      <c r="D1566" s="2009"/>
      <c r="E1566" s="2010"/>
      <c r="F1566" s="2792"/>
      <c r="G1566" s="2410"/>
      <c r="H1566" s="2411" t="str">
        <f>IFERROR(VLOOKUP(F1566,Trainingsarten!$A$9:$K$84,10,FALSE),"")</f>
        <v/>
      </c>
      <c r="I1566" s="2412" t="str">
        <f t="shared" si="278"/>
        <v/>
      </c>
      <c r="J1566" s="2413"/>
      <c r="K1566" s="2414" t="str">
        <f>IFERROR(VLOOKUP(F1566,Trainingsarten!$A$9:$K$84,11,FALSE),"0")</f>
        <v>0</v>
      </c>
      <c r="L1566" s="2816"/>
      <c r="M1566" s="2840"/>
      <c r="N1566" s="2368" t="str">
        <f t="shared" si="279"/>
        <v/>
      </c>
      <c r="O1566" s="2415"/>
      <c r="P1566" s="2370" t="str">
        <f>IFERROR(VLOOKUP(F1566,Trainingsarten!$A$9:$N$84,12,FALSE),"")</f>
        <v/>
      </c>
      <c r="Q1566" s="2432" t="s">
        <v>437</v>
      </c>
      <c r="R1566" s="2537" t="str">
        <f>IFERROR(VLOOKUP(F1566,Trainingsarten!$A$9:$N$84,14,FALSE),"")</f>
        <v/>
      </c>
      <c r="S1566" s="2419" t="str">
        <f t="shared" si="280"/>
        <v/>
      </c>
      <c r="T1566" s="2009">
        <f t="shared" si="281"/>
        <v>39.484987543918798</v>
      </c>
      <c r="U1566" s="2009">
        <f t="shared" si="282"/>
        <v>44.108382919795623</v>
      </c>
      <c r="V1566" s="2009">
        <f t="shared" si="283"/>
        <v>-0.88162166388698182</v>
      </c>
      <c r="W1566" s="3284">
        <f t="shared" si="284"/>
        <v>0.89518102750935657</v>
      </c>
      <c r="X1566" s="3296"/>
      <c r="Y1566" s="3320"/>
      <c r="AA1566" s="3301"/>
      <c r="AB1566" s="3409"/>
      <c r="AE1566" s="2548"/>
    </row>
    <row r="1567" spans="2:31" x14ac:dyDescent="0.2">
      <c r="B1567" s="2992" t="s">
        <v>628</v>
      </c>
      <c r="C1567" s="2409">
        <v>44665</v>
      </c>
      <c r="D1567" s="2009">
        <v>61</v>
      </c>
      <c r="E1567" s="2010" t="s">
        <v>836</v>
      </c>
      <c r="F1567" s="2792" t="s">
        <v>819</v>
      </c>
      <c r="G1567" s="2410">
        <v>3.8437499999999999E-2</v>
      </c>
      <c r="H1567" s="2411">
        <v>10.09</v>
      </c>
      <c r="I1567" s="2412">
        <f t="shared" si="278"/>
        <v>3.8094648166501488E-3</v>
      </c>
      <c r="J1567" s="2413">
        <v>139</v>
      </c>
      <c r="K1567" s="2414">
        <v>66</v>
      </c>
      <c r="L1567" s="2816">
        <v>225</v>
      </c>
      <c r="M1567" s="2840">
        <v>33</v>
      </c>
      <c r="N1567" s="2368">
        <f t="shared" si="279"/>
        <v>1.1053133736668492</v>
      </c>
      <c r="O1567" s="2415" t="s">
        <v>911</v>
      </c>
      <c r="P1567" s="2370">
        <f>IFERROR(VLOOKUP(F1567,Trainingsarten!$A$9:$N$84,12,FALSE),"")</f>
        <v>194.60000000000002</v>
      </c>
      <c r="Q1567" s="2432" t="s">
        <v>437</v>
      </c>
      <c r="R1567" s="2537">
        <f>IFERROR(VLOOKUP(F1567,Trainingsarten!$A$9:$N$84,14,FALSE),"")</f>
        <v>212.96</v>
      </c>
      <c r="S1567" s="2419">
        <f t="shared" si="280"/>
        <v>1.6187050359712229</v>
      </c>
      <c r="T1567" s="2009">
        <f t="shared" si="281"/>
        <v>43.272846466216116</v>
      </c>
      <c r="U1567" s="2009">
        <f t="shared" si="282"/>
        <v>44.629611897895728</v>
      </c>
      <c r="V1567" s="2009">
        <f t="shared" si="283"/>
        <v>4.6233953758768251</v>
      </c>
      <c r="W1567" s="3284">
        <f t="shared" si="284"/>
        <v>0.96959943468064114</v>
      </c>
      <c r="X1567" s="3296"/>
      <c r="Y1567" s="3320"/>
      <c r="AA1567" s="3301"/>
      <c r="AB1567" s="3409"/>
      <c r="AE1567" s="2548"/>
    </row>
    <row r="1568" spans="2:31" ht="16" thickBot="1" x14ac:dyDescent="0.25">
      <c r="B1568" s="2993">
        <f t="shared" ref="B1568" si="299">SUM(K1564:K1570)</f>
        <v>198</v>
      </c>
      <c r="C1568" s="2562">
        <v>44666</v>
      </c>
      <c r="D1568" s="2563"/>
      <c r="E1568" s="2564"/>
      <c r="F1568" s="2792"/>
      <c r="G1568" s="2565"/>
      <c r="H1568" s="2411" t="str">
        <f>IFERROR(VLOOKUP(F1568,Trainingsarten!$A$9:$K$84,10,FALSE),"")</f>
        <v/>
      </c>
      <c r="I1568" s="2412" t="str">
        <f t="shared" si="278"/>
        <v/>
      </c>
      <c r="J1568" s="2568"/>
      <c r="K1568" s="2569" t="str">
        <f>IFERROR(VLOOKUP(F1568,Trainingsarten!$A$9:$K$84,11,FALSE),"0")</f>
        <v>0</v>
      </c>
      <c r="L1568" s="2816"/>
      <c r="M1568" s="2840"/>
      <c r="N1568" s="2570" t="str">
        <f t="shared" si="279"/>
        <v/>
      </c>
      <c r="O1568" s="2571"/>
      <c r="P1568" s="2572" t="str">
        <f>IFERROR(VLOOKUP(F1568,Trainingsarten!$A$9:$N$84,12,FALSE),"")</f>
        <v/>
      </c>
      <c r="Q1568" s="2573" t="s">
        <v>437</v>
      </c>
      <c r="R1568" s="2574" t="str">
        <f>IFERROR(VLOOKUP(F1568,Trainingsarten!$A$9:$N$84,14,FALSE),"")</f>
        <v/>
      </c>
      <c r="S1568" s="2575" t="str">
        <f t="shared" si="280"/>
        <v/>
      </c>
      <c r="T1568" s="2563">
        <f t="shared" si="281"/>
        <v>37.091011256756673</v>
      </c>
      <c r="U1568" s="2563">
        <f t="shared" si="282"/>
        <v>43.567002090802973</v>
      </c>
      <c r="V1568" s="2563">
        <f t="shared" si="283"/>
        <v>1.3567654316796123</v>
      </c>
      <c r="W1568" s="3284">
        <f t="shared" si="284"/>
        <v>0.85135560118300202</v>
      </c>
      <c r="X1568" s="3296"/>
      <c r="Y1568" s="3320"/>
      <c r="AA1568" s="3301"/>
      <c r="AB1568" s="3409"/>
      <c r="AE1568" s="375"/>
    </row>
    <row r="1569" spans="2:31" x14ac:dyDescent="0.2">
      <c r="B1569" s="2994" t="s">
        <v>761</v>
      </c>
      <c r="C1569" s="2441">
        <v>44667</v>
      </c>
      <c r="D1569" s="1111">
        <v>62</v>
      </c>
      <c r="E1569" s="1112" t="s">
        <v>836</v>
      </c>
      <c r="F1569" s="2792" t="s">
        <v>819</v>
      </c>
      <c r="G1569" s="2442">
        <v>3.6354166666666667E-2</v>
      </c>
      <c r="H1569" s="2411">
        <v>9.6</v>
      </c>
      <c r="I1569" s="2412">
        <f t="shared" si="278"/>
        <v>3.7868923611111111E-3</v>
      </c>
      <c r="J1569" s="1320">
        <v>129</v>
      </c>
      <c r="K1569" s="2445">
        <v>63</v>
      </c>
      <c r="L1569" s="2819">
        <v>225</v>
      </c>
      <c r="M1569" s="1320">
        <v>69</v>
      </c>
      <c r="N1569" s="1119">
        <f t="shared" si="279"/>
        <v>1.0987639925373134</v>
      </c>
      <c r="O1569" s="2446" t="s">
        <v>958</v>
      </c>
      <c r="P1569" s="1121">
        <f>IFERROR(VLOOKUP(F1569,Trainingsarten!$A$9:$N$84,12,FALSE),"")</f>
        <v>194.60000000000002</v>
      </c>
      <c r="Q1569" s="2447" t="s">
        <v>437</v>
      </c>
      <c r="R1569" s="2448">
        <f>IFERROR(VLOOKUP(F1569,Trainingsarten!$A$9:$N$84,14,FALSE),"")</f>
        <v>212.96</v>
      </c>
      <c r="S1569" s="2449">
        <f t="shared" si="280"/>
        <v>1.7441860465116279</v>
      </c>
      <c r="T1569" s="1111">
        <f t="shared" si="281"/>
        <v>40.79229536293429</v>
      </c>
      <c r="U1569" s="1111">
        <f t="shared" si="282"/>
        <v>44.029692517212425</v>
      </c>
      <c r="V1569" s="1111">
        <f t="shared" si="283"/>
        <v>6.4759908340462999</v>
      </c>
      <c r="W1569" s="3286">
        <f t="shared" si="284"/>
        <v>0.92647241056674323</v>
      </c>
      <c r="X1569" s="3296"/>
      <c r="Y1569" s="3320"/>
      <c r="AA1569" s="3301"/>
      <c r="AB1569" s="3409"/>
      <c r="AE1569" s="375"/>
    </row>
    <row r="1570" spans="2:31" ht="16" thickBot="1" x14ac:dyDescent="0.25">
      <c r="B1570" s="3128">
        <f t="shared" ref="B1570" si="300">AVERAGE(W1564:W1570)</f>
        <v>0.91752860862369412</v>
      </c>
      <c r="C1570" s="1631">
        <v>44668</v>
      </c>
      <c r="D1570" s="1108"/>
      <c r="E1570" s="1261"/>
      <c r="F1570" s="2792"/>
      <c r="G1570" s="2433"/>
      <c r="H1570" s="2434" t="str">
        <f>IFERROR(VLOOKUP(F1570,Trainingsarten!$A$9:$K$84,10,FALSE),"")</f>
        <v/>
      </c>
      <c r="I1570" s="2435" t="str">
        <f t="shared" si="278"/>
        <v/>
      </c>
      <c r="J1570" s="1310"/>
      <c r="K1570" s="2436" t="str">
        <f>IFERROR(VLOOKUP(F1570,Trainingsarten!$A$9:$K$84,11,FALSE),"0")</f>
        <v>0</v>
      </c>
      <c r="L1570" s="2818"/>
      <c r="M1570" s="2798"/>
      <c r="N1570" s="1223" t="str">
        <f t="shared" si="279"/>
        <v/>
      </c>
      <c r="O1570" s="2437"/>
      <c r="P1570" s="1519" t="str">
        <f>IFERROR(VLOOKUP(F1570,Trainingsarten!$A$9:$N$84,12,FALSE),"")</f>
        <v/>
      </c>
      <c r="Q1570" s="2438" t="s">
        <v>437</v>
      </c>
      <c r="R1570" s="2439" t="str">
        <f>IFERROR(VLOOKUP(F1570,Trainingsarten!$A$9:$N$84,14,FALSE),"")</f>
        <v/>
      </c>
      <c r="S1570" s="2440" t="str">
        <f t="shared" si="280"/>
        <v/>
      </c>
      <c r="T1570" s="1108">
        <f t="shared" si="281"/>
        <v>34.964824596800817</v>
      </c>
      <c r="U1570" s="1108">
        <f t="shared" si="282"/>
        <v>42.981366504897842</v>
      </c>
      <c r="V1570" s="1108">
        <f t="shared" si="283"/>
        <v>3.2373971542781348</v>
      </c>
      <c r="W1570" s="3285">
        <f t="shared" si="284"/>
        <v>0.81348797025372566</v>
      </c>
      <c r="X1570" s="3296"/>
      <c r="Y1570" s="3320"/>
      <c r="AA1570" s="3301"/>
      <c r="AB1570" s="3409"/>
      <c r="AE1570" s="375"/>
    </row>
    <row r="1571" spans="2:31" ht="16" thickBot="1" x14ac:dyDescent="0.25">
      <c r="B1571" s="2986">
        <f t="shared" ref="B1571" si="301">B1564+1</f>
        <v>16</v>
      </c>
      <c r="C1571" s="2399">
        <v>44669</v>
      </c>
      <c r="D1571" s="2292"/>
      <c r="E1571" s="2293"/>
      <c r="F1571" s="2792"/>
      <c r="G1571" s="2400"/>
      <c r="H1571" s="2401" t="str">
        <f>IFERROR(VLOOKUP(F1571,Trainingsarten!$A$9:$K$84,10,FALSE),"")</f>
        <v/>
      </c>
      <c r="I1571" s="2402" t="str">
        <f t="shared" si="278"/>
        <v/>
      </c>
      <c r="J1571" s="2403"/>
      <c r="K1571" s="2404" t="str">
        <f>IFERROR(VLOOKUP(F1571,Trainingsarten!$A$9:$K$84,11,FALSE),"0")</f>
        <v>0</v>
      </c>
      <c r="L1571" s="2815"/>
      <c r="M1571" s="2591"/>
      <c r="N1571" s="2296" t="str">
        <f t="shared" si="279"/>
        <v/>
      </c>
      <c r="O1571" s="2405"/>
      <c r="P1571" s="2298" t="str">
        <f>IFERROR(VLOOKUP(F1571,Trainingsarten!$A$9:$N$84,12,FALSE),"")</f>
        <v/>
      </c>
      <c r="Q1571" s="2406" t="s">
        <v>437</v>
      </c>
      <c r="R1571" s="2407" t="str">
        <f>IFERROR(VLOOKUP(F1571,Trainingsarten!$A$9:$N$84,14,FALSE),"")</f>
        <v/>
      </c>
      <c r="S1571" s="2408" t="str">
        <f t="shared" si="280"/>
        <v/>
      </c>
      <c r="T1571" s="2292">
        <f t="shared" si="281"/>
        <v>29.969849654400701</v>
      </c>
      <c r="U1571" s="2292">
        <f t="shared" si="282"/>
        <v>41.958000635733605</v>
      </c>
      <c r="V1571" s="2292">
        <f t="shared" si="283"/>
        <v>8.0165419080970253</v>
      </c>
      <c r="W1571" s="3283">
        <f t="shared" si="284"/>
        <v>0.71428212022278359</v>
      </c>
      <c r="X1571" s="3296"/>
      <c r="Y1571" s="3320"/>
      <c r="AA1571" s="3301"/>
      <c r="AB1571" s="3409"/>
      <c r="AE1571" s="2844"/>
    </row>
    <row r="1572" spans="2:31" x14ac:dyDescent="0.2">
      <c r="B1572" s="2991" t="s">
        <v>626</v>
      </c>
      <c r="C1572" s="2409">
        <v>44670</v>
      </c>
      <c r="D1572" s="2009">
        <v>63</v>
      </c>
      <c r="E1572" s="2010" t="s">
        <v>836</v>
      </c>
      <c r="F1572" s="2791" t="s">
        <v>819</v>
      </c>
      <c r="G1572" s="2410">
        <v>3.8854166666666669E-2</v>
      </c>
      <c r="H1572" s="2411">
        <v>10.77</v>
      </c>
      <c r="I1572" s="2412">
        <f t="shared" si="278"/>
        <v>3.6076292169606936E-3</v>
      </c>
      <c r="J1572" s="2413">
        <v>140</v>
      </c>
      <c r="K1572" s="2414">
        <v>74</v>
      </c>
      <c r="L1572" s="2816">
        <v>236</v>
      </c>
      <c r="M1572" s="2840">
        <v>39</v>
      </c>
      <c r="N1572" s="2368">
        <f t="shared" si="279"/>
        <v>1.0979254147091839</v>
      </c>
      <c r="O1572" s="2415" t="s">
        <v>957</v>
      </c>
      <c r="P1572" s="2370">
        <f>IFERROR(VLOOKUP(F1572,Trainingsarten!$A$9:$N$84,12,FALSE),"")</f>
        <v>194.60000000000002</v>
      </c>
      <c r="Q1572" s="2432" t="s">
        <v>437</v>
      </c>
      <c r="R1572" s="2537">
        <f>IFERROR(VLOOKUP(F1572,Trainingsarten!$A$9:$N$84,14,FALSE),"")</f>
        <v>212.96</v>
      </c>
      <c r="S1572" s="2419">
        <f t="shared" si="280"/>
        <v>1.6857142857142857</v>
      </c>
      <c r="T1572" s="2009">
        <f t="shared" si="281"/>
        <v>36.259871132343456</v>
      </c>
      <c r="U1572" s="2009">
        <f t="shared" si="282"/>
        <v>42.720905382501854</v>
      </c>
      <c r="V1572" s="2009">
        <f t="shared" si="283"/>
        <v>11.988150981332904</v>
      </c>
      <c r="W1572" s="3284">
        <f t="shared" si="284"/>
        <v>0.84876176681394055</v>
      </c>
      <c r="X1572" s="3296"/>
      <c r="Y1572" s="3320"/>
      <c r="AA1572" s="3301"/>
      <c r="AB1572" s="3409"/>
      <c r="AE1572" s="2844"/>
    </row>
    <row r="1573" spans="2:31" ht="16" thickBot="1" x14ac:dyDescent="0.25">
      <c r="B1573" s="2979">
        <f t="shared" ref="B1573" si="302">SUM(H1571:H1577)</f>
        <v>38.42</v>
      </c>
      <c r="C1573" s="2409">
        <v>44671</v>
      </c>
      <c r="D1573" s="2009"/>
      <c r="E1573" s="2010"/>
      <c r="F1573" s="2792"/>
      <c r="G1573" s="2410"/>
      <c r="H1573" s="2411" t="str">
        <f>IFERROR(VLOOKUP(F1573,Trainingsarten!$A$9:$K$84,10,FALSE),"")</f>
        <v/>
      </c>
      <c r="I1573" s="2412" t="str">
        <f t="shared" si="278"/>
        <v/>
      </c>
      <c r="J1573" s="2413"/>
      <c r="K1573" s="2414" t="str">
        <f>IFERROR(VLOOKUP(F1573,Trainingsarten!$A$9:$K$84,11,FALSE),"0")</f>
        <v>0</v>
      </c>
      <c r="L1573" s="2816"/>
      <c r="M1573" s="2840"/>
      <c r="N1573" s="2368" t="str">
        <f t="shared" si="279"/>
        <v/>
      </c>
      <c r="O1573" s="2415"/>
      <c r="P1573" s="2370" t="str">
        <f>IFERROR(VLOOKUP(F1573,Trainingsarten!$A$9:$N$84,12,FALSE),"")</f>
        <v/>
      </c>
      <c r="Q1573" s="2432" t="s">
        <v>437</v>
      </c>
      <c r="R1573" s="2537" t="str">
        <f>IFERROR(VLOOKUP(F1573,Trainingsarten!$A$9:$N$84,14,FALSE),"")</f>
        <v/>
      </c>
      <c r="S1573" s="2419" t="str">
        <f t="shared" si="280"/>
        <v/>
      </c>
      <c r="T1573" s="2009">
        <f t="shared" si="281"/>
        <v>31.079889542008676</v>
      </c>
      <c r="U1573" s="2009">
        <f t="shared" si="282"/>
        <v>41.703740968632765</v>
      </c>
      <c r="V1573" s="2009">
        <f t="shared" si="283"/>
        <v>6.4610342501583986</v>
      </c>
      <c r="W1573" s="3284">
        <f t="shared" si="284"/>
        <v>0.74525423427565507</v>
      </c>
      <c r="X1573" s="3296"/>
      <c r="Y1573" s="3320"/>
      <c r="AA1573" s="3301"/>
      <c r="AB1573" s="3409"/>
      <c r="AE1573" s="2844"/>
    </row>
    <row r="1574" spans="2:31" x14ac:dyDescent="0.2">
      <c r="B1574" s="2992" t="s">
        <v>628</v>
      </c>
      <c r="C1574" s="2409">
        <v>44672</v>
      </c>
      <c r="D1574" s="2009">
        <v>64</v>
      </c>
      <c r="E1574" s="2010" t="s">
        <v>836</v>
      </c>
      <c r="F1574" s="2793" t="s">
        <v>819</v>
      </c>
      <c r="G1574" s="2410">
        <v>3.7766203703703705E-2</v>
      </c>
      <c r="H1574" s="2411">
        <v>10.3</v>
      </c>
      <c r="I1574" s="2412">
        <f t="shared" si="278"/>
        <v>3.6666217188061848E-3</v>
      </c>
      <c r="J1574" s="2413">
        <v>134</v>
      </c>
      <c r="K1574" s="2414">
        <v>69</v>
      </c>
      <c r="L1574" s="2816">
        <v>231</v>
      </c>
      <c r="M1574" s="2840">
        <v>30</v>
      </c>
      <c r="N1574" s="2368">
        <f t="shared" si="279"/>
        <v>1.0922373569047965</v>
      </c>
      <c r="O1574" s="2415" t="s">
        <v>958</v>
      </c>
      <c r="P1574" s="2370">
        <f>IFERROR(VLOOKUP(F1574,Trainingsarten!$A$9:$N$84,12,FALSE),"")</f>
        <v>194.60000000000002</v>
      </c>
      <c r="Q1574" s="2432" t="s">
        <v>437</v>
      </c>
      <c r="R1574" s="2537">
        <f>IFERROR(VLOOKUP(F1574,Trainingsarten!$A$9:$N$84,14,FALSE),"")</f>
        <v>212.96</v>
      </c>
      <c r="S1574" s="2419">
        <f t="shared" si="280"/>
        <v>1.7238805970149254</v>
      </c>
      <c r="T1574" s="2009">
        <f t="shared" si="281"/>
        <v>36.497048178864581</v>
      </c>
      <c r="U1574" s="2009">
        <f t="shared" si="282"/>
        <v>42.353651897951032</v>
      </c>
      <c r="V1574" s="2009">
        <f t="shared" si="283"/>
        <v>10.623851426624089</v>
      </c>
      <c r="W1574" s="3284">
        <f t="shared" si="284"/>
        <v>0.86172139929757086</v>
      </c>
      <c r="X1574" s="3296"/>
      <c r="Y1574" s="3320"/>
      <c r="AA1574" s="3301"/>
      <c r="AB1574" s="3409"/>
      <c r="AE1574" s="2844"/>
    </row>
    <row r="1575" spans="2:31" ht="16" thickBot="1" x14ac:dyDescent="0.25">
      <c r="B1575" s="2993">
        <f t="shared" ref="B1575" si="303">SUM(K1571:K1577)</f>
        <v>260</v>
      </c>
      <c r="C1575" s="2562">
        <v>44673</v>
      </c>
      <c r="D1575" s="2563"/>
      <c r="E1575" s="2564"/>
      <c r="F1575" s="2790"/>
      <c r="G1575" s="2565"/>
      <c r="H1575" s="2566" t="str">
        <f>IFERROR(VLOOKUP(F1575,Trainingsarten!$A$9:$K$84,10,FALSE),"")</f>
        <v/>
      </c>
      <c r="I1575" s="2567" t="str">
        <f t="shared" si="278"/>
        <v/>
      </c>
      <c r="J1575" s="2568"/>
      <c r="K1575" s="2569" t="str">
        <f>IFERROR(VLOOKUP(F1575,Trainingsarten!$A$9:$K$84,11,FALSE),"0")</f>
        <v>0</v>
      </c>
      <c r="L1575" s="2816"/>
      <c r="M1575" s="2840"/>
      <c r="N1575" s="2570" t="str">
        <f t="shared" si="279"/>
        <v/>
      </c>
      <c r="O1575" s="2571"/>
      <c r="P1575" s="2572" t="str">
        <f>IFERROR(VLOOKUP(F1575,Trainingsarten!$A$9:$N$84,12,FALSE),"")</f>
        <v/>
      </c>
      <c r="Q1575" s="2573" t="s">
        <v>437</v>
      </c>
      <c r="R1575" s="2574" t="str">
        <f>IFERROR(VLOOKUP(F1575,Trainingsarten!$A$9:$N$84,14,FALSE),"")</f>
        <v/>
      </c>
      <c r="S1575" s="2575" t="str">
        <f t="shared" si="280"/>
        <v/>
      </c>
      <c r="T1575" s="2563">
        <f t="shared" si="281"/>
        <v>31.283184153312497</v>
      </c>
      <c r="U1575" s="2563">
        <f t="shared" si="282"/>
        <v>41.345231614666481</v>
      </c>
      <c r="V1575" s="2563">
        <f t="shared" si="283"/>
        <v>5.8566037190864506</v>
      </c>
      <c r="W1575" s="3284">
        <f t="shared" si="284"/>
        <v>0.75663342377347687</v>
      </c>
      <c r="X1575" s="3296"/>
      <c r="Y1575" s="3320"/>
      <c r="AA1575" s="3301"/>
      <c r="AB1575" s="3409"/>
      <c r="AE1575" s="2844"/>
    </row>
    <row r="1576" spans="2:31" x14ac:dyDescent="0.2">
      <c r="B1576" s="2994" t="s">
        <v>761</v>
      </c>
      <c r="C1576" s="2441">
        <v>44674</v>
      </c>
      <c r="D1576" s="1111">
        <v>65</v>
      </c>
      <c r="E1576" s="1112" t="s">
        <v>836</v>
      </c>
      <c r="F1576" s="2792" t="s">
        <v>809</v>
      </c>
      <c r="G1576" s="2442">
        <v>6.3796296296296295E-2</v>
      </c>
      <c r="H1576" s="2443">
        <v>17.350000000000001</v>
      </c>
      <c r="I1576" s="2444">
        <f t="shared" si="278"/>
        <v>3.6770199594407084E-3</v>
      </c>
      <c r="J1576" s="1320">
        <v>137</v>
      </c>
      <c r="K1576" s="2445">
        <v>117</v>
      </c>
      <c r="L1576" s="2819">
        <v>231</v>
      </c>
      <c r="M1576" s="1320">
        <v>69</v>
      </c>
      <c r="N1576" s="1119">
        <f t="shared" si="279"/>
        <v>1.0953348531119618</v>
      </c>
      <c r="O1576" s="2446" t="s">
        <v>953</v>
      </c>
      <c r="P1576" s="1121">
        <f>IFERROR(VLOOKUP(F1576,Trainingsarten!$A$9:$N$84,12,FALSE),"")</f>
        <v>194.60000000000002</v>
      </c>
      <c r="Q1576" s="2447" t="s">
        <v>437</v>
      </c>
      <c r="R1576" s="2448">
        <f>IFERROR(VLOOKUP(F1576,Trainingsarten!$A$9:$N$84,14,FALSE),"")</f>
        <v>212.96</v>
      </c>
      <c r="S1576" s="2449">
        <f t="shared" si="280"/>
        <v>1.6861313868613139</v>
      </c>
      <c r="T1576" s="1111">
        <f t="shared" si="281"/>
        <v>43.528443559982136</v>
      </c>
      <c r="U1576" s="1111">
        <f t="shared" si="282"/>
        <v>43.146535623841089</v>
      </c>
      <c r="V1576" s="1111">
        <f t="shared" si="283"/>
        <v>10.062047461353984</v>
      </c>
      <c r="W1576" s="3286">
        <f t="shared" si="284"/>
        <v>1.0088514160087054</v>
      </c>
      <c r="X1576" s="3296"/>
      <c r="Y1576" s="3320"/>
      <c r="AA1576" s="3301"/>
      <c r="AB1576" s="3409"/>
      <c r="AE1576" s="2844"/>
    </row>
    <row r="1577" spans="2:31" ht="16" thickBot="1" x14ac:dyDescent="0.25">
      <c r="B1577" s="3128">
        <f t="shared" ref="B1577" si="304">AVERAGE(W1571:W1577)</f>
        <v>0.83161787370171025</v>
      </c>
      <c r="C1577" s="1631">
        <v>44675</v>
      </c>
      <c r="D1577" s="1108"/>
      <c r="E1577" s="1261"/>
      <c r="F1577" s="2792"/>
      <c r="G1577" s="2433"/>
      <c r="H1577" s="2434" t="str">
        <f>IFERROR(VLOOKUP(F1577,Trainingsarten!$A$9:$K$84,10,FALSE),"")</f>
        <v/>
      </c>
      <c r="I1577" s="2435" t="str">
        <f t="shared" si="278"/>
        <v/>
      </c>
      <c r="J1577" s="1310"/>
      <c r="K1577" s="2436" t="str">
        <f>IFERROR(VLOOKUP(F1577,Trainingsarten!$A$9:$K$84,11,FALSE),"0")</f>
        <v>0</v>
      </c>
      <c r="L1577" s="2818"/>
      <c r="M1577" s="2798"/>
      <c r="N1577" s="1223" t="str">
        <f t="shared" si="279"/>
        <v/>
      </c>
      <c r="O1577" s="2437"/>
      <c r="P1577" s="1519" t="str">
        <f>IFERROR(VLOOKUP(F1577,Trainingsarten!$A$9:$N$84,12,FALSE),"")</f>
        <v/>
      </c>
      <c r="Q1577" s="2438" t="s">
        <v>437</v>
      </c>
      <c r="R1577" s="2439" t="str">
        <f>IFERROR(VLOOKUP(F1577,Trainingsarten!$A$9:$N$84,14,FALSE),"")</f>
        <v/>
      </c>
      <c r="S1577" s="2440" t="str">
        <f t="shared" si="280"/>
        <v/>
      </c>
      <c r="T1577" s="1108">
        <f t="shared" si="281"/>
        <v>37.310094479984691</v>
      </c>
      <c r="U1577" s="1108">
        <f t="shared" si="282"/>
        <v>42.119237156606779</v>
      </c>
      <c r="V1577" s="1108">
        <f t="shared" si="283"/>
        <v>-0.38190793614104734</v>
      </c>
      <c r="W1577" s="3285">
        <f t="shared" si="284"/>
        <v>0.88582075551983896</v>
      </c>
      <c r="X1577" s="3296"/>
      <c r="Y1577" s="3320"/>
      <c r="AA1577" s="3301"/>
      <c r="AB1577" s="3409"/>
      <c r="AE1577" s="2844"/>
    </row>
    <row r="1578" spans="2:31" ht="16" thickBot="1" x14ac:dyDescent="0.25">
      <c r="B1578" s="2986">
        <f t="shared" ref="B1578" si="305">B1571+1</f>
        <v>17</v>
      </c>
      <c r="C1578" s="2399">
        <v>44676</v>
      </c>
      <c r="D1578" s="2292">
        <v>66</v>
      </c>
      <c r="E1578" s="2293" t="s">
        <v>836</v>
      </c>
      <c r="F1578" s="2859" t="s">
        <v>819</v>
      </c>
      <c r="G1578" s="2400">
        <v>3.9583333333333331E-2</v>
      </c>
      <c r="H1578" s="2401">
        <v>11.29</v>
      </c>
      <c r="I1578" s="2402">
        <f t="shared" si="278"/>
        <v>3.5060525538824919E-3</v>
      </c>
      <c r="J1578" s="2403">
        <v>138</v>
      </c>
      <c r="K1578" s="2404">
        <v>79</v>
      </c>
      <c r="L1578" s="2815">
        <v>241</v>
      </c>
      <c r="M1578" s="2591">
        <v>35</v>
      </c>
      <c r="N1578" s="2296">
        <f t="shared" si="279"/>
        <v>1.0896183387755642</v>
      </c>
      <c r="O1578" s="2405" t="s">
        <v>958</v>
      </c>
      <c r="P1578" s="2298">
        <f>IFERROR(VLOOKUP(F1578,Trainingsarten!$A$9:$N$84,12,FALSE),"")</f>
        <v>194.60000000000002</v>
      </c>
      <c r="Q1578" s="2406" t="s">
        <v>437</v>
      </c>
      <c r="R1578" s="2407">
        <f>IFERROR(VLOOKUP(F1578,Trainingsarten!$A$9:$N$84,14,FALSE),"")</f>
        <v>212.96</v>
      </c>
      <c r="S1578" s="2408">
        <f t="shared" si="280"/>
        <v>1.7463768115942029</v>
      </c>
      <c r="T1578" s="2292">
        <f t="shared" si="281"/>
        <v>43.265795268558307</v>
      </c>
      <c r="U1578" s="2292">
        <f t="shared" si="282"/>
        <v>42.997350557639948</v>
      </c>
      <c r="V1578" s="2292">
        <f t="shared" si="283"/>
        <v>4.8091426766220877</v>
      </c>
      <c r="W1578" s="3283">
        <f t="shared" si="284"/>
        <v>1.0062432849335332</v>
      </c>
      <c r="X1578" s="3296"/>
      <c r="Y1578" s="3320"/>
      <c r="AA1578" s="3301"/>
      <c r="AB1578" s="3409"/>
      <c r="AE1578" s="2548"/>
    </row>
    <row r="1579" spans="2:31" x14ac:dyDescent="0.2">
      <c r="B1579" s="2991" t="s">
        <v>626</v>
      </c>
      <c r="C1579" s="2409">
        <v>44677</v>
      </c>
      <c r="D1579" s="2009"/>
      <c r="E1579" s="2010"/>
      <c r="F1579" s="2860"/>
      <c r="G1579" s="2410"/>
      <c r="H1579" s="2411" t="str">
        <f>IFERROR(VLOOKUP(F1579,Trainingsarten!$A$9:$K$84,10,FALSE),"")</f>
        <v/>
      </c>
      <c r="I1579" s="2412" t="str">
        <f t="shared" si="278"/>
        <v/>
      </c>
      <c r="J1579" s="2413"/>
      <c r="K1579" s="2414" t="str">
        <f>IFERROR(VLOOKUP(F1579,Trainingsarten!$A$9:$K$84,11,FALSE),"0")</f>
        <v>0</v>
      </c>
      <c r="L1579" s="2816"/>
      <c r="M1579" s="2840"/>
      <c r="N1579" s="2368" t="str">
        <f t="shared" si="279"/>
        <v/>
      </c>
      <c r="O1579" s="2415"/>
      <c r="P1579" s="2370" t="str">
        <f>IFERROR(VLOOKUP(F1579,Trainingsarten!$A$9:$N$84,12,FALSE),"")</f>
        <v/>
      </c>
      <c r="Q1579" s="2432" t="s">
        <v>437</v>
      </c>
      <c r="R1579" s="2537" t="str">
        <f>IFERROR(VLOOKUP(F1579,Trainingsarten!$A$9:$N$84,14,FALSE),"")</f>
        <v/>
      </c>
      <c r="S1579" s="2419" t="str">
        <f t="shared" si="280"/>
        <v/>
      </c>
      <c r="T1579" s="2009">
        <f t="shared" si="281"/>
        <v>37.084967373049977</v>
      </c>
      <c r="U1579" s="2009">
        <f t="shared" si="282"/>
        <v>41.973604115791375</v>
      </c>
      <c r="V1579" s="2009">
        <f t="shared" si="283"/>
        <v>-0.26844471091835942</v>
      </c>
      <c r="W1579" s="3284">
        <f t="shared" si="284"/>
        <v>0.88353068920993161</v>
      </c>
      <c r="X1579" s="3296"/>
      <c r="Y1579" s="3320"/>
      <c r="AA1579" s="3301"/>
      <c r="AB1579" s="3409"/>
      <c r="AE1579" s="2548"/>
    </row>
    <row r="1580" spans="2:31" ht="16" thickBot="1" x14ac:dyDescent="0.25">
      <c r="B1580" s="2979">
        <f t="shared" ref="B1580" si="306">SUM(H1578:H1584)</f>
        <v>49</v>
      </c>
      <c r="C1580" s="2409">
        <v>44678</v>
      </c>
      <c r="D1580" s="2009">
        <v>67</v>
      </c>
      <c r="E1580" s="2010" t="s">
        <v>836</v>
      </c>
      <c r="F1580" s="2860" t="s">
        <v>915</v>
      </c>
      <c r="G1580" s="2410">
        <v>3.4722222222222224E-2</v>
      </c>
      <c r="H1580" s="2411">
        <v>9.68</v>
      </c>
      <c r="I1580" s="2412">
        <f t="shared" si="278"/>
        <v>3.5870064279155192E-3</v>
      </c>
      <c r="J1580" s="2413">
        <v>146</v>
      </c>
      <c r="K1580" s="2414">
        <v>72</v>
      </c>
      <c r="L1580" s="2816">
        <v>226</v>
      </c>
      <c r="M1580" s="2840">
        <v>26</v>
      </c>
      <c r="N1580" s="2368">
        <f t="shared" si="279"/>
        <v>1.0453928703589492</v>
      </c>
      <c r="O1580" s="2415" t="s">
        <v>1463</v>
      </c>
      <c r="P1580" s="2370">
        <f>IFERROR(VLOOKUP(F1580,Trainingsarten!$A$9:$N$84,12,FALSE),"")</f>
        <v>255.10000000000002</v>
      </c>
      <c r="Q1580" s="2432" t="s">
        <v>437</v>
      </c>
      <c r="R1580" s="2537">
        <f>IFERROR(VLOOKUP(F1580,Trainingsarten!$A$9:$N$84,14,FALSE),"")</f>
        <v>278.29999999999995</v>
      </c>
      <c r="S1580" s="2419">
        <f t="shared" si="280"/>
        <v>1.547945205479452</v>
      </c>
      <c r="T1580" s="2009">
        <f t="shared" si="281"/>
        <v>42.07282917689998</v>
      </c>
      <c r="U1580" s="2009">
        <f t="shared" si="282"/>
        <v>42.688518303510627</v>
      </c>
      <c r="V1580" s="2009">
        <f t="shared" si="283"/>
        <v>4.8886367427413973</v>
      </c>
      <c r="W1580" s="3284">
        <f t="shared" si="284"/>
        <v>0.98557717271344103</v>
      </c>
      <c r="X1580" s="3296"/>
      <c r="Y1580" s="3320"/>
      <c r="AA1580" s="3301"/>
      <c r="AB1580" s="3409"/>
      <c r="AE1580" s="2548"/>
    </row>
    <row r="1581" spans="2:31" x14ac:dyDescent="0.2">
      <c r="B1581" s="2992" t="s">
        <v>628</v>
      </c>
      <c r="C1581" s="2409">
        <v>44679</v>
      </c>
      <c r="D1581" s="2009">
        <v>68</v>
      </c>
      <c r="E1581" s="2010" t="s">
        <v>836</v>
      </c>
      <c r="F1581" s="2860" t="s">
        <v>950</v>
      </c>
      <c r="G1581" s="2410">
        <v>2.836805555555556E-2</v>
      </c>
      <c r="H1581" s="2411">
        <v>7.45</v>
      </c>
      <c r="I1581" s="2412">
        <f t="shared" si="278"/>
        <v>3.8077926920208802E-3</v>
      </c>
      <c r="J1581" s="2413">
        <v>134</v>
      </c>
      <c r="K1581" s="2414">
        <v>48</v>
      </c>
      <c r="L1581" s="2816">
        <v>222</v>
      </c>
      <c r="M1581" s="2840">
        <v>24</v>
      </c>
      <c r="N1581" s="2368">
        <f t="shared" si="279"/>
        <v>1.0900971651808073</v>
      </c>
      <c r="O1581" s="2415" t="s">
        <v>1460</v>
      </c>
      <c r="P1581" s="2370">
        <f>IFERROR(VLOOKUP(F1581,Trainingsarten!$A$9:$N$84,12,FALSE),"")</f>
        <v>169.39999999999998</v>
      </c>
      <c r="Q1581" s="2432" t="s">
        <v>437</v>
      </c>
      <c r="R1581" s="2537">
        <f>IFERROR(VLOOKUP(F1581,Trainingsarten!$A$9:$N$84,14,FALSE),"")</f>
        <v>193.60000000000002</v>
      </c>
      <c r="S1581" s="2419">
        <f t="shared" si="280"/>
        <v>1.6567164179104477</v>
      </c>
      <c r="T1581" s="2009">
        <f t="shared" si="281"/>
        <v>42.919567865914267</v>
      </c>
      <c r="U1581" s="2009">
        <f t="shared" si="282"/>
        <v>42.814982153427039</v>
      </c>
      <c r="V1581" s="2009">
        <f t="shared" si="283"/>
        <v>0.61568912661064701</v>
      </c>
      <c r="W1581" s="3284">
        <f t="shared" si="284"/>
        <v>1.0024427363326334</v>
      </c>
      <c r="X1581" s="3296"/>
      <c r="Y1581" s="3320"/>
      <c r="AA1581" s="3301"/>
      <c r="AB1581" s="3409"/>
      <c r="AE1581" s="2548"/>
    </row>
    <row r="1582" spans="2:31" ht="16" thickBot="1" x14ac:dyDescent="0.25">
      <c r="B1582" s="2993">
        <f t="shared" ref="B1582" si="307">SUM(K1578:K1584)</f>
        <v>339</v>
      </c>
      <c r="C1582" s="2562">
        <v>44680</v>
      </c>
      <c r="D1582" s="2563"/>
      <c r="E1582" s="2564"/>
      <c r="F1582" s="2860"/>
      <c r="G1582" s="2565"/>
      <c r="H1582" s="2566" t="str">
        <f>IFERROR(VLOOKUP(F1582,Trainingsarten!$A$9:$K$84,10,FALSE),"")</f>
        <v/>
      </c>
      <c r="I1582" s="2567" t="str">
        <f t="shared" si="278"/>
        <v/>
      </c>
      <c r="J1582" s="2568"/>
      <c r="K1582" s="2569" t="str">
        <f>IFERROR(VLOOKUP(F1582,Trainingsarten!$A$9:$K$84,11,FALSE),"0")</f>
        <v>0</v>
      </c>
      <c r="L1582" s="2816"/>
      <c r="M1582" s="2840"/>
      <c r="N1582" s="2570" t="str">
        <f t="shared" si="279"/>
        <v/>
      </c>
      <c r="O1582" s="2571"/>
      <c r="P1582" s="2572" t="str">
        <f>IFERROR(VLOOKUP(F1582,Trainingsarten!$A$9:$N$84,12,FALSE),"")</f>
        <v/>
      </c>
      <c r="Q1582" s="2573" t="s">
        <v>437</v>
      </c>
      <c r="R1582" s="2574" t="str">
        <f>IFERROR(VLOOKUP(F1582,Trainingsarten!$A$9:$N$84,14,FALSE),"")</f>
        <v/>
      </c>
      <c r="S1582" s="2575" t="str">
        <f t="shared" si="280"/>
        <v/>
      </c>
      <c r="T1582" s="2563">
        <f t="shared" si="281"/>
        <v>36.788201027926512</v>
      </c>
      <c r="U1582" s="2563">
        <f t="shared" si="282"/>
        <v>41.795577816440684</v>
      </c>
      <c r="V1582" s="2563">
        <f t="shared" si="283"/>
        <v>-0.10458571248722848</v>
      </c>
      <c r="W1582" s="3284">
        <f t="shared" si="284"/>
        <v>0.88019362214572683</v>
      </c>
      <c r="X1582" s="3296"/>
      <c r="Y1582" s="3320"/>
      <c r="AA1582" s="3301"/>
      <c r="AB1582" s="3409"/>
      <c r="AE1582" s="2548"/>
    </row>
    <row r="1583" spans="2:31" x14ac:dyDescent="0.2">
      <c r="B1583" s="2994" t="s">
        <v>761</v>
      </c>
      <c r="C1583" s="2441">
        <v>44681</v>
      </c>
      <c r="D1583" s="1111">
        <v>69</v>
      </c>
      <c r="E1583" s="1112" t="s">
        <v>836</v>
      </c>
      <c r="F1583" s="2860" t="s">
        <v>810</v>
      </c>
      <c r="G1583" s="2442">
        <v>7.3969907407407401E-2</v>
      </c>
      <c r="H1583" s="2443">
        <v>20.58</v>
      </c>
      <c r="I1583" s="2444">
        <f t="shared" si="278"/>
        <v>3.5942617787855882E-3</v>
      </c>
      <c r="J1583" s="1320">
        <v>140</v>
      </c>
      <c r="K1583" s="2445">
        <v>140</v>
      </c>
      <c r="L1583" s="2819">
        <v>235</v>
      </c>
      <c r="M1583" s="1320">
        <v>79</v>
      </c>
      <c r="N1583" s="1119">
        <f t="shared" si="279"/>
        <v>1.0892222560666058</v>
      </c>
      <c r="O1583" s="2446" t="s">
        <v>953</v>
      </c>
      <c r="P1583" s="1121">
        <f>IFERROR(VLOOKUP(F1583,Trainingsarten!$A$9:$N$84,12,FALSE),"")</f>
        <v>194.60000000000002</v>
      </c>
      <c r="Q1583" s="2447" t="s">
        <v>437</v>
      </c>
      <c r="R1583" s="2448">
        <f>IFERROR(VLOOKUP(F1583,Trainingsarten!$A$9:$N$84,14,FALSE),"")</f>
        <v>212.96</v>
      </c>
      <c r="S1583" s="2449">
        <f t="shared" si="280"/>
        <v>1.6785714285714286</v>
      </c>
      <c r="T1583" s="1111">
        <f t="shared" si="281"/>
        <v>51.532743738222727</v>
      </c>
      <c r="U1583" s="1111">
        <f t="shared" si="282"/>
        <v>44.133778344620666</v>
      </c>
      <c r="V1583" s="1111">
        <f t="shared" si="283"/>
        <v>5.007376788514172</v>
      </c>
      <c r="W1583" s="3286">
        <f t="shared" si="284"/>
        <v>1.167648582811716</v>
      </c>
      <c r="X1583" s="3296"/>
      <c r="Y1583" s="3320"/>
      <c r="AA1583" s="3301"/>
      <c r="AB1583" s="3409"/>
      <c r="AE1583" s="2548"/>
    </row>
    <row r="1584" spans="2:31" ht="16" thickBot="1" x14ac:dyDescent="0.25">
      <c r="B1584" s="3128">
        <f t="shared" ref="B1584" si="308">AVERAGE(W1578:W1584)</f>
        <v>0.99298407176044612</v>
      </c>
      <c r="C1584" s="1631">
        <v>44682</v>
      </c>
      <c r="D1584" s="1108"/>
      <c r="E1584" s="1261"/>
      <c r="F1584" s="2861"/>
      <c r="G1584" s="2433"/>
      <c r="H1584" s="2434" t="str">
        <f>IFERROR(VLOOKUP(F1584,Trainingsarten!$A$9:$K$84,10,FALSE),"")</f>
        <v/>
      </c>
      <c r="I1584" s="2435" t="str">
        <f t="shared" si="278"/>
        <v/>
      </c>
      <c r="J1584" s="1310"/>
      <c r="K1584" s="2436" t="str">
        <f>IFERROR(VLOOKUP(F1584,Trainingsarten!$A$9:$K$84,11,FALSE),"0")</f>
        <v>0</v>
      </c>
      <c r="L1584" s="2818"/>
      <c r="M1584" s="2798"/>
      <c r="N1584" s="1223" t="str">
        <f t="shared" si="279"/>
        <v/>
      </c>
      <c r="O1584" s="2437"/>
      <c r="P1584" s="1519" t="str">
        <f>IFERROR(VLOOKUP(F1584,Trainingsarten!$A$9:$N$84,12,FALSE),"")</f>
        <v/>
      </c>
      <c r="Q1584" s="2438" t="s">
        <v>437</v>
      </c>
      <c r="R1584" s="2439" t="str">
        <f>IFERROR(VLOOKUP(F1584,Trainingsarten!$A$9:$N$84,14,FALSE),"")</f>
        <v/>
      </c>
      <c r="S1584" s="2440" t="str">
        <f t="shared" si="280"/>
        <v/>
      </c>
      <c r="T1584" s="1108">
        <f t="shared" si="281"/>
        <v>44.170923204190906</v>
      </c>
      <c r="U1584" s="1108">
        <f t="shared" si="282"/>
        <v>43.082974098320172</v>
      </c>
      <c r="V1584" s="1108">
        <f t="shared" si="283"/>
        <v>-7.3989653936020616</v>
      </c>
      <c r="W1584" s="3285">
        <f t="shared" si="284"/>
        <v>1.025252414176141</v>
      </c>
      <c r="X1584" s="3296"/>
      <c r="Y1584" s="3320"/>
      <c r="AA1584" s="3301"/>
      <c r="AB1584" s="3409"/>
      <c r="AE1584" s="2548"/>
    </row>
    <row r="1585" spans="2:31" ht="16" thickBot="1" x14ac:dyDescent="0.25">
      <c r="B1585" s="2986">
        <f t="shared" ref="B1585" si="309">B1578+1</f>
        <v>18</v>
      </c>
      <c r="C1585" s="2399">
        <v>44683</v>
      </c>
      <c r="D1585" s="2292">
        <v>70</v>
      </c>
      <c r="E1585" s="2293" t="s">
        <v>836</v>
      </c>
      <c r="F1585" s="2856" t="s">
        <v>906</v>
      </c>
      <c r="G1585" s="2400">
        <v>4.6365740740740742E-2</v>
      </c>
      <c r="H1585" s="2401">
        <v>12.79</v>
      </c>
      <c r="I1585" s="2402">
        <f t="shared" si="278"/>
        <v>3.6251556482205429E-3</v>
      </c>
      <c r="J1585" s="2403">
        <v>138</v>
      </c>
      <c r="K1585" s="2404">
        <v>87</v>
      </c>
      <c r="L1585" s="2815">
        <v>236</v>
      </c>
      <c r="M1585" s="2591">
        <v>38</v>
      </c>
      <c r="N1585" s="2296">
        <f t="shared" si="279"/>
        <v>1.1032593093951666</v>
      </c>
      <c r="O1585" s="2405" t="s">
        <v>958</v>
      </c>
      <c r="P1585" s="2298">
        <f>IFERROR(VLOOKUP(F1585,Trainingsarten!$A$9:$N$84,12,FALSE),"")</f>
        <v>194.60000000000002</v>
      </c>
      <c r="Q1585" s="2406" t="s">
        <v>437</v>
      </c>
      <c r="R1585" s="2407">
        <f>IFERROR(VLOOKUP(F1585,Trainingsarten!$A$9:$N$84,14,FALSE),"")</f>
        <v>212.96</v>
      </c>
      <c r="S1585" s="2408">
        <f t="shared" si="280"/>
        <v>1.7101449275362319</v>
      </c>
      <c r="T1585" s="2292">
        <f t="shared" si="281"/>
        <v>50.289362746449349</v>
      </c>
      <c r="U1585" s="2292">
        <f t="shared" si="282"/>
        <v>44.128617572169688</v>
      </c>
      <c r="V1585" s="2292">
        <f t="shared" si="283"/>
        <v>-1.0879491058707345</v>
      </c>
      <c r="W1585" s="3283">
        <f t="shared" si="284"/>
        <v>1.1396088414554146</v>
      </c>
      <c r="X1585" s="3296"/>
      <c r="Y1585" s="3320"/>
      <c r="AA1585" s="3301"/>
      <c r="AB1585" s="3409"/>
      <c r="AE1585" s="2548"/>
    </row>
    <row r="1586" spans="2:31" x14ac:dyDescent="0.2">
      <c r="B1586" s="2991" t="s">
        <v>626</v>
      </c>
      <c r="C1586" s="2409">
        <v>44684</v>
      </c>
      <c r="D1586" s="2009"/>
      <c r="E1586" s="2010"/>
      <c r="F1586" s="2857"/>
      <c r="G1586" s="2410"/>
      <c r="H1586" s="2411" t="str">
        <f>IFERROR(VLOOKUP(F1586,Trainingsarten!$A$9:$K$84,10,FALSE),"")</f>
        <v/>
      </c>
      <c r="I1586" s="2412" t="str">
        <f t="shared" si="278"/>
        <v/>
      </c>
      <c r="J1586" s="2413"/>
      <c r="K1586" s="2414" t="str">
        <f>IFERROR(VLOOKUP(F1586,Trainingsarten!$A$9:$K$84,11,FALSE),"0")</f>
        <v>0</v>
      </c>
      <c r="L1586" s="2816"/>
      <c r="M1586" s="2840"/>
      <c r="N1586" s="2368" t="str">
        <f t="shared" si="279"/>
        <v/>
      </c>
      <c r="O1586" s="2415"/>
      <c r="P1586" s="2370" t="str">
        <f>IFERROR(VLOOKUP(F1586,Trainingsarten!$A$9:$N$84,12,FALSE),"")</f>
        <v/>
      </c>
      <c r="Q1586" s="2432" t="s">
        <v>437</v>
      </c>
      <c r="R1586" s="2537" t="str">
        <f>IFERROR(VLOOKUP(F1586,Trainingsarten!$A$9:$N$84,14,FALSE),"")</f>
        <v/>
      </c>
      <c r="S1586" s="2419" t="str">
        <f t="shared" si="280"/>
        <v/>
      </c>
      <c r="T1586" s="2009">
        <f t="shared" si="281"/>
        <v>43.105168068385154</v>
      </c>
      <c r="U1586" s="2009">
        <f t="shared" si="282"/>
        <v>43.077936201403745</v>
      </c>
      <c r="V1586" s="2009">
        <f t="shared" si="283"/>
        <v>-6.1607451742796613</v>
      </c>
      <c r="W1586" s="3284">
        <f t="shared" si="284"/>
        <v>1.0006321534730469</v>
      </c>
      <c r="X1586" s="3296"/>
      <c r="Y1586" s="3320"/>
      <c r="AA1586" s="3301"/>
      <c r="AB1586" s="3409"/>
      <c r="AE1586" s="2548"/>
    </row>
    <row r="1587" spans="2:31" ht="16" thickBot="1" x14ac:dyDescent="0.25">
      <c r="B1587" s="2979">
        <f t="shared" ref="B1587" si="310">SUM(H1585:H1591)</f>
        <v>32.36</v>
      </c>
      <c r="C1587" s="2409">
        <v>44685</v>
      </c>
      <c r="D1587" s="2009">
        <v>71</v>
      </c>
      <c r="E1587" s="2010" t="s">
        <v>836</v>
      </c>
      <c r="F1587" s="2857" t="s">
        <v>916</v>
      </c>
      <c r="G1587" s="2410">
        <v>4.5081018518518513E-2</v>
      </c>
      <c r="H1587" s="2411">
        <v>12.1</v>
      </c>
      <c r="I1587" s="2412">
        <f t="shared" si="278"/>
        <v>3.7257040097949186E-3</v>
      </c>
      <c r="J1587" s="2413">
        <v>145</v>
      </c>
      <c r="K1587" s="2414">
        <v>91</v>
      </c>
      <c r="L1587" s="2816">
        <v>218</v>
      </c>
      <c r="M1587" s="2840">
        <v>31</v>
      </c>
      <c r="N1587" s="2368">
        <f t="shared" si="279"/>
        <v>1.0473788084371531</v>
      </c>
      <c r="O1587" s="2415" t="s">
        <v>1463</v>
      </c>
      <c r="P1587" s="2370">
        <f>IFERROR(VLOOKUP(F1587,Trainingsarten!$A$9:$N$84,12,FALSE),"")</f>
        <v>255.10000000000002</v>
      </c>
      <c r="Q1587" s="2432" t="s">
        <v>437</v>
      </c>
      <c r="R1587" s="2537">
        <f>IFERROR(VLOOKUP(F1587,Trainingsarten!$A$9:$N$84,14,FALSE),"")</f>
        <v>278.29999999999995</v>
      </c>
      <c r="S1587" s="2419">
        <f t="shared" si="280"/>
        <v>1.5034482758620689</v>
      </c>
      <c r="T1587" s="2009">
        <f t="shared" si="281"/>
        <v>49.947286915758703</v>
      </c>
      <c r="U1587" s="2009">
        <f t="shared" si="282"/>
        <v>44.218937720417941</v>
      </c>
      <c r="V1587" s="2009">
        <f t="shared" si="283"/>
        <v>-2.723186698140978E-2</v>
      </c>
      <c r="W1587" s="3284">
        <f t="shared" si="284"/>
        <v>1.1295451562305558</v>
      </c>
      <c r="X1587" s="3296"/>
      <c r="Y1587" s="3320"/>
      <c r="AA1587" s="3301"/>
      <c r="AB1587" s="3409"/>
      <c r="AE1587" s="2548"/>
    </row>
    <row r="1588" spans="2:31" x14ac:dyDescent="0.2">
      <c r="B1588" s="2992" t="s">
        <v>628</v>
      </c>
      <c r="C1588" s="2409">
        <v>44686</v>
      </c>
      <c r="D1588" s="2009">
        <v>72</v>
      </c>
      <c r="E1588" s="2010" t="s">
        <v>836</v>
      </c>
      <c r="F1588" s="2857" t="s">
        <v>950</v>
      </c>
      <c r="G1588" s="2410">
        <v>2.8692129629629633E-2</v>
      </c>
      <c r="H1588" s="2411">
        <v>7.47</v>
      </c>
      <c r="I1588" s="2412">
        <f t="shared" si="278"/>
        <v>3.8409812087857611E-3</v>
      </c>
      <c r="J1588" s="2413">
        <v>132</v>
      </c>
      <c r="K1588" s="2414">
        <v>47</v>
      </c>
      <c r="L1588" s="2816">
        <v>222</v>
      </c>
      <c r="M1588" s="2840">
        <v>17</v>
      </c>
      <c r="N1588" s="2368">
        <f t="shared" si="279"/>
        <v>1.0995983935742975</v>
      </c>
      <c r="O1588" s="2415" t="s">
        <v>957</v>
      </c>
      <c r="P1588" s="2370">
        <f>IFERROR(VLOOKUP(F1588,Trainingsarten!$A$9:$N$84,12,FALSE),"")</f>
        <v>169.39999999999998</v>
      </c>
      <c r="Q1588" s="2432" t="s">
        <v>437</v>
      </c>
      <c r="R1588" s="2537">
        <f>IFERROR(VLOOKUP(F1588,Trainingsarten!$A$9:$N$84,14,FALSE),"")</f>
        <v>193.60000000000002</v>
      </c>
      <c r="S1588" s="2419">
        <f t="shared" si="280"/>
        <v>1.6818181818181819</v>
      </c>
      <c r="T1588" s="2009">
        <f t="shared" si="281"/>
        <v>49.526245927793177</v>
      </c>
      <c r="U1588" s="2009">
        <f t="shared" si="282"/>
        <v>44.285153488979418</v>
      </c>
      <c r="V1588" s="2009">
        <f t="shared" si="283"/>
        <v>-5.7283491953407619</v>
      </c>
      <c r="W1588" s="3284">
        <f t="shared" si="284"/>
        <v>1.1183487472865603</v>
      </c>
      <c r="X1588" s="3296"/>
      <c r="Y1588" s="3320"/>
      <c r="AA1588" s="3301"/>
      <c r="AB1588" s="3409"/>
      <c r="AE1588" s="2548"/>
    </row>
    <row r="1589" spans="2:31" ht="16" thickBot="1" x14ac:dyDescent="0.25">
      <c r="B1589" s="2993">
        <f t="shared" ref="B1589" si="311">SUM(K1585:K1591)</f>
        <v>225</v>
      </c>
      <c r="C1589" s="2562">
        <v>44687</v>
      </c>
      <c r="D1589" s="2563"/>
      <c r="E1589" s="2564"/>
      <c r="F1589" s="2857"/>
      <c r="G1589" s="2565"/>
      <c r="H1589" s="2566" t="str">
        <f>IFERROR(VLOOKUP(F1589,Trainingsarten!$A$9:$K$84,10,FALSE),"")</f>
        <v/>
      </c>
      <c r="I1589" s="2567" t="str">
        <f t="shared" si="278"/>
        <v/>
      </c>
      <c r="J1589" s="2568"/>
      <c r="K1589" s="2569" t="str">
        <f>IFERROR(VLOOKUP(F1589,Trainingsarten!$A$9:$K$84,11,FALSE),"0")</f>
        <v>0</v>
      </c>
      <c r="L1589" s="2816"/>
      <c r="M1589" s="2840"/>
      <c r="N1589" s="2570" t="str">
        <f t="shared" si="279"/>
        <v/>
      </c>
      <c r="O1589" s="2571"/>
      <c r="P1589" s="2572" t="str">
        <f>IFERROR(VLOOKUP(F1589,Trainingsarten!$A$9:$N$84,12,FALSE),"")</f>
        <v/>
      </c>
      <c r="Q1589" s="2573" t="s">
        <v>437</v>
      </c>
      <c r="R1589" s="2574" t="str">
        <f>IFERROR(VLOOKUP(F1589,Trainingsarten!$A$9:$N$84,14,FALSE),"")</f>
        <v/>
      </c>
      <c r="S1589" s="2575" t="str">
        <f t="shared" si="280"/>
        <v/>
      </c>
      <c r="T1589" s="2563">
        <f t="shared" si="281"/>
        <v>42.451067938108437</v>
      </c>
      <c r="U1589" s="2563">
        <f t="shared" si="282"/>
        <v>43.230745072575147</v>
      </c>
      <c r="V1589" s="2563">
        <f t="shared" si="283"/>
        <v>-5.2410924388137587</v>
      </c>
      <c r="W1589" s="3284">
        <f t="shared" si="284"/>
        <v>0.98196475371502856</v>
      </c>
      <c r="X1589" s="3296"/>
      <c r="Y1589" s="3320"/>
      <c r="AA1589" s="3301"/>
      <c r="AB1589" s="3409"/>
      <c r="AE1589" s="2548"/>
    </row>
    <row r="1590" spans="2:31" x14ac:dyDescent="0.2">
      <c r="B1590" s="2994" t="s">
        <v>761</v>
      </c>
      <c r="C1590" s="2441">
        <v>44688</v>
      </c>
      <c r="D1590" s="1111"/>
      <c r="E1590" s="1112"/>
      <c r="F1590" s="2857"/>
      <c r="G1590" s="2442"/>
      <c r="H1590" s="2443" t="str">
        <f>IFERROR(VLOOKUP(F1590,Trainingsarten!$A$9:$K$84,10,FALSE),"")</f>
        <v/>
      </c>
      <c r="I1590" s="2444" t="str">
        <f t="shared" si="278"/>
        <v/>
      </c>
      <c r="J1590" s="1320"/>
      <c r="K1590" s="2445" t="str">
        <f>IFERROR(VLOOKUP(F1590,Trainingsarten!$A$9:$K$84,11,FALSE),"0")</f>
        <v>0</v>
      </c>
      <c r="L1590" s="2819"/>
      <c r="M1590" s="1320"/>
      <c r="N1590" s="1119" t="str">
        <f t="shared" si="279"/>
        <v/>
      </c>
      <c r="O1590" s="2446"/>
      <c r="P1590" s="1121" t="str">
        <f>IFERROR(VLOOKUP(F1590,Trainingsarten!$A$9:$N$84,12,FALSE),"")</f>
        <v/>
      </c>
      <c r="Q1590" s="2447" t="s">
        <v>437</v>
      </c>
      <c r="R1590" s="2448" t="str">
        <f>IFERROR(VLOOKUP(F1590,Trainingsarten!$A$9:$N$84,14,FALSE),"")</f>
        <v/>
      </c>
      <c r="S1590" s="2449" t="str">
        <f t="shared" si="280"/>
        <v/>
      </c>
      <c r="T1590" s="1111">
        <f t="shared" si="281"/>
        <v>36.386629661235801</v>
      </c>
      <c r="U1590" s="1111">
        <f t="shared" si="282"/>
        <v>42.201441618466212</v>
      </c>
      <c r="V1590" s="1111">
        <f t="shared" si="283"/>
        <v>0.77967713446670928</v>
      </c>
      <c r="W1590" s="3286">
        <f t="shared" si="284"/>
        <v>0.86221295448148849</v>
      </c>
      <c r="X1590" s="3296"/>
      <c r="Y1590" s="3320"/>
      <c r="AA1590" s="3301"/>
      <c r="AB1590" s="3409"/>
      <c r="AE1590" s="2548"/>
    </row>
    <row r="1591" spans="2:31" ht="16" thickBot="1" x14ac:dyDescent="0.25">
      <c r="B1591" s="3128">
        <f t="shared" ref="B1591" si="312">AVERAGE(W1585:W1591)</f>
        <v>0.9984825199779076</v>
      </c>
      <c r="C1591" s="1631">
        <v>44689</v>
      </c>
      <c r="D1591" s="1108"/>
      <c r="E1591" s="1261"/>
      <c r="F1591" s="2858"/>
      <c r="G1591" s="2433"/>
      <c r="H1591" s="2434" t="str">
        <f>IFERROR(VLOOKUP(F1591,Trainingsarten!$A$9:$K$84,10,FALSE),"")</f>
        <v/>
      </c>
      <c r="I1591" s="2435" t="str">
        <f t="shared" si="278"/>
        <v/>
      </c>
      <c r="J1591" s="1310"/>
      <c r="K1591" s="2436" t="str">
        <f>IFERROR(VLOOKUP(F1591,Trainingsarten!$A$9:$K$84,11,FALSE),"0")</f>
        <v>0</v>
      </c>
      <c r="L1591" s="2818"/>
      <c r="M1591" s="2798"/>
      <c r="N1591" s="1223" t="str">
        <f t="shared" si="279"/>
        <v/>
      </c>
      <c r="O1591" s="2437"/>
      <c r="P1591" s="1519" t="str">
        <f>IFERROR(VLOOKUP(F1591,Trainingsarten!$A$9:$N$84,12,FALSE),"")</f>
        <v/>
      </c>
      <c r="Q1591" s="2438" t="s">
        <v>437</v>
      </c>
      <c r="R1591" s="2439" t="str">
        <f>IFERROR(VLOOKUP(F1591,Trainingsarten!$A$9:$N$84,14,FALSE),"")</f>
        <v/>
      </c>
      <c r="S1591" s="2440" t="str">
        <f t="shared" si="280"/>
        <v/>
      </c>
      <c r="T1591" s="1108">
        <f t="shared" si="281"/>
        <v>31.188539709630689</v>
      </c>
      <c r="U1591" s="1108">
        <f t="shared" si="282"/>
        <v>41.196645389455114</v>
      </c>
      <c r="V1591" s="1108">
        <f t="shared" si="283"/>
        <v>5.8148119572304111</v>
      </c>
      <c r="W1591" s="3285">
        <f t="shared" si="284"/>
        <v>0.75706503320325813</v>
      </c>
      <c r="X1591" s="3296"/>
      <c r="Y1591" s="3320"/>
      <c r="AA1591" s="3301"/>
      <c r="AB1591" s="3409"/>
      <c r="AE1591" s="2548"/>
    </row>
    <row r="1592" spans="2:31" ht="16" thickBot="1" x14ac:dyDescent="0.25">
      <c r="B1592" s="2986">
        <f t="shared" ref="B1592" si="313">B1585+1</f>
        <v>19</v>
      </c>
      <c r="C1592" s="2399">
        <v>44690</v>
      </c>
      <c r="D1592" s="2292"/>
      <c r="E1592" s="2293"/>
      <c r="F1592" s="2774"/>
      <c r="G1592" s="2400"/>
      <c r="H1592" s="2401" t="str">
        <f>IFERROR(VLOOKUP(F1592,Trainingsarten!$A$9:$K$84,10,FALSE),"")</f>
        <v/>
      </c>
      <c r="I1592" s="2402" t="str">
        <f t="shared" si="278"/>
        <v/>
      </c>
      <c r="J1592" s="2403"/>
      <c r="K1592" s="2404" t="str">
        <f>IFERROR(VLOOKUP(F1592,Trainingsarten!$A$9:$K$84,11,FALSE),"0")</f>
        <v>0</v>
      </c>
      <c r="L1592" s="2815"/>
      <c r="M1592" s="2591"/>
      <c r="N1592" s="2296" t="str">
        <f t="shared" si="279"/>
        <v/>
      </c>
      <c r="O1592" s="2405"/>
      <c r="P1592" s="2298" t="str">
        <f>IFERROR(VLOOKUP(F1592,Trainingsarten!$A$9:$N$84,12,FALSE),"")</f>
        <v/>
      </c>
      <c r="Q1592" s="2406" t="s">
        <v>437</v>
      </c>
      <c r="R1592" s="2407" t="str">
        <f>IFERROR(VLOOKUP(F1592,Trainingsarten!$A$9:$N$84,14,FALSE),"")</f>
        <v/>
      </c>
      <c r="S1592" s="2408" t="str">
        <f t="shared" si="280"/>
        <v/>
      </c>
      <c r="T1592" s="2292">
        <f t="shared" si="281"/>
        <v>26.733034036826304</v>
      </c>
      <c r="U1592" s="2292">
        <f t="shared" si="282"/>
        <v>40.215772880182371</v>
      </c>
      <c r="V1592" s="2292">
        <f t="shared" si="283"/>
        <v>10.008105679824425</v>
      </c>
      <c r="W1592" s="3283">
        <f t="shared" si="284"/>
        <v>0.66474002915408037</v>
      </c>
      <c r="X1592" s="3296"/>
      <c r="Y1592" s="3320"/>
      <c r="AA1592" s="3301"/>
      <c r="AB1592" s="3409"/>
      <c r="AE1592" s="2844"/>
    </row>
    <row r="1593" spans="2:31" x14ac:dyDescent="0.2">
      <c r="B1593" s="2991" t="s">
        <v>626</v>
      </c>
      <c r="C1593" s="2409">
        <v>44691</v>
      </c>
      <c r="D1593" s="2009"/>
      <c r="E1593" s="2010"/>
      <c r="F1593" s="2874"/>
      <c r="G1593" s="2410"/>
      <c r="H1593" s="2411" t="str">
        <f>IFERROR(VLOOKUP(F1593,Trainingsarten!$A$9:$K$84,10,FALSE),"")</f>
        <v/>
      </c>
      <c r="I1593" s="2412" t="str">
        <f t="shared" si="278"/>
        <v/>
      </c>
      <c r="J1593" s="2413"/>
      <c r="K1593" s="2414" t="str">
        <f>IFERROR(VLOOKUP(F1593,Trainingsarten!$A$9:$K$84,11,FALSE),"0")</f>
        <v>0</v>
      </c>
      <c r="L1593" s="2816"/>
      <c r="M1593" s="2840"/>
      <c r="N1593" s="2368" t="str">
        <f t="shared" si="279"/>
        <v/>
      </c>
      <c r="O1593" s="2415"/>
      <c r="P1593" s="2370" t="str">
        <f>IFERROR(VLOOKUP(F1593,Trainingsarten!$A$9:$N$84,12,FALSE),"")</f>
        <v/>
      </c>
      <c r="Q1593" s="2432" t="s">
        <v>437</v>
      </c>
      <c r="R1593" s="2537" t="str">
        <f>IFERROR(VLOOKUP(F1593,Trainingsarten!$A$9:$N$84,14,FALSE),"")</f>
        <v/>
      </c>
      <c r="S1593" s="2419" t="str">
        <f t="shared" si="280"/>
        <v/>
      </c>
      <c r="T1593" s="2009">
        <f t="shared" si="281"/>
        <v>22.914029174422545</v>
      </c>
      <c r="U1593" s="2009">
        <f t="shared" si="282"/>
        <v>39.258254478273265</v>
      </c>
      <c r="V1593" s="2009">
        <f t="shared" si="283"/>
        <v>13.482738843356067</v>
      </c>
      <c r="W1593" s="3284">
        <f t="shared" si="284"/>
        <v>0.58367417194016813</v>
      </c>
      <c r="X1593" s="3296"/>
      <c r="Y1593" s="3320"/>
      <c r="AA1593" s="3301"/>
      <c r="AB1593" s="3409"/>
      <c r="AE1593" s="2844"/>
    </row>
    <row r="1594" spans="2:31" ht="16" thickBot="1" x14ac:dyDescent="0.25">
      <c r="B1594" s="2979">
        <f t="shared" ref="B1594" si="314">SUM(H1592:H1598)</f>
        <v>7.36</v>
      </c>
      <c r="C1594" s="2409">
        <v>44692</v>
      </c>
      <c r="D1594" s="2009"/>
      <c r="E1594" s="2010"/>
      <c r="F1594" s="2874"/>
      <c r="G1594" s="2410"/>
      <c r="H1594" s="2411" t="str">
        <f>IFERROR(VLOOKUP(F1594,Trainingsarten!$A$9:$K$84,10,FALSE),"")</f>
        <v/>
      </c>
      <c r="I1594" s="2412" t="str">
        <f t="shared" si="278"/>
        <v/>
      </c>
      <c r="J1594" s="2413"/>
      <c r="K1594" s="2414" t="str">
        <f>IFERROR(VLOOKUP(F1594,Trainingsarten!$A$9:$K$84,11,FALSE),"0")</f>
        <v>0</v>
      </c>
      <c r="L1594" s="2816"/>
      <c r="M1594" s="2840"/>
      <c r="N1594" s="2368" t="str">
        <f t="shared" si="279"/>
        <v/>
      </c>
      <c r="O1594" s="2415"/>
      <c r="P1594" s="2370" t="str">
        <f>IFERROR(VLOOKUP(F1594,Trainingsarten!$A$9:$N$84,12,FALSE),"")</f>
        <v/>
      </c>
      <c r="Q1594" s="2432" t="s">
        <v>437</v>
      </c>
      <c r="R1594" s="2537" t="str">
        <f>IFERROR(VLOOKUP(F1594,Trainingsarten!$A$9:$N$84,14,FALSE),"")</f>
        <v/>
      </c>
      <c r="S1594" s="2419" t="str">
        <f t="shared" si="280"/>
        <v/>
      </c>
      <c r="T1594" s="2009">
        <f t="shared" si="281"/>
        <v>19.640596435219326</v>
      </c>
      <c r="U1594" s="2009">
        <f t="shared" si="282"/>
        <v>38.323534133552471</v>
      </c>
      <c r="V1594" s="2009">
        <f t="shared" si="283"/>
        <v>16.34422530385072</v>
      </c>
      <c r="W1594" s="3284">
        <f t="shared" si="284"/>
        <v>0.51249439487429405</v>
      </c>
      <c r="X1594" s="3296"/>
      <c r="Y1594" s="3320"/>
      <c r="AA1594" s="3301"/>
      <c r="AB1594" s="3409"/>
      <c r="AE1594" s="2844"/>
    </row>
    <row r="1595" spans="2:31" x14ac:dyDescent="0.2">
      <c r="B1595" s="2992" t="s">
        <v>628</v>
      </c>
      <c r="C1595" s="2409">
        <v>44693</v>
      </c>
      <c r="D1595" s="2009"/>
      <c r="E1595" s="2010"/>
      <c r="F1595" s="2874"/>
      <c r="G1595" s="2410"/>
      <c r="H1595" s="2411" t="str">
        <f>IFERROR(VLOOKUP(F1595,Trainingsarten!$A$9:$K$84,10,FALSE),"")</f>
        <v/>
      </c>
      <c r="I1595" s="2412" t="str">
        <f t="shared" si="278"/>
        <v/>
      </c>
      <c r="J1595" s="2413"/>
      <c r="K1595" s="2414" t="str">
        <f>IFERROR(VLOOKUP(F1595,Trainingsarten!$A$9:$K$84,11,FALSE),"0")</f>
        <v>0</v>
      </c>
      <c r="L1595" s="2816"/>
      <c r="M1595" s="2840"/>
      <c r="N1595" s="2368" t="str">
        <f t="shared" si="279"/>
        <v/>
      </c>
      <c r="O1595" s="2415"/>
      <c r="P1595" s="2370" t="str">
        <f>IFERROR(VLOOKUP(F1595,Trainingsarten!$A$9:$N$84,12,FALSE),"")</f>
        <v/>
      </c>
      <c r="Q1595" s="2432" t="s">
        <v>437</v>
      </c>
      <c r="R1595" s="2537" t="str">
        <f>IFERROR(VLOOKUP(F1595,Trainingsarten!$A$9:$N$84,14,FALSE),"")</f>
        <v/>
      </c>
      <c r="S1595" s="2419" t="str">
        <f t="shared" si="280"/>
        <v/>
      </c>
      <c r="T1595" s="2009">
        <f t="shared" si="281"/>
        <v>16.834796944473709</v>
      </c>
      <c r="U1595" s="2009">
        <f t="shared" si="282"/>
        <v>37.411069035134553</v>
      </c>
      <c r="V1595" s="2009">
        <f t="shared" si="283"/>
        <v>18.682937698333145</v>
      </c>
      <c r="W1595" s="3284">
        <f t="shared" si="284"/>
        <v>0.44999507842620945</v>
      </c>
      <c r="X1595" s="3296"/>
      <c r="Y1595" s="3320"/>
      <c r="AA1595" s="3301"/>
      <c r="AB1595" s="3409"/>
      <c r="AE1595" s="2844"/>
    </row>
    <row r="1596" spans="2:31" ht="16" thickBot="1" x14ac:dyDescent="0.25">
      <c r="B1596" s="2993">
        <f t="shared" ref="B1596" si="315">SUM(K1592:K1598)</f>
        <v>47</v>
      </c>
      <c r="C1596" s="2562">
        <v>44694</v>
      </c>
      <c r="D1596" s="2563"/>
      <c r="E1596" s="2564"/>
      <c r="F1596" s="2874"/>
      <c r="G1596" s="2565"/>
      <c r="H1596" s="2566" t="str">
        <f>IFERROR(VLOOKUP(F1596,Trainingsarten!$A$9:$K$84,10,FALSE),"")</f>
        <v/>
      </c>
      <c r="I1596" s="2567" t="str">
        <f t="shared" si="278"/>
        <v/>
      </c>
      <c r="J1596" s="2568"/>
      <c r="K1596" s="2569" t="str">
        <f>IFERROR(VLOOKUP(F1596,Trainingsarten!$A$9:$K$84,11,FALSE),"0")</f>
        <v>0</v>
      </c>
      <c r="L1596" s="2816"/>
      <c r="M1596" s="2840"/>
      <c r="N1596" s="2570" t="str">
        <f t="shared" si="279"/>
        <v/>
      </c>
      <c r="O1596" s="2571"/>
      <c r="P1596" s="2572" t="str">
        <f>IFERROR(VLOOKUP(F1596,Trainingsarten!$A$9:$N$84,12,FALSE),"")</f>
        <v/>
      </c>
      <c r="Q1596" s="2573" t="s">
        <v>437</v>
      </c>
      <c r="R1596" s="2574" t="str">
        <f>IFERROR(VLOOKUP(F1596,Trainingsarten!$A$9:$N$84,14,FALSE),"")</f>
        <v/>
      </c>
      <c r="S1596" s="2575" t="str">
        <f t="shared" si="280"/>
        <v/>
      </c>
      <c r="T1596" s="2563">
        <f t="shared" si="281"/>
        <v>14.429825952406036</v>
      </c>
      <c r="U1596" s="2563">
        <f t="shared" si="282"/>
        <v>36.520329296202775</v>
      </c>
      <c r="V1596" s="2563">
        <f t="shared" si="283"/>
        <v>20.576272090660844</v>
      </c>
      <c r="W1596" s="3284">
        <f t="shared" si="284"/>
        <v>0.39511762983764737</v>
      </c>
      <c r="X1596" s="3296"/>
      <c r="Y1596" s="3320"/>
      <c r="AA1596" s="3301"/>
      <c r="AB1596" s="3409"/>
      <c r="AE1596" s="2844"/>
    </row>
    <row r="1597" spans="2:31" x14ac:dyDescent="0.2">
      <c r="B1597" s="2994" t="s">
        <v>761</v>
      </c>
      <c r="C1597" s="2441">
        <v>44695</v>
      </c>
      <c r="D1597" s="1111"/>
      <c r="E1597" s="1112"/>
      <c r="F1597" s="2874"/>
      <c r="G1597" s="2442"/>
      <c r="H1597" s="2443" t="str">
        <f>IFERROR(VLOOKUP(F1597,Trainingsarten!$A$9:$K$84,10,FALSE),"")</f>
        <v/>
      </c>
      <c r="I1597" s="2444" t="str">
        <f t="shared" si="278"/>
        <v/>
      </c>
      <c r="J1597" s="1320"/>
      <c r="K1597" s="2445" t="str">
        <f>IFERROR(VLOOKUP(F1597,Trainingsarten!$A$9:$K$84,11,FALSE),"0")</f>
        <v>0</v>
      </c>
      <c r="L1597" s="2819"/>
      <c r="M1597" s="1320"/>
      <c r="N1597" s="1119" t="str">
        <f t="shared" si="279"/>
        <v/>
      </c>
      <c r="O1597" s="2446"/>
      <c r="P1597" s="1121" t="str">
        <f>IFERROR(VLOOKUP(F1597,Trainingsarten!$A$9:$N$84,12,FALSE),"")</f>
        <v/>
      </c>
      <c r="Q1597" s="2447" t="s">
        <v>437</v>
      </c>
      <c r="R1597" s="2448" t="str">
        <f>IFERROR(VLOOKUP(F1597,Trainingsarten!$A$9:$N$84,14,FALSE),"")</f>
        <v/>
      </c>
      <c r="S1597" s="2449" t="str">
        <f t="shared" si="280"/>
        <v/>
      </c>
      <c r="T1597" s="1111">
        <f t="shared" si="281"/>
        <v>12.36842224491946</v>
      </c>
      <c r="U1597" s="1111">
        <f t="shared" si="282"/>
        <v>35.650797646293185</v>
      </c>
      <c r="V1597" s="1111">
        <f t="shared" si="283"/>
        <v>22.09050334379674</v>
      </c>
      <c r="W1597" s="3286">
        <f t="shared" si="284"/>
        <v>0.34693255302817816</v>
      </c>
      <c r="X1597" s="3296"/>
      <c r="Y1597" s="3320"/>
      <c r="AA1597" s="3301"/>
      <c r="AB1597" s="3409"/>
      <c r="AE1597" s="2844"/>
    </row>
    <row r="1598" spans="2:31" ht="16" thickBot="1" x14ac:dyDescent="0.25">
      <c r="B1598" s="3128">
        <f t="shared" ref="B1598" si="316">AVERAGE(W1592:W1598)</f>
        <v>0.49071509275496489</v>
      </c>
      <c r="C1598" s="1631">
        <v>44696</v>
      </c>
      <c r="D1598" s="1108">
        <v>73</v>
      </c>
      <c r="E1598" s="1261" t="s">
        <v>836</v>
      </c>
      <c r="F1598" s="2875" t="s">
        <v>943</v>
      </c>
      <c r="G1598" s="2433">
        <v>2.883101851851852E-2</v>
      </c>
      <c r="H1598" s="2434">
        <v>7.36</v>
      </c>
      <c r="I1598" s="2435">
        <f t="shared" si="278"/>
        <v>3.9172579508856683E-3</v>
      </c>
      <c r="J1598" s="1310">
        <v>142</v>
      </c>
      <c r="K1598" s="2436">
        <v>47</v>
      </c>
      <c r="L1598" s="2818">
        <v>220</v>
      </c>
      <c r="M1598" s="2798">
        <v>24</v>
      </c>
      <c r="N1598" s="1223">
        <f t="shared" si="279"/>
        <v>1.111331927319922</v>
      </c>
      <c r="O1598" s="2437" t="s">
        <v>958</v>
      </c>
      <c r="P1598" s="1519">
        <f>IFERROR(VLOOKUP(F1598,Trainingsarten!$A$9:$N$84,12,FALSE),"")</f>
        <v>194.60000000000002</v>
      </c>
      <c r="Q1598" s="2438" t="s">
        <v>437</v>
      </c>
      <c r="R1598" s="2439">
        <f>IFERROR(VLOOKUP(F1598,Trainingsarten!$A$9:$N$84,14,FALSE),"")</f>
        <v>212.96</v>
      </c>
      <c r="S1598" s="2440">
        <f t="shared" si="280"/>
        <v>1.5492957746478873</v>
      </c>
      <c r="T1598" s="1108">
        <f t="shared" si="281"/>
        <v>17.315790495645253</v>
      </c>
      <c r="U1598" s="1108">
        <f t="shared" si="282"/>
        <v>35.921016749952869</v>
      </c>
      <c r="V1598" s="1108">
        <f t="shared" si="283"/>
        <v>23.282375401373727</v>
      </c>
      <c r="W1598" s="3285">
        <f t="shared" si="284"/>
        <v>0.48205179202417681</v>
      </c>
      <c r="X1598" s="3296"/>
      <c r="Y1598" s="3320"/>
      <c r="AA1598" s="3301"/>
      <c r="AB1598" s="3409"/>
      <c r="AE1598" s="2844"/>
    </row>
    <row r="1599" spans="2:31" ht="16" thickBot="1" x14ac:dyDescent="0.25">
      <c r="B1599" s="2986">
        <f t="shared" ref="B1599" si="317">B1592+1</f>
        <v>20</v>
      </c>
      <c r="C1599" s="2399">
        <v>44697</v>
      </c>
      <c r="D1599" s="2292"/>
      <c r="E1599" s="2293"/>
      <c r="F1599" s="2774"/>
      <c r="G1599" s="2400"/>
      <c r="H1599" s="2401" t="str">
        <f>IFERROR(VLOOKUP(F1599,Trainingsarten!$A$9:$K$84,10,FALSE),"")</f>
        <v/>
      </c>
      <c r="I1599" s="2402" t="str">
        <f t="shared" si="278"/>
        <v/>
      </c>
      <c r="J1599" s="2403"/>
      <c r="K1599" s="2404" t="str">
        <f>IFERROR(VLOOKUP(F1599,Trainingsarten!$A$9:$K$84,11,FALSE),"0")</f>
        <v>0</v>
      </c>
      <c r="L1599" s="2815"/>
      <c r="M1599" s="2591"/>
      <c r="N1599" s="2296" t="str">
        <f t="shared" si="279"/>
        <v/>
      </c>
      <c r="O1599" s="2405"/>
      <c r="P1599" s="2298" t="str">
        <f>IFERROR(VLOOKUP(F1599,Trainingsarten!$A$9:$N$84,12,FALSE),"")</f>
        <v/>
      </c>
      <c r="Q1599" s="2406" t="s">
        <v>437</v>
      </c>
      <c r="R1599" s="2407" t="str">
        <f>IFERROR(VLOOKUP(F1599,Trainingsarten!$A$9:$N$84,14,FALSE),"")</f>
        <v/>
      </c>
      <c r="S1599" s="2408" t="str">
        <f t="shared" si="280"/>
        <v/>
      </c>
      <c r="T1599" s="2292">
        <f t="shared" si="281"/>
        <v>14.842106139124503</v>
      </c>
      <c r="U1599" s="2292">
        <f t="shared" si="282"/>
        <v>35.065754446382563</v>
      </c>
      <c r="V1599" s="2292">
        <f t="shared" si="283"/>
        <v>18.605226254307617</v>
      </c>
      <c r="W1599" s="3283">
        <f t="shared" si="284"/>
        <v>0.42326498811878943</v>
      </c>
      <c r="X1599" s="3297"/>
      <c r="Y1599" s="3284"/>
      <c r="AA1599" s="3301"/>
      <c r="AB1599" s="3409"/>
      <c r="AE1599" s="2548"/>
    </row>
    <row r="1600" spans="2:31" x14ac:dyDescent="0.2">
      <c r="B1600" s="2991" t="s">
        <v>626</v>
      </c>
      <c r="C1600" s="2409">
        <v>44698</v>
      </c>
      <c r="D1600" s="2009">
        <v>74</v>
      </c>
      <c r="E1600" s="2010" t="s">
        <v>836</v>
      </c>
      <c r="F1600" s="2874" t="s">
        <v>943</v>
      </c>
      <c r="G1600" s="2410">
        <v>3.3206018518518517E-2</v>
      </c>
      <c r="H1600" s="2411">
        <v>8.66</v>
      </c>
      <c r="I1600" s="2412">
        <f t="shared" si="278"/>
        <v>3.8344132238474038E-3</v>
      </c>
      <c r="J1600" s="2413">
        <v>139</v>
      </c>
      <c r="K1600" s="2414">
        <v>55</v>
      </c>
      <c r="L1600" s="2816">
        <v>222</v>
      </c>
      <c r="M1600" s="2840">
        <v>23</v>
      </c>
      <c r="N1600" s="2368">
        <f t="shared" si="279"/>
        <v>1.0977181069249595</v>
      </c>
      <c r="O1600" s="2415" t="s">
        <v>958</v>
      </c>
      <c r="P1600" s="2370">
        <f>IFERROR(VLOOKUP(F1600,Trainingsarten!$A$9:$N$84,12,FALSE),"")</f>
        <v>194.60000000000002</v>
      </c>
      <c r="Q1600" s="2432" t="s">
        <v>437</v>
      </c>
      <c r="R1600" s="2537">
        <f>IFERROR(VLOOKUP(F1600,Trainingsarten!$A$9:$N$84,14,FALSE),"")</f>
        <v>212.96</v>
      </c>
      <c r="S1600" s="2419">
        <f t="shared" si="280"/>
        <v>1.5971223021582734</v>
      </c>
      <c r="T1600" s="2009">
        <f t="shared" si="281"/>
        <v>20.578948119249574</v>
      </c>
      <c r="U1600" s="2009">
        <f t="shared" si="282"/>
        <v>35.54037934051631</v>
      </c>
      <c r="V1600" s="2009">
        <f t="shared" si="283"/>
        <v>20.22364830725806</v>
      </c>
      <c r="W1600" s="3284">
        <f t="shared" si="284"/>
        <v>0.57903006386286404</v>
      </c>
      <c r="X1600" s="3297"/>
      <c r="Y1600" s="3284"/>
      <c r="AA1600" s="3301"/>
      <c r="AB1600" s="3409"/>
      <c r="AE1600" s="2548"/>
    </row>
    <row r="1601" spans="2:31" ht="16" thickBot="1" x14ac:dyDescent="0.25">
      <c r="B1601" s="2979">
        <f t="shared" ref="B1601" si="318">SUM(H1599:H1605)</f>
        <v>25.47</v>
      </c>
      <c r="C1601" s="2409">
        <v>44699</v>
      </c>
      <c r="D1601" s="2009"/>
      <c r="E1601" s="2010"/>
      <c r="F1601" s="2874"/>
      <c r="G1601" s="2410"/>
      <c r="H1601" s="2411" t="str">
        <f>IFERROR(VLOOKUP(F1601,Trainingsarten!$A$9:$K$84,10,FALSE),"")</f>
        <v/>
      </c>
      <c r="I1601" s="2412" t="str">
        <f t="shared" si="278"/>
        <v/>
      </c>
      <c r="J1601" s="2413"/>
      <c r="K1601" s="2414" t="str">
        <f>IFERROR(VLOOKUP(F1601,Trainingsarten!$A$9:$K$84,11,FALSE),"0")</f>
        <v>0</v>
      </c>
      <c r="L1601" s="2816"/>
      <c r="M1601" s="2840"/>
      <c r="N1601" s="2368" t="str">
        <f t="shared" si="279"/>
        <v/>
      </c>
      <c r="O1601" s="2415"/>
      <c r="P1601" s="2370" t="str">
        <f>IFERROR(VLOOKUP(F1601,Trainingsarten!$A$9:$N$84,12,FALSE),"")</f>
        <v/>
      </c>
      <c r="Q1601" s="2432" t="s">
        <v>437</v>
      </c>
      <c r="R1601" s="2537" t="str">
        <f>IFERROR(VLOOKUP(F1601,Trainingsarten!$A$9:$N$84,14,FALSE),"")</f>
        <v/>
      </c>
      <c r="S1601" s="2419" t="str">
        <f t="shared" si="280"/>
        <v/>
      </c>
      <c r="T1601" s="2009">
        <f t="shared" si="281"/>
        <v>17.639098387928208</v>
      </c>
      <c r="U1601" s="2009">
        <f t="shared" si="282"/>
        <v>34.694179832408778</v>
      </c>
      <c r="V1601" s="2009">
        <f t="shared" si="283"/>
        <v>14.961431221266736</v>
      </c>
      <c r="W1601" s="3284">
        <f t="shared" si="284"/>
        <v>0.50841664144056364</v>
      </c>
      <c r="X1601" s="3297"/>
      <c r="Y1601" s="3284"/>
      <c r="AA1601" s="3301"/>
      <c r="AB1601" s="3409"/>
      <c r="AE1601" s="2548"/>
    </row>
    <row r="1602" spans="2:31" x14ac:dyDescent="0.2">
      <c r="B1602" s="2992" t="s">
        <v>628</v>
      </c>
      <c r="C1602" s="2409">
        <v>44700</v>
      </c>
      <c r="D1602" s="2009">
        <v>75</v>
      </c>
      <c r="E1602" s="2010" t="s">
        <v>836</v>
      </c>
      <c r="F1602" s="2874" t="s">
        <v>943</v>
      </c>
      <c r="G1602" s="2410">
        <v>3.2048611111111111E-2</v>
      </c>
      <c r="H1602" s="2411">
        <v>8.3800000000000008</v>
      </c>
      <c r="I1602" s="2412">
        <f t="shared" si="278"/>
        <v>3.8244166003712538E-3</v>
      </c>
      <c r="J1602" s="2413">
        <v>139</v>
      </c>
      <c r="K1602" s="2414">
        <v>54</v>
      </c>
      <c r="L1602" s="2816">
        <v>224</v>
      </c>
      <c r="M1602" s="2840">
        <v>21</v>
      </c>
      <c r="N1602" s="2368">
        <f t="shared" si="279"/>
        <v>1.1047198375663447</v>
      </c>
      <c r="O1602" s="2415" t="s">
        <v>957</v>
      </c>
      <c r="P1602" s="2370">
        <f>IFERROR(VLOOKUP(F1602,Trainingsarten!$A$9:$N$84,12,FALSE),"")</f>
        <v>194.60000000000002</v>
      </c>
      <c r="Q1602" s="2432" t="s">
        <v>437</v>
      </c>
      <c r="R1602" s="2537">
        <f>IFERROR(VLOOKUP(F1602,Trainingsarten!$A$9:$N$84,14,FALSE),"")</f>
        <v>212.96</v>
      </c>
      <c r="S1602" s="2419">
        <f t="shared" si="280"/>
        <v>1.6115107913669064</v>
      </c>
      <c r="T1602" s="2009">
        <f t="shared" si="281"/>
        <v>22.833512903938463</v>
      </c>
      <c r="U1602" s="2009">
        <f t="shared" si="282"/>
        <v>35.153842217351425</v>
      </c>
      <c r="V1602" s="2009">
        <f t="shared" si="283"/>
        <v>17.055081444480571</v>
      </c>
      <c r="W1602" s="3284">
        <f t="shared" si="284"/>
        <v>0.64953107437764435</v>
      </c>
      <c r="X1602" s="3297"/>
      <c r="Y1602" s="3284"/>
      <c r="AA1602" s="3301"/>
      <c r="AB1602" s="3409"/>
      <c r="AE1602" s="2548"/>
    </row>
    <row r="1603" spans="2:31" ht="16" thickBot="1" x14ac:dyDescent="0.25">
      <c r="B1603" s="2993">
        <f t="shared" ref="B1603" si="319">SUM(K1599:K1605)</f>
        <v>163</v>
      </c>
      <c r="C1603" s="2562">
        <v>44701</v>
      </c>
      <c r="D1603" s="2563"/>
      <c r="E1603" s="2564"/>
      <c r="F1603" s="2874"/>
      <c r="G1603" s="2565"/>
      <c r="H1603" s="2566" t="str">
        <f>IFERROR(VLOOKUP(F1603,Trainingsarten!$A$9:$K$84,10,FALSE),"")</f>
        <v/>
      </c>
      <c r="I1603" s="2567" t="str">
        <f t="shared" si="278"/>
        <v/>
      </c>
      <c r="J1603" s="2568"/>
      <c r="K1603" s="2569" t="str">
        <f>IFERROR(VLOOKUP(F1603,Trainingsarten!$A$9:$K$84,11,FALSE),"0")</f>
        <v>0</v>
      </c>
      <c r="L1603" s="2816"/>
      <c r="M1603" s="2840"/>
      <c r="N1603" s="2570" t="str">
        <f t="shared" si="279"/>
        <v/>
      </c>
      <c r="O1603" s="2571"/>
      <c r="P1603" s="2572" t="str">
        <f>IFERROR(VLOOKUP(F1603,Trainingsarten!$A$9:$N$84,12,FALSE),"")</f>
        <v/>
      </c>
      <c r="Q1603" s="2573" t="s">
        <v>437</v>
      </c>
      <c r="R1603" s="2574" t="str">
        <f>IFERROR(VLOOKUP(F1603,Trainingsarten!$A$9:$N$84,14,FALSE),"")</f>
        <v/>
      </c>
      <c r="S1603" s="2575" t="str">
        <f t="shared" si="280"/>
        <v/>
      </c>
      <c r="T1603" s="2563">
        <f t="shared" si="281"/>
        <v>19.571582489090112</v>
      </c>
      <c r="U1603" s="2563">
        <f t="shared" si="282"/>
        <v>34.316845974081154</v>
      </c>
      <c r="V1603" s="2563">
        <f t="shared" si="283"/>
        <v>12.320329313412962</v>
      </c>
      <c r="W1603" s="3284">
        <f t="shared" si="284"/>
        <v>0.57031996774622429</v>
      </c>
      <c r="X1603" s="3297"/>
      <c r="Y1603" s="3284"/>
      <c r="AA1603" s="3301"/>
      <c r="AB1603" s="3409"/>
      <c r="AE1603" s="2548"/>
    </row>
    <row r="1604" spans="2:31" x14ac:dyDescent="0.2">
      <c r="B1604" s="2994" t="s">
        <v>761</v>
      </c>
      <c r="C1604" s="2441">
        <v>44702</v>
      </c>
      <c r="D1604" s="1111">
        <v>76</v>
      </c>
      <c r="E1604" s="1112" t="s">
        <v>836</v>
      </c>
      <c r="F1604" s="156" t="s">
        <v>943</v>
      </c>
      <c r="G1604" s="2442">
        <v>3.2476851851851847E-2</v>
      </c>
      <c r="H1604" s="2566">
        <v>8.43</v>
      </c>
      <c r="I1604" s="2567">
        <f t="shared" ref="I1604:I1605" si="320">IFERROR(G1604/H1604,"")</f>
        <v>3.8525328412635645E-3</v>
      </c>
      <c r="J1604" s="1320">
        <v>143</v>
      </c>
      <c r="K1604" s="2569">
        <v>54</v>
      </c>
      <c r="L1604" s="2819">
        <v>222</v>
      </c>
      <c r="M1604" s="1320">
        <v>23</v>
      </c>
      <c r="N1604" s="1119">
        <f t="shared" si="279"/>
        <v>1.1029054018165401</v>
      </c>
      <c r="O1604" s="2446" t="s">
        <v>958</v>
      </c>
      <c r="P1604" s="1121" t="str">
        <f>IFERROR(VLOOKUP(F1605,Trainingsarten!$A$9:$N$84,12,FALSE),"")</f>
        <v/>
      </c>
      <c r="Q1604" s="2447" t="s">
        <v>437</v>
      </c>
      <c r="R1604" s="2448" t="str">
        <f>IFERROR(VLOOKUP(F1605,Trainingsarten!$A$9:$N$84,14,FALSE),"")</f>
        <v/>
      </c>
      <c r="S1604" s="2449">
        <f t="shared" si="280"/>
        <v>1.5524475524475525</v>
      </c>
      <c r="T1604" s="1111">
        <f t="shared" si="281"/>
        <v>24.489927847791524</v>
      </c>
      <c r="U1604" s="1111">
        <f t="shared" si="282"/>
        <v>34.785492498507793</v>
      </c>
      <c r="V1604" s="1111">
        <f t="shared" si="283"/>
        <v>14.745263484991042</v>
      </c>
      <c r="W1604" s="3286">
        <f t="shared" si="284"/>
        <v>0.70402705521107911</v>
      </c>
      <c r="X1604" s="3297"/>
      <c r="Y1604" s="3284"/>
      <c r="AA1604" s="3301"/>
      <c r="AB1604" s="3409"/>
      <c r="AE1604" s="2548"/>
    </row>
    <row r="1605" spans="2:31" ht="16" thickBot="1" x14ac:dyDescent="0.25">
      <c r="B1605" s="3128">
        <f t="shared" ref="B1605" si="321">AVERAGE(W1599:W1605)</f>
        <v>0.5789656982879533</v>
      </c>
      <c r="C1605" s="1631">
        <v>44703</v>
      </c>
      <c r="D1605" s="1108"/>
      <c r="E1605" s="1261"/>
      <c r="F1605" s="2874"/>
      <c r="G1605" s="2433"/>
      <c r="H1605" s="2566"/>
      <c r="I1605" s="2567" t="str">
        <f t="shared" si="320"/>
        <v/>
      </c>
      <c r="J1605" s="1310"/>
      <c r="K1605" s="2569" t="str">
        <f>IFERROR(VLOOKUP(F1605,Trainingsarten!$A$9:$K$84,11,FALSE),"0")</f>
        <v>0</v>
      </c>
      <c r="L1605" s="2818"/>
      <c r="M1605" s="2798"/>
      <c r="N1605" s="1223" t="str">
        <f t="shared" si="279"/>
        <v/>
      </c>
      <c r="O1605" s="2437"/>
      <c r="P1605" s="1519" t="str">
        <f>IFERROR(VLOOKUP(#REF!,Trainingsarten!$A$9:$N$84,12,FALSE),"")</f>
        <v/>
      </c>
      <c r="Q1605" s="2438" t="s">
        <v>437</v>
      </c>
      <c r="R1605" s="2439" t="str">
        <f>IFERROR(VLOOKUP(#REF!,Trainingsarten!$A$9:$N$84,14,FALSE),"")</f>
        <v/>
      </c>
      <c r="S1605" s="2440" t="str">
        <f t="shared" si="280"/>
        <v/>
      </c>
      <c r="T1605" s="1108">
        <f t="shared" si="281"/>
        <v>20.99136672667845</v>
      </c>
      <c r="U1605" s="1108">
        <f t="shared" si="282"/>
        <v>33.957266486638559</v>
      </c>
      <c r="V1605" s="1108">
        <f t="shared" si="283"/>
        <v>10.295564650716269</v>
      </c>
      <c r="W1605" s="3285">
        <f t="shared" si="284"/>
        <v>0.61817009725850847</v>
      </c>
      <c r="X1605" s="3297"/>
      <c r="Y1605" s="3284"/>
      <c r="AA1605" s="3301"/>
      <c r="AB1605" s="3409"/>
      <c r="AE1605" s="2548"/>
    </row>
    <row r="1606" spans="2:31" ht="16" thickBot="1" x14ac:dyDescent="0.25">
      <c r="B1606" s="2986">
        <f t="shared" ref="B1606" si="322">B1599+1</f>
        <v>21</v>
      </c>
      <c r="C1606" s="2399">
        <v>44704</v>
      </c>
      <c r="D1606" s="2292">
        <v>77</v>
      </c>
      <c r="E1606" s="2293" t="s">
        <v>836</v>
      </c>
      <c r="F1606" s="2876" t="s">
        <v>943</v>
      </c>
      <c r="G1606" s="2400">
        <v>3.4247685185185187E-2</v>
      </c>
      <c r="H1606" s="2401">
        <v>8.7899999999999991</v>
      </c>
      <c r="I1606" s="2402">
        <f t="shared" si="278"/>
        <v>3.8962099186786335E-3</v>
      </c>
      <c r="J1606" s="2403">
        <v>141</v>
      </c>
      <c r="K1606" s="2404">
        <v>55</v>
      </c>
      <c r="L1606" s="2815">
        <v>219</v>
      </c>
      <c r="M1606" s="2591">
        <v>39</v>
      </c>
      <c r="N1606" s="2296">
        <f t="shared" si="279"/>
        <v>1.1003362029443229</v>
      </c>
      <c r="O1606" s="2405" t="s">
        <v>958</v>
      </c>
      <c r="P1606" s="2298">
        <f>IFERROR(VLOOKUP(F1606,Trainingsarten!$A$9:$N$84,12,FALSE),"")</f>
        <v>194.60000000000002</v>
      </c>
      <c r="Q1606" s="2406" t="s">
        <v>437</v>
      </c>
      <c r="R1606" s="2407">
        <f>IFERROR(VLOOKUP(F1606,Trainingsarten!$A$9:$N$84,14,FALSE),"")</f>
        <v>212.96</v>
      </c>
      <c r="S1606" s="2408">
        <f t="shared" si="280"/>
        <v>1.553191489361702</v>
      </c>
      <c r="T1606" s="2292">
        <f t="shared" si="281"/>
        <v>25.849742908581529</v>
      </c>
      <c r="U1606" s="2292">
        <f t="shared" si="282"/>
        <v>34.4582839512424</v>
      </c>
      <c r="V1606" s="2292">
        <f t="shared" si="283"/>
        <v>12.965899759960109</v>
      </c>
      <c r="W1606" s="3283">
        <f t="shared" si="284"/>
        <v>0.75017499261304654</v>
      </c>
      <c r="X1606" s="3297"/>
      <c r="Y1606" s="3284"/>
      <c r="AA1606" s="3301"/>
      <c r="AB1606" s="3409"/>
      <c r="AE1606" s="2548"/>
    </row>
    <row r="1607" spans="2:31" x14ac:dyDescent="0.2">
      <c r="B1607" s="2991" t="s">
        <v>626</v>
      </c>
      <c r="C1607" s="2409">
        <v>44705</v>
      </c>
      <c r="D1607" s="2009"/>
      <c r="E1607" s="2010"/>
      <c r="F1607" s="2874"/>
      <c r="G1607" s="2410"/>
      <c r="H1607" s="2411" t="str">
        <f>IFERROR(VLOOKUP(F1607,Trainingsarten!$A$9:$K$84,10,FALSE),"")</f>
        <v/>
      </c>
      <c r="I1607" s="2412" t="str">
        <f t="shared" si="278"/>
        <v/>
      </c>
      <c r="J1607" s="2413"/>
      <c r="K1607" s="2414" t="str">
        <f>IFERROR(VLOOKUP(F1607,Trainingsarten!$A$9:$K$84,11,FALSE),"0")</f>
        <v>0</v>
      </c>
      <c r="L1607" s="2816"/>
      <c r="M1607" s="2840"/>
      <c r="N1607" s="2368" t="str">
        <f t="shared" si="279"/>
        <v/>
      </c>
      <c r="O1607" s="2415"/>
      <c r="P1607" s="2370" t="str">
        <f>IFERROR(VLOOKUP(F1607,Trainingsarten!$A$9:$N$84,12,FALSE),"")</f>
        <v/>
      </c>
      <c r="Q1607" s="2432" t="s">
        <v>437</v>
      </c>
      <c r="R1607" s="2537" t="str">
        <f>IFERROR(VLOOKUP(F1607,Trainingsarten!$A$9:$N$84,14,FALSE),"")</f>
        <v/>
      </c>
      <c r="S1607" s="2419" t="str">
        <f t="shared" si="280"/>
        <v/>
      </c>
      <c r="T1607" s="2009">
        <f t="shared" si="281"/>
        <v>22.156922493069882</v>
      </c>
      <c r="U1607" s="2009">
        <f t="shared" si="282"/>
        <v>33.637848619069963</v>
      </c>
      <c r="V1607" s="2009">
        <f t="shared" si="283"/>
        <v>8.6085410426608711</v>
      </c>
      <c r="W1607" s="3284">
        <f t="shared" si="284"/>
        <v>0.65869023741633359</v>
      </c>
      <c r="X1607" s="3297"/>
      <c r="Y1607" s="3284"/>
      <c r="AA1607" s="3301"/>
      <c r="AB1607" s="3409"/>
      <c r="AE1607" s="2548"/>
    </row>
    <row r="1608" spans="2:31" ht="16" thickBot="1" x14ac:dyDescent="0.25">
      <c r="B1608" s="2979">
        <f t="shared" ref="B1608" si="323">SUM(H1606:H1612)</f>
        <v>38.35</v>
      </c>
      <c r="C1608" s="2409">
        <v>44706</v>
      </c>
      <c r="D1608" s="2009">
        <v>78</v>
      </c>
      <c r="E1608" s="2010" t="s">
        <v>836</v>
      </c>
      <c r="F1608" s="2857" t="s">
        <v>819</v>
      </c>
      <c r="G1608" s="2410">
        <v>3.8391203703703698E-2</v>
      </c>
      <c r="H1608" s="2411">
        <v>10.43</v>
      </c>
      <c r="I1608" s="2412">
        <f t="shared" ref="I1608:I1671" si="324">IFERROR(G1608/H1608,"")</f>
        <v>3.6808440751393769E-3</v>
      </c>
      <c r="J1608" s="2413">
        <v>141</v>
      </c>
      <c r="K1608" s="2414">
        <v>68</v>
      </c>
      <c r="L1608" s="2816">
        <v>229</v>
      </c>
      <c r="M1608" s="2840">
        <v>34</v>
      </c>
      <c r="N1608" s="2368">
        <f t="shared" ref="N1608:N1671" si="325">IFERROR((L1608/67)/(1/(I1608*24)/3.6),"")</f>
        <v>1.0869807243742933</v>
      </c>
      <c r="O1608" s="2415" t="s">
        <v>1460</v>
      </c>
      <c r="P1608" s="2370">
        <f>IFERROR(VLOOKUP(F1608,Trainingsarten!$A$9:$N$84,12,FALSE),"")</f>
        <v>194.60000000000002</v>
      </c>
      <c r="Q1608" s="2432" t="s">
        <v>437</v>
      </c>
      <c r="R1608" s="2537">
        <f>IFERROR(VLOOKUP(F1608,Trainingsarten!$A$9:$N$84,14,FALSE),"")</f>
        <v>212.96</v>
      </c>
      <c r="S1608" s="2419">
        <f t="shared" ref="S1608:S1671" si="326">IFERROR(L1608/J1608,"")</f>
        <v>1.624113475177305</v>
      </c>
      <c r="T1608" s="2009">
        <f t="shared" ref="T1608:T1671" si="327">T1607+(K1608-T1607)/7</f>
        <v>28.705933565488468</v>
      </c>
      <c r="U1608" s="2009">
        <f t="shared" ref="U1608:U1671" si="328">U1607+(K1608-U1607)/42</f>
        <v>34.45599508052068</v>
      </c>
      <c r="V1608" s="2009">
        <f t="shared" ref="V1608:V1671" si="329">U1607-T1607</f>
        <v>11.480926126000082</v>
      </c>
      <c r="W1608" s="3284">
        <f t="shared" ref="W1608:W1671" si="330">T1608/U1608</f>
        <v>0.83311869236123304</v>
      </c>
      <c r="X1608" s="3297"/>
      <c r="Y1608" s="3284"/>
      <c r="AA1608" s="3301"/>
      <c r="AB1608" s="3409"/>
      <c r="AE1608" s="2548"/>
    </row>
    <row r="1609" spans="2:31" x14ac:dyDescent="0.2">
      <c r="B1609" s="2992" t="s">
        <v>628</v>
      </c>
      <c r="C1609" s="2409">
        <v>44707</v>
      </c>
      <c r="D1609" s="2009"/>
      <c r="E1609" s="2010"/>
      <c r="F1609" s="2857"/>
      <c r="G1609" s="2410"/>
      <c r="H1609" s="2411" t="str">
        <f>IFERROR(VLOOKUP(F1609,Trainingsarten!$A$9:$K$84,10,FALSE),"")</f>
        <v/>
      </c>
      <c r="I1609" s="2412" t="str">
        <f t="shared" si="324"/>
        <v/>
      </c>
      <c r="J1609" s="2413"/>
      <c r="K1609" s="2414" t="str">
        <f>IFERROR(VLOOKUP(F1609,Trainingsarten!$A$9:$K$84,11,FALSE),"0")</f>
        <v>0</v>
      </c>
      <c r="L1609" s="2816"/>
      <c r="M1609" s="2840"/>
      <c r="N1609" s="2368" t="str">
        <f t="shared" si="325"/>
        <v/>
      </c>
      <c r="O1609" s="2415"/>
      <c r="P1609" s="2370" t="str">
        <f>IFERROR(VLOOKUP(F1609,Trainingsarten!$A$9:$N$84,12,FALSE),"")</f>
        <v/>
      </c>
      <c r="Q1609" s="2432" t="s">
        <v>437</v>
      </c>
      <c r="R1609" s="2537" t="str">
        <f>IFERROR(VLOOKUP(F1609,Trainingsarten!$A$9:$N$84,14,FALSE),"")</f>
        <v/>
      </c>
      <c r="S1609" s="2419" t="str">
        <f t="shared" si="326"/>
        <v/>
      </c>
      <c r="T1609" s="2009">
        <f t="shared" si="327"/>
        <v>24.605085913275829</v>
      </c>
      <c r="U1609" s="2009">
        <f t="shared" si="328"/>
        <v>33.63561424527019</v>
      </c>
      <c r="V1609" s="2009">
        <f t="shared" si="329"/>
        <v>5.7500615150322112</v>
      </c>
      <c r="W1609" s="3284">
        <f t="shared" si="330"/>
        <v>0.73151885182937526</v>
      </c>
      <c r="X1609" s="3297"/>
      <c r="Y1609" s="3284"/>
      <c r="AA1609" s="3301"/>
      <c r="AB1609" s="3409"/>
      <c r="AE1609" s="2548"/>
    </row>
    <row r="1610" spans="2:31" ht="16" thickBot="1" x14ac:dyDescent="0.25">
      <c r="B1610" s="2993">
        <f t="shared" ref="B1610" si="331">SUM(K1606:K1612)</f>
        <v>246</v>
      </c>
      <c r="C1610" s="2562">
        <v>44708</v>
      </c>
      <c r="D1610" s="2563">
        <v>79</v>
      </c>
      <c r="E1610" s="2564" t="s">
        <v>836</v>
      </c>
      <c r="F1610" s="2857" t="s">
        <v>862</v>
      </c>
      <c r="G1610" s="2565">
        <v>3.5740740740740747E-2</v>
      </c>
      <c r="H1610" s="2566">
        <v>8.0500000000000007</v>
      </c>
      <c r="I1610" s="2567">
        <f t="shared" si="324"/>
        <v>4.4398435702783529E-3</v>
      </c>
      <c r="J1610" s="2568">
        <v>141</v>
      </c>
      <c r="K1610" s="2569">
        <v>52</v>
      </c>
      <c r="L1610" s="2816">
        <v>204</v>
      </c>
      <c r="M1610" s="2840">
        <v>185</v>
      </c>
      <c r="N1610" s="2570"/>
      <c r="O1610" s="2571" t="s">
        <v>868</v>
      </c>
      <c r="P1610" s="2572" t="str">
        <f>IFERROR(VLOOKUP(F1610,Trainingsarten!$A$9:$N$84,12,FALSE),"")</f>
        <v/>
      </c>
      <c r="Q1610" s="2573" t="s">
        <v>437</v>
      </c>
      <c r="R1610" s="2574" t="str">
        <f>IFERROR(VLOOKUP(F1610,Trainingsarten!$A$9:$N$84,14,FALSE),"")</f>
        <v/>
      </c>
      <c r="S1610" s="2575">
        <f t="shared" si="326"/>
        <v>1.446808510638298</v>
      </c>
      <c r="T1610" s="2563">
        <f t="shared" si="327"/>
        <v>28.51864506852214</v>
      </c>
      <c r="U1610" s="2563">
        <f t="shared" si="328"/>
        <v>34.07286152514471</v>
      </c>
      <c r="V1610" s="2563">
        <f t="shared" si="329"/>
        <v>9.0305283319943612</v>
      </c>
      <c r="W1610" s="3284">
        <f t="shared" si="330"/>
        <v>0.83699002056156246</v>
      </c>
      <c r="X1610" s="3297"/>
      <c r="Y1610" s="3284"/>
      <c r="AA1610" s="3301"/>
      <c r="AB1610" s="3409"/>
      <c r="AE1610" s="2548"/>
    </row>
    <row r="1611" spans="2:31" x14ac:dyDescent="0.2">
      <c r="B1611" s="2994" t="s">
        <v>761</v>
      </c>
      <c r="C1611" s="2441">
        <v>44709</v>
      </c>
      <c r="D1611" s="1111"/>
      <c r="E1611" s="1112"/>
      <c r="F1611" s="2857"/>
      <c r="G1611" s="2442"/>
      <c r="H1611" s="2443" t="str">
        <f>IFERROR(VLOOKUP(F1611,Trainingsarten!$A$9:$K$84,10,FALSE),"")</f>
        <v/>
      </c>
      <c r="I1611" s="2444" t="str">
        <f t="shared" si="324"/>
        <v/>
      </c>
      <c r="J1611" s="1320"/>
      <c r="K1611" s="2445" t="str">
        <f>IFERROR(VLOOKUP(F1611,Trainingsarten!$A$9:$K$84,11,FALSE),"0")</f>
        <v>0</v>
      </c>
      <c r="L1611" s="2819"/>
      <c r="M1611" s="1320"/>
      <c r="N1611" s="1119" t="str">
        <f t="shared" si="325"/>
        <v/>
      </c>
      <c r="O1611" s="2446"/>
      <c r="P1611" s="1121" t="str">
        <f>IFERROR(VLOOKUP(F1611,Trainingsarten!$A$9:$N$84,12,FALSE),"")</f>
        <v/>
      </c>
      <c r="Q1611" s="2447" t="s">
        <v>437</v>
      </c>
      <c r="R1611" s="2448" t="str">
        <f>IFERROR(VLOOKUP(F1611,Trainingsarten!$A$9:$N$84,14,FALSE),"")</f>
        <v/>
      </c>
      <c r="S1611" s="2449" t="str">
        <f t="shared" si="326"/>
        <v/>
      </c>
      <c r="T1611" s="1111">
        <f t="shared" si="327"/>
        <v>24.44455291587612</v>
      </c>
      <c r="U1611" s="1111">
        <f t="shared" si="328"/>
        <v>33.261602917403167</v>
      </c>
      <c r="V1611" s="1111">
        <f t="shared" si="329"/>
        <v>5.5542164566225694</v>
      </c>
      <c r="W1611" s="3286">
        <f t="shared" si="330"/>
        <v>0.73491806683454264</v>
      </c>
      <c r="X1611" s="3297"/>
      <c r="Y1611" s="3284"/>
      <c r="AA1611" s="3301"/>
      <c r="AB1611" s="3409"/>
      <c r="AE1611" s="2548"/>
    </row>
    <row r="1612" spans="2:31" ht="16" thickBot="1" x14ac:dyDescent="0.25">
      <c r="B1612" s="3128">
        <f t="shared" ref="B1612" si="332">AVERAGE(W1606:W1612)</f>
        <v>0.77938458573225777</v>
      </c>
      <c r="C1612" s="1631">
        <v>44710</v>
      </c>
      <c r="D1612" s="1108">
        <v>80</v>
      </c>
      <c r="E1612" s="1261" t="s">
        <v>836</v>
      </c>
      <c r="F1612" s="2794" t="s">
        <v>819</v>
      </c>
      <c r="G1612" s="2433">
        <v>4.2268518518518518E-2</v>
      </c>
      <c r="H1612" s="2443">
        <v>11.08</v>
      </c>
      <c r="I1612" s="2435">
        <f t="shared" si="324"/>
        <v>3.8148482417435484E-3</v>
      </c>
      <c r="J1612" s="1310">
        <v>138</v>
      </c>
      <c r="K1612" s="2445">
        <v>71</v>
      </c>
      <c r="L1612" s="2818">
        <v>224</v>
      </c>
      <c r="M1612" s="2798">
        <v>34</v>
      </c>
      <c r="N1612" s="1223">
        <f t="shared" si="325"/>
        <v>1.1019559243493722</v>
      </c>
      <c r="O1612" s="2437" t="s">
        <v>958</v>
      </c>
      <c r="P1612" s="1519">
        <f>IFERROR(VLOOKUP(F1612,Trainingsarten!$A$9:$N$84,12,FALSE),"")</f>
        <v>194.60000000000002</v>
      </c>
      <c r="Q1612" s="2438" t="s">
        <v>437</v>
      </c>
      <c r="R1612" s="2439">
        <f>IFERROR(VLOOKUP(F1612,Trainingsarten!$A$9:$N$84,14,FALSE),"")</f>
        <v>212.96</v>
      </c>
      <c r="S1612" s="2440">
        <f t="shared" si="326"/>
        <v>1.6231884057971016</v>
      </c>
      <c r="T1612" s="1108">
        <f t="shared" si="327"/>
        <v>31.095331070750959</v>
      </c>
      <c r="U1612" s="1108">
        <f t="shared" si="328"/>
        <v>34.160136181274517</v>
      </c>
      <c r="V1612" s="1108">
        <f t="shared" si="329"/>
        <v>8.817050001527047</v>
      </c>
      <c r="W1612" s="3285">
        <f t="shared" si="330"/>
        <v>0.9102812385097111</v>
      </c>
      <c r="X1612" s="3296"/>
      <c r="Y1612" s="3320"/>
      <c r="AA1612" s="3301"/>
      <c r="AB1612" s="3409"/>
      <c r="AE1612" s="2548"/>
    </row>
    <row r="1613" spans="2:31" ht="16" thickBot="1" x14ac:dyDescent="0.25">
      <c r="B1613" s="2986">
        <f t="shared" ref="B1613" si="333">B1606+1</f>
        <v>22</v>
      </c>
      <c r="C1613" s="2399">
        <v>44711</v>
      </c>
      <c r="D1613" s="2292">
        <v>81</v>
      </c>
      <c r="E1613" s="2293" t="s">
        <v>836</v>
      </c>
      <c r="F1613" s="2761" t="s">
        <v>943</v>
      </c>
      <c r="G1613" s="2400">
        <v>2.8518518518518523E-2</v>
      </c>
      <c r="H1613" s="2401">
        <v>7.53</v>
      </c>
      <c r="I1613" s="2402">
        <f t="shared" si="324"/>
        <v>3.7873198563769619E-3</v>
      </c>
      <c r="J1613" s="2403">
        <v>134</v>
      </c>
      <c r="K1613" s="2404">
        <v>48</v>
      </c>
      <c r="L1613" s="2815">
        <v>225</v>
      </c>
      <c r="M1613" s="2591">
        <v>26</v>
      </c>
      <c r="N1613" s="2296">
        <f t="shared" si="325"/>
        <v>1.0988880299696737</v>
      </c>
      <c r="O1613" s="2405" t="s">
        <v>957</v>
      </c>
      <c r="P1613" s="2298">
        <f>IFERROR(VLOOKUP(F1613,Trainingsarten!$A$9:$N$84,12,FALSE),"")</f>
        <v>194.60000000000002</v>
      </c>
      <c r="Q1613" s="2406" t="s">
        <v>437</v>
      </c>
      <c r="R1613" s="2407">
        <f>IFERROR(VLOOKUP(F1613,Trainingsarten!$A$9:$N$84,14,FALSE),"")</f>
        <v>212.96</v>
      </c>
      <c r="S1613" s="2408">
        <f t="shared" si="326"/>
        <v>1.6791044776119404</v>
      </c>
      <c r="T1613" s="2292">
        <f t="shared" si="327"/>
        <v>33.510283774929391</v>
      </c>
      <c r="U1613" s="2292">
        <f t="shared" si="328"/>
        <v>34.489656748387027</v>
      </c>
      <c r="V1613" s="2292">
        <f t="shared" si="329"/>
        <v>3.0648051105235581</v>
      </c>
      <c r="W1613" s="3283">
        <f t="shared" si="330"/>
        <v>0.97160386429466461</v>
      </c>
      <c r="X1613" s="3300"/>
      <c r="Y1613" s="3316"/>
      <c r="AA1613" s="3301"/>
      <c r="AB1613" s="3409"/>
      <c r="AE1613" s="2548"/>
    </row>
    <row r="1614" spans="2:31" x14ac:dyDescent="0.2">
      <c r="B1614" s="2991" t="s">
        <v>626</v>
      </c>
      <c r="C1614" s="2409">
        <v>44712</v>
      </c>
      <c r="D1614" s="2009"/>
      <c r="E1614" s="2010"/>
      <c r="F1614" s="2759"/>
      <c r="G1614" s="2410"/>
      <c r="H1614" s="2411" t="str">
        <f>IFERROR(VLOOKUP(F1614,Trainingsarten!$A$9:$K$84,10,FALSE),"")</f>
        <v/>
      </c>
      <c r="I1614" s="2412" t="str">
        <f t="shared" si="324"/>
        <v/>
      </c>
      <c r="J1614" s="2413"/>
      <c r="K1614" s="2414" t="str">
        <f>IFERROR(VLOOKUP(F1614,Trainingsarten!$A$9:$K$84,11,FALSE),"0")</f>
        <v>0</v>
      </c>
      <c r="L1614" s="2816"/>
      <c r="M1614" s="2840"/>
      <c r="N1614" s="2368" t="str">
        <f t="shared" si="325"/>
        <v/>
      </c>
      <c r="O1614" s="2415"/>
      <c r="P1614" s="2370" t="str">
        <f>IFERROR(VLOOKUP(F1614,Trainingsarten!$A$9:$N$84,12,FALSE),"")</f>
        <v/>
      </c>
      <c r="Q1614" s="2432" t="s">
        <v>437</v>
      </c>
      <c r="R1614" s="2537" t="str">
        <f>IFERROR(VLOOKUP(F1614,Trainingsarten!$A$9:$N$84,14,FALSE),"")</f>
        <v/>
      </c>
      <c r="S1614" s="2419" t="str">
        <f t="shared" si="326"/>
        <v/>
      </c>
      <c r="T1614" s="2009">
        <f t="shared" si="327"/>
        <v>28.723100378510907</v>
      </c>
      <c r="U1614" s="2009">
        <f t="shared" si="328"/>
        <v>33.668474444854006</v>
      </c>
      <c r="V1614" s="2009">
        <f t="shared" si="329"/>
        <v>0.97937297345763596</v>
      </c>
      <c r="W1614" s="3284">
        <f t="shared" si="330"/>
        <v>0.85311558816116884</v>
      </c>
      <c r="X1614" s="3300"/>
      <c r="Y1614" s="3316"/>
      <c r="AA1614" s="3301"/>
      <c r="AB1614" s="3409"/>
      <c r="AE1614" s="2548"/>
    </row>
    <row r="1615" spans="2:31" ht="16" thickBot="1" x14ac:dyDescent="0.25">
      <c r="B1615" s="2979">
        <f t="shared" ref="B1615" si="334">SUM(H1613:H1619)</f>
        <v>35.880000000000003</v>
      </c>
      <c r="C1615" s="2409">
        <v>44713</v>
      </c>
      <c r="D1615" s="2009">
        <v>82</v>
      </c>
      <c r="E1615" s="2010" t="s">
        <v>836</v>
      </c>
      <c r="F1615" s="2759" t="s">
        <v>943</v>
      </c>
      <c r="G1615" s="2410">
        <v>2.6504629629629628E-2</v>
      </c>
      <c r="H1615" s="2411">
        <v>7.11</v>
      </c>
      <c r="I1615" s="2412">
        <f t="shared" si="324"/>
        <v>3.7277960097931964E-3</v>
      </c>
      <c r="J1615" s="2413"/>
      <c r="K1615" s="2414">
        <v>46</v>
      </c>
      <c r="L1615" s="2816">
        <v>227</v>
      </c>
      <c r="M1615" s="2840">
        <v>17</v>
      </c>
      <c r="N1615" s="2368">
        <f t="shared" si="325"/>
        <v>1.0912316056846569</v>
      </c>
      <c r="O1615" s="2415" t="s">
        <v>911</v>
      </c>
      <c r="P1615" s="2370">
        <f>IFERROR(VLOOKUP(F1615,Trainingsarten!$A$9:$N$84,12,FALSE),"")</f>
        <v>194.60000000000002</v>
      </c>
      <c r="Q1615" s="2432" t="s">
        <v>437</v>
      </c>
      <c r="R1615" s="2537">
        <f>IFERROR(VLOOKUP(F1615,Trainingsarten!$A$9:$N$84,14,FALSE),"")</f>
        <v>212.96</v>
      </c>
      <c r="S1615" s="2419"/>
      <c r="T1615" s="2009">
        <f t="shared" si="327"/>
        <v>31.191228895866491</v>
      </c>
      <c r="U1615" s="2009">
        <f t="shared" si="328"/>
        <v>33.962082196167003</v>
      </c>
      <c r="V1615" s="2009">
        <f t="shared" si="329"/>
        <v>4.9453740663430992</v>
      </c>
      <c r="W1615" s="3284">
        <f t="shared" si="330"/>
        <v>0.91841332683031918</v>
      </c>
      <c r="X1615" s="3300"/>
      <c r="Y1615" s="3316"/>
      <c r="AA1615" s="3301"/>
      <c r="AB1615" s="3409"/>
      <c r="AE1615" s="2548"/>
    </row>
    <row r="1616" spans="2:31" x14ac:dyDescent="0.2">
      <c r="B1616" s="2992" t="s">
        <v>628</v>
      </c>
      <c r="C1616" s="2409">
        <v>44714</v>
      </c>
      <c r="D1616" s="2009">
        <v>83</v>
      </c>
      <c r="E1616" s="2010" t="s">
        <v>836</v>
      </c>
      <c r="F1616" s="2759" t="s">
        <v>819</v>
      </c>
      <c r="G1616" s="2410">
        <v>3.8356481481481484E-2</v>
      </c>
      <c r="H1616" s="2411">
        <v>10.14</v>
      </c>
      <c r="I1616" s="2412">
        <f t="shared" si="324"/>
        <v>3.7826904814084301E-3</v>
      </c>
      <c r="J1616" s="2413">
        <v>151</v>
      </c>
      <c r="K1616" s="2414">
        <v>66</v>
      </c>
      <c r="L1616" s="2816">
        <v>226</v>
      </c>
      <c r="M1616" s="2840">
        <v>28</v>
      </c>
      <c r="N1616" s="2368">
        <f t="shared" si="325"/>
        <v>1.1024227972563219</v>
      </c>
      <c r="O1616" s="2415" t="s">
        <v>958</v>
      </c>
      <c r="P1616" s="2370">
        <f>IFERROR(VLOOKUP(F1616,Trainingsarten!$A$9:$N$84,12,FALSE),"")</f>
        <v>194.60000000000002</v>
      </c>
      <c r="Q1616" s="2432" t="s">
        <v>437</v>
      </c>
      <c r="R1616" s="2537">
        <f>IFERROR(VLOOKUP(F1616,Trainingsarten!$A$9:$N$84,14,FALSE),"")</f>
        <v>212.96</v>
      </c>
      <c r="S1616" s="2419">
        <f t="shared" si="326"/>
        <v>1.4966887417218544</v>
      </c>
      <c r="T1616" s="2009">
        <f t="shared" si="327"/>
        <v>36.163910482171275</v>
      </c>
      <c r="U1616" s="2009">
        <f t="shared" si="328"/>
        <v>34.724889762924931</v>
      </c>
      <c r="V1616" s="2009">
        <f t="shared" si="329"/>
        <v>2.7708533003005122</v>
      </c>
      <c r="W1616" s="3284">
        <f t="shared" si="330"/>
        <v>1.0414406130320608</v>
      </c>
      <c r="X1616" s="3300"/>
      <c r="Y1616" s="3316"/>
      <c r="AA1616" s="3301"/>
      <c r="AB1616" s="3409"/>
      <c r="AE1616" s="2548"/>
    </row>
    <row r="1617" spans="2:31" ht="16" thickBot="1" x14ac:dyDescent="0.25">
      <c r="B1617" s="2993">
        <f t="shared" ref="B1617" si="335">SUM(K1613:K1619)</f>
        <v>228</v>
      </c>
      <c r="C1617" s="2562">
        <v>44715</v>
      </c>
      <c r="D1617" s="2563"/>
      <c r="E1617" s="2564"/>
      <c r="F1617" s="2775" t="s">
        <v>473</v>
      </c>
      <c r="G1617" s="2565"/>
      <c r="H1617" s="2566" t="str">
        <f>IFERROR(VLOOKUP(F1617,Trainingsarten!$A$9:$K$84,10,FALSE),"")</f>
        <v/>
      </c>
      <c r="I1617" s="2567" t="str">
        <f t="shared" si="324"/>
        <v/>
      </c>
      <c r="J1617" s="2568"/>
      <c r="K1617" s="2569" t="str">
        <f>IFERROR(VLOOKUP(F1617,Trainingsarten!$A$9:$K$84,11,FALSE),"0")</f>
        <v>0</v>
      </c>
      <c r="L1617" s="2816"/>
      <c r="M1617" s="2840"/>
      <c r="N1617" s="2570" t="str">
        <f t="shared" si="325"/>
        <v/>
      </c>
      <c r="O1617" s="2571"/>
      <c r="P1617" s="2572" t="str">
        <f>IFERROR(VLOOKUP(F1617,Trainingsarten!$A$9:$N$84,12,FALSE),"")</f>
        <v/>
      </c>
      <c r="Q1617" s="2573" t="s">
        <v>437</v>
      </c>
      <c r="R1617" s="2574" t="str">
        <f>IFERROR(VLOOKUP(F1617,Trainingsarten!$A$9:$N$84,14,FALSE),"")</f>
        <v/>
      </c>
      <c r="S1617" s="2575" t="str">
        <f t="shared" si="326"/>
        <v/>
      </c>
      <c r="T1617" s="2563">
        <f t="shared" si="327"/>
        <v>30.997637556146806</v>
      </c>
      <c r="U1617" s="2563">
        <f t="shared" si="328"/>
        <v>33.898106673331483</v>
      </c>
      <c r="V1617" s="2563">
        <f t="shared" si="329"/>
        <v>-1.4390207192463436</v>
      </c>
      <c r="W1617" s="3284">
        <f t="shared" si="330"/>
        <v>0.91443566022327283</v>
      </c>
      <c r="X1617" s="3300"/>
      <c r="Y1617" s="3316"/>
      <c r="AA1617" s="3301"/>
      <c r="AB1617" s="3409"/>
      <c r="AE1617" s="2548"/>
    </row>
    <row r="1618" spans="2:31" x14ac:dyDescent="0.2">
      <c r="B1618" s="2994" t="s">
        <v>761</v>
      </c>
      <c r="C1618" s="2441">
        <v>44716</v>
      </c>
      <c r="D1618" s="1111">
        <v>84</v>
      </c>
      <c r="E1618" s="1112" t="s">
        <v>835</v>
      </c>
      <c r="F1618" s="2774" t="s">
        <v>819</v>
      </c>
      <c r="G1618" s="2442">
        <v>4.2638888888888893E-2</v>
      </c>
      <c r="H1618" s="2443">
        <v>11.1</v>
      </c>
      <c r="I1618" s="2444">
        <f t="shared" si="324"/>
        <v>3.8413413413413418E-3</v>
      </c>
      <c r="J1618" s="1320">
        <v>140</v>
      </c>
      <c r="K1618" s="2445">
        <v>68</v>
      </c>
      <c r="L1618" s="2819">
        <v>217</v>
      </c>
      <c r="M1618" s="1320">
        <v>33</v>
      </c>
      <c r="N1618" s="1119">
        <f t="shared" si="325"/>
        <v>1.0749334409035902</v>
      </c>
      <c r="O1618" s="2446" t="s">
        <v>953</v>
      </c>
      <c r="P1618" s="1121">
        <f>IFERROR(VLOOKUP(F1618,Trainingsarten!$A$9:$N$84,12,FALSE),"")</f>
        <v>194.60000000000002</v>
      </c>
      <c r="Q1618" s="2447" t="s">
        <v>437</v>
      </c>
      <c r="R1618" s="2448">
        <f>IFERROR(VLOOKUP(F1618,Trainingsarten!$A$9:$N$84,14,FALSE),"")</f>
        <v>212.96</v>
      </c>
      <c r="S1618" s="2449">
        <f t="shared" si="326"/>
        <v>1.55</v>
      </c>
      <c r="T1618" s="1111">
        <f t="shared" si="327"/>
        <v>36.283689333840123</v>
      </c>
      <c r="U1618" s="1111">
        <f t="shared" si="328"/>
        <v>34.710056514442641</v>
      </c>
      <c r="V1618" s="1111">
        <f t="shared" si="329"/>
        <v>2.9004691171846773</v>
      </c>
      <c r="W1618" s="3286">
        <f t="shared" si="330"/>
        <v>1.0453365098596916</v>
      </c>
      <c r="X1618" s="3300"/>
      <c r="Y1618" s="3316"/>
      <c r="AA1618" s="3301"/>
      <c r="AB1618" s="3409"/>
      <c r="AE1618" s="2548"/>
    </row>
    <row r="1619" spans="2:31" ht="16" thickBot="1" x14ac:dyDescent="0.25">
      <c r="B1619" s="3128">
        <f t="shared" ref="B1619" si="336">AVERAGE(W1613:W1619)</f>
        <v>0.95174314429755114</v>
      </c>
      <c r="C1619" s="1631">
        <v>44717</v>
      </c>
      <c r="D1619" s="1108"/>
      <c r="E1619" s="1261"/>
      <c r="F1619" s="2763"/>
      <c r="G1619" s="2433"/>
      <c r="H1619" s="2434" t="str">
        <f>IFERROR(VLOOKUP(F1619,Trainingsarten!$A$9:$K$84,10,FALSE),"")</f>
        <v/>
      </c>
      <c r="I1619" s="2435" t="str">
        <f t="shared" si="324"/>
        <v/>
      </c>
      <c r="J1619" s="1310"/>
      <c r="K1619" s="2436" t="str">
        <f>IFERROR(VLOOKUP(F1619,Trainingsarten!$A$9:$K$84,11,FALSE),"0")</f>
        <v>0</v>
      </c>
      <c r="L1619" s="2818"/>
      <c r="M1619" s="2798"/>
      <c r="N1619" s="1223" t="str">
        <f t="shared" si="325"/>
        <v/>
      </c>
      <c r="O1619" s="2437"/>
      <c r="P1619" s="1519" t="str">
        <f>IFERROR(VLOOKUP(F1619,Trainingsarten!$A$9:$N$84,12,FALSE),"")</f>
        <v/>
      </c>
      <c r="Q1619" s="2438" t="s">
        <v>437</v>
      </c>
      <c r="R1619" s="2439" t="str">
        <f>IFERROR(VLOOKUP(F1619,Trainingsarten!$A$9:$N$84,14,FALSE),"")</f>
        <v/>
      </c>
      <c r="S1619" s="2440" t="str">
        <f t="shared" si="326"/>
        <v/>
      </c>
      <c r="T1619" s="1108">
        <f t="shared" si="327"/>
        <v>31.100305143291536</v>
      </c>
      <c r="U1619" s="1108">
        <f t="shared" si="328"/>
        <v>33.883626597432105</v>
      </c>
      <c r="V1619" s="1108">
        <f t="shared" si="329"/>
        <v>-1.5736328193974813</v>
      </c>
      <c r="W1619" s="3285">
        <f t="shared" si="330"/>
        <v>0.9178564476816804</v>
      </c>
      <c r="X1619" s="3300"/>
      <c r="Y1619" s="3316"/>
      <c r="AA1619" s="3301"/>
      <c r="AB1619" s="3409"/>
      <c r="AE1619" s="2548"/>
    </row>
    <row r="1620" spans="2:31" ht="16" thickBot="1" x14ac:dyDescent="0.25">
      <c r="B1620" s="2986">
        <f t="shared" ref="B1620" si="337">B1613+1</f>
        <v>23</v>
      </c>
      <c r="C1620" s="2399">
        <v>44718</v>
      </c>
      <c r="D1620" s="2292">
        <v>85</v>
      </c>
      <c r="E1620" s="2293" t="s">
        <v>835</v>
      </c>
      <c r="F1620" s="2761" t="s">
        <v>907</v>
      </c>
      <c r="G1620" s="2400">
        <v>5.4004629629629632E-2</v>
      </c>
      <c r="H1620" s="2401">
        <v>13.55</v>
      </c>
      <c r="I1620" s="2402">
        <f t="shared" si="324"/>
        <v>3.9855815224818913E-3</v>
      </c>
      <c r="J1620" s="2403">
        <v>141</v>
      </c>
      <c r="K1620" s="2404">
        <v>82</v>
      </c>
      <c r="L1620" s="2815">
        <v>211</v>
      </c>
      <c r="M1620" s="2591">
        <v>47</v>
      </c>
      <c r="N1620" s="2296">
        <f t="shared" si="325"/>
        <v>1.0844588863799085</v>
      </c>
      <c r="O1620" s="2405" t="s">
        <v>958</v>
      </c>
      <c r="P1620" s="2298">
        <f>IFERROR(VLOOKUP(F1620,Trainingsarten!$A$9:$N$84,12,FALSE),"")</f>
        <v>194.60000000000002</v>
      </c>
      <c r="Q1620" s="2406" t="s">
        <v>437</v>
      </c>
      <c r="R1620" s="2407">
        <f>IFERROR(VLOOKUP(F1620,Trainingsarten!$A$9:$N$84,14,FALSE),"")</f>
        <v>212.96</v>
      </c>
      <c r="S1620" s="2408">
        <f t="shared" si="326"/>
        <v>1.4964539007092199</v>
      </c>
      <c r="T1620" s="2292">
        <f t="shared" si="327"/>
        <v>38.371690122821313</v>
      </c>
      <c r="U1620" s="2292">
        <f t="shared" si="328"/>
        <v>35.029254535588485</v>
      </c>
      <c r="V1620" s="2292">
        <f t="shared" si="329"/>
        <v>2.7833214541405695</v>
      </c>
      <c r="W1620" s="3283">
        <f t="shared" si="330"/>
        <v>1.0954184047461539</v>
      </c>
      <c r="X1620" s="3300"/>
      <c r="Y1620" s="3316"/>
      <c r="AA1620" s="3301"/>
      <c r="AB1620" s="3409"/>
      <c r="AE1620" s="2548"/>
    </row>
    <row r="1621" spans="2:31" x14ac:dyDescent="0.2">
      <c r="B1621" s="2991" t="s">
        <v>626</v>
      </c>
      <c r="C1621" s="2409">
        <v>44719</v>
      </c>
      <c r="D1621" s="2009"/>
      <c r="E1621" s="2010"/>
      <c r="F1621" s="2759"/>
      <c r="G1621" s="2410"/>
      <c r="H1621" s="2411" t="str">
        <f>IFERROR(VLOOKUP(F1621,Trainingsarten!$A$9:$K$84,10,FALSE),"")</f>
        <v/>
      </c>
      <c r="I1621" s="2412" t="str">
        <f t="shared" si="324"/>
        <v/>
      </c>
      <c r="J1621" s="2413"/>
      <c r="K1621" s="2414" t="str">
        <f>IFERROR(VLOOKUP(F1621,Trainingsarten!$A$9:$K$84,11,FALSE),"0")</f>
        <v>0</v>
      </c>
      <c r="L1621" s="2816"/>
      <c r="M1621" s="2840"/>
      <c r="N1621" s="2368" t="str">
        <f t="shared" si="325"/>
        <v/>
      </c>
      <c r="O1621" s="2415"/>
      <c r="P1621" s="2370" t="str">
        <f>IFERROR(VLOOKUP(F1621,Trainingsarten!$A$9:$N$84,12,FALSE),"")</f>
        <v/>
      </c>
      <c r="Q1621" s="2432" t="s">
        <v>437</v>
      </c>
      <c r="R1621" s="2537" t="str">
        <f>IFERROR(VLOOKUP(F1621,Trainingsarten!$A$9:$N$84,14,FALSE),"")</f>
        <v/>
      </c>
      <c r="S1621" s="2419" t="str">
        <f t="shared" si="326"/>
        <v/>
      </c>
      <c r="T1621" s="2009">
        <f t="shared" si="327"/>
        <v>32.890020105275411</v>
      </c>
      <c r="U1621" s="2009">
        <f t="shared" si="328"/>
        <v>34.195224665693523</v>
      </c>
      <c r="V1621" s="2009">
        <f t="shared" si="329"/>
        <v>-3.3424355872328277</v>
      </c>
      <c r="W1621" s="3284">
        <f t="shared" si="330"/>
        <v>0.96183079441125696</v>
      </c>
      <c r="X1621" s="3300"/>
      <c r="Y1621" s="3316"/>
      <c r="AA1621" s="3301"/>
      <c r="AB1621" s="3409"/>
      <c r="AE1621" s="2548"/>
    </row>
    <row r="1622" spans="2:31" ht="16" thickBot="1" x14ac:dyDescent="0.25">
      <c r="B1622" s="2979">
        <f t="shared" ref="B1622" si="338">SUM(H1620:H1626)</f>
        <v>47.02</v>
      </c>
      <c r="C1622" s="2409">
        <v>44720</v>
      </c>
      <c r="D1622" s="2009">
        <v>86</v>
      </c>
      <c r="E1622" s="2010" t="s">
        <v>836</v>
      </c>
      <c r="F1622" s="2759" t="s">
        <v>819</v>
      </c>
      <c r="G1622" s="2410">
        <v>3.9375E-2</v>
      </c>
      <c r="H1622" s="2411">
        <v>10.199999999999999</v>
      </c>
      <c r="I1622" s="2412">
        <f t="shared" si="324"/>
        <v>3.860294117647059E-3</v>
      </c>
      <c r="J1622" s="2413">
        <v>150</v>
      </c>
      <c r="K1622" s="2414">
        <v>65</v>
      </c>
      <c r="L1622" s="2816">
        <v>221</v>
      </c>
      <c r="M1622" s="2840">
        <v>29</v>
      </c>
      <c r="N1622" s="2368">
        <f t="shared" si="325"/>
        <v>1.1001492537313433</v>
      </c>
      <c r="O1622" s="2415" t="s">
        <v>957</v>
      </c>
      <c r="P1622" s="2370">
        <f>IFERROR(VLOOKUP(F1622,Trainingsarten!$A$9:$N$84,12,FALSE),"")</f>
        <v>194.60000000000002</v>
      </c>
      <c r="Q1622" s="2432" t="s">
        <v>437</v>
      </c>
      <c r="R1622" s="2537">
        <f>IFERROR(VLOOKUP(F1622,Trainingsarten!$A$9:$N$84,14,FALSE),"")</f>
        <v>212.96</v>
      </c>
      <c r="S1622" s="2419">
        <f t="shared" si="326"/>
        <v>1.4733333333333334</v>
      </c>
      <c r="T1622" s="2009">
        <f t="shared" si="327"/>
        <v>37.477160090236069</v>
      </c>
      <c r="U1622" s="2009">
        <f t="shared" si="328"/>
        <v>34.928671697462725</v>
      </c>
      <c r="V1622" s="2009">
        <f t="shared" si="329"/>
        <v>1.3052045604181117</v>
      </c>
      <c r="W1622" s="3284">
        <f t="shared" si="330"/>
        <v>1.0729626484181036</v>
      </c>
      <c r="X1622" s="3300"/>
      <c r="Y1622" s="3316"/>
      <c r="AA1622" s="3301"/>
      <c r="AB1622" s="3409"/>
      <c r="AE1622" s="2548"/>
    </row>
    <row r="1623" spans="2:31" x14ac:dyDescent="0.2">
      <c r="B1623" s="2992" t="s">
        <v>628</v>
      </c>
      <c r="C1623" s="2409">
        <v>44721</v>
      </c>
      <c r="D1623" s="2009">
        <v>87</v>
      </c>
      <c r="E1623" s="2010" t="s">
        <v>836</v>
      </c>
      <c r="F1623" s="2759" t="s">
        <v>943</v>
      </c>
      <c r="G1623" s="2410">
        <v>3.3287037037037039E-2</v>
      </c>
      <c r="H1623" s="2411">
        <v>8.73</v>
      </c>
      <c r="I1623" s="2412">
        <f t="shared" si="324"/>
        <v>3.8129481142081369E-3</v>
      </c>
      <c r="J1623" s="2413">
        <v>138</v>
      </c>
      <c r="K1623" s="2414">
        <v>55</v>
      </c>
      <c r="L1623" s="2816">
        <v>222</v>
      </c>
      <c r="M1623" s="2840">
        <v>26</v>
      </c>
      <c r="N1623" s="2368">
        <f t="shared" si="325"/>
        <v>1.0915730625224394</v>
      </c>
      <c r="O1623" s="2415" t="s">
        <v>1460</v>
      </c>
      <c r="P1623" s="2370">
        <f>IFERROR(VLOOKUP(F1623,Trainingsarten!$A$9:$N$84,12,FALSE),"")</f>
        <v>194.60000000000002</v>
      </c>
      <c r="Q1623" s="2432" t="s">
        <v>437</v>
      </c>
      <c r="R1623" s="2537">
        <f>IFERROR(VLOOKUP(F1623,Trainingsarten!$A$9:$N$84,14,FALSE),"")</f>
        <v>212.96</v>
      </c>
      <c r="S1623" s="2419">
        <f t="shared" si="326"/>
        <v>1.6086956521739131</v>
      </c>
      <c r="T1623" s="2009">
        <f t="shared" si="327"/>
        <v>39.980422934488061</v>
      </c>
      <c r="U1623" s="2009">
        <f t="shared" si="328"/>
        <v>35.406560466570753</v>
      </c>
      <c r="V1623" s="2009">
        <f t="shared" si="329"/>
        <v>-2.5484883927733435</v>
      </c>
      <c r="W1623" s="3284">
        <f t="shared" si="330"/>
        <v>1.1291812140926747</v>
      </c>
      <c r="X1623" s="3300"/>
      <c r="Y1623" s="3316"/>
      <c r="AA1623" s="3301"/>
      <c r="AB1623" s="3409"/>
      <c r="AE1623" s="2548"/>
    </row>
    <row r="1624" spans="2:31" ht="16" thickBot="1" x14ac:dyDescent="0.25">
      <c r="B1624" s="2993">
        <f t="shared" ref="B1624" si="339">SUM(K1620:K1626)</f>
        <v>302</v>
      </c>
      <c r="C1624" s="2562">
        <v>44722</v>
      </c>
      <c r="D1624" s="2563"/>
      <c r="E1624" s="2564"/>
      <c r="F1624" s="2775"/>
      <c r="G1624" s="2565"/>
      <c r="H1624" s="2566" t="str">
        <f>IFERROR(VLOOKUP(F1624,Trainingsarten!$A$9:$K$84,10,FALSE),"")</f>
        <v/>
      </c>
      <c r="I1624" s="2567" t="str">
        <f t="shared" si="324"/>
        <v/>
      </c>
      <c r="J1624" s="2568"/>
      <c r="K1624" s="2569" t="str">
        <f>IFERROR(VLOOKUP(F1624,Trainingsarten!$A$9:$K$84,11,FALSE),"0")</f>
        <v>0</v>
      </c>
      <c r="L1624" s="2816"/>
      <c r="M1624" s="2840"/>
      <c r="N1624" s="2570" t="str">
        <f t="shared" si="325"/>
        <v/>
      </c>
      <c r="O1624" s="2571"/>
      <c r="P1624" s="2572" t="str">
        <f>IFERROR(VLOOKUP(F1624,Trainingsarten!$A$9:$N$84,12,FALSE),"")</f>
        <v/>
      </c>
      <c r="Q1624" s="2573" t="s">
        <v>437</v>
      </c>
      <c r="R1624" s="2574" t="str">
        <f>IFERROR(VLOOKUP(F1624,Trainingsarten!$A$9:$N$84,14,FALSE),"")</f>
        <v/>
      </c>
      <c r="S1624" s="2575" t="str">
        <f t="shared" si="326"/>
        <v/>
      </c>
      <c r="T1624" s="2563">
        <f t="shared" si="327"/>
        <v>34.26893394384691</v>
      </c>
      <c r="U1624" s="2563">
        <f t="shared" si="328"/>
        <v>34.56354712212859</v>
      </c>
      <c r="V1624" s="2563">
        <f t="shared" si="329"/>
        <v>-4.5738624679173085</v>
      </c>
      <c r="W1624" s="3284">
        <f t="shared" si="330"/>
        <v>0.99147618798381199</v>
      </c>
      <c r="X1624" s="3300"/>
      <c r="Y1624" s="3316"/>
      <c r="AA1624" s="3301"/>
      <c r="AB1624" s="3409"/>
      <c r="AE1624" s="2548"/>
    </row>
    <row r="1625" spans="2:31" x14ac:dyDescent="0.2">
      <c r="B1625" s="2994" t="s">
        <v>761</v>
      </c>
      <c r="C1625" s="2441">
        <v>44723</v>
      </c>
      <c r="D1625" s="1111">
        <v>88</v>
      </c>
      <c r="E1625" s="1112" t="s">
        <v>836</v>
      </c>
      <c r="F1625" s="2774" t="s">
        <v>862</v>
      </c>
      <c r="G1625" s="2442">
        <v>6.4953703703703694E-2</v>
      </c>
      <c r="H1625" s="2443">
        <v>14.54</v>
      </c>
      <c r="I1625" s="2444">
        <f t="shared" si="324"/>
        <v>4.4672423455091948E-3</v>
      </c>
      <c r="J1625" s="1320">
        <v>150</v>
      </c>
      <c r="K1625" s="2445">
        <v>100</v>
      </c>
      <c r="L1625" s="2819">
        <v>208</v>
      </c>
      <c r="M1625" s="1320">
        <v>457</v>
      </c>
      <c r="N1625" s="1119"/>
      <c r="O1625" s="2446" t="s">
        <v>868</v>
      </c>
      <c r="P1625" s="1121" t="str">
        <f>IFERROR(VLOOKUP(F1625,Trainingsarten!$A$9:$N$84,12,FALSE),"")</f>
        <v/>
      </c>
      <c r="Q1625" s="2447" t="s">
        <v>437</v>
      </c>
      <c r="R1625" s="2448" t="str">
        <f>IFERROR(VLOOKUP(F1625,Trainingsarten!$A$9:$N$84,14,FALSE),"")</f>
        <v/>
      </c>
      <c r="S1625" s="2449"/>
      <c r="T1625" s="1111">
        <f t="shared" si="327"/>
        <v>43.659086237583068</v>
      </c>
      <c r="U1625" s="1111">
        <f t="shared" si="328"/>
        <v>36.121557904935052</v>
      </c>
      <c r="V1625" s="1111">
        <f t="shared" si="329"/>
        <v>0.29461317828167921</v>
      </c>
      <c r="W1625" s="3286">
        <f t="shared" si="330"/>
        <v>1.2086711861234039</v>
      </c>
      <c r="X1625" s="3300"/>
      <c r="Y1625" s="3316"/>
      <c r="AA1625" s="3301"/>
      <c r="AB1625" s="3409"/>
      <c r="AE1625" s="2548"/>
    </row>
    <row r="1626" spans="2:31" ht="16" thickBot="1" x14ac:dyDescent="0.25">
      <c r="B1626" s="2995">
        <f t="shared" ref="B1626" si="340">AVERAGE(W1620:W1626)</f>
        <v>1.0744018138231155</v>
      </c>
      <c r="C1626" s="1631">
        <v>44724</v>
      </c>
      <c r="D1626" s="1108"/>
      <c r="E1626" s="1261"/>
      <c r="F1626" s="2763"/>
      <c r="G1626" s="2433"/>
      <c r="H1626" s="2434" t="str">
        <f>IFERROR(VLOOKUP(F1626,Trainingsarten!$A$9:$K$84,10,FALSE),"")</f>
        <v/>
      </c>
      <c r="I1626" s="2435" t="str">
        <f t="shared" si="324"/>
        <v/>
      </c>
      <c r="J1626" s="1310"/>
      <c r="K1626" s="2436" t="str">
        <f>IFERROR(VLOOKUP(F1626,Trainingsarten!$A$9:$K$84,11,FALSE),"0")</f>
        <v>0</v>
      </c>
      <c r="L1626" s="2818"/>
      <c r="M1626" s="2798"/>
      <c r="N1626" s="1223" t="str">
        <f t="shared" si="325"/>
        <v/>
      </c>
      <c r="O1626" s="2437"/>
      <c r="P1626" s="1519" t="str">
        <f>IFERROR(VLOOKUP(F1626,Trainingsarten!$A$9:$N$84,12,FALSE),"")</f>
        <v/>
      </c>
      <c r="Q1626" s="2438" t="s">
        <v>437</v>
      </c>
      <c r="R1626" s="2439" t="str">
        <f>IFERROR(VLOOKUP(F1626,Trainingsarten!$A$9:$N$84,14,FALSE),"")</f>
        <v/>
      </c>
      <c r="S1626" s="2440" t="str">
        <f t="shared" si="326"/>
        <v/>
      </c>
      <c r="T1626" s="1108">
        <f t="shared" si="327"/>
        <v>37.422073917928344</v>
      </c>
      <c r="U1626" s="1108">
        <f t="shared" si="328"/>
        <v>35.261520811960409</v>
      </c>
      <c r="V1626" s="1108">
        <f t="shared" si="329"/>
        <v>-7.5375283326480158</v>
      </c>
      <c r="W1626" s="3285">
        <f t="shared" si="330"/>
        <v>1.0612722609864034</v>
      </c>
      <c r="X1626" s="3300"/>
      <c r="Y1626" s="3316"/>
      <c r="AA1626" s="3301"/>
      <c r="AB1626" s="3409"/>
      <c r="AE1626" s="2548"/>
    </row>
    <row r="1627" spans="2:31" ht="16" thickBot="1" x14ac:dyDescent="0.25">
      <c r="B1627" s="2986">
        <f t="shared" ref="B1627" si="341">B1620+1</f>
        <v>24</v>
      </c>
      <c r="C1627" s="2399">
        <v>44725</v>
      </c>
      <c r="D1627" s="2292">
        <v>89</v>
      </c>
      <c r="E1627" s="2293" t="s">
        <v>836</v>
      </c>
      <c r="F1627" s="2761" t="s">
        <v>943</v>
      </c>
      <c r="G1627" s="2400">
        <v>3.3020833333333333E-2</v>
      </c>
      <c r="H1627" s="2401">
        <v>8.81</v>
      </c>
      <c r="I1627" s="2402">
        <f t="shared" si="324"/>
        <v>3.7481082103670068E-3</v>
      </c>
      <c r="J1627" s="2403">
        <v>136</v>
      </c>
      <c r="K1627" s="2404">
        <v>56</v>
      </c>
      <c r="L1627" s="2815">
        <v>226</v>
      </c>
      <c r="M1627" s="2591">
        <v>11</v>
      </c>
      <c r="N1627" s="2296">
        <f t="shared" si="325"/>
        <v>1.0923441814762733</v>
      </c>
      <c r="O1627" s="2405" t="s">
        <v>958</v>
      </c>
      <c r="P1627" s="2298">
        <f>IFERROR(VLOOKUP(F1627,Trainingsarten!$A$9:$N$84,12,FALSE),"")</f>
        <v>194.60000000000002</v>
      </c>
      <c r="Q1627" s="2406" t="s">
        <v>437</v>
      </c>
      <c r="R1627" s="2407">
        <f>IFERROR(VLOOKUP(F1627,Trainingsarten!$A$9:$N$84,14,FALSE),"")</f>
        <v>212.96</v>
      </c>
      <c r="S1627" s="2408">
        <f t="shared" si="326"/>
        <v>1.661764705882353</v>
      </c>
      <c r="T1627" s="2292">
        <f t="shared" si="327"/>
        <v>40.076063358224296</v>
      </c>
      <c r="U1627" s="2292">
        <f t="shared" si="328"/>
        <v>35.755294125961349</v>
      </c>
      <c r="V1627" s="2292">
        <f t="shared" si="329"/>
        <v>-2.160553105967935</v>
      </c>
      <c r="W1627" s="3283">
        <f t="shared" si="330"/>
        <v>1.1208427825272931</v>
      </c>
      <c r="X1627" s="3300"/>
      <c r="Y1627" s="3316"/>
      <c r="AA1627" s="3301"/>
      <c r="AB1627" s="3409"/>
      <c r="AE1627" s="2548"/>
    </row>
    <row r="1628" spans="2:31" x14ac:dyDescent="0.2">
      <c r="B1628" s="2991" t="s">
        <v>626</v>
      </c>
      <c r="C1628" s="2409">
        <v>44726</v>
      </c>
      <c r="D1628" s="2009"/>
      <c r="E1628" s="2010"/>
      <c r="F1628" s="2759"/>
      <c r="G1628" s="2410"/>
      <c r="H1628" s="2411" t="str">
        <f>IFERROR(VLOOKUP(F1628,Trainingsarten!$A$9:$K$84,10,FALSE),"")</f>
        <v/>
      </c>
      <c r="I1628" s="2412" t="str">
        <f t="shared" si="324"/>
        <v/>
      </c>
      <c r="J1628" s="2413"/>
      <c r="K1628" s="2414" t="str">
        <f>IFERROR(VLOOKUP(F1628,Trainingsarten!$A$9:$K$84,11,FALSE),"0")</f>
        <v>0</v>
      </c>
      <c r="L1628" s="2816"/>
      <c r="M1628" s="2840"/>
      <c r="N1628" s="2368" t="str">
        <f t="shared" si="325"/>
        <v/>
      </c>
      <c r="O1628" s="2415"/>
      <c r="P1628" s="2370" t="str">
        <f>IFERROR(VLOOKUP(F1628,Trainingsarten!$A$9:$N$84,12,FALSE),"")</f>
        <v/>
      </c>
      <c r="Q1628" s="2432" t="s">
        <v>437</v>
      </c>
      <c r="R1628" s="2537" t="str">
        <f>IFERROR(VLOOKUP(F1628,Trainingsarten!$A$9:$N$84,14,FALSE),"")</f>
        <v/>
      </c>
      <c r="S1628" s="2419" t="str">
        <f t="shared" si="326"/>
        <v/>
      </c>
      <c r="T1628" s="2009">
        <f t="shared" si="327"/>
        <v>34.35091144990654</v>
      </c>
      <c r="U1628" s="2009">
        <f t="shared" si="328"/>
        <v>34.903977599152746</v>
      </c>
      <c r="V1628" s="2009">
        <f t="shared" si="329"/>
        <v>-4.320769232262947</v>
      </c>
      <c r="W1628" s="3284">
        <f t="shared" si="330"/>
        <v>0.98415463831664762</v>
      </c>
      <c r="X1628" s="3300"/>
      <c r="Y1628" s="3316"/>
      <c r="AA1628" s="3301"/>
      <c r="AB1628" s="3409"/>
      <c r="AE1628" s="2548"/>
    </row>
    <row r="1629" spans="2:31" ht="16" thickBot="1" x14ac:dyDescent="0.25">
      <c r="B1629" s="2979">
        <f t="shared" ref="B1629" si="342">SUM(H1627:H1633)</f>
        <v>21.740000000000002</v>
      </c>
      <c r="C1629" s="2409">
        <v>44727</v>
      </c>
      <c r="D1629" s="2009"/>
      <c r="E1629" s="2010"/>
      <c r="F1629" s="2759"/>
      <c r="G1629" s="2410"/>
      <c r="H1629" s="2411" t="str">
        <f>IFERROR(VLOOKUP(F1629,Trainingsarten!$A$9:$K$84,10,FALSE),"")</f>
        <v/>
      </c>
      <c r="I1629" s="2412" t="str">
        <f t="shared" si="324"/>
        <v/>
      </c>
      <c r="J1629" s="2413"/>
      <c r="K1629" s="2414" t="str">
        <f>IFERROR(VLOOKUP(F1629,Trainingsarten!$A$9:$K$84,11,FALSE),"0")</f>
        <v>0</v>
      </c>
      <c r="L1629" s="2816"/>
      <c r="M1629" s="2840"/>
      <c r="N1629" s="2368" t="str">
        <f t="shared" si="325"/>
        <v/>
      </c>
      <c r="O1629" s="2415"/>
      <c r="P1629" s="2370" t="str">
        <f>IFERROR(VLOOKUP(F1629,Trainingsarten!$A$9:$N$84,12,FALSE),"")</f>
        <v/>
      </c>
      <c r="Q1629" s="2432" t="s">
        <v>437</v>
      </c>
      <c r="R1629" s="2537" t="str">
        <f>IFERROR(VLOOKUP(F1629,Trainingsarten!$A$9:$N$84,14,FALSE),"")</f>
        <v/>
      </c>
      <c r="S1629" s="2419" t="str">
        <f t="shared" si="326"/>
        <v/>
      </c>
      <c r="T1629" s="2009">
        <f t="shared" si="327"/>
        <v>29.443638385634177</v>
      </c>
      <c r="U1629" s="2009">
        <f t="shared" si="328"/>
        <v>34.07293051345863</v>
      </c>
      <c r="V1629" s="2009">
        <f t="shared" si="329"/>
        <v>0.5530661492462059</v>
      </c>
      <c r="W1629" s="3284">
        <f t="shared" si="330"/>
        <v>0.86413577998534918</v>
      </c>
      <c r="X1629" s="3300"/>
      <c r="Y1629" s="3316"/>
      <c r="AA1629" s="3301"/>
      <c r="AB1629" s="3409"/>
      <c r="AE1629" s="2548"/>
    </row>
    <row r="1630" spans="2:31" x14ac:dyDescent="0.2">
      <c r="B1630" s="2992" t="s">
        <v>628</v>
      </c>
      <c r="C1630" s="2409">
        <v>44728</v>
      </c>
      <c r="D1630" s="2009">
        <v>90</v>
      </c>
      <c r="E1630" s="2010" t="s">
        <v>836</v>
      </c>
      <c r="F1630" s="2759" t="s">
        <v>862</v>
      </c>
      <c r="G1630" s="2410">
        <v>5.5729166666666663E-2</v>
      </c>
      <c r="H1630" s="2411">
        <v>12.93</v>
      </c>
      <c r="I1630" s="2412">
        <f t="shared" si="324"/>
        <v>4.3100670275844286E-3</v>
      </c>
      <c r="J1630" s="2413">
        <v>145</v>
      </c>
      <c r="K1630" s="2414">
        <v>85</v>
      </c>
      <c r="L1630" s="2816">
        <v>210</v>
      </c>
      <c r="M1630" s="2840">
        <v>293</v>
      </c>
      <c r="N1630" s="2368"/>
      <c r="O1630" s="2415" t="s">
        <v>868</v>
      </c>
      <c r="P1630" s="2370" t="str">
        <f>IFERROR(VLOOKUP(F1630,Trainingsarten!$A$9:$N$84,12,FALSE),"")</f>
        <v/>
      </c>
      <c r="Q1630" s="2432" t="s">
        <v>437</v>
      </c>
      <c r="R1630" s="2537" t="str">
        <f>IFERROR(VLOOKUP(F1630,Trainingsarten!$A$9:$N$84,14,FALSE),"")</f>
        <v/>
      </c>
      <c r="S1630" s="2419"/>
      <c r="T1630" s="2009">
        <f t="shared" si="327"/>
        <v>37.380261473400722</v>
      </c>
      <c r="U1630" s="2009">
        <f t="shared" si="328"/>
        <v>35.285479786947711</v>
      </c>
      <c r="V1630" s="2009">
        <f t="shared" si="329"/>
        <v>4.6292921278244528</v>
      </c>
      <c r="W1630" s="3284">
        <f t="shared" si="330"/>
        <v>1.059366677145988</v>
      </c>
      <c r="X1630" s="3300"/>
      <c r="Y1630" s="3316"/>
      <c r="AA1630" s="3301"/>
      <c r="AB1630" s="3409"/>
      <c r="AE1630" s="2844"/>
    </row>
    <row r="1631" spans="2:31" ht="16" thickBot="1" x14ac:dyDescent="0.25">
      <c r="B1631" s="2993">
        <f t="shared" ref="B1631" si="343">SUM(K1627:K1633)</f>
        <v>141</v>
      </c>
      <c r="C1631" s="2562">
        <v>44729</v>
      </c>
      <c r="D1631" s="2563"/>
      <c r="E1631" s="2564"/>
      <c r="F1631" s="2775"/>
      <c r="G1631" s="2565"/>
      <c r="H1631" s="2566" t="str">
        <f>IFERROR(VLOOKUP(F1631,Trainingsarten!$A$9:$K$84,10,FALSE),"")</f>
        <v/>
      </c>
      <c r="I1631" s="2567" t="str">
        <f t="shared" si="324"/>
        <v/>
      </c>
      <c r="J1631" s="2568"/>
      <c r="K1631" s="2569" t="str">
        <f>IFERROR(VLOOKUP(F1631,Trainingsarten!$A$9:$K$84,11,FALSE),"0")</f>
        <v>0</v>
      </c>
      <c r="L1631" s="2816"/>
      <c r="M1631" s="2840"/>
      <c r="N1631" s="2570" t="str">
        <f t="shared" si="325"/>
        <v/>
      </c>
      <c r="O1631" s="2571"/>
      <c r="P1631" s="2572" t="str">
        <f>IFERROR(VLOOKUP(F1631,Trainingsarten!$A$9:$N$84,12,FALSE),"")</f>
        <v/>
      </c>
      <c r="Q1631" s="2573" t="s">
        <v>437</v>
      </c>
      <c r="R1631" s="2574" t="str">
        <f>IFERROR(VLOOKUP(F1631,Trainingsarten!$A$9:$N$84,14,FALSE),"")</f>
        <v/>
      </c>
      <c r="S1631" s="2575" t="str">
        <f t="shared" si="326"/>
        <v/>
      </c>
      <c r="T1631" s="2563">
        <f t="shared" si="327"/>
        <v>32.040224120057765</v>
      </c>
      <c r="U1631" s="2563">
        <f t="shared" si="328"/>
        <v>34.445349315829908</v>
      </c>
      <c r="V1631" s="2563">
        <f t="shared" si="329"/>
        <v>-2.0947816864530111</v>
      </c>
      <c r="W1631" s="3284">
        <f t="shared" si="330"/>
        <v>0.93017561895745304</v>
      </c>
      <c r="X1631" s="3300"/>
      <c r="Y1631" s="3316"/>
      <c r="AA1631" s="3301"/>
      <c r="AB1631" s="3409"/>
      <c r="AE1631" s="2844"/>
    </row>
    <row r="1632" spans="2:31" x14ac:dyDescent="0.2">
      <c r="B1632" s="2994" t="s">
        <v>761</v>
      </c>
      <c r="C1632" s="2441">
        <v>44730</v>
      </c>
      <c r="D1632" s="1111"/>
      <c r="E1632" s="1112"/>
      <c r="F1632" s="2774"/>
      <c r="G1632" s="2442"/>
      <c r="H1632" s="2443" t="str">
        <f>IFERROR(VLOOKUP(F1632,Trainingsarten!$A$9:$K$84,10,FALSE),"")</f>
        <v/>
      </c>
      <c r="I1632" s="2444" t="str">
        <f t="shared" si="324"/>
        <v/>
      </c>
      <c r="J1632" s="1320"/>
      <c r="K1632" s="2445" t="str">
        <f>IFERROR(VLOOKUP(F1632,Trainingsarten!$A$9:$K$84,11,FALSE),"0")</f>
        <v>0</v>
      </c>
      <c r="L1632" s="2819"/>
      <c r="M1632" s="1320"/>
      <c r="N1632" s="1119" t="str">
        <f t="shared" si="325"/>
        <v/>
      </c>
      <c r="O1632" s="2446"/>
      <c r="P1632" s="1121" t="str">
        <f>IFERROR(VLOOKUP(F1632,Trainingsarten!$A$9:$N$84,12,FALSE),"")</f>
        <v/>
      </c>
      <c r="Q1632" s="2447" t="s">
        <v>437</v>
      </c>
      <c r="R1632" s="2448" t="str">
        <f>IFERROR(VLOOKUP(F1632,Trainingsarten!$A$9:$N$84,14,FALSE),"")</f>
        <v/>
      </c>
      <c r="S1632" s="2449" t="str">
        <f t="shared" si="326"/>
        <v/>
      </c>
      <c r="T1632" s="1111">
        <f t="shared" si="327"/>
        <v>27.463049245763798</v>
      </c>
      <c r="U1632" s="1111">
        <f t="shared" si="328"/>
        <v>33.625221951167291</v>
      </c>
      <c r="V1632" s="1111">
        <f t="shared" si="329"/>
        <v>2.4051251957721433</v>
      </c>
      <c r="W1632" s="3286">
        <f t="shared" si="330"/>
        <v>0.81673956786508073</v>
      </c>
      <c r="X1632" s="3300"/>
      <c r="Y1632" s="3316"/>
      <c r="AA1632" s="3301"/>
      <c r="AB1632" s="3409"/>
      <c r="AE1632" s="2844"/>
    </row>
    <row r="1633" spans="2:31" ht="16" thickBot="1" x14ac:dyDescent="0.25">
      <c r="B1633" s="2995">
        <f t="shared" ref="B1633" si="344">AVERAGE(W1627:W1633)</f>
        <v>0.92750746376255466</v>
      </c>
      <c r="C1633" s="1631">
        <v>44731</v>
      </c>
      <c r="D1633" s="1108"/>
      <c r="E1633" s="1261"/>
      <c r="F1633" s="2763"/>
      <c r="G1633" s="2433"/>
      <c r="H1633" s="2434" t="str">
        <f>IFERROR(VLOOKUP(F1633,Trainingsarten!$A$9:$K$84,10,FALSE),"")</f>
        <v/>
      </c>
      <c r="I1633" s="2435" t="str">
        <f t="shared" si="324"/>
        <v/>
      </c>
      <c r="J1633" s="1310"/>
      <c r="K1633" s="2436" t="str">
        <f>IFERROR(VLOOKUP(F1633,Trainingsarten!$A$9:$K$84,11,FALSE),"0")</f>
        <v>0</v>
      </c>
      <c r="L1633" s="2818"/>
      <c r="M1633" s="2798"/>
      <c r="N1633" s="1223" t="str">
        <f t="shared" si="325"/>
        <v/>
      </c>
      <c r="O1633" s="2437"/>
      <c r="P1633" s="1519" t="str">
        <f>IFERROR(VLOOKUP(F1633,Trainingsarten!$A$9:$N$84,12,FALSE),"")</f>
        <v/>
      </c>
      <c r="Q1633" s="2438" t="s">
        <v>437</v>
      </c>
      <c r="R1633" s="2439" t="str">
        <f>IFERROR(VLOOKUP(F1633,Trainingsarten!$A$9:$N$84,14,FALSE),"")</f>
        <v/>
      </c>
      <c r="S1633" s="2440" t="str">
        <f t="shared" si="326"/>
        <v/>
      </c>
      <c r="T1633" s="1108">
        <f t="shared" si="327"/>
        <v>23.53975649636897</v>
      </c>
      <c r="U1633" s="1108">
        <f t="shared" si="328"/>
        <v>32.824621428520452</v>
      </c>
      <c r="V1633" s="1108">
        <f t="shared" si="329"/>
        <v>6.162172705403492</v>
      </c>
      <c r="W1633" s="3285">
        <f t="shared" si="330"/>
        <v>0.71713718154007078</v>
      </c>
      <c r="X1633" s="3300"/>
      <c r="Y1633" s="3316"/>
      <c r="AA1633" s="3301"/>
      <c r="AB1633" s="3409"/>
      <c r="AE1633" s="2844"/>
    </row>
    <row r="1634" spans="2:31" ht="16" thickBot="1" x14ac:dyDescent="0.25">
      <c r="B1634" s="2986">
        <f t="shared" ref="B1634" si="345">B1627+1</f>
        <v>25</v>
      </c>
      <c r="C1634" s="2399">
        <v>44732</v>
      </c>
      <c r="D1634" s="2292"/>
      <c r="E1634" s="2293"/>
      <c r="F1634" s="2761"/>
      <c r="G1634" s="2400"/>
      <c r="H1634" s="2401" t="str">
        <f>IFERROR(VLOOKUP(F1634,Trainingsarten!$A$9:$K$84,10,FALSE),"")</f>
        <v/>
      </c>
      <c r="I1634" s="2402" t="str">
        <f t="shared" si="324"/>
        <v/>
      </c>
      <c r="J1634" s="2403"/>
      <c r="K1634" s="2404" t="str">
        <f>IFERROR(VLOOKUP(F1634,Trainingsarten!$A$9:$K$84,11,FALSE),"0")</f>
        <v>0</v>
      </c>
      <c r="L1634" s="2815"/>
      <c r="M1634" s="2591"/>
      <c r="N1634" s="2296" t="str">
        <f t="shared" si="325"/>
        <v/>
      </c>
      <c r="O1634" s="2405"/>
      <c r="P1634" s="2298" t="str">
        <f>IFERROR(VLOOKUP(F1634,Trainingsarten!$A$9:$N$84,12,FALSE),"")</f>
        <v/>
      </c>
      <c r="Q1634" s="2406" t="s">
        <v>437</v>
      </c>
      <c r="R1634" s="2407" t="str">
        <f>IFERROR(VLOOKUP(F1634,Trainingsarten!$A$9:$N$84,14,FALSE),"")</f>
        <v/>
      </c>
      <c r="S1634" s="2408" t="str">
        <f t="shared" si="326"/>
        <v/>
      </c>
      <c r="T1634" s="2292">
        <f t="shared" si="327"/>
        <v>20.17693413974483</v>
      </c>
      <c r="U1634" s="2292">
        <f t="shared" si="328"/>
        <v>32.043082823079487</v>
      </c>
      <c r="V1634" s="2292">
        <f t="shared" si="329"/>
        <v>9.284864932151482</v>
      </c>
      <c r="W1634" s="3283">
        <f t="shared" si="330"/>
        <v>0.62968142769372071</v>
      </c>
      <c r="X1634" s="3300"/>
      <c r="Y1634" s="3316"/>
      <c r="AA1634" s="3301"/>
      <c r="AB1634" s="3409"/>
      <c r="AE1634" s="2844"/>
    </row>
    <row r="1635" spans="2:31" x14ac:dyDescent="0.2">
      <c r="B1635" s="2991" t="s">
        <v>626</v>
      </c>
      <c r="C1635" s="2409">
        <v>44733</v>
      </c>
      <c r="D1635" s="2009">
        <v>91</v>
      </c>
      <c r="E1635" s="2010" t="s">
        <v>836</v>
      </c>
      <c r="F1635" s="2759" t="s">
        <v>819</v>
      </c>
      <c r="G1635" s="2410">
        <v>3.5902777777777777E-2</v>
      </c>
      <c r="H1635" s="2411">
        <v>9.57</v>
      </c>
      <c r="I1635" s="2412">
        <f t="shared" si="324"/>
        <v>3.751596424010217E-3</v>
      </c>
      <c r="J1635" s="2413">
        <v>138</v>
      </c>
      <c r="K1635" s="2414">
        <v>62</v>
      </c>
      <c r="L1635" s="2816">
        <v>227</v>
      </c>
      <c r="M1635" s="2840">
        <v>28</v>
      </c>
      <c r="N1635" s="2368">
        <f t="shared" si="325"/>
        <v>1.0981986618630981</v>
      </c>
      <c r="O1635" s="2415" t="s">
        <v>958</v>
      </c>
      <c r="P1635" s="2370">
        <f>IFERROR(VLOOKUP(F1635,Trainingsarten!$A$9:$N$84,12,FALSE),"")</f>
        <v>194.60000000000002</v>
      </c>
      <c r="Q1635" s="2432" t="s">
        <v>437</v>
      </c>
      <c r="R1635" s="2537">
        <f>IFERROR(VLOOKUP(F1635,Trainingsarten!$A$9:$N$84,14,FALSE),"")</f>
        <v>212.96</v>
      </c>
      <c r="S1635" s="2419">
        <f t="shared" si="326"/>
        <v>1.644927536231884</v>
      </c>
      <c r="T1635" s="2009">
        <f t="shared" si="327"/>
        <v>26.151657834066995</v>
      </c>
      <c r="U1635" s="2009">
        <f t="shared" si="328"/>
        <v>32.756342755863308</v>
      </c>
      <c r="V1635" s="2009">
        <f t="shared" si="329"/>
        <v>11.866148683334657</v>
      </c>
      <c r="W1635" s="3284">
        <f t="shared" si="330"/>
        <v>0.79836928160687015</v>
      </c>
      <c r="X1635" s="3300"/>
      <c r="Y1635" s="3316"/>
      <c r="AA1635" s="3301"/>
      <c r="AB1635" s="3409"/>
      <c r="AE1635" s="2844"/>
    </row>
    <row r="1636" spans="2:31" ht="16" thickBot="1" x14ac:dyDescent="0.25">
      <c r="B1636" s="2979">
        <f t="shared" ref="B1636" si="346">SUM(H1634:H1640)</f>
        <v>32.08</v>
      </c>
      <c r="C1636" s="2409">
        <v>44734</v>
      </c>
      <c r="D1636" s="2009"/>
      <c r="E1636" s="2010"/>
      <c r="F1636" s="2759"/>
      <c r="G1636" s="2410"/>
      <c r="H1636" s="2411" t="str">
        <f>IFERROR(VLOOKUP(F1636,Trainingsarten!$A$9:$K$84,10,FALSE),"")</f>
        <v/>
      </c>
      <c r="I1636" s="2412" t="str">
        <f t="shared" si="324"/>
        <v/>
      </c>
      <c r="J1636" s="2413"/>
      <c r="K1636" s="2414" t="str">
        <f>IFERROR(VLOOKUP(F1636,Trainingsarten!$A$9:$K$84,11,FALSE),"0")</f>
        <v>0</v>
      </c>
      <c r="L1636" s="2816"/>
      <c r="M1636" s="2840"/>
      <c r="N1636" s="2368" t="str">
        <f t="shared" si="325"/>
        <v/>
      </c>
      <c r="O1636" s="2415"/>
      <c r="P1636" s="2370" t="str">
        <f>IFERROR(VLOOKUP(F1636,Trainingsarten!$A$9:$N$84,12,FALSE),"")</f>
        <v/>
      </c>
      <c r="Q1636" s="2432" t="s">
        <v>437</v>
      </c>
      <c r="R1636" s="2537" t="str">
        <f>IFERROR(VLOOKUP(F1636,Trainingsarten!$A$9:$N$84,14,FALSE),"")</f>
        <v/>
      </c>
      <c r="S1636" s="2419" t="str">
        <f t="shared" si="326"/>
        <v/>
      </c>
      <c r="T1636" s="2009">
        <f t="shared" si="327"/>
        <v>22.415706714914567</v>
      </c>
      <c r="U1636" s="2009">
        <f t="shared" si="328"/>
        <v>31.976429833104657</v>
      </c>
      <c r="V1636" s="2009">
        <f t="shared" si="329"/>
        <v>6.6046849217963128</v>
      </c>
      <c r="W1636" s="3284">
        <f t="shared" si="330"/>
        <v>0.70100717409383728</v>
      </c>
      <c r="X1636" s="3300"/>
      <c r="Y1636" s="3316"/>
      <c r="AA1636" s="3301"/>
      <c r="AB1636" s="3409"/>
      <c r="AE1636" s="2844"/>
    </row>
    <row r="1637" spans="2:31" x14ac:dyDescent="0.2">
      <c r="B1637" s="2992" t="s">
        <v>628</v>
      </c>
      <c r="C1637" s="2409">
        <v>44735</v>
      </c>
      <c r="D1637" s="2009">
        <v>92</v>
      </c>
      <c r="E1637" s="2010" t="s">
        <v>836</v>
      </c>
      <c r="F1637" s="2759" t="s">
        <v>819</v>
      </c>
      <c r="G1637" s="2410">
        <v>3.8912037037037037E-2</v>
      </c>
      <c r="H1637" s="2411">
        <v>9.51</v>
      </c>
      <c r="I1637" s="2412">
        <f t="shared" si="324"/>
        <v>4.0916968493204036E-3</v>
      </c>
      <c r="J1637" s="2413">
        <v>131</v>
      </c>
      <c r="K1637" s="2414">
        <v>56</v>
      </c>
      <c r="L1637" s="2816">
        <v>208</v>
      </c>
      <c r="M1637" s="2840">
        <v>29</v>
      </c>
      <c r="N1637" s="2368">
        <f t="shared" si="325"/>
        <v>1.0975030211717438</v>
      </c>
      <c r="O1637" s="2415" t="s">
        <v>1460</v>
      </c>
      <c r="P1637" s="2370">
        <f>IFERROR(VLOOKUP(F1637,Trainingsarten!$A$9:$N$84,12,FALSE),"")</f>
        <v>194.60000000000002</v>
      </c>
      <c r="Q1637" s="2432" t="s">
        <v>437</v>
      </c>
      <c r="R1637" s="2537">
        <f>IFERROR(VLOOKUP(F1637,Trainingsarten!$A$9:$N$84,14,FALSE),"")</f>
        <v>212.96</v>
      </c>
      <c r="S1637" s="2419">
        <f t="shared" si="326"/>
        <v>1.5877862595419847</v>
      </c>
      <c r="T1637" s="2009">
        <f t="shared" si="327"/>
        <v>27.2134628984982</v>
      </c>
      <c r="U1637" s="2009">
        <f t="shared" si="328"/>
        <v>32.548419598983116</v>
      </c>
      <c r="V1637" s="2009">
        <f t="shared" si="329"/>
        <v>9.56072311819009</v>
      </c>
      <c r="W1637" s="3284">
        <f t="shared" si="330"/>
        <v>0.83609168229318287</v>
      </c>
      <c r="X1637" s="3300"/>
      <c r="Y1637" s="3316"/>
      <c r="AA1637" s="3301"/>
      <c r="AB1637" s="3409"/>
      <c r="AE1637" s="2844"/>
    </row>
    <row r="1638" spans="2:31" ht="16" thickBot="1" x14ac:dyDescent="0.25">
      <c r="B1638" s="2993">
        <f t="shared" ref="B1638" si="347">SUM(K1634:K1640)</f>
        <v>203</v>
      </c>
      <c r="C1638" s="2562">
        <v>44736</v>
      </c>
      <c r="D1638" s="2563"/>
      <c r="E1638" s="2564"/>
      <c r="F1638" s="2775"/>
      <c r="G1638" s="2565"/>
      <c r="H1638" s="2566" t="str">
        <f>IFERROR(VLOOKUP(F1638,Trainingsarten!$A$9:$K$84,10,FALSE),"")</f>
        <v/>
      </c>
      <c r="I1638" s="2567" t="str">
        <f t="shared" si="324"/>
        <v/>
      </c>
      <c r="J1638" s="2568"/>
      <c r="K1638" s="2569" t="str">
        <f>IFERROR(VLOOKUP(F1638,Trainingsarten!$A$9:$K$84,11,FALSE),"0")</f>
        <v>0</v>
      </c>
      <c r="L1638" s="2816"/>
      <c r="M1638" s="2840"/>
      <c r="N1638" s="2570" t="str">
        <f t="shared" si="325"/>
        <v/>
      </c>
      <c r="O1638" s="2571"/>
      <c r="P1638" s="2572" t="str">
        <f>IFERROR(VLOOKUP(F1638,Trainingsarten!$A$9:$N$84,12,FALSE),"")</f>
        <v/>
      </c>
      <c r="Q1638" s="2573" t="s">
        <v>437</v>
      </c>
      <c r="R1638" s="2574" t="str">
        <f>IFERROR(VLOOKUP(F1638,Trainingsarten!$A$9:$N$84,14,FALSE),"")</f>
        <v/>
      </c>
      <c r="S1638" s="2575" t="str">
        <f t="shared" si="326"/>
        <v/>
      </c>
      <c r="T1638" s="2563">
        <f t="shared" si="327"/>
        <v>23.325825341569885</v>
      </c>
      <c r="U1638" s="2563">
        <f t="shared" si="328"/>
        <v>31.773457227578756</v>
      </c>
      <c r="V1638" s="2563">
        <f t="shared" si="329"/>
        <v>5.3349567004849163</v>
      </c>
      <c r="W1638" s="3284">
        <f t="shared" si="330"/>
        <v>0.73412928201352645</v>
      </c>
      <c r="X1638" s="3300"/>
      <c r="Y1638" s="3316"/>
      <c r="AA1638" s="3301"/>
      <c r="AB1638" s="3409"/>
      <c r="AE1638" s="2844"/>
    </row>
    <row r="1639" spans="2:31" x14ac:dyDescent="0.2">
      <c r="B1639" s="2994" t="s">
        <v>761</v>
      </c>
      <c r="C1639" s="2441">
        <v>44737</v>
      </c>
      <c r="D1639" s="1111">
        <v>93</v>
      </c>
      <c r="E1639" s="1112" t="s">
        <v>836</v>
      </c>
      <c r="F1639" s="2774" t="s">
        <v>906</v>
      </c>
      <c r="G1639" s="2442">
        <v>4.9479166666666664E-2</v>
      </c>
      <c r="H1639" s="2443">
        <v>13</v>
      </c>
      <c r="I1639" s="2444">
        <f t="shared" si="324"/>
        <v>3.8060897435897435E-3</v>
      </c>
      <c r="J1639" s="1320">
        <v>137</v>
      </c>
      <c r="K1639" s="2445">
        <v>85</v>
      </c>
      <c r="L1639" s="2819">
        <v>226</v>
      </c>
      <c r="M1639" s="1320">
        <v>48</v>
      </c>
      <c r="N1639" s="1119">
        <f t="shared" si="325"/>
        <v>1.1092422502870265</v>
      </c>
      <c r="O1639" s="2446" t="s">
        <v>958</v>
      </c>
      <c r="P1639" s="1121">
        <f>IFERROR(VLOOKUP(F1639,Trainingsarten!$A$9:$N$84,12,FALSE),"")</f>
        <v>194.60000000000002</v>
      </c>
      <c r="Q1639" s="2447" t="s">
        <v>437</v>
      </c>
      <c r="R1639" s="2448">
        <f>IFERROR(VLOOKUP(F1639,Trainingsarten!$A$9:$N$84,14,FALSE),"")</f>
        <v>212.96</v>
      </c>
      <c r="S1639" s="2449">
        <f t="shared" si="326"/>
        <v>1.6496350364963503</v>
      </c>
      <c r="T1639" s="1111">
        <f t="shared" si="327"/>
        <v>32.136421721345613</v>
      </c>
      <c r="U1639" s="1111">
        <f t="shared" si="328"/>
        <v>33.04075586501736</v>
      </c>
      <c r="V1639" s="1111">
        <f t="shared" si="329"/>
        <v>8.447631886008871</v>
      </c>
      <c r="W1639" s="3286">
        <f t="shared" si="330"/>
        <v>0.97262973803122854</v>
      </c>
      <c r="X1639" s="3300"/>
      <c r="Y1639" s="3316"/>
      <c r="AA1639" s="3301"/>
      <c r="AB1639" s="3409"/>
      <c r="AE1639" s="2844"/>
    </row>
    <row r="1640" spans="2:31" ht="16" thickBot="1" x14ac:dyDescent="0.25">
      <c r="B1640" s="2995">
        <f t="shared" ref="B1640" si="348">AVERAGE(W1634:W1640)</f>
        <v>0.78941784872526555</v>
      </c>
      <c r="C1640" s="1631">
        <v>44738</v>
      </c>
      <c r="D1640" s="1108"/>
      <c r="E1640" s="1261"/>
      <c r="F1640" s="2763"/>
      <c r="G1640" s="2433"/>
      <c r="H1640" s="2434" t="str">
        <f>IFERROR(VLOOKUP(F1640,Trainingsarten!$A$9:$K$84,10,FALSE),"")</f>
        <v/>
      </c>
      <c r="I1640" s="2435" t="str">
        <f t="shared" si="324"/>
        <v/>
      </c>
      <c r="J1640" s="1310"/>
      <c r="K1640" s="2436" t="str">
        <f>IFERROR(VLOOKUP(F1640,Trainingsarten!$A$9:$K$84,11,FALSE),"0")</f>
        <v>0</v>
      </c>
      <c r="L1640" s="2818"/>
      <c r="M1640" s="2798"/>
      <c r="N1640" s="1223" t="str">
        <f t="shared" si="325"/>
        <v/>
      </c>
      <c r="O1640" s="2437"/>
      <c r="P1640" s="1519" t="str">
        <f>IFERROR(VLOOKUP(F1640,Trainingsarten!$A$9:$N$84,12,FALSE),"")</f>
        <v/>
      </c>
      <c r="Q1640" s="2438" t="s">
        <v>437</v>
      </c>
      <c r="R1640" s="2439" t="str">
        <f>IFERROR(VLOOKUP(F1640,Trainingsarten!$A$9:$N$84,14,FALSE),"")</f>
        <v/>
      </c>
      <c r="S1640" s="2440" t="str">
        <f t="shared" si="326"/>
        <v/>
      </c>
      <c r="T1640" s="1108">
        <f t="shared" si="327"/>
        <v>27.545504332581956</v>
      </c>
      <c r="U1640" s="1108">
        <f t="shared" si="328"/>
        <v>32.254071201564564</v>
      </c>
      <c r="V1640" s="1108">
        <f t="shared" si="329"/>
        <v>0.90433414367174692</v>
      </c>
      <c r="W1640" s="3285">
        <f t="shared" si="330"/>
        <v>0.85401635534449349</v>
      </c>
      <c r="X1640" s="3300"/>
      <c r="Y1640" s="3316"/>
      <c r="AA1640" s="3301"/>
      <c r="AB1640" s="3409"/>
      <c r="AE1640" s="2844"/>
    </row>
    <row r="1641" spans="2:31" ht="16" thickBot="1" x14ac:dyDescent="0.25">
      <c r="B1641" s="2986">
        <f t="shared" ref="B1641" si="349">B1634+1</f>
        <v>26</v>
      </c>
      <c r="C1641" s="2399">
        <v>44739</v>
      </c>
      <c r="D1641" s="2292">
        <v>94</v>
      </c>
      <c r="E1641" s="2293" t="s">
        <v>836</v>
      </c>
      <c r="F1641" s="2761" t="s">
        <v>943</v>
      </c>
      <c r="G1641" s="2400">
        <v>3.4097222222222223E-2</v>
      </c>
      <c r="H1641" s="2401">
        <v>8.5399999999999991</v>
      </c>
      <c r="I1641" s="2402">
        <f t="shared" si="324"/>
        <v>3.9926489721571696E-3</v>
      </c>
      <c r="J1641" s="2403">
        <v>128</v>
      </c>
      <c r="K1641" s="2404">
        <v>47</v>
      </c>
      <c r="L1641" s="2815"/>
      <c r="M1641" s="2591">
        <v>23</v>
      </c>
      <c r="N1641" s="2296"/>
      <c r="O1641" s="2405"/>
      <c r="P1641" s="2298">
        <f>IFERROR(VLOOKUP(F1641,Trainingsarten!$A$9:$N$84,12,FALSE),"")</f>
        <v>194.60000000000002</v>
      </c>
      <c r="Q1641" s="2406" t="s">
        <v>437</v>
      </c>
      <c r="R1641" s="2407">
        <f>IFERROR(VLOOKUP(F1641,Trainingsarten!$A$9:$N$84,14,FALSE),"")</f>
        <v>212.96</v>
      </c>
      <c r="S1641" s="2408"/>
      <c r="T1641" s="2292">
        <f t="shared" si="327"/>
        <v>30.324717999355961</v>
      </c>
      <c r="U1641" s="2292">
        <f t="shared" si="328"/>
        <v>32.605164744384453</v>
      </c>
      <c r="V1641" s="2292">
        <f t="shared" si="329"/>
        <v>4.7085668689826079</v>
      </c>
      <c r="W1641" s="3283">
        <f t="shared" si="330"/>
        <v>0.93005872649604537</v>
      </c>
      <c r="X1641" s="3300"/>
      <c r="Y1641" s="3316"/>
      <c r="AA1641" s="3301"/>
      <c r="AB1641" s="3409"/>
      <c r="AE1641" s="2844"/>
    </row>
    <row r="1642" spans="2:31" x14ac:dyDescent="0.2">
      <c r="B1642" s="2991" t="s">
        <v>626</v>
      </c>
      <c r="C1642" s="2409">
        <v>44740</v>
      </c>
      <c r="D1642" s="2009"/>
      <c r="E1642" s="2010"/>
      <c r="F1642" s="2759"/>
      <c r="G1642" s="2410"/>
      <c r="H1642" s="2411" t="str">
        <f>IFERROR(VLOOKUP(F1642,Trainingsarten!$A$9:$K$84,10,FALSE),"")</f>
        <v/>
      </c>
      <c r="I1642" s="2412" t="str">
        <f t="shared" si="324"/>
        <v/>
      </c>
      <c r="J1642" s="2413"/>
      <c r="K1642" s="2414" t="str">
        <f>IFERROR(VLOOKUP(F1642,Trainingsarten!$A$9:$K$84,11,FALSE),"0")</f>
        <v>0</v>
      </c>
      <c r="L1642" s="2816"/>
      <c r="M1642" s="2840"/>
      <c r="N1642" s="2368" t="str">
        <f t="shared" si="325"/>
        <v/>
      </c>
      <c r="O1642" s="2415"/>
      <c r="P1642" s="2370" t="str">
        <f>IFERROR(VLOOKUP(F1642,Trainingsarten!$A$9:$N$84,12,FALSE),"")</f>
        <v/>
      </c>
      <c r="Q1642" s="2432" t="s">
        <v>437</v>
      </c>
      <c r="R1642" s="2537" t="str">
        <f>IFERROR(VLOOKUP(F1642,Trainingsarten!$A$9:$N$84,14,FALSE),"")</f>
        <v/>
      </c>
      <c r="S1642" s="2419" t="str">
        <f t="shared" si="326"/>
        <v/>
      </c>
      <c r="T1642" s="2009">
        <f t="shared" si="327"/>
        <v>25.992615428019395</v>
      </c>
      <c r="U1642" s="2009">
        <f t="shared" si="328"/>
        <v>31.828851298089585</v>
      </c>
      <c r="V1642" s="2009">
        <f t="shared" si="329"/>
        <v>2.2804467450284918</v>
      </c>
      <c r="W1642" s="3284">
        <f t="shared" si="330"/>
        <v>0.81663693058189346</v>
      </c>
      <c r="X1642" s="3300"/>
      <c r="Y1642" s="3316"/>
      <c r="AA1642" s="3301"/>
      <c r="AB1642" s="3409"/>
      <c r="AE1642" s="2844"/>
    </row>
    <row r="1643" spans="2:31" ht="16" thickBot="1" x14ac:dyDescent="0.25">
      <c r="B1643" s="2979">
        <f t="shared" ref="B1643" si="350">SUM(H1641:H1647)</f>
        <v>27.25</v>
      </c>
      <c r="C1643" s="2409">
        <v>44741</v>
      </c>
      <c r="D1643" s="2009">
        <v>95</v>
      </c>
      <c r="E1643" s="2010" t="s">
        <v>836</v>
      </c>
      <c r="F1643" s="2759" t="s">
        <v>819</v>
      </c>
      <c r="G1643" s="2410">
        <v>3.9675925925925927E-2</v>
      </c>
      <c r="H1643" s="2411">
        <v>10.88</v>
      </c>
      <c r="I1643" s="2412">
        <f t="shared" si="324"/>
        <v>3.6466843681917209E-3</v>
      </c>
      <c r="J1643" s="2413">
        <v>145</v>
      </c>
      <c r="K1643" s="2414">
        <v>73</v>
      </c>
      <c r="L1643" s="2816">
        <v>232</v>
      </c>
      <c r="M1643" s="2840">
        <v>33</v>
      </c>
      <c r="N1643" s="2368">
        <f t="shared" si="325"/>
        <v>1.0910008779631253</v>
      </c>
      <c r="O1643" s="2415" t="s">
        <v>821</v>
      </c>
      <c r="P1643" s="2370">
        <f>IFERROR(VLOOKUP(F1643,Trainingsarten!$A$9:$N$84,12,FALSE),"")</f>
        <v>194.60000000000002</v>
      </c>
      <c r="Q1643" s="2432" t="s">
        <v>437</v>
      </c>
      <c r="R1643" s="2537">
        <f>IFERROR(VLOOKUP(F1643,Trainingsarten!$A$9:$N$84,14,FALSE),"")</f>
        <v>212.96</v>
      </c>
      <c r="S1643" s="2419">
        <f t="shared" si="326"/>
        <v>1.6</v>
      </c>
      <c r="T1643" s="2009">
        <f t="shared" si="327"/>
        <v>32.70795608115948</v>
      </c>
      <c r="U1643" s="2009">
        <f t="shared" si="328"/>
        <v>32.809116743373167</v>
      </c>
      <c r="V1643" s="2009">
        <f t="shared" si="329"/>
        <v>5.8362358700701904</v>
      </c>
      <c r="W1643" s="3284">
        <f t="shared" si="330"/>
        <v>0.9969166904734148</v>
      </c>
      <c r="X1643" s="3300"/>
      <c r="Y1643" s="3316"/>
      <c r="AA1643" s="3301"/>
      <c r="AB1643" s="3409"/>
      <c r="AE1643" s="2844"/>
    </row>
    <row r="1644" spans="2:31" x14ac:dyDescent="0.2">
      <c r="B1644" s="2992" t="s">
        <v>628</v>
      </c>
      <c r="C1644" s="2409">
        <v>44742</v>
      </c>
      <c r="D1644" s="2009"/>
      <c r="E1644" s="2010"/>
      <c r="F1644" s="2759"/>
      <c r="G1644" s="2410"/>
      <c r="H1644" s="2411" t="str">
        <f>IFERROR(VLOOKUP(F1644,Trainingsarten!$A$9:$K$84,10,FALSE),"")</f>
        <v/>
      </c>
      <c r="I1644" s="2412" t="str">
        <f t="shared" si="324"/>
        <v/>
      </c>
      <c r="J1644" s="2413"/>
      <c r="K1644" s="2414" t="str">
        <f>IFERROR(VLOOKUP(F1644,Trainingsarten!$A$9:$K$84,11,FALSE),"0")</f>
        <v>0</v>
      </c>
      <c r="L1644" s="2816"/>
      <c r="M1644" s="2840"/>
      <c r="N1644" s="2368" t="str">
        <f t="shared" si="325"/>
        <v/>
      </c>
      <c r="O1644" s="2415"/>
      <c r="P1644" s="2370" t="str">
        <f>IFERROR(VLOOKUP(F1644,Trainingsarten!$A$9:$N$84,12,FALSE),"")</f>
        <v/>
      </c>
      <c r="Q1644" s="2432" t="s">
        <v>437</v>
      </c>
      <c r="R1644" s="2537" t="str">
        <f>IFERROR(VLOOKUP(F1644,Trainingsarten!$A$9:$N$84,14,FALSE),"")</f>
        <v/>
      </c>
      <c r="S1644" s="2419" t="str">
        <f t="shared" si="326"/>
        <v/>
      </c>
      <c r="T1644" s="2009">
        <f t="shared" si="327"/>
        <v>28.035390926708125</v>
      </c>
      <c r="U1644" s="2009">
        <f t="shared" si="328"/>
        <v>32.027947297102379</v>
      </c>
      <c r="V1644" s="2009">
        <f t="shared" si="329"/>
        <v>0.10116066221368669</v>
      </c>
      <c r="W1644" s="3284">
        <f t="shared" si="330"/>
        <v>0.87534148431812031</v>
      </c>
      <c r="X1644" s="3300"/>
      <c r="Y1644" s="3316"/>
      <c r="AA1644" s="3301"/>
      <c r="AB1644" s="3409"/>
      <c r="AE1644" s="2844"/>
    </row>
    <row r="1645" spans="2:31" ht="16" thickBot="1" x14ac:dyDescent="0.25">
      <c r="B1645" s="2993">
        <f t="shared" ref="B1645" si="351">SUM(K1641:K1647)</f>
        <v>168</v>
      </c>
      <c r="C1645" s="2562">
        <v>44743</v>
      </c>
      <c r="D1645" s="2563"/>
      <c r="E1645" s="2564"/>
      <c r="F1645" s="2775"/>
      <c r="G1645" s="2565"/>
      <c r="H1645" s="2566"/>
      <c r="I1645" s="2567" t="str">
        <f t="shared" si="324"/>
        <v/>
      </c>
      <c r="J1645" s="2568"/>
      <c r="K1645" s="2569" t="str">
        <f>IFERROR(VLOOKUP(F1645,Trainingsarten!$A$9:$K$84,11,FALSE),"0")</f>
        <v>0</v>
      </c>
      <c r="L1645" s="2816"/>
      <c r="M1645" s="2840"/>
      <c r="N1645" s="2570" t="str">
        <f t="shared" si="325"/>
        <v/>
      </c>
      <c r="O1645" s="2571"/>
      <c r="P1645" s="2572" t="str">
        <f>IFERROR(VLOOKUP(F1645,Trainingsarten!$A$9:$N$84,12,FALSE),"")</f>
        <v/>
      </c>
      <c r="Q1645" s="2573" t="s">
        <v>437</v>
      </c>
      <c r="R1645" s="2574" t="str">
        <f>IFERROR(VLOOKUP(F1645,Trainingsarten!$A$9:$N$84,14,FALSE),"")</f>
        <v/>
      </c>
      <c r="S1645" s="2575" t="str">
        <f t="shared" si="326"/>
        <v/>
      </c>
      <c r="T1645" s="2563">
        <f t="shared" si="327"/>
        <v>24.030335080035535</v>
      </c>
      <c r="U1645" s="2563">
        <f t="shared" si="328"/>
        <v>31.265377123361848</v>
      </c>
      <c r="V1645" s="2563">
        <f t="shared" si="329"/>
        <v>3.9925563703942544</v>
      </c>
      <c r="W1645" s="3284">
        <f t="shared" si="330"/>
        <v>0.7685925228159104</v>
      </c>
      <c r="X1645" s="3300"/>
      <c r="Y1645" s="3316"/>
      <c r="AA1645" s="3301"/>
      <c r="AB1645" s="3409"/>
      <c r="AE1645" s="2844"/>
    </row>
    <row r="1646" spans="2:31" x14ac:dyDescent="0.2">
      <c r="B1646" s="2994" t="s">
        <v>761</v>
      </c>
      <c r="C1646" s="2441">
        <v>44744</v>
      </c>
      <c r="D1646" s="1111">
        <v>96</v>
      </c>
      <c r="E1646" s="1112" t="s">
        <v>836</v>
      </c>
      <c r="F1646" s="2774" t="s">
        <v>943</v>
      </c>
      <c r="G1646" s="2442">
        <v>3.0914351851851849E-2</v>
      </c>
      <c r="H1646" s="2443">
        <v>7.83</v>
      </c>
      <c r="I1646" s="2444">
        <f t="shared" si="324"/>
        <v>3.9481930845276948E-3</v>
      </c>
      <c r="J1646" s="1320">
        <v>129</v>
      </c>
      <c r="K1646" s="2445">
        <v>48</v>
      </c>
      <c r="L1646" s="2819">
        <v>215</v>
      </c>
      <c r="M1646" s="1320">
        <v>24</v>
      </c>
      <c r="N1646" s="1119">
        <f t="shared" si="325"/>
        <v>1.0946512647490518</v>
      </c>
      <c r="O1646" s="2446" t="s">
        <v>1460</v>
      </c>
      <c r="P1646" s="1121">
        <f>IFERROR(VLOOKUP(F1646,Trainingsarten!$A$9:$N$84,12,FALSE),"")</f>
        <v>194.60000000000002</v>
      </c>
      <c r="Q1646" s="2447" t="s">
        <v>437</v>
      </c>
      <c r="R1646" s="2448">
        <f>IFERROR(VLOOKUP(F1646,Trainingsarten!$A$9:$N$84,14,FALSE),"")</f>
        <v>212.96</v>
      </c>
      <c r="S1646" s="2449">
        <f t="shared" si="326"/>
        <v>1.6666666666666667</v>
      </c>
      <c r="T1646" s="1111">
        <f t="shared" si="327"/>
        <v>27.454572925744746</v>
      </c>
      <c r="U1646" s="1111">
        <f t="shared" si="328"/>
        <v>31.663820525186566</v>
      </c>
      <c r="V1646" s="1111">
        <f t="shared" si="329"/>
        <v>7.2350420433263132</v>
      </c>
      <c r="W1646" s="3286">
        <f t="shared" si="330"/>
        <v>0.8670644435944288</v>
      </c>
      <c r="X1646" s="3300"/>
      <c r="Y1646" s="3316"/>
      <c r="AA1646" s="3301"/>
      <c r="AB1646" s="3409"/>
      <c r="AE1646" s="2844"/>
    </row>
    <row r="1647" spans="2:31" ht="16" thickBot="1" x14ac:dyDescent="0.25">
      <c r="B1647" s="2995">
        <f t="shared" ref="B1647" si="352">AVERAGE(W1641:W1647)</f>
        <v>0.85941938222603409</v>
      </c>
      <c r="C1647" s="1631">
        <v>44745</v>
      </c>
      <c r="D1647" s="1108"/>
      <c r="E1647" s="1261"/>
      <c r="F1647" s="2763"/>
      <c r="G1647" s="2433"/>
      <c r="H1647" s="2434" t="str">
        <f>IFERROR(VLOOKUP(F1647,Trainingsarten!$A$9:$K$84,10,FALSE),"")</f>
        <v/>
      </c>
      <c r="I1647" s="2435" t="str">
        <f t="shared" si="324"/>
        <v/>
      </c>
      <c r="J1647" s="1310"/>
      <c r="K1647" s="2436" t="str">
        <f>IFERROR(VLOOKUP(F1647,Trainingsarten!$A$9:$K$84,11,FALSE),"0")</f>
        <v>0</v>
      </c>
      <c r="L1647" s="2818"/>
      <c r="M1647" s="2798"/>
      <c r="N1647" s="1223" t="str">
        <f t="shared" si="325"/>
        <v/>
      </c>
      <c r="O1647" s="2437"/>
      <c r="P1647" s="1519" t="str">
        <f>IFERROR(VLOOKUP(F1647,Trainingsarten!$A$9:$N$84,12,FALSE),"")</f>
        <v/>
      </c>
      <c r="Q1647" s="2438" t="s">
        <v>437</v>
      </c>
      <c r="R1647" s="2439" t="str">
        <f>IFERROR(VLOOKUP(F1647,Trainingsarten!$A$9:$N$84,14,FALSE),"")</f>
        <v/>
      </c>
      <c r="S1647" s="2440" t="str">
        <f t="shared" si="326"/>
        <v/>
      </c>
      <c r="T1647" s="1108">
        <f t="shared" si="327"/>
        <v>23.53249107920978</v>
      </c>
      <c r="U1647" s="1108">
        <f t="shared" si="328"/>
        <v>30.909920036491648</v>
      </c>
      <c r="V1647" s="1108">
        <f t="shared" si="329"/>
        <v>4.2092475994418201</v>
      </c>
      <c r="W1647" s="3285">
        <f t="shared" si="330"/>
        <v>0.76132487730242526</v>
      </c>
      <c r="X1647" s="3300"/>
      <c r="Y1647" s="3316"/>
      <c r="AA1647" s="3301"/>
      <c r="AB1647" s="3409"/>
      <c r="AE1647" s="2844"/>
    </row>
    <row r="1648" spans="2:31" ht="16" thickBot="1" x14ac:dyDescent="0.25">
      <c r="B1648" s="2986">
        <f t="shared" ref="B1648" si="353">B1641+1</f>
        <v>27</v>
      </c>
      <c r="C1648" s="2399">
        <v>44746</v>
      </c>
      <c r="D1648" s="2292">
        <v>97</v>
      </c>
      <c r="E1648" s="2293" t="s">
        <v>836</v>
      </c>
      <c r="F1648" s="2761" t="s">
        <v>943</v>
      </c>
      <c r="G1648" s="2400">
        <v>3.4768518518518525E-2</v>
      </c>
      <c r="H1648" s="2401">
        <v>9.08</v>
      </c>
      <c r="I1648" s="2402">
        <f t="shared" si="324"/>
        <v>3.8291319954315557E-3</v>
      </c>
      <c r="J1648" s="2403"/>
      <c r="K1648" s="2404">
        <v>59</v>
      </c>
      <c r="L1648" s="2815">
        <v>223</v>
      </c>
      <c r="M1648" s="2591">
        <v>27</v>
      </c>
      <c r="N1648" s="2296">
        <f t="shared" si="325"/>
        <v>1.1011440594384905</v>
      </c>
      <c r="O1648" s="2405" t="s">
        <v>958</v>
      </c>
      <c r="P1648" s="2298">
        <f>IFERROR(VLOOKUP(F1648,Trainingsarten!$A$9:$N$84,12,FALSE),"")</f>
        <v>194.60000000000002</v>
      </c>
      <c r="Q1648" s="2406" t="s">
        <v>437</v>
      </c>
      <c r="R1648" s="2407">
        <f>IFERROR(VLOOKUP(F1648,Trainingsarten!$A$9:$N$84,14,FALSE),"")</f>
        <v>212.96</v>
      </c>
      <c r="S1648" s="2408" t="str">
        <f t="shared" si="326"/>
        <v/>
      </c>
      <c r="T1648" s="2292">
        <f t="shared" si="327"/>
        <v>28.599278067894097</v>
      </c>
      <c r="U1648" s="2292">
        <f t="shared" si="328"/>
        <v>31.578731464194227</v>
      </c>
      <c r="V1648" s="2292">
        <f t="shared" si="329"/>
        <v>7.3774289572818681</v>
      </c>
      <c r="W1648" s="3283">
        <f t="shared" si="330"/>
        <v>0.90564999738262431</v>
      </c>
      <c r="X1648" s="3300"/>
      <c r="Y1648" s="3316"/>
      <c r="AA1648" s="3301"/>
      <c r="AB1648" s="3409"/>
      <c r="AE1648" s="2548"/>
    </row>
    <row r="1649" spans="2:31" x14ac:dyDescent="0.2">
      <c r="B1649" s="2991" t="s">
        <v>626</v>
      </c>
      <c r="C1649" s="2409">
        <v>44747</v>
      </c>
      <c r="D1649" s="2009"/>
      <c r="E1649" s="2010"/>
      <c r="F1649" s="2759"/>
      <c r="G1649" s="2410"/>
      <c r="H1649" s="2411" t="str">
        <f>IFERROR(VLOOKUP(F1649,Trainingsarten!$A$9:$K$84,10,FALSE),"")</f>
        <v/>
      </c>
      <c r="I1649" s="2412" t="str">
        <f t="shared" si="324"/>
        <v/>
      </c>
      <c r="J1649" s="2413"/>
      <c r="K1649" s="2414" t="str">
        <f>IFERROR(VLOOKUP(F1649,Trainingsarten!$A$9:$K$84,11,FALSE),"0")</f>
        <v>0</v>
      </c>
      <c r="L1649" s="2816"/>
      <c r="M1649" s="2840"/>
      <c r="N1649" s="2368" t="str">
        <f t="shared" si="325"/>
        <v/>
      </c>
      <c r="O1649" s="2415"/>
      <c r="P1649" s="2370" t="str">
        <f>IFERROR(VLOOKUP(F1649,Trainingsarten!$A$9:$N$84,12,FALSE),"")</f>
        <v/>
      </c>
      <c r="Q1649" s="2432" t="s">
        <v>437</v>
      </c>
      <c r="R1649" s="2537" t="str">
        <f>IFERROR(VLOOKUP(F1649,Trainingsarten!$A$9:$N$84,14,FALSE),"")</f>
        <v/>
      </c>
      <c r="S1649" s="2419" t="str">
        <f t="shared" si="326"/>
        <v/>
      </c>
      <c r="T1649" s="2009">
        <f t="shared" si="327"/>
        <v>24.513666915337797</v>
      </c>
      <c r="U1649" s="2009">
        <f t="shared" si="328"/>
        <v>30.826856905522938</v>
      </c>
      <c r="V1649" s="2009">
        <f t="shared" si="329"/>
        <v>2.97945339630013</v>
      </c>
      <c r="W1649" s="3284">
        <f t="shared" si="330"/>
        <v>0.79520487575059684</v>
      </c>
      <c r="X1649" s="3300"/>
      <c r="Y1649" s="3316"/>
      <c r="AA1649" s="3301"/>
      <c r="AB1649" s="3409"/>
      <c r="AE1649" s="2548"/>
    </row>
    <row r="1650" spans="2:31" ht="16" thickBot="1" x14ac:dyDescent="0.25">
      <c r="B1650" s="2979">
        <f t="shared" ref="B1650" si="354">SUM(H1648:H1654)</f>
        <v>38.44</v>
      </c>
      <c r="C1650" s="2409">
        <v>44748</v>
      </c>
      <c r="D1650" s="2009">
        <v>98</v>
      </c>
      <c r="E1650" s="2010" t="s">
        <v>835</v>
      </c>
      <c r="F1650" s="2759" t="s">
        <v>819</v>
      </c>
      <c r="G1650" s="2410">
        <v>3.8252314814814815E-2</v>
      </c>
      <c r="H1650" s="2411">
        <v>9.8699999999999992</v>
      </c>
      <c r="I1650" s="2412">
        <f t="shared" si="324"/>
        <v>3.8756144695861012E-3</v>
      </c>
      <c r="J1650" s="2413">
        <v>130</v>
      </c>
      <c r="K1650" s="2414">
        <v>59</v>
      </c>
      <c r="L1650" s="2816">
        <v>214</v>
      </c>
      <c r="M1650" s="2840">
        <v>20</v>
      </c>
      <c r="N1650" s="2368">
        <f t="shared" si="325"/>
        <v>1.0695307656247637</v>
      </c>
      <c r="O1650" s="2415" t="s">
        <v>957</v>
      </c>
      <c r="P1650" s="2370">
        <f>IFERROR(VLOOKUP(F1650,Trainingsarten!$A$9:$N$84,12,FALSE),"")</f>
        <v>194.60000000000002</v>
      </c>
      <c r="Q1650" s="2432" t="s">
        <v>437</v>
      </c>
      <c r="R1650" s="2537">
        <f>IFERROR(VLOOKUP(F1650,Trainingsarten!$A$9:$N$84,14,FALSE),"")</f>
        <v>212.96</v>
      </c>
      <c r="S1650" s="2419">
        <f t="shared" si="326"/>
        <v>1.6461538461538461</v>
      </c>
      <c r="T1650" s="2009">
        <f t="shared" si="327"/>
        <v>29.440285927432399</v>
      </c>
      <c r="U1650" s="2009">
        <f t="shared" si="328"/>
        <v>31.497646026820011</v>
      </c>
      <c r="V1650" s="2009">
        <f t="shared" si="329"/>
        <v>6.3131899901851405</v>
      </c>
      <c r="W1650" s="3284">
        <f t="shared" si="330"/>
        <v>0.9346820998103863</v>
      </c>
      <c r="X1650" s="3300"/>
      <c r="Y1650" s="3316"/>
      <c r="AA1650" s="3301"/>
      <c r="AB1650" s="3409"/>
      <c r="AE1650" s="2548"/>
    </row>
    <row r="1651" spans="2:31" x14ac:dyDescent="0.2">
      <c r="B1651" s="2992" t="s">
        <v>628</v>
      </c>
      <c r="C1651" s="2409">
        <v>44749</v>
      </c>
      <c r="D1651" s="2009">
        <v>99</v>
      </c>
      <c r="E1651" s="2010" t="s">
        <v>836</v>
      </c>
      <c r="F1651" s="2759" t="s">
        <v>943</v>
      </c>
      <c r="G1651" s="2410">
        <v>3.1631944444444442E-2</v>
      </c>
      <c r="H1651" s="2411">
        <v>8.48</v>
      </c>
      <c r="I1651" s="2412">
        <f t="shared" si="324"/>
        <v>3.7301821278825989E-3</v>
      </c>
      <c r="J1651" s="2413">
        <v>138</v>
      </c>
      <c r="K1651" s="2414">
        <v>55</v>
      </c>
      <c r="L1651" s="2816">
        <v>228</v>
      </c>
      <c r="M1651" s="2840">
        <v>19</v>
      </c>
      <c r="N1651" s="2368">
        <f t="shared" si="325"/>
        <v>1.0967403548296253</v>
      </c>
      <c r="O1651" s="2415" t="s">
        <v>958</v>
      </c>
      <c r="P1651" s="2370">
        <f>IFERROR(VLOOKUP(F1651,Trainingsarten!$A$9:$N$84,12,FALSE),"")</f>
        <v>194.60000000000002</v>
      </c>
      <c r="Q1651" s="2432" t="s">
        <v>437</v>
      </c>
      <c r="R1651" s="2537">
        <f>IFERROR(VLOOKUP(F1651,Trainingsarten!$A$9:$N$84,14,FALSE),"")</f>
        <v>212.96</v>
      </c>
      <c r="S1651" s="2419">
        <f t="shared" si="326"/>
        <v>1.6521739130434783</v>
      </c>
      <c r="T1651" s="2009">
        <f t="shared" si="327"/>
        <v>33.091673652084914</v>
      </c>
      <c r="U1651" s="2009">
        <f t="shared" si="328"/>
        <v>32.057225883324293</v>
      </c>
      <c r="V1651" s="2009">
        <f t="shared" si="329"/>
        <v>2.057360099387612</v>
      </c>
      <c r="W1651" s="3284">
        <f t="shared" si="330"/>
        <v>1.0322687862176723</v>
      </c>
      <c r="X1651" s="3300"/>
      <c r="Y1651" s="3316"/>
      <c r="AA1651" s="3301"/>
      <c r="AB1651" s="3409"/>
      <c r="AE1651" s="2548"/>
    </row>
    <row r="1652" spans="2:31" ht="16" thickBot="1" x14ac:dyDescent="0.25">
      <c r="B1652" s="2993">
        <f t="shared" ref="B1652" si="355">SUM(K1648:K1654)</f>
        <v>251</v>
      </c>
      <c r="C1652" s="2562">
        <v>44750</v>
      </c>
      <c r="D1652" s="2563"/>
      <c r="E1652" s="2564"/>
      <c r="F1652" s="2775"/>
      <c r="G1652" s="2565"/>
      <c r="H1652" s="2566" t="str">
        <f>IFERROR(VLOOKUP(F1652,Trainingsarten!$A$9:$K$84,10,FALSE),"")</f>
        <v/>
      </c>
      <c r="I1652" s="2567" t="str">
        <f t="shared" si="324"/>
        <v/>
      </c>
      <c r="J1652" s="2568"/>
      <c r="K1652" s="2569" t="str">
        <f>IFERROR(VLOOKUP(F1652,Trainingsarten!$A$9:$K$84,11,FALSE),"0")</f>
        <v>0</v>
      </c>
      <c r="L1652" s="2816"/>
      <c r="M1652" s="2840"/>
      <c r="N1652" s="2570" t="str">
        <f t="shared" si="325"/>
        <v/>
      </c>
      <c r="O1652" s="2571"/>
      <c r="P1652" s="2572" t="str">
        <f>IFERROR(VLOOKUP(F1652,Trainingsarten!$A$9:$N$84,12,FALSE),"")</f>
        <v/>
      </c>
      <c r="Q1652" s="2573" t="s">
        <v>437</v>
      </c>
      <c r="R1652" s="2574" t="str">
        <f>IFERROR(VLOOKUP(F1652,Trainingsarten!$A$9:$N$84,14,FALSE),"")</f>
        <v/>
      </c>
      <c r="S1652" s="2575" t="str">
        <f t="shared" si="326"/>
        <v/>
      </c>
      <c r="T1652" s="2563">
        <f t="shared" si="327"/>
        <v>28.364291701787067</v>
      </c>
      <c r="U1652" s="2563">
        <f t="shared" si="328"/>
        <v>31.293958600387999</v>
      </c>
      <c r="V1652" s="2563">
        <f t="shared" si="329"/>
        <v>-1.0344477687606215</v>
      </c>
      <c r="W1652" s="3284">
        <f t="shared" si="330"/>
        <v>0.90638234887405367</v>
      </c>
      <c r="X1652" s="3300"/>
      <c r="Y1652" s="3316"/>
      <c r="AA1652" s="3301"/>
      <c r="AB1652" s="3409"/>
      <c r="AE1652" s="2548"/>
    </row>
    <row r="1653" spans="2:31" x14ac:dyDescent="0.2">
      <c r="B1653" s="2994" t="s">
        <v>761</v>
      </c>
      <c r="C1653" s="2441">
        <v>44751</v>
      </c>
      <c r="D1653" s="1111">
        <v>100</v>
      </c>
      <c r="E1653" s="1112" t="s">
        <v>836</v>
      </c>
      <c r="F1653" s="2774" t="s">
        <v>862</v>
      </c>
      <c r="G1653" s="2442">
        <v>5.9849537037037041E-2</v>
      </c>
      <c r="H1653" s="2443">
        <v>11.01</v>
      </c>
      <c r="I1653" s="2444">
        <f t="shared" si="324"/>
        <v>5.4359252531368798E-3</v>
      </c>
      <c r="J1653" s="1320">
        <v>140</v>
      </c>
      <c r="K1653" s="2445">
        <v>78</v>
      </c>
      <c r="L1653" s="2819">
        <v>188</v>
      </c>
      <c r="M1653" s="1320">
        <v>522</v>
      </c>
      <c r="N1653" s="1119"/>
      <c r="O1653" s="2446" t="s">
        <v>868</v>
      </c>
      <c r="P1653" s="1121" t="str">
        <f>IFERROR(VLOOKUP(F1653,Trainingsarten!$A$9:$N$84,12,FALSE),"")</f>
        <v/>
      </c>
      <c r="Q1653" s="2447" t="s">
        <v>437</v>
      </c>
      <c r="R1653" s="2448" t="str">
        <f>IFERROR(VLOOKUP(F1653,Trainingsarten!$A$9:$N$84,14,FALSE),"")</f>
        <v/>
      </c>
      <c r="S1653" s="2449"/>
      <c r="T1653" s="1111">
        <f t="shared" si="327"/>
        <v>35.455107172960346</v>
      </c>
      <c r="U1653" s="1111">
        <f t="shared" si="328"/>
        <v>32.406007205140668</v>
      </c>
      <c r="V1653" s="1111">
        <f t="shared" si="329"/>
        <v>2.9296668986009315</v>
      </c>
      <c r="W1653" s="3286">
        <f t="shared" si="330"/>
        <v>1.0940905785929711</v>
      </c>
      <c r="X1653" s="3300"/>
      <c r="Y1653" s="3316"/>
      <c r="AA1653" s="3301"/>
      <c r="AB1653" s="3409"/>
      <c r="AE1653" s="2548"/>
    </row>
    <row r="1654" spans="2:31" ht="16" thickBot="1" x14ac:dyDescent="0.25">
      <c r="B1654" s="2995">
        <f t="shared" ref="B1654" si="356">AVERAGE(W1648:W1654)</f>
        <v>0.94699194070072301</v>
      </c>
      <c r="C1654" s="1631">
        <v>44752</v>
      </c>
      <c r="D1654" s="1108"/>
      <c r="E1654" s="1261"/>
      <c r="F1654" s="2763"/>
      <c r="G1654" s="2433"/>
      <c r="H1654" s="2434" t="str">
        <f>IFERROR(VLOOKUP(F1654,Trainingsarten!$A$9:$K$84,10,FALSE),"")</f>
        <v/>
      </c>
      <c r="I1654" s="2435" t="str">
        <f t="shared" si="324"/>
        <v/>
      </c>
      <c r="J1654" s="1310"/>
      <c r="K1654" s="2436" t="str">
        <f>IFERROR(VLOOKUP(F1654,Trainingsarten!$A$9:$K$84,11,FALSE),"0")</f>
        <v>0</v>
      </c>
      <c r="L1654" s="2818"/>
      <c r="M1654" s="2798"/>
      <c r="N1654" s="1223" t="str">
        <f t="shared" si="325"/>
        <v/>
      </c>
      <c r="O1654" s="2437"/>
      <c r="P1654" s="1519" t="str">
        <f>IFERROR(VLOOKUP(F1654,Trainingsarten!$A$9:$N$84,12,FALSE),"")</f>
        <v/>
      </c>
      <c r="Q1654" s="2438" t="s">
        <v>437</v>
      </c>
      <c r="R1654" s="2439" t="str">
        <f>IFERROR(VLOOKUP(F1654,Trainingsarten!$A$9:$N$84,14,FALSE),"")</f>
        <v/>
      </c>
      <c r="S1654" s="2440" t="str">
        <f t="shared" si="326"/>
        <v/>
      </c>
      <c r="T1654" s="1108">
        <f t="shared" si="327"/>
        <v>30.390091862537439</v>
      </c>
      <c r="U1654" s="1108">
        <f t="shared" si="328"/>
        <v>31.634435605018272</v>
      </c>
      <c r="V1654" s="1108">
        <f t="shared" si="329"/>
        <v>-3.0490999678196786</v>
      </c>
      <c r="W1654" s="3285">
        <f t="shared" si="330"/>
        <v>0.96066489827675516</v>
      </c>
      <c r="X1654" s="3300"/>
      <c r="Y1654" s="3316"/>
      <c r="AA1654" s="3301"/>
      <c r="AB1654" s="3409"/>
      <c r="AE1654" s="2548"/>
    </row>
    <row r="1655" spans="2:31" ht="16" thickBot="1" x14ac:dyDescent="0.25">
      <c r="B1655" s="2986">
        <f t="shared" ref="B1655" si="357">B1648+1</f>
        <v>28</v>
      </c>
      <c r="C1655" s="2399">
        <v>44753</v>
      </c>
      <c r="D1655" s="2292"/>
      <c r="E1655" s="2293"/>
      <c r="F1655" s="2761"/>
      <c r="G1655" s="2400"/>
      <c r="H1655" s="2401" t="str">
        <f>IFERROR(VLOOKUP(F1655,Trainingsarten!$A$9:$K$84,10,FALSE),"")</f>
        <v/>
      </c>
      <c r="I1655" s="2402" t="str">
        <f t="shared" si="324"/>
        <v/>
      </c>
      <c r="J1655" s="2403"/>
      <c r="K1655" s="2404" t="str">
        <f>IFERROR(VLOOKUP(F1655,Trainingsarten!$A$9:$K$84,11,FALSE),"0")</f>
        <v>0</v>
      </c>
      <c r="L1655" s="2815"/>
      <c r="M1655" s="2591"/>
      <c r="N1655" s="2296" t="str">
        <f t="shared" si="325"/>
        <v/>
      </c>
      <c r="O1655" s="2405"/>
      <c r="P1655" s="2298" t="str">
        <f>IFERROR(VLOOKUP(F1655,Trainingsarten!$A$9:$N$84,12,FALSE),"")</f>
        <v/>
      </c>
      <c r="Q1655" s="2406" t="s">
        <v>437</v>
      </c>
      <c r="R1655" s="2407" t="str">
        <f>IFERROR(VLOOKUP(F1655,Trainingsarten!$A$9:$N$84,14,FALSE),"")</f>
        <v/>
      </c>
      <c r="S1655" s="2408" t="str">
        <f t="shared" si="326"/>
        <v/>
      </c>
      <c r="T1655" s="2292">
        <f t="shared" si="327"/>
        <v>26.048650167889235</v>
      </c>
      <c r="U1655" s="2292">
        <f t="shared" si="328"/>
        <v>30.881234757279742</v>
      </c>
      <c r="V1655" s="2292">
        <f t="shared" si="329"/>
        <v>1.244343742480833</v>
      </c>
      <c r="W1655" s="3283">
        <f t="shared" si="330"/>
        <v>0.84351064238934603</v>
      </c>
      <c r="X1655" s="3300"/>
      <c r="Y1655" s="3316"/>
      <c r="AA1655" s="3301"/>
      <c r="AB1655" s="3409"/>
      <c r="AE1655" s="2548"/>
    </row>
    <row r="1656" spans="2:31" x14ac:dyDescent="0.2">
      <c r="B1656" s="2991" t="s">
        <v>626</v>
      </c>
      <c r="C1656" s="2409">
        <v>44754</v>
      </c>
      <c r="D1656" s="2009">
        <v>101</v>
      </c>
      <c r="E1656" s="2010" t="s">
        <v>836</v>
      </c>
      <c r="F1656" s="2759" t="s">
        <v>943</v>
      </c>
      <c r="G1656" s="2410">
        <v>3.3923611111111113E-2</v>
      </c>
      <c r="H1656" s="2411">
        <v>8.9700000000000006</v>
      </c>
      <c r="I1656" s="2412">
        <f t="shared" si="324"/>
        <v>3.7818964449399233E-3</v>
      </c>
      <c r="J1656" s="2413">
        <v>139</v>
      </c>
      <c r="K1656" s="2414">
        <v>57</v>
      </c>
      <c r="L1656" s="2816">
        <v>223</v>
      </c>
      <c r="M1656" s="2840">
        <v>24</v>
      </c>
      <c r="N1656" s="2368">
        <f t="shared" si="325"/>
        <v>1.0875605251335299</v>
      </c>
      <c r="O1656" s="2415" t="s">
        <v>953</v>
      </c>
      <c r="P1656" s="2370">
        <f>IFERROR(VLOOKUP(F1656,Trainingsarten!$A$9:$N$84,12,FALSE),"")</f>
        <v>194.60000000000002</v>
      </c>
      <c r="Q1656" s="2432" t="s">
        <v>437</v>
      </c>
      <c r="R1656" s="2537">
        <f>IFERROR(VLOOKUP(F1656,Trainingsarten!$A$9:$N$84,14,FALSE),"")</f>
        <v>212.96</v>
      </c>
      <c r="S1656" s="2419">
        <f t="shared" si="326"/>
        <v>1.6043165467625899</v>
      </c>
      <c r="T1656" s="2009">
        <f t="shared" si="327"/>
        <v>30.470271572476488</v>
      </c>
      <c r="U1656" s="2009">
        <f t="shared" si="328"/>
        <v>31.503110120201654</v>
      </c>
      <c r="V1656" s="2009">
        <f t="shared" si="329"/>
        <v>4.8325845893905068</v>
      </c>
      <c r="W1656" s="3284">
        <f t="shared" si="330"/>
        <v>0.96721471169721596</v>
      </c>
      <c r="X1656" s="3300"/>
      <c r="Y1656" s="3316"/>
      <c r="AA1656" s="3301"/>
      <c r="AB1656" s="3409"/>
      <c r="AE1656" s="2548"/>
    </row>
    <row r="1657" spans="2:31" ht="16" thickBot="1" x14ac:dyDescent="0.25">
      <c r="B1657" s="2979">
        <f t="shared" ref="B1657" si="358">SUM(H1655:H1661)</f>
        <v>33.44</v>
      </c>
      <c r="C1657" s="2409">
        <v>44755</v>
      </c>
      <c r="D1657" s="2009">
        <v>102</v>
      </c>
      <c r="E1657" s="2010" t="s">
        <v>836</v>
      </c>
      <c r="F1657" s="2759" t="s">
        <v>943</v>
      </c>
      <c r="G1657" s="2410">
        <v>2.732638888888889E-2</v>
      </c>
      <c r="H1657" s="2411">
        <v>7.31</v>
      </c>
      <c r="I1657" s="2412">
        <f t="shared" si="324"/>
        <v>3.7382200942392462E-3</v>
      </c>
      <c r="J1657" s="2413">
        <v>142</v>
      </c>
      <c r="K1657" s="2414">
        <v>47</v>
      </c>
      <c r="L1657" s="2816">
        <v>224</v>
      </c>
      <c r="M1657" s="2840">
        <v>16</v>
      </c>
      <c r="N1657" s="2368">
        <f t="shared" si="325"/>
        <v>1.0798211405353535</v>
      </c>
      <c r="O1657" s="2415" t="s">
        <v>953</v>
      </c>
      <c r="P1657" s="2370">
        <f>IFERROR(VLOOKUP(F1657,Trainingsarten!$A$9:$N$84,12,FALSE),"")</f>
        <v>194.60000000000002</v>
      </c>
      <c r="Q1657" s="2432" t="s">
        <v>437</v>
      </c>
      <c r="R1657" s="2537">
        <f>IFERROR(VLOOKUP(F1657,Trainingsarten!$A$9:$N$84,14,FALSE),"")</f>
        <v>212.96</v>
      </c>
      <c r="S1657" s="2419">
        <f t="shared" si="326"/>
        <v>1.5774647887323943</v>
      </c>
      <c r="T1657" s="2009">
        <f t="shared" si="327"/>
        <v>32.831661347836992</v>
      </c>
      <c r="U1657" s="2009">
        <f t="shared" si="328"/>
        <v>31.872083688768281</v>
      </c>
      <c r="V1657" s="2009">
        <f t="shared" si="329"/>
        <v>1.0328385477251665</v>
      </c>
      <c r="W1657" s="3284">
        <f t="shared" si="330"/>
        <v>1.030107151714303</v>
      </c>
      <c r="X1657" s="3300"/>
      <c r="Y1657" s="3316"/>
      <c r="AA1657" s="3301"/>
      <c r="AB1657" s="3409"/>
      <c r="AE1657" s="2548"/>
    </row>
    <row r="1658" spans="2:31" x14ac:dyDescent="0.2">
      <c r="B1658" s="2992" t="s">
        <v>628</v>
      </c>
      <c r="C1658" s="2409">
        <v>44756</v>
      </c>
      <c r="D1658" s="2009">
        <v>103</v>
      </c>
      <c r="E1658" s="2010" t="s">
        <v>836</v>
      </c>
      <c r="F1658" s="2759" t="s">
        <v>943</v>
      </c>
      <c r="G1658" s="2410">
        <v>3.1458333333333331E-2</v>
      </c>
      <c r="H1658" s="2411">
        <v>8.3000000000000007</v>
      </c>
      <c r="I1658" s="2412">
        <f t="shared" si="324"/>
        <v>3.7901606425702807E-3</v>
      </c>
      <c r="J1658" s="2413">
        <v>142</v>
      </c>
      <c r="K1658" s="2414">
        <v>52</v>
      </c>
      <c r="L1658" s="2816">
        <v>222</v>
      </c>
      <c r="M1658" s="2840">
        <v>19</v>
      </c>
      <c r="N1658" s="2368">
        <f t="shared" si="325"/>
        <v>1.0850494515374929</v>
      </c>
      <c r="O1658" s="2415" t="s">
        <v>957</v>
      </c>
      <c r="P1658" s="2370">
        <f>IFERROR(VLOOKUP(F1658,Trainingsarten!$A$9:$N$84,12,FALSE),"")</f>
        <v>194.60000000000002</v>
      </c>
      <c r="Q1658" s="2432" t="s">
        <v>437</v>
      </c>
      <c r="R1658" s="2537">
        <f>IFERROR(VLOOKUP(F1658,Trainingsarten!$A$9:$N$84,14,FALSE),"")</f>
        <v>212.96</v>
      </c>
      <c r="S1658" s="2419">
        <f t="shared" si="326"/>
        <v>1.5633802816901408</v>
      </c>
      <c r="T1658" s="2009">
        <f t="shared" si="327"/>
        <v>35.569995441003137</v>
      </c>
      <c r="U1658" s="2009">
        <f t="shared" si="328"/>
        <v>32.351319791416657</v>
      </c>
      <c r="V1658" s="2009">
        <f t="shared" si="329"/>
        <v>-0.95957765906871018</v>
      </c>
      <c r="W1658" s="3284">
        <f t="shared" si="330"/>
        <v>1.0994913243211935</v>
      </c>
      <c r="X1658" s="3300"/>
      <c r="Y1658" s="3316"/>
      <c r="AA1658" s="3301"/>
      <c r="AB1658" s="3409"/>
      <c r="AE1658" s="2548"/>
    </row>
    <row r="1659" spans="2:31" ht="16" thickBot="1" x14ac:dyDescent="0.25">
      <c r="B1659" s="2993">
        <f t="shared" ref="B1659" si="359">SUM(K1655:K1661)</f>
        <v>209</v>
      </c>
      <c r="C1659" s="2562">
        <v>44757</v>
      </c>
      <c r="D1659" s="2563"/>
      <c r="E1659" s="2564"/>
      <c r="F1659" s="2775"/>
      <c r="G1659" s="2565"/>
      <c r="H1659" s="2566" t="str">
        <f>IFERROR(VLOOKUP(F1659,Trainingsarten!$A$9:$K$84,10,FALSE),"")</f>
        <v/>
      </c>
      <c r="I1659" s="2567" t="str">
        <f t="shared" si="324"/>
        <v/>
      </c>
      <c r="J1659" s="2568"/>
      <c r="K1659" s="2569" t="str">
        <f>IFERROR(VLOOKUP(F1659,Trainingsarten!$A$9:$K$84,11,FALSE),"0")</f>
        <v>0</v>
      </c>
      <c r="L1659" s="2816"/>
      <c r="M1659" s="2840"/>
      <c r="N1659" s="2570" t="str">
        <f t="shared" si="325"/>
        <v/>
      </c>
      <c r="O1659" s="2571"/>
      <c r="P1659" s="2572" t="str">
        <f>IFERROR(VLOOKUP(F1659,Trainingsarten!$A$9:$N$84,12,FALSE),"")</f>
        <v/>
      </c>
      <c r="Q1659" s="2573" t="s">
        <v>437</v>
      </c>
      <c r="R1659" s="2574" t="str">
        <f>IFERROR(VLOOKUP(F1659,Trainingsarten!$A$9:$N$84,14,FALSE),"")</f>
        <v/>
      </c>
      <c r="S1659" s="2575" t="str">
        <f t="shared" si="326"/>
        <v/>
      </c>
      <c r="T1659" s="2563">
        <f t="shared" si="327"/>
        <v>30.488567520859831</v>
      </c>
      <c r="U1659" s="2563">
        <f t="shared" si="328"/>
        <v>31.581050272573403</v>
      </c>
      <c r="V1659" s="2563">
        <f t="shared" si="329"/>
        <v>-3.2186756495864799</v>
      </c>
      <c r="W1659" s="3284">
        <f t="shared" si="330"/>
        <v>0.96540701647714544</v>
      </c>
      <c r="X1659" s="3300"/>
      <c r="Y1659" s="3316"/>
      <c r="AA1659" s="3301"/>
      <c r="AB1659" s="3409"/>
      <c r="AE1659" s="2548"/>
    </row>
    <row r="1660" spans="2:31" x14ac:dyDescent="0.2">
      <c r="B1660" s="2994" t="s">
        <v>761</v>
      </c>
      <c r="C1660" s="2441">
        <v>44758</v>
      </c>
      <c r="D1660" s="1111">
        <v>104</v>
      </c>
      <c r="E1660" s="1112" t="s">
        <v>835</v>
      </c>
      <c r="F1660" s="2774" t="s">
        <v>943</v>
      </c>
      <c r="G1660" s="2442">
        <v>3.4583333333333334E-2</v>
      </c>
      <c r="H1660" s="2443">
        <v>8.86</v>
      </c>
      <c r="I1660" s="2444">
        <f t="shared" si="324"/>
        <v>3.9033107599699027E-3</v>
      </c>
      <c r="J1660" s="1320">
        <v>136</v>
      </c>
      <c r="K1660" s="2445">
        <v>53</v>
      </c>
      <c r="L1660" s="2819">
        <v>212</v>
      </c>
      <c r="M1660" s="1320">
        <v>17</v>
      </c>
      <c r="N1660" s="1119">
        <f t="shared" si="325"/>
        <v>1.0671069034062195</v>
      </c>
      <c r="O1660" s="2446" t="s">
        <v>958</v>
      </c>
      <c r="P1660" s="1121">
        <f>IFERROR(VLOOKUP(F1660,Trainingsarten!$A$9:$N$84,12,FALSE),"")</f>
        <v>194.60000000000002</v>
      </c>
      <c r="Q1660" s="2447" t="s">
        <v>437</v>
      </c>
      <c r="R1660" s="2448">
        <f>IFERROR(VLOOKUP(F1660,Trainingsarten!$A$9:$N$84,14,FALSE),"")</f>
        <v>212.96</v>
      </c>
      <c r="S1660" s="2449">
        <f t="shared" si="326"/>
        <v>1.5588235294117647</v>
      </c>
      <c r="T1660" s="1111">
        <f t="shared" si="327"/>
        <v>33.704486446451284</v>
      </c>
      <c r="U1660" s="1111">
        <f t="shared" si="328"/>
        <v>32.091025266083562</v>
      </c>
      <c r="V1660" s="1111">
        <f t="shared" si="329"/>
        <v>1.0924827517135718</v>
      </c>
      <c r="W1660" s="3286">
        <f t="shared" si="330"/>
        <v>1.0502776451356624</v>
      </c>
      <c r="X1660" s="3300"/>
      <c r="Y1660" s="3316"/>
      <c r="AA1660" s="3301"/>
      <c r="AB1660" s="3409"/>
      <c r="AE1660" s="2548"/>
    </row>
    <row r="1661" spans="2:31" ht="16" thickBot="1" x14ac:dyDescent="0.25">
      <c r="B1661" s="2995">
        <f t="shared" ref="B1661" si="360">AVERAGE(W1655:W1661)</f>
        <v>0.98260049960283413</v>
      </c>
      <c r="C1661" s="1631">
        <v>44759</v>
      </c>
      <c r="D1661" s="1108"/>
      <c r="E1661" s="1261"/>
      <c r="F1661" s="2763"/>
      <c r="G1661" s="2433"/>
      <c r="H1661" s="2434" t="str">
        <f>IFERROR(VLOOKUP(F1661,Trainingsarten!$A$9:$K$84,10,FALSE),"")</f>
        <v/>
      </c>
      <c r="I1661" s="2435" t="str">
        <f t="shared" si="324"/>
        <v/>
      </c>
      <c r="J1661" s="1310"/>
      <c r="K1661" s="2436" t="str">
        <f>IFERROR(VLOOKUP(F1661,Trainingsarten!$A$9:$K$84,11,FALSE),"0")</f>
        <v>0</v>
      </c>
      <c r="L1661" s="2818"/>
      <c r="M1661" s="2798"/>
      <c r="N1661" s="1223" t="str">
        <f t="shared" si="325"/>
        <v/>
      </c>
      <c r="O1661" s="2437"/>
      <c r="P1661" s="1519" t="str">
        <f>IFERROR(VLOOKUP(F1661,Trainingsarten!$A$9:$N$84,12,FALSE),"")</f>
        <v/>
      </c>
      <c r="Q1661" s="2438" t="s">
        <v>437</v>
      </c>
      <c r="R1661" s="2439" t="str">
        <f>IFERROR(VLOOKUP(F1661,Trainingsarten!$A$9:$N$84,14,FALSE),"")</f>
        <v/>
      </c>
      <c r="S1661" s="2440" t="str">
        <f t="shared" si="326"/>
        <v/>
      </c>
      <c r="T1661" s="1108">
        <f t="shared" si="327"/>
        <v>28.889559811243956</v>
      </c>
      <c r="U1661" s="1108">
        <f t="shared" si="328"/>
        <v>31.326953235938717</v>
      </c>
      <c r="V1661" s="1108">
        <f t="shared" si="329"/>
        <v>-1.6134611803677217</v>
      </c>
      <c r="W1661" s="3285">
        <f t="shared" si="330"/>
        <v>0.92219500548497169</v>
      </c>
      <c r="X1661" s="3300"/>
      <c r="Y1661" s="3316"/>
      <c r="AA1661" s="3301"/>
      <c r="AB1661" s="3409"/>
      <c r="AE1661" s="2548"/>
    </row>
    <row r="1662" spans="2:31" ht="16" thickBot="1" x14ac:dyDescent="0.25">
      <c r="B1662" s="2986">
        <f t="shared" ref="B1662" si="361">B1655+1</f>
        <v>29</v>
      </c>
      <c r="C1662" s="2399">
        <v>44760</v>
      </c>
      <c r="D1662" s="2292">
        <v>105</v>
      </c>
      <c r="E1662" s="2293" t="s">
        <v>836</v>
      </c>
      <c r="F1662" s="2761" t="s">
        <v>943</v>
      </c>
      <c r="G1662" s="2400">
        <v>3.0995370370370371E-2</v>
      </c>
      <c r="H1662" s="2401">
        <v>7.89</v>
      </c>
      <c r="I1662" s="2402">
        <f t="shared" si="324"/>
        <v>3.92843730929916E-3</v>
      </c>
      <c r="J1662" s="2403">
        <v>135</v>
      </c>
      <c r="K1662" s="2404">
        <v>48</v>
      </c>
      <c r="L1662" s="2815">
        <v>214</v>
      </c>
      <c r="M1662" s="2591">
        <v>22</v>
      </c>
      <c r="N1662" s="2296">
        <f t="shared" si="325"/>
        <v>1.0841079772241455</v>
      </c>
      <c r="O1662" s="2405" t="s">
        <v>958</v>
      </c>
      <c r="P1662" s="2298">
        <f>IFERROR(VLOOKUP(F1662,Trainingsarten!$A$9:$N$84,12,FALSE),"")</f>
        <v>194.60000000000002</v>
      </c>
      <c r="Q1662" s="2406" t="s">
        <v>437</v>
      </c>
      <c r="R1662" s="2407">
        <f>IFERROR(VLOOKUP(F1662,Trainingsarten!$A$9:$N$84,14,FALSE),"")</f>
        <v>212.96</v>
      </c>
      <c r="S1662" s="2408">
        <f t="shared" si="326"/>
        <v>1.5851851851851853</v>
      </c>
      <c r="T1662" s="2292">
        <f t="shared" si="327"/>
        <v>31.619622695351961</v>
      </c>
      <c r="U1662" s="2292">
        <f t="shared" si="328"/>
        <v>31.72393053984494</v>
      </c>
      <c r="V1662" s="2292">
        <f t="shared" si="329"/>
        <v>2.4373934246947613</v>
      </c>
      <c r="W1662" s="3283">
        <f t="shared" si="330"/>
        <v>0.9967120138419806</v>
      </c>
      <c r="X1662" s="3300"/>
      <c r="Y1662" s="3316"/>
      <c r="AA1662" s="3301"/>
      <c r="AB1662" s="3409"/>
      <c r="AE1662" s="2548"/>
    </row>
    <row r="1663" spans="2:31" x14ac:dyDescent="0.2">
      <c r="B1663" s="2991" t="s">
        <v>626</v>
      </c>
      <c r="C1663" s="2409">
        <v>44761</v>
      </c>
      <c r="D1663" s="2009">
        <v>106</v>
      </c>
      <c r="E1663" s="2010" t="s">
        <v>836</v>
      </c>
      <c r="F1663" s="2759" t="s">
        <v>943</v>
      </c>
      <c r="G1663" s="2410">
        <v>2.4652777777777777E-2</v>
      </c>
      <c r="H1663" s="2411">
        <v>6.01</v>
      </c>
      <c r="I1663" s="2412">
        <f t="shared" si="324"/>
        <v>4.1019596968016273E-3</v>
      </c>
      <c r="J1663" s="2413">
        <v>128</v>
      </c>
      <c r="K1663" s="2414">
        <v>35</v>
      </c>
      <c r="L1663" s="2816">
        <v>207</v>
      </c>
      <c r="M1663" s="2840">
        <v>12</v>
      </c>
      <c r="N1663" s="2368">
        <f t="shared" si="325"/>
        <v>1.094966101273996</v>
      </c>
      <c r="O1663" s="2415" t="s">
        <v>957</v>
      </c>
      <c r="P1663" s="2370">
        <f>IFERROR(VLOOKUP(F1663,Trainingsarten!$A$9:$N$84,12,FALSE),"")</f>
        <v>194.60000000000002</v>
      </c>
      <c r="Q1663" s="2432" t="s">
        <v>437</v>
      </c>
      <c r="R1663" s="2537">
        <f>IFERROR(VLOOKUP(F1663,Trainingsarten!$A$9:$N$84,14,FALSE),"")</f>
        <v>212.96</v>
      </c>
      <c r="S1663" s="2419">
        <f t="shared" si="326"/>
        <v>1.6171875</v>
      </c>
      <c r="T1663" s="2009">
        <f t="shared" si="327"/>
        <v>32.102533738873106</v>
      </c>
      <c r="U1663" s="2009">
        <f t="shared" si="328"/>
        <v>31.801932193658157</v>
      </c>
      <c r="V1663" s="2009">
        <f t="shared" si="329"/>
        <v>0.10430784449297903</v>
      </c>
      <c r="W1663" s="3284">
        <f t="shared" si="330"/>
        <v>1.0094523044506991</v>
      </c>
      <c r="X1663" s="3300"/>
      <c r="Y1663" s="3316"/>
      <c r="AA1663" s="3301"/>
      <c r="AB1663" s="3409"/>
      <c r="AE1663" s="2548"/>
    </row>
    <row r="1664" spans="2:31" ht="16" thickBot="1" x14ac:dyDescent="0.25">
      <c r="B1664" s="2979">
        <f t="shared" ref="B1664" si="362">SUM(H1662:H1668)</f>
        <v>34.159999999999997</v>
      </c>
      <c r="C1664" s="2409">
        <v>44762</v>
      </c>
      <c r="D1664" s="2009">
        <v>107</v>
      </c>
      <c r="E1664" s="2010" t="s">
        <v>836</v>
      </c>
      <c r="F1664" s="2759" t="s">
        <v>464</v>
      </c>
      <c r="G1664" s="2410">
        <v>4.2500000000000003E-2</v>
      </c>
      <c r="H1664" s="2411">
        <v>11.5</v>
      </c>
      <c r="I1664" s="2412">
        <f t="shared" si="324"/>
        <v>3.6956521739130439E-3</v>
      </c>
      <c r="J1664" s="2413">
        <v>151</v>
      </c>
      <c r="K1664" s="2414">
        <v>80</v>
      </c>
      <c r="L1664" s="2816">
        <v>228</v>
      </c>
      <c r="M1664" s="2840">
        <v>40</v>
      </c>
      <c r="N1664" s="2368">
        <f t="shared" si="325"/>
        <v>1.0865879299156394</v>
      </c>
      <c r="O1664" s="2415" t="s">
        <v>958</v>
      </c>
      <c r="P1664" s="2370" t="str">
        <f>IFERROR(VLOOKUP(F1664,Trainingsarten!$A$9:$N$84,12,FALSE),"")</f>
        <v/>
      </c>
      <c r="Q1664" s="2432" t="s">
        <v>437</v>
      </c>
      <c r="R1664" s="2537" t="str">
        <f>IFERROR(VLOOKUP(F1664,Trainingsarten!$A$9:$N$84,14,FALSE),"")</f>
        <v/>
      </c>
      <c r="S1664" s="2419">
        <f t="shared" si="326"/>
        <v>1.509933774834437</v>
      </c>
      <c r="T1664" s="2009">
        <f t="shared" si="327"/>
        <v>38.945028919034094</v>
      </c>
      <c r="U1664" s="2009">
        <f t="shared" si="328"/>
        <v>32.949505236666297</v>
      </c>
      <c r="V1664" s="2009">
        <f t="shared" si="329"/>
        <v>-0.30060154521494908</v>
      </c>
      <c r="W1664" s="3284">
        <f t="shared" si="330"/>
        <v>1.1819609623666203</v>
      </c>
      <c r="X1664" s="3300"/>
      <c r="Y1664" s="3316"/>
      <c r="AA1664" s="3301"/>
      <c r="AB1664" s="3409"/>
      <c r="AE1664" s="2548"/>
    </row>
    <row r="1665" spans="2:31" x14ac:dyDescent="0.2">
      <c r="B1665" s="2992" t="s">
        <v>628</v>
      </c>
      <c r="C1665" s="2409">
        <v>44763</v>
      </c>
      <c r="D1665" s="2009"/>
      <c r="E1665" s="2010"/>
      <c r="F1665" s="2759"/>
      <c r="G1665" s="2410"/>
      <c r="H1665" s="2411" t="str">
        <f>IFERROR(VLOOKUP(F1665,Trainingsarten!$A$9:$K$84,10,FALSE),"")</f>
        <v/>
      </c>
      <c r="I1665" s="2412" t="str">
        <f t="shared" si="324"/>
        <v/>
      </c>
      <c r="J1665" s="2413"/>
      <c r="K1665" s="2414" t="str">
        <f>IFERROR(VLOOKUP(F1665,Trainingsarten!$A$9:$K$84,11,FALSE),"0")</f>
        <v>0</v>
      </c>
      <c r="L1665" s="2816"/>
      <c r="M1665" s="2840"/>
      <c r="N1665" s="2368" t="str">
        <f t="shared" si="325"/>
        <v/>
      </c>
      <c r="O1665" s="2415"/>
      <c r="P1665" s="2370" t="str">
        <f>IFERROR(VLOOKUP(F1665,Trainingsarten!$A$9:$N$84,12,FALSE),"")</f>
        <v/>
      </c>
      <c r="Q1665" s="2432" t="s">
        <v>437</v>
      </c>
      <c r="R1665" s="2537" t="str">
        <f>IFERROR(VLOOKUP(F1665,Trainingsarten!$A$9:$N$84,14,FALSE),"")</f>
        <v/>
      </c>
      <c r="S1665" s="2419" t="str">
        <f t="shared" si="326"/>
        <v/>
      </c>
      <c r="T1665" s="2009">
        <f t="shared" si="327"/>
        <v>33.381453359172077</v>
      </c>
      <c r="U1665" s="2009">
        <f t="shared" si="328"/>
        <v>32.164993207221862</v>
      </c>
      <c r="V1665" s="2009">
        <f t="shared" si="329"/>
        <v>-5.9955236823677964</v>
      </c>
      <c r="W1665" s="3284">
        <f t="shared" si="330"/>
        <v>1.037819381590203</v>
      </c>
      <c r="X1665" s="3300"/>
      <c r="Y1665" s="3316"/>
      <c r="AA1665" s="3301"/>
      <c r="AB1665" s="3409"/>
      <c r="AE1665" s="2548"/>
    </row>
    <row r="1666" spans="2:31" ht="16" thickBot="1" x14ac:dyDescent="0.25">
      <c r="B1666" s="2993">
        <f t="shared" ref="B1666" si="363">SUM(K1662:K1668)</f>
        <v>217</v>
      </c>
      <c r="C1666" s="2562">
        <v>44764</v>
      </c>
      <c r="D1666" s="2563"/>
      <c r="E1666" s="2564"/>
      <c r="F1666" s="2775"/>
      <c r="G1666" s="2565"/>
      <c r="H1666" s="2566" t="str">
        <f>IFERROR(VLOOKUP(F1666,Trainingsarten!$A$9:$K$84,10,FALSE),"")</f>
        <v/>
      </c>
      <c r="I1666" s="2567" t="str">
        <f t="shared" si="324"/>
        <v/>
      </c>
      <c r="J1666" s="2568"/>
      <c r="K1666" s="2569" t="str">
        <f>IFERROR(VLOOKUP(F1666,Trainingsarten!$A$9:$K$84,11,FALSE),"0")</f>
        <v>0</v>
      </c>
      <c r="L1666" s="2816"/>
      <c r="M1666" s="2840"/>
      <c r="N1666" s="2570" t="str">
        <f t="shared" si="325"/>
        <v/>
      </c>
      <c r="O1666" s="2571"/>
      <c r="P1666" s="2572" t="str">
        <f>IFERROR(VLOOKUP(F1666,Trainingsarten!$A$9:$N$84,12,FALSE),"")</f>
        <v/>
      </c>
      <c r="Q1666" s="2573" t="s">
        <v>437</v>
      </c>
      <c r="R1666" s="2574" t="str">
        <f>IFERROR(VLOOKUP(F1666,Trainingsarten!$A$9:$N$84,14,FALSE),"")</f>
        <v/>
      </c>
      <c r="S1666" s="2575" t="str">
        <f t="shared" si="326"/>
        <v/>
      </c>
      <c r="T1666" s="2563">
        <f t="shared" si="327"/>
        <v>28.612674307861781</v>
      </c>
      <c r="U1666" s="2563">
        <f t="shared" si="328"/>
        <v>31.399160035621343</v>
      </c>
      <c r="V1666" s="2563">
        <f t="shared" si="329"/>
        <v>-1.2164601519502156</v>
      </c>
      <c r="W1666" s="3284">
        <f t="shared" si="330"/>
        <v>0.91125604237188562</v>
      </c>
      <c r="X1666" s="3300"/>
      <c r="Y1666" s="3316"/>
      <c r="AA1666" s="3301"/>
      <c r="AB1666" s="3409"/>
      <c r="AE1666" s="2548"/>
    </row>
    <row r="1667" spans="2:31" x14ac:dyDescent="0.2">
      <c r="B1667" s="2994" t="s">
        <v>761</v>
      </c>
      <c r="C1667" s="2441">
        <v>44765</v>
      </c>
      <c r="D1667" s="1111">
        <v>108</v>
      </c>
      <c r="E1667" s="1112" t="s">
        <v>836</v>
      </c>
      <c r="F1667" s="2774" t="s">
        <v>819</v>
      </c>
      <c r="G1667" s="2442">
        <v>3.4143518518518517E-2</v>
      </c>
      <c r="H1667" s="2443">
        <v>8.76</v>
      </c>
      <c r="I1667" s="2444">
        <f t="shared" si="324"/>
        <v>3.8976619313377302E-3</v>
      </c>
      <c r="J1667" s="1320">
        <v>140</v>
      </c>
      <c r="K1667" s="2445">
        <v>54</v>
      </c>
      <c r="L1667" s="2819">
        <v>217</v>
      </c>
      <c r="M1667" s="1320">
        <v>21</v>
      </c>
      <c r="N1667" s="1119">
        <f t="shared" si="325"/>
        <v>1.0906937913173858</v>
      </c>
      <c r="O1667" s="2446" t="s">
        <v>1460</v>
      </c>
      <c r="P1667" s="1121">
        <f>IFERROR(VLOOKUP(F1667,Trainingsarten!$A$9:$N$84,12,FALSE),"")</f>
        <v>194.60000000000002</v>
      </c>
      <c r="Q1667" s="2447" t="s">
        <v>437</v>
      </c>
      <c r="R1667" s="2448">
        <f>IFERROR(VLOOKUP(F1667,Trainingsarten!$A$9:$N$84,14,FALSE),"")</f>
        <v>212.96</v>
      </c>
      <c r="S1667" s="2449">
        <f t="shared" si="326"/>
        <v>1.55</v>
      </c>
      <c r="T1667" s="1111">
        <f t="shared" si="327"/>
        <v>32.239435121024385</v>
      </c>
      <c r="U1667" s="1111">
        <f t="shared" si="328"/>
        <v>31.937275272868455</v>
      </c>
      <c r="V1667" s="1111">
        <f t="shared" si="329"/>
        <v>2.7864857277595618</v>
      </c>
      <c r="W1667" s="3286">
        <f t="shared" si="330"/>
        <v>1.0094610402914561</v>
      </c>
      <c r="X1667" s="3300"/>
      <c r="Y1667" s="3316"/>
      <c r="AA1667" s="3301"/>
      <c r="AB1667" s="3409"/>
      <c r="AE1667" s="2548"/>
    </row>
    <row r="1668" spans="2:31" ht="16" thickBot="1" x14ac:dyDescent="0.25">
      <c r="B1668" s="2995">
        <f t="shared" ref="B1668" si="364">AVERAGE(W1662:W1668)</f>
        <v>1.0047168257558154</v>
      </c>
      <c r="C1668" s="1631">
        <v>44766</v>
      </c>
      <c r="D1668" s="1108"/>
      <c r="E1668" s="1261"/>
      <c r="F1668" s="2763"/>
      <c r="G1668" s="2433"/>
      <c r="H1668" s="2434" t="str">
        <f>IFERROR(VLOOKUP(F1668,Trainingsarten!$A$9:$K$84,10,FALSE),"")</f>
        <v/>
      </c>
      <c r="I1668" s="2435" t="str">
        <f t="shared" si="324"/>
        <v/>
      </c>
      <c r="J1668" s="1310"/>
      <c r="K1668" s="2436" t="str">
        <f>IFERROR(VLOOKUP(F1668,Trainingsarten!$A$9:$K$84,11,FALSE),"0")</f>
        <v>0</v>
      </c>
      <c r="L1668" s="2818"/>
      <c r="M1668" s="2798"/>
      <c r="N1668" s="1223" t="str">
        <f t="shared" si="325"/>
        <v/>
      </c>
      <c r="O1668" s="2437"/>
      <c r="P1668" s="1519" t="str">
        <f>IFERROR(VLOOKUP(F1668,Trainingsarten!$A$9:$N$84,12,FALSE),"")</f>
        <v/>
      </c>
      <c r="Q1668" s="2438" t="s">
        <v>437</v>
      </c>
      <c r="R1668" s="2439" t="str">
        <f>IFERROR(VLOOKUP(F1668,Trainingsarten!$A$9:$N$84,14,FALSE),"")</f>
        <v/>
      </c>
      <c r="S1668" s="2440" t="str">
        <f t="shared" si="326"/>
        <v/>
      </c>
      <c r="T1668" s="1108">
        <f t="shared" si="327"/>
        <v>27.633801532306617</v>
      </c>
      <c r="U1668" s="1108">
        <f t="shared" si="328"/>
        <v>31.176863956847779</v>
      </c>
      <c r="V1668" s="1108">
        <f t="shared" si="329"/>
        <v>-0.30215984815593089</v>
      </c>
      <c r="W1668" s="3285">
        <f t="shared" si="330"/>
        <v>0.88635603537786378</v>
      </c>
      <c r="X1668" s="3300"/>
      <c r="Y1668" s="3316"/>
      <c r="AA1668" s="3301"/>
      <c r="AB1668" s="3409"/>
      <c r="AE1668" s="2548"/>
    </row>
    <row r="1669" spans="2:31" ht="16" thickBot="1" x14ac:dyDescent="0.25">
      <c r="B1669" s="2986">
        <f t="shared" ref="B1669" si="365">B1662+1</f>
        <v>30</v>
      </c>
      <c r="C1669" s="2399">
        <v>44767</v>
      </c>
      <c r="D1669" s="2292"/>
      <c r="E1669" s="2293"/>
      <c r="F1669" s="2776"/>
      <c r="G1669" s="2400"/>
      <c r="H1669" s="2401" t="str">
        <f>IFERROR(VLOOKUP(F1669,Trainingsarten!$A$9:$K$84,10,FALSE),"")</f>
        <v/>
      </c>
      <c r="I1669" s="2402" t="str">
        <f t="shared" si="324"/>
        <v/>
      </c>
      <c r="J1669" s="2403"/>
      <c r="K1669" s="2404" t="str">
        <f>IFERROR(VLOOKUP(F1669,Trainingsarten!$A$9:$K$84,11,FALSE),"0")</f>
        <v>0</v>
      </c>
      <c r="L1669" s="2815"/>
      <c r="M1669" s="2591"/>
      <c r="N1669" s="2296" t="str">
        <f t="shared" si="325"/>
        <v/>
      </c>
      <c r="O1669" s="2405"/>
      <c r="P1669" s="2298" t="str">
        <f>IFERROR(VLOOKUP(F1669,Trainingsarten!$A$9:$N$84,12,FALSE),"")</f>
        <v/>
      </c>
      <c r="Q1669" s="2406" t="s">
        <v>437</v>
      </c>
      <c r="R1669" s="2407" t="str">
        <f>IFERROR(VLOOKUP(F1669,Trainingsarten!$A$9:$N$84,14,FALSE),"")</f>
        <v/>
      </c>
      <c r="S1669" s="2408" t="str">
        <f t="shared" si="326"/>
        <v/>
      </c>
      <c r="T1669" s="2292">
        <f t="shared" si="327"/>
        <v>23.686115599119958</v>
      </c>
      <c r="U1669" s="2292">
        <f t="shared" si="328"/>
        <v>30.434557672160928</v>
      </c>
      <c r="V1669" s="2292">
        <f t="shared" si="329"/>
        <v>3.5430624245411622</v>
      </c>
      <c r="W1669" s="3283">
        <f t="shared" si="330"/>
        <v>0.77826383594153892</v>
      </c>
      <c r="X1669" s="3300"/>
      <c r="Y1669" s="3316"/>
      <c r="AA1669" s="3301"/>
      <c r="AB1669" s="3409"/>
      <c r="AE1669" s="2548"/>
    </row>
    <row r="1670" spans="2:31" x14ac:dyDescent="0.2">
      <c r="B1670" s="2991" t="s">
        <v>626</v>
      </c>
      <c r="C1670" s="2409">
        <v>44768</v>
      </c>
      <c r="D1670" s="2009"/>
      <c r="E1670" s="2010"/>
      <c r="F1670" s="2777"/>
      <c r="G1670" s="2410"/>
      <c r="H1670" s="2411" t="str">
        <f>IFERROR(VLOOKUP(F1670,Trainingsarten!$A$9:$K$84,10,FALSE),"")</f>
        <v/>
      </c>
      <c r="I1670" s="2412" t="str">
        <f t="shared" si="324"/>
        <v/>
      </c>
      <c r="J1670" s="2413"/>
      <c r="K1670" s="2414" t="str">
        <f>IFERROR(VLOOKUP(F1670,Trainingsarten!$A$9:$K$84,11,FALSE),"0")</f>
        <v>0</v>
      </c>
      <c r="L1670" s="2816"/>
      <c r="M1670" s="2840"/>
      <c r="N1670" s="2368" t="str">
        <f t="shared" si="325"/>
        <v/>
      </c>
      <c r="O1670" s="2415"/>
      <c r="P1670" s="2370" t="str">
        <f>IFERROR(VLOOKUP(F1670,Trainingsarten!$A$9:$N$84,12,FALSE),"")</f>
        <v/>
      </c>
      <c r="Q1670" s="2432" t="s">
        <v>437</v>
      </c>
      <c r="R1670" s="2537" t="str">
        <f>IFERROR(VLOOKUP(F1670,Trainingsarten!$A$9:$N$84,14,FALSE),"")</f>
        <v/>
      </c>
      <c r="S1670" s="2419" t="str">
        <f t="shared" si="326"/>
        <v/>
      </c>
      <c r="T1670" s="2009">
        <f t="shared" si="327"/>
        <v>20.302384799245679</v>
      </c>
      <c r="U1670" s="2009">
        <f t="shared" si="328"/>
        <v>29.709925346633288</v>
      </c>
      <c r="V1670" s="2009">
        <f t="shared" si="329"/>
        <v>6.7484420730409695</v>
      </c>
      <c r="W1670" s="3284">
        <f t="shared" si="330"/>
        <v>0.68335361204622935</v>
      </c>
      <c r="X1670" s="3300"/>
      <c r="Y1670" s="3316"/>
      <c r="AA1670" s="3301"/>
      <c r="AB1670" s="3409"/>
      <c r="AE1670" s="2548"/>
    </row>
    <row r="1671" spans="2:31" ht="16" thickBot="1" x14ac:dyDescent="0.25">
      <c r="B1671" s="2979">
        <f t="shared" ref="B1671" si="366">SUM(H1669:H1675)</f>
        <v>9.92</v>
      </c>
      <c r="C1671" s="2409">
        <v>44769</v>
      </c>
      <c r="D1671" s="2009"/>
      <c r="E1671" s="2010"/>
      <c r="F1671" s="2777"/>
      <c r="G1671" s="2410"/>
      <c r="H1671" s="2411" t="str">
        <f>IFERROR(VLOOKUP(F1671,Trainingsarten!$A$9:$K$84,10,FALSE),"")</f>
        <v/>
      </c>
      <c r="I1671" s="2412" t="str">
        <f t="shared" si="324"/>
        <v/>
      </c>
      <c r="J1671" s="2413"/>
      <c r="K1671" s="2414" t="str">
        <f>IFERROR(VLOOKUP(F1671,Trainingsarten!$A$9:$K$84,11,FALSE),"0")</f>
        <v>0</v>
      </c>
      <c r="L1671" s="2816"/>
      <c r="M1671" s="2840"/>
      <c r="N1671" s="2368" t="str">
        <f t="shared" si="325"/>
        <v/>
      </c>
      <c r="O1671" s="2415"/>
      <c r="P1671" s="2370" t="str">
        <f>IFERROR(VLOOKUP(F1671,Trainingsarten!$A$9:$N$84,12,FALSE),"")</f>
        <v/>
      </c>
      <c r="Q1671" s="2432" t="s">
        <v>437</v>
      </c>
      <c r="R1671" s="2537" t="str">
        <f>IFERROR(VLOOKUP(F1671,Trainingsarten!$A$9:$N$84,14,FALSE),"")</f>
        <v/>
      </c>
      <c r="S1671" s="2419" t="str">
        <f t="shared" si="326"/>
        <v/>
      </c>
      <c r="T1671" s="2009">
        <f t="shared" si="327"/>
        <v>17.402044113639153</v>
      </c>
      <c r="U1671" s="2009">
        <f t="shared" si="328"/>
        <v>29.002546171713448</v>
      </c>
      <c r="V1671" s="2009">
        <f t="shared" si="329"/>
        <v>9.4075405473876081</v>
      </c>
      <c r="W1671" s="3284">
        <f t="shared" si="330"/>
        <v>0.60001780569912821</v>
      </c>
      <c r="X1671" s="3300"/>
      <c r="Y1671" s="3316"/>
      <c r="AA1671" s="3301"/>
      <c r="AB1671" s="3409"/>
      <c r="AE1671" s="2548"/>
    </row>
    <row r="1672" spans="2:31" x14ac:dyDescent="0.2">
      <c r="B1672" s="2992" t="s">
        <v>628</v>
      </c>
      <c r="C1672" s="2409">
        <v>44770</v>
      </c>
      <c r="D1672" s="2009"/>
      <c r="E1672" s="2010"/>
      <c r="F1672" s="2777"/>
      <c r="G1672" s="2410"/>
      <c r="H1672" s="2411" t="str">
        <f>IFERROR(VLOOKUP(F1672,Trainingsarten!$A$9:$K$84,10,FALSE),"")</f>
        <v/>
      </c>
      <c r="I1672" s="2412" t="str">
        <f t="shared" ref="I1672:I1735" si="367">IFERROR(G1672/H1672,"")</f>
        <v/>
      </c>
      <c r="J1672" s="2413"/>
      <c r="K1672" s="2414" t="str">
        <f>IFERROR(VLOOKUP(F1672,Trainingsarten!$A$9:$K$84,11,FALSE),"0")</f>
        <v>0</v>
      </c>
      <c r="L1672" s="2816"/>
      <c r="M1672" s="2840"/>
      <c r="N1672" s="2368" t="str">
        <f t="shared" ref="N1672:N1735" si="368">IFERROR((L1672/67)/(1/(I1672*24)/3.6),"")</f>
        <v/>
      </c>
      <c r="O1672" s="2415"/>
      <c r="P1672" s="2370" t="str">
        <f>IFERROR(VLOOKUP(F1672,Trainingsarten!$A$9:$N$84,12,FALSE),"")</f>
        <v/>
      </c>
      <c r="Q1672" s="2432" t="s">
        <v>437</v>
      </c>
      <c r="R1672" s="2537" t="str">
        <f>IFERROR(VLOOKUP(F1672,Trainingsarten!$A$9:$N$84,14,FALSE),"")</f>
        <v/>
      </c>
      <c r="S1672" s="2419" t="str">
        <f t="shared" ref="S1672:S1735" si="369">IFERROR(L1672/J1672,"")</f>
        <v/>
      </c>
      <c r="T1672" s="2009">
        <f t="shared" ref="T1672:T1735" si="370">T1671+(K1672-T1671)/7</f>
        <v>14.916037811690703</v>
      </c>
      <c r="U1672" s="2009">
        <f t="shared" ref="U1672:U1735" si="371">U1671+(K1672-U1671)/42</f>
        <v>28.312009358101221</v>
      </c>
      <c r="V1672" s="2009">
        <f t="shared" ref="V1672:V1735" si="372">U1671-T1671</f>
        <v>11.600502058074294</v>
      </c>
      <c r="W1672" s="3284">
        <f t="shared" ref="W1672:W1735" si="373">T1672/U1672</f>
        <v>0.5268449025650882</v>
      </c>
      <c r="X1672" s="3300"/>
      <c r="Y1672" s="3316"/>
      <c r="AA1672" s="3301"/>
      <c r="AB1672" s="3409"/>
      <c r="AE1672" s="2548"/>
    </row>
    <row r="1673" spans="2:31" ht="16" thickBot="1" x14ac:dyDescent="0.25">
      <c r="B1673" s="2993">
        <f t="shared" ref="B1673" si="374">SUM(K1669:K1675)</f>
        <v>58</v>
      </c>
      <c r="C1673" s="2562">
        <v>44771</v>
      </c>
      <c r="D1673" s="2563"/>
      <c r="E1673" s="2564"/>
      <c r="F1673" s="2777"/>
      <c r="G1673" s="2565"/>
      <c r="H1673" s="2566" t="str">
        <f>IFERROR(VLOOKUP(F1673,Trainingsarten!$A$9:$K$84,10,FALSE),"")</f>
        <v/>
      </c>
      <c r="I1673" s="2567" t="str">
        <f t="shared" si="367"/>
        <v/>
      </c>
      <c r="J1673" s="2568"/>
      <c r="K1673" s="2569" t="str">
        <f>IFERROR(VLOOKUP(F1673,Trainingsarten!$A$9:$K$84,11,FALSE),"0")</f>
        <v>0</v>
      </c>
      <c r="L1673" s="2816"/>
      <c r="M1673" s="2840"/>
      <c r="N1673" s="2570" t="str">
        <f t="shared" si="368"/>
        <v/>
      </c>
      <c r="O1673" s="2571"/>
      <c r="P1673" s="2572" t="str">
        <f>IFERROR(VLOOKUP(F1673,Trainingsarten!$A$9:$N$84,12,FALSE),"")</f>
        <v/>
      </c>
      <c r="Q1673" s="2573" t="s">
        <v>437</v>
      </c>
      <c r="R1673" s="2574" t="str">
        <f>IFERROR(VLOOKUP(F1673,Trainingsarten!$A$9:$N$84,14,FALSE),"")</f>
        <v/>
      </c>
      <c r="S1673" s="2575" t="str">
        <f t="shared" si="369"/>
        <v/>
      </c>
      <c r="T1673" s="2563">
        <f t="shared" si="370"/>
        <v>12.78517526716346</v>
      </c>
      <c r="U1673" s="2563">
        <f t="shared" si="371"/>
        <v>27.63791389719405</v>
      </c>
      <c r="V1673" s="2563">
        <f t="shared" si="372"/>
        <v>13.395971546410518</v>
      </c>
      <c r="W1673" s="3284">
        <f t="shared" si="373"/>
        <v>0.46259552420349209</v>
      </c>
      <c r="X1673" s="3300"/>
      <c r="Y1673" s="3316"/>
      <c r="AA1673" s="3301"/>
      <c r="AB1673" s="3409"/>
      <c r="AE1673" s="2548"/>
    </row>
    <row r="1674" spans="2:31" x14ac:dyDescent="0.2">
      <c r="B1674" s="2994" t="s">
        <v>761</v>
      </c>
      <c r="C1674" s="2441">
        <v>44772</v>
      </c>
      <c r="D1674" s="1111"/>
      <c r="E1674" s="1112"/>
      <c r="F1674" s="2777"/>
      <c r="G1674" s="2442"/>
      <c r="H1674" s="2443" t="str">
        <f>IFERROR(VLOOKUP(F1674,Trainingsarten!$A$9:$K$84,10,FALSE),"")</f>
        <v/>
      </c>
      <c r="I1674" s="2444" t="str">
        <f t="shared" si="367"/>
        <v/>
      </c>
      <c r="J1674" s="1320"/>
      <c r="K1674" s="2445" t="str">
        <f>IFERROR(VLOOKUP(F1674,Trainingsarten!$A$9:$K$84,11,FALSE),"0")</f>
        <v>0</v>
      </c>
      <c r="L1674" s="2819"/>
      <c r="M1674" s="1320"/>
      <c r="N1674" s="1119" t="str">
        <f t="shared" si="368"/>
        <v/>
      </c>
      <c r="O1674" s="2446"/>
      <c r="P1674" s="1121" t="str">
        <f>IFERROR(VLOOKUP(F1674,Trainingsarten!$A$9:$N$84,12,FALSE),"")</f>
        <v/>
      </c>
      <c r="Q1674" s="2447" t="s">
        <v>437</v>
      </c>
      <c r="R1674" s="2448" t="str">
        <f>IFERROR(VLOOKUP(F1674,Trainingsarten!$A$9:$N$84,14,FALSE),"")</f>
        <v/>
      </c>
      <c r="S1674" s="2449" t="str">
        <f t="shared" si="369"/>
        <v/>
      </c>
      <c r="T1674" s="1111">
        <f t="shared" si="370"/>
        <v>10.958721657568679</v>
      </c>
      <c r="U1674" s="1111">
        <f t="shared" si="371"/>
        <v>26.979868328213239</v>
      </c>
      <c r="V1674" s="1111">
        <f t="shared" si="372"/>
        <v>14.85273863003059</v>
      </c>
      <c r="W1674" s="3286">
        <f t="shared" si="373"/>
        <v>0.40618143588599298</v>
      </c>
      <c r="X1674" s="3300"/>
      <c r="Y1674" s="3316"/>
      <c r="AA1674" s="3301"/>
      <c r="AB1674" s="3409"/>
      <c r="AE1674" s="2548"/>
    </row>
    <row r="1675" spans="2:31" ht="16" thickBot="1" x14ac:dyDescent="0.25">
      <c r="B1675" s="2995">
        <f t="shared" ref="B1675" si="375">AVERAGE(W1669:W1675)</f>
        <v>0.58500857900982761</v>
      </c>
      <c r="C1675" s="1631">
        <v>44773</v>
      </c>
      <c r="D1675" s="1108">
        <v>109</v>
      </c>
      <c r="E1675" s="1261" t="s">
        <v>835</v>
      </c>
      <c r="F1675" s="2778" t="s">
        <v>819</v>
      </c>
      <c r="G1675" s="2433">
        <v>3.9398148148148147E-2</v>
      </c>
      <c r="H1675" s="2434">
        <v>9.92</v>
      </c>
      <c r="I1675" s="2435">
        <f t="shared" si="367"/>
        <v>3.9715875149342892E-3</v>
      </c>
      <c r="J1675" s="1310">
        <v>146</v>
      </c>
      <c r="K1675" s="2436">
        <v>58</v>
      </c>
      <c r="L1675" s="2818">
        <v>209</v>
      </c>
      <c r="M1675" s="2798">
        <v>24</v>
      </c>
      <c r="N1675" s="1223">
        <f t="shared" si="368"/>
        <v>1.0704080404429466</v>
      </c>
      <c r="O1675" s="2437" t="s">
        <v>958</v>
      </c>
      <c r="P1675" s="1519">
        <f>IFERROR(VLOOKUP(F1675,Trainingsarten!$A$9:$N$84,12,FALSE),"")</f>
        <v>194.60000000000002</v>
      </c>
      <c r="Q1675" s="2438" t="s">
        <v>437</v>
      </c>
      <c r="R1675" s="2439">
        <f>IFERROR(VLOOKUP(F1675,Trainingsarten!$A$9:$N$84,14,FALSE),"")</f>
        <v>212.96</v>
      </c>
      <c r="S1675" s="2440">
        <f t="shared" si="369"/>
        <v>1.4315068493150684</v>
      </c>
      <c r="T1675" s="1108">
        <f t="shared" si="370"/>
        <v>17.678904277916011</v>
      </c>
      <c r="U1675" s="1108">
        <f t="shared" si="371"/>
        <v>27.718442891827209</v>
      </c>
      <c r="V1675" s="1108">
        <f t="shared" si="372"/>
        <v>16.021146670644562</v>
      </c>
      <c r="W1675" s="3285">
        <f t="shared" si="373"/>
        <v>0.63780293672732391</v>
      </c>
      <c r="X1675" s="3300"/>
      <c r="Y1675" s="3316"/>
      <c r="AA1675" s="3301"/>
      <c r="AB1675" s="3409"/>
      <c r="AE1675" s="2548"/>
    </row>
    <row r="1676" spans="2:31" ht="16" thickBot="1" x14ac:dyDescent="0.25">
      <c r="B1676" s="2986">
        <f t="shared" ref="B1676" si="376">B1669+1</f>
        <v>31</v>
      </c>
      <c r="C1676" s="2399">
        <v>44774</v>
      </c>
      <c r="D1676" s="2292"/>
      <c r="E1676" s="2293"/>
      <c r="F1676" s="2776"/>
      <c r="G1676" s="2400"/>
      <c r="H1676" s="2401" t="str">
        <f>IFERROR(VLOOKUP(F1676,Trainingsarten!$A$9:$K$84,10,FALSE),"")</f>
        <v/>
      </c>
      <c r="I1676" s="2402" t="str">
        <f t="shared" si="367"/>
        <v/>
      </c>
      <c r="J1676" s="2403"/>
      <c r="K1676" s="2404" t="str">
        <f>IFERROR(VLOOKUP(F1676,Trainingsarten!$A$9:$K$84,11,FALSE),"0")</f>
        <v>0</v>
      </c>
      <c r="L1676" s="2815"/>
      <c r="M1676" s="2591"/>
      <c r="N1676" s="2296" t="str">
        <f t="shared" si="368"/>
        <v/>
      </c>
      <c r="O1676" s="2405"/>
      <c r="P1676" s="2298" t="str">
        <f>IFERROR(VLOOKUP(F1676,Trainingsarten!$A$9:$N$84,12,FALSE),"")</f>
        <v/>
      </c>
      <c r="Q1676" s="2406" t="s">
        <v>437</v>
      </c>
      <c r="R1676" s="2407" t="str">
        <f>IFERROR(VLOOKUP(F1676,Trainingsarten!$A$9:$N$84,14,FALSE),"")</f>
        <v/>
      </c>
      <c r="S1676" s="2408" t="str">
        <f t="shared" si="369"/>
        <v/>
      </c>
      <c r="T1676" s="2292">
        <f t="shared" si="370"/>
        <v>15.153346523928009</v>
      </c>
      <c r="U1676" s="2292">
        <f t="shared" si="371"/>
        <v>27.058479965831324</v>
      </c>
      <c r="V1676" s="2292">
        <f t="shared" si="372"/>
        <v>10.039538613911198</v>
      </c>
      <c r="W1676" s="3283">
        <f t="shared" si="373"/>
        <v>0.56002209078496734</v>
      </c>
      <c r="X1676" s="3300"/>
      <c r="Y1676" s="3316"/>
      <c r="AA1676" s="3301"/>
      <c r="AB1676" s="3409"/>
      <c r="AE1676" s="2548"/>
    </row>
    <row r="1677" spans="2:31" x14ac:dyDescent="0.2">
      <c r="B1677" s="2991" t="s">
        <v>626</v>
      </c>
      <c r="C1677" s="2409">
        <v>44775</v>
      </c>
      <c r="D1677" s="2009">
        <v>110</v>
      </c>
      <c r="E1677" s="2010" t="s">
        <v>835</v>
      </c>
      <c r="F1677" s="2777" t="s">
        <v>819</v>
      </c>
      <c r="G1677" s="2410">
        <v>3.8912037037037037E-2</v>
      </c>
      <c r="H1677" s="2411">
        <v>10</v>
      </c>
      <c r="I1677" s="2412">
        <f t="shared" si="367"/>
        <v>3.8912037037037036E-3</v>
      </c>
      <c r="J1677" s="2413">
        <v>137</v>
      </c>
      <c r="K1677" s="2414">
        <v>60</v>
      </c>
      <c r="L1677" s="2816">
        <v>214</v>
      </c>
      <c r="M1677" s="2840">
        <v>17</v>
      </c>
      <c r="N1677" s="2368">
        <f t="shared" si="368"/>
        <v>1.0738328358208955</v>
      </c>
      <c r="O1677" s="2415" t="s">
        <v>953</v>
      </c>
      <c r="P1677" s="2370">
        <f>IFERROR(VLOOKUP(F1677,Trainingsarten!$A$9:$N$84,12,FALSE),"")</f>
        <v>194.60000000000002</v>
      </c>
      <c r="Q1677" s="2432" t="s">
        <v>437</v>
      </c>
      <c r="R1677" s="2537">
        <f>IFERROR(VLOOKUP(F1677,Trainingsarten!$A$9:$N$84,14,FALSE),"")</f>
        <v>212.96</v>
      </c>
      <c r="S1677" s="2419">
        <f t="shared" si="369"/>
        <v>1.562043795620438</v>
      </c>
      <c r="T1677" s="2009">
        <f t="shared" si="370"/>
        <v>21.560011306224009</v>
      </c>
      <c r="U1677" s="2009">
        <f t="shared" si="371"/>
        <v>27.84280187140677</v>
      </c>
      <c r="V1677" s="2009">
        <f t="shared" si="372"/>
        <v>11.905133441903315</v>
      </c>
      <c r="W1677" s="3284">
        <f t="shared" si="373"/>
        <v>0.77434776161536789</v>
      </c>
      <c r="X1677" s="3300"/>
      <c r="Y1677" s="3316"/>
      <c r="AA1677" s="3301"/>
      <c r="AB1677" s="3409"/>
      <c r="AE1677" s="2548"/>
    </row>
    <row r="1678" spans="2:31" ht="16" thickBot="1" x14ac:dyDescent="0.25">
      <c r="B1678" s="2979">
        <f t="shared" ref="B1678" si="377">SUM(H1676:H1682)</f>
        <v>32.950000000000003</v>
      </c>
      <c r="C1678" s="2409">
        <v>44776</v>
      </c>
      <c r="D1678" s="2009"/>
      <c r="E1678" s="2010"/>
      <c r="F1678" s="2777"/>
      <c r="G1678" s="2410"/>
      <c r="H1678" s="2411" t="str">
        <f>IFERROR(VLOOKUP(F1678,Trainingsarten!$A$9:$K$84,10,FALSE),"")</f>
        <v/>
      </c>
      <c r="I1678" s="2412" t="str">
        <f t="shared" si="367"/>
        <v/>
      </c>
      <c r="J1678" s="2413"/>
      <c r="K1678" s="2414" t="str">
        <f>IFERROR(VLOOKUP(F1678,Trainingsarten!$A$9:$K$84,11,FALSE),"0")</f>
        <v>0</v>
      </c>
      <c r="L1678" s="2816"/>
      <c r="M1678" s="2840"/>
      <c r="N1678" s="2368" t="str">
        <f t="shared" si="368"/>
        <v/>
      </c>
      <c r="O1678" s="2415"/>
      <c r="P1678" s="2370" t="str">
        <f>IFERROR(VLOOKUP(F1678,Trainingsarten!$A$9:$N$84,12,FALSE),"")</f>
        <v/>
      </c>
      <c r="Q1678" s="2432" t="s">
        <v>437</v>
      </c>
      <c r="R1678" s="2537" t="str">
        <f>IFERROR(VLOOKUP(F1678,Trainingsarten!$A$9:$N$84,14,FALSE),"")</f>
        <v/>
      </c>
      <c r="S1678" s="2419" t="str">
        <f t="shared" si="369"/>
        <v/>
      </c>
      <c r="T1678" s="2009">
        <f t="shared" si="370"/>
        <v>18.480009691049151</v>
      </c>
      <c r="U1678" s="2009">
        <f t="shared" si="371"/>
        <v>27.179878017325656</v>
      </c>
      <c r="V1678" s="2009">
        <f t="shared" si="372"/>
        <v>6.2827905651827614</v>
      </c>
      <c r="W1678" s="3284">
        <f t="shared" si="373"/>
        <v>0.67991510775983521</v>
      </c>
      <c r="X1678" s="3300"/>
      <c r="Y1678" s="3316"/>
      <c r="AA1678" s="3301"/>
      <c r="AB1678" s="3409"/>
      <c r="AE1678" s="2548"/>
    </row>
    <row r="1679" spans="2:31" x14ac:dyDescent="0.2">
      <c r="B1679" s="2992" t="s">
        <v>628</v>
      </c>
      <c r="C1679" s="2409">
        <v>44777</v>
      </c>
      <c r="D1679" s="2009">
        <v>111</v>
      </c>
      <c r="E1679" s="2010" t="s">
        <v>835</v>
      </c>
      <c r="F1679" s="2777" t="s">
        <v>819</v>
      </c>
      <c r="G1679" s="2410">
        <v>3.9560185185185184E-2</v>
      </c>
      <c r="H1679" s="2411">
        <v>9.75</v>
      </c>
      <c r="I1679" s="2412">
        <f t="shared" si="367"/>
        <v>4.0574548907882238E-3</v>
      </c>
      <c r="J1679" s="2413">
        <v>138</v>
      </c>
      <c r="K1679" s="2414">
        <v>57</v>
      </c>
      <c r="L1679" s="2816">
        <v>206</v>
      </c>
      <c r="M1679" s="2840">
        <v>27</v>
      </c>
      <c r="N1679" s="2368">
        <f t="shared" si="368"/>
        <v>1.0778538078836586</v>
      </c>
      <c r="O1679" s="2415" t="s">
        <v>957</v>
      </c>
      <c r="P1679" s="2370">
        <f>IFERROR(VLOOKUP(F1679,Trainingsarten!$A$9:$N$84,12,FALSE),"")</f>
        <v>194.60000000000002</v>
      </c>
      <c r="Q1679" s="2432" t="s">
        <v>437</v>
      </c>
      <c r="R1679" s="2537">
        <f>IFERROR(VLOOKUP(F1679,Trainingsarten!$A$9:$N$84,14,FALSE),"")</f>
        <v>212.96</v>
      </c>
      <c r="S1679" s="2419">
        <f t="shared" si="369"/>
        <v>1.4927536231884058</v>
      </c>
      <c r="T1679" s="2009">
        <f t="shared" si="370"/>
        <v>23.982865449470701</v>
      </c>
      <c r="U1679" s="2009">
        <f t="shared" si="371"/>
        <v>27.889880921675044</v>
      </c>
      <c r="V1679" s="2009">
        <f t="shared" si="372"/>
        <v>8.6998683262765049</v>
      </c>
      <c r="W1679" s="3284">
        <f t="shared" si="373"/>
        <v>0.85991279478113702</v>
      </c>
      <c r="X1679" s="3300"/>
      <c r="Y1679" s="3316"/>
      <c r="AA1679" s="3301"/>
      <c r="AB1679" s="3409"/>
      <c r="AE1679" s="2548"/>
    </row>
    <row r="1680" spans="2:31" ht="16" thickBot="1" x14ac:dyDescent="0.25">
      <c r="B1680" s="2993">
        <f t="shared" ref="B1680" si="378">SUM(K1676:K1682)</f>
        <v>197</v>
      </c>
      <c r="C1680" s="2562">
        <v>44778</v>
      </c>
      <c r="D1680" s="2563"/>
      <c r="E1680" s="2564"/>
      <c r="F1680" s="2777"/>
      <c r="G1680" s="2565"/>
      <c r="H1680" s="2566" t="str">
        <f>IFERROR(VLOOKUP(F1680,Trainingsarten!$A$9:$K$84,10,FALSE),"")</f>
        <v/>
      </c>
      <c r="I1680" s="2567" t="str">
        <f t="shared" si="367"/>
        <v/>
      </c>
      <c r="J1680" s="2568"/>
      <c r="K1680" s="2569" t="str">
        <f>IFERROR(VLOOKUP(F1680,Trainingsarten!$A$9:$K$84,11,FALSE),"0")</f>
        <v>0</v>
      </c>
      <c r="L1680" s="2816"/>
      <c r="M1680" s="2840"/>
      <c r="N1680" s="2570" t="str">
        <f t="shared" si="368"/>
        <v/>
      </c>
      <c r="O1680" s="2571"/>
      <c r="P1680" s="2572" t="str">
        <f>IFERROR(VLOOKUP(F1680,Trainingsarten!$A$9:$N$84,12,FALSE),"")</f>
        <v/>
      </c>
      <c r="Q1680" s="2573" t="s">
        <v>437</v>
      </c>
      <c r="R1680" s="2574" t="str">
        <f>IFERROR(VLOOKUP(F1680,Trainingsarten!$A$9:$N$84,14,FALSE),"")</f>
        <v/>
      </c>
      <c r="S1680" s="2575" t="str">
        <f t="shared" si="369"/>
        <v/>
      </c>
      <c r="T1680" s="2563">
        <f t="shared" si="370"/>
        <v>20.55674181383203</v>
      </c>
      <c r="U1680" s="2563">
        <f t="shared" si="371"/>
        <v>27.225836137825638</v>
      </c>
      <c r="V1680" s="2563">
        <f t="shared" si="372"/>
        <v>3.9070154722043426</v>
      </c>
      <c r="W1680" s="3284">
        <f t="shared" si="373"/>
        <v>0.75504538078343741</v>
      </c>
      <c r="X1680" s="3300"/>
      <c r="Y1680" s="3316"/>
      <c r="AA1680" s="3301"/>
      <c r="AB1680" s="3409"/>
      <c r="AE1680" s="2548"/>
    </row>
    <row r="1681" spans="2:31" x14ac:dyDescent="0.2">
      <c r="B1681" s="2994" t="s">
        <v>761</v>
      </c>
      <c r="C1681" s="2441">
        <v>44779</v>
      </c>
      <c r="D1681" s="1111">
        <v>112</v>
      </c>
      <c r="E1681" s="1112" t="s">
        <v>835</v>
      </c>
      <c r="F1681" s="2777" t="s">
        <v>906</v>
      </c>
      <c r="G1681" s="2442">
        <v>5.2361111111111108E-2</v>
      </c>
      <c r="H1681" s="2443">
        <v>13.2</v>
      </c>
      <c r="I1681" s="2444">
        <f t="shared" si="367"/>
        <v>3.9667508417508416E-3</v>
      </c>
      <c r="J1681" s="1320">
        <v>137</v>
      </c>
      <c r="K1681" s="2445">
        <v>80</v>
      </c>
      <c r="L1681" s="2819">
        <v>211</v>
      </c>
      <c r="M1681" s="1320">
        <v>50</v>
      </c>
      <c r="N1681" s="1119">
        <f t="shared" si="368"/>
        <v>1.079335142469471</v>
      </c>
      <c r="O1681" s="2446" t="s">
        <v>953</v>
      </c>
      <c r="P1681" s="1121">
        <f>IFERROR(VLOOKUP(F1681,Trainingsarten!$A$9:$N$84,12,FALSE),"")</f>
        <v>194.60000000000002</v>
      </c>
      <c r="Q1681" s="2447" t="s">
        <v>437</v>
      </c>
      <c r="R1681" s="2448">
        <f>IFERROR(VLOOKUP(F1681,Trainingsarten!$A$9:$N$84,14,FALSE),"")</f>
        <v>212.96</v>
      </c>
      <c r="S1681" s="2449">
        <f t="shared" si="369"/>
        <v>1.5401459854014599</v>
      </c>
      <c r="T1681" s="1111">
        <f t="shared" si="370"/>
        <v>29.048635840427451</v>
      </c>
      <c r="U1681" s="1111">
        <f t="shared" si="371"/>
        <v>28.482363848829788</v>
      </c>
      <c r="V1681" s="1111">
        <f t="shared" si="372"/>
        <v>6.6690943239936082</v>
      </c>
      <c r="W1681" s="3286">
        <f t="shared" si="373"/>
        <v>1.019881495602091</v>
      </c>
      <c r="X1681" s="3300"/>
      <c r="Y1681" s="3316"/>
      <c r="AA1681" s="3301"/>
      <c r="AB1681" s="3409"/>
      <c r="AE1681" s="2548"/>
    </row>
    <row r="1682" spans="2:31" ht="16" thickBot="1" x14ac:dyDescent="0.25">
      <c r="B1682" s="2995">
        <f t="shared" ref="B1682" si="379">AVERAGE(W1676:W1682)</f>
        <v>0.79209004782604719</v>
      </c>
      <c r="C1682" s="1631">
        <v>44780</v>
      </c>
      <c r="D1682" s="1108"/>
      <c r="E1682" s="1261"/>
      <c r="F1682" s="2879"/>
      <c r="G1682" s="2433"/>
      <c r="H1682" s="2434" t="str">
        <f>IFERROR(VLOOKUP(F1682,Trainingsarten!$A$9:$K$84,10,FALSE),"")</f>
        <v/>
      </c>
      <c r="I1682" s="2435" t="str">
        <f t="shared" si="367"/>
        <v/>
      </c>
      <c r="J1682" s="1310"/>
      <c r="K1682" s="2436" t="str">
        <f>IFERROR(VLOOKUP(F1682,Trainingsarten!$A$9:$K$84,11,FALSE),"0")</f>
        <v>0</v>
      </c>
      <c r="L1682" s="2818"/>
      <c r="M1682" s="2798"/>
      <c r="N1682" s="1223" t="str">
        <f t="shared" si="368"/>
        <v/>
      </c>
      <c r="O1682" s="2437"/>
      <c r="P1682" s="1519" t="str">
        <f>IFERROR(VLOOKUP(F1682,Trainingsarten!$A$9:$N$84,12,FALSE),"")</f>
        <v/>
      </c>
      <c r="Q1682" s="2438" t="s">
        <v>437</v>
      </c>
      <c r="R1682" s="2439" t="str">
        <f>IFERROR(VLOOKUP(F1682,Trainingsarten!$A$9:$N$84,14,FALSE),"")</f>
        <v/>
      </c>
      <c r="S1682" s="2440" t="str">
        <f t="shared" si="369"/>
        <v/>
      </c>
      <c r="T1682" s="1108">
        <f t="shared" si="370"/>
        <v>24.898830720366387</v>
      </c>
      <c r="U1682" s="1108">
        <f t="shared" si="371"/>
        <v>27.804212328619556</v>
      </c>
      <c r="V1682" s="1108">
        <f t="shared" si="372"/>
        <v>-0.56627199159766306</v>
      </c>
      <c r="W1682" s="3285">
        <f t="shared" si="373"/>
        <v>0.89550570345549441</v>
      </c>
      <c r="X1682" s="3300"/>
      <c r="Y1682" s="3316"/>
      <c r="AA1682" s="3301"/>
      <c r="AB1682" s="3409"/>
      <c r="AE1682" s="2548"/>
    </row>
    <row r="1683" spans="2:31" ht="16" thickBot="1" x14ac:dyDescent="0.25">
      <c r="B1683" s="2986">
        <f t="shared" ref="B1683" si="380">B1676+1</f>
        <v>32</v>
      </c>
      <c r="C1683" s="2399">
        <v>44781</v>
      </c>
      <c r="D1683" s="2292">
        <v>113</v>
      </c>
      <c r="E1683" s="2293" t="s">
        <v>836</v>
      </c>
      <c r="F1683" s="2776" t="s">
        <v>943</v>
      </c>
      <c r="G1683" s="2400">
        <v>3.2303240740740737E-2</v>
      </c>
      <c r="H1683" s="2401">
        <v>9.01</v>
      </c>
      <c r="I1683" s="2402">
        <f t="shared" si="367"/>
        <v>3.5852653430344882E-3</v>
      </c>
      <c r="J1683" s="2403">
        <v>146</v>
      </c>
      <c r="K1683" s="2404">
        <v>63</v>
      </c>
      <c r="L1683" s="2815">
        <v>236</v>
      </c>
      <c r="M1683" s="2591">
        <v>17</v>
      </c>
      <c r="N1683" s="2296">
        <f t="shared" si="368"/>
        <v>1.0911193201583647</v>
      </c>
      <c r="O1683" s="2405" t="s">
        <v>958</v>
      </c>
      <c r="P1683" s="2298">
        <f>IFERROR(VLOOKUP(F1683,Trainingsarten!$A$9:$N$84,12,FALSE),"")</f>
        <v>194.60000000000002</v>
      </c>
      <c r="Q1683" s="2406" t="s">
        <v>437</v>
      </c>
      <c r="R1683" s="2407">
        <f>IFERROR(VLOOKUP(F1683,Trainingsarten!$A$9:$N$84,14,FALSE),"")</f>
        <v>212.96</v>
      </c>
      <c r="S1683" s="2408">
        <f t="shared" si="369"/>
        <v>1.6164383561643836</v>
      </c>
      <c r="T1683" s="2292">
        <f t="shared" si="370"/>
        <v>30.341854903171189</v>
      </c>
      <c r="U1683" s="2292">
        <f t="shared" si="371"/>
        <v>28.642207273176233</v>
      </c>
      <c r="V1683" s="2292">
        <f t="shared" si="372"/>
        <v>2.9053816082531689</v>
      </c>
      <c r="W1683" s="3283">
        <f t="shared" si="373"/>
        <v>1.0593406651165009</v>
      </c>
      <c r="X1683" s="3300"/>
      <c r="Y1683" s="3316"/>
      <c r="AA1683" s="3301"/>
      <c r="AB1683" s="3409"/>
      <c r="AE1683" s="2548"/>
    </row>
    <row r="1684" spans="2:31" x14ac:dyDescent="0.2">
      <c r="B1684" s="2991" t="s">
        <v>626</v>
      </c>
      <c r="C1684" s="2409">
        <v>44782</v>
      </c>
      <c r="D1684" s="2009"/>
      <c r="E1684" s="2010"/>
      <c r="F1684" s="2777"/>
      <c r="G1684" s="2410"/>
      <c r="H1684" s="2411" t="str">
        <f>IFERROR(VLOOKUP(F1684,Trainingsarten!$A$9:$K$84,10,FALSE),"")</f>
        <v/>
      </c>
      <c r="I1684" s="2412" t="str">
        <f t="shared" si="367"/>
        <v/>
      </c>
      <c r="J1684" s="2413"/>
      <c r="K1684" s="2414" t="str">
        <f>IFERROR(VLOOKUP(F1684,Trainingsarten!$A$9:$K$84,11,FALSE),"0")</f>
        <v>0</v>
      </c>
      <c r="L1684" s="2816"/>
      <c r="M1684" s="2840"/>
      <c r="N1684" s="2368" t="str">
        <f t="shared" si="368"/>
        <v/>
      </c>
      <c r="O1684" s="2415"/>
      <c r="P1684" s="2370" t="str">
        <f>IFERROR(VLOOKUP(F1684,Trainingsarten!$A$9:$N$84,12,FALSE),"")</f>
        <v/>
      </c>
      <c r="Q1684" s="2432" t="s">
        <v>437</v>
      </c>
      <c r="R1684" s="2537" t="str">
        <f>IFERROR(VLOOKUP(F1684,Trainingsarten!$A$9:$N$84,14,FALSE),"")</f>
        <v/>
      </c>
      <c r="S1684" s="2419" t="str">
        <f t="shared" si="369"/>
        <v/>
      </c>
      <c r="T1684" s="2009">
        <f t="shared" si="370"/>
        <v>26.00730420271816</v>
      </c>
      <c r="U1684" s="2009">
        <f t="shared" si="371"/>
        <v>27.960249957148228</v>
      </c>
      <c r="V1684" s="2009">
        <f t="shared" si="372"/>
        <v>-1.6996476299949563</v>
      </c>
      <c r="W1684" s="3284">
        <f t="shared" si="373"/>
        <v>0.93015277912668359</v>
      </c>
      <c r="X1684" s="3300"/>
      <c r="Y1684" s="3316"/>
      <c r="AA1684" s="3301"/>
      <c r="AB1684" s="3409"/>
      <c r="AE1684" s="2548"/>
    </row>
    <row r="1685" spans="2:31" ht="16" thickBot="1" x14ac:dyDescent="0.25">
      <c r="B1685" s="2979">
        <f t="shared" ref="B1685" si="381">SUM(H1683:H1689)</f>
        <v>15.17</v>
      </c>
      <c r="C1685" s="2409">
        <v>44783</v>
      </c>
      <c r="D1685" s="2009">
        <v>114</v>
      </c>
      <c r="E1685" s="2010" t="s">
        <v>835</v>
      </c>
      <c r="F1685" s="2777" t="s">
        <v>943</v>
      </c>
      <c r="G1685" s="2410">
        <v>2.4988425925925928E-2</v>
      </c>
      <c r="H1685" s="2411">
        <v>6.16</v>
      </c>
      <c r="I1685" s="2412">
        <f t="shared" si="367"/>
        <v>4.0565626503126506E-3</v>
      </c>
      <c r="J1685" s="2413">
        <v>124</v>
      </c>
      <c r="K1685" s="2414">
        <v>34</v>
      </c>
      <c r="L1685" s="2816">
        <v>202</v>
      </c>
      <c r="M1685" s="2840">
        <v>14</v>
      </c>
      <c r="N1685" s="2368">
        <f t="shared" si="368"/>
        <v>1.0566921884086065</v>
      </c>
      <c r="O1685" s="2415" t="s">
        <v>1460</v>
      </c>
      <c r="P1685" s="2370">
        <f>IFERROR(VLOOKUP(F1685,Trainingsarten!$A$9:$N$84,12,FALSE),"")</f>
        <v>194.60000000000002</v>
      </c>
      <c r="Q1685" s="2432" t="s">
        <v>437</v>
      </c>
      <c r="R1685" s="2537">
        <f>IFERROR(VLOOKUP(F1685,Trainingsarten!$A$9:$N$84,14,FALSE),"")</f>
        <v>212.96</v>
      </c>
      <c r="S1685" s="2419">
        <f t="shared" si="369"/>
        <v>1.6290322580645162</v>
      </c>
      <c r="T1685" s="2009">
        <f t="shared" si="370"/>
        <v>27.149117888044138</v>
      </c>
      <c r="U1685" s="2009">
        <f t="shared" si="371"/>
        <v>28.104053529597081</v>
      </c>
      <c r="V1685" s="2009">
        <f t="shared" si="372"/>
        <v>1.9529457544300683</v>
      </c>
      <c r="W1685" s="3284">
        <f t="shared" si="373"/>
        <v>0.96602142674730973</v>
      </c>
      <c r="X1685" s="3300"/>
      <c r="Y1685" s="3316"/>
      <c r="AA1685" s="3301"/>
      <c r="AB1685" s="3409"/>
      <c r="AE1685" s="2548"/>
    </row>
    <row r="1686" spans="2:31" x14ac:dyDescent="0.2">
      <c r="B1686" s="2992" t="s">
        <v>628</v>
      </c>
      <c r="C1686" s="2409">
        <v>44784</v>
      </c>
      <c r="D1686" s="2009"/>
      <c r="E1686" s="2010"/>
      <c r="F1686" s="2777"/>
      <c r="G1686" s="2410"/>
      <c r="H1686" s="2411" t="str">
        <f>IFERROR(VLOOKUP(F1686,Trainingsarten!$A$9:$K$84,10,FALSE),"")</f>
        <v/>
      </c>
      <c r="I1686" s="2412" t="str">
        <f t="shared" si="367"/>
        <v/>
      </c>
      <c r="J1686" s="2413"/>
      <c r="K1686" s="2414" t="str">
        <f>IFERROR(VLOOKUP(F1686,Trainingsarten!$A$9:$K$84,11,FALSE),"0")</f>
        <v>0</v>
      </c>
      <c r="L1686" s="2816"/>
      <c r="M1686" s="2840"/>
      <c r="N1686" s="2368" t="str">
        <f t="shared" si="368"/>
        <v/>
      </c>
      <c r="O1686" s="2415"/>
      <c r="P1686" s="2370" t="str">
        <f>IFERROR(VLOOKUP(F1686,Trainingsarten!$A$9:$N$84,12,FALSE),"")</f>
        <v/>
      </c>
      <c r="Q1686" s="2432" t="s">
        <v>437</v>
      </c>
      <c r="R1686" s="2537" t="str">
        <f>IFERROR(VLOOKUP(F1686,Trainingsarten!$A$9:$N$84,14,FALSE),"")</f>
        <v/>
      </c>
      <c r="S1686" s="2419" t="str">
        <f t="shared" si="369"/>
        <v/>
      </c>
      <c r="T1686" s="2009">
        <f t="shared" si="370"/>
        <v>23.270672475466405</v>
      </c>
      <c r="U1686" s="2009">
        <f t="shared" si="371"/>
        <v>27.434909397940007</v>
      </c>
      <c r="V1686" s="2009">
        <f t="shared" si="372"/>
        <v>0.95493564155294308</v>
      </c>
      <c r="W1686" s="3284">
        <f t="shared" si="373"/>
        <v>0.84821393568056469</v>
      </c>
      <c r="X1686" s="3300"/>
      <c r="Y1686" s="3316"/>
      <c r="AA1686" s="3301"/>
      <c r="AB1686" s="3409"/>
      <c r="AE1686" s="2548"/>
    </row>
    <row r="1687" spans="2:31" ht="16" thickBot="1" x14ac:dyDescent="0.25">
      <c r="B1687" s="2993">
        <f t="shared" ref="B1687" si="382">SUM(K1683:K1689)</f>
        <v>97</v>
      </c>
      <c r="C1687" s="2562">
        <v>44785</v>
      </c>
      <c r="D1687" s="2563"/>
      <c r="E1687" s="2564"/>
      <c r="F1687" s="2777"/>
      <c r="G1687" s="2565"/>
      <c r="H1687" s="2566" t="str">
        <f>IFERROR(VLOOKUP(F1687,Trainingsarten!$A$9:$K$84,10,FALSE),"")</f>
        <v/>
      </c>
      <c r="I1687" s="2567" t="str">
        <f t="shared" si="367"/>
        <v/>
      </c>
      <c r="J1687" s="2568"/>
      <c r="K1687" s="2569" t="str">
        <f>IFERROR(VLOOKUP(F1687,Trainingsarten!$A$9:$K$84,11,FALSE),"0")</f>
        <v>0</v>
      </c>
      <c r="L1687" s="2816"/>
      <c r="M1687" s="2840"/>
      <c r="N1687" s="2570" t="str">
        <f t="shared" si="368"/>
        <v/>
      </c>
      <c r="O1687" s="2571"/>
      <c r="P1687" s="2572" t="str">
        <f>IFERROR(VLOOKUP(F1687,Trainingsarten!$A$9:$N$84,12,FALSE),"")</f>
        <v/>
      </c>
      <c r="Q1687" s="2573" t="s">
        <v>437</v>
      </c>
      <c r="R1687" s="2574" t="str">
        <f>IFERROR(VLOOKUP(F1687,Trainingsarten!$A$9:$N$84,14,FALSE),"")</f>
        <v/>
      </c>
      <c r="S1687" s="2575" t="str">
        <f t="shared" si="369"/>
        <v/>
      </c>
      <c r="T1687" s="2563">
        <f t="shared" si="370"/>
        <v>19.94629069325692</v>
      </c>
      <c r="U1687" s="2563">
        <f t="shared" si="371"/>
        <v>26.781697269417627</v>
      </c>
      <c r="V1687" s="2563">
        <f t="shared" si="372"/>
        <v>4.1642369224736022</v>
      </c>
      <c r="W1687" s="3284">
        <f t="shared" si="373"/>
        <v>0.74477321181708123</v>
      </c>
      <c r="X1687" s="3300"/>
      <c r="Y1687" s="3316"/>
      <c r="AA1687" s="3301"/>
      <c r="AB1687" s="3409"/>
      <c r="AE1687" s="2548"/>
    </row>
    <row r="1688" spans="2:31" x14ac:dyDescent="0.2">
      <c r="B1688" s="2994" t="s">
        <v>761</v>
      </c>
      <c r="C1688" s="2441">
        <v>44786</v>
      </c>
      <c r="D1688" s="1111"/>
      <c r="E1688" s="1112"/>
      <c r="F1688" s="2777"/>
      <c r="G1688" s="2442"/>
      <c r="H1688" s="2443" t="str">
        <f>IFERROR(VLOOKUP(F1688,Trainingsarten!$A$9:$K$84,10,FALSE),"")</f>
        <v/>
      </c>
      <c r="I1688" s="2444" t="str">
        <f t="shared" si="367"/>
        <v/>
      </c>
      <c r="J1688" s="1320"/>
      <c r="K1688" s="2445" t="str">
        <f>IFERROR(VLOOKUP(F1688,Trainingsarten!$A$9:$K$84,11,FALSE),"0")</f>
        <v>0</v>
      </c>
      <c r="L1688" s="2819"/>
      <c r="M1688" s="1320"/>
      <c r="N1688" s="1119" t="str">
        <f t="shared" si="368"/>
        <v/>
      </c>
      <c r="O1688" s="2446"/>
      <c r="P1688" s="1121" t="str">
        <f>IFERROR(VLOOKUP(F1688,Trainingsarten!$A$9:$N$84,12,FALSE),"")</f>
        <v/>
      </c>
      <c r="Q1688" s="2447" t="s">
        <v>437</v>
      </c>
      <c r="R1688" s="2448" t="str">
        <f>IFERROR(VLOOKUP(F1688,Trainingsarten!$A$9:$N$84,14,FALSE),"")</f>
        <v/>
      </c>
      <c r="S1688" s="2449" t="str">
        <f t="shared" si="369"/>
        <v/>
      </c>
      <c r="T1688" s="1111">
        <f t="shared" si="370"/>
        <v>17.096820594220215</v>
      </c>
      <c r="U1688" s="1111">
        <f t="shared" si="371"/>
        <v>26.14403781062197</v>
      </c>
      <c r="V1688" s="1111">
        <f t="shared" si="372"/>
        <v>6.8354065761607075</v>
      </c>
      <c r="W1688" s="3286">
        <f t="shared" si="373"/>
        <v>0.6539472103759737</v>
      </c>
      <c r="X1688" s="3300"/>
      <c r="Y1688" s="3316"/>
      <c r="AA1688" s="3301"/>
      <c r="AB1688" s="3409"/>
      <c r="AE1688" s="2548"/>
    </row>
    <row r="1689" spans="2:31" ht="16" thickBot="1" x14ac:dyDescent="0.25">
      <c r="B1689" s="2995">
        <f t="shared" ref="B1689" si="383">AVERAGE(W1683:W1689)</f>
        <v>0.82523525420544852</v>
      </c>
      <c r="C1689" s="1631">
        <v>44787</v>
      </c>
      <c r="D1689" s="1108"/>
      <c r="E1689" s="1261"/>
      <c r="F1689" s="2778"/>
      <c r="G1689" s="2433"/>
      <c r="H1689" s="2434" t="str">
        <f>IFERROR(VLOOKUP(F1689,Trainingsarten!$A$9:$K$84,10,FALSE),"")</f>
        <v/>
      </c>
      <c r="I1689" s="2435" t="str">
        <f t="shared" si="367"/>
        <v/>
      </c>
      <c r="J1689" s="1310"/>
      <c r="K1689" s="2436" t="str">
        <f>IFERROR(VLOOKUP(F1689,Trainingsarten!$A$9:$K$84,11,FALSE),"0")</f>
        <v>0</v>
      </c>
      <c r="L1689" s="2818"/>
      <c r="M1689" s="2798"/>
      <c r="N1689" s="1223" t="str">
        <f t="shared" si="368"/>
        <v/>
      </c>
      <c r="O1689" s="2437"/>
      <c r="P1689" s="1519" t="str">
        <f>IFERROR(VLOOKUP(F1689,Trainingsarten!$A$9:$N$84,12,FALSE),"")</f>
        <v/>
      </c>
      <c r="Q1689" s="2438" t="s">
        <v>437</v>
      </c>
      <c r="R1689" s="2439" t="str">
        <f>IFERROR(VLOOKUP(F1689,Trainingsarten!$A$9:$N$84,14,FALSE),"")</f>
        <v/>
      </c>
      <c r="S1689" s="2440" t="str">
        <f t="shared" si="369"/>
        <v/>
      </c>
      <c r="T1689" s="1108">
        <f t="shared" si="370"/>
        <v>14.654417652188755</v>
      </c>
      <c r="U1689" s="1108">
        <f t="shared" si="371"/>
        <v>25.521560719892875</v>
      </c>
      <c r="V1689" s="1108">
        <f t="shared" si="372"/>
        <v>9.047217216401755</v>
      </c>
      <c r="W1689" s="3285">
        <f t="shared" si="373"/>
        <v>0.57419755057402566</v>
      </c>
      <c r="X1689" s="3300"/>
      <c r="Y1689" s="3316"/>
      <c r="AA1689" s="3301"/>
      <c r="AB1689" s="3409"/>
      <c r="AE1689" s="2548"/>
    </row>
    <row r="1690" spans="2:31" ht="16" thickBot="1" x14ac:dyDescent="0.25">
      <c r="B1690" s="2986">
        <f t="shared" ref="B1690" si="384">B1683+1</f>
        <v>33</v>
      </c>
      <c r="C1690" s="2399">
        <v>44788</v>
      </c>
      <c r="D1690" s="2292"/>
      <c r="E1690" s="2293"/>
      <c r="F1690" s="2776"/>
      <c r="G1690" s="2400"/>
      <c r="H1690" s="2401" t="str">
        <f>IFERROR(VLOOKUP(F1690,Trainingsarten!$A$9:$K$84,10,FALSE),"")</f>
        <v/>
      </c>
      <c r="I1690" s="2402" t="str">
        <f t="shared" si="367"/>
        <v/>
      </c>
      <c r="J1690" s="2403"/>
      <c r="K1690" s="2404" t="str">
        <f>IFERROR(VLOOKUP(F1690,Trainingsarten!$A$9:$K$84,11,FALSE),"0")</f>
        <v>0</v>
      </c>
      <c r="L1690" s="2815"/>
      <c r="M1690" s="2591"/>
      <c r="N1690" s="2296" t="str">
        <f t="shared" si="368"/>
        <v/>
      </c>
      <c r="O1690" s="2405"/>
      <c r="P1690" s="2298" t="str">
        <f>IFERROR(VLOOKUP(F1690,Trainingsarten!$A$9:$N$84,12,FALSE),"")</f>
        <v/>
      </c>
      <c r="Q1690" s="2406" t="s">
        <v>437</v>
      </c>
      <c r="R1690" s="2407" t="str">
        <f>IFERROR(VLOOKUP(F1690,Trainingsarten!$A$9:$N$84,14,FALSE),"")</f>
        <v/>
      </c>
      <c r="S1690" s="2408" t="str">
        <f t="shared" si="369"/>
        <v/>
      </c>
      <c r="T1690" s="2292">
        <f t="shared" si="370"/>
        <v>12.560929416161791</v>
      </c>
      <c r="U1690" s="2292">
        <f t="shared" si="371"/>
        <v>24.913904512276378</v>
      </c>
      <c r="V1690" s="2292">
        <f t="shared" si="372"/>
        <v>10.86714306770412</v>
      </c>
      <c r="W1690" s="3283">
        <f t="shared" si="373"/>
        <v>0.50417345904060795</v>
      </c>
      <c r="X1690" s="3300"/>
      <c r="Y1690" s="3316"/>
      <c r="AA1690" s="3301"/>
      <c r="AB1690" s="3409"/>
      <c r="AE1690" s="2548"/>
    </row>
    <row r="1691" spans="2:31" x14ac:dyDescent="0.2">
      <c r="B1691" s="2991" t="s">
        <v>626</v>
      </c>
      <c r="C1691" s="2409">
        <v>44789</v>
      </c>
      <c r="D1691" s="2009">
        <v>115</v>
      </c>
      <c r="E1691" s="2010" t="s">
        <v>836</v>
      </c>
      <c r="F1691" s="2777" t="s">
        <v>862</v>
      </c>
      <c r="G1691" s="2410">
        <v>5.288194444444444E-2</v>
      </c>
      <c r="H1691" s="2411">
        <v>11.2</v>
      </c>
      <c r="I1691" s="2412">
        <f t="shared" si="367"/>
        <v>4.7216021825396822E-3</v>
      </c>
      <c r="J1691" s="2413">
        <v>137</v>
      </c>
      <c r="K1691" s="2414">
        <v>72</v>
      </c>
      <c r="L1691" s="2816">
        <v>195</v>
      </c>
      <c r="M1691" s="2840">
        <v>301</v>
      </c>
      <c r="N1691" s="2368"/>
      <c r="O1691" s="2415" t="s">
        <v>868</v>
      </c>
      <c r="P1691" s="2370" t="str">
        <f>IFERROR(VLOOKUP(F1691,Trainingsarten!$A$9:$N$84,12,FALSE),"")</f>
        <v/>
      </c>
      <c r="Q1691" s="2432" t="s">
        <v>437</v>
      </c>
      <c r="R1691" s="2537" t="str">
        <f>IFERROR(VLOOKUP(F1691,Trainingsarten!$A$9:$N$84,14,FALSE),"")</f>
        <v/>
      </c>
      <c r="S1691" s="2419"/>
      <c r="T1691" s="2009">
        <f t="shared" si="370"/>
        <v>21.052225213852964</v>
      </c>
      <c r="U1691" s="2009">
        <f t="shared" si="371"/>
        <v>26.035002023888847</v>
      </c>
      <c r="V1691" s="2009">
        <f t="shared" si="372"/>
        <v>12.352975096114587</v>
      </c>
      <c r="W1691" s="3284">
        <f t="shared" si="373"/>
        <v>0.80861239014063246</v>
      </c>
      <c r="X1691" s="3300"/>
      <c r="Y1691" s="3316"/>
      <c r="AA1691" s="3301"/>
      <c r="AB1691" s="3409"/>
      <c r="AE1691" s="2548"/>
    </row>
    <row r="1692" spans="2:31" ht="16" thickBot="1" x14ac:dyDescent="0.25">
      <c r="B1692" s="2979">
        <f t="shared" ref="B1692" si="385">SUM(H1690:H1696)</f>
        <v>32.200000000000003</v>
      </c>
      <c r="C1692" s="2409">
        <v>44790</v>
      </c>
      <c r="D1692" s="2009"/>
      <c r="E1692" s="2010"/>
      <c r="F1692" s="2777"/>
      <c r="G1692" s="2410"/>
      <c r="H1692" s="2411" t="str">
        <f>IFERROR(VLOOKUP(F1692,Trainingsarten!$A$9:$K$84,10,FALSE),"")</f>
        <v/>
      </c>
      <c r="I1692" s="2412" t="str">
        <f t="shared" si="367"/>
        <v/>
      </c>
      <c r="J1692" s="2413"/>
      <c r="K1692" s="2414" t="str">
        <f>IFERROR(VLOOKUP(F1692,Trainingsarten!$A$9:$K$84,11,FALSE),"0")</f>
        <v>0</v>
      </c>
      <c r="L1692" s="2816"/>
      <c r="M1692" s="2840"/>
      <c r="N1692" s="2368" t="str">
        <f t="shared" si="368"/>
        <v/>
      </c>
      <c r="O1692" s="2415"/>
      <c r="P1692" s="2370" t="str">
        <f>IFERROR(VLOOKUP(F1692,Trainingsarten!$A$9:$N$84,12,FALSE),"")</f>
        <v/>
      </c>
      <c r="Q1692" s="2432" t="s">
        <v>437</v>
      </c>
      <c r="R1692" s="2537" t="str">
        <f>IFERROR(VLOOKUP(F1692,Trainingsarten!$A$9:$N$84,14,FALSE),"")</f>
        <v/>
      </c>
      <c r="S1692" s="2419" t="str">
        <f t="shared" si="369"/>
        <v/>
      </c>
      <c r="T1692" s="2009">
        <f t="shared" si="370"/>
        <v>18.044764469016826</v>
      </c>
      <c r="U1692" s="2009">
        <f t="shared" si="371"/>
        <v>25.415121023320065</v>
      </c>
      <c r="V1692" s="2009">
        <f t="shared" si="372"/>
        <v>4.9827768100358831</v>
      </c>
      <c r="W1692" s="3284">
        <f t="shared" si="373"/>
        <v>0.71000112305031138</v>
      </c>
      <c r="X1692" s="3300"/>
      <c r="Y1692" s="3316"/>
      <c r="AA1692" s="3301"/>
      <c r="AB1692" s="3409"/>
      <c r="AE1692" s="2548"/>
    </row>
    <row r="1693" spans="2:31" x14ac:dyDescent="0.2">
      <c r="B1693" s="2992" t="s">
        <v>628</v>
      </c>
      <c r="C1693" s="2409">
        <v>44791</v>
      </c>
      <c r="D1693" s="2009">
        <v>116</v>
      </c>
      <c r="E1693" s="2010" t="s">
        <v>835</v>
      </c>
      <c r="F1693" s="2777" t="s">
        <v>819</v>
      </c>
      <c r="G1693" s="2410">
        <v>4.1539351851851855E-2</v>
      </c>
      <c r="H1693" s="2411">
        <v>10.5</v>
      </c>
      <c r="I1693" s="2412">
        <f t="shared" si="367"/>
        <v>3.9561287477954147E-3</v>
      </c>
      <c r="J1693" s="2413">
        <v>138</v>
      </c>
      <c r="K1693" s="2414">
        <v>62</v>
      </c>
      <c r="L1693" s="2816">
        <v>211</v>
      </c>
      <c r="M1693" s="2840">
        <v>20</v>
      </c>
      <c r="N1693" s="2368">
        <f t="shared" si="368"/>
        <v>1.0764449182658138</v>
      </c>
      <c r="O1693" s="2415" t="s">
        <v>957</v>
      </c>
      <c r="P1693" s="2370">
        <f>IFERROR(VLOOKUP(F1693,Trainingsarten!$A$9:$N$84,12,FALSE),"")</f>
        <v>194.60000000000002</v>
      </c>
      <c r="Q1693" s="2432" t="s">
        <v>437</v>
      </c>
      <c r="R1693" s="2537">
        <f>IFERROR(VLOOKUP(F1693,Trainingsarten!$A$9:$N$84,14,FALSE),"")</f>
        <v>212.96</v>
      </c>
      <c r="S1693" s="2419">
        <f t="shared" si="369"/>
        <v>1.5289855072463767</v>
      </c>
      <c r="T1693" s="2009">
        <f t="shared" si="370"/>
        <v>24.324083830585849</v>
      </c>
      <c r="U1693" s="2009">
        <f t="shared" si="371"/>
        <v>26.286189570383872</v>
      </c>
      <c r="V1693" s="2009">
        <f t="shared" si="372"/>
        <v>7.370356554303239</v>
      </c>
      <c r="W1693" s="3284">
        <f t="shared" si="373"/>
        <v>0.92535602261619965</v>
      </c>
      <c r="X1693" s="3300"/>
      <c r="Y1693" s="3316"/>
      <c r="AA1693" s="3301"/>
      <c r="AB1693" s="3409"/>
      <c r="AE1693" s="2548"/>
    </row>
    <row r="1694" spans="2:31" ht="16" thickBot="1" x14ac:dyDescent="0.25">
      <c r="B1694" s="2993">
        <f t="shared" ref="B1694" si="386">SUM(K1690:K1696)</f>
        <v>206</v>
      </c>
      <c r="C1694" s="2562">
        <v>44792</v>
      </c>
      <c r="D1694" s="2563"/>
      <c r="E1694" s="2564"/>
      <c r="F1694" s="2777"/>
      <c r="G1694" s="2565"/>
      <c r="H1694" s="2566" t="str">
        <f>IFERROR(VLOOKUP(F1694,Trainingsarten!$A$9:$K$84,10,FALSE),"")</f>
        <v/>
      </c>
      <c r="I1694" s="2567" t="str">
        <f t="shared" si="367"/>
        <v/>
      </c>
      <c r="J1694" s="2568"/>
      <c r="K1694" s="2569" t="str">
        <f>IFERROR(VLOOKUP(F1694,Trainingsarten!$A$9:$K$84,11,FALSE),"0")</f>
        <v>0</v>
      </c>
      <c r="L1694" s="2816"/>
      <c r="M1694" s="2840"/>
      <c r="N1694" s="2570" t="str">
        <f t="shared" si="368"/>
        <v/>
      </c>
      <c r="O1694" s="2571"/>
      <c r="P1694" s="2572" t="str">
        <f>IFERROR(VLOOKUP(F1694,Trainingsarten!$A$9:$N$84,12,FALSE),"")</f>
        <v/>
      </c>
      <c r="Q1694" s="2573" t="s">
        <v>437</v>
      </c>
      <c r="R1694" s="2574" t="str">
        <f>IFERROR(VLOOKUP(F1694,Trainingsarten!$A$9:$N$84,14,FALSE),"")</f>
        <v/>
      </c>
      <c r="S1694" s="2575" t="str">
        <f t="shared" si="369"/>
        <v/>
      </c>
      <c r="T1694" s="2563">
        <f t="shared" si="370"/>
        <v>20.849214711930728</v>
      </c>
      <c r="U1694" s="2563">
        <f t="shared" si="371"/>
        <v>25.660327913946162</v>
      </c>
      <c r="V1694" s="2563">
        <f t="shared" si="372"/>
        <v>1.9621057397980231</v>
      </c>
      <c r="W1694" s="3284">
        <f t="shared" si="373"/>
        <v>0.81250772717519959</v>
      </c>
      <c r="X1694" s="3300"/>
      <c r="Y1694" s="3316"/>
      <c r="AA1694" s="3301"/>
      <c r="AB1694" s="3409"/>
      <c r="AE1694" s="2548"/>
    </row>
    <row r="1695" spans="2:31" x14ac:dyDescent="0.2">
      <c r="B1695" s="2994" t="s">
        <v>761</v>
      </c>
      <c r="C1695" s="2441">
        <v>44793</v>
      </c>
      <c r="D1695" s="1111">
        <v>117</v>
      </c>
      <c r="E1695" s="1112" t="s">
        <v>836</v>
      </c>
      <c r="F1695" s="2777" t="s">
        <v>819</v>
      </c>
      <c r="G1695" s="2442">
        <v>3.8935185185185191E-2</v>
      </c>
      <c r="H1695" s="2443">
        <v>10.5</v>
      </c>
      <c r="I1695" s="2444">
        <f t="shared" si="367"/>
        <v>3.7081128747795422E-3</v>
      </c>
      <c r="J1695" s="1320">
        <v>137</v>
      </c>
      <c r="K1695" s="2445">
        <v>72</v>
      </c>
      <c r="L1695" s="2819">
        <v>230</v>
      </c>
      <c r="M1695" s="1320">
        <v>30</v>
      </c>
      <c r="N1695" s="1119">
        <f t="shared" si="368"/>
        <v>1.0998152096659561</v>
      </c>
      <c r="O1695" s="2446" t="s">
        <v>958</v>
      </c>
      <c r="P1695" s="1121">
        <f>IFERROR(VLOOKUP(F1695,Trainingsarten!$A$9:$N$84,12,FALSE),"")</f>
        <v>194.60000000000002</v>
      </c>
      <c r="Q1695" s="2447" t="s">
        <v>437</v>
      </c>
      <c r="R1695" s="2448">
        <f>IFERROR(VLOOKUP(F1695,Trainingsarten!$A$9:$N$84,14,FALSE),"")</f>
        <v>212.96</v>
      </c>
      <c r="S1695" s="2449">
        <f t="shared" si="369"/>
        <v>1.6788321167883211</v>
      </c>
      <c r="T1695" s="1111">
        <f t="shared" si="370"/>
        <v>28.156469753083481</v>
      </c>
      <c r="U1695" s="1111">
        <f t="shared" si="371"/>
        <v>26.763653439804585</v>
      </c>
      <c r="V1695" s="1111">
        <f t="shared" si="372"/>
        <v>4.8111132020154344</v>
      </c>
      <c r="W1695" s="3286">
        <f t="shared" si="373"/>
        <v>1.0520413371967898</v>
      </c>
      <c r="X1695" s="3300"/>
      <c r="Y1695" s="3316"/>
      <c r="AA1695" s="3301"/>
      <c r="AB1695" s="3409"/>
      <c r="AE1695" s="2548"/>
    </row>
    <row r="1696" spans="2:31" ht="16" thickBot="1" x14ac:dyDescent="0.25">
      <c r="B1696" s="2995">
        <f t="shared" ref="B1696" si="387">AVERAGE(W1690:W1696)</f>
        <v>0.81949081033830595</v>
      </c>
      <c r="C1696" s="1631">
        <v>44794</v>
      </c>
      <c r="D1696" s="1108"/>
      <c r="E1696" s="1261"/>
      <c r="F1696" s="2778"/>
      <c r="G1696" s="2433"/>
      <c r="H1696" s="2434" t="str">
        <f>IFERROR(VLOOKUP(F1696,Trainingsarten!$A$9:$K$84,10,FALSE),"")</f>
        <v/>
      </c>
      <c r="I1696" s="2435" t="str">
        <f t="shared" si="367"/>
        <v/>
      </c>
      <c r="J1696" s="1310"/>
      <c r="K1696" s="2436" t="str">
        <f>IFERROR(VLOOKUP(F1696,Trainingsarten!$A$9:$K$84,11,FALSE),"0")</f>
        <v>0</v>
      </c>
      <c r="L1696" s="2818"/>
      <c r="M1696" s="2798"/>
      <c r="N1696" s="1223" t="str">
        <f t="shared" si="368"/>
        <v/>
      </c>
      <c r="O1696" s="2437"/>
      <c r="P1696" s="1519" t="str">
        <f>IFERROR(VLOOKUP(F1696,Trainingsarten!$A$9:$N$84,12,FALSE),"")</f>
        <v/>
      </c>
      <c r="Q1696" s="2438" t="s">
        <v>437</v>
      </c>
      <c r="R1696" s="2439" t="str">
        <f>IFERROR(VLOOKUP(F1696,Trainingsarten!$A$9:$N$84,14,FALSE),"")</f>
        <v/>
      </c>
      <c r="S1696" s="2440" t="str">
        <f t="shared" si="369"/>
        <v/>
      </c>
      <c r="T1696" s="1108">
        <f t="shared" si="370"/>
        <v>24.134116931214415</v>
      </c>
      <c r="U1696" s="1108">
        <f t="shared" si="371"/>
        <v>26.126423595999714</v>
      </c>
      <c r="V1696" s="1108">
        <f t="shared" si="372"/>
        <v>-1.392816313278896</v>
      </c>
      <c r="W1696" s="3285">
        <f t="shared" si="373"/>
        <v>0.92374361314840092</v>
      </c>
      <c r="X1696" s="3300"/>
      <c r="Y1696" s="3316"/>
      <c r="AA1696" s="3301"/>
      <c r="AB1696" s="3409"/>
      <c r="AE1696" s="2548"/>
    </row>
    <row r="1697" spans="2:31" ht="16" thickBot="1" x14ac:dyDescent="0.25">
      <c r="B1697" s="2986">
        <f t="shared" ref="B1697" si="388">B1690+1</f>
        <v>34</v>
      </c>
      <c r="C1697" s="2399">
        <v>44795</v>
      </c>
      <c r="D1697" s="2292">
        <v>118</v>
      </c>
      <c r="E1697" s="2293" t="s">
        <v>836</v>
      </c>
      <c r="F1697" s="2776" t="s">
        <v>943</v>
      </c>
      <c r="G1697" s="2400">
        <v>2.7997685185185184E-2</v>
      </c>
      <c r="H1697" s="2401">
        <v>7.68</v>
      </c>
      <c r="I1697" s="2402">
        <f t="shared" si="367"/>
        <v>3.6455319251543212E-3</v>
      </c>
      <c r="J1697" s="2403">
        <v>139</v>
      </c>
      <c r="K1697" s="2404">
        <v>50</v>
      </c>
      <c r="L1697" s="2815">
        <v>231</v>
      </c>
      <c r="M1697" s="2591">
        <v>15</v>
      </c>
      <c r="N1697" s="2296">
        <f t="shared" si="368"/>
        <v>1.0859549906716419</v>
      </c>
      <c r="O1697" s="2405" t="s">
        <v>953</v>
      </c>
      <c r="P1697" s="2298">
        <f>IFERROR(VLOOKUP(F1697,Trainingsarten!$A$9:$N$84,12,FALSE),"")</f>
        <v>194.60000000000002</v>
      </c>
      <c r="Q1697" s="2406" t="s">
        <v>437</v>
      </c>
      <c r="R1697" s="2407">
        <f>IFERROR(VLOOKUP(F1697,Trainingsarten!$A$9:$N$84,14,FALSE),"")</f>
        <v>212.96</v>
      </c>
      <c r="S1697" s="2408">
        <f t="shared" si="369"/>
        <v>1.6618705035971224</v>
      </c>
      <c r="T1697" s="2292">
        <f t="shared" si="370"/>
        <v>27.829243083898071</v>
      </c>
      <c r="U1697" s="2292">
        <f t="shared" si="371"/>
        <v>26.694842081809245</v>
      </c>
      <c r="V1697" s="2292">
        <f t="shared" si="372"/>
        <v>1.9923066647852998</v>
      </c>
      <c r="W1697" s="3283">
        <f t="shared" si="373"/>
        <v>1.0424951381473744</v>
      </c>
      <c r="X1697" s="3300"/>
      <c r="Y1697" s="3316"/>
      <c r="AA1697" s="3301"/>
      <c r="AB1697" s="3409"/>
      <c r="AE1697" s="2548"/>
    </row>
    <row r="1698" spans="2:31" x14ac:dyDescent="0.2">
      <c r="B1698" s="2991" t="s">
        <v>626</v>
      </c>
      <c r="C1698" s="2409">
        <v>44796</v>
      </c>
      <c r="D1698" s="2009"/>
      <c r="E1698" s="2010"/>
      <c r="F1698" s="2777"/>
      <c r="G1698" s="2410"/>
      <c r="H1698" s="2411" t="str">
        <f>IFERROR(VLOOKUP(F1698,Trainingsarten!$A$9:$K$84,10,FALSE),"")</f>
        <v/>
      </c>
      <c r="I1698" s="2412" t="str">
        <f t="shared" si="367"/>
        <v/>
      </c>
      <c r="J1698" s="2413"/>
      <c r="K1698" s="2414" t="str">
        <f>IFERROR(VLOOKUP(F1698,Trainingsarten!$A$9:$K$84,11,FALSE),"0")</f>
        <v>0</v>
      </c>
      <c r="L1698" s="2816"/>
      <c r="M1698" s="2840"/>
      <c r="N1698" s="2368" t="str">
        <f t="shared" si="368"/>
        <v/>
      </c>
      <c r="O1698" s="2415"/>
      <c r="P1698" s="2370" t="str">
        <f>IFERROR(VLOOKUP(F1698,Trainingsarten!$A$9:$N$84,12,FALSE),"")</f>
        <v/>
      </c>
      <c r="Q1698" s="2432" t="s">
        <v>437</v>
      </c>
      <c r="R1698" s="2537" t="str">
        <f>IFERROR(VLOOKUP(F1698,Trainingsarten!$A$9:$N$84,14,FALSE),"")</f>
        <v/>
      </c>
      <c r="S1698" s="2419" t="str">
        <f t="shared" si="369"/>
        <v/>
      </c>
      <c r="T1698" s="2009">
        <f t="shared" si="370"/>
        <v>23.85363692905549</v>
      </c>
      <c r="U1698" s="2009">
        <f t="shared" si="371"/>
        <v>26.059250603670929</v>
      </c>
      <c r="V1698" s="2009">
        <f t="shared" si="372"/>
        <v>-1.1344010020888255</v>
      </c>
      <c r="W1698" s="3284">
        <f t="shared" si="373"/>
        <v>0.91536158471476781</v>
      </c>
      <c r="X1698" s="3300"/>
      <c r="Y1698" s="3316"/>
      <c r="AA1698" s="3301"/>
      <c r="AB1698" s="3409"/>
      <c r="AE1698" s="2548"/>
    </row>
    <row r="1699" spans="2:31" ht="16" thickBot="1" x14ac:dyDescent="0.25">
      <c r="B1699" s="2979">
        <f t="shared" ref="B1699" si="389">SUM(H1697:H1703)</f>
        <v>33.790000000000006</v>
      </c>
      <c r="C1699" s="2409">
        <v>44797</v>
      </c>
      <c r="D1699" s="2009">
        <v>119</v>
      </c>
      <c r="E1699" s="2010" t="s">
        <v>836</v>
      </c>
      <c r="F1699" s="2777" t="s">
        <v>943</v>
      </c>
      <c r="G1699" s="2410">
        <v>3.3796296296296297E-2</v>
      </c>
      <c r="H1699" s="2411">
        <v>9.06</v>
      </c>
      <c r="I1699" s="2412">
        <f t="shared" si="367"/>
        <v>3.7302755293925271E-3</v>
      </c>
      <c r="J1699" s="2413">
        <v>138</v>
      </c>
      <c r="K1699" s="2414">
        <v>58</v>
      </c>
      <c r="L1699" s="2816">
        <v>226</v>
      </c>
      <c r="M1699" s="2840">
        <v>22</v>
      </c>
      <c r="N1699" s="2368">
        <f t="shared" si="368"/>
        <v>1.0871470462258244</v>
      </c>
      <c r="O1699" s="2415" t="s">
        <v>958</v>
      </c>
      <c r="P1699" s="2370">
        <f>IFERROR(VLOOKUP(F1699,Trainingsarten!$A$9:$N$84,12,FALSE),"")</f>
        <v>194.60000000000002</v>
      </c>
      <c r="Q1699" s="2432" t="s">
        <v>437</v>
      </c>
      <c r="R1699" s="2537">
        <f>IFERROR(VLOOKUP(F1699,Trainingsarten!$A$9:$N$84,14,FALSE),"")</f>
        <v>212.96</v>
      </c>
      <c r="S1699" s="2419">
        <f t="shared" si="369"/>
        <v>1.6376811594202898</v>
      </c>
      <c r="T1699" s="2009">
        <f t="shared" si="370"/>
        <v>28.731688796333277</v>
      </c>
      <c r="U1699" s="2009">
        <f t="shared" si="371"/>
        <v>26.819744636916859</v>
      </c>
      <c r="V1699" s="2009">
        <f t="shared" si="372"/>
        <v>2.2056136746154387</v>
      </c>
      <c r="W1699" s="3284">
        <f t="shared" si="373"/>
        <v>1.0712886787439677</v>
      </c>
      <c r="X1699" s="3300"/>
      <c r="Y1699" s="3316"/>
      <c r="AA1699" s="3301"/>
      <c r="AB1699" s="3409"/>
      <c r="AE1699" s="2548"/>
    </row>
    <row r="1700" spans="2:31" x14ac:dyDescent="0.2">
      <c r="B1700" s="2992" t="s">
        <v>628</v>
      </c>
      <c r="C1700" s="2409">
        <v>44798</v>
      </c>
      <c r="D1700" s="2009">
        <v>120</v>
      </c>
      <c r="E1700" s="2010" t="s">
        <v>836</v>
      </c>
      <c r="F1700" s="2777" t="s">
        <v>943</v>
      </c>
      <c r="G1700" s="2410">
        <v>2.7523148148148147E-2</v>
      </c>
      <c r="H1700" s="2411">
        <v>7.28</v>
      </c>
      <c r="I1700" s="2412">
        <f t="shared" si="367"/>
        <v>3.7806522181522179E-3</v>
      </c>
      <c r="J1700" s="2413">
        <v>132</v>
      </c>
      <c r="K1700" s="2414">
        <v>45</v>
      </c>
      <c r="L1700" s="2816">
        <v>221</v>
      </c>
      <c r="M1700" s="2840">
        <v>16</v>
      </c>
      <c r="N1700" s="2368">
        <f t="shared" si="368"/>
        <v>1.0774520255863538</v>
      </c>
      <c r="O1700" s="2415" t="s">
        <v>1460</v>
      </c>
      <c r="P1700" s="2370">
        <f>IFERROR(VLOOKUP(F1700,Trainingsarten!$A$9:$N$84,12,FALSE),"")</f>
        <v>194.60000000000002</v>
      </c>
      <c r="Q1700" s="2432" t="s">
        <v>437</v>
      </c>
      <c r="R1700" s="2537">
        <f>IFERROR(VLOOKUP(F1700,Trainingsarten!$A$9:$N$84,14,FALSE),"")</f>
        <v>212.96</v>
      </c>
      <c r="S1700" s="2419">
        <f t="shared" si="369"/>
        <v>1.6742424242424243</v>
      </c>
      <c r="T1700" s="2009">
        <f t="shared" si="370"/>
        <v>31.05573325399995</v>
      </c>
      <c r="U1700" s="2009">
        <f t="shared" si="371"/>
        <v>27.252607859847409</v>
      </c>
      <c r="V1700" s="2009">
        <f t="shared" si="372"/>
        <v>-1.9119441594164179</v>
      </c>
      <c r="W1700" s="3284">
        <f t="shared" si="373"/>
        <v>1.1395508794501781</v>
      </c>
      <c r="X1700" s="3300"/>
      <c r="Y1700" s="3316"/>
      <c r="AA1700" s="3301"/>
      <c r="AB1700" s="3409"/>
      <c r="AE1700" s="2548"/>
    </row>
    <row r="1701" spans="2:31" ht="16" thickBot="1" x14ac:dyDescent="0.25">
      <c r="B1701" s="2993">
        <f t="shared" ref="B1701" si="390">SUM(K1697:K1703)</f>
        <v>222</v>
      </c>
      <c r="C1701" s="2562">
        <v>44799</v>
      </c>
      <c r="D1701" s="2563"/>
      <c r="E1701" s="2564"/>
      <c r="F1701" s="2777"/>
      <c r="G1701" s="2565"/>
      <c r="H1701" s="2566" t="str">
        <f>IFERROR(VLOOKUP(F1701,Trainingsarten!$A$9:$K$84,10,FALSE),"")</f>
        <v/>
      </c>
      <c r="I1701" s="2567" t="str">
        <f t="shared" si="367"/>
        <v/>
      </c>
      <c r="J1701" s="2568"/>
      <c r="K1701" s="2569" t="str">
        <f>IFERROR(VLOOKUP(F1701,Trainingsarten!$A$9:$K$84,11,FALSE),"0")</f>
        <v>0</v>
      </c>
      <c r="L1701" s="2816"/>
      <c r="M1701" s="2840"/>
      <c r="N1701" s="2570" t="str">
        <f t="shared" si="368"/>
        <v/>
      </c>
      <c r="O1701" s="2571"/>
      <c r="P1701" s="2572" t="str">
        <f>IFERROR(VLOOKUP(F1701,Trainingsarten!$A$9:$N$84,12,FALSE),"")</f>
        <v/>
      </c>
      <c r="Q1701" s="2573" t="s">
        <v>437</v>
      </c>
      <c r="R1701" s="2574" t="str">
        <f>IFERROR(VLOOKUP(F1701,Trainingsarten!$A$9:$N$84,14,FALSE),"")</f>
        <v/>
      </c>
      <c r="S1701" s="2575" t="str">
        <f t="shared" si="369"/>
        <v/>
      </c>
      <c r="T1701" s="2563">
        <f t="shared" si="370"/>
        <v>26.619199931999958</v>
      </c>
      <c r="U1701" s="2563">
        <f t="shared" si="371"/>
        <v>26.603736244136755</v>
      </c>
      <c r="V1701" s="2563">
        <f t="shared" si="372"/>
        <v>-3.8031253941525414</v>
      </c>
      <c r="W1701" s="3284">
        <f t="shared" si="373"/>
        <v>1.0005812600050346</v>
      </c>
      <c r="X1701" s="3300"/>
      <c r="Y1701" s="3316"/>
      <c r="AA1701" s="3301"/>
      <c r="AB1701" s="3409"/>
      <c r="AE1701" s="2548"/>
    </row>
    <row r="1702" spans="2:31" x14ac:dyDescent="0.2">
      <c r="B1702" s="2994" t="s">
        <v>761</v>
      </c>
      <c r="C1702" s="2441">
        <v>44800</v>
      </c>
      <c r="D1702" s="1111">
        <v>121</v>
      </c>
      <c r="E1702" s="1112" t="s">
        <v>836</v>
      </c>
      <c r="F1702" s="2777" t="s">
        <v>862</v>
      </c>
      <c r="G1702" s="2442">
        <v>6.2349537037037044E-2</v>
      </c>
      <c r="H1702" s="2566">
        <v>9.77</v>
      </c>
      <c r="I1702" s="2444">
        <f t="shared" si="367"/>
        <v>6.3817335759505673E-3</v>
      </c>
      <c r="J1702" s="1320">
        <v>147</v>
      </c>
      <c r="K1702" s="2569">
        <v>69</v>
      </c>
      <c r="L1702" s="2819">
        <v>157</v>
      </c>
      <c r="M1702" s="1320">
        <v>526</v>
      </c>
      <c r="N1702" s="1119"/>
      <c r="O1702" s="2446" t="s">
        <v>868</v>
      </c>
      <c r="P1702" s="1121" t="str">
        <f>IFERROR(VLOOKUP(F1702,Trainingsarten!$A$9:$N$84,12,FALSE),"")</f>
        <v/>
      </c>
      <c r="Q1702" s="2447" t="s">
        <v>437</v>
      </c>
      <c r="R1702" s="2448" t="str">
        <f>IFERROR(VLOOKUP(F1702,Trainingsarten!$A$9:$N$84,14,FALSE),"")</f>
        <v/>
      </c>
      <c r="S1702" s="2449"/>
      <c r="T1702" s="1111">
        <f t="shared" si="370"/>
        <v>32.673599941714251</v>
      </c>
      <c r="U1702" s="1111">
        <f t="shared" si="371"/>
        <v>27.613171095466832</v>
      </c>
      <c r="V1702" s="1111">
        <f t="shared" si="372"/>
        <v>-1.546368786320329E-2</v>
      </c>
      <c r="W1702" s="3286">
        <f t="shared" si="373"/>
        <v>1.1832614163998778</v>
      </c>
      <c r="X1702" s="3300"/>
      <c r="Y1702" s="3316"/>
      <c r="AA1702" s="3301"/>
      <c r="AB1702" s="3409"/>
      <c r="AE1702" s="2880"/>
    </row>
    <row r="1703" spans="2:31" ht="16" thickBot="1" x14ac:dyDescent="0.25">
      <c r="B1703" s="2995">
        <f t="shared" ref="B1703" si="391">AVERAGE(W1697:W1703)</f>
        <v>1.055928600161341</v>
      </c>
      <c r="C1703" s="1631">
        <v>44801</v>
      </c>
      <c r="D1703" s="1108"/>
      <c r="E1703" s="1261"/>
      <c r="F1703" s="2778"/>
      <c r="G1703" s="2433"/>
      <c r="H1703" s="2434" t="str">
        <f>IFERROR(VLOOKUP(F1703,Trainingsarten!$A$9:$K$84,10,FALSE),"")</f>
        <v/>
      </c>
      <c r="I1703" s="2435" t="str">
        <f t="shared" si="367"/>
        <v/>
      </c>
      <c r="J1703" s="1310"/>
      <c r="K1703" s="2436" t="str">
        <f>IFERROR(VLOOKUP(F1703,Trainingsarten!$A$9:$K$84,11,FALSE),"0")</f>
        <v>0</v>
      </c>
      <c r="L1703" s="2818"/>
      <c r="M1703" s="2798"/>
      <c r="N1703" s="1223" t="str">
        <f t="shared" si="368"/>
        <v/>
      </c>
      <c r="O1703" s="2437"/>
      <c r="P1703" s="1519" t="str">
        <f>IFERROR(VLOOKUP(F1703,Trainingsarten!$A$9:$N$84,12,FALSE),"")</f>
        <v/>
      </c>
      <c r="Q1703" s="2438" t="s">
        <v>437</v>
      </c>
      <c r="R1703" s="2439" t="str">
        <f>IFERROR(VLOOKUP(F1703,Trainingsarten!$A$9:$N$84,14,FALSE),"")</f>
        <v/>
      </c>
      <c r="S1703" s="2440" t="str">
        <f t="shared" si="369"/>
        <v/>
      </c>
      <c r="T1703" s="1108">
        <f t="shared" si="370"/>
        <v>28.005942807183644</v>
      </c>
      <c r="U1703" s="1108">
        <f t="shared" si="371"/>
        <v>26.955714640812861</v>
      </c>
      <c r="V1703" s="1108">
        <f t="shared" si="372"/>
        <v>-5.0604288462474187</v>
      </c>
      <c r="W1703" s="3285">
        <f t="shared" si="373"/>
        <v>1.0389612436681854</v>
      </c>
      <c r="X1703" s="3300"/>
      <c r="Y1703" s="3316"/>
      <c r="AA1703" s="3301"/>
      <c r="AB1703" s="3409"/>
      <c r="AE1703" s="2880"/>
    </row>
    <row r="1704" spans="2:31" ht="16" thickBot="1" x14ac:dyDescent="0.25">
      <c r="B1704" s="2986">
        <f t="shared" ref="B1704" si="392">B1697+1</f>
        <v>35</v>
      </c>
      <c r="C1704" s="2399">
        <v>44802</v>
      </c>
      <c r="D1704" s="2292"/>
      <c r="E1704" s="2293"/>
      <c r="F1704" s="2776"/>
      <c r="G1704" s="2400"/>
      <c r="H1704" s="2401" t="str">
        <f>IFERROR(VLOOKUP(F1704,Trainingsarten!$A$9:$K$84,10,FALSE),"")</f>
        <v/>
      </c>
      <c r="I1704" s="2402" t="str">
        <f t="shared" si="367"/>
        <v/>
      </c>
      <c r="J1704" s="2403"/>
      <c r="K1704" s="2404" t="str">
        <f>IFERROR(VLOOKUP(F1704,Trainingsarten!$A$9:$K$84,11,FALSE),"0")</f>
        <v>0</v>
      </c>
      <c r="L1704" s="2815"/>
      <c r="M1704" s="2591"/>
      <c r="N1704" s="2296" t="str">
        <f t="shared" si="368"/>
        <v/>
      </c>
      <c r="O1704" s="2405"/>
      <c r="P1704" s="2298" t="str">
        <f>IFERROR(VLOOKUP(F1704,Trainingsarten!$A$9:$N$84,12,FALSE),"")</f>
        <v/>
      </c>
      <c r="Q1704" s="2406" t="s">
        <v>437</v>
      </c>
      <c r="R1704" s="2407" t="str">
        <f>IFERROR(VLOOKUP(F1704,Trainingsarten!$A$9:$N$84,14,FALSE),"")</f>
        <v/>
      </c>
      <c r="S1704" s="2408" t="str">
        <f t="shared" si="369"/>
        <v/>
      </c>
      <c r="T1704" s="2292">
        <f t="shared" si="370"/>
        <v>24.005093834728839</v>
      </c>
      <c r="U1704" s="2292">
        <f t="shared" si="371"/>
        <v>26.313911911269699</v>
      </c>
      <c r="V1704" s="2292">
        <f t="shared" si="372"/>
        <v>-1.0502281663707826</v>
      </c>
      <c r="W1704" s="3283">
        <f t="shared" si="373"/>
        <v>0.91225865297694331</v>
      </c>
      <c r="X1704" s="3300"/>
      <c r="Y1704" s="3316"/>
      <c r="AA1704" s="3301"/>
      <c r="AB1704" s="3409"/>
      <c r="AE1704" s="2880"/>
    </row>
    <row r="1705" spans="2:31" x14ac:dyDescent="0.2">
      <c r="B1705" s="2991" t="s">
        <v>626</v>
      </c>
      <c r="C1705" s="2409">
        <v>44803</v>
      </c>
      <c r="D1705" s="2009"/>
      <c r="E1705" s="2010"/>
      <c r="F1705" s="2777"/>
      <c r="G1705" s="2410"/>
      <c r="H1705" s="2411" t="str">
        <f>IFERROR(VLOOKUP(F1705,Trainingsarten!$A$9:$K$84,10,FALSE),"")</f>
        <v/>
      </c>
      <c r="I1705" s="2412" t="str">
        <f t="shared" si="367"/>
        <v/>
      </c>
      <c r="J1705" s="2413"/>
      <c r="K1705" s="2414" t="str">
        <f>IFERROR(VLOOKUP(F1705,Trainingsarten!$A$9:$K$84,11,FALSE),"0")</f>
        <v>0</v>
      </c>
      <c r="L1705" s="2816"/>
      <c r="M1705" s="2840"/>
      <c r="N1705" s="2368" t="str">
        <f t="shared" si="368"/>
        <v/>
      </c>
      <c r="O1705" s="2415"/>
      <c r="P1705" s="2370" t="str">
        <f>IFERROR(VLOOKUP(F1705,Trainingsarten!$A$9:$N$84,12,FALSE),"")</f>
        <v/>
      </c>
      <c r="Q1705" s="2432" t="s">
        <v>437</v>
      </c>
      <c r="R1705" s="2537" t="str">
        <f>IFERROR(VLOOKUP(F1705,Trainingsarten!$A$9:$N$84,14,FALSE),"")</f>
        <v/>
      </c>
      <c r="S1705" s="2419" t="str">
        <f t="shared" si="369"/>
        <v/>
      </c>
      <c r="T1705" s="2009">
        <f t="shared" si="370"/>
        <v>20.575794715481862</v>
      </c>
      <c r="U1705" s="2009">
        <f t="shared" si="371"/>
        <v>25.687390199096612</v>
      </c>
      <c r="V1705" s="2009">
        <f t="shared" si="372"/>
        <v>2.3088180765408595</v>
      </c>
      <c r="W1705" s="3284">
        <f t="shared" si="373"/>
        <v>0.80100759773585262</v>
      </c>
      <c r="X1705" s="3300"/>
      <c r="Y1705" s="3316"/>
      <c r="AA1705" s="3301"/>
      <c r="AB1705" s="3409"/>
      <c r="AE1705" s="2880"/>
    </row>
    <row r="1706" spans="2:31" ht="16" thickBot="1" x14ac:dyDescent="0.25">
      <c r="B1706" s="2979">
        <f t="shared" ref="B1706" si="393">SUM(H1704:H1710)</f>
        <v>15.05</v>
      </c>
      <c r="C1706" s="2409">
        <v>44804</v>
      </c>
      <c r="D1706" s="2009">
        <v>122</v>
      </c>
      <c r="E1706" s="2010" t="s">
        <v>836</v>
      </c>
      <c r="F1706" s="2777" t="s">
        <v>943</v>
      </c>
      <c r="G1706" s="2410">
        <v>2.478009259259259E-2</v>
      </c>
      <c r="H1706" s="2411">
        <v>6.9</v>
      </c>
      <c r="I1706" s="2412">
        <f t="shared" si="367"/>
        <v>3.5913177670424041E-3</v>
      </c>
      <c r="J1706" s="2413">
        <v>135</v>
      </c>
      <c r="K1706" s="2414">
        <v>46</v>
      </c>
      <c r="L1706" s="2816">
        <v>234</v>
      </c>
      <c r="M1706" s="2840">
        <v>18</v>
      </c>
      <c r="N1706" s="2368">
        <f t="shared" si="368"/>
        <v>1.0836988968202463</v>
      </c>
      <c r="O1706" s="2415" t="s">
        <v>958</v>
      </c>
      <c r="P1706" s="2370">
        <f>IFERROR(VLOOKUP(F1706,Trainingsarten!$A$9:$N$84,12,FALSE),"")</f>
        <v>194.60000000000002</v>
      </c>
      <c r="Q1706" s="2432" t="s">
        <v>437</v>
      </c>
      <c r="R1706" s="2537">
        <f>IFERROR(VLOOKUP(F1706,Trainingsarten!$A$9:$N$84,14,FALSE),"")</f>
        <v>212.96</v>
      </c>
      <c r="S1706" s="2419">
        <f t="shared" si="369"/>
        <v>1.7333333333333334</v>
      </c>
      <c r="T1706" s="2009">
        <f t="shared" si="370"/>
        <v>24.207824041841597</v>
      </c>
      <c r="U1706" s="2009">
        <f t="shared" si="371"/>
        <v>26.171023765784788</v>
      </c>
      <c r="V1706" s="2009">
        <f t="shared" si="372"/>
        <v>5.1115954836147495</v>
      </c>
      <c r="W1706" s="3284">
        <f t="shared" si="373"/>
        <v>0.92498574983108539</v>
      </c>
      <c r="X1706" s="3300"/>
      <c r="Y1706" s="3316"/>
      <c r="AA1706" s="3301"/>
      <c r="AB1706" s="3409"/>
      <c r="AE1706" s="2548"/>
    </row>
    <row r="1707" spans="2:31" x14ac:dyDescent="0.2">
      <c r="B1707" s="2992" t="s">
        <v>628</v>
      </c>
      <c r="C1707" s="2409">
        <v>44805</v>
      </c>
      <c r="D1707" s="2009"/>
      <c r="E1707" s="2010"/>
      <c r="F1707" s="2777"/>
      <c r="G1707" s="2410"/>
      <c r="H1707" s="2411" t="str">
        <f>IFERROR(VLOOKUP(F1707,Trainingsarten!$A$9:$K$84,10,FALSE),"")</f>
        <v/>
      </c>
      <c r="I1707" s="2412" t="str">
        <f t="shared" si="367"/>
        <v/>
      </c>
      <c r="J1707" s="2413"/>
      <c r="K1707" s="2414" t="str">
        <f>IFERROR(VLOOKUP(F1707,Trainingsarten!$A$9:$K$84,11,FALSE),"0")</f>
        <v>0</v>
      </c>
      <c r="L1707" s="2816"/>
      <c r="M1707" s="2840"/>
      <c r="N1707" s="2368" t="str">
        <f t="shared" si="368"/>
        <v/>
      </c>
      <c r="O1707" s="2415"/>
      <c r="P1707" s="2370" t="str">
        <f>IFERROR(VLOOKUP(F1707,Trainingsarten!$A$9:$N$84,12,FALSE),"")</f>
        <v/>
      </c>
      <c r="Q1707" s="2432" t="s">
        <v>437</v>
      </c>
      <c r="R1707" s="2537" t="str">
        <f>IFERROR(VLOOKUP(F1707,Trainingsarten!$A$9:$N$84,14,FALSE),"")</f>
        <v/>
      </c>
      <c r="S1707" s="2419" t="str">
        <f t="shared" si="369"/>
        <v/>
      </c>
      <c r="T1707" s="2009">
        <f t="shared" si="370"/>
        <v>20.749563464435656</v>
      </c>
      <c r="U1707" s="2009">
        <f t="shared" si="371"/>
        <v>25.547904152313723</v>
      </c>
      <c r="V1707" s="2009">
        <f t="shared" si="372"/>
        <v>1.9631997239431911</v>
      </c>
      <c r="W1707" s="3284">
        <f t="shared" si="373"/>
        <v>0.81218260960778221</v>
      </c>
      <c r="X1707" s="3300"/>
      <c r="Y1707" s="3316"/>
      <c r="AA1707" s="3301"/>
      <c r="AB1707" s="3409"/>
      <c r="AE1707" s="2548"/>
    </row>
    <row r="1708" spans="2:31" ht="16" thickBot="1" x14ac:dyDescent="0.25">
      <c r="B1708" s="2993">
        <f t="shared" ref="B1708" si="394">SUM(K1704:K1710)</f>
        <v>95</v>
      </c>
      <c r="C1708" s="2562">
        <v>44806</v>
      </c>
      <c r="D1708" s="2563"/>
      <c r="E1708" s="2564"/>
      <c r="F1708" s="2777"/>
      <c r="G1708" s="2565"/>
      <c r="H1708" s="2566" t="str">
        <f>IFERROR(VLOOKUP(F1708,Trainingsarten!$A$9:$K$84,10,FALSE),"")</f>
        <v/>
      </c>
      <c r="I1708" s="2567" t="str">
        <f t="shared" si="367"/>
        <v/>
      </c>
      <c r="J1708" s="2568"/>
      <c r="K1708" s="2569" t="str">
        <f>IFERROR(VLOOKUP(F1708,Trainingsarten!$A$9:$K$84,11,FALSE),"0")</f>
        <v>0</v>
      </c>
      <c r="L1708" s="2816"/>
      <c r="M1708" s="2840"/>
      <c r="N1708" s="2570" t="str">
        <f t="shared" si="368"/>
        <v/>
      </c>
      <c r="O1708" s="2571"/>
      <c r="P1708" s="2572" t="str">
        <f>IFERROR(VLOOKUP(F1708,Trainingsarten!$A$9:$N$84,12,FALSE),"")</f>
        <v/>
      </c>
      <c r="Q1708" s="2573" t="s">
        <v>437</v>
      </c>
      <c r="R1708" s="2574" t="str">
        <f>IFERROR(VLOOKUP(F1708,Trainingsarten!$A$9:$N$84,14,FALSE),"")</f>
        <v/>
      </c>
      <c r="S1708" s="2575" t="str">
        <f t="shared" si="369"/>
        <v/>
      </c>
      <c r="T1708" s="2563">
        <f t="shared" si="370"/>
        <v>17.785340112373419</v>
      </c>
      <c r="U1708" s="2563">
        <f t="shared" si="371"/>
        <v>24.939620720115776</v>
      </c>
      <c r="V1708" s="2563">
        <f t="shared" si="372"/>
        <v>4.798340687878067</v>
      </c>
      <c r="W1708" s="3284">
        <f t="shared" si="373"/>
        <v>0.71313594989951612</v>
      </c>
      <c r="X1708" s="3300"/>
      <c r="Y1708" s="3316"/>
      <c r="AA1708" s="3301"/>
      <c r="AB1708" s="3409"/>
      <c r="AE1708" s="2548"/>
    </row>
    <row r="1709" spans="2:31" x14ac:dyDescent="0.2">
      <c r="B1709" s="2994" t="s">
        <v>761</v>
      </c>
      <c r="C1709" s="2441">
        <v>44807</v>
      </c>
      <c r="D1709" s="1111">
        <v>123</v>
      </c>
      <c r="E1709" s="1112" t="s">
        <v>835</v>
      </c>
      <c r="F1709" s="2777" t="s">
        <v>943</v>
      </c>
      <c r="G1709" s="2881">
        <v>3.1863425925925927E-2</v>
      </c>
      <c r="H1709" s="2443">
        <v>8.15</v>
      </c>
      <c r="I1709" s="2444">
        <f t="shared" si="367"/>
        <v>3.9096228129970462E-3</v>
      </c>
      <c r="J1709" s="1320">
        <v>136</v>
      </c>
      <c r="K1709" s="2445">
        <v>49</v>
      </c>
      <c r="L1709" s="2819">
        <v>211</v>
      </c>
      <c r="M1709" s="1320">
        <v>18</v>
      </c>
      <c r="N1709" s="1119">
        <f t="shared" si="368"/>
        <v>1.0637908616427068</v>
      </c>
      <c r="O1709" s="2446" t="s">
        <v>957</v>
      </c>
      <c r="P1709" s="1121">
        <f>IFERROR(VLOOKUP(F1709,Trainingsarten!$A$9:$N$84,12,FALSE),"")</f>
        <v>194.60000000000002</v>
      </c>
      <c r="Q1709" s="2447" t="s">
        <v>437</v>
      </c>
      <c r="R1709" s="2448">
        <f>IFERROR(VLOOKUP(F1709,Trainingsarten!$A$9:$N$84,14,FALSE),"")</f>
        <v>212.96</v>
      </c>
      <c r="S1709" s="2449">
        <f t="shared" si="369"/>
        <v>1.5514705882352942</v>
      </c>
      <c r="T1709" s="1111">
        <f t="shared" si="370"/>
        <v>22.244577239177218</v>
      </c>
      <c r="U1709" s="1111">
        <f t="shared" si="371"/>
        <v>25.512486893446354</v>
      </c>
      <c r="V1709" s="1111">
        <f t="shared" si="372"/>
        <v>7.1542806077423577</v>
      </c>
      <c r="W1709" s="3286">
        <f t="shared" si="373"/>
        <v>0.87190940389630944</v>
      </c>
      <c r="X1709" s="3300"/>
      <c r="Y1709" s="3316"/>
      <c r="AA1709" s="3301"/>
      <c r="AB1709" s="3409"/>
      <c r="AE1709" s="2548"/>
    </row>
    <row r="1710" spans="2:31" ht="16" thickBot="1" x14ac:dyDescent="0.25">
      <c r="B1710" s="2995">
        <f t="shared" ref="B1710" si="395">AVERAGE(W1704:W1710)</f>
        <v>0.82872270753349875</v>
      </c>
      <c r="C1710" s="1631">
        <v>44808</v>
      </c>
      <c r="D1710" s="1108"/>
      <c r="E1710" s="1261"/>
      <c r="F1710" s="2778"/>
      <c r="G1710" s="2882"/>
      <c r="H1710" s="2434" t="str">
        <f>IFERROR(VLOOKUP(F1710,Trainingsarten!$A$9:$K$84,10,FALSE),"")</f>
        <v/>
      </c>
      <c r="I1710" s="2435" t="str">
        <f t="shared" si="367"/>
        <v/>
      </c>
      <c r="J1710" s="1310"/>
      <c r="K1710" s="2436" t="str">
        <f>IFERROR(VLOOKUP(F1710,Trainingsarten!$A$9:$K$84,11,FALSE),"0")</f>
        <v>0</v>
      </c>
      <c r="L1710" s="2818"/>
      <c r="M1710" s="2798"/>
      <c r="N1710" s="1223" t="str">
        <f t="shared" si="368"/>
        <v/>
      </c>
      <c r="O1710" s="2437"/>
      <c r="P1710" s="1519" t="str">
        <f>IFERROR(VLOOKUP(F1710,Trainingsarten!$A$9:$N$84,12,FALSE),"")</f>
        <v/>
      </c>
      <c r="Q1710" s="2438" t="s">
        <v>437</v>
      </c>
      <c r="R1710" s="2439" t="str">
        <f>IFERROR(VLOOKUP(F1710,Trainingsarten!$A$9:$N$84,14,FALSE),"")</f>
        <v/>
      </c>
      <c r="S1710" s="2440" t="str">
        <f t="shared" si="369"/>
        <v/>
      </c>
      <c r="T1710" s="1108">
        <f t="shared" si="370"/>
        <v>19.066780490723328</v>
      </c>
      <c r="U1710" s="1108">
        <f t="shared" si="371"/>
        <v>24.90504672931668</v>
      </c>
      <c r="V1710" s="1108">
        <f t="shared" si="372"/>
        <v>3.2679096542691362</v>
      </c>
      <c r="W1710" s="3285">
        <f t="shared" si="373"/>
        <v>0.76557898878700326</v>
      </c>
      <c r="X1710" s="3300"/>
      <c r="Y1710" s="3316"/>
      <c r="AA1710" s="3301"/>
      <c r="AB1710" s="3409"/>
      <c r="AE1710" s="2548"/>
    </row>
    <row r="1711" spans="2:31" ht="16" thickBot="1" x14ac:dyDescent="0.25">
      <c r="B1711" s="2986">
        <f t="shared" ref="B1711" si="396">B1704+1</f>
        <v>36</v>
      </c>
      <c r="C1711" s="2399">
        <v>44809</v>
      </c>
      <c r="D1711" s="2292">
        <v>124</v>
      </c>
      <c r="E1711" s="2293" t="s">
        <v>835</v>
      </c>
      <c r="F1711" s="2776" t="s">
        <v>819</v>
      </c>
      <c r="G1711" s="2883">
        <v>3.9745370370370368E-2</v>
      </c>
      <c r="H1711" s="2401">
        <v>10.199999999999999</v>
      </c>
      <c r="I1711" s="2402">
        <f t="shared" si="367"/>
        <v>3.8966049382716051E-3</v>
      </c>
      <c r="J1711" s="2403">
        <v>134</v>
      </c>
      <c r="K1711" s="2404">
        <v>61</v>
      </c>
      <c r="L1711" s="2815">
        <v>213</v>
      </c>
      <c r="M1711" s="2591">
        <v>29</v>
      </c>
      <c r="N1711" s="2296">
        <f t="shared" si="368"/>
        <v>1.0702985074626867</v>
      </c>
      <c r="O1711" s="2405" t="s">
        <v>958</v>
      </c>
      <c r="P1711" s="2298">
        <f>IFERROR(VLOOKUP(F1711,Trainingsarten!$A$9:$N$84,12,FALSE),"")</f>
        <v>194.60000000000002</v>
      </c>
      <c r="Q1711" s="2406" t="s">
        <v>437</v>
      </c>
      <c r="R1711" s="2407">
        <f>IFERROR(VLOOKUP(F1711,Trainingsarten!$A$9:$N$84,14,FALSE),"")</f>
        <v>212.96</v>
      </c>
      <c r="S1711" s="2408">
        <f t="shared" si="369"/>
        <v>1.5895522388059702</v>
      </c>
      <c r="T1711" s="2292">
        <f t="shared" si="370"/>
        <v>25.057240420619994</v>
      </c>
      <c r="U1711" s="2292">
        <f t="shared" si="371"/>
        <v>25.764450378618665</v>
      </c>
      <c r="V1711" s="2292">
        <f t="shared" si="372"/>
        <v>5.8382662385933521</v>
      </c>
      <c r="W1711" s="3283">
        <f t="shared" si="373"/>
        <v>0.97255093946868865</v>
      </c>
      <c r="X1711" s="3300"/>
      <c r="Y1711" s="3316"/>
      <c r="AA1711" s="3301"/>
      <c r="AB1711" s="3409"/>
      <c r="AE1711" s="2548"/>
    </row>
    <row r="1712" spans="2:31" x14ac:dyDescent="0.2">
      <c r="B1712" s="2991" t="s">
        <v>626</v>
      </c>
      <c r="C1712" s="2409">
        <v>44810</v>
      </c>
      <c r="D1712" s="2009"/>
      <c r="E1712" s="2010"/>
      <c r="F1712" s="2777"/>
      <c r="G1712" s="2884"/>
      <c r="H1712" s="2411" t="str">
        <f>IFERROR(VLOOKUP(F1712,Trainingsarten!$A$9:$K$84,10,FALSE),"")</f>
        <v/>
      </c>
      <c r="I1712" s="2412" t="str">
        <f t="shared" si="367"/>
        <v/>
      </c>
      <c r="J1712" s="2413"/>
      <c r="K1712" s="2414" t="str">
        <f>IFERROR(VLOOKUP(F1712,Trainingsarten!$A$9:$K$84,11,FALSE),"0")</f>
        <v>0</v>
      </c>
      <c r="L1712" s="2816"/>
      <c r="M1712" s="2840"/>
      <c r="N1712" s="2368" t="str">
        <f t="shared" si="368"/>
        <v/>
      </c>
      <c r="O1712" s="2415"/>
      <c r="P1712" s="2370" t="str">
        <f>IFERROR(VLOOKUP(F1712,Trainingsarten!$A$9:$N$84,12,FALSE),"")</f>
        <v/>
      </c>
      <c r="Q1712" s="2432" t="s">
        <v>437</v>
      </c>
      <c r="R1712" s="2537" t="str">
        <f>IFERROR(VLOOKUP(F1712,Trainingsarten!$A$9:$N$84,14,FALSE),"")</f>
        <v/>
      </c>
      <c r="S1712" s="2419" t="str">
        <f t="shared" si="369"/>
        <v/>
      </c>
      <c r="T1712" s="2009">
        <f t="shared" si="370"/>
        <v>21.477634646245708</v>
      </c>
      <c r="U1712" s="2009">
        <f t="shared" si="371"/>
        <v>25.151011083889649</v>
      </c>
      <c r="V1712" s="2009">
        <f t="shared" si="372"/>
        <v>0.70720995799867126</v>
      </c>
      <c r="W1712" s="3284">
        <f t="shared" si="373"/>
        <v>0.85394716636275092</v>
      </c>
      <c r="X1712" s="3300"/>
      <c r="Y1712" s="3316"/>
      <c r="AA1712" s="3301"/>
      <c r="AB1712" s="3409"/>
      <c r="AE1712" s="2548"/>
    </row>
    <row r="1713" spans="2:31" ht="16" thickBot="1" x14ac:dyDescent="0.25">
      <c r="B1713" s="2979">
        <f t="shared" ref="B1713" si="397">SUM(H1711:H1717)</f>
        <v>29.9</v>
      </c>
      <c r="C1713" s="2409">
        <v>44811</v>
      </c>
      <c r="D1713" s="2009">
        <v>125</v>
      </c>
      <c r="E1713" s="2010" t="s">
        <v>836</v>
      </c>
      <c r="F1713" s="2777" t="s">
        <v>819</v>
      </c>
      <c r="G1713" s="2884">
        <v>3.8067129629629631E-2</v>
      </c>
      <c r="H1713" s="2411">
        <v>10.1</v>
      </c>
      <c r="I1713" s="2412">
        <f t="shared" si="367"/>
        <v>3.7690227356068943E-3</v>
      </c>
      <c r="J1713" s="2413">
        <v>144</v>
      </c>
      <c r="K1713" s="2414">
        <v>65</v>
      </c>
      <c r="L1713" s="2816">
        <v>225</v>
      </c>
      <c r="M1713" s="2840">
        <v>29</v>
      </c>
      <c r="N1713" s="2368">
        <f t="shared" si="368"/>
        <v>1.0935791340328063</v>
      </c>
      <c r="O1713" s="2415" t="s">
        <v>953</v>
      </c>
      <c r="P1713" s="2370">
        <f>IFERROR(VLOOKUP(F1713,Trainingsarten!$A$9:$N$84,12,FALSE),"")</f>
        <v>194.60000000000002</v>
      </c>
      <c r="Q1713" s="2432" t="s">
        <v>437</v>
      </c>
      <c r="R1713" s="2537">
        <f>IFERROR(VLOOKUP(F1713,Trainingsarten!$A$9:$N$84,14,FALSE),"")</f>
        <v>212.96</v>
      </c>
      <c r="S1713" s="2419">
        <f t="shared" si="369"/>
        <v>1.5625</v>
      </c>
      <c r="T1713" s="2009">
        <f t="shared" si="370"/>
        <v>27.69511541106775</v>
      </c>
      <c r="U1713" s="2009">
        <f t="shared" si="371"/>
        <v>26.099796534273228</v>
      </c>
      <c r="V1713" s="2009">
        <f t="shared" si="372"/>
        <v>3.6733764376439417</v>
      </c>
      <c r="W1713" s="3284">
        <f t="shared" si="373"/>
        <v>1.0611238051108793</v>
      </c>
      <c r="X1713" s="3300"/>
      <c r="Y1713" s="3316"/>
      <c r="AA1713" s="3301"/>
      <c r="AB1713" s="3409"/>
      <c r="AE1713" s="2548"/>
    </row>
    <row r="1714" spans="2:31" x14ac:dyDescent="0.2">
      <c r="B1714" s="2992" t="s">
        <v>628</v>
      </c>
      <c r="C1714" s="2409">
        <v>44812</v>
      </c>
      <c r="D1714" s="2009"/>
      <c r="E1714" s="2010"/>
      <c r="F1714" s="2777"/>
      <c r="G1714" s="2884"/>
      <c r="H1714" s="2411" t="str">
        <f>IFERROR(VLOOKUP(F1714,Trainingsarten!$A$9:$K$84,10,FALSE),"")</f>
        <v/>
      </c>
      <c r="I1714" s="2412" t="str">
        <f t="shared" si="367"/>
        <v/>
      </c>
      <c r="J1714" s="2413"/>
      <c r="K1714" s="2414" t="str">
        <f>IFERROR(VLOOKUP(F1714,Trainingsarten!$A$9:$K$84,11,FALSE),"0")</f>
        <v>0</v>
      </c>
      <c r="L1714" s="2816"/>
      <c r="M1714" s="2840"/>
      <c r="N1714" s="2368" t="str">
        <f t="shared" si="368"/>
        <v/>
      </c>
      <c r="O1714" s="2415"/>
      <c r="P1714" s="2370" t="str">
        <f>IFERROR(VLOOKUP(F1714,Trainingsarten!$A$9:$N$84,12,FALSE),"")</f>
        <v/>
      </c>
      <c r="Q1714" s="2432" t="s">
        <v>437</v>
      </c>
      <c r="R1714" s="2537" t="str">
        <f>IFERROR(VLOOKUP(F1714,Trainingsarten!$A$9:$N$84,14,FALSE),"")</f>
        <v/>
      </c>
      <c r="S1714" s="2419" t="str">
        <f t="shared" si="369"/>
        <v/>
      </c>
      <c r="T1714" s="2009">
        <f t="shared" si="370"/>
        <v>23.738670352343785</v>
      </c>
      <c r="U1714" s="2009">
        <f t="shared" si="371"/>
        <v>25.478372807266723</v>
      </c>
      <c r="V1714" s="2009">
        <f t="shared" si="372"/>
        <v>-1.5953188767945221</v>
      </c>
      <c r="W1714" s="3284">
        <f t="shared" si="373"/>
        <v>0.9317184630241867</v>
      </c>
      <c r="X1714" s="3300"/>
      <c r="Y1714" s="3316"/>
      <c r="AA1714" s="3301"/>
      <c r="AB1714" s="3409"/>
      <c r="AE1714" s="2548"/>
    </row>
    <row r="1715" spans="2:31" ht="16" thickBot="1" x14ac:dyDescent="0.25">
      <c r="B1715" s="2993">
        <f t="shared" ref="B1715" si="398">SUM(K1711:K1717)</f>
        <v>189</v>
      </c>
      <c r="C1715" s="2562">
        <v>44813</v>
      </c>
      <c r="D1715" s="2563">
        <v>126</v>
      </c>
      <c r="E1715" s="2564" t="s">
        <v>836</v>
      </c>
      <c r="F1715" s="2777" t="s">
        <v>819</v>
      </c>
      <c r="G1715" s="2885">
        <v>3.6134259259259262E-2</v>
      </c>
      <c r="H1715" s="2566">
        <v>9.6</v>
      </c>
      <c r="I1715" s="2567">
        <f t="shared" si="367"/>
        <v>3.7639853395061732E-3</v>
      </c>
      <c r="J1715" s="2568">
        <v>135</v>
      </c>
      <c r="K1715" s="2569">
        <v>63</v>
      </c>
      <c r="L1715" s="2816">
        <v>226</v>
      </c>
      <c r="M1715" s="2840">
        <v>32</v>
      </c>
      <c r="N1715" s="2570">
        <f t="shared" si="368"/>
        <v>1.0969713930348259</v>
      </c>
      <c r="O1715" s="2571" t="s">
        <v>958</v>
      </c>
      <c r="P1715" s="2572">
        <f>IFERROR(VLOOKUP(F1715,Trainingsarten!$A$9:$N$84,12,FALSE),"")</f>
        <v>194.60000000000002</v>
      </c>
      <c r="Q1715" s="2573" t="s">
        <v>437</v>
      </c>
      <c r="R1715" s="2574">
        <f>IFERROR(VLOOKUP(F1715,Trainingsarten!$A$9:$N$84,14,FALSE),"")</f>
        <v>212.96</v>
      </c>
      <c r="S1715" s="2575">
        <f t="shared" si="369"/>
        <v>1.674074074074074</v>
      </c>
      <c r="T1715" s="2563">
        <f t="shared" si="370"/>
        <v>29.347431730580386</v>
      </c>
      <c r="U1715" s="2563">
        <f t="shared" si="371"/>
        <v>26.371744883284183</v>
      </c>
      <c r="V1715" s="2563">
        <f t="shared" si="372"/>
        <v>1.7397024549229378</v>
      </c>
      <c r="W1715" s="3284">
        <f t="shared" si="373"/>
        <v>1.1128361760082985</v>
      </c>
      <c r="X1715" s="3300"/>
      <c r="Y1715" s="3316"/>
      <c r="AA1715" s="3301"/>
      <c r="AB1715" s="3409"/>
      <c r="AE1715" s="2548"/>
    </row>
    <row r="1716" spans="2:31" x14ac:dyDescent="0.2">
      <c r="B1716" s="2994" t="s">
        <v>761</v>
      </c>
      <c r="C1716" s="2441">
        <v>44814</v>
      </c>
      <c r="D1716" s="1111"/>
      <c r="E1716" s="1112"/>
      <c r="F1716" s="2777"/>
      <c r="G1716" s="2881"/>
      <c r="H1716" s="2443" t="str">
        <f>IFERROR(VLOOKUP(F1716,Trainingsarten!$A$9:$K$84,10,FALSE),"")</f>
        <v/>
      </c>
      <c r="I1716" s="2444" t="str">
        <f t="shared" si="367"/>
        <v/>
      </c>
      <c r="J1716" s="1320"/>
      <c r="K1716" s="2445" t="str">
        <f>IFERROR(VLOOKUP(F1716,Trainingsarten!$A$9:$K$84,11,FALSE),"0")</f>
        <v>0</v>
      </c>
      <c r="L1716" s="2819"/>
      <c r="M1716" s="1320"/>
      <c r="N1716" s="1119" t="str">
        <f t="shared" si="368"/>
        <v/>
      </c>
      <c r="O1716" s="2446"/>
      <c r="P1716" s="1121" t="str">
        <f>IFERROR(VLOOKUP(F1716,Trainingsarten!$A$9:$N$84,12,FALSE),"")</f>
        <v/>
      </c>
      <c r="Q1716" s="2447" t="s">
        <v>437</v>
      </c>
      <c r="R1716" s="2448" t="str">
        <f>IFERROR(VLOOKUP(F1716,Trainingsarten!$A$9:$N$84,14,FALSE),"")</f>
        <v/>
      </c>
      <c r="S1716" s="2449" t="str">
        <f t="shared" si="369"/>
        <v/>
      </c>
      <c r="T1716" s="1111">
        <f t="shared" si="370"/>
        <v>25.154941483354616</v>
      </c>
      <c r="U1716" s="1111">
        <f t="shared" si="371"/>
        <v>25.74384619558694</v>
      </c>
      <c r="V1716" s="1111">
        <f t="shared" si="372"/>
        <v>-2.9756868472962026</v>
      </c>
      <c r="W1716" s="3286">
        <f t="shared" si="373"/>
        <v>0.97712444722679881</v>
      </c>
      <c r="X1716" s="3300"/>
      <c r="Y1716" s="3316"/>
      <c r="AA1716" s="3301"/>
      <c r="AB1716" s="3409"/>
      <c r="AE1716" s="2548"/>
    </row>
    <row r="1717" spans="2:31" ht="16" thickBot="1" x14ac:dyDescent="0.25">
      <c r="B1717" s="2995">
        <f t="shared" ref="B1717" si="399">AVERAGE(W1711:W1717)</f>
        <v>0.9667519894962735</v>
      </c>
      <c r="C1717" s="1631">
        <v>44815</v>
      </c>
      <c r="D1717" s="1108"/>
      <c r="E1717" s="1261"/>
      <c r="F1717" s="2778"/>
      <c r="G1717" s="2882"/>
      <c r="H1717" s="2434" t="str">
        <f>IFERROR(VLOOKUP(F1717,Trainingsarten!$A$9:$K$84,10,FALSE),"")</f>
        <v/>
      </c>
      <c r="I1717" s="2435" t="str">
        <f t="shared" si="367"/>
        <v/>
      </c>
      <c r="J1717" s="1310"/>
      <c r="K1717" s="2436" t="str">
        <f>IFERROR(VLOOKUP(F1717,Trainingsarten!$A$9:$K$84,11,FALSE),"0")</f>
        <v>0</v>
      </c>
      <c r="L1717" s="2818"/>
      <c r="M1717" s="2798"/>
      <c r="N1717" s="1223" t="str">
        <f t="shared" si="368"/>
        <v/>
      </c>
      <c r="O1717" s="2437"/>
      <c r="P1717" s="1519" t="str">
        <f>IFERROR(VLOOKUP(F1717,Trainingsarten!$A$9:$N$84,12,FALSE),"")</f>
        <v/>
      </c>
      <c r="Q1717" s="2438" t="s">
        <v>437</v>
      </c>
      <c r="R1717" s="2439" t="str">
        <f>IFERROR(VLOOKUP(F1717,Trainingsarten!$A$9:$N$84,14,FALSE),"")</f>
        <v/>
      </c>
      <c r="S1717" s="2440" t="str">
        <f t="shared" si="369"/>
        <v/>
      </c>
      <c r="T1717" s="1108">
        <f t="shared" si="370"/>
        <v>21.561378414303956</v>
      </c>
      <c r="U1717" s="1108">
        <f t="shared" si="371"/>
        <v>25.130897476644392</v>
      </c>
      <c r="V1717" s="1108">
        <f t="shared" si="372"/>
        <v>0.5889047122323241</v>
      </c>
      <c r="W1717" s="3285">
        <f t="shared" si="373"/>
        <v>0.85796292927231121</v>
      </c>
      <c r="X1717" s="3300"/>
      <c r="Y1717" s="3316"/>
      <c r="AA1717" s="3301"/>
      <c r="AB1717" s="3409"/>
      <c r="AE1717" s="2548"/>
    </row>
    <row r="1718" spans="2:31" ht="16" thickBot="1" x14ac:dyDescent="0.25">
      <c r="B1718" s="2986">
        <f t="shared" ref="B1718" si="400">B1711+1</f>
        <v>37</v>
      </c>
      <c r="C1718" s="2399">
        <v>44816</v>
      </c>
      <c r="D1718" s="2292">
        <v>127</v>
      </c>
      <c r="E1718" s="2293" t="s">
        <v>836</v>
      </c>
      <c r="F1718" s="2776" t="s">
        <v>906</v>
      </c>
      <c r="G1718" s="2400">
        <v>4.7199074074074067E-2</v>
      </c>
      <c r="H1718" s="2401">
        <v>12.4</v>
      </c>
      <c r="I1718" s="2402">
        <f t="shared" si="367"/>
        <v>3.8063769414575861E-3</v>
      </c>
      <c r="J1718" s="2403">
        <v>138</v>
      </c>
      <c r="K1718" s="2404">
        <v>81</v>
      </c>
      <c r="L1718" s="2815">
        <v>225</v>
      </c>
      <c r="M1718" s="2591">
        <v>47</v>
      </c>
      <c r="N1718" s="2296">
        <f t="shared" si="368"/>
        <v>1.1044174289841115</v>
      </c>
      <c r="O1718" s="2405" t="s">
        <v>958</v>
      </c>
      <c r="P1718" s="2298">
        <f>IFERROR(VLOOKUP(F1718,Trainingsarten!$A$9:$N$84,12,FALSE),"")</f>
        <v>194.60000000000002</v>
      </c>
      <c r="Q1718" s="2406" t="s">
        <v>437</v>
      </c>
      <c r="R1718" s="2407">
        <f>IFERROR(VLOOKUP(F1718,Trainingsarten!$A$9:$N$84,14,FALSE),"")</f>
        <v>212.96</v>
      </c>
      <c r="S1718" s="2408">
        <f t="shared" si="369"/>
        <v>1.6304347826086956</v>
      </c>
      <c r="T1718" s="2292">
        <f t="shared" si="370"/>
        <v>30.052610069403393</v>
      </c>
      <c r="U1718" s="2292">
        <f t="shared" si="371"/>
        <v>26.461114203390956</v>
      </c>
      <c r="V1718" s="2292">
        <f t="shared" si="372"/>
        <v>3.5695190623404365</v>
      </c>
      <c r="W1718" s="3283">
        <f t="shared" si="373"/>
        <v>1.1357273105889165</v>
      </c>
      <c r="X1718" s="3300"/>
      <c r="Y1718" s="3316"/>
      <c r="AA1718" s="3301"/>
      <c r="AB1718" s="3409"/>
      <c r="AE1718" s="2548"/>
    </row>
    <row r="1719" spans="2:31" x14ac:dyDescent="0.2">
      <c r="B1719" s="2991" t="s">
        <v>626</v>
      </c>
      <c r="C1719" s="2409">
        <v>44817</v>
      </c>
      <c r="D1719" s="2009"/>
      <c r="E1719" s="2010"/>
      <c r="F1719" s="2777"/>
      <c r="G1719" s="2410"/>
      <c r="H1719" s="2411" t="str">
        <f>IFERROR(VLOOKUP(F1719,Trainingsarten!$A$9:$K$84,10,FALSE),"")</f>
        <v/>
      </c>
      <c r="I1719" s="2412" t="str">
        <f t="shared" si="367"/>
        <v/>
      </c>
      <c r="J1719" s="2413"/>
      <c r="K1719" s="2414" t="str">
        <f>IFERROR(VLOOKUP(F1719,Trainingsarten!$A$9:$K$84,11,FALSE),"0")</f>
        <v>0</v>
      </c>
      <c r="L1719" s="2816"/>
      <c r="M1719" s="2840"/>
      <c r="N1719" s="2368" t="str">
        <f t="shared" si="368"/>
        <v/>
      </c>
      <c r="O1719" s="2415"/>
      <c r="P1719" s="2370" t="str">
        <f>IFERROR(VLOOKUP(F1719,Trainingsarten!$A$9:$N$84,12,FALSE),"")</f>
        <v/>
      </c>
      <c r="Q1719" s="2432" t="s">
        <v>437</v>
      </c>
      <c r="R1719" s="2537" t="str">
        <f>IFERROR(VLOOKUP(F1719,Trainingsarten!$A$9:$N$84,14,FALSE),"")</f>
        <v/>
      </c>
      <c r="S1719" s="2419" t="str">
        <f t="shared" si="369"/>
        <v/>
      </c>
      <c r="T1719" s="2009">
        <f t="shared" si="370"/>
        <v>25.75938005948862</v>
      </c>
      <c r="U1719" s="2009">
        <f t="shared" si="371"/>
        <v>25.831087674738789</v>
      </c>
      <c r="V1719" s="2009">
        <f t="shared" si="372"/>
        <v>-3.591495866012437</v>
      </c>
      <c r="W1719" s="3284">
        <f t="shared" si="373"/>
        <v>0.99722398002929258</v>
      </c>
      <c r="X1719" s="3300"/>
      <c r="Y1719" s="3316"/>
      <c r="AA1719" s="3301"/>
      <c r="AB1719" s="3409"/>
      <c r="AE1719" s="2548"/>
    </row>
    <row r="1720" spans="2:31" ht="16" thickBot="1" x14ac:dyDescent="0.25">
      <c r="B1720" s="2979">
        <f t="shared" ref="B1720" si="401">SUM(H1718:H1724)</f>
        <v>29.15</v>
      </c>
      <c r="C1720" s="2409">
        <v>44818</v>
      </c>
      <c r="D1720" s="2009">
        <v>128</v>
      </c>
      <c r="E1720" s="2010" t="s">
        <v>836</v>
      </c>
      <c r="F1720" s="2777" t="s">
        <v>943</v>
      </c>
      <c r="G1720" s="2410">
        <v>2.8877314814814817E-2</v>
      </c>
      <c r="H1720" s="2411">
        <v>7.44</v>
      </c>
      <c r="I1720" s="2412">
        <f t="shared" si="367"/>
        <v>3.8813595181202711E-3</v>
      </c>
      <c r="J1720" s="2413">
        <v>141</v>
      </c>
      <c r="K1720" s="2414">
        <v>47</v>
      </c>
      <c r="L1720" s="2816">
        <v>221</v>
      </c>
      <c r="M1720" s="2840">
        <v>23</v>
      </c>
      <c r="N1720" s="2368">
        <f t="shared" si="368"/>
        <v>1.1061527042208315</v>
      </c>
      <c r="O1720" s="2415" t="s">
        <v>957</v>
      </c>
      <c r="P1720" s="2370">
        <f>IFERROR(VLOOKUP(F1720,Trainingsarten!$A$9:$N$84,12,FALSE),"")</f>
        <v>194.60000000000002</v>
      </c>
      <c r="Q1720" s="2432" t="s">
        <v>437</v>
      </c>
      <c r="R1720" s="2537">
        <f>IFERROR(VLOOKUP(F1720,Trainingsarten!$A$9:$N$84,14,FALSE),"")</f>
        <v>212.96</v>
      </c>
      <c r="S1720" s="2419">
        <f t="shared" si="369"/>
        <v>1.5673758865248226</v>
      </c>
      <c r="T1720" s="2009">
        <f t="shared" si="370"/>
        <v>28.793754336704531</v>
      </c>
      <c r="U1720" s="2009">
        <f t="shared" si="371"/>
        <v>26.335109396768818</v>
      </c>
      <c r="V1720" s="2009">
        <f t="shared" si="372"/>
        <v>7.1707615250168999E-2</v>
      </c>
      <c r="W1720" s="3284">
        <f t="shared" si="373"/>
        <v>1.093359966837175</v>
      </c>
      <c r="X1720" s="3300"/>
      <c r="Y1720" s="3316"/>
      <c r="AA1720" s="3301"/>
      <c r="AB1720" s="3409"/>
      <c r="AE1720" s="2548"/>
    </row>
    <row r="1721" spans="2:31" x14ac:dyDescent="0.2">
      <c r="B1721" s="2992" t="s">
        <v>628</v>
      </c>
      <c r="C1721" s="2409">
        <v>44819</v>
      </c>
      <c r="D1721" s="2009"/>
      <c r="E1721" s="2010"/>
      <c r="F1721" s="2777"/>
      <c r="G1721" s="2410"/>
      <c r="H1721" s="2411" t="str">
        <f>IFERROR(VLOOKUP(F1721,Trainingsarten!$A$9:$K$84,10,FALSE),"")</f>
        <v/>
      </c>
      <c r="I1721" s="2412" t="str">
        <f t="shared" si="367"/>
        <v/>
      </c>
      <c r="J1721" s="2413"/>
      <c r="K1721" s="2414" t="str">
        <f>IFERROR(VLOOKUP(F1721,Trainingsarten!$A$9:$K$84,11,FALSE),"0")</f>
        <v>0</v>
      </c>
      <c r="L1721" s="2816"/>
      <c r="M1721" s="2840"/>
      <c r="N1721" s="2368" t="str">
        <f t="shared" si="368"/>
        <v/>
      </c>
      <c r="O1721" s="2415"/>
      <c r="P1721" s="2370" t="str">
        <f>IFERROR(VLOOKUP(F1721,Trainingsarten!$A$9:$N$84,12,FALSE),"")</f>
        <v/>
      </c>
      <c r="Q1721" s="2432" t="s">
        <v>437</v>
      </c>
      <c r="R1721" s="2537" t="str">
        <f>IFERROR(VLOOKUP(F1721,Trainingsarten!$A$9:$N$84,14,FALSE),"")</f>
        <v/>
      </c>
      <c r="S1721" s="2419" t="str">
        <f t="shared" si="369"/>
        <v/>
      </c>
      <c r="T1721" s="2009">
        <f t="shared" si="370"/>
        <v>24.680360860032454</v>
      </c>
      <c r="U1721" s="2009">
        <f t="shared" si="371"/>
        <v>25.708082982560036</v>
      </c>
      <c r="V1721" s="2009">
        <f t="shared" si="372"/>
        <v>-2.4586449399357129</v>
      </c>
      <c r="W1721" s="3284">
        <f t="shared" si="373"/>
        <v>0.96002338551556832</v>
      </c>
      <c r="X1721" s="3300"/>
      <c r="Y1721" s="3316"/>
      <c r="AA1721" s="3301"/>
      <c r="AB1721" s="3409"/>
      <c r="AE1721" s="2548"/>
    </row>
    <row r="1722" spans="2:31" ht="16" thickBot="1" x14ac:dyDescent="0.25">
      <c r="B1722" s="2993">
        <f t="shared" ref="B1722" si="402">SUM(K1718:K1724)</f>
        <v>194</v>
      </c>
      <c r="C1722" s="2562">
        <v>44820</v>
      </c>
      <c r="D1722" s="2563"/>
      <c r="E1722" s="2564"/>
      <c r="F1722" s="2777"/>
      <c r="G1722" s="2565"/>
      <c r="H1722" s="2566" t="str">
        <f>IFERROR(VLOOKUP(F1722,Trainingsarten!$A$9:$K$84,10,FALSE),"")</f>
        <v/>
      </c>
      <c r="I1722" s="2567" t="str">
        <f t="shared" si="367"/>
        <v/>
      </c>
      <c r="J1722" s="2568"/>
      <c r="K1722" s="2569" t="str">
        <f>IFERROR(VLOOKUP(F1722,Trainingsarten!$A$9:$K$84,11,FALSE),"0")</f>
        <v>0</v>
      </c>
      <c r="L1722" s="2816"/>
      <c r="M1722" s="2840"/>
      <c r="N1722" s="2570" t="str">
        <f t="shared" si="368"/>
        <v/>
      </c>
      <c r="O1722" s="2571"/>
      <c r="P1722" s="2572" t="str">
        <f>IFERROR(VLOOKUP(F1722,Trainingsarten!$A$9:$N$84,12,FALSE),"")</f>
        <v/>
      </c>
      <c r="Q1722" s="2573" t="s">
        <v>437</v>
      </c>
      <c r="R1722" s="2574" t="str">
        <f>IFERROR(VLOOKUP(F1722,Trainingsarten!$A$9:$N$84,14,FALSE),"")</f>
        <v/>
      </c>
      <c r="S1722" s="2575" t="str">
        <f t="shared" si="369"/>
        <v/>
      </c>
      <c r="T1722" s="2563">
        <f t="shared" si="370"/>
        <v>21.154595022884962</v>
      </c>
      <c r="U1722" s="2563">
        <f t="shared" si="371"/>
        <v>25.095985768689559</v>
      </c>
      <c r="V1722" s="2563">
        <f t="shared" si="372"/>
        <v>1.0277221225275817</v>
      </c>
      <c r="W1722" s="3284">
        <f t="shared" si="373"/>
        <v>0.84294736289171857</v>
      </c>
      <c r="X1722" s="3300"/>
      <c r="Y1722" s="3316"/>
      <c r="AA1722" s="3301"/>
      <c r="AB1722" s="3409"/>
      <c r="AE1722" s="2548"/>
    </row>
    <row r="1723" spans="2:31" x14ac:dyDescent="0.2">
      <c r="B1723" s="2994" t="s">
        <v>761</v>
      </c>
      <c r="C1723" s="2441">
        <v>44821</v>
      </c>
      <c r="D1723" s="1111">
        <v>129</v>
      </c>
      <c r="E1723" s="1112" t="s">
        <v>836</v>
      </c>
      <c r="F1723" s="2777" t="s">
        <v>927</v>
      </c>
      <c r="G1723" s="2442">
        <v>3.2395833333333332E-2</v>
      </c>
      <c r="H1723" s="2443">
        <v>9.31</v>
      </c>
      <c r="I1723" s="2444">
        <f t="shared" si="367"/>
        <v>3.4796813462226995E-3</v>
      </c>
      <c r="J1723" s="1320">
        <v>151</v>
      </c>
      <c r="K1723" s="2445">
        <v>66</v>
      </c>
      <c r="L1723" s="2819">
        <v>246</v>
      </c>
      <c r="M1723" s="1320">
        <v>39</v>
      </c>
      <c r="N1723" s="1119">
        <f t="shared" si="368"/>
        <v>1.1038587941068021</v>
      </c>
      <c r="O1723" s="2446" t="s">
        <v>958</v>
      </c>
      <c r="P1723" s="1121">
        <f>IFERROR(VLOOKUP(F1723,Trainingsarten!$A$9:$N$84,12,FALSE),"")</f>
        <v>229.68</v>
      </c>
      <c r="Q1723" s="2447" t="s">
        <v>437</v>
      </c>
      <c r="R1723" s="2448">
        <f>IFERROR(VLOOKUP(F1723,Trainingsarten!$A$9:$N$84,14,FALSE),"")</f>
        <v>247.95</v>
      </c>
      <c r="S1723" s="2449">
        <f t="shared" si="369"/>
        <v>1.6291390728476822</v>
      </c>
      <c r="T1723" s="1111">
        <f t="shared" si="370"/>
        <v>27.56108144818711</v>
      </c>
      <c r="U1723" s="1111">
        <f t="shared" si="371"/>
        <v>26.069890869435046</v>
      </c>
      <c r="V1723" s="1111">
        <f t="shared" si="372"/>
        <v>3.9413907458045969</v>
      </c>
      <c r="W1723" s="3286">
        <f t="shared" si="373"/>
        <v>1.0571997246256359</v>
      </c>
      <c r="X1723" s="3300"/>
      <c r="Y1723" s="3316"/>
      <c r="AA1723" s="3301"/>
      <c r="AB1723" s="3409"/>
      <c r="AE1723" s="2548"/>
    </row>
    <row r="1724" spans="2:31" ht="16" thickBot="1" x14ac:dyDescent="0.25">
      <c r="B1724" s="2995">
        <f t="shared" ref="B1724" si="403">AVERAGE(W1718:W1724)</f>
        <v>1.0021078084896984</v>
      </c>
      <c r="C1724" s="1631">
        <v>44822</v>
      </c>
      <c r="D1724" s="1108"/>
      <c r="E1724" s="1261"/>
      <c r="F1724" s="2778"/>
      <c r="G1724" s="2433"/>
      <c r="H1724" s="2434" t="str">
        <f>IFERROR(VLOOKUP(F1724,Trainingsarten!$A$9:$K$84,10,FALSE),"")</f>
        <v/>
      </c>
      <c r="I1724" s="2435" t="str">
        <f t="shared" si="367"/>
        <v/>
      </c>
      <c r="J1724" s="1310"/>
      <c r="K1724" s="2436" t="str">
        <f>IFERROR(VLOOKUP(F1724,Trainingsarten!$A$9:$K$84,11,FALSE),"0")</f>
        <v>0</v>
      </c>
      <c r="L1724" s="2818"/>
      <c r="M1724" s="2798"/>
      <c r="N1724" s="1223" t="str">
        <f t="shared" si="368"/>
        <v/>
      </c>
      <c r="O1724" s="2437"/>
      <c r="P1724" s="1519" t="str">
        <f>IFERROR(VLOOKUP(F1724,Trainingsarten!$A$9:$N$84,12,FALSE),"")</f>
        <v/>
      </c>
      <c r="Q1724" s="2438" t="s">
        <v>437</v>
      </c>
      <c r="R1724" s="2439" t="str">
        <f>IFERROR(VLOOKUP(F1724,Trainingsarten!$A$9:$N$84,14,FALSE),"")</f>
        <v/>
      </c>
      <c r="S1724" s="2440" t="str">
        <f t="shared" si="369"/>
        <v/>
      </c>
      <c r="T1724" s="1108">
        <f t="shared" si="370"/>
        <v>23.623784098446095</v>
      </c>
      <c r="U1724" s="1108">
        <f t="shared" si="371"/>
        <v>25.449179182067546</v>
      </c>
      <c r="V1724" s="1108">
        <f t="shared" si="372"/>
        <v>-1.4911905787520645</v>
      </c>
      <c r="W1724" s="3285">
        <f t="shared" si="373"/>
        <v>0.92827292893958269</v>
      </c>
      <c r="X1724" s="3300"/>
      <c r="Y1724" s="3316"/>
      <c r="AA1724" s="3301"/>
      <c r="AB1724" s="3409"/>
      <c r="AE1724" s="2548"/>
    </row>
    <row r="1725" spans="2:31" ht="16" thickBot="1" x14ac:dyDescent="0.25">
      <c r="B1725" s="2986">
        <f t="shared" ref="B1725" si="404">B1718+1</f>
        <v>38</v>
      </c>
      <c r="C1725" s="2399">
        <v>44823</v>
      </c>
      <c r="D1725" s="2292"/>
      <c r="E1725" s="2293"/>
      <c r="F1725" s="2776"/>
      <c r="G1725" s="2400"/>
      <c r="H1725" s="2401" t="str">
        <f>IFERROR(VLOOKUP(F1725,Trainingsarten!$A$9:$K$84,10,FALSE),"")</f>
        <v/>
      </c>
      <c r="I1725" s="2402" t="str">
        <f t="shared" si="367"/>
        <v/>
      </c>
      <c r="J1725" s="2403"/>
      <c r="K1725" s="2404" t="str">
        <f>IFERROR(VLOOKUP(F1725,Trainingsarten!$A$9:$K$84,11,FALSE),"0")</f>
        <v>0</v>
      </c>
      <c r="L1725" s="2815"/>
      <c r="M1725" s="2591"/>
      <c r="N1725" s="2296" t="str">
        <f t="shared" si="368"/>
        <v/>
      </c>
      <c r="O1725" s="2405"/>
      <c r="P1725" s="2298" t="str">
        <f>IFERROR(VLOOKUP(F1725,Trainingsarten!$A$9:$N$84,12,FALSE),"")</f>
        <v/>
      </c>
      <c r="Q1725" s="2406" t="s">
        <v>437</v>
      </c>
      <c r="R1725" s="2407" t="str">
        <f>IFERROR(VLOOKUP(F1725,Trainingsarten!$A$9:$N$84,14,FALSE),"")</f>
        <v/>
      </c>
      <c r="S1725" s="2408" t="str">
        <f t="shared" si="369"/>
        <v/>
      </c>
      <c r="T1725" s="2292">
        <f t="shared" si="370"/>
        <v>20.24895779866808</v>
      </c>
      <c r="U1725" s="2292">
        <f t="shared" si="371"/>
        <v>24.843246344399272</v>
      </c>
      <c r="V1725" s="2292">
        <f t="shared" si="372"/>
        <v>1.8253950836214514</v>
      </c>
      <c r="W1725" s="3283">
        <f t="shared" si="373"/>
        <v>0.81506891321524322</v>
      </c>
      <c r="X1725" s="3300"/>
      <c r="Y1725" s="3316"/>
      <c r="AA1725" s="3301"/>
      <c r="AB1725" s="3409"/>
      <c r="AE1725" s="2548"/>
    </row>
    <row r="1726" spans="2:31" x14ac:dyDescent="0.2">
      <c r="B1726" s="2991" t="s">
        <v>626</v>
      </c>
      <c r="C1726" s="2409">
        <v>44824</v>
      </c>
      <c r="D1726" s="2009"/>
      <c r="E1726" s="2010"/>
      <c r="F1726" s="2777"/>
      <c r="G1726" s="2410"/>
      <c r="H1726" s="2411" t="str">
        <f>IFERROR(VLOOKUP(F1726,Trainingsarten!$A$9:$K$84,10,FALSE),"")</f>
        <v/>
      </c>
      <c r="I1726" s="2412" t="str">
        <f t="shared" si="367"/>
        <v/>
      </c>
      <c r="J1726" s="2413"/>
      <c r="K1726" s="2414" t="str">
        <f>IFERROR(VLOOKUP(F1726,Trainingsarten!$A$9:$K$84,11,FALSE),"0")</f>
        <v>0</v>
      </c>
      <c r="L1726" s="2816"/>
      <c r="M1726" s="2840"/>
      <c r="N1726" s="2368" t="str">
        <f t="shared" si="368"/>
        <v/>
      </c>
      <c r="O1726" s="2415"/>
      <c r="P1726" s="2370" t="str">
        <f>IFERROR(VLOOKUP(F1726,Trainingsarten!$A$9:$N$84,12,FALSE),"")</f>
        <v/>
      </c>
      <c r="Q1726" s="2432" t="s">
        <v>437</v>
      </c>
      <c r="R1726" s="2537" t="str">
        <f>IFERROR(VLOOKUP(F1726,Trainingsarten!$A$9:$N$84,14,FALSE),"")</f>
        <v/>
      </c>
      <c r="S1726" s="2419" t="str">
        <f t="shared" si="369"/>
        <v/>
      </c>
      <c r="T1726" s="2009">
        <f t="shared" si="370"/>
        <v>17.356249541715496</v>
      </c>
      <c r="U1726" s="2009">
        <f t="shared" si="371"/>
        <v>24.251740479056433</v>
      </c>
      <c r="V1726" s="2009">
        <f t="shared" si="372"/>
        <v>4.5942885457311924</v>
      </c>
      <c r="W1726" s="3284">
        <f t="shared" si="373"/>
        <v>0.71567026526216471</v>
      </c>
      <c r="X1726" s="3300"/>
      <c r="Y1726" s="3316"/>
      <c r="AA1726" s="3301"/>
      <c r="AB1726" s="3409"/>
      <c r="AE1726" s="2548"/>
    </row>
    <row r="1727" spans="2:31" ht="16" thickBot="1" x14ac:dyDescent="0.25">
      <c r="B1727" s="2979">
        <f t="shared" ref="B1727" si="405">SUM(H1725:H1731)</f>
        <v>10.6</v>
      </c>
      <c r="C1727" s="2409">
        <v>44825</v>
      </c>
      <c r="D1727" s="2009"/>
      <c r="E1727" s="2010"/>
      <c r="F1727" s="2777"/>
      <c r="G1727" s="2410"/>
      <c r="H1727" s="2411" t="str">
        <f>IFERROR(VLOOKUP(F1727,Trainingsarten!$A$9:$K$84,10,FALSE),"")</f>
        <v/>
      </c>
      <c r="I1727" s="2412" t="str">
        <f t="shared" si="367"/>
        <v/>
      </c>
      <c r="J1727" s="2413"/>
      <c r="K1727" s="2414" t="str">
        <f>IFERROR(VLOOKUP(F1727,Trainingsarten!$A$9:$K$84,11,FALSE),"0")</f>
        <v>0</v>
      </c>
      <c r="L1727" s="2816"/>
      <c r="M1727" s="2840"/>
      <c r="N1727" s="2368" t="str">
        <f t="shared" si="368"/>
        <v/>
      </c>
      <c r="O1727" s="2415"/>
      <c r="P1727" s="2370" t="str">
        <f>IFERROR(VLOOKUP(F1727,Trainingsarten!$A$9:$N$84,12,FALSE),"")</f>
        <v/>
      </c>
      <c r="Q1727" s="2432" t="s">
        <v>437</v>
      </c>
      <c r="R1727" s="2537" t="str">
        <f>IFERROR(VLOOKUP(F1727,Trainingsarten!$A$9:$N$84,14,FALSE),"")</f>
        <v/>
      </c>
      <c r="S1727" s="2419" t="str">
        <f t="shared" si="369"/>
        <v/>
      </c>
      <c r="T1727" s="2009">
        <f t="shared" si="370"/>
        <v>14.876785321470425</v>
      </c>
      <c r="U1727" s="2009">
        <f t="shared" si="371"/>
        <v>23.674318086697948</v>
      </c>
      <c r="V1727" s="2009">
        <f t="shared" si="372"/>
        <v>6.8954909373409379</v>
      </c>
      <c r="W1727" s="3284">
        <f t="shared" si="373"/>
        <v>0.62839340364482754</v>
      </c>
      <c r="X1727" s="3300"/>
      <c r="Y1727" s="3316"/>
      <c r="AA1727" s="3301"/>
      <c r="AB1727" s="3409"/>
      <c r="AE1727" s="2548"/>
    </row>
    <row r="1728" spans="2:31" x14ac:dyDescent="0.2">
      <c r="B1728" s="2992" t="s">
        <v>628</v>
      </c>
      <c r="C1728" s="2409">
        <v>44826</v>
      </c>
      <c r="D1728" s="2009"/>
      <c r="E1728" s="2010"/>
      <c r="F1728" s="2777"/>
      <c r="G1728" s="2410"/>
      <c r="H1728" s="2411" t="str">
        <f>IFERROR(VLOOKUP(F1728,Trainingsarten!$A$9:$K$84,10,FALSE),"")</f>
        <v/>
      </c>
      <c r="I1728" s="2412" t="str">
        <f t="shared" si="367"/>
        <v/>
      </c>
      <c r="J1728" s="2413"/>
      <c r="K1728" s="2414" t="str">
        <f>IFERROR(VLOOKUP(F1728,Trainingsarten!$A$9:$K$84,11,FALSE),"0")</f>
        <v>0</v>
      </c>
      <c r="L1728" s="2816"/>
      <c r="M1728" s="2840"/>
      <c r="N1728" s="2368" t="str">
        <f t="shared" si="368"/>
        <v/>
      </c>
      <c r="O1728" s="2415"/>
      <c r="P1728" s="2370" t="str">
        <f>IFERROR(VLOOKUP(F1728,Trainingsarten!$A$9:$N$84,12,FALSE),"")</f>
        <v/>
      </c>
      <c r="Q1728" s="2432" t="s">
        <v>437</v>
      </c>
      <c r="R1728" s="2537" t="str">
        <f>IFERROR(VLOOKUP(F1728,Trainingsarten!$A$9:$N$84,14,FALSE),"")</f>
        <v/>
      </c>
      <c r="S1728" s="2419" t="str">
        <f t="shared" si="369"/>
        <v/>
      </c>
      <c r="T1728" s="2009">
        <f t="shared" si="370"/>
        <v>12.751530275546079</v>
      </c>
      <c r="U1728" s="2009">
        <f t="shared" si="371"/>
        <v>23.110643846538473</v>
      </c>
      <c r="V1728" s="2009">
        <f t="shared" si="372"/>
        <v>8.7975327652275226</v>
      </c>
      <c r="W1728" s="3284">
        <f t="shared" si="373"/>
        <v>0.55176006173692183</v>
      </c>
      <c r="X1728" s="3300"/>
      <c r="Y1728" s="3316"/>
      <c r="AA1728" s="3301"/>
      <c r="AB1728" s="3409"/>
      <c r="AE1728" s="2548"/>
    </row>
    <row r="1729" spans="2:31" ht="16" thickBot="1" x14ac:dyDescent="0.25">
      <c r="B1729" s="2993">
        <f t="shared" ref="B1729" si="406">SUM(K1725:K1731)</f>
        <v>59</v>
      </c>
      <c r="C1729" s="2562">
        <v>44827</v>
      </c>
      <c r="D1729" s="2563"/>
      <c r="E1729" s="2564"/>
      <c r="F1729" s="2777"/>
      <c r="G1729" s="2565"/>
      <c r="H1729" s="2566" t="str">
        <f>IFERROR(VLOOKUP(F1729,Trainingsarten!$A$9:$K$84,10,FALSE),"")</f>
        <v/>
      </c>
      <c r="I1729" s="2567" t="str">
        <f t="shared" si="367"/>
        <v/>
      </c>
      <c r="J1729" s="2568"/>
      <c r="K1729" s="2569" t="str">
        <f>IFERROR(VLOOKUP(F1729,Trainingsarten!$A$9:$K$84,11,FALSE),"0")</f>
        <v>0</v>
      </c>
      <c r="L1729" s="2816"/>
      <c r="M1729" s="2840"/>
      <c r="N1729" s="2570" t="str">
        <f t="shared" si="368"/>
        <v/>
      </c>
      <c r="O1729" s="2571"/>
      <c r="P1729" s="2572" t="str">
        <f>IFERROR(VLOOKUP(F1729,Trainingsarten!$A$9:$N$84,12,FALSE),"")</f>
        <v/>
      </c>
      <c r="Q1729" s="2573" t="s">
        <v>437</v>
      </c>
      <c r="R1729" s="2574" t="str">
        <f>IFERROR(VLOOKUP(F1729,Trainingsarten!$A$9:$N$84,14,FALSE),"")</f>
        <v/>
      </c>
      <c r="S1729" s="2575" t="str">
        <f t="shared" si="369"/>
        <v/>
      </c>
      <c r="T1729" s="2563">
        <f t="shared" si="370"/>
        <v>10.929883093325211</v>
      </c>
      <c r="U1729" s="2563">
        <f t="shared" si="371"/>
        <v>22.560390421620891</v>
      </c>
      <c r="V1729" s="2563">
        <f t="shared" si="372"/>
        <v>10.359113570992394</v>
      </c>
      <c r="W1729" s="3284">
        <f t="shared" si="373"/>
        <v>0.48447224932998006</v>
      </c>
      <c r="X1729" s="3300"/>
      <c r="Y1729" s="3316"/>
      <c r="AA1729" s="3301"/>
      <c r="AB1729" s="3409"/>
      <c r="AE1729" s="2548"/>
    </row>
    <row r="1730" spans="2:31" x14ac:dyDescent="0.2">
      <c r="B1730" s="2994" t="s">
        <v>761</v>
      </c>
      <c r="C1730" s="2441">
        <v>44828</v>
      </c>
      <c r="D1730" s="1111"/>
      <c r="E1730" s="1112"/>
      <c r="F1730" s="2777"/>
      <c r="G1730" s="2442"/>
      <c r="H1730" s="2566" t="str">
        <f>IFERROR(VLOOKUP(F1730,Trainingsarten!$A$9:$K$84,10,FALSE),"")</f>
        <v/>
      </c>
      <c r="I1730" s="2567" t="str">
        <f t="shared" ref="I1730" si="407">IFERROR(G1730/H1730,"")</f>
        <v/>
      </c>
      <c r="J1730" s="2568"/>
      <c r="K1730" s="2569" t="str">
        <f>IFERROR(VLOOKUP(F1730,Trainingsarten!$A$9:$K$84,11,FALSE),"0")</f>
        <v>0</v>
      </c>
      <c r="L1730" s="2819"/>
      <c r="M1730" s="1320"/>
      <c r="N1730" s="1119" t="str">
        <f t="shared" si="368"/>
        <v/>
      </c>
      <c r="O1730" s="2446"/>
      <c r="P1730" s="1121" t="str">
        <f>IFERROR(VLOOKUP(F1730,Trainingsarten!$A$9:$N$84,12,FALSE),"")</f>
        <v/>
      </c>
      <c r="Q1730" s="2447" t="s">
        <v>437</v>
      </c>
      <c r="R1730" s="2448" t="str">
        <f>IFERROR(VLOOKUP(F1730,Trainingsarten!$A$9:$N$84,14,FALSE),"")</f>
        <v/>
      </c>
      <c r="S1730" s="2449" t="str">
        <f t="shared" si="369"/>
        <v/>
      </c>
      <c r="T1730" s="1111">
        <f t="shared" si="370"/>
        <v>9.3684712228501805</v>
      </c>
      <c r="U1730" s="1111">
        <f t="shared" si="371"/>
        <v>22.023238268725155</v>
      </c>
      <c r="V1730" s="1111">
        <f t="shared" si="372"/>
        <v>11.63050732829568</v>
      </c>
      <c r="W1730" s="3286">
        <f t="shared" si="373"/>
        <v>0.42539026770437277</v>
      </c>
      <c r="X1730" s="3300"/>
      <c r="Y1730" s="3316"/>
      <c r="AA1730" s="3301"/>
      <c r="AB1730" s="3409"/>
      <c r="AE1730" s="2610"/>
    </row>
    <row r="1731" spans="2:31" ht="16" thickBot="1" x14ac:dyDescent="0.25">
      <c r="B1731" s="2995">
        <f t="shared" ref="B1731" si="408">AVERAGE(W1725:W1731)</f>
        <v>0.619908727244742</v>
      </c>
      <c r="C1731" s="1631">
        <v>44829</v>
      </c>
      <c r="D1731" s="1108">
        <v>130</v>
      </c>
      <c r="E1731" s="1261" t="s">
        <v>835</v>
      </c>
      <c r="F1731" s="2778" t="s">
        <v>819</v>
      </c>
      <c r="G1731" s="2433">
        <v>4.387731481481482E-2</v>
      </c>
      <c r="H1731" s="2434">
        <v>10.6</v>
      </c>
      <c r="I1731" s="2435">
        <f t="shared" si="367"/>
        <v>4.1393693221523416E-3</v>
      </c>
      <c r="J1731" s="1310">
        <v>134</v>
      </c>
      <c r="K1731" s="2436">
        <v>59</v>
      </c>
      <c r="L1731" s="2818">
        <v>201</v>
      </c>
      <c r="M1731" s="2798">
        <v>32</v>
      </c>
      <c r="N1731" s="1223">
        <f t="shared" si="368"/>
        <v>1.0729245283018871</v>
      </c>
      <c r="O1731" s="2437" t="s">
        <v>958</v>
      </c>
      <c r="P1731" s="1519">
        <f>IFERROR(VLOOKUP(F1731,Trainingsarten!$A$9:$N$84,12,FALSE),"")</f>
        <v>194.60000000000002</v>
      </c>
      <c r="Q1731" s="2438" t="s">
        <v>437</v>
      </c>
      <c r="R1731" s="2439">
        <f>IFERROR(VLOOKUP(F1731,Trainingsarten!$A$9:$N$84,14,FALSE),"")</f>
        <v>212.96</v>
      </c>
      <c r="S1731" s="2440">
        <f t="shared" si="369"/>
        <v>1.5</v>
      </c>
      <c r="T1731" s="1108">
        <f t="shared" si="370"/>
        <v>16.458689619585869</v>
      </c>
      <c r="U1731" s="1108">
        <f t="shared" si="371"/>
        <v>22.903637357565032</v>
      </c>
      <c r="V1731" s="1108">
        <f t="shared" si="372"/>
        <v>12.654767045874975</v>
      </c>
      <c r="W1731" s="3285">
        <f t="shared" si="373"/>
        <v>0.71860592981968396</v>
      </c>
      <c r="X1731" s="3300"/>
      <c r="Y1731" s="3316"/>
      <c r="AA1731" s="3301"/>
      <c r="AB1731" s="3409"/>
      <c r="AE1731" s="2548"/>
    </row>
    <row r="1732" spans="2:31" ht="16" thickBot="1" x14ac:dyDescent="0.25">
      <c r="B1732" s="2986">
        <f t="shared" ref="B1732" si="409">B1725+1</f>
        <v>39</v>
      </c>
      <c r="C1732" s="2399">
        <v>44830</v>
      </c>
      <c r="D1732" s="2292"/>
      <c r="E1732" s="2293"/>
      <c r="F1732" s="2776"/>
      <c r="G1732" s="2400"/>
      <c r="H1732" s="2401" t="str">
        <f>IFERROR(VLOOKUP(F1732,Trainingsarten!$A$9:$K$84,10,FALSE),"")</f>
        <v/>
      </c>
      <c r="I1732" s="2402" t="str">
        <f t="shared" si="367"/>
        <v/>
      </c>
      <c r="J1732" s="2403"/>
      <c r="K1732" s="2404" t="str">
        <f>IFERROR(VLOOKUP(F1732,Trainingsarten!$A$9:$K$84,11,FALSE),"0")</f>
        <v>0</v>
      </c>
      <c r="L1732" s="2815"/>
      <c r="M1732" s="2591"/>
      <c r="N1732" s="2296" t="str">
        <f t="shared" si="368"/>
        <v/>
      </c>
      <c r="O1732" s="2405"/>
      <c r="P1732" s="2298" t="str">
        <f>IFERROR(VLOOKUP(F1732,Trainingsarten!$A$9:$N$84,12,FALSE),"")</f>
        <v/>
      </c>
      <c r="Q1732" s="2406" t="s">
        <v>437</v>
      </c>
      <c r="R1732" s="2407" t="str">
        <f>IFERROR(VLOOKUP(F1732,Trainingsarten!$A$9:$N$84,14,FALSE),"")</f>
        <v/>
      </c>
      <c r="S1732" s="2408" t="str">
        <f t="shared" si="369"/>
        <v/>
      </c>
      <c r="T1732" s="2292">
        <f t="shared" si="370"/>
        <v>14.107448245359315</v>
      </c>
      <c r="U1732" s="2292">
        <f t="shared" si="371"/>
        <v>22.35831265857539</v>
      </c>
      <c r="V1732" s="2292">
        <f t="shared" si="372"/>
        <v>6.4449477379791631</v>
      </c>
      <c r="W1732" s="3283">
        <f t="shared" si="373"/>
        <v>0.63097106032947847</v>
      </c>
      <c r="X1732" s="3300"/>
      <c r="Y1732" s="3316"/>
      <c r="AA1732" s="3301"/>
      <c r="AB1732" s="3409"/>
      <c r="AE1732" s="2548"/>
    </row>
    <row r="1733" spans="2:31" x14ac:dyDescent="0.2">
      <c r="B1733" s="2991" t="s">
        <v>626</v>
      </c>
      <c r="C1733" s="2409">
        <v>44831</v>
      </c>
      <c r="D1733" s="2009">
        <v>131</v>
      </c>
      <c r="E1733" s="2010" t="s">
        <v>836</v>
      </c>
      <c r="F1733" s="2777" t="s">
        <v>943</v>
      </c>
      <c r="G1733" s="2410">
        <v>2.3495370370370371E-2</v>
      </c>
      <c r="H1733" s="2411">
        <v>6.26</v>
      </c>
      <c r="I1733" s="2412">
        <f t="shared" si="367"/>
        <v>3.7532540527748198E-3</v>
      </c>
      <c r="J1733" s="2413">
        <v>140</v>
      </c>
      <c r="K1733" s="2414">
        <v>40</v>
      </c>
      <c r="L1733" s="2816">
        <v>226</v>
      </c>
      <c r="M1733" s="2840">
        <v>19</v>
      </c>
      <c r="N1733" s="2368">
        <f t="shared" si="368"/>
        <v>1.0938438796433172</v>
      </c>
      <c r="O1733" s="2415" t="s">
        <v>958</v>
      </c>
      <c r="P1733" s="2370">
        <f>IFERROR(VLOOKUP(F1733,Trainingsarten!$A$9:$N$84,12,FALSE),"")</f>
        <v>194.60000000000002</v>
      </c>
      <c r="Q1733" s="2432" t="s">
        <v>437</v>
      </c>
      <c r="R1733" s="2537">
        <f>IFERROR(VLOOKUP(F1733,Trainingsarten!$A$9:$N$84,14,FALSE),"")</f>
        <v>212.96</v>
      </c>
      <c r="S1733" s="2419">
        <f t="shared" si="369"/>
        <v>1.6142857142857143</v>
      </c>
      <c r="T1733" s="2009">
        <f t="shared" si="370"/>
        <v>17.806384210307986</v>
      </c>
      <c r="U1733" s="2009">
        <f t="shared" si="371"/>
        <v>22.778352833371212</v>
      </c>
      <c r="V1733" s="2009">
        <f t="shared" si="372"/>
        <v>8.2508644132160747</v>
      </c>
      <c r="W1733" s="3284">
        <f t="shared" si="373"/>
        <v>0.78172396136655276</v>
      </c>
      <c r="X1733" s="3300"/>
      <c r="Y1733" s="3316"/>
      <c r="AA1733" s="3301"/>
      <c r="AB1733" s="3409"/>
      <c r="AE1733" s="2548"/>
    </row>
    <row r="1734" spans="2:31" ht="16" thickBot="1" x14ac:dyDescent="0.25">
      <c r="B1734" s="2979">
        <f t="shared" ref="B1734" si="410">SUM(H1732:H1738)</f>
        <v>20.560000000000002</v>
      </c>
      <c r="C1734" s="2409">
        <v>44832</v>
      </c>
      <c r="D1734" s="2009"/>
      <c r="E1734" s="2010"/>
      <c r="F1734" s="2777"/>
      <c r="G1734" s="2410"/>
      <c r="H1734" s="2411" t="str">
        <f>IFERROR(VLOOKUP(F1734,Trainingsarten!$A$9:$K$84,10,FALSE),"")</f>
        <v/>
      </c>
      <c r="I1734" s="2412" t="str">
        <f t="shared" si="367"/>
        <v/>
      </c>
      <c r="J1734" s="2413"/>
      <c r="K1734" s="2414" t="str">
        <f>IFERROR(VLOOKUP(F1734,Trainingsarten!$A$9:$K$84,11,FALSE),"0")</f>
        <v>0</v>
      </c>
      <c r="L1734" s="2816"/>
      <c r="M1734" s="2840"/>
      <c r="N1734" s="2368" t="str">
        <f t="shared" si="368"/>
        <v/>
      </c>
      <c r="O1734" s="2415"/>
      <c r="P1734" s="2370" t="str">
        <f>IFERROR(VLOOKUP(F1734,Trainingsarten!$A$9:$N$84,12,FALSE),"")</f>
        <v/>
      </c>
      <c r="Q1734" s="2432" t="s">
        <v>437</v>
      </c>
      <c r="R1734" s="2537" t="str">
        <f>IFERROR(VLOOKUP(F1734,Trainingsarten!$A$9:$N$84,14,FALSE),"")</f>
        <v/>
      </c>
      <c r="S1734" s="2419" t="str">
        <f t="shared" si="369"/>
        <v/>
      </c>
      <c r="T1734" s="2009">
        <f t="shared" si="370"/>
        <v>15.262615037406846</v>
      </c>
      <c r="U1734" s="2009">
        <f t="shared" si="371"/>
        <v>22.236011099243328</v>
      </c>
      <c r="V1734" s="2009">
        <f t="shared" si="372"/>
        <v>4.9719686230632263</v>
      </c>
      <c r="W1734" s="3284">
        <f t="shared" si="373"/>
        <v>0.68639177095599757</v>
      </c>
      <c r="X1734" s="3300"/>
      <c r="Y1734" s="3316"/>
      <c r="AA1734" s="3301"/>
      <c r="AB1734" s="3409"/>
      <c r="AE1734" s="2548"/>
    </row>
    <row r="1735" spans="2:31" x14ac:dyDescent="0.2">
      <c r="B1735" s="2992" t="s">
        <v>628</v>
      </c>
      <c r="C1735" s="2409">
        <v>44833</v>
      </c>
      <c r="D1735" s="2009"/>
      <c r="E1735" s="2010"/>
      <c r="F1735" s="2777"/>
      <c r="G1735" s="2410"/>
      <c r="H1735" s="2411" t="str">
        <f>IFERROR(VLOOKUP(F1735,Trainingsarten!$A$9:$K$84,10,FALSE),"")</f>
        <v/>
      </c>
      <c r="I1735" s="2412" t="str">
        <f t="shared" si="367"/>
        <v/>
      </c>
      <c r="J1735" s="2413"/>
      <c r="K1735" s="2414" t="str">
        <f>IFERROR(VLOOKUP(F1735,Trainingsarten!$A$9:$K$84,11,FALSE),"0")</f>
        <v>0</v>
      </c>
      <c r="L1735" s="2816"/>
      <c r="M1735" s="2840"/>
      <c r="N1735" s="2368" t="str">
        <f t="shared" si="368"/>
        <v/>
      </c>
      <c r="O1735" s="2415"/>
      <c r="P1735" s="2370" t="str">
        <f>IFERROR(VLOOKUP(F1735,Trainingsarten!$A$9:$N$84,12,FALSE),"")</f>
        <v/>
      </c>
      <c r="Q1735" s="2432" t="s">
        <v>437</v>
      </c>
      <c r="R1735" s="2537" t="str">
        <f>IFERROR(VLOOKUP(F1735,Trainingsarten!$A$9:$N$84,14,FALSE),"")</f>
        <v/>
      </c>
      <c r="S1735" s="2419" t="str">
        <f t="shared" si="369"/>
        <v/>
      </c>
      <c r="T1735" s="2009">
        <f t="shared" si="370"/>
        <v>13.082241460634439</v>
      </c>
      <c r="U1735" s="2009">
        <f t="shared" si="371"/>
        <v>21.706582263547059</v>
      </c>
      <c r="V1735" s="2009">
        <f t="shared" si="372"/>
        <v>6.9733960618364819</v>
      </c>
      <c r="W1735" s="3284">
        <f t="shared" si="373"/>
        <v>0.6026854574247783</v>
      </c>
      <c r="X1735" s="3300"/>
      <c r="Y1735" s="3316"/>
      <c r="AA1735" s="3301"/>
      <c r="AB1735" s="3409"/>
      <c r="AE1735" s="2548"/>
    </row>
    <row r="1736" spans="2:31" ht="16" thickBot="1" x14ac:dyDescent="0.25">
      <c r="B1736" s="2993">
        <f t="shared" ref="B1736" si="411">SUM(K1732:K1738)</f>
        <v>126</v>
      </c>
      <c r="C1736" s="2562">
        <v>44834</v>
      </c>
      <c r="D1736" s="2563"/>
      <c r="E1736" s="2564"/>
      <c r="F1736" s="2777"/>
      <c r="G1736" s="2565"/>
      <c r="H1736" s="2566" t="str">
        <f>IFERROR(VLOOKUP(F1736,Trainingsarten!$A$9:$K$84,10,FALSE),"")</f>
        <v/>
      </c>
      <c r="I1736" s="2567" t="str">
        <f t="shared" ref="I1736:I1799" si="412">IFERROR(G1736/H1736,"")</f>
        <v/>
      </c>
      <c r="J1736" s="2568"/>
      <c r="K1736" s="2569" t="str">
        <f>IFERROR(VLOOKUP(F1736,Trainingsarten!$A$9:$K$84,11,FALSE),"0")</f>
        <v>0</v>
      </c>
      <c r="L1736" s="2816"/>
      <c r="M1736" s="2840"/>
      <c r="N1736" s="2570" t="str">
        <f t="shared" ref="N1736:N1799" si="413">IFERROR((L1736/67)/(1/(I1736*24)/3.6),"")</f>
        <v/>
      </c>
      <c r="O1736" s="2571"/>
      <c r="P1736" s="2572" t="str">
        <f>IFERROR(VLOOKUP(F1736,Trainingsarten!$A$9:$N$84,12,FALSE),"")</f>
        <v/>
      </c>
      <c r="Q1736" s="2573" t="s">
        <v>437</v>
      </c>
      <c r="R1736" s="2574" t="str">
        <f>IFERROR(VLOOKUP(F1736,Trainingsarten!$A$9:$N$84,14,FALSE),"")</f>
        <v/>
      </c>
      <c r="S1736" s="2575" t="str">
        <f t="shared" ref="S1736:S1799" si="414">IFERROR(L1736/J1736,"")</f>
        <v/>
      </c>
      <c r="T1736" s="2563">
        <f t="shared" ref="T1736:T1799" si="415">T1735+(K1736-T1735)/7</f>
        <v>11.213349823400948</v>
      </c>
      <c r="U1736" s="2563">
        <f t="shared" ref="U1736:U1799" si="416">U1735+(K1736-U1735)/42</f>
        <v>21.189758876319747</v>
      </c>
      <c r="V1736" s="2563">
        <f t="shared" ref="V1736:V1799" si="417">U1735-T1735</f>
        <v>8.6243408029126201</v>
      </c>
      <c r="W1736" s="3284">
        <f t="shared" ref="W1736:W1799" si="418">T1736/U1736</f>
        <v>0.52918723090956155</v>
      </c>
      <c r="X1736" s="3300"/>
      <c r="Y1736" s="3316"/>
      <c r="AA1736" s="3301"/>
      <c r="AB1736" s="3409"/>
      <c r="AE1736" s="2548"/>
    </row>
    <row r="1737" spans="2:31" x14ac:dyDescent="0.2">
      <c r="B1737" s="2994" t="s">
        <v>761</v>
      </c>
      <c r="C1737" s="2441">
        <v>44835</v>
      </c>
      <c r="D1737" s="1111">
        <v>132</v>
      </c>
      <c r="E1737" s="1112" t="s">
        <v>836</v>
      </c>
      <c r="F1737" s="2900" t="s">
        <v>907</v>
      </c>
      <c r="G1737" s="2442">
        <v>5.6643518518518517E-2</v>
      </c>
      <c r="H1737" s="2443">
        <v>14.3</v>
      </c>
      <c r="I1737" s="2444">
        <f t="shared" si="412"/>
        <v>3.9610852110852105E-3</v>
      </c>
      <c r="J1737" s="1320">
        <v>138</v>
      </c>
      <c r="K1737" s="2445">
        <v>86</v>
      </c>
      <c r="L1737" s="2819">
        <v>211</v>
      </c>
      <c r="M1737" s="1320">
        <v>55</v>
      </c>
      <c r="N1737" s="1119">
        <f t="shared" si="413"/>
        <v>1.077793549733848</v>
      </c>
      <c r="O1737" s="2446" t="s">
        <v>953</v>
      </c>
      <c r="P1737" s="1121">
        <f>IFERROR(VLOOKUP(F1737,Trainingsarten!$A$9:$N$84,12,FALSE),"")</f>
        <v>194.60000000000002</v>
      </c>
      <c r="Q1737" s="2447" t="s">
        <v>437</v>
      </c>
      <c r="R1737" s="2448">
        <f>IFERROR(VLOOKUP(F1737,Trainingsarten!$A$9:$N$84,14,FALSE),"")</f>
        <v>212.96</v>
      </c>
      <c r="S1737" s="2449">
        <f t="shared" si="414"/>
        <v>1.5289855072463767</v>
      </c>
      <c r="T1737" s="1111">
        <f t="shared" si="415"/>
        <v>21.897156991486526</v>
      </c>
      <c r="U1737" s="1111">
        <f t="shared" si="416"/>
        <v>22.73285985545499</v>
      </c>
      <c r="V1737" s="1111">
        <f t="shared" si="417"/>
        <v>9.9764090529187985</v>
      </c>
      <c r="W1737" s="3286">
        <f t="shared" si="418"/>
        <v>0.96323811129430204</v>
      </c>
      <c r="X1737" s="3300"/>
      <c r="Y1737" s="3316"/>
      <c r="AA1737" s="3301"/>
      <c r="AB1737" s="3409"/>
      <c r="AE1737" s="2548"/>
    </row>
    <row r="1738" spans="2:31" ht="16" thickBot="1" x14ac:dyDescent="0.25">
      <c r="B1738" s="2995">
        <f t="shared" ref="B1738" si="419">AVERAGE(W1732:W1738)</f>
        <v>0.71999537731742991</v>
      </c>
      <c r="C1738" s="1631">
        <v>44836</v>
      </c>
      <c r="D1738" s="1108"/>
      <c r="E1738" s="1261"/>
      <c r="F1738" s="2778"/>
      <c r="G1738" s="2433"/>
      <c r="H1738" s="2434" t="str">
        <f>IFERROR(VLOOKUP(F1738,Trainingsarten!$A$9:$K$84,10,FALSE),"")</f>
        <v/>
      </c>
      <c r="I1738" s="2435" t="str">
        <f t="shared" si="412"/>
        <v/>
      </c>
      <c r="J1738" s="1310"/>
      <c r="K1738" s="2436" t="str">
        <f>IFERROR(VLOOKUP(F1738,Trainingsarten!$A$9:$K$84,11,FALSE),"0")</f>
        <v>0</v>
      </c>
      <c r="L1738" s="2818"/>
      <c r="M1738" s="2798"/>
      <c r="N1738" s="1223" t="str">
        <f t="shared" si="413"/>
        <v/>
      </c>
      <c r="O1738" s="2437"/>
      <c r="P1738" s="1519" t="str">
        <f>IFERROR(VLOOKUP(F1738,Trainingsarten!$A$9:$N$84,12,FALSE),"")</f>
        <v/>
      </c>
      <c r="Q1738" s="2438" t="s">
        <v>437</v>
      </c>
      <c r="R1738" s="2439" t="str">
        <f>IFERROR(VLOOKUP(F1738,Trainingsarten!$A$9:$N$84,14,FALSE),"")</f>
        <v/>
      </c>
      <c r="S1738" s="2440" t="str">
        <f t="shared" si="414"/>
        <v/>
      </c>
      <c r="T1738" s="1108">
        <f t="shared" si="415"/>
        <v>18.768991706988452</v>
      </c>
      <c r="U1738" s="1108">
        <f t="shared" si="416"/>
        <v>22.191601287467968</v>
      </c>
      <c r="V1738" s="1108">
        <f t="shared" si="417"/>
        <v>0.83570286396846427</v>
      </c>
      <c r="W1738" s="3285">
        <f t="shared" si="418"/>
        <v>0.84577004894133845</v>
      </c>
      <c r="X1738" s="3300"/>
      <c r="Y1738" s="3316"/>
      <c r="AA1738" s="3301"/>
      <c r="AB1738" s="3409"/>
      <c r="AE1738" s="2548"/>
    </row>
    <row r="1739" spans="2:31" ht="16" thickBot="1" x14ac:dyDescent="0.25">
      <c r="B1739" s="2986">
        <f t="shared" ref="B1739" si="420">B1732+1</f>
        <v>40</v>
      </c>
      <c r="C1739" s="2399">
        <v>44837</v>
      </c>
      <c r="D1739" s="2292"/>
      <c r="E1739" s="2293"/>
      <c r="F1739" s="2776"/>
      <c r="G1739" s="2400"/>
      <c r="H1739" s="2401" t="str">
        <f>IFERROR(VLOOKUP(F1739,Trainingsarten!$A$9:$K$84,10,FALSE),"")</f>
        <v/>
      </c>
      <c r="I1739" s="2402" t="str">
        <f t="shared" si="412"/>
        <v/>
      </c>
      <c r="J1739" s="2403"/>
      <c r="K1739" s="2404" t="str">
        <f>IFERROR(VLOOKUP(F1739,Trainingsarten!$A$9:$K$84,11,FALSE),"0")</f>
        <v>0</v>
      </c>
      <c r="L1739" s="2815"/>
      <c r="M1739" s="2591"/>
      <c r="N1739" s="2296" t="str">
        <f t="shared" si="413"/>
        <v/>
      </c>
      <c r="O1739" s="2405"/>
      <c r="P1739" s="2298" t="str">
        <f>IFERROR(VLOOKUP(F1739,Trainingsarten!$A$9:$N$84,12,FALSE),"")</f>
        <v/>
      </c>
      <c r="Q1739" s="2406" t="s">
        <v>437</v>
      </c>
      <c r="R1739" s="2407" t="str">
        <f>IFERROR(VLOOKUP(F1739,Trainingsarten!$A$9:$N$84,14,FALSE),"")</f>
        <v/>
      </c>
      <c r="S1739" s="2408" t="str">
        <f t="shared" si="414"/>
        <v/>
      </c>
      <c r="T1739" s="2292">
        <f t="shared" si="415"/>
        <v>16.087707177418672</v>
      </c>
      <c r="U1739" s="2292">
        <f t="shared" si="416"/>
        <v>21.663229828242539</v>
      </c>
      <c r="V1739" s="2292">
        <f t="shared" si="417"/>
        <v>3.4226095804795165</v>
      </c>
      <c r="W1739" s="3283">
        <f t="shared" si="418"/>
        <v>0.74262736004605323</v>
      </c>
      <c r="X1739" s="3300"/>
      <c r="Y1739" s="3316"/>
      <c r="AA1739" s="3301"/>
      <c r="AB1739" s="3409"/>
      <c r="AE1739" s="2548"/>
    </row>
    <row r="1740" spans="2:31" x14ac:dyDescent="0.2">
      <c r="B1740" s="2991" t="s">
        <v>626</v>
      </c>
      <c r="C1740" s="2409">
        <v>44838</v>
      </c>
      <c r="D1740" s="2009"/>
      <c r="E1740" s="2010"/>
      <c r="F1740" s="2777"/>
      <c r="G1740" s="2410"/>
      <c r="H1740" s="2411" t="str">
        <f>IFERROR(VLOOKUP(F1740,Trainingsarten!$A$9:$K$84,10,FALSE),"")</f>
        <v/>
      </c>
      <c r="I1740" s="2412" t="str">
        <f t="shared" si="412"/>
        <v/>
      </c>
      <c r="J1740" s="2413"/>
      <c r="K1740" s="2414" t="str">
        <f>IFERROR(VLOOKUP(F1740,Trainingsarten!$A$9:$K$84,11,FALSE),"0")</f>
        <v>0</v>
      </c>
      <c r="L1740" s="2816"/>
      <c r="M1740" s="2840"/>
      <c r="N1740" s="2368" t="str">
        <f t="shared" si="413"/>
        <v/>
      </c>
      <c r="O1740" s="2415"/>
      <c r="P1740" s="2370" t="str">
        <f>IFERROR(VLOOKUP(F1740,Trainingsarten!$A$9:$N$84,12,FALSE),"")</f>
        <v/>
      </c>
      <c r="Q1740" s="2432" t="s">
        <v>437</v>
      </c>
      <c r="R1740" s="2537" t="str">
        <f>IFERROR(VLOOKUP(F1740,Trainingsarten!$A$9:$N$84,14,FALSE),"")</f>
        <v/>
      </c>
      <c r="S1740" s="2419" t="str">
        <f t="shared" si="414"/>
        <v/>
      </c>
      <c r="T1740" s="2009">
        <f t="shared" si="415"/>
        <v>13.78946329493029</v>
      </c>
      <c r="U1740" s="2009">
        <f t="shared" si="416"/>
        <v>21.14743864185581</v>
      </c>
      <c r="V1740" s="2009">
        <f t="shared" si="417"/>
        <v>5.5755226508238671</v>
      </c>
      <c r="W1740" s="3284">
        <f t="shared" si="418"/>
        <v>0.65206304784531499</v>
      </c>
      <c r="X1740" s="3300"/>
      <c r="Y1740" s="3316"/>
      <c r="AA1740" s="3301"/>
      <c r="AB1740" s="3409"/>
      <c r="AE1740" s="2548"/>
    </row>
    <row r="1741" spans="2:31" ht="16" thickBot="1" x14ac:dyDescent="0.25">
      <c r="B1741" s="2979">
        <f t="shared" ref="B1741" si="421">SUM(H1739:H1745)</f>
        <v>17.649999999999999</v>
      </c>
      <c r="C1741" s="2409">
        <v>44839</v>
      </c>
      <c r="D1741" s="2009">
        <v>133</v>
      </c>
      <c r="E1741" s="2010" t="s">
        <v>836</v>
      </c>
      <c r="F1741" s="2777" t="s">
        <v>943</v>
      </c>
      <c r="G1741" s="2410">
        <v>2.883101851851852E-2</v>
      </c>
      <c r="H1741" s="2411">
        <v>7.55</v>
      </c>
      <c r="I1741" s="2412">
        <f t="shared" si="412"/>
        <v>3.8186779494726519E-3</v>
      </c>
      <c r="J1741" s="2413">
        <v>137</v>
      </c>
      <c r="K1741" s="2414">
        <v>49</v>
      </c>
      <c r="L1741" s="2816">
        <v>225</v>
      </c>
      <c r="M1741" s="2840">
        <v>23</v>
      </c>
      <c r="N1741" s="2368">
        <f t="shared" si="413"/>
        <v>1.1079865572798262</v>
      </c>
      <c r="O1741" s="2415" t="s">
        <v>958</v>
      </c>
      <c r="P1741" s="2370">
        <f>IFERROR(VLOOKUP(F1741,Trainingsarten!$A$9:$N$84,12,FALSE),"")</f>
        <v>194.60000000000002</v>
      </c>
      <c r="Q1741" s="2432" t="s">
        <v>437</v>
      </c>
      <c r="R1741" s="2537">
        <f>IFERROR(VLOOKUP(F1741,Trainingsarten!$A$9:$N$84,14,FALSE),"")</f>
        <v>212.96</v>
      </c>
      <c r="S1741" s="2419">
        <f t="shared" si="414"/>
        <v>1.6423357664233578</v>
      </c>
      <c r="T1741" s="2009">
        <f t="shared" si="415"/>
        <v>18.819539967083106</v>
      </c>
      <c r="U1741" s="2009">
        <f t="shared" si="416"/>
        <v>21.810594864668769</v>
      </c>
      <c r="V1741" s="2009">
        <f t="shared" si="417"/>
        <v>7.3579753469255209</v>
      </c>
      <c r="W1741" s="3284">
        <f t="shared" si="418"/>
        <v>0.8628622962305853</v>
      </c>
      <c r="X1741" s="3300"/>
      <c r="Y1741" s="3316"/>
      <c r="AA1741" s="3301"/>
      <c r="AB1741" s="3409"/>
      <c r="AE1741" s="2548"/>
    </row>
    <row r="1742" spans="2:31" x14ac:dyDescent="0.2">
      <c r="B1742" s="2992" t="s">
        <v>628</v>
      </c>
      <c r="C1742" s="2409">
        <v>44840</v>
      </c>
      <c r="D1742" s="2009"/>
      <c r="E1742" s="2010"/>
      <c r="F1742" s="2777"/>
      <c r="G1742" s="2410"/>
      <c r="H1742" s="2411" t="str">
        <f>IFERROR(VLOOKUP(F1742,Trainingsarten!$A$9:$K$84,10,FALSE),"")</f>
        <v/>
      </c>
      <c r="I1742" s="2412" t="str">
        <f t="shared" si="412"/>
        <v/>
      </c>
      <c r="J1742" s="2413"/>
      <c r="K1742" s="2414" t="str">
        <f>IFERROR(VLOOKUP(F1742,Trainingsarten!$A$9:$K$84,11,FALSE),"0")</f>
        <v>0</v>
      </c>
      <c r="L1742" s="2816"/>
      <c r="M1742" s="2840"/>
      <c r="N1742" s="2368" t="str">
        <f t="shared" si="413"/>
        <v/>
      </c>
      <c r="O1742" s="2415"/>
      <c r="P1742" s="2370" t="str">
        <f>IFERROR(VLOOKUP(F1742,Trainingsarten!$A$9:$N$84,12,FALSE),"")</f>
        <v/>
      </c>
      <c r="Q1742" s="2432" t="s">
        <v>437</v>
      </c>
      <c r="R1742" s="2537" t="str">
        <f>IFERROR(VLOOKUP(F1742,Trainingsarten!$A$9:$N$84,14,FALSE),"")</f>
        <v/>
      </c>
      <c r="S1742" s="2419" t="str">
        <f t="shared" si="414"/>
        <v/>
      </c>
      <c r="T1742" s="2009">
        <f t="shared" si="415"/>
        <v>16.131034257499806</v>
      </c>
      <c r="U1742" s="2009">
        <f t="shared" si="416"/>
        <v>21.29129498693856</v>
      </c>
      <c r="V1742" s="2009">
        <f t="shared" si="417"/>
        <v>2.9910548975856628</v>
      </c>
      <c r="W1742" s="3284">
        <f t="shared" si="418"/>
        <v>0.75763518693417253</v>
      </c>
      <c r="X1742" s="3300"/>
      <c r="Y1742" s="3316"/>
      <c r="AA1742" s="3301"/>
      <c r="AB1742" s="3409"/>
      <c r="AE1742" s="2548"/>
    </row>
    <row r="1743" spans="2:31" ht="16" thickBot="1" x14ac:dyDescent="0.25">
      <c r="B1743" s="2993">
        <f t="shared" ref="B1743" si="422">SUM(K1739:K1745)</f>
        <v>110</v>
      </c>
      <c r="C1743" s="2562">
        <v>44841</v>
      </c>
      <c r="D1743" s="2563"/>
      <c r="E1743" s="2564"/>
      <c r="F1743" s="2777"/>
      <c r="G1743" s="2565"/>
      <c r="H1743" s="2566" t="str">
        <f>IFERROR(VLOOKUP(F1743,Trainingsarten!$A$9:$K$84,10,FALSE),"")</f>
        <v/>
      </c>
      <c r="I1743" s="2567" t="str">
        <f t="shared" si="412"/>
        <v/>
      </c>
      <c r="J1743" s="2568"/>
      <c r="K1743" s="2569" t="str">
        <f>IFERROR(VLOOKUP(F1743,Trainingsarten!$A$9:$K$84,11,FALSE),"0")</f>
        <v>0</v>
      </c>
      <c r="L1743" s="2816"/>
      <c r="M1743" s="2840"/>
      <c r="N1743" s="2570" t="str">
        <f t="shared" si="413"/>
        <v/>
      </c>
      <c r="O1743" s="2571"/>
      <c r="P1743" s="2572" t="str">
        <f>IFERROR(VLOOKUP(F1743,Trainingsarten!$A$9:$N$84,12,FALSE),"")</f>
        <v/>
      </c>
      <c r="Q1743" s="2573" t="s">
        <v>437</v>
      </c>
      <c r="R1743" s="2574" t="str">
        <f>IFERROR(VLOOKUP(F1743,Trainingsarten!$A$9:$N$84,14,FALSE),"")</f>
        <v/>
      </c>
      <c r="S1743" s="2575" t="str">
        <f t="shared" si="414"/>
        <v/>
      </c>
      <c r="T1743" s="2563">
        <f t="shared" si="415"/>
        <v>13.826600792142692</v>
      </c>
      <c r="U1743" s="2563">
        <f t="shared" si="416"/>
        <v>20.784359392011453</v>
      </c>
      <c r="V1743" s="2563">
        <f t="shared" si="417"/>
        <v>5.1602607294387539</v>
      </c>
      <c r="W1743" s="3284">
        <f t="shared" si="418"/>
        <v>0.66524065194220028</v>
      </c>
      <c r="X1743" s="3300"/>
      <c r="Y1743" s="3316"/>
      <c r="AA1743" s="3301"/>
      <c r="AB1743" s="3409"/>
      <c r="AE1743" s="2548"/>
    </row>
    <row r="1744" spans="2:31" x14ac:dyDescent="0.2">
      <c r="B1744" s="2994" t="s">
        <v>761</v>
      </c>
      <c r="C1744" s="2441">
        <v>44842</v>
      </c>
      <c r="D1744" s="1111"/>
      <c r="E1744" s="1112"/>
      <c r="F1744" s="2777"/>
      <c r="G1744" s="2442"/>
      <c r="H1744" s="2443" t="str">
        <f>IFERROR(VLOOKUP(F1744,Trainingsarten!$A$9:$K$84,10,FALSE),"")</f>
        <v/>
      </c>
      <c r="I1744" s="2444" t="str">
        <f t="shared" si="412"/>
        <v/>
      </c>
      <c r="J1744" s="1320"/>
      <c r="K1744" s="2445" t="str">
        <f>IFERROR(VLOOKUP(F1744,Trainingsarten!$A$9:$K$84,11,FALSE),"0")</f>
        <v>0</v>
      </c>
      <c r="L1744" s="2819"/>
      <c r="M1744" s="1320"/>
      <c r="N1744" s="1119" t="str">
        <f t="shared" si="413"/>
        <v/>
      </c>
      <c r="O1744" s="2446"/>
      <c r="P1744" s="1121" t="str">
        <f>IFERROR(VLOOKUP(F1744,Trainingsarten!$A$9:$N$84,12,FALSE),"")</f>
        <v/>
      </c>
      <c r="Q1744" s="2447" t="s">
        <v>437</v>
      </c>
      <c r="R1744" s="2448" t="str">
        <f>IFERROR(VLOOKUP(F1744,Trainingsarten!$A$9:$N$84,14,FALSE),"")</f>
        <v/>
      </c>
      <c r="S1744" s="2449" t="str">
        <f t="shared" si="414"/>
        <v/>
      </c>
      <c r="T1744" s="1111">
        <f t="shared" si="415"/>
        <v>11.851372107550878</v>
      </c>
      <c r="U1744" s="1111">
        <f t="shared" si="416"/>
        <v>20.289493692201656</v>
      </c>
      <c r="V1744" s="1111">
        <f t="shared" si="417"/>
        <v>6.957758599868761</v>
      </c>
      <c r="W1744" s="3286">
        <f t="shared" si="418"/>
        <v>0.58411374316876119</v>
      </c>
      <c r="X1744" s="3300"/>
      <c r="Y1744" s="3316"/>
      <c r="AA1744" s="3301"/>
      <c r="AB1744" s="3409"/>
      <c r="AE1744" s="2548"/>
    </row>
    <row r="1745" spans="2:31" ht="16" thickBot="1" x14ac:dyDescent="0.25">
      <c r="B1745" s="2995">
        <f t="shared" ref="B1745" si="423">AVERAGE(W1739:W1745)</f>
        <v>0.73604251145031874</v>
      </c>
      <c r="C1745" s="1631">
        <v>44843</v>
      </c>
      <c r="D1745" s="1108">
        <v>134</v>
      </c>
      <c r="E1745" s="1261" t="s">
        <v>836</v>
      </c>
      <c r="F1745" s="2778" t="s">
        <v>819</v>
      </c>
      <c r="G1745" s="2433">
        <v>4.144675925925926E-2</v>
      </c>
      <c r="H1745" s="2434">
        <v>10.1</v>
      </c>
      <c r="I1745" s="2435">
        <f t="shared" si="412"/>
        <v>4.1036395306197288E-3</v>
      </c>
      <c r="J1745" s="1310">
        <v>145</v>
      </c>
      <c r="K1745" s="2436">
        <v>61</v>
      </c>
      <c r="L1745" s="2818">
        <v>206</v>
      </c>
      <c r="M1745" s="2798">
        <v>30</v>
      </c>
      <c r="N1745" s="1223">
        <f t="shared" si="413"/>
        <v>1.0901226540564506</v>
      </c>
      <c r="O1745" s="2437" t="s">
        <v>953</v>
      </c>
      <c r="P1745" s="1519">
        <f>IFERROR(VLOOKUP(F1745,Trainingsarten!$A$9:$N$84,12,FALSE),"")</f>
        <v>194.60000000000002</v>
      </c>
      <c r="Q1745" s="2438" t="s">
        <v>437</v>
      </c>
      <c r="R1745" s="2439">
        <f>IFERROR(VLOOKUP(F1745,Trainingsarten!$A$9:$N$84,14,FALSE),"")</f>
        <v>212.96</v>
      </c>
      <c r="S1745" s="2440">
        <f t="shared" si="414"/>
        <v>1.4206896551724137</v>
      </c>
      <c r="T1745" s="1108">
        <f t="shared" si="415"/>
        <v>18.872604663615039</v>
      </c>
      <c r="U1745" s="1108">
        <f t="shared" si="416"/>
        <v>21.258791461434949</v>
      </c>
      <c r="V1745" s="1108">
        <f t="shared" si="417"/>
        <v>8.4381215846507782</v>
      </c>
      <c r="W1745" s="3285">
        <f t="shared" si="418"/>
        <v>0.88775529398514341</v>
      </c>
      <c r="X1745" s="3300"/>
      <c r="Y1745" s="3316"/>
      <c r="AA1745" s="3301"/>
      <c r="AB1745" s="3409"/>
      <c r="AE1745" s="2548"/>
    </row>
    <row r="1746" spans="2:31" ht="16" thickBot="1" x14ac:dyDescent="0.25">
      <c r="B1746" s="2986">
        <f t="shared" ref="B1746" si="424">B1739+1</f>
        <v>41</v>
      </c>
      <c r="C1746" s="2399">
        <v>44844</v>
      </c>
      <c r="D1746" s="2292"/>
      <c r="E1746" s="2293"/>
      <c r="F1746" s="2776"/>
      <c r="G1746" s="2400"/>
      <c r="H1746" s="2401" t="str">
        <f>IFERROR(VLOOKUP(F1746,Trainingsarten!$A$9:$K$84,10,FALSE),"")</f>
        <v/>
      </c>
      <c r="I1746" s="2402" t="str">
        <f t="shared" si="412"/>
        <v/>
      </c>
      <c r="J1746" s="2403"/>
      <c r="K1746" s="2404" t="str">
        <f>IFERROR(VLOOKUP(F1746,Trainingsarten!$A$9:$K$84,11,FALSE),"0")</f>
        <v>0</v>
      </c>
      <c r="L1746" s="2815"/>
      <c r="M1746" s="2591"/>
      <c r="N1746" s="2296" t="str">
        <f t="shared" si="413"/>
        <v/>
      </c>
      <c r="O1746" s="2405"/>
      <c r="P1746" s="2298" t="str">
        <f>IFERROR(VLOOKUP(F1746,Trainingsarten!$A$9:$N$84,12,FALSE),"")</f>
        <v/>
      </c>
      <c r="Q1746" s="2406" t="s">
        <v>437</v>
      </c>
      <c r="R1746" s="2407" t="str">
        <f>IFERROR(VLOOKUP(F1746,Trainingsarten!$A$9:$N$84,14,FALSE),"")</f>
        <v/>
      </c>
      <c r="S1746" s="2408" t="str">
        <f t="shared" si="414"/>
        <v/>
      </c>
      <c r="T1746" s="2292">
        <f t="shared" si="415"/>
        <v>16.176518283098606</v>
      </c>
      <c r="U1746" s="2292">
        <f t="shared" si="416"/>
        <v>20.752629759972212</v>
      </c>
      <c r="V1746" s="2292">
        <f t="shared" si="417"/>
        <v>2.3861867978199101</v>
      </c>
      <c r="W1746" s="3283">
        <f t="shared" si="418"/>
        <v>0.77949245325524785</v>
      </c>
      <c r="X1746" s="3300"/>
      <c r="Y1746" s="3316"/>
      <c r="AA1746" s="3301"/>
      <c r="AB1746" s="3409"/>
      <c r="AE1746" s="2548"/>
    </row>
    <row r="1747" spans="2:31" x14ac:dyDescent="0.2">
      <c r="B1747" s="2991" t="s">
        <v>626</v>
      </c>
      <c r="C1747" s="2409">
        <v>44845</v>
      </c>
      <c r="D1747" s="2009"/>
      <c r="E1747" s="2010"/>
      <c r="F1747" s="2777"/>
      <c r="G1747" s="2410"/>
      <c r="H1747" s="2411" t="str">
        <f>IFERROR(VLOOKUP(F1747,Trainingsarten!$A$9:$K$84,10,FALSE),"")</f>
        <v/>
      </c>
      <c r="I1747" s="2412" t="str">
        <f t="shared" si="412"/>
        <v/>
      </c>
      <c r="J1747" s="2413"/>
      <c r="K1747" s="2414" t="str">
        <f>IFERROR(VLOOKUP(F1747,Trainingsarten!$A$9:$K$84,11,FALSE),"0")</f>
        <v>0</v>
      </c>
      <c r="L1747" s="2816"/>
      <c r="M1747" s="2840"/>
      <c r="N1747" s="2368" t="str">
        <f t="shared" si="413"/>
        <v/>
      </c>
      <c r="O1747" s="2415"/>
      <c r="P1747" s="2370" t="str">
        <f>IFERROR(VLOOKUP(F1747,Trainingsarten!$A$9:$N$84,12,FALSE),"")</f>
        <v/>
      </c>
      <c r="Q1747" s="2432" t="s">
        <v>437</v>
      </c>
      <c r="R1747" s="2537" t="str">
        <f>IFERROR(VLOOKUP(F1747,Trainingsarten!$A$9:$N$84,14,FALSE),"")</f>
        <v/>
      </c>
      <c r="S1747" s="2419" t="str">
        <f t="shared" si="414"/>
        <v/>
      </c>
      <c r="T1747" s="2009">
        <f t="shared" si="415"/>
        <v>13.865587099798805</v>
      </c>
      <c r="U1747" s="2009">
        <f t="shared" si="416"/>
        <v>20.258519527591922</v>
      </c>
      <c r="V1747" s="2009">
        <f t="shared" si="417"/>
        <v>4.5761114768736064</v>
      </c>
      <c r="W1747" s="3284">
        <f t="shared" si="418"/>
        <v>0.68443239798021771</v>
      </c>
      <c r="X1747" s="3300"/>
      <c r="Y1747" s="3316"/>
      <c r="AA1747" s="3301"/>
      <c r="AB1747" s="3409"/>
      <c r="AE1747" s="2548"/>
    </row>
    <row r="1748" spans="2:31" ht="16" thickBot="1" x14ac:dyDescent="0.25">
      <c r="B1748" s="2979">
        <f t="shared" ref="B1748" si="425">SUM(H1746:H1752)</f>
        <v>0</v>
      </c>
      <c r="C1748" s="2409">
        <v>44846</v>
      </c>
      <c r="D1748" s="2009"/>
      <c r="E1748" s="2010"/>
      <c r="F1748" s="2777"/>
      <c r="G1748" s="2410"/>
      <c r="H1748" s="2411" t="str">
        <f>IFERROR(VLOOKUP(F1748,Trainingsarten!$A$9:$K$84,10,FALSE),"")</f>
        <v/>
      </c>
      <c r="I1748" s="2412" t="str">
        <f t="shared" si="412"/>
        <v/>
      </c>
      <c r="J1748" s="2413"/>
      <c r="K1748" s="2414" t="str">
        <f>IFERROR(VLOOKUP(F1748,Trainingsarten!$A$9:$K$84,11,FALSE),"0")</f>
        <v>0</v>
      </c>
      <c r="L1748" s="2816"/>
      <c r="M1748" s="2840"/>
      <c r="N1748" s="2368" t="str">
        <f t="shared" si="413"/>
        <v/>
      </c>
      <c r="O1748" s="2415"/>
      <c r="P1748" s="2370" t="str">
        <f>IFERROR(VLOOKUP(F1748,Trainingsarten!$A$9:$N$84,12,FALSE),"")</f>
        <v/>
      </c>
      <c r="Q1748" s="2432" t="s">
        <v>437</v>
      </c>
      <c r="R1748" s="2537" t="str">
        <f>IFERROR(VLOOKUP(F1748,Trainingsarten!$A$9:$N$84,14,FALSE),"")</f>
        <v/>
      </c>
      <c r="S1748" s="2419" t="str">
        <f t="shared" si="414"/>
        <v/>
      </c>
      <c r="T1748" s="2009">
        <f t="shared" si="415"/>
        <v>11.88478894268469</v>
      </c>
      <c r="U1748" s="2009">
        <f t="shared" si="416"/>
        <v>19.776173824554018</v>
      </c>
      <c r="V1748" s="2009">
        <f t="shared" si="417"/>
        <v>6.3929324277931165</v>
      </c>
      <c r="W1748" s="3284">
        <f t="shared" si="418"/>
        <v>0.60096503237287402</v>
      </c>
      <c r="X1748" s="3300"/>
      <c r="Y1748" s="3316"/>
      <c r="AA1748" s="3301"/>
      <c r="AB1748" s="3409"/>
      <c r="AE1748" s="2548"/>
    </row>
    <row r="1749" spans="2:31" x14ac:dyDescent="0.2">
      <c r="B1749" s="2992" t="s">
        <v>628</v>
      </c>
      <c r="C1749" s="2409">
        <v>44847</v>
      </c>
      <c r="D1749" s="2009"/>
      <c r="E1749" s="2010"/>
      <c r="F1749" s="2777"/>
      <c r="G1749" s="2410"/>
      <c r="H1749" s="2411" t="str">
        <f>IFERROR(VLOOKUP(F1749,Trainingsarten!$A$9:$K$84,10,FALSE),"")</f>
        <v/>
      </c>
      <c r="I1749" s="2412" t="str">
        <f t="shared" si="412"/>
        <v/>
      </c>
      <c r="J1749" s="2413"/>
      <c r="K1749" s="2414" t="str">
        <f>IFERROR(VLOOKUP(F1749,Trainingsarten!$A$9:$K$84,11,FALSE),"0")</f>
        <v>0</v>
      </c>
      <c r="L1749" s="2816"/>
      <c r="M1749" s="2840"/>
      <c r="N1749" s="2368" t="str">
        <f t="shared" si="413"/>
        <v/>
      </c>
      <c r="O1749" s="2415"/>
      <c r="P1749" s="2370" t="str">
        <f>IFERROR(VLOOKUP(F1749,Trainingsarten!$A$9:$N$84,12,FALSE),"")</f>
        <v/>
      </c>
      <c r="Q1749" s="2432" t="s">
        <v>437</v>
      </c>
      <c r="R1749" s="2537" t="str">
        <f>IFERROR(VLOOKUP(F1749,Trainingsarten!$A$9:$N$84,14,FALSE),"")</f>
        <v/>
      </c>
      <c r="S1749" s="2419" t="str">
        <f t="shared" si="414"/>
        <v/>
      </c>
      <c r="T1749" s="2009">
        <f t="shared" si="415"/>
        <v>10.186961950872591</v>
      </c>
      <c r="U1749" s="2009">
        <f t="shared" si="416"/>
        <v>19.305312543017017</v>
      </c>
      <c r="V1749" s="2009">
        <f t="shared" si="417"/>
        <v>7.8913848818693282</v>
      </c>
      <c r="W1749" s="3284">
        <f t="shared" si="418"/>
        <v>0.52767661379081632</v>
      </c>
      <c r="X1749" s="3300"/>
      <c r="Y1749" s="3316"/>
      <c r="AA1749" s="3301"/>
      <c r="AB1749" s="3409"/>
      <c r="AE1749" s="2548"/>
    </row>
    <row r="1750" spans="2:31" ht="16" thickBot="1" x14ac:dyDescent="0.25">
      <c r="B1750" s="2993">
        <f t="shared" ref="B1750" si="426">SUM(K1746:K1752)</f>
        <v>0</v>
      </c>
      <c r="C1750" s="2562">
        <v>44848</v>
      </c>
      <c r="D1750" s="2563"/>
      <c r="E1750" s="2564"/>
      <c r="F1750" s="2777"/>
      <c r="G1750" s="2565"/>
      <c r="H1750" s="2566" t="str">
        <f>IFERROR(VLOOKUP(F1750,Trainingsarten!$A$9:$K$84,10,FALSE),"")</f>
        <v/>
      </c>
      <c r="I1750" s="2567" t="str">
        <f t="shared" si="412"/>
        <v/>
      </c>
      <c r="J1750" s="2568"/>
      <c r="K1750" s="2569" t="str">
        <f>IFERROR(VLOOKUP(F1750,Trainingsarten!$A$9:$K$84,11,FALSE),"0")</f>
        <v>0</v>
      </c>
      <c r="L1750" s="2816"/>
      <c r="M1750" s="2840"/>
      <c r="N1750" s="2570" t="str">
        <f t="shared" si="413"/>
        <v/>
      </c>
      <c r="O1750" s="2571"/>
      <c r="P1750" s="2572" t="str">
        <f>IFERROR(VLOOKUP(F1750,Trainingsarten!$A$9:$N$84,12,FALSE),"")</f>
        <v/>
      </c>
      <c r="Q1750" s="2573" t="s">
        <v>437</v>
      </c>
      <c r="R1750" s="2574" t="str">
        <f>IFERROR(VLOOKUP(F1750,Trainingsarten!$A$9:$N$84,14,FALSE),"")</f>
        <v/>
      </c>
      <c r="S1750" s="2575" t="str">
        <f t="shared" si="414"/>
        <v/>
      </c>
      <c r="T1750" s="2563">
        <f t="shared" si="415"/>
        <v>8.7316816721765065</v>
      </c>
      <c r="U1750" s="2563">
        <f t="shared" si="416"/>
        <v>18.845662244373756</v>
      </c>
      <c r="V1750" s="2563">
        <f t="shared" si="417"/>
        <v>9.1183505921444254</v>
      </c>
      <c r="W1750" s="3284">
        <f t="shared" si="418"/>
        <v>0.46332580723096056</v>
      </c>
      <c r="X1750" s="3300"/>
      <c r="Y1750" s="3316"/>
      <c r="AA1750" s="3301"/>
      <c r="AB1750" s="3409"/>
      <c r="AE1750" s="2548"/>
    </row>
    <row r="1751" spans="2:31" x14ac:dyDescent="0.2">
      <c r="B1751" s="2994" t="s">
        <v>761</v>
      </c>
      <c r="C1751" s="2441">
        <v>44849</v>
      </c>
      <c r="D1751" s="1111"/>
      <c r="E1751" s="1112"/>
      <c r="F1751" s="2777"/>
      <c r="G1751" s="2442"/>
      <c r="H1751" s="2443" t="str">
        <f>IFERROR(VLOOKUP(F1751,Trainingsarten!$A$9:$K$84,10,FALSE),"")</f>
        <v/>
      </c>
      <c r="I1751" s="2444" t="str">
        <f t="shared" si="412"/>
        <v/>
      </c>
      <c r="J1751" s="1320"/>
      <c r="K1751" s="2445" t="str">
        <f>IFERROR(VLOOKUP(F1751,Trainingsarten!$A$9:$K$84,11,FALSE),"0")</f>
        <v>0</v>
      </c>
      <c r="L1751" s="2819"/>
      <c r="M1751" s="1320"/>
      <c r="N1751" s="1119" t="str">
        <f t="shared" si="413"/>
        <v/>
      </c>
      <c r="O1751" s="2446"/>
      <c r="P1751" s="1121" t="str">
        <f>IFERROR(VLOOKUP(F1751,Trainingsarten!$A$9:$N$84,12,FALSE),"")</f>
        <v/>
      </c>
      <c r="Q1751" s="2447" t="s">
        <v>437</v>
      </c>
      <c r="R1751" s="2448" t="str">
        <f>IFERROR(VLOOKUP(F1751,Trainingsarten!$A$9:$N$84,14,FALSE),"")</f>
        <v/>
      </c>
      <c r="S1751" s="2449" t="str">
        <f t="shared" si="414"/>
        <v/>
      </c>
      <c r="T1751" s="1111">
        <f t="shared" si="415"/>
        <v>7.484298576151291</v>
      </c>
      <c r="U1751" s="1111">
        <f t="shared" si="416"/>
        <v>18.396956000460094</v>
      </c>
      <c r="V1751" s="1111">
        <f t="shared" si="417"/>
        <v>10.113980572197249</v>
      </c>
      <c r="W1751" s="3286">
        <f t="shared" si="418"/>
        <v>0.4068226600076727</v>
      </c>
      <c r="X1751" s="3300"/>
      <c r="Y1751" s="3316"/>
      <c r="AA1751" s="3301"/>
      <c r="AB1751" s="3409"/>
      <c r="AE1751" s="2548"/>
    </row>
    <row r="1752" spans="2:31" ht="16" thickBot="1" x14ac:dyDescent="0.25">
      <c r="B1752" s="2995">
        <f t="shared" ref="B1752" si="427">AVERAGE(W1746:W1752)</f>
        <v>0.54570358644747585</v>
      </c>
      <c r="C1752" s="1631">
        <v>44850</v>
      </c>
      <c r="D1752" s="1108"/>
      <c r="E1752" s="1261"/>
      <c r="F1752" s="2778"/>
      <c r="G1752" s="2433"/>
      <c r="H1752" s="2434" t="str">
        <f>IFERROR(VLOOKUP(F1752,Trainingsarten!$A$9:$K$84,10,FALSE),"")</f>
        <v/>
      </c>
      <c r="I1752" s="2435" t="str">
        <f t="shared" si="412"/>
        <v/>
      </c>
      <c r="J1752" s="1310"/>
      <c r="K1752" s="2436" t="str">
        <f>IFERROR(VLOOKUP(F1752,Trainingsarten!$A$9:$K$84,11,FALSE),"0")</f>
        <v>0</v>
      </c>
      <c r="L1752" s="2818"/>
      <c r="M1752" s="2798"/>
      <c r="N1752" s="1223" t="str">
        <f t="shared" si="413"/>
        <v/>
      </c>
      <c r="O1752" s="2437"/>
      <c r="P1752" s="1519" t="str">
        <f>IFERROR(VLOOKUP(F1752,Trainingsarten!$A$9:$N$84,12,FALSE),"")</f>
        <v/>
      </c>
      <c r="Q1752" s="2438" t="s">
        <v>437</v>
      </c>
      <c r="R1752" s="2439" t="str">
        <f>IFERROR(VLOOKUP(F1752,Trainingsarten!$A$9:$N$84,14,FALSE),"")</f>
        <v/>
      </c>
      <c r="S1752" s="2440" t="str">
        <f t="shared" si="414"/>
        <v/>
      </c>
      <c r="T1752" s="1108">
        <f t="shared" si="415"/>
        <v>6.4151130652725357</v>
      </c>
      <c r="U1752" s="1108">
        <f t="shared" si="416"/>
        <v>17.958933238544375</v>
      </c>
      <c r="V1752" s="1108">
        <f t="shared" si="417"/>
        <v>10.912657424308803</v>
      </c>
      <c r="W1752" s="3285">
        <f t="shared" si="418"/>
        <v>0.35721014049454197</v>
      </c>
      <c r="X1752" s="3300"/>
      <c r="Y1752" s="3316"/>
      <c r="AA1752" s="3301"/>
      <c r="AB1752" s="3409"/>
      <c r="AE1752" s="2548"/>
    </row>
    <row r="1753" spans="2:31" ht="16" thickBot="1" x14ac:dyDescent="0.25">
      <c r="B1753" s="2986">
        <f t="shared" ref="B1753" si="428">B1746+1</f>
        <v>42</v>
      </c>
      <c r="C1753" s="2399">
        <v>44851</v>
      </c>
      <c r="D1753" s="2292"/>
      <c r="E1753" s="2293"/>
      <c r="F1753" s="2776"/>
      <c r="G1753" s="2400"/>
      <c r="H1753" s="2401" t="str">
        <f>IFERROR(VLOOKUP(F1753,Trainingsarten!$A$9:$K$84,10,FALSE),"")</f>
        <v/>
      </c>
      <c r="I1753" s="2402" t="str">
        <f t="shared" si="412"/>
        <v/>
      </c>
      <c r="J1753" s="2403"/>
      <c r="K1753" s="2404" t="str">
        <f>IFERROR(VLOOKUP(F1753,Trainingsarten!$A$9:$K$84,11,FALSE),"0")</f>
        <v>0</v>
      </c>
      <c r="L1753" s="2815"/>
      <c r="M1753" s="2591"/>
      <c r="N1753" s="2296" t="str">
        <f t="shared" si="413"/>
        <v/>
      </c>
      <c r="O1753" s="2405"/>
      <c r="P1753" s="2298" t="str">
        <f>IFERROR(VLOOKUP(F1753,Trainingsarten!$A$9:$N$84,12,FALSE),"")</f>
        <v/>
      </c>
      <c r="Q1753" s="2406" t="s">
        <v>437</v>
      </c>
      <c r="R1753" s="2407" t="str">
        <f>IFERROR(VLOOKUP(F1753,Trainingsarten!$A$9:$N$84,14,FALSE),"")</f>
        <v/>
      </c>
      <c r="S1753" s="2408" t="str">
        <f t="shared" si="414"/>
        <v/>
      </c>
      <c r="T1753" s="2292">
        <f t="shared" si="415"/>
        <v>5.4986683416621736</v>
      </c>
      <c r="U1753" s="2292">
        <f t="shared" si="416"/>
        <v>17.531339590007605</v>
      </c>
      <c r="V1753" s="2292">
        <f t="shared" si="417"/>
        <v>11.54382017327184</v>
      </c>
      <c r="W1753" s="3283">
        <f t="shared" si="418"/>
        <v>0.31364792823911003</v>
      </c>
      <c r="X1753" s="3300"/>
      <c r="Y1753" s="3316"/>
      <c r="AA1753" s="3301"/>
      <c r="AB1753" s="3409"/>
      <c r="AE1753" s="2548"/>
    </row>
    <row r="1754" spans="2:31" x14ac:dyDescent="0.2">
      <c r="B1754" s="2991" t="s">
        <v>626</v>
      </c>
      <c r="C1754" s="2409">
        <v>44852</v>
      </c>
      <c r="D1754" s="2009"/>
      <c r="E1754" s="2010"/>
      <c r="F1754" s="2777"/>
      <c r="G1754" s="2410"/>
      <c r="H1754" s="2411" t="str">
        <f>IFERROR(VLOOKUP(F1754,Trainingsarten!$A$9:$K$84,10,FALSE),"")</f>
        <v/>
      </c>
      <c r="I1754" s="2412" t="str">
        <f t="shared" si="412"/>
        <v/>
      </c>
      <c r="J1754" s="2413"/>
      <c r="K1754" s="2414" t="str">
        <f>IFERROR(VLOOKUP(F1754,Trainingsarten!$A$9:$K$84,11,FALSE),"0")</f>
        <v>0</v>
      </c>
      <c r="L1754" s="2816"/>
      <c r="M1754" s="2840"/>
      <c r="N1754" s="2368" t="str">
        <f t="shared" si="413"/>
        <v/>
      </c>
      <c r="O1754" s="2415"/>
      <c r="P1754" s="2370" t="str">
        <f>IFERROR(VLOOKUP(F1754,Trainingsarten!$A$9:$N$84,12,FALSE),"")</f>
        <v/>
      </c>
      <c r="Q1754" s="2432" t="s">
        <v>437</v>
      </c>
      <c r="R1754" s="2537" t="str">
        <f>IFERROR(VLOOKUP(F1754,Trainingsarten!$A$9:$N$84,14,FALSE),"")</f>
        <v/>
      </c>
      <c r="S1754" s="2419" t="str">
        <f t="shared" si="414"/>
        <v/>
      </c>
      <c r="T1754" s="2009">
        <f t="shared" si="415"/>
        <v>4.7131442928532916</v>
      </c>
      <c r="U1754" s="2009">
        <f t="shared" si="416"/>
        <v>17.113926742626472</v>
      </c>
      <c r="V1754" s="2009">
        <f t="shared" si="417"/>
        <v>12.03267124834543</v>
      </c>
      <c r="W1754" s="3284">
        <f t="shared" si="418"/>
        <v>0.2753981808928771</v>
      </c>
      <c r="X1754" s="3300"/>
      <c r="Y1754" s="3316"/>
      <c r="AA1754" s="3301"/>
      <c r="AB1754" s="3409"/>
      <c r="AE1754" s="2548"/>
    </row>
    <row r="1755" spans="2:31" ht="16" thickBot="1" x14ac:dyDescent="0.25">
      <c r="B1755" s="2979">
        <f t="shared" ref="B1755" si="429">SUM(H1753:H1759)</f>
        <v>0</v>
      </c>
      <c r="C1755" s="2409">
        <v>44853</v>
      </c>
      <c r="D1755" s="2009"/>
      <c r="E1755" s="2010"/>
      <c r="F1755" s="2777"/>
      <c r="G1755" s="2410"/>
      <c r="H1755" s="2411" t="str">
        <f>IFERROR(VLOOKUP(F1755,Trainingsarten!$A$9:$K$84,10,FALSE),"")</f>
        <v/>
      </c>
      <c r="I1755" s="2412" t="str">
        <f t="shared" si="412"/>
        <v/>
      </c>
      <c r="J1755" s="2413"/>
      <c r="K1755" s="2414" t="str">
        <f>IFERROR(VLOOKUP(F1755,Trainingsarten!$A$9:$K$84,11,FALSE),"0")</f>
        <v>0</v>
      </c>
      <c r="L1755" s="2816"/>
      <c r="M1755" s="2840"/>
      <c r="N1755" s="2368" t="str">
        <f t="shared" si="413"/>
        <v/>
      </c>
      <c r="O1755" s="2415"/>
      <c r="P1755" s="2370" t="str">
        <f>IFERROR(VLOOKUP(F1755,Trainingsarten!$A$9:$N$84,12,FALSE),"")</f>
        <v/>
      </c>
      <c r="Q1755" s="2432" t="s">
        <v>437</v>
      </c>
      <c r="R1755" s="2537" t="str">
        <f>IFERROR(VLOOKUP(F1755,Trainingsarten!$A$9:$N$84,14,FALSE),"")</f>
        <v/>
      </c>
      <c r="S1755" s="2419" t="str">
        <f t="shared" si="414"/>
        <v/>
      </c>
      <c r="T1755" s="2009">
        <f t="shared" si="415"/>
        <v>4.0398379653028211</v>
      </c>
      <c r="U1755" s="2009">
        <f t="shared" si="416"/>
        <v>16.70645229637346</v>
      </c>
      <c r="V1755" s="2009">
        <f t="shared" si="417"/>
        <v>12.40078244977318</v>
      </c>
      <c r="W1755" s="3284">
        <f t="shared" si="418"/>
        <v>0.24181303688155059</v>
      </c>
      <c r="X1755" s="3300"/>
      <c r="Y1755" s="3316"/>
      <c r="AA1755" s="3301"/>
      <c r="AB1755" s="3409"/>
      <c r="AE1755" s="2548"/>
    </row>
    <row r="1756" spans="2:31" x14ac:dyDescent="0.2">
      <c r="B1756" s="2992" t="s">
        <v>628</v>
      </c>
      <c r="C1756" s="2409">
        <v>44854</v>
      </c>
      <c r="D1756" s="2009"/>
      <c r="E1756" s="2010"/>
      <c r="F1756" s="2777"/>
      <c r="G1756" s="2410"/>
      <c r="H1756" s="2411" t="str">
        <f>IFERROR(VLOOKUP(F1756,Trainingsarten!$A$9:$K$84,10,FALSE),"")</f>
        <v/>
      </c>
      <c r="I1756" s="2412" t="str">
        <f t="shared" si="412"/>
        <v/>
      </c>
      <c r="J1756" s="2413"/>
      <c r="K1756" s="2414" t="str">
        <f>IFERROR(VLOOKUP(F1756,Trainingsarten!$A$9:$K$84,11,FALSE),"0")</f>
        <v>0</v>
      </c>
      <c r="L1756" s="2816"/>
      <c r="M1756" s="2840"/>
      <c r="N1756" s="2368" t="str">
        <f t="shared" si="413"/>
        <v/>
      </c>
      <c r="O1756" s="2415"/>
      <c r="P1756" s="2370" t="str">
        <f>IFERROR(VLOOKUP(F1756,Trainingsarten!$A$9:$N$84,12,FALSE),"")</f>
        <v/>
      </c>
      <c r="Q1756" s="2432" t="s">
        <v>437</v>
      </c>
      <c r="R1756" s="2537" t="str">
        <f>IFERROR(VLOOKUP(F1756,Trainingsarten!$A$9:$N$84,14,FALSE),"")</f>
        <v/>
      </c>
      <c r="S1756" s="2419" t="str">
        <f t="shared" si="414"/>
        <v/>
      </c>
      <c r="T1756" s="2009">
        <f t="shared" si="415"/>
        <v>3.4627182559738467</v>
      </c>
      <c r="U1756" s="2009">
        <f t="shared" si="416"/>
        <v>16.308679622650281</v>
      </c>
      <c r="V1756" s="2009">
        <f t="shared" si="417"/>
        <v>12.666614331070638</v>
      </c>
      <c r="W1756" s="3284">
        <f t="shared" si="418"/>
        <v>0.2123236421398981</v>
      </c>
      <c r="X1756" s="3300"/>
      <c r="Y1756" s="3316"/>
      <c r="AA1756" s="3301"/>
      <c r="AB1756" s="3409"/>
      <c r="AE1756" s="2548"/>
    </row>
    <row r="1757" spans="2:31" ht="16" thickBot="1" x14ac:dyDescent="0.25">
      <c r="B1757" s="2993">
        <f t="shared" ref="B1757" si="430">SUM(K1753:K1759)</f>
        <v>0</v>
      </c>
      <c r="C1757" s="2562">
        <v>44855</v>
      </c>
      <c r="D1757" s="2563"/>
      <c r="E1757" s="2564"/>
      <c r="F1757" s="2777"/>
      <c r="G1757" s="2565"/>
      <c r="H1757" s="2566" t="str">
        <f>IFERROR(VLOOKUP(F1757,Trainingsarten!$A$9:$K$84,10,FALSE),"")</f>
        <v/>
      </c>
      <c r="I1757" s="2567" t="str">
        <f t="shared" si="412"/>
        <v/>
      </c>
      <c r="J1757" s="2568"/>
      <c r="K1757" s="2569" t="str">
        <f>IFERROR(VLOOKUP(F1757,Trainingsarten!$A$9:$K$84,11,FALSE),"0")</f>
        <v>0</v>
      </c>
      <c r="L1757" s="2816"/>
      <c r="M1757" s="2840"/>
      <c r="N1757" s="2570" t="str">
        <f t="shared" si="413"/>
        <v/>
      </c>
      <c r="O1757" s="2571"/>
      <c r="P1757" s="2572" t="str">
        <f>IFERROR(VLOOKUP(F1757,Trainingsarten!$A$9:$N$84,12,FALSE),"")</f>
        <v/>
      </c>
      <c r="Q1757" s="2573" t="s">
        <v>437</v>
      </c>
      <c r="R1757" s="2574" t="str">
        <f>IFERROR(VLOOKUP(F1757,Trainingsarten!$A$9:$N$84,14,FALSE),"")</f>
        <v/>
      </c>
      <c r="S1757" s="2575" t="str">
        <f t="shared" si="414"/>
        <v/>
      </c>
      <c r="T1757" s="2563">
        <f t="shared" si="415"/>
        <v>2.9680442194061545</v>
      </c>
      <c r="U1757" s="2563">
        <f t="shared" si="416"/>
        <v>15.920377726872893</v>
      </c>
      <c r="V1757" s="2563">
        <f t="shared" si="417"/>
        <v>12.845961366676434</v>
      </c>
      <c r="W1757" s="3284">
        <f t="shared" si="418"/>
        <v>0.18643051504966665</v>
      </c>
      <c r="X1757" s="3300"/>
      <c r="Y1757" s="3316"/>
      <c r="AA1757" s="3301"/>
      <c r="AB1757" s="3409"/>
      <c r="AE1757" s="2548"/>
    </row>
    <row r="1758" spans="2:31" x14ac:dyDescent="0.2">
      <c r="B1758" s="2994" t="s">
        <v>761</v>
      </c>
      <c r="C1758" s="2441">
        <v>44856</v>
      </c>
      <c r="D1758" s="1111"/>
      <c r="E1758" s="1112"/>
      <c r="F1758" s="2777"/>
      <c r="G1758" s="2442"/>
      <c r="H1758" s="2443" t="str">
        <f>IFERROR(VLOOKUP(F1758,Trainingsarten!$A$9:$K$84,10,FALSE),"")</f>
        <v/>
      </c>
      <c r="I1758" s="2444" t="str">
        <f t="shared" si="412"/>
        <v/>
      </c>
      <c r="J1758" s="1320"/>
      <c r="K1758" s="2445" t="str">
        <f>IFERROR(VLOOKUP(F1758,Trainingsarten!$A$9:$K$84,11,FALSE),"0")</f>
        <v>0</v>
      </c>
      <c r="L1758" s="2819"/>
      <c r="M1758" s="1320"/>
      <c r="N1758" s="1119" t="str">
        <f t="shared" si="413"/>
        <v/>
      </c>
      <c r="O1758" s="2446"/>
      <c r="P1758" s="1121" t="str">
        <f>IFERROR(VLOOKUP(F1758,Trainingsarten!$A$9:$N$84,12,FALSE),"")</f>
        <v/>
      </c>
      <c r="Q1758" s="2447" t="s">
        <v>437</v>
      </c>
      <c r="R1758" s="2448" t="str">
        <f>IFERROR(VLOOKUP(F1758,Trainingsarten!$A$9:$N$84,14,FALSE),"")</f>
        <v/>
      </c>
      <c r="S1758" s="2449" t="str">
        <f t="shared" si="414"/>
        <v/>
      </c>
      <c r="T1758" s="1111">
        <f t="shared" si="415"/>
        <v>2.5440379023481325</v>
      </c>
      <c r="U1758" s="1111">
        <f t="shared" si="416"/>
        <v>15.5413211143283</v>
      </c>
      <c r="V1758" s="1111">
        <f t="shared" si="417"/>
        <v>12.952333507466738</v>
      </c>
      <c r="W1758" s="3286">
        <f t="shared" si="418"/>
        <v>0.16369508638507316</v>
      </c>
      <c r="X1758" s="3300"/>
      <c r="Y1758" s="3316"/>
      <c r="AA1758" s="3301"/>
      <c r="AB1758" s="3409"/>
      <c r="AE1758" s="2548"/>
    </row>
    <row r="1759" spans="2:31" ht="16" thickBot="1" x14ac:dyDescent="0.25">
      <c r="B1759" s="3127">
        <f t="shared" ref="B1759" si="431">AVERAGE(W1753:W1759)</f>
        <v>0.21957723722291927</v>
      </c>
      <c r="C1759" s="1631">
        <v>44857</v>
      </c>
      <c r="D1759" s="1108"/>
      <c r="E1759" s="1261"/>
      <c r="F1759" s="2778"/>
      <c r="G1759" s="2433"/>
      <c r="H1759" s="2434" t="str">
        <f>IFERROR(VLOOKUP(F1759,Trainingsarten!$A$9:$K$84,10,FALSE),"")</f>
        <v/>
      </c>
      <c r="I1759" s="2435" t="str">
        <f t="shared" si="412"/>
        <v/>
      </c>
      <c r="J1759" s="1310"/>
      <c r="K1759" s="2436" t="str">
        <f>IFERROR(VLOOKUP(F1759,Trainingsarten!$A$9:$K$84,11,FALSE),"0")</f>
        <v>0</v>
      </c>
      <c r="L1759" s="2818"/>
      <c r="M1759" s="2798"/>
      <c r="N1759" s="1223" t="str">
        <f t="shared" si="413"/>
        <v/>
      </c>
      <c r="O1759" s="2437"/>
      <c r="P1759" s="1519" t="str">
        <f>IFERROR(VLOOKUP(F1759,Trainingsarten!$A$9:$N$84,12,FALSE),"")</f>
        <v/>
      </c>
      <c r="Q1759" s="2438" t="s">
        <v>437</v>
      </c>
      <c r="R1759" s="2439" t="str">
        <f>IFERROR(VLOOKUP(F1759,Trainingsarten!$A$9:$N$84,14,FALSE),"")</f>
        <v/>
      </c>
      <c r="S1759" s="2440" t="str">
        <f t="shared" si="414"/>
        <v/>
      </c>
      <c r="T1759" s="1108">
        <f t="shared" si="415"/>
        <v>2.1806039162983994</v>
      </c>
      <c r="U1759" s="1108">
        <f t="shared" si="416"/>
        <v>15.171289659225245</v>
      </c>
      <c r="V1759" s="1108">
        <f t="shared" si="417"/>
        <v>12.997283211980168</v>
      </c>
      <c r="W1759" s="3285">
        <f t="shared" si="418"/>
        <v>0.14373227097225938</v>
      </c>
      <c r="X1759" s="3300"/>
      <c r="Y1759" s="3316"/>
      <c r="AA1759" s="3301"/>
      <c r="AB1759" s="3409"/>
      <c r="AE1759" s="2548"/>
    </row>
    <row r="1760" spans="2:31" ht="16" thickBot="1" x14ac:dyDescent="0.25">
      <c r="B1760" s="2986">
        <f t="shared" ref="B1760" si="432">B1753+1</f>
        <v>43</v>
      </c>
      <c r="C1760" s="2399">
        <v>44858</v>
      </c>
      <c r="D1760" s="2292"/>
      <c r="E1760" s="2293"/>
      <c r="F1760" s="2776"/>
      <c r="G1760" s="2400"/>
      <c r="H1760" s="2401" t="str">
        <f>IFERROR(VLOOKUP(F1760,Trainingsarten!$A$9:$K$84,10,FALSE),"")</f>
        <v/>
      </c>
      <c r="I1760" s="2402" t="str">
        <f t="shared" si="412"/>
        <v/>
      </c>
      <c r="J1760" s="2403"/>
      <c r="K1760" s="2404" t="str">
        <f>IFERROR(VLOOKUP(F1760,Trainingsarten!$A$9:$K$84,11,FALSE),"0")</f>
        <v>0</v>
      </c>
      <c r="L1760" s="2815"/>
      <c r="M1760" s="2591"/>
      <c r="N1760" s="2296" t="str">
        <f t="shared" si="413"/>
        <v/>
      </c>
      <c r="O1760" s="2405"/>
      <c r="P1760" s="2298" t="str">
        <f>IFERROR(VLOOKUP(F1760,Trainingsarten!$A$9:$N$84,12,FALSE),"")</f>
        <v/>
      </c>
      <c r="Q1760" s="2406" t="s">
        <v>437</v>
      </c>
      <c r="R1760" s="2407" t="str">
        <f>IFERROR(VLOOKUP(F1760,Trainingsarten!$A$9:$N$84,14,FALSE),"")</f>
        <v/>
      </c>
      <c r="S1760" s="2408" t="str">
        <f t="shared" si="414"/>
        <v/>
      </c>
      <c r="T1760" s="2292">
        <f t="shared" si="415"/>
        <v>1.8690890711129138</v>
      </c>
      <c r="U1760" s="2292">
        <f t="shared" si="416"/>
        <v>14.810068476862739</v>
      </c>
      <c r="V1760" s="2292">
        <f t="shared" si="417"/>
        <v>12.990685742926846</v>
      </c>
      <c r="W1760" s="3283">
        <f t="shared" si="418"/>
        <v>0.12620394524393505</v>
      </c>
      <c r="X1760" s="3300"/>
      <c r="Y1760" s="3316"/>
      <c r="AA1760" s="3301"/>
      <c r="AB1760" s="3409"/>
      <c r="AE1760" s="2548"/>
    </row>
    <row r="1761" spans="2:31" x14ac:dyDescent="0.2">
      <c r="B1761" s="2991" t="s">
        <v>626</v>
      </c>
      <c r="C1761" s="2409">
        <v>44859</v>
      </c>
      <c r="D1761" s="2009"/>
      <c r="E1761" s="2010"/>
      <c r="F1761" s="2777"/>
      <c r="G1761" s="2410"/>
      <c r="H1761" s="2411" t="str">
        <f>IFERROR(VLOOKUP(F1761,Trainingsarten!$A$9:$K$84,10,FALSE),"")</f>
        <v/>
      </c>
      <c r="I1761" s="2412" t="str">
        <f t="shared" si="412"/>
        <v/>
      </c>
      <c r="J1761" s="2413"/>
      <c r="K1761" s="2414" t="str">
        <f>IFERROR(VLOOKUP(F1761,Trainingsarten!$A$9:$K$84,11,FALSE),"0")</f>
        <v>0</v>
      </c>
      <c r="L1761" s="2816"/>
      <c r="M1761" s="2840"/>
      <c r="N1761" s="2368" t="str">
        <f t="shared" si="413"/>
        <v/>
      </c>
      <c r="O1761" s="2415"/>
      <c r="P1761" s="2370" t="str">
        <f>IFERROR(VLOOKUP(F1761,Trainingsarten!$A$9:$N$84,12,FALSE),"")</f>
        <v/>
      </c>
      <c r="Q1761" s="2432" t="s">
        <v>437</v>
      </c>
      <c r="R1761" s="2537" t="str">
        <f>IFERROR(VLOOKUP(F1761,Trainingsarten!$A$9:$N$84,14,FALSE),"")</f>
        <v/>
      </c>
      <c r="S1761" s="2419" t="str">
        <f t="shared" si="414"/>
        <v/>
      </c>
      <c r="T1761" s="2009">
        <f t="shared" si="415"/>
        <v>1.6020763466682117</v>
      </c>
      <c r="U1761" s="2009">
        <f t="shared" si="416"/>
        <v>14.457447798842198</v>
      </c>
      <c r="V1761" s="2009">
        <f t="shared" si="417"/>
        <v>12.940979405749825</v>
      </c>
      <c r="W1761" s="3284">
        <f t="shared" si="418"/>
        <v>0.11081322021418687</v>
      </c>
      <c r="X1761" s="3300"/>
      <c r="Y1761" s="3316"/>
      <c r="AA1761" s="3301"/>
      <c r="AB1761" s="3409"/>
      <c r="AE1761" s="2548"/>
    </row>
    <row r="1762" spans="2:31" ht="16" thickBot="1" x14ac:dyDescent="0.25">
      <c r="B1762" s="2979">
        <f t="shared" ref="B1762" si="433">SUM(H1760:H1766)</f>
        <v>0</v>
      </c>
      <c r="C1762" s="2409">
        <v>44860</v>
      </c>
      <c r="D1762" s="2009"/>
      <c r="E1762" s="2010"/>
      <c r="F1762" s="2777"/>
      <c r="G1762" s="2410"/>
      <c r="H1762" s="2411" t="str">
        <f>IFERROR(VLOOKUP(F1762,Trainingsarten!$A$9:$K$84,10,FALSE),"")</f>
        <v/>
      </c>
      <c r="I1762" s="2412" t="str">
        <f t="shared" si="412"/>
        <v/>
      </c>
      <c r="J1762" s="2413"/>
      <c r="K1762" s="2414" t="str">
        <f>IFERROR(VLOOKUP(F1762,Trainingsarten!$A$9:$K$84,11,FALSE),"0")</f>
        <v>0</v>
      </c>
      <c r="L1762" s="2816"/>
      <c r="M1762" s="2840"/>
      <c r="N1762" s="2368" t="str">
        <f t="shared" si="413"/>
        <v/>
      </c>
      <c r="O1762" s="2415"/>
      <c r="P1762" s="2370" t="str">
        <f>IFERROR(VLOOKUP(F1762,Trainingsarten!$A$9:$N$84,12,FALSE),"")</f>
        <v/>
      </c>
      <c r="Q1762" s="2432" t="s">
        <v>437</v>
      </c>
      <c r="R1762" s="2537" t="str">
        <f>IFERROR(VLOOKUP(F1762,Trainingsarten!$A$9:$N$84,14,FALSE),"")</f>
        <v/>
      </c>
      <c r="S1762" s="2419" t="str">
        <f t="shared" si="414"/>
        <v/>
      </c>
      <c r="T1762" s="2009">
        <f t="shared" si="415"/>
        <v>1.3732082971441815</v>
      </c>
      <c r="U1762" s="2009">
        <f t="shared" si="416"/>
        <v>14.113222851250717</v>
      </c>
      <c r="V1762" s="2009">
        <f t="shared" si="417"/>
        <v>12.855371452173987</v>
      </c>
      <c r="W1762" s="3284">
        <f t="shared" si="418"/>
        <v>9.7299412870993349E-2</v>
      </c>
      <c r="X1762" s="3300"/>
      <c r="Y1762" s="3316"/>
      <c r="AA1762" s="3301"/>
      <c r="AB1762" s="3409"/>
      <c r="AE1762" s="2548"/>
    </row>
    <row r="1763" spans="2:31" x14ac:dyDescent="0.2">
      <c r="B1763" s="2992" t="s">
        <v>628</v>
      </c>
      <c r="C1763" s="2409">
        <v>44861</v>
      </c>
      <c r="D1763" s="2009"/>
      <c r="E1763" s="2010"/>
      <c r="F1763" s="2777"/>
      <c r="G1763" s="2410"/>
      <c r="H1763" s="2411" t="str">
        <f>IFERROR(VLOOKUP(F1763,Trainingsarten!$A$9:$K$84,10,FALSE),"")</f>
        <v/>
      </c>
      <c r="I1763" s="2412" t="str">
        <f t="shared" si="412"/>
        <v/>
      </c>
      <c r="J1763" s="2413"/>
      <c r="K1763" s="2414" t="str">
        <f>IFERROR(VLOOKUP(F1763,Trainingsarten!$A$9:$K$84,11,FALSE),"0")</f>
        <v>0</v>
      </c>
      <c r="L1763" s="2816"/>
      <c r="M1763" s="2840"/>
      <c r="N1763" s="2368" t="str">
        <f t="shared" si="413"/>
        <v/>
      </c>
      <c r="O1763" s="2415"/>
      <c r="P1763" s="2370" t="str">
        <f>IFERROR(VLOOKUP(F1763,Trainingsarten!$A$9:$N$84,12,FALSE),"")</f>
        <v/>
      </c>
      <c r="Q1763" s="2432" t="s">
        <v>437</v>
      </c>
      <c r="R1763" s="2537" t="str">
        <f>IFERROR(VLOOKUP(F1763,Trainingsarten!$A$9:$N$84,14,FALSE),"")</f>
        <v/>
      </c>
      <c r="S1763" s="2419" t="str">
        <f t="shared" si="414"/>
        <v/>
      </c>
      <c r="T1763" s="2009">
        <f t="shared" si="415"/>
        <v>1.1770356832664413</v>
      </c>
      <c r="U1763" s="2009">
        <f t="shared" si="416"/>
        <v>13.777193735744747</v>
      </c>
      <c r="V1763" s="2009">
        <f t="shared" si="417"/>
        <v>12.740014554106535</v>
      </c>
      <c r="W1763" s="3284">
        <f t="shared" si="418"/>
        <v>8.5433630813555136E-2</v>
      </c>
      <c r="X1763" s="3300"/>
      <c r="Y1763" s="3316"/>
      <c r="AA1763" s="3301"/>
      <c r="AB1763" s="3409"/>
      <c r="AE1763" s="2548"/>
    </row>
    <row r="1764" spans="2:31" ht="16" thickBot="1" x14ac:dyDescent="0.25">
      <c r="B1764" s="2993">
        <f t="shared" ref="B1764" si="434">SUM(K1760:K1766)</f>
        <v>0</v>
      </c>
      <c r="C1764" s="2562">
        <v>44862</v>
      </c>
      <c r="D1764" s="2563"/>
      <c r="E1764" s="2564"/>
      <c r="F1764" s="2777"/>
      <c r="G1764" s="2565"/>
      <c r="H1764" s="2566" t="str">
        <f>IFERROR(VLOOKUP(F1764,Trainingsarten!$A$9:$K$84,10,FALSE),"")</f>
        <v/>
      </c>
      <c r="I1764" s="2567" t="str">
        <f t="shared" si="412"/>
        <v/>
      </c>
      <c r="J1764" s="2568"/>
      <c r="K1764" s="2569" t="str">
        <f>IFERROR(VLOOKUP(F1764,Trainingsarten!$A$9:$K$84,11,FALSE),"0")</f>
        <v>0</v>
      </c>
      <c r="L1764" s="2816"/>
      <c r="M1764" s="2840"/>
      <c r="N1764" s="2570" t="str">
        <f t="shared" si="413"/>
        <v/>
      </c>
      <c r="O1764" s="2571"/>
      <c r="P1764" s="2572" t="str">
        <f>IFERROR(VLOOKUP(F1764,Trainingsarten!$A$9:$N$84,12,FALSE),"")</f>
        <v/>
      </c>
      <c r="Q1764" s="2573" t="s">
        <v>437</v>
      </c>
      <c r="R1764" s="2574" t="str">
        <f>IFERROR(VLOOKUP(F1764,Trainingsarten!$A$9:$N$84,14,FALSE),"")</f>
        <v/>
      </c>
      <c r="S1764" s="2575" t="str">
        <f t="shared" si="414"/>
        <v/>
      </c>
      <c r="T1764" s="2563">
        <f t="shared" si="415"/>
        <v>1.0088877285140925</v>
      </c>
      <c r="U1764" s="2563">
        <f t="shared" si="416"/>
        <v>13.449165313465111</v>
      </c>
      <c r="V1764" s="2563">
        <f t="shared" si="417"/>
        <v>12.600158052478307</v>
      </c>
      <c r="W1764" s="3284">
        <f t="shared" si="418"/>
        <v>7.5014895348487431E-2</v>
      </c>
      <c r="X1764" s="3300"/>
      <c r="Y1764" s="3316"/>
      <c r="AA1764" s="3301"/>
      <c r="AB1764" s="3409"/>
      <c r="AE1764" s="2548"/>
    </row>
    <row r="1765" spans="2:31" x14ac:dyDescent="0.2">
      <c r="B1765" s="2994" t="s">
        <v>761</v>
      </c>
      <c r="C1765" s="2441">
        <v>44863</v>
      </c>
      <c r="D1765" s="1111"/>
      <c r="E1765" s="1112"/>
      <c r="F1765" s="2777"/>
      <c r="G1765" s="2442"/>
      <c r="H1765" s="2443" t="str">
        <f>IFERROR(VLOOKUP(F1765,Trainingsarten!$A$9:$K$84,10,FALSE),"")</f>
        <v/>
      </c>
      <c r="I1765" s="2444" t="str">
        <f t="shared" si="412"/>
        <v/>
      </c>
      <c r="J1765" s="1320"/>
      <c r="K1765" s="2445" t="str">
        <f>IFERROR(VLOOKUP(F1765,Trainingsarten!$A$9:$K$84,11,FALSE),"0")</f>
        <v>0</v>
      </c>
      <c r="L1765" s="2819"/>
      <c r="M1765" s="1320"/>
      <c r="N1765" s="1119" t="str">
        <f t="shared" si="413"/>
        <v/>
      </c>
      <c r="O1765" s="2446"/>
      <c r="P1765" s="1121" t="str">
        <f>IFERROR(VLOOKUP(F1765,Trainingsarten!$A$9:$N$84,12,FALSE),"")</f>
        <v/>
      </c>
      <c r="Q1765" s="2447" t="s">
        <v>437</v>
      </c>
      <c r="R1765" s="2448" t="str">
        <f>IFERROR(VLOOKUP(F1765,Trainingsarten!$A$9:$N$84,14,FALSE),"")</f>
        <v/>
      </c>
      <c r="S1765" s="2449" t="str">
        <f t="shared" si="414"/>
        <v/>
      </c>
      <c r="T1765" s="1111">
        <f t="shared" si="415"/>
        <v>0.86476091015493639</v>
      </c>
      <c r="U1765" s="1111">
        <f t="shared" si="416"/>
        <v>13.128947091715942</v>
      </c>
      <c r="V1765" s="1111">
        <f t="shared" si="417"/>
        <v>12.440277584951017</v>
      </c>
      <c r="W1765" s="3286">
        <f t="shared" si="418"/>
        <v>6.5866737379159698E-2</v>
      </c>
      <c r="X1765" s="3300"/>
      <c r="Y1765" s="3316"/>
      <c r="AA1765" s="3301"/>
      <c r="AB1765" s="3409"/>
      <c r="AE1765" s="2548"/>
    </row>
    <row r="1766" spans="2:31" ht="16" thickBot="1" x14ac:dyDescent="0.25">
      <c r="B1766" s="3128">
        <f t="shared" ref="B1766" si="435">AVERAGE(W1760:W1766)</f>
        <v>8.8352292900114177E-2</v>
      </c>
      <c r="C1766" s="1631">
        <v>44864</v>
      </c>
      <c r="D1766" s="1108"/>
      <c r="E1766" s="1261"/>
      <c r="F1766" s="2778"/>
      <c r="G1766" s="2433"/>
      <c r="H1766" s="2434" t="str">
        <f>IFERROR(VLOOKUP(F1766,Trainingsarten!$A$9:$K$84,10,FALSE),"")</f>
        <v/>
      </c>
      <c r="I1766" s="2435" t="str">
        <f t="shared" si="412"/>
        <v/>
      </c>
      <c r="J1766" s="1310"/>
      <c r="K1766" s="2436" t="str">
        <f>IFERROR(VLOOKUP(F1766,Trainingsarten!$A$9:$K$84,11,FALSE),"0")</f>
        <v>0</v>
      </c>
      <c r="L1766" s="2818"/>
      <c r="M1766" s="2798"/>
      <c r="N1766" s="1223" t="str">
        <f t="shared" si="413"/>
        <v/>
      </c>
      <c r="O1766" s="2437"/>
      <c r="P1766" s="1519" t="str">
        <f>IFERROR(VLOOKUP(F1766,Trainingsarten!$A$9:$N$84,12,FALSE),"")</f>
        <v/>
      </c>
      <c r="Q1766" s="2438" t="s">
        <v>437</v>
      </c>
      <c r="R1766" s="2439" t="str">
        <f>IFERROR(VLOOKUP(F1766,Trainingsarten!$A$9:$N$84,14,FALSE),"")</f>
        <v/>
      </c>
      <c r="S1766" s="2440" t="str">
        <f t="shared" si="414"/>
        <v/>
      </c>
      <c r="T1766" s="1108">
        <f t="shared" si="415"/>
        <v>0.74122363727565976</v>
      </c>
      <c r="U1766" s="1108">
        <f t="shared" si="416"/>
        <v>12.816353113341753</v>
      </c>
      <c r="V1766" s="1108">
        <f t="shared" si="417"/>
        <v>12.264186181561005</v>
      </c>
      <c r="W1766" s="3285">
        <f t="shared" si="418"/>
        <v>5.7834208430481683E-2</v>
      </c>
      <c r="X1766" s="3300"/>
      <c r="Y1766" s="3316"/>
      <c r="AA1766" s="3301"/>
      <c r="AB1766" s="3409"/>
      <c r="AE1766" s="2548"/>
    </row>
    <row r="1767" spans="2:31" ht="16" thickBot="1" x14ac:dyDescent="0.25">
      <c r="B1767" s="2986">
        <f t="shared" ref="B1767" si="436">B1760+1</f>
        <v>44</v>
      </c>
      <c r="C1767" s="2399">
        <v>44865</v>
      </c>
      <c r="D1767" s="2292"/>
      <c r="E1767" s="2293"/>
      <c r="F1767" s="2776"/>
      <c r="G1767" s="2400"/>
      <c r="H1767" s="2401" t="str">
        <f>IFERROR(VLOOKUP(F1767,Trainingsarten!$A$9:$K$84,10,FALSE),"")</f>
        <v/>
      </c>
      <c r="I1767" s="2402" t="str">
        <f t="shared" si="412"/>
        <v/>
      </c>
      <c r="J1767" s="2403"/>
      <c r="K1767" s="2404" t="str">
        <f>IFERROR(VLOOKUP(F1767,Trainingsarten!$A$9:$K$84,11,FALSE),"0")</f>
        <v>0</v>
      </c>
      <c r="L1767" s="2815"/>
      <c r="M1767" s="2591"/>
      <c r="N1767" s="2296" t="str">
        <f t="shared" si="413"/>
        <v/>
      </c>
      <c r="O1767" s="2405"/>
      <c r="P1767" s="2298" t="str">
        <f>IFERROR(VLOOKUP(F1767,Trainingsarten!$A$9:$N$84,12,FALSE),"")</f>
        <v/>
      </c>
      <c r="Q1767" s="2406" t="s">
        <v>437</v>
      </c>
      <c r="R1767" s="2407" t="str">
        <f>IFERROR(VLOOKUP(F1767,Trainingsarten!$A$9:$N$84,14,FALSE),"")</f>
        <v/>
      </c>
      <c r="S1767" s="2408" t="str">
        <f t="shared" si="414"/>
        <v/>
      </c>
      <c r="T1767" s="2292">
        <f t="shared" si="415"/>
        <v>0.63533454623627983</v>
      </c>
      <c r="U1767" s="2292">
        <f t="shared" si="416"/>
        <v>12.511201848738379</v>
      </c>
      <c r="V1767" s="2292">
        <f t="shared" si="417"/>
        <v>12.075129476066094</v>
      </c>
      <c r="W1767" s="3283">
        <f t="shared" si="418"/>
        <v>5.0781256182861965E-2</v>
      </c>
      <c r="X1767" s="3300"/>
      <c r="Y1767" s="3316"/>
      <c r="AA1767" s="3301"/>
      <c r="AB1767" s="3409"/>
      <c r="AE1767" s="2548"/>
    </row>
    <row r="1768" spans="2:31" x14ac:dyDescent="0.2">
      <c r="B1768" s="2991" t="s">
        <v>626</v>
      </c>
      <c r="C1768" s="2409">
        <v>44866</v>
      </c>
      <c r="D1768" s="2009"/>
      <c r="E1768" s="2010"/>
      <c r="F1768" s="2777"/>
      <c r="G1768" s="2410"/>
      <c r="H1768" s="2411" t="str">
        <f>IFERROR(VLOOKUP(F1768,Trainingsarten!$A$9:$K$84,10,FALSE),"")</f>
        <v/>
      </c>
      <c r="I1768" s="2412" t="str">
        <f t="shared" si="412"/>
        <v/>
      </c>
      <c r="J1768" s="2413"/>
      <c r="K1768" s="2414" t="str">
        <f>IFERROR(VLOOKUP(F1768,Trainingsarten!$A$9:$K$84,11,FALSE),"0")</f>
        <v>0</v>
      </c>
      <c r="L1768" s="2816"/>
      <c r="M1768" s="2840"/>
      <c r="N1768" s="2368" t="str">
        <f t="shared" si="413"/>
        <v/>
      </c>
      <c r="O1768" s="2415"/>
      <c r="P1768" s="2370" t="str">
        <f>IFERROR(VLOOKUP(F1768,Trainingsarten!$A$9:$N$84,12,FALSE),"")</f>
        <v/>
      </c>
      <c r="Q1768" s="2432" t="s">
        <v>437</v>
      </c>
      <c r="R1768" s="2537" t="str">
        <f>IFERROR(VLOOKUP(F1768,Trainingsarten!$A$9:$N$84,14,FALSE),"")</f>
        <v/>
      </c>
      <c r="S1768" s="2419" t="str">
        <f t="shared" si="414"/>
        <v/>
      </c>
      <c r="T1768" s="2009">
        <f t="shared" si="415"/>
        <v>0.54457246820252558</v>
      </c>
      <c r="U1768" s="2009">
        <f t="shared" si="416"/>
        <v>12.213316090435084</v>
      </c>
      <c r="V1768" s="2009">
        <f t="shared" si="417"/>
        <v>11.875867302502099</v>
      </c>
      <c r="W1768" s="3284">
        <f t="shared" si="418"/>
        <v>4.4588420063000747E-2</v>
      </c>
      <c r="X1768" s="3300"/>
      <c r="Y1768" s="3316"/>
      <c r="AA1768" s="3301"/>
      <c r="AB1768" s="3409"/>
      <c r="AE1768" s="2548"/>
    </row>
    <row r="1769" spans="2:31" ht="16" thickBot="1" x14ac:dyDescent="0.25">
      <c r="B1769" s="2979">
        <f t="shared" ref="B1769" si="437">SUM(H1767:H1773)</f>
        <v>0</v>
      </c>
      <c r="C1769" s="2409">
        <v>44867</v>
      </c>
      <c r="D1769" s="2009"/>
      <c r="E1769" s="2010"/>
      <c r="F1769" s="2777"/>
      <c r="G1769" s="2410"/>
      <c r="H1769" s="2411" t="str">
        <f>IFERROR(VLOOKUP(F1769,Trainingsarten!$A$9:$K$84,10,FALSE),"")</f>
        <v/>
      </c>
      <c r="I1769" s="2412" t="str">
        <f t="shared" si="412"/>
        <v/>
      </c>
      <c r="J1769" s="2413"/>
      <c r="K1769" s="2414" t="str">
        <f>IFERROR(VLOOKUP(F1769,Trainingsarten!$A$9:$K$84,11,FALSE),"0")</f>
        <v>0</v>
      </c>
      <c r="L1769" s="2816"/>
      <c r="M1769" s="2840"/>
      <c r="N1769" s="2368" t="str">
        <f t="shared" si="413"/>
        <v/>
      </c>
      <c r="O1769" s="2415"/>
      <c r="P1769" s="2370" t="str">
        <f>IFERROR(VLOOKUP(F1769,Trainingsarten!$A$9:$N$84,12,FALSE),"")</f>
        <v/>
      </c>
      <c r="Q1769" s="2432" t="s">
        <v>437</v>
      </c>
      <c r="R1769" s="2537" t="str">
        <f>IFERROR(VLOOKUP(F1769,Trainingsarten!$A$9:$N$84,14,FALSE),"")</f>
        <v/>
      </c>
      <c r="S1769" s="2419" t="str">
        <f t="shared" si="414"/>
        <v/>
      </c>
      <c r="T1769" s="2009">
        <f t="shared" si="415"/>
        <v>0.46677640131645048</v>
      </c>
      <c r="U1769" s="2009">
        <f t="shared" si="416"/>
        <v>11.922522850186629</v>
      </c>
      <c r="V1769" s="2009">
        <f t="shared" si="417"/>
        <v>11.668743622232558</v>
      </c>
      <c r="W1769" s="3284">
        <f t="shared" si="418"/>
        <v>3.9150807860195778E-2</v>
      </c>
      <c r="X1769" s="3300"/>
      <c r="Y1769" s="3316"/>
      <c r="AA1769" s="3301"/>
      <c r="AB1769" s="3409"/>
      <c r="AE1769" s="2548"/>
    </row>
    <row r="1770" spans="2:31" x14ac:dyDescent="0.2">
      <c r="B1770" s="2992" t="s">
        <v>628</v>
      </c>
      <c r="C1770" s="2409">
        <v>44868</v>
      </c>
      <c r="D1770" s="2009"/>
      <c r="E1770" s="2010"/>
      <c r="F1770" s="2777"/>
      <c r="G1770" s="2410"/>
      <c r="H1770" s="2411" t="str">
        <f>IFERROR(VLOOKUP(F1770,Trainingsarten!$A$9:$K$84,10,FALSE),"")</f>
        <v/>
      </c>
      <c r="I1770" s="2412" t="str">
        <f t="shared" si="412"/>
        <v/>
      </c>
      <c r="J1770" s="2413"/>
      <c r="K1770" s="2414" t="str">
        <f>IFERROR(VLOOKUP(F1770,Trainingsarten!$A$9:$K$84,11,FALSE),"0")</f>
        <v>0</v>
      </c>
      <c r="L1770" s="2816"/>
      <c r="M1770" s="2840"/>
      <c r="N1770" s="2368" t="str">
        <f t="shared" si="413"/>
        <v/>
      </c>
      <c r="O1770" s="2415"/>
      <c r="P1770" s="2370" t="str">
        <f>IFERROR(VLOOKUP(F1770,Trainingsarten!$A$9:$N$84,12,FALSE),"")</f>
        <v/>
      </c>
      <c r="Q1770" s="2432" t="s">
        <v>437</v>
      </c>
      <c r="R1770" s="2537" t="str">
        <f>IFERROR(VLOOKUP(F1770,Trainingsarten!$A$9:$N$84,14,FALSE),"")</f>
        <v/>
      </c>
      <c r="S1770" s="2419" t="str">
        <f t="shared" si="414"/>
        <v/>
      </c>
      <c r="T1770" s="2009">
        <f t="shared" si="415"/>
        <v>0.40009405827124328</v>
      </c>
      <c r="U1770" s="2009">
        <f t="shared" si="416"/>
        <v>11.63865325851552</v>
      </c>
      <c r="V1770" s="2009">
        <f t="shared" si="417"/>
        <v>11.45574644887018</v>
      </c>
      <c r="W1770" s="3284">
        <f t="shared" si="418"/>
        <v>3.4376319096757271E-2</v>
      </c>
      <c r="X1770" s="3300"/>
      <c r="Y1770" s="3316"/>
      <c r="AA1770" s="3301"/>
      <c r="AB1770" s="3409"/>
      <c r="AE1770" s="2548"/>
    </row>
    <row r="1771" spans="2:31" ht="16" thickBot="1" x14ac:dyDescent="0.25">
      <c r="B1771" s="2993">
        <f t="shared" ref="B1771" si="438">SUM(K1767:K1773)</f>
        <v>0</v>
      </c>
      <c r="C1771" s="2562">
        <v>44869</v>
      </c>
      <c r="D1771" s="2563"/>
      <c r="E1771" s="2564"/>
      <c r="F1771" s="2777"/>
      <c r="G1771" s="2565"/>
      <c r="H1771" s="2566" t="str">
        <f>IFERROR(VLOOKUP(F1771,Trainingsarten!$A$9:$K$84,10,FALSE),"")</f>
        <v/>
      </c>
      <c r="I1771" s="2567" t="str">
        <f t="shared" si="412"/>
        <v/>
      </c>
      <c r="J1771" s="2568"/>
      <c r="K1771" s="2569" t="str">
        <f>IFERROR(VLOOKUP(F1771,Trainingsarten!$A$9:$K$84,11,FALSE),"0")</f>
        <v>0</v>
      </c>
      <c r="L1771" s="2816"/>
      <c r="M1771" s="2840"/>
      <c r="N1771" s="2570" t="str">
        <f t="shared" si="413"/>
        <v/>
      </c>
      <c r="O1771" s="2571"/>
      <c r="P1771" s="2572" t="str">
        <f>IFERROR(VLOOKUP(F1771,Trainingsarten!$A$9:$N$84,12,FALSE),"")</f>
        <v/>
      </c>
      <c r="Q1771" s="2573" t="s">
        <v>437</v>
      </c>
      <c r="R1771" s="2574" t="str">
        <f>IFERROR(VLOOKUP(F1771,Trainingsarten!$A$9:$N$84,14,FALSE),"")</f>
        <v/>
      </c>
      <c r="S1771" s="2575" t="str">
        <f t="shared" si="414"/>
        <v/>
      </c>
      <c r="T1771" s="2563">
        <f t="shared" si="415"/>
        <v>0.34293776423249422</v>
      </c>
      <c r="U1771" s="2563">
        <f t="shared" si="416"/>
        <v>11.361542466646103</v>
      </c>
      <c r="V1771" s="2563">
        <f t="shared" si="417"/>
        <v>11.238559200244277</v>
      </c>
      <c r="W1771" s="3284">
        <f t="shared" si="418"/>
        <v>3.0184085060567356E-2</v>
      </c>
      <c r="X1771" s="3300"/>
      <c r="Y1771" s="3316"/>
      <c r="AA1771" s="3301"/>
      <c r="AB1771" s="3409"/>
      <c r="AE1771" s="2548"/>
    </row>
    <row r="1772" spans="2:31" x14ac:dyDescent="0.2">
      <c r="B1772" s="2994" t="s">
        <v>761</v>
      </c>
      <c r="C1772" s="2441">
        <v>44870</v>
      </c>
      <c r="D1772" s="1111"/>
      <c r="E1772" s="1112"/>
      <c r="F1772" s="2777"/>
      <c r="G1772" s="2442"/>
      <c r="H1772" s="2443" t="str">
        <f>IFERROR(VLOOKUP(F1772,Trainingsarten!$A$9:$K$84,10,FALSE),"")</f>
        <v/>
      </c>
      <c r="I1772" s="2444" t="str">
        <f t="shared" si="412"/>
        <v/>
      </c>
      <c r="J1772" s="1320"/>
      <c r="K1772" s="2445" t="str">
        <f>IFERROR(VLOOKUP(F1772,Trainingsarten!$A$9:$K$84,11,FALSE),"0")</f>
        <v>0</v>
      </c>
      <c r="L1772" s="2819"/>
      <c r="M1772" s="1320"/>
      <c r="N1772" s="1119" t="str">
        <f t="shared" si="413"/>
        <v/>
      </c>
      <c r="O1772" s="2446"/>
      <c r="P1772" s="1121" t="str">
        <f>IFERROR(VLOOKUP(F1772,Trainingsarten!$A$9:$N$84,12,FALSE),"")</f>
        <v/>
      </c>
      <c r="Q1772" s="2447" t="s">
        <v>437</v>
      </c>
      <c r="R1772" s="2448" t="str">
        <f>IFERROR(VLOOKUP(F1772,Trainingsarten!$A$9:$N$84,14,FALSE),"")</f>
        <v/>
      </c>
      <c r="S1772" s="2449" t="str">
        <f t="shared" si="414"/>
        <v/>
      </c>
      <c r="T1772" s="1111">
        <f t="shared" si="415"/>
        <v>0.29394665505642364</v>
      </c>
      <c r="U1772" s="1111">
        <f t="shared" si="416"/>
        <v>11.091029550773577</v>
      </c>
      <c r="V1772" s="1111">
        <f t="shared" si="417"/>
        <v>11.018604702413608</v>
      </c>
      <c r="W1772" s="3286">
        <f t="shared" si="418"/>
        <v>2.650309907757134E-2</v>
      </c>
      <c r="X1772" s="3300"/>
      <c r="Y1772" s="3316"/>
      <c r="AA1772" s="3301"/>
      <c r="AB1772" s="3409"/>
      <c r="AE1772" s="2548"/>
    </row>
    <row r="1773" spans="2:31" ht="16" thickBot="1" x14ac:dyDescent="0.25">
      <c r="B1773" s="3128">
        <f t="shared" ref="B1773" si="439">AVERAGE(W1767:W1773)</f>
        <v>3.5550714452166204E-2</v>
      </c>
      <c r="C1773" s="1631">
        <v>44871</v>
      </c>
      <c r="D1773" s="1108"/>
      <c r="E1773" s="1261"/>
      <c r="F1773" s="2778"/>
      <c r="G1773" s="2433"/>
      <c r="H1773" s="2434" t="str">
        <f>IFERROR(VLOOKUP(F1773,Trainingsarten!$A$9:$K$84,10,FALSE),"")</f>
        <v/>
      </c>
      <c r="I1773" s="2435" t="str">
        <f t="shared" si="412"/>
        <v/>
      </c>
      <c r="J1773" s="1310"/>
      <c r="K1773" s="2436" t="str">
        <f>IFERROR(VLOOKUP(F1773,Trainingsarten!$A$9:$K$84,11,FALSE),"0")</f>
        <v>0</v>
      </c>
      <c r="L1773" s="2818"/>
      <c r="M1773" s="2798"/>
      <c r="N1773" s="1223" t="str">
        <f t="shared" si="413"/>
        <v/>
      </c>
      <c r="O1773" s="2437"/>
      <c r="P1773" s="1519" t="str">
        <f>IFERROR(VLOOKUP(F1773,Trainingsarten!$A$9:$N$84,12,FALSE),"")</f>
        <v/>
      </c>
      <c r="Q1773" s="2438" t="s">
        <v>437</v>
      </c>
      <c r="R1773" s="2439" t="str">
        <f>IFERROR(VLOOKUP(F1773,Trainingsarten!$A$9:$N$84,14,FALSE),"")</f>
        <v/>
      </c>
      <c r="S1773" s="2440" t="str">
        <f t="shared" si="414"/>
        <v/>
      </c>
      <c r="T1773" s="1108">
        <f t="shared" si="415"/>
        <v>0.25195427576264884</v>
      </c>
      <c r="U1773" s="1108">
        <f t="shared" si="416"/>
        <v>10.826957418612301</v>
      </c>
      <c r="V1773" s="1108">
        <f t="shared" si="417"/>
        <v>10.797082895717153</v>
      </c>
      <c r="W1773" s="3285">
        <f t="shared" si="418"/>
        <v>2.3271013824208982E-2</v>
      </c>
      <c r="X1773" s="3300"/>
      <c r="Y1773" s="3316"/>
      <c r="AA1773" s="3301"/>
      <c r="AB1773" s="3409"/>
      <c r="AE1773" s="2548"/>
    </row>
    <row r="1774" spans="2:31" ht="16" thickBot="1" x14ac:dyDescent="0.25">
      <c r="B1774" s="2986">
        <f t="shared" ref="B1774" si="440">B1767+1</f>
        <v>45</v>
      </c>
      <c r="C1774" s="2399">
        <v>44872</v>
      </c>
      <c r="D1774" s="2292"/>
      <c r="E1774" s="2293"/>
      <c r="F1774" s="2774"/>
      <c r="G1774" s="2400"/>
      <c r="H1774" s="2401" t="str">
        <f>IFERROR(VLOOKUP(F1774,Trainingsarten!$A$9:$K$84,10,FALSE),"")</f>
        <v/>
      </c>
      <c r="I1774" s="2402" t="str">
        <f t="shared" si="412"/>
        <v/>
      </c>
      <c r="J1774" s="2403"/>
      <c r="K1774" s="2404" t="str">
        <f>IFERROR(VLOOKUP(F1774,Trainingsarten!$A$9:$K$84,11,FALSE),"0")</f>
        <v>0</v>
      </c>
      <c r="L1774" s="2815"/>
      <c r="M1774" s="2591"/>
      <c r="N1774" s="2296" t="str">
        <f t="shared" si="413"/>
        <v/>
      </c>
      <c r="O1774" s="2405"/>
      <c r="P1774" s="2298" t="str">
        <f>IFERROR(VLOOKUP(F1774,Trainingsarten!$A$9:$N$84,12,FALSE),"")</f>
        <v/>
      </c>
      <c r="Q1774" s="2406" t="s">
        <v>437</v>
      </c>
      <c r="R1774" s="2407" t="str">
        <f>IFERROR(VLOOKUP(F1774,Trainingsarten!$A$9:$N$84,14,FALSE),"")</f>
        <v/>
      </c>
      <c r="S1774" s="2408" t="str">
        <f t="shared" si="414"/>
        <v/>
      </c>
      <c r="T1774" s="2292">
        <f t="shared" si="415"/>
        <v>0.21596080779655613</v>
      </c>
      <c r="U1774" s="2292">
        <f t="shared" si="416"/>
        <v>10.569172718169151</v>
      </c>
      <c r="V1774" s="2292">
        <f t="shared" si="417"/>
        <v>10.575003142849651</v>
      </c>
      <c r="W1774" s="3283">
        <f t="shared" si="418"/>
        <v>2.0433085309061544E-2</v>
      </c>
      <c r="X1774" s="3300"/>
      <c r="Y1774" s="3316"/>
      <c r="AA1774" s="3301"/>
      <c r="AB1774" s="3409"/>
      <c r="AE1774" s="2548"/>
    </row>
    <row r="1775" spans="2:31" x14ac:dyDescent="0.2">
      <c r="B1775" s="2991" t="s">
        <v>626</v>
      </c>
      <c r="C1775" s="2409">
        <v>44873</v>
      </c>
      <c r="D1775" s="2009">
        <v>135</v>
      </c>
      <c r="E1775" s="2010" t="s">
        <v>836</v>
      </c>
      <c r="F1775" s="2874" t="s">
        <v>943</v>
      </c>
      <c r="G1775" s="2410">
        <v>2.238425925925926E-2</v>
      </c>
      <c r="H1775" s="2411">
        <v>5.37</v>
      </c>
      <c r="I1775" s="2412">
        <f t="shared" si="412"/>
        <v>4.1683909235119667E-3</v>
      </c>
      <c r="J1775" s="2413">
        <v>143</v>
      </c>
      <c r="K1775" s="2414">
        <v>32</v>
      </c>
      <c r="L1775" s="2816">
        <v>205</v>
      </c>
      <c r="M1775" s="2840">
        <v>18</v>
      </c>
      <c r="N1775" s="2368">
        <f t="shared" si="413"/>
        <v>1.1019483587648353</v>
      </c>
      <c r="O1775" s="2415" t="s">
        <v>958</v>
      </c>
      <c r="P1775" s="2370">
        <f>IFERROR(VLOOKUP(F1775,Trainingsarten!$A$9:$N$84,12,FALSE),"")</f>
        <v>194.60000000000002</v>
      </c>
      <c r="Q1775" s="2432" t="s">
        <v>437</v>
      </c>
      <c r="R1775" s="2537">
        <f>IFERROR(VLOOKUP(F1775,Trainingsarten!$A$9:$N$84,14,FALSE),"")</f>
        <v>212.96</v>
      </c>
      <c r="S1775" s="2419">
        <f t="shared" si="414"/>
        <v>1.4335664335664335</v>
      </c>
      <c r="T1775" s="2009">
        <f t="shared" si="415"/>
        <v>4.7565378352541909</v>
      </c>
      <c r="U1775" s="2009">
        <f t="shared" si="416"/>
        <v>11.079430510593696</v>
      </c>
      <c r="V1775" s="2009">
        <f t="shared" si="417"/>
        <v>10.353211910372595</v>
      </c>
      <c r="W1775" s="3284">
        <f t="shared" si="418"/>
        <v>0.42931248413049616</v>
      </c>
      <c r="X1775" s="3300"/>
      <c r="Y1775" s="3316"/>
      <c r="AA1775" s="3301"/>
      <c r="AB1775" s="3409"/>
      <c r="AE1775" s="2548"/>
    </row>
    <row r="1776" spans="2:31" ht="16" thickBot="1" x14ac:dyDescent="0.25">
      <c r="B1776" s="2979">
        <f t="shared" ref="B1776" si="441">SUM(H1774:H1780)</f>
        <v>16.850000000000001</v>
      </c>
      <c r="C1776" s="2409">
        <v>44874</v>
      </c>
      <c r="D1776" s="2009"/>
      <c r="E1776" s="2010"/>
      <c r="F1776" s="2874"/>
      <c r="G1776" s="2410"/>
      <c r="H1776" s="2411" t="str">
        <f>IFERROR(VLOOKUP(F1776,Trainingsarten!$A$9:$K$84,10,FALSE),"")</f>
        <v/>
      </c>
      <c r="I1776" s="2412" t="str">
        <f t="shared" si="412"/>
        <v/>
      </c>
      <c r="J1776" s="2413"/>
      <c r="K1776" s="2414" t="str">
        <f>IFERROR(VLOOKUP(F1776,Trainingsarten!$A$9:$K$84,11,FALSE),"0")</f>
        <v>0</v>
      </c>
      <c r="L1776" s="2816"/>
      <c r="M1776" s="2840"/>
      <c r="N1776" s="2368" t="str">
        <f t="shared" si="413"/>
        <v/>
      </c>
      <c r="O1776" s="2415"/>
      <c r="P1776" s="2370" t="str">
        <f>IFERROR(VLOOKUP(F1776,Trainingsarten!$A$9:$N$84,12,FALSE),"")</f>
        <v/>
      </c>
      <c r="Q1776" s="2432" t="s">
        <v>437</v>
      </c>
      <c r="R1776" s="2537" t="str">
        <f>IFERROR(VLOOKUP(F1776,Trainingsarten!$A$9:$N$84,14,FALSE),"")</f>
        <v/>
      </c>
      <c r="S1776" s="2419" t="str">
        <f t="shared" si="414"/>
        <v/>
      </c>
      <c r="T1776" s="2009">
        <f t="shared" si="415"/>
        <v>4.0770324302178782</v>
      </c>
      <c r="U1776" s="2009">
        <f t="shared" si="416"/>
        <v>10.815634546055751</v>
      </c>
      <c r="V1776" s="2009">
        <f t="shared" si="417"/>
        <v>6.3228926753395047</v>
      </c>
      <c r="W1776" s="3284">
        <f t="shared" si="418"/>
        <v>0.37695730313897224</v>
      </c>
      <c r="X1776" s="3300"/>
      <c r="Y1776" s="3316"/>
      <c r="AA1776" s="3301"/>
      <c r="AB1776" s="3409"/>
      <c r="AE1776" s="2548"/>
    </row>
    <row r="1777" spans="2:31" x14ac:dyDescent="0.2">
      <c r="B1777" s="2992" t="s">
        <v>628</v>
      </c>
      <c r="C1777" s="2409">
        <v>44875</v>
      </c>
      <c r="D1777" s="2009">
        <v>136</v>
      </c>
      <c r="E1777" s="2010" t="s">
        <v>836</v>
      </c>
      <c r="F1777" s="2874" t="s">
        <v>943</v>
      </c>
      <c r="G1777" s="2410">
        <v>2.4826388888888887E-2</v>
      </c>
      <c r="H1777" s="2411">
        <v>5.98</v>
      </c>
      <c r="I1777" s="2412">
        <f t="shared" si="412"/>
        <v>4.1515700483091781E-3</v>
      </c>
      <c r="J1777" s="2413">
        <v>141</v>
      </c>
      <c r="K1777" s="2414">
        <v>34</v>
      </c>
      <c r="L1777" s="2816">
        <v>202</v>
      </c>
      <c r="M1777" s="2840">
        <v>10</v>
      </c>
      <c r="N1777" s="2368">
        <f t="shared" si="413"/>
        <v>1.0814406229720959</v>
      </c>
      <c r="O1777" s="2415" t="s">
        <v>958</v>
      </c>
      <c r="P1777" s="2370">
        <f>IFERROR(VLOOKUP(F1777,Trainingsarten!$A$9:$N$84,12,FALSE),"")</f>
        <v>194.60000000000002</v>
      </c>
      <c r="Q1777" s="2432" t="s">
        <v>437</v>
      </c>
      <c r="R1777" s="2537">
        <f>IFERROR(VLOOKUP(F1777,Trainingsarten!$A$9:$N$84,14,FALSE),"")</f>
        <v>212.96</v>
      </c>
      <c r="S1777" s="2419">
        <f t="shared" si="414"/>
        <v>1.4326241134751774</v>
      </c>
      <c r="T1777" s="2009">
        <f t="shared" si="415"/>
        <v>8.3517420830438951</v>
      </c>
      <c r="U1777" s="2009">
        <f t="shared" si="416"/>
        <v>11.367643247340137</v>
      </c>
      <c r="V1777" s="2009">
        <f t="shared" si="417"/>
        <v>6.7386021158378728</v>
      </c>
      <c r="W1777" s="3284">
        <f t="shared" si="418"/>
        <v>0.7346942458805682</v>
      </c>
      <c r="X1777" s="3300"/>
      <c r="Y1777" s="3316"/>
      <c r="AA1777" s="3301"/>
      <c r="AB1777" s="3409"/>
      <c r="AE1777" s="2548"/>
    </row>
    <row r="1778" spans="2:31" ht="16" thickBot="1" x14ac:dyDescent="0.25">
      <c r="B1778" s="2993">
        <f t="shared" ref="B1778" si="442">SUM(K1774:K1780)</f>
        <v>99</v>
      </c>
      <c r="C1778" s="2562">
        <v>44876</v>
      </c>
      <c r="D1778" s="2563"/>
      <c r="E1778" s="2564"/>
      <c r="F1778" s="2874"/>
      <c r="G1778" s="2565"/>
      <c r="H1778" s="2566" t="str">
        <f>IFERROR(VLOOKUP(F1778,Trainingsarten!$A$9:$K$84,10,FALSE),"")</f>
        <v/>
      </c>
      <c r="I1778" s="2567" t="str">
        <f t="shared" si="412"/>
        <v/>
      </c>
      <c r="J1778" s="2568"/>
      <c r="K1778" s="2569" t="str">
        <f>IFERROR(VLOOKUP(F1778,Trainingsarten!$A$9:$K$84,11,FALSE),"0")</f>
        <v>0</v>
      </c>
      <c r="L1778" s="2816"/>
      <c r="M1778" s="2840"/>
      <c r="N1778" s="2570" t="str">
        <f t="shared" si="413"/>
        <v/>
      </c>
      <c r="O1778" s="2571"/>
      <c r="P1778" s="2572" t="str">
        <f>IFERROR(VLOOKUP(F1778,Trainingsarten!$A$9:$N$84,12,FALSE),"")</f>
        <v/>
      </c>
      <c r="Q1778" s="2573" t="s">
        <v>437</v>
      </c>
      <c r="R1778" s="2574" t="str">
        <f>IFERROR(VLOOKUP(F1778,Trainingsarten!$A$9:$N$84,14,FALSE),"")</f>
        <v/>
      </c>
      <c r="S1778" s="2575" t="str">
        <f t="shared" si="414"/>
        <v/>
      </c>
      <c r="T1778" s="2563">
        <f t="shared" si="415"/>
        <v>7.1586360711804815</v>
      </c>
      <c r="U1778" s="2563">
        <f t="shared" si="416"/>
        <v>11.096985074784419</v>
      </c>
      <c r="V1778" s="2563">
        <f t="shared" si="417"/>
        <v>3.0159011642962419</v>
      </c>
      <c r="W1778" s="3284">
        <f t="shared" si="418"/>
        <v>0.64509738662684035</v>
      </c>
      <c r="X1778" s="3300"/>
      <c r="Y1778" s="3316"/>
      <c r="AA1778" s="3301"/>
      <c r="AB1778" s="3409"/>
      <c r="AE1778" s="2548"/>
    </row>
    <row r="1779" spans="2:31" x14ac:dyDescent="0.2">
      <c r="B1779" s="2994" t="s">
        <v>761</v>
      </c>
      <c r="C1779" s="2441">
        <v>44877</v>
      </c>
      <c r="D1779" s="1111"/>
      <c r="E1779" s="1112"/>
      <c r="F1779" s="2874"/>
      <c r="G1779" s="2442"/>
      <c r="H1779" s="2443" t="str">
        <f>IFERROR(VLOOKUP(F1779,Trainingsarten!$A$9:$K$84,10,FALSE),"")</f>
        <v/>
      </c>
      <c r="I1779" s="2444" t="str">
        <f t="shared" si="412"/>
        <v/>
      </c>
      <c r="J1779" s="1320"/>
      <c r="K1779" s="2445" t="str">
        <f>IFERROR(VLOOKUP(F1779,Trainingsarten!$A$9:$K$84,11,FALSE),"0")</f>
        <v>0</v>
      </c>
      <c r="L1779" s="2819"/>
      <c r="M1779" s="1320"/>
      <c r="N1779" s="1119" t="str">
        <f t="shared" si="413"/>
        <v/>
      </c>
      <c r="O1779" s="2446"/>
      <c r="P1779" s="1121" t="str">
        <f>IFERROR(VLOOKUP(F1779,Trainingsarten!$A$9:$N$84,12,FALSE),"")</f>
        <v/>
      </c>
      <c r="Q1779" s="2447" t="s">
        <v>437</v>
      </c>
      <c r="R1779" s="2448" t="str">
        <f>IFERROR(VLOOKUP(F1779,Trainingsarten!$A$9:$N$84,14,FALSE),"")</f>
        <v/>
      </c>
      <c r="S1779" s="2449" t="str">
        <f t="shared" si="414"/>
        <v/>
      </c>
      <c r="T1779" s="1111">
        <f t="shared" si="415"/>
        <v>6.1359737752975558</v>
      </c>
      <c r="U1779" s="1111">
        <f t="shared" si="416"/>
        <v>10.832771144432408</v>
      </c>
      <c r="V1779" s="1111">
        <f t="shared" si="417"/>
        <v>3.9383490036039372</v>
      </c>
      <c r="W1779" s="3286">
        <f t="shared" si="418"/>
        <v>0.5664269736235672</v>
      </c>
      <c r="X1779" s="3300"/>
      <c r="Y1779" s="3316"/>
      <c r="AA1779" s="3301"/>
      <c r="AB1779" s="3409"/>
      <c r="AE1779" s="2548"/>
    </row>
    <row r="1780" spans="2:31" ht="16" thickBot="1" x14ac:dyDescent="0.25">
      <c r="B1780" s="3128">
        <f t="shared" ref="B1780" si="443">AVERAGE(W1774:W1780)</f>
        <v>0.52154912151739308</v>
      </c>
      <c r="C1780" s="1631">
        <v>44878</v>
      </c>
      <c r="D1780" s="1108">
        <v>137</v>
      </c>
      <c r="E1780" s="1261" t="s">
        <v>836</v>
      </c>
      <c r="F1780" s="2875" t="s">
        <v>943</v>
      </c>
      <c r="G1780" s="2433">
        <v>2.1990740740740741E-2</v>
      </c>
      <c r="H1780" s="2434">
        <v>5.5</v>
      </c>
      <c r="I1780" s="2435">
        <f t="shared" si="412"/>
        <v>3.9983164983164983E-3</v>
      </c>
      <c r="J1780" s="1310">
        <v>145</v>
      </c>
      <c r="K1780" s="2436">
        <v>33</v>
      </c>
      <c r="L1780" s="2818">
        <v>213</v>
      </c>
      <c r="M1780" s="2798">
        <v>17</v>
      </c>
      <c r="N1780" s="1223">
        <f t="shared" si="413"/>
        <v>1.0982360922659431</v>
      </c>
      <c r="O1780" s="2437" t="s">
        <v>958</v>
      </c>
      <c r="P1780" s="1519">
        <f>IFERROR(VLOOKUP(F1780,Trainingsarten!$A$9:$N$84,12,FALSE),"")</f>
        <v>194.60000000000002</v>
      </c>
      <c r="Q1780" s="2438" t="s">
        <v>437</v>
      </c>
      <c r="R1780" s="2439">
        <f>IFERROR(VLOOKUP(F1780,Trainingsarten!$A$9:$N$84,14,FALSE),"")</f>
        <v>212.96</v>
      </c>
      <c r="S1780" s="2440">
        <f t="shared" si="414"/>
        <v>1.4689655172413794</v>
      </c>
      <c r="T1780" s="1108">
        <f t="shared" si="415"/>
        <v>9.9736918073979055</v>
      </c>
      <c r="U1780" s="1108">
        <f t="shared" si="416"/>
        <v>11.360562307660208</v>
      </c>
      <c r="V1780" s="1108">
        <f t="shared" si="417"/>
        <v>4.6967973691348526</v>
      </c>
      <c r="W1780" s="3285">
        <f t="shared" si="418"/>
        <v>0.87792237191224565</v>
      </c>
      <c r="X1780" s="3300"/>
      <c r="Y1780" s="3316"/>
      <c r="AA1780" s="3301"/>
      <c r="AB1780" s="3409"/>
      <c r="AE1780" s="2548"/>
    </row>
    <row r="1781" spans="2:31" ht="16" thickBot="1" x14ac:dyDescent="0.25">
      <c r="B1781" s="2986">
        <f t="shared" ref="B1781" si="444">B1774+1</f>
        <v>46</v>
      </c>
      <c r="C1781" s="2399">
        <v>44879</v>
      </c>
      <c r="D1781" s="2292"/>
      <c r="E1781" s="2293"/>
      <c r="F1781" s="2876"/>
      <c r="G1781" s="2400"/>
      <c r="H1781" s="2401" t="str">
        <f>IFERROR(VLOOKUP(F1781,Trainingsarten!$A$9:$K$84,10,FALSE),"")</f>
        <v/>
      </c>
      <c r="I1781" s="2402" t="str">
        <f t="shared" si="412"/>
        <v/>
      </c>
      <c r="J1781" s="2403"/>
      <c r="K1781" s="2404" t="str">
        <f>IFERROR(VLOOKUP(F1781,Trainingsarten!$A$9:$K$84,11,FALSE),"0")</f>
        <v>0</v>
      </c>
      <c r="L1781" s="2815"/>
      <c r="M1781" s="2591"/>
      <c r="N1781" s="2296" t="str">
        <f t="shared" si="413"/>
        <v/>
      </c>
      <c r="O1781" s="2405"/>
      <c r="P1781" s="2298" t="str">
        <f>IFERROR(VLOOKUP(F1781,Trainingsarten!$A$9:$N$84,12,FALSE),"")</f>
        <v/>
      </c>
      <c r="Q1781" s="2406" t="s">
        <v>437</v>
      </c>
      <c r="R1781" s="2407" t="str">
        <f>IFERROR(VLOOKUP(F1781,Trainingsarten!$A$9:$N$84,14,FALSE),"")</f>
        <v/>
      </c>
      <c r="S1781" s="2408" t="str">
        <f t="shared" si="414"/>
        <v/>
      </c>
      <c r="T1781" s="2292">
        <f t="shared" si="415"/>
        <v>8.5488786920553483</v>
      </c>
      <c r="U1781" s="2292">
        <f t="shared" si="416"/>
        <v>11.090072728906394</v>
      </c>
      <c r="V1781" s="2292">
        <f t="shared" si="417"/>
        <v>1.3868705002623027</v>
      </c>
      <c r="W1781" s="3283">
        <f t="shared" si="418"/>
        <v>0.77085866802050851</v>
      </c>
      <c r="X1781" s="3300"/>
      <c r="Y1781" s="3316"/>
      <c r="AA1781" s="3301"/>
      <c r="AB1781" s="3409"/>
      <c r="AE1781" s="2548"/>
    </row>
    <row r="1782" spans="2:31" x14ac:dyDescent="0.2">
      <c r="B1782" s="2991" t="s">
        <v>626</v>
      </c>
      <c r="C1782" s="2409">
        <v>44880</v>
      </c>
      <c r="D1782" s="2009"/>
      <c r="E1782" s="2010"/>
      <c r="F1782" s="2874"/>
      <c r="G1782" s="2410"/>
      <c r="H1782" s="2411" t="str">
        <f>IFERROR(VLOOKUP(F1782,Trainingsarten!$A$9:$K$84,10,FALSE),"")</f>
        <v/>
      </c>
      <c r="I1782" s="2412" t="str">
        <f t="shared" si="412"/>
        <v/>
      </c>
      <c r="J1782" s="2413"/>
      <c r="K1782" s="2414" t="str">
        <f>IFERROR(VLOOKUP(F1782,Trainingsarten!$A$9:$K$84,11,FALSE),"0")</f>
        <v>0</v>
      </c>
      <c r="L1782" s="2816"/>
      <c r="M1782" s="2840"/>
      <c r="N1782" s="2368" t="str">
        <f t="shared" si="413"/>
        <v/>
      </c>
      <c r="O1782" s="2415"/>
      <c r="P1782" s="2370" t="str">
        <f>IFERROR(VLOOKUP(F1782,Trainingsarten!$A$9:$N$84,12,FALSE),"")</f>
        <v/>
      </c>
      <c r="Q1782" s="2432" t="s">
        <v>437</v>
      </c>
      <c r="R1782" s="2537" t="str">
        <f>IFERROR(VLOOKUP(F1782,Trainingsarten!$A$9:$N$84,14,FALSE),"")</f>
        <v/>
      </c>
      <c r="S1782" s="2419" t="str">
        <f t="shared" si="414"/>
        <v/>
      </c>
      <c r="T1782" s="2009">
        <f t="shared" si="415"/>
        <v>7.3276103074760126</v>
      </c>
      <c r="U1782" s="2009">
        <f t="shared" si="416"/>
        <v>10.826023378218146</v>
      </c>
      <c r="V1782" s="2009">
        <f t="shared" si="417"/>
        <v>2.5411940368510457</v>
      </c>
      <c r="W1782" s="3284">
        <f t="shared" si="418"/>
        <v>0.67685151338386107</v>
      </c>
      <c r="X1782" s="3300"/>
      <c r="Y1782" s="3316"/>
      <c r="AA1782" s="3301"/>
      <c r="AB1782" s="3409"/>
      <c r="AE1782" s="2548"/>
    </row>
    <row r="1783" spans="2:31" ht="16" thickBot="1" x14ac:dyDescent="0.25">
      <c r="B1783" s="2979">
        <f t="shared" ref="B1783" si="445">SUM(H1781:H1787)</f>
        <v>19.82</v>
      </c>
      <c r="C1783" s="2409">
        <v>44881</v>
      </c>
      <c r="D1783" s="2009">
        <v>138</v>
      </c>
      <c r="E1783" s="2010" t="s">
        <v>836</v>
      </c>
      <c r="F1783" s="2874" t="s">
        <v>800</v>
      </c>
      <c r="G1783" s="2410">
        <v>2.4999999999999998E-2</v>
      </c>
      <c r="H1783" s="2411">
        <v>6.23</v>
      </c>
      <c r="I1783" s="2412">
        <f t="shared" si="412"/>
        <v>4.0128410914927765E-3</v>
      </c>
      <c r="J1783" s="2413">
        <v>145</v>
      </c>
      <c r="K1783" s="2414">
        <v>37</v>
      </c>
      <c r="L1783" s="2816">
        <v>212</v>
      </c>
      <c r="M1783" s="2840">
        <v>22</v>
      </c>
      <c r="N1783" s="2368">
        <f t="shared" si="413"/>
        <v>1.0970508612635057</v>
      </c>
      <c r="O1783" s="2415" t="s">
        <v>958</v>
      </c>
      <c r="P1783" s="2370">
        <f>IFERROR(VLOOKUP(F1783,Trainingsarten!$A$9:$N$84,12,FALSE),"")</f>
        <v>194.60000000000002</v>
      </c>
      <c r="Q1783" s="2432" t="s">
        <v>437</v>
      </c>
      <c r="R1783" s="2537">
        <f>IFERROR(VLOOKUP(F1783,Trainingsarten!$A$9:$N$84,14,FALSE),"")</f>
        <v>212.96</v>
      </c>
      <c r="S1783" s="2419">
        <f t="shared" si="414"/>
        <v>1.4620689655172414</v>
      </c>
      <c r="T1783" s="2009">
        <f t="shared" si="415"/>
        <v>11.566523120693724</v>
      </c>
      <c r="U1783" s="2009">
        <f t="shared" si="416"/>
        <v>11.449213297784381</v>
      </c>
      <c r="V1783" s="2009">
        <f t="shared" si="417"/>
        <v>3.4984130707421333</v>
      </c>
      <c r="W1783" s="3284">
        <f t="shared" si="418"/>
        <v>1.0102461033660752</v>
      </c>
      <c r="X1783" s="3300"/>
      <c r="Y1783" s="3316"/>
      <c r="AA1783" s="3301"/>
      <c r="AB1783" s="3409"/>
      <c r="AE1783" s="2548"/>
    </row>
    <row r="1784" spans="2:31" x14ac:dyDescent="0.2">
      <c r="B1784" s="2992" t="s">
        <v>628</v>
      </c>
      <c r="C1784" s="2409">
        <v>44882</v>
      </c>
      <c r="D1784" s="2009"/>
      <c r="E1784" s="2010"/>
      <c r="F1784" s="2874"/>
      <c r="G1784" s="2410"/>
      <c r="H1784" s="2411" t="str">
        <f>IFERROR(VLOOKUP(F1784,Trainingsarten!$A$9:$K$84,10,FALSE),"")</f>
        <v/>
      </c>
      <c r="I1784" s="2412" t="str">
        <f t="shared" si="412"/>
        <v/>
      </c>
      <c r="J1784" s="2413"/>
      <c r="K1784" s="2414" t="str">
        <f>IFERROR(VLOOKUP(F1784,Trainingsarten!$A$9:$K$84,11,FALSE),"0")</f>
        <v>0</v>
      </c>
      <c r="L1784" s="2816"/>
      <c r="M1784" s="2840"/>
      <c r="N1784" s="2368" t="str">
        <f t="shared" si="413"/>
        <v/>
      </c>
      <c r="O1784" s="2415"/>
      <c r="P1784" s="2370" t="str">
        <f>IFERROR(VLOOKUP(F1784,Trainingsarten!$A$9:$N$84,12,FALSE),"")</f>
        <v/>
      </c>
      <c r="Q1784" s="2432" t="s">
        <v>437</v>
      </c>
      <c r="R1784" s="2537" t="str">
        <f>IFERROR(VLOOKUP(F1784,Trainingsarten!$A$9:$N$84,14,FALSE),"")</f>
        <v/>
      </c>
      <c r="S1784" s="2419" t="str">
        <f t="shared" si="414"/>
        <v/>
      </c>
      <c r="T1784" s="2009">
        <f t="shared" si="415"/>
        <v>9.914162674880334</v>
      </c>
      <c r="U1784" s="2009">
        <f t="shared" si="416"/>
        <v>11.176612981170466</v>
      </c>
      <c r="V1784" s="2009">
        <f t="shared" si="417"/>
        <v>-0.117309822909343</v>
      </c>
      <c r="W1784" s="3284">
        <f t="shared" si="418"/>
        <v>0.8870453590531393</v>
      </c>
      <c r="X1784" s="3300"/>
      <c r="Y1784" s="3316"/>
      <c r="AA1784" s="3301"/>
      <c r="AB1784" s="3409"/>
      <c r="AE1784" s="2548"/>
    </row>
    <row r="1785" spans="2:31" ht="16" thickBot="1" x14ac:dyDescent="0.25">
      <c r="B1785" s="2993">
        <f t="shared" ref="B1785" si="446">SUM(K1781:K1787)</f>
        <v>121</v>
      </c>
      <c r="C1785" s="2562">
        <v>44883</v>
      </c>
      <c r="D1785" s="2563">
        <v>139</v>
      </c>
      <c r="E1785" s="2564" t="s">
        <v>836</v>
      </c>
      <c r="F1785" s="2874" t="s">
        <v>800</v>
      </c>
      <c r="G1785" s="2565">
        <v>2.6122685185185183E-2</v>
      </c>
      <c r="H1785" s="2566">
        <v>6.67</v>
      </c>
      <c r="I1785" s="2567">
        <f t="shared" si="412"/>
        <v>3.9164445555000277E-3</v>
      </c>
      <c r="J1785" s="2568">
        <v>143</v>
      </c>
      <c r="K1785" s="2569">
        <v>41</v>
      </c>
      <c r="L1785" s="2816">
        <v>217</v>
      </c>
      <c r="M1785" s="2840">
        <v>18</v>
      </c>
      <c r="N1785" s="2570">
        <f t="shared" si="413"/>
        <v>1.0959497863008794</v>
      </c>
      <c r="O1785" s="2571" t="s">
        <v>958</v>
      </c>
      <c r="P1785" s="2572">
        <f>IFERROR(VLOOKUP(F1785,Trainingsarten!$A$9:$N$84,12,FALSE),"")</f>
        <v>194.60000000000002</v>
      </c>
      <c r="Q1785" s="2573" t="s">
        <v>437</v>
      </c>
      <c r="R1785" s="2574">
        <f>IFERROR(VLOOKUP(F1785,Trainingsarten!$A$9:$N$84,14,FALSE),"")</f>
        <v>212.96</v>
      </c>
      <c r="S1785" s="2575">
        <f t="shared" si="414"/>
        <v>1.5174825174825175</v>
      </c>
      <c r="T1785" s="2563">
        <f t="shared" si="415"/>
        <v>14.354996578468857</v>
      </c>
      <c r="U1785" s="2563">
        <f t="shared" si="416"/>
        <v>11.886693624475932</v>
      </c>
      <c r="V1785" s="2563">
        <f t="shared" si="417"/>
        <v>1.2624503062901322</v>
      </c>
      <c r="W1785" s="3284">
        <f t="shared" si="418"/>
        <v>1.2076526098822329</v>
      </c>
      <c r="X1785" s="3300"/>
      <c r="Y1785" s="3316"/>
      <c r="AA1785" s="3301"/>
      <c r="AB1785" s="3409"/>
      <c r="AE1785" s="2548"/>
    </row>
    <row r="1786" spans="2:31" x14ac:dyDescent="0.2">
      <c r="B1786" s="2994" t="s">
        <v>761</v>
      </c>
      <c r="C1786" s="2441">
        <v>44884</v>
      </c>
      <c r="D1786" s="1111"/>
      <c r="E1786" s="1112"/>
      <c r="F1786" s="2874"/>
      <c r="G1786" s="2442"/>
      <c r="H1786" s="2443" t="str">
        <f>IFERROR(VLOOKUP(F1786,Trainingsarten!$A$9:$K$84,10,FALSE),"")</f>
        <v/>
      </c>
      <c r="I1786" s="2444" t="str">
        <f t="shared" si="412"/>
        <v/>
      </c>
      <c r="J1786" s="1320"/>
      <c r="K1786" s="2445" t="str">
        <f>IFERROR(VLOOKUP(F1786,Trainingsarten!$A$9:$K$84,11,FALSE),"0")</f>
        <v>0</v>
      </c>
      <c r="L1786" s="2819"/>
      <c r="M1786" s="1320"/>
      <c r="N1786" s="1119" t="str">
        <f t="shared" si="413"/>
        <v/>
      </c>
      <c r="O1786" s="2446"/>
      <c r="P1786" s="1121" t="str">
        <f>IFERROR(VLOOKUP(F1786,Trainingsarten!$A$9:$N$84,12,FALSE),"")</f>
        <v/>
      </c>
      <c r="Q1786" s="2447" t="s">
        <v>437</v>
      </c>
      <c r="R1786" s="2448" t="str">
        <f>IFERROR(VLOOKUP(F1786,Trainingsarten!$A$9:$N$84,14,FALSE),"")</f>
        <v/>
      </c>
      <c r="S1786" s="2449" t="str">
        <f t="shared" si="414"/>
        <v/>
      </c>
      <c r="T1786" s="1111">
        <f t="shared" si="415"/>
        <v>12.304282781544735</v>
      </c>
      <c r="U1786" s="1111">
        <f t="shared" si="416"/>
        <v>11.603677109607457</v>
      </c>
      <c r="V1786" s="1111">
        <f t="shared" si="417"/>
        <v>-2.4683029539929251</v>
      </c>
      <c r="W1786" s="3286">
        <f t="shared" si="418"/>
        <v>1.0603779013600094</v>
      </c>
      <c r="X1786" s="3300"/>
      <c r="Y1786" s="3316"/>
      <c r="AA1786" s="3301"/>
      <c r="AB1786" s="3409"/>
      <c r="AE1786" s="2548"/>
    </row>
    <row r="1787" spans="2:31" ht="16" thickBot="1" x14ac:dyDescent="0.25">
      <c r="B1787" s="3128">
        <f t="shared" ref="B1787" si="447">AVERAGE(W1781:W1787)</f>
        <v>0.99489530646989266</v>
      </c>
      <c r="C1787" s="1631">
        <v>44885</v>
      </c>
      <c r="D1787" s="1108">
        <v>140</v>
      </c>
      <c r="E1787" s="1261" t="s">
        <v>836</v>
      </c>
      <c r="F1787" s="2778" t="s">
        <v>800</v>
      </c>
      <c r="G1787" s="2433">
        <v>2.6932870370370371E-2</v>
      </c>
      <c r="H1787" s="2434">
        <v>6.92</v>
      </c>
      <c r="I1787" s="2435">
        <f t="shared" si="412"/>
        <v>3.8920332905159494E-3</v>
      </c>
      <c r="J1787" s="1310">
        <v>138</v>
      </c>
      <c r="K1787" s="2436">
        <v>43</v>
      </c>
      <c r="L1787" s="2818">
        <v>217</v>
      </c>
      <c r="M1787" s="2798">
        <v>24</v>
      </c>
      <c r="N1787" s="1223">
        <f t="shared" si="413"/>
        <v>1.0891187127944093</v>
      </c>
      <c r="O1787" s="2437" t="s">
        <v>958</v>
      </c>
      <c r="P1787" s="1519">
        <f>IFERROR(VLOOKUP(F1787,Trainingsarten!$A$9:$N$84,12,FALSE),"")</f>
        <v>194.60000000000002</v>
      </c>
      <c r="Q1787" s="2438" t="s">
        <v>437</v>
      </c>
      <c r="R1787" s="2439">
        <f>IFERROR(VLOOKUP(F1787,Trainingsarten!$A$9:$N$84,14,FALSE),"")</f>
        <v>212.96</v>
      </c>
      <c r="S1787" s="2440">
        <f t="shared" si="414"/>
        <v>1.5724637681159421</v>
      </c>
      <c r="T1787" s="1108">
        <f t="shared" si="415"/>
        <v>16.689385241324061</v>
      </c>
      <c r="U1787" s="1108">
        <f t="shared" si="416"/>
        <v>12.351208606997755</v>
      </c>
      <c r="V1787" s="1108">
        <f t="shared" si="417"/>
        <v>-0.70060567193727863</v>
      </c>
      <c r="W1787" s="3285">
        <f t="shared" si="418"/>
        <v>1.3512349902234224</v>
      </c>
      <c r="X1787" s="3300"/>
      <c r="Y1787" s="3316"/>
      <c r="AA1787" s="3301"/>
      <c r="AB1787" s="3409"/>
      <c r="AE1787" s="2548"/>
    </row>
    <row r="1788" spans="2:31" ht="16" thickBot="1" x14ac:dyDescent="0.25">
      <c r="B1788" s="2986">
        <f t="shared" ref="B1788" si="448">B1781+1</f>
        <v>47</v>
      </c>
      <c r="C1788" s="2399">
        <v>44886</v>
      </c>
      <c r="D1788" s="2292"/>
      <c r="E1788" s="2293"/>
      <c r="F1788" s="2776"/>
      <c r="G1788" s="2400"/>
      <c r="H1788" s="2401" t="str">
        <f>IFERROR(VLOOKUP(F1788,Trainingsarten!$A$9:$K$84,10,FALSE),"")</f>
        <v/>
      </c>
      <c r="I1788" s="2402" t="str">
        <f t="shared" si="412"/>
        <v/>
      </c>
      <c r="J1788" s="2403"/>
      <c r="K1788" s="2404" t="str">
        <f>IFERROR(VLOOKUP(F1788,Trainingsarten!$A$9:$K$84,11,FALSE),"0")</f>
        <v>0</v>
      </c>
      <c r="L1788" s="2815"/>
      <c r="M1788" s="2591"/>
      <c r="N1788" s="2296" t="str">
        <f t="shared" si="413"/>
        <v/>
      </c>
      <c r="O1788" s="2405"/>
      <c r="P1788" s="2298" t="str">
        <f>IFERROR(VLOOKUP(F1788,Trainingsarten!$A$9:$N$84,12,FALSE),"")</f>
        <v/>
      </c>
      <c r="Q1788" s="2406" t="s">
        <v>437</v>
      </c>
      <c r="R1788" s="2407" t="str">
        <f>IFERROR(VLOOKUP(F1788,Trainingsarten!$A$9:$N$84,14,FALSE),"")</f>
        <v/>
      </c>
      <c r="S1788" s="2408" t="str">
        <f t="shared" si="414"/>
        <v/>
      </c>
      <c r="T1788" s="2292">
        <f t="shared" si="415"/>
        <v>14.305187349706337</v>
      </c>
      <c r="U1788" s="2292">
        <f t="shared" si="416"/>
        <v>12.057132211593046</v>
      </c>
      <c r="V1788" s="2292">
        <f t="shared" si="417"/>
        <v>-4.338176634326306</v>
      </c>
      <c r="W1788" s="3283">
        <f t="shared" si="418"/>
        <v>1.1864502353181268</v>
      </c>
      <c r="X1788" s="3300"/>
      <c r="Y1788" s="3316"/>
      <c r="AA1788" s="3301"/>
      <c r="AB1788" s="3409"/>
      <c r="AE1788" s="2548"/>
    </row>
    <row r="1789" spans="2:31" x14ac:dyDescent="0.2">
      <c r="B1789" s="2991" t="s">
        <v>626</v>
      </c>
      <c r="C1789" s="2409">
        <v>44887</v>
      </c>
      <c r="D1789" s="2009">
        <v>141</v>
      </c>
      <c r="E1789" s="2010" t="s">
        <v>836</v>
      </c>
      <c r="F1789" s="2777" t="s">
        <v>800</v>
      </c>
      <c r="G1789" s="2410">
        <v>2.8020833333333332E-2</v>
      </c>
      <c r="H1789" s="2411">
        <v>7.27</v>
      </c>
      <c r="I1789" s="2412">
        <f t="shared" si="412"/>
        <v>3.8543099495644199E-3</v>
      </c>
      <c r="J1789" s="2413">
        <v>144</v>
      </c>
      <c r="K1789" s="2414">
        <v>50</v>
      </c>
      <c r="L1789" s="2816">
        <v>217</v>
      </c>
      <c r="M1789" s="2840">
        <v>14</v>
      </c>
      <c r="N1789" s="2368">
        <f t="shared" si="413"/>
        <v>1.0785624833193044</v>
      </c>
      <c r="O1789" s="2415" t="s">
        <v>953</v>
      </c>
      <c r="P1789" s="2370">
        <f>IFERROR(VLOOKUP(F1789,Trainingsarten!$A$9:$N$84,12,FALSE),"")</f>
        <v>194.60000000000002</v>
      </c>
      <c r="Q1789" s="2432" t="s">
        <v>437</v>
      </c>
      <c r="R1789" s="2537">
        <f>IFERROR(VLOOKUP(F1789,Trainingsarten!$A$9:$N$84,14,FALSE),"")</f>
        <v>212.96</v>
      </c>
      <c r="S1789" s="2419">
        <f t="shared" si="414"/>
        <v>1.5069444444444444</v>
      </c>
      <c r="T1789" s="2009">
        <f t="shared" si="415"/>
        <v>19.404446299748287</v>
      </c>
      <c r="U1789" s="2009">
        <f t="shared" si="416"/>
        <v>12.960533825602736</v>
      </c>
      <c r="V1789" s="2009">
        <f t="shared" si="417"/>
        <v>-2.2480551381132905</v>
      </c>
      <c r="W1789" s="3284">
        <f t="shared" si="418"/>
        <v>1.4971949890996001</v>
      </c>
      <c r="X1789" s="3300"/>
      <c r="Y1789" s="3316"/>
      <c r="AA1789" s="3301"/>
      <c r="AB1789" s="3409"/>
      <c r="AE1789" s="2548"/>
    </row>
    <row r="1790" spans="2:31" ht="16" thickBot="1" x14ac:dyDescent="0.25">
      <c r="B1790" s="2979">
        <f t="shared" ref="B1790" si="449">SUM(H1788:H1794)</f>
        <v>22.869999999999997</v>
      </c>
      <c r="C1790" s="2409">
        <v>44888</v>
      </c>
      <c r="D1790" s="2009"/>
      <c r="E1790" s="2010"/>
      <c r="F1790" s="2777"/>
      <c r="G1790" s="2410"/>
      <c r="H1790" s="2411" t="str">
        <f>IFERROR(VLOOKUP(F1790,Trainingsarten!$A$9:$K$84,10,FALSE),"")</f>
        <v/>
      </c>
      <c r="I1790" s="2412" t="str">
        <f t="shared" si="412"/>
        <v/>
      </c>
      <c r="J1790" s="2413"/>
      <c r="K1790" s="2414" t="str">
        <f>IFERROR(VLOOKUP(F1790,Trainingsarten!$A$9:$K$84,11,FALSE),"0")</f>
        <v>0</v>
      </c>
      <c r="L1790" s="2816"/>
      <c r="M1790" s="2840"/>
      <c r="N1790" s="2368" t="str">
        <f t="shared" si="413"/>
        <v/>
      </c>
      <c r="O1790" s="2415"/>
      <c r="P1790" s="2370" t="str">
        <f>IFERROR(VLOOKUP(F1790,Trainingsarten!$A$9:$N$84,12,FALSE),"")</f>
        <v/>
      </c>
      <c r="Q1790" s="2432" t="s">
        <v>437</v>
      </c>
      <c r="R1790" s="2537" t="str">
        <f>IFERROR(VLOOKUP(F1790,Trainingsarten!$A$9:$N$84,14,FALSE),"")</f>
        <v/>
      </c>
      <c r="S1790" s="2419" t="str">
        <f t="shared" si="414"/>
        <v/>
      </c>
      <c r="T1790" s="2009">
        <f t="shared" si="415"/>
        <v>16.632382542641388</v>
      </c>
      <c r="U1790" s="2009">
        <f t="shared" si="416"/>
        <v>12.651949686897909</v>
      </c>
      <c r="V1790" s="2009">
        <f t="shared" si="417"/>
        <v>-6.4439124741455505</v>
      </c>
      <c r="W1790" s="3284">
        <f t="shared" si="418"/>
        <v>1.3146102343313562</v>
      </c>
      <c r="X1790" s="3300"/>
      <c r="Y1790" s="3316"/>
      <c r="AA1790" s="3301"/>
      <c r="AB1790" s="3409"/>
      <c r="AE1790" s="2548"/>
    </row>
    <row r="1791" spans="2:31" x14ac:dyDescent="0.2">
      <c r="B1791" s="2992" t="s">
        <v>628</v>
      </c>
      <c r="C1791" s="2409">
        <v>44889</v>
      </c>
      <c r="D1791" s="2009">
        <v>142</v>
      </c>
      <c r="E1791" s="2010" t="s">
        <v>836</v>
      </c>
      <c r="F1791" s="2777" t="s">
        <v>800</v>
      </c>
      <c r="G1791" s="2410">
        <v>2.7534722222222221E-2</v>
      </c>
      <c r="H1791" s="2411">
        <v>7.17</v>
      </c>
      <c r="I1791" s="2412">
        <f t="shared" si="412"/>
        <v>3.8402680923601425E-3</v>
      </c>
      <c r="J1791" s="2413">
        <v>143</v>
      </c>
      <c r="K1791" s="2414">
        <v>51</v>
      </c>
      <c r="L1791" s="2816">
        <v>220</v>
      </c>
      <c r="M1791" s="2840">
        <v>13</v>
      </c>
      <c r="N1791" s="2368">
        <f t="shared" si="413"/>
        <v>1.0894897895459938</v>
      </c>
      <c r="O1791" s="2415" t="s">
        <v>958</v>
      </c>
      <c r="P1791" s="2370">
        <f>IFERROR(VLOOKUP(F1791,Trainingsarten!$A$9:$N$84,12,FALSE),"")</f>
        <v>194.60000000000002</v>
      </c>
      <c r="Q1791" s="2432" t="s">
        <v>437</v>
      </c>
      <c r="R1791" s="2537">
        <f>IFERROR(VLOOKUP(F1791,Trainingsarten!$A$9:$N$84,14,FALSE),"")</f>
        <v>212.96</v>
      </c>
      <c r="S1791" s="2419">
        <f t="shared" si="414"/>
        <v>1.5384615384615385</v>
      </c>
      <c r="T1791" s="2009">
        <f t="shared" si="415"/>
        <v>21.542042179406906</v>
      </c>
      <c r="U1791" s="2009">
        <f t="shared" si="416"/>
        <v>13.564998503876531</v>
      </c>
      <c r="V1791" s="2009">
        <f t="shared" si="417"/>
        <v>-3.9804328557434783</v>
      </c>
      <c r="W1791" s="3284">
        <f t="shared" si="418"/>
        <v>1.5880607855025373</v>
      </c>
      <c r="X1791" s="3300"/>
      <c r="Y1791" s="3316"/>
      <c r="AA1791" s="3301"/>
      <c r="AB1791" s="3409"/>
      <c r="AE1791" s="2548"/>
    </row>
    <row r="1792" spans="2:31" ht="16" thickBot="1" x14ac:dyDescent="0.25">
      <c r="B1792" s="2993">
        <f t="shared" ref="B1792" si="450">SUM(K1788:K1794)</f>
        <v>158</v>
      </c>
      <c r="C1792" s="2562">
        <v>44890</v>
      </c>
      <c r="D1792" s="2563"/>
      <c r="E1792" s="2564"/>
      <c r="F1792" s="2777"/>
      <c r="G1792" s="2565"/>
      <c r="H1792" s="2566" t="str">
        <f>IFERROR(VLOOKUP(F1792,Trainingsarten!$A$9:$K$84,10,FALSE),"")</f>
        <v/>
      </c>
      <c r="I1792" s="2567" t="str">
        <f t="shared" si="412"/>
        <v/>
      </c>
      <c r="J1792" s="2568"/>
      <c r="K1792" s="2569" t="str">
        <f>IFERROR(VLOOKUP(F1792,Trainingsarten!$A$9:$K$84,11,FALSE),"0")</f>
        <v>0</v>
      </c>
      <c r="L1792" s="2816"/>
      <c r="M1792" s="2840"/>
      <c r="N1792" s="2570" t="str">
        <f t="shared" si="413"/>
        <v/>
      </c>
      <c r="O1792" s="2571"/>
      <c r="P1792" s="2572" t="str">
        <f>IFERROR(VLOOKUP(F1792,Trainingsarten!$A$9:$N$84,12,FALSE),"")</f>
        <v/>
      </c>
      <c r="Q1792" s="2573" t="s">
        <v>437</v>
      </c>
      <c r="R1792" s="2574" t="str">
        <f>IFERROR(VLOOKUP(F1792,Trainingsarten!$A$9:$N$84,14,FALSE),"")</f>
        <v/>
      </c>
      <c r="S1792" s="2575" t="str">
        <f t="shared" si="414"/>
        <v/>
      </c>
      <c r="T1792" s="2563">
        <f t="shared" si="415"/>
        <v>18.464607582348776</v>
      </c>
      <c r="U1792" s="2563">
        <f t="shared" si="416"/>
        <v>13.242022349022328</v>
      </c>
      <c r="V1792" s="2563">
        <f t="shared" si="417"/>
        <v>-7.9770436755303749</v>
      </c>
      <c r="W1792" s="3284">
        <f t="shared" si="418"/>
        <v>1.3943948360510083</v>
      </c>
      <c r="X1792" s="3300"/>
      <c r="Y1792" s="3316"/>
      <c r="AA1792" s="3301"/>
      <c r="AB1792" s="3409"/>
      <c r="AE1792" s="2548"/>
    </row>
    <row r="1793" spans="2:31" x14ac:dyDescent="0.2">
      <c r="B1793" s="2994" t="s">
        <v>761</v>
      </c>
      <c r="C1793" s="2441">
        <v>44891</v>
      </c>
      <c r="D1793" s="1111">
        <v>143</v>
      </c>
      <c r="E1793" s="1112" t="s">
        <v>835</v>
      </c>
      <c r="F1793" s="2777" t="s">
        <v>801</v>
      </c>
      <c r="G1793" s="2442">
        <v>3.3923611111111113E-2</v>
      </c>
      <c r="H1793" s="2443">
        <v>8.43</v>
      </c>
      <c r="I1793" s="2444">
        <f t="shared" si="412"/>
        <v>4.0241531567154348E-3</v>
      </c>
      <c r="J1793" s="1320">
        <v>145</v>
      </c>
      <c r="K1793" s="2445">
        <v>57</v>
      </c>
      <c r="L1793" s="2819">
        <v>208</v>
      </c>
      <c r="M1793" s="1320">
        <v>18</v>
      </c>
      <c r="N1793" s="1119">
        <f t="shared" si="413"/>
        <v>1.0793859882084245</v>
      </c>
      <c r="O1793" s="2446" t="s">
        <v>958</v>
      </c>
      <c r="P1793" s="1121">
        <f>IFERROR(VLOOKUP(F1793,Trainingsarten!$A$9:$N$84,12,FALSE),"")</f>
        <v>194.60000000000002</v>
      </c>
      <c r="Q1793" s="2447" t="s">
        <v>437</v>
      </c>
      <c r="R1793" s="2448">
        <f>IFERROR(VLOOKUP(F1793,Trainingsarten!$A$9:$N$84,14,FALSE),"")</f>
        <v>212.96</v>
      </c>
      <c r="S1793" s="2449">
        <f t="shared" si="414"/>
        <v>1.4344827586206896</v>
      </c>
      <c r="T1793" s="1111">
        <f t="shared" si="415"/>
        <v>23.969663642013238</v>
      </c>
      <c r="U1793" s="1111">
        <f t="shared" si="416"/>
        <v>14.283878959759891</v>
      </c>
      <c r="V1793" s="1111">
        <f t="shared" si="417"/>
        <v>-5.2225852333264484</v>
      </c>
      <c r="W1793" s="3286">
        <f t="shared" si="418"/>
        <v>1.6780920441527014</v>
      </c>
      <c r="X1793" s="3300"/>
      <c r="Y1793" s="3316"/>
      <c r="AA1793" s="3301"/>
      <c r="AB1793" s="3409"/>
      <c r="AE1793" s="2548"/>
    </row>
    <row r="1794" spans="2:31" ht="16" thickBot="1" x14ac:dyDescent="0.25">
      <c r="B1794" s="3128">
        <f t="shared" ref="B1794" si="451">AVERAGE(W1788:W1794)</f>
        <v>1.4474642567671281</v>
      </c>
      <c r="C1794" s="1631">
        <v>44892</v>
      </c>
      <c r="D1794" s="1108"/>
      <c r="E1794" s="1261"/>
      <c r="F1794" s="2778"/>
      <c r="G1794" s="2433"/>
      <c r="H1794" s="2434" t="str">
        <f>IFERROR(VLOOKUP(F1794,Trainingsarten!$A$9:$K$84,10,FALSE),"")</f>
        <v/>
      </c>
      <c r="I1794" s="2435" t="str">
        <f t="shared" si="412"/>
        <v/>
      </c>
      <c r="J1794" s="1310"/>
      <c r="K1794" s="2436" t="str">
        <f>IFERROR(VLOOKUP(F1794,Trainingsarten!$A$9:$K$84,11,FALSE),"0")</f>
        <v>0</v>
      </c>
      <c r="L1794" s="2818"/>
      <c r="M1794" s="2798"/>
      <c r="N1794" s="1223" t="str">
        <f t="shared" si="413"/>
        <v/>
      </c>
      <c r="O1794" s="2437"/>
      <c r="P1794" s="1519" t="str">
        <f>IFERROR(VLOOKUP(F1794,Trainingsarten!$A$9:$N$84,12,FALSE),"")</f>
        <v/>
      </c>
      <c r="Q1794" s="2438" t="s">
        <v>437</v>
      </c>
      <c r="R1794" s="2439" t="str">
        <f>IFERROR(VLOOKUP(F1794,Trainingsarten!$A$9:$N$84,14,FALSE),"")</f>
        <v/>
      </c>
      <c r="S1794" s="2440" t="str">
        <f t="shared" si="414"/>
        <v/>
      </c>
      <c r="T1794" s="1108">
        <f t="shared" si="415"/>
        <v>20.54542597886849</v>
      </c>
      <c r="U1794" s="1108">
        <f t="shared" si="416"/>
        <v>13.943786603575131</v>
      </c>
      <c r="V1794" s="1108">
        <f t="shared" si="417"/>
        <v>-9.6857846822533471</v>
      </c>
      <c r="W1794" s="3285">
        <f t="shared" si="418"/>
        <v>1.4734466729145672</v>
      </c>
      <c r="X1794" s="3300"/>
      <c r="Y1794" s="3316"/>
      <c r="AA1794" s="3301"/>
      <c r="AB1794" s="3409"/>
      <c r="AE1794" s="2548"/>
    </row>
    <row r="1795" spans="2:31" ht="16" thickBot="1" x14ac:dyDescent="0.25">
      <c r="B1795" s="2986">
        <f t="shared" ref="B1795" si="452">B1788+1</f>
        <v>48</v>
      </c>
      <c r="C1795" s="2399">
        <v>44893</v>
      </c>
      <c r="D1795" s="2292"/>
      <c r="E1795" s="2293"/>
      <c r="F1795" s="2776"/>
      <c r="G1795" s="2400"/>
      <c r="H1795" s="2401" t="str">
        <f>IFERROR(VLOOKUP(F1795,Trainingsarten!$A$9:$K$84,10,FALSE),"")</f>
        <v/>
      </c>
      <c r="I1795" s="2402" t="str">
        <f t="shared" si="412"/>
        <v/>
      </c>
      <c r="J1795" s="2403"/>
      <c r="K1795" s="2404" t="str">
        <f>IFERROR(VLOOKUP(F1795,Trainingsarten!$A$9:$K$84,11,FALSE),"0")</f>
        <v>0</v>
      </c>
      <c r="L1795" s="2815"/>
      <c r="M1795" s="2591"/>
      <c r="N1795" s="2296" t="str">
        <f t="shared" si="413"/>
        <v/>
      </c>
      <c r="O1795" s="2405"/>
      <c r="P1795" s="2298" t="str">
        <f>IFERROR(VLOOKUP(F1795,Trainingsarten!$A$9:$N$84,12,FALSE),"")</f>
        <v/>
      </c>
      <c r="Q1795" s="2406" t="s">
        <v>437</v>
      </c>
      <c r="R1795" s="2407" t="str">
        <f>IFERROR(VLOOKUP(F1795,Trainingsarten!$A$9:$N$84,14,FALSE),"")</f>
        <v/>
      </c>
      <c r="S1795" s="2408" t="str">
        <f t="shared" si="414"/>
        <v/>
      </c>
      <c r="T1795" s="2292">
        <f t="shared" si="415"/>
        <v>17.610365124744419</v>
      </c>
      <c r="U1795" s="2292">
        <f t="shared" si="416"/>
        <v>13.611791684442389</v>
      </c>
      <c r="V1795" s="2292">
        <f t="shared" si="417"/>
        <v>-6.6016393752933595</v>
      </c>
      <c r="W1795" s="3283">
        <f t="shared" si="418"/>
        <v>1.2937580542664493</v>
      </c>
      <c r="X1795" s="3300"/>
      <c r="Y1795" s="3316"/>
      <c r="AA1795" s="3301"/>
      <c r="AB1795" s="3409"/>
      <c r="AE1795" s="2548"/>
    </row>
    <row r="1796" spans="2:31" x14ac:dyDescent="0.2">
      <c r="B1796" s="2991" t="s">
        <v>626</v>
      </c>
      <c r="C1796" s="2409">
        <v>44894</v>
      </c>
      <c r="D1796" s="2009">
        <v>144</v>
      </c>
      <c r="E1796" s="2010" t="s">
        <v>836</v>
      </c>
      <c r="F1796" s="2777" t="s">
        <v>800</v>
      </c>
      <c r="G1796" s="2410">
        <v>2.56712962962963E-2</v>
      </c>
      <c r="H1796" s="2411">
        <v>6.54</v>
      </c>
      <c r="I1796" s="2412">
        <f t="shared" si="412"/>
        <v>3.9252746630422473E-3</v>
      </c>
      <c r="J1796" s="2413">
        <v>136</v>
      </c>
      <c r="K1796" s="2414">
        <v>45</v>
      </c>
      <c r="L1796" s="2816">
        <v>214</v>
      </c>
      <c r="M1796" s="2840">
        <v>19</v>
      </c>
      <c r="N1796" s="2368">
        <f t="shared" si="413"/>
        <v>1.0832352001460588</v>
      </c>
      <c r="O1796" s="2415" t="s">
        <v>957</v>
      </c>
      <c r="P1796" s="2370">
        <f>IFERROR(VLOOKUP(F1796,Trainingsarten!$A$9:$N$84,12,FALSE),"")</f>
        <v>194.60000000000002</v>
      </c>
      <c r="Q1796" s="2432" t="s">
        <v>437</v>
      </c>
      <c r="R1796" s="2537">
        <f>IFERROR(VLOOKUP(F1796,Trainingsarten!$A$9:$N$84,14,FALSE),"")</f>
        <v>212.96</v>
      </c>
      <c r="S1796" s="2419">
        <f t="shared" si="414"/>
        <v>1.5735294117647058</v>
      </c>
      <c r="T1796" s="2009">
        <f t="shared" si="415"/>
        <v>21.523170106923789</v>
      </c>
      <c r="U1796" s="2009">
        <f t="shared" si="416"/>
        <v>14.359129977669951</v>
      </c>
      <c r="V1796" s="2009">
        <f t="shared" si="417"/>
        <v>-3.9985734403020299</v>
      </c>
      <c r="W1796" s="3284">
        <f t="shared" si="418"/>
        <v>1.4989188161396072</v>
      </c>
      <c r="X1796" s="3300"/>
      <c r="Y1796" s="3316"/>
      <c r="AA1796" s="3301"/>
      <c r="AB1796" s="3409"/>
      <c r="AE1796" s="2548"/>
    </row>
    <row r="1797" spans="2:31" ht="16" thickBot="1" x14ac:dyDescent="0.25">
      <c r="B1797" s="2979">
        <f t="shared" ref="B1797" si="453">SUM(H1795:H1801)</f>
        <v>12.780000000000001</v>
      </c>
      <c r="C1797" s="2409">
        <v>44895</v>
      </c>
      <c r="D1797" s="2009"/>
      <c r="E1797" s="2010"/>
      <c r="F1797" s="2777"/>
      <c r="G1797" s="2410"/>
      <c r="H1797" s="2411" t="str">
        <f>IFERROR(VLOOKUP(F1797,Trainingsarten!$A$9:$K$84,10,FALSE),"")</f>
        <v/>
      </c>
      <c r="I1797" s="2412" t="str">
        <f t="shared" si="412"/>
        <v/>
      </c>
      <c r="J1797" s="2413"/>
      <c r="K1797" s="2414" t="str">
        <f>IFERROR(VLOOKUP(F1797,Trainingsarten!$A$9:$K$84,11,FALSE),"0")</f>
        <v>0</v>
      </c>
      <c r="L1797" s="2816"/>
      <c r="M1797" s="2840"/>
      <c r="N1797" s="2368" t="str">
        <f t="shared" si="413"/>
        <v/>
      </c>
      <c r="O1797" s="2415"/>
      <c r="P1797" s="2370" t="str">
        <f>IFERROR(VLOOKUP(F1797,Trainingsarten!$A$9:$N$84,12,FALSE),"")</f>
        <v/>
      </c>
      <c r="Q1797" s="2432" t="s">
        <v>437</v>
      </c>
      <c r="R1797" s="2537" t="str">
        <f>IFERROR(VLOOKUP(F1797,Trainingsarten!$A$9:$N$84,14,FALSE),"")</f>
        <v/>
      </c>
      <c r="S1797" s="2419" t="str">
        <f t="shared" si="414"/>
        <v/>
      </c>
      <c r="T1797" s="2009">
        <f t="shared" si="415"/>
        <v>18.448431520220392</v>
      </c>
      <c r="U1797" s="2009">
        <f t="shared" si="416"/>
        <v>14.017245930582572</v>
      </c>
      <c r="V1797" s="2009">
        <f t="shared" si="417"/>
        <v>-7.1640401292538378</v>
      </c>
      <c r="W1797" s="3284">
        <f t="shared" si="418"/>
        <v>1.3161238385616065</v>
      </c>
      <c r="X1797" s="3300"/>
      <c r="Y1797" s="3316"/>
      <c r="AA1797" s="3301"/>
      <c r="AB1797" s="3409"/>
      <c r="AE1797" s="2548"/>
    </row>
    <row r="1798" spans="2:31" x14ac:dyDescent="0.2">
      <c r="B1798" s="2992" t="s">
        <v>628</v>
      </c>
      <c r="C1798" s="2409">
        <v>44896</v>
      </c>
      <c r="D1798" s="2009">
        <v>145</v>
      </c>
      <c r="E1798" s="2010" t="s">
        <v>836</v>
      </c>
      <c r="F1798" s="2777" t="s">
        <v>800</v>
      </c>
      <c r="G1798" s="2410">
        <v>2.4756944444444443E-2</v>
      </c>
      <c r="H1798" s="2411">
        <v>6.24</v>
      </c>
      <c r="I1798" s="2412">
        <f t="shared" si="412"/>
        <v>3.9674590455840448E-3</v>
      </c>
      <c r="J1798" s="2413">
        <v>150</v>
      </c>
      <c r="K1798" s="2414">
        <v>43</v>
      </c>
      <c r="L1798" s="2816">
        <v>214</v>
      </c>
      <c r="M1798" s="2840">
        <v>20</v>
      </c>
      <c r="N1798" s="2368">
        <f t="shared" si="413"/>
        <v>1.0948765786452352</v>
      </c>
      <c r="O1798" s="2415" t="s">
        <v>958</v>
      </c>
      <c r="P1798" s="2370">
        <f>IFERROR(VLOOKUP(F1798,Trainingsarten!$A$9:$N$84,12,FALSE),"")</f>
        <v>194.60000000000002</v>
      </c>
      <c r="Q1798" s="2432" t="s">
        <v>437</v>
      </c>
      <c r="R1798" s="2537">
        <f>IFERROR(VLOOKUP(F1798,Trainingsarten!$A$9:$N$84,14,FALSE),"")</f>
        <v>212.96</v>
      </c>
      <c r="S1798" s="2419">
        <f t="shared" si="414"/>
        <v>1.4266666666666667</v>
      </c>
      <c r="T1798" s="2009">
        <f t="shared" si="415"/>
        <v>21.955798445903195</v>
      </c>
      <c r="U1798" s="2009">
        <f t="shared" si="416"/>
        <v>14.70731150366394</v>
      </c>
      <c r="V1798" s="2009">
        <f t="shared" si="417"/>
        <v>-4.4311855896378205</v>
      </c>
      <c r="W1798" s="3284">
        <f t="shared" si="418"/>
        <v>1.4928492158769797</v>
      </c>
      <c r="X1798" s="3300"/>
      <c r="Y1798" s="3316"/>
      <c r="AA1798" s="3301"/>
      <c r="AB1798" s="3409"/>
      <c r="AE1798" s="2548"/>
    </row>
    <row r="1799" spans="2:31" ht="16" thickBot="1" x14ac:dyDescent="0.25">
      <c r="B1799" s="2993">
        <f t="shared" ref="B1799" si="454">SUM(K1795:K1801)</f>
        <v>88</v>
      </c>
      <c r="C1799" s="2562">
        <v>44897</v>
      </c>
      <c r="D1799" s="2563"/>
      <c r="E1799" s="2564"/>
      <c r="F1799" s="2777"/>
      <c r="G1799" s="2565"/>
      <c r="H1799" s="2566" t="str">
        <f>IFERROR(VLOOKUP(F1799,Trainingsarten!$A$9:$K$84,10,FALSE),"")</f>
        <v/>
      </c>
      <c r="I1799" s="2567" t="str">
        <f t="shared" si="412"/>
        <v/>
      </c>
      <c r="J1799" s="2568"/>
      <c r="K1799" s="2569" t="str">
        <f>IFERROR(VLOOKUP(F1799,Trainingsarten!$A$9:$K$84,11,FALSE),"0")</f>
        <v>0</v>
      </c>
      <c r="L1799" s="2816"/>
      <c r="M1799" s="2840"/>
      <c r="N1799" s="2570" t="str">
        <f t="shared" si="413"/>
        <v/>
      </c>
      <c r="O1799" s="2571"/>
      <c r="P1799" s="2572" t="str">
        <f>IFERROR(VLOOKUP(F1799,Trainingsarten!$A$9:$N$84,12,FALSE),"")</f>
        <v/>
      </c>
      <c r="Q1799" s="2573" t="s">
        <v>437</v>
      </c>
      <c r="R1799" s="2574" t="str">
        <f>IFERROR(VLOOKUP(F1799,Trainingsarten!$A$9:$N$84,14,FALSE),"")</f>
        <v/>
      </c>
      <c r="S1799" s="2575" t="str">
        <f t="shared" si="414"/>
        <v/>
      </c>
      <c r="T1799" s="2563">
        <f t="shared" si="415"/>
        <v>18.819255810774166</v>
      </c>
      <c r="U1799" s="2563">
        <f t="shared" si="416"/>
        <v>14.357137420243369</v>
      </c>
      <c r="V1799" s="2563">
        <f t="shared" si="417"/>
        <v>-7.2484869422392553</v>
      </c>
      <c r="W1799" s="3284">
        <f t="shared" si="418"/>
        <v>1.3107944334529578</v>
      </c>
      <c r="X1799" s="3300"/>
      <c r="Y1799" s="3316"/>
      <c r="AA1799" s="3301"/>
      <c r="AB1799" s="3409"/>
      <c r="AE1799" s="2548"/>
    </row>
    <row r="1800" spans="2:31" x14ac:dyDescent="0.2">
      <c r="B1800" s="2994" t="s">
        <v>761</v>
      </c>
      <c r="C1800" s="2441">
        <v>44898</v>
      </c>
      <c r="D1800" s="1111"/>
      <c r="E1800" s="1112"/>
      <c r="F1800" s="2777"/>
      <c r="G1800" s="2442"/>
      <c r="H1800" s="2443" t="str">
        <f>IFERROR(VLOOKUP(F1800,Trainingsarten!$A$9:$K$84,10,FALSE),"")</f>
        <v/>
      </c>
      <c r="I1800" s="2444" t="str">
        <f t="shared" ref="I1800:I1829" si="455">IFERROR(G1800/H1800,"")</f>
        <v/>
      </c>
      <c r="J1800" s="1320"/>
      <c r="K1800" s="2445" t="str">
        <f>IFERROR(VLOOKUP(F1800,Trainingsarten!$A$9:$K$84,11,FALSE),"0")</f>
        <v>0</v>
      </c>
      <c r="L1800" s="2819"/>
      <c r="M1800" s="1320"/>
      <c r="N1800" s="1119" t="str">
        <f t="shared" ref="N1800:N1829" si="456">IFERROR((L1800/67)/(1/(I1800*24)/3.6),"")</f>
        <v/>
      </c>
      <c r="O1800" s="2446"/>
      <c r="P1800" s="1121" t="str">
        <f>IFERROR(VLOOKUP(F1800,Trainingsarten!$A$9:$N$84,12,FALSE),"")</f>
        <v/>
      </c>
      <c r="Q1800" s="2447" t="s">
        <v>437</v>
      </c>
      <c r="R1800" s="2448" t="str">
        <f>IFERROR(VLOOKUP(F1800,Trainingsarten!$A$9:$N$84,14,FALSE),"")</f>
        <v/>
      </c>
      <c r="S1800" s="2449" t="str">
        <f t="shared" ref="S1800:S1829" si="457">IFERROR(L1800/J1800,"")</f>
        <v/>
      </c>
      <c r="T1800" s="1111">
        <f t="shared" ref="T1800:T1829" si="458">T1799+(K1800-T1799)/7</f>
        <v>16.130790694949287</v>
      </c>
      <c r="U1800" s="1111">
        <f t="shared" ref="U1800:U1829" si="459">U1799+(K1800-U1799)/42</f>
        <v>14.015300814999479</v>
      </c>
      <c r="V1800" s="1111">
        <f t="shared" ref="V1800:V1829" si="460">U1799-T1799</f>
        <v>-4.4621183905307973</v>
      </c>
      <c r="W1800" s="3286">
        <f t="shared" ref="W1800:W1829" si="461">T1800/U1800</f>
        <v>1.1509414537635727</v>
      </c>
      <c r="X1800" s="3300"/>
      <c r="Y1800" s="3316"/>
      <c r="AA1800" s="3301"/>
      <c r="AB1800" s="3409"/>
      <c r="AE1800" s="2548"/>
    </row>
    <row r="1801" spans="2:31" ht="16" thickBot="1" x14ac:dyDescent="0.25">
      <c r="B1801" s="3128">
        <f t="shared" ref="B1801" si="462">AVERAGE(W1795:W1801)</f>
        <v>1.2962812217073056</v>
      </c>
      <c r="C1801" s="1631">
        <v>44899</v>
      </c>
      <c r="D1801" s="1108"/>
      <c r="E1801" s="1261"/>
      <c r="F1801" s="2778"/>
      <c r="G1801" s="2433"/>
      <c r="H1801" s="2434" t="str">
        <f>IFERROR(VLOOKUP(F1801,Trainingsarten!$A$9:$K$84,10,FALSE),"")</f>
        <v/>
      </c>
      <c r="I1801" s="2435" t="str">
        <f t="shared" si="455"/>
        <v/>
      </c>
      <c r="J1801" s="1310"/>
      <c r="K1801" s="2436" t="str">
        <f>IFERROR(VLOOKUP(F1801,Trainingsarten!$A$9:$K$84,11,FALSE),"0")</f>
        <v>0</v>
      </c>
      <c r="L1801" s="2818"/>
      <c r="M1801" s="2798"/>
      <c r="N1801" s="1223" t="str">
        <f t="shared" si="456"/>
        <v/>
      </c>
      <c r="O1801" s="2437"/>
      <c r="P1801" s="1519" t="str">
        <f>IFERROR(VLOOKUP(F1801,Trainingsarten!$A$9:$N$84,12,FALSE),"")</f>
        <v/>
      </c>
      <c r="Q1801" s="2438" t="s">
        <v>437</v>
      </c>
      <c r="R1801" s="2439" t="str">
        <f>IFERROR(VLOOKUP(F1801,Trainingsarten!$A$9:$N$84,14,FALSE),"")</f>
        <v/>
      </c>
      <c r="S1801" s="2440" t="str">
        <f t="shared" si="457"/>
        <v/>
      </c>
      <c r="T1801" s="1108">
        <f t="shared" si="458"/>
        <v>13.826392024242246</v>
      </c>
      <c r="U1801" s="1108">
        <f t="shared" si="459"/>
        <v>13.68160317654711</v>
      </c>
      <c r="V1801" s="1108">
        <f t="shared" si="460"/>
        <v>-2.1154898799498074</v>
      </c>
      <c r="W1801" s="3285">
        <f t="shared" si="461"/>
        <v>1.0105827398899663</v>
      </c>
      <c r="X1801" s="3300"/>
      <c r="Y1801" s="3316"/>
      <c r="AA1801" s="3301"/>
      <c r="AB1801" s="3409"/>
      <c r="AE1801" s="2548"/>
    </row>
    <row r="1802" spans="2:31" ht="16" thickBot="1" x14ac:dyDescent="0.25">
      <c r="B1802" s="2986">
        <f t="shared" ref="B1802" si="463">B1795+1</f>
        <v>49</v>
      </c>
      <c r="C1802" s="2399">
        <v>44900</v>
      </c>
      <c r="D1802" s="2292"/>
      <c r="E1802" s="2293"/>
      <c r="F1802" s="2776"/>
      <c r="G1802" s="2400"/>
      <c r="H1802" s="2401" t="str">
        <f>IFERROR(VLOOKUP(F1802,Trainingsarten!$A$9:$K$84,10,FALSE),"")</f>
        <v/>
      </c>
      <c r="I1802" s="2402" t="str">
        <f t="shared" si="455"/>
        <v/>
      </c>
      <c r="J1802" s="2403"/>
      <c r="K1802" s="2404" t="str">
        <f>IFERROR(VLOOKUP(F1802,Trainingsarten!$A$9:$K$84,11,FALSE),"0")</f>
        <v>0</v>
      </c>
      <c r="L1802" s="2815"/>
      <c r="M1802" s="2591"/>
      <c r="N1802" s="2296" t="str">
        <f t="shared" si="456"/>
        <v/>
      </c>
      <c r="O1802" s="2405"/>
      <c r="P1802" s="2298" t="str">
        <f>IFERROR(VLOOKUP(F1802,Trainingsarten!$A$9:$N$84,12,FALSE),"")</f>
        <v/>
      </c>
      <c r="Q1802" s="2406" t="s">
        <v>437</v>
      </c>
      <c r="R1802" s="2407" t="str">
        <f>IFERROR(VLOOKUP(F1802,Trainingsarten!$A$9:$N$84,14,FALSE),"")</f>
        <v/>
      </c>
      <c r="S1802" s="2408" t="str">
        <f t="shared" si="457"/>
        <v/>
      </c>
      <c r="T1802" s="2292">
        <f t="shared" si="458"/>
        <v>11.851193163636211</v>
      </c>
      <c r="U1802" s="2292">
        <f t="shared" si="459"/>
        <v>13.355850719962655</v>
      </c>
      <c r="V1802" s="2292">
        <f t="shared" si="460"/>
        <v>-0.14478884769513556</v>
      </c>
      <c r="W1802" s="3283">
        <f t="shared" si="461"/>
        <v>0.88734094234240946</v>
      </c>
      <c r="X1802" s="3300"/>
      <c r="Y1802" s="3316"/>
      <c r="AA1802" s="3301"/>
      <c r="AB1802" s="3409"/>
      <c r="AE1802" s="2548"/>
    </row>
    <row r="1803" spans="2:31" x14ac:dyDescent="0.2">
      <c r="B1803" s="2991" t="s">
        <v>626</v>
      </c>
      <c r="C1803" s="2409">
        <v>44901</v>
      </c>
      <c r="D1803" s="2009"/>
      <c r="E1803" s="2010"/>
      <c r="F1803" s="2777"/>
      <c r="G1803" s="2410"/>
      <c r="H1803" s="2411" t="str">
        <f>IFERROR(VLOOKUP(F1803,Trainingsarten!$A$9:$K$84,10,FALSE),"")</f>
        <v/>
      </c>
      <c r="I1803" s="2412" t="str">
        <f t="shared" si="455"/>
        <v/>
      </c>
      <c r="J1803" s="2413"/>
      <c r="K1803" s="2414" t="str">
        <f>IFERROR(VLOOKUP(F1803,Trainingsarten!$A$9:$K$84,11,FALSE),"0")</f>
        <v>0</v>
      </c>
      <c r="L1803" s="2816"/>
      <c r="M1803" s="2840"/>
      <c r="N1803" s="2368" t="str">
        <f t="shared" si="456"/>
        <v/>
      </c>
      <c r="O1803" s="2415"/>
      <c r="P1803" s="2370" t="str">
        <f>IFERROR(VLOOKUP(F1803,Trainingsarten!$A$9:$N$84,12,FALSE),"")</f>
        <v/>
      </c>
      <c r="Q1803" s="2432" t="s">
        <v>437</v>
      </c>
      <c r="R1803" s="2537" t="str">
        <f>IFERROR(VLOOKUP(F1803,Trainingsarten!$A$9:$N$84,14,FALSE),"")</f>
        <v/>
      </c>
      <c r="S1803" s="2419" t="str">
        <f t="shared" si="457"/>
        <v/>
      </c>
      <c r="T1803" s="2009">
        <f t="shared" si="458"/>
        <v>10.158165568831038</v>
      </c>
      <c r="U1803" s="2009">
        <f t="shared" si="459"/>
        <v>13.037854274249259</v>
      </c>
      <c r="V1803" s="2009">
        <f t="shared" si="460"/>
        <v>1.5046575563264444</v>
      </c>
      <c r="W1803" s="3284">
        <f t="shared" si="461"/>
        <v>0.77912863230065221</v>
      </c>
      <c r="X1803" s="3300"/>
      <c r="Y1803" s="3316"/>
      <c r="AA1803" s="3301"/>
      <c r="AB1803" s="3409"/>
      <c r="AE1803" s="2548"/>
    </row>
    <row r="1804" spans="2:31" ht="16" thickBot="1" x14ac:dyDescent="0.25">
      <c r="B1804" s="2979">
        <f t="shared" ref="B1804" si="464">SUM(H1802:H1808)</f>
        <v>14.33</v>
      </c>
      <c r="C1804" s="2409">
        <v>44902</v>
      </c>
      <c r="D1804" s="2009">
        <v>146</v>
      </c>
      <c r="E1804" s="2010" t="s">
        <v>836</v>
      </c>
      <c r="F1804" s="2777" t="s">
        <v>801</v>
      </c>
      <c r="G1804" s="2410">
        <v>3.5300925925925923E-2</v>
      </c>
      <c r="H1804" s="2411">
        <v>8.74</v>
      </c>
      <c r="I1804" s="2412">
        <f t="shared" si="455"/>
        <v>4.0390075430121195E-3</v>
      </c>
      <c r="J1804" s="2413">
        <v>140</v>
      </c>
      <c r="K1804" s="2414">
        <v>59</v>
      </c>
      <c r="L1804" s="2816">
        <v>209</v>
      </c>
      <c r="M1804" s="2840">
        <v>28</v>
      </c>
      <c r="N1804" s="2368">
        <f t="shared" si="456"/>
        <v>1.0885788449059055</v>
      </c>
      <c r="O1804" s="2415" t="s">
        <v>958</v>
      </c>
      <c r="P1804" s="2370">
        <f>IFERROR(VLOOKUP(F1804,Trainingsarten!$A$9:$N$84,12,FALSE),"")</f>
        <v>194.60000000000002</v>
      </c>
      <c r="Q1804" s="2432" t="s">
        <v>437</v>
      </c>
      <c r="R1804" s="2537">
        <f>IFERROR(VLOOKUP(F1804,Trainingsarten!$A$9:$N$84,14,FALSE),"")</f>
        <v>212.96</v>
      </c>
      <c r="S1804" s="2419">
        <f t="shared" si="457"/>
        <v>1.4928571428571429</v>
      </c>
      <c r="T1804" s="2009">
        <f t="shared" si="458"/>
        <v>17.13557048756946</v>
      </c>
      <c r="U1804" s="2009">
        <f t="shared" si="459"/>
        <v>14.132191077243325</v>
      </c>
      <c r="V1804" s="2009">
        <f t="shared" si="460"/>
        <v>2.8796887054182214</v>
      </c>
      <c r="W1804" s="3284">
        <f t="shared" si="461"/>
        <v>1.2125204360675814</v>
      </c>
      <c r="X1804" s="3300"/>
      <c r="Y1804" s="3316"/>
      <c r="AA1804" s="3301"/>
      <c r="AB1804" s="3409"/>
      <c r="AE1804" s="2548"/>
    </row>
    <row r="1805" spans="2:31" x14ac:dyDescent="0.2">
      <c r="B1805" s="2992" t="s">
        <v>628</v>
      </c>
      <c r="C1805" s="2409">
        <v>44903</v>
      </c>
      <c r="D1805" s="2009"/>
      <c r="E1805" s="2010"/>
      <c r="F1805" s="2777"/>
      <c r="G1805" s="2410"/>
      <c r="H1805" s="2411" t="str">
        <f>IFERROR(VLOOKUP(F1805,Trainingsarten!$A$9:$K$84,10,FALSE),"")</f>
        <v/>
      </c>
      <c r="I1805" s="2412" t="str">
        <f t="shared" si="455"/>
        <v/>
      </c>
      <c r="J1805" s="2413"/>
      <c r="K1805" s="2414" t="str">
        <f>IFERROR(VLOOKUP(F1805,Trainingsarten!$A$9:$K$84,11,FALSE),"0")</f>
        <v>0</v>
      </c>
      <c r="L1805" s="2816"/>
      <c r="M1805" s="2840"/>
      <c r="N1805" s="2368" t="str">
        <f t="shared" si="456"/>
        <v/>
      </c>
      <c r="O1805" s="2415"/>
      <c r="P1805" s="2370" t="str">
        <f>IFERROR(VLOOKUP(F1805,Trainingsarten!$A$9:$N$84,12,FALSE),"")</f>
        <v/>
      </c>
      <c r="Q1805" s="2432" t="s">
        <v>437</v>
      </c>
      <c r="R1805" s="2537" t="str">
        <f>IFERROR(VLOOKUP(F1805,Trainingsarten!$A$9:$N$84,14,FALSE),"")</f>
        <v/>
      </c>
      <c r="S1805" s="2419" t="str">
        <f t="shared" si="457"/>
        <v/>
      </c>
      <c r="T1805" s="2009">
        <f t="shared" si="458"/>
        <v>14.687631846488109</v>
      </c>
      <c r="U1805" s="2009">
        <f t="shared" si="459"/>
        <v>13.795710337308961</v>
      </c>
      <c r="V1805" s="2009">
        <f t="shared" si="460"/>
        <v>-3.0033794103261346</v>
      </c>
      <c r="W1805" s="3284">
        <f t="shared" si="461"/>
        <v>1.0646520902056813</v>
      </c>
      <c r="X1805" s="3300"/>
      <c r="Y1805" s="3316"/>
      <c r="AA1805" s="3301"/>
      <c r="AB1805" s="3409"/>
      <c r="AE1805" s="2548"/>
    </row>
    <row r="1806" spans="2:31" ht="16" thickBot="1" x14ac:dyDescent="0.25">
      <c r="B1806" s="2993">
        <f t="shared" ref="B1806" si="465">SUM(K1802:K1808)</f>
        <v>95</v>
      </c>
      <c r="C1806" s="2562">
        <v>44904</v>
      </c>
      <c r="D1806" s="2563"/>
      <c r="E1806" s="2564"/>
      <c r="F1806" s="2777"/>
      <c r="G1806" s="2565"/>
      <c r="H1806" s="2566" t="str">
        <f>IFERROR(VLOOKUP(F1806,Trainingsarten!$A$9:$K$84,10,FALSE),"")</f>
        <v/>
      </c>
      <c r="I1806" s="2567" t="str">
        <f t="shared" si="455"/>
        <v/>
      </c>
      <c r="J1806" s="2568"/>
      <c r="K1806" s="2569" t="str">
        <f>IFERROR(VLOOKUP(F1806,Trainingsarten!$A$9:$K$84,11,FALSE),"0")</f>
        <v>0</v>
      </c>
      <c r="L1806" s="2816"/>
      <c r="M1806" s="2840"/>
      <c r="N1806" s="2570" t="str">
        <f t="shared" si="456"/>
        <v/>
      </c>
      <c r="O1806" s="2571"/>
      <c r="P1806" s="2572" t="str">
        <f>IFERROR(VLOOKUP(F1806,Trainingsarten!$A$9:$N$84,12,FALSE),"")</f>
        <v/>
      </c>
      <c r="Q1806" s="2573" t="s">
        <v>437</v>
      </c>
      <c r="R1806" s="2574" t="str">
        <f>IFERROR(VLOOKUP(F1806,Trainingsarten!$A$9:$N$84,14,FALSE),"")</f>
        <v/>
      </c>
      <c r="S1806" s="2575" t="str">
        <f t="shared" si="457"/>
        <v/>
      </c>
      <c r="T1806" s="2563">
        <f t="shared" si="458"/>
        <v>12.589398725561237</v>
      </c>
      <c r="U1806" s="2563">
        <f t="shared" si="459"/>
        <v>13.46724104356351</v>
      </c>
      <c r="V1806" s="2563">
        <f t="shared" si="460"/>
        <v>-0.89192150917914859</v>
      </c>
      <c r="W1806" s="3284">
        <f t="shared" si="461"/>
        <v>0.93481646944889085</v>
      </c>
      <c r="X1806" s="3300"/>
      <c r="Y1806" s="3316"/>
      <c r="AA1806" s="3301"/>
      <c r="AB1806" s="3409"/>
      <c r="AE1806" s="2548"/>
    </row>
    <row r="1807" spans="2:31" x14ac:dyDescent="0.2">
      <c r="B1807" s="2994" t="s">
        <v>761</v>
      </c>
      <c r="C1807" s="2441">
        <v>44905</v>
      </c>
      <c r="D1807" s="1111"/>
      <c r="E1807" s="1112"/>
      <c r="F1807" s="2777"/>
      <c r="G1807" s="2442"/>
      <c r="H1807" s="2443" t="str">
        <f>IFERROR(VLOOKUP(F1807,Trainingsarten!$A$9:$K$84,10,FALSE),"")</f>
        <v/>
      </c>
      <c r="I1807" s="2444" t="str">
        <f t="shared" si="455"/>
        <v/>
      </c>
      <c r="J1807" s="1320"/>
      <c r="K1807" s="2445" t="str">
        <f>IFERROR(VLOOKUP(F1807,Trainingsarten!$A$9:$K$84,11,FALSE),"0")</f>
        <v>0</v>
      </c>
      <c r="L1807" s="2819"/>
      <c r="M1807" s="1320"/>
      <c r="N1807" s="1119" t="str">
        <f t="shared" si="456"/>
        <v/>
      </c>
      <c r="O1807" s="2446"/>
      <c r="P1807" s="1121" t="str">
        <f>IFERROR(VLOOKUP(F1807,Trainingsarten!$A$9:$N$84,12,FALSE),"")</f>
        <v/>
      </c>
      <c r="Q1807" s="2447" t="s">
        <v>437</v>
      </c>
      <c r="R1807" s="2448" t="str">
        <f>IFERROR(VLOOKUP(F1807,Trainingsarten!$A$9:$N$84,14,FALSE),"")</f>
        <v/>
      </c>
      <c r="S1807" s="2449" t="str">
        <f t="shared" si="457"/>
        <v/>
      </c>
      <c r="T1807" s="1111">
        <f t="shared" si="458"/>
        <v>10.790913193338204</v>
      </c>
      <c r="U1807" s="1111">
        <f t="shared" si="459"/>
        <v>13.146592447288189</v>
      </c>
      <c r="V1807" s="1111">
        <f t="shared" si="460"/>
        <v>0.87784231800227275</v>
      </c>
      <c r="W1807" s="3286">
        <f t="shared" si="461"/>
        <v>0.82081446097951394</v>
      </c>
      <c r="X1807" s="3300"/>
      <c r="Y1807" s="3316"/>
      <c r="AA1807" s="3301"/>
      <c r="AB1807" s="3409"/>
    </row>
    <row r="1808" spans="2:31" ht="16" thickBot="1" x14ac:dyDescent="0.25">
      <c r="B1808" s="3128">
        <f t="shared" ref="B1808" si="466">AVERAGE(W1802:W1808)</f>
        <v>0.96435877028186023</v>
      </c>
      <c r="C1808" s="1631">
        <v>44906</v>
      </c>
      <c r="D1808" s="1108">
        <v>147</v>
      </c>
      <c r="E1808" s="1261" t="s">
        <v>836</v>
      </c>
      <c r="F1808" s="2778" t="s">
        <v>800</v>
      </c>
      <c r="G1808" s="2433">
        <v>2.2546296296296297E-2</v>
      </c>
      <c r="H1808" s="2434">
        <v>5.59</v>
      </c>
      <c r="I1808" s="2435">
        <f t="shared" si="455"/>
        <v>4.0333267077453123E-3</v>
      </c>
      <c r="J1808" s="1310">
        <v>139</v>
      </c>
      <c r="K1808" s="2445">
        <v>36</v>
      </c>
      <c r="L1808" s="2818">
        <v>207</v>
      </c>
      <c r="M1808" s="2798">
        <v>12</v>
      </c>
      <c r="N1808" s="1223">
        <f t="shared" si="456"/>
        <v>1.0766453955624382</v>
      </c>
      <c r="O1808" s="2437" t="s">
        <v>958</v>
      </c>
      <c r="P1808" s="1519">
        <f>IFERROR(VLOOKUP(F1808,Trainingsarten!$A$9:$N$84,12,FALSE),"")</f>
        <v>194.60000000000002</v>
      </c>
      <c r="Q1808" s="2438" t="s">
        <v>437</v>
      </c>
      <c r="R1808" s="2439">
        <f>IFERROR(VLOOKUP(F1808,Trainingsarten!$A$9:$N$84,14,FALSE),"")</f>
        <v>212.96</v>
      </c>
      <c r="S1808" s="2440">
        <f t="shared" si="457"/>
        <v>1.4892086330935252</v>
      </c>
      <c r="T1808" s="1108">
        <f t="shared" si="458"/>
        <v>14.392211308575604</v>
      </c>
      <c r="U1808" s="1108">
        <f t="shared" si="459"/>
        <v>13.690721198543232</v>
      </c>
      <c r="V1808" s="1108">
        <f t="shared" si="460"/>
        <v>2.3556792539499849</v>
      </c>
      <c r="W1808" s="3285">
        <f t="shared" si="461"/>
        <v>1.0512383606282929</v>
      </c>
      <c r="X1808" s="3300"/>
      <c r="Y1808" s="3316"/>
      <c r="AA1808" s="3301"/>
      <c r="AB1808" s="3409"/>
      <c r="AE1808" s="2548"/>
    </row>
    <row r="1809" spans="2:31" ht="16" thickBot="1" x14ac:dyDescent="0.25">
      <c r="B1809" s="2986">
        <f t="shared" ref="B1809" si="467">B1802+1</f>
        <v>50</v>
      </c>
      <c r="C1809" s="2399">
        <v>44907</v>
      </c>
      <c r="D1809" s="2292"/>
      <c r="E1809" s="2293"/>
      <c r="F1809" s="2761"/>
      <c r="G1809" s="2400"/>
      <c r="H1809" s="2401" t="str">
        <f>IFERROR(VLOOKUP(F1809,Trainingsarten!$A$9:$K$84,10,FALSE),"")</f>
        <v/>
      </c>
      <c r="I1809" s="2402" t="str">
        <f t="shared" si="455"/>
        <v/>
      </c>
      <c r="J1809" s="2403"/>
      <c r="K1809" s="2404" t="str">
        <f>IFERROR(VLOOKUP(F1809,Trainingsarten!$A$9:$K$84,11,FALSE),"0")</f>
        <v>0</v>
      </c>
      <c r="L1809" s="2815"/>
      <c r="M1809" s="2591"/>
      <c r="N1809" s="2296" t="str">
        <f t="shared" si="456"/>
        <v/>
      </c>
      <c r="O1809" s="2405"/>
      <c r="P1809" s="2298" t="str">
        <f>IFERROR(VLOOKUP(F1809,Trainingsarten!$A$9:$N$84,12,FALSE),"")</f>
        <v/>
      </c>
      <c r="Q1809" s="2406" t="s">
        <v>437</v>
      </c>
      <c r="R1809" s="2407" t="str">
        <f>IFERROR(VLOOKUP(F1809,Trainingsarten!$A$9:$N$84,14,FALSE),"")</f>
        <v/>
      </c>
      <c r="S1809" s="2408" t="str">
        <f t="shared" si="457"/>
        <v/>
      </c>
      <c r="T1809" s="2292">
        <f t="shared" si="458"/>
        <v>12.336181121636232</v>
      </c>
      <c r="U1809" s="2292">
        <f t="shared" si="459"/>
        <v>13.364751646196964</v>
      </c>
      <c r="V1809" s="2292">
        <f t="shared" si="460"/>
        <v>-0.70149011003237227</v>
      </c>
      <c r="W1809" s="3283">
        <f t="shared" si="461"/>
        <v>0.92303856055167177</v>
      </c>
      <c r="X1809" s="3300"/>
      <c r="Y1809" s="3316"/>
      <c r="AA1809" s="3301"/>
      <c r="AB1809" s="3409"/>
      <c r="AE1809" s="2548"/>
    </row>
    <row r="1810" spans="2:31" x14ac:dyDescent="0.2">
      <c r="B1810" s="2991" t="s">
        <v>626</v>
      </c>
      <c r="C1810" s="2409">
        <v>44908</v>
      </c>
      <c r="D1810" s="2009"/>
      <c r="E1810" s="2010"/>
      <c r="F1810" s="2759"/>
      <c r="G1810" s="2410"/>
      <c r="H1810" s="2411" t="str">
        <f>IFERROR(VLOOKUP(F1810,Trainingsarten!$A$9:$K$84,10,FALSE),"")</f>
        <v/>
      </c>
      <c r="I1810" s="2412" t="str">
        <f t="shared" si="455"/>
        <v/>
      </c>
      <c r="J1810" s="2413"/>
      <c r="K1810" s="2414" t="str">
        <f>IFERROR(VLOOKUP(F1810,Trainingsarten!$A$9:$K$84,11,FALSE),"0")</f>
        <v>0</v>
      </c>
      <c r="L1810" s="2816"/>
      <c r="M1810" s="2840"/>
      <c r="N1810" s="2368" t="str">
        <f t="shared" si="456"/>
        <v/>
      </c>
      <c r="O1810" s="2415"/>
      <c r="P1810" s="2370" t="str">
        <f>IFERROR(VLOOKUP(F1810,Trainingsarten!$A$9:$N$84,12,FALSE),"")</f>
        <v/>
      </c>
      <c r="Q1810" s="2432" t="s">
        <v>437</v>
      </c>
      <c r="R1810" s="2537" t="str">
        <f>IFERROR(VLOOKUP(F1810,Trainingsarten!$A$9:$N$84,14,FALSE),"")</f>
        <v/>
      </c>
      <c r="S1810" s="2419" t="str">
        <f t="shared" si="457"/>
        <v/>
      </c>
      <c r="T1810" s="2009">
        <f t="shared" si="458"/>
        <v>10.573869532831056</v>
      </c>
      <c r="U1810" s="2009">
        <f t="shared" si="459"/>
        <v>13.046543273668465</v>
      </c>
      <c r="V1810" s="2009">
        <f t="shared" si="460"/>
        <v>1.0285705245607328</v>
      </c>
      <c r="W1810" s="3284">
        <f t="shared" si="461"/>
        <v>0.81047288243561422</v>
      </c>
      <c r="X1810" s="3300"/>
      <c r="Y1810" s="3316"/>
      <c r="AA1810" s="3301"/>
      <c r="AB1810" s="3409"/>
      <c r="AE1810" s="2548"/>
    </row>
    <row r="1811" spans="2:31" ht="16" thickBot="1" x14ac:dyDescent="0.25">
      <c r="B1811" s="2979">
        <f t="shared" ref="B1811" si="468">SUM(H1809:H1815)</f>
        <v>0</v>
      </c>
      <c r="C1811" s="2409">
        <v>44909</v>
      </c>
      <c r="D1811" s="2009"/>
      <c r="E1811" s="2010"/>
      <c r="F1811" s="2759"/>
      <c r="G1811" s="2410"/>
      <c r="H1811" s="2411" t="str">
        <f>IFERROR(VLOOKUP(F1811,Trainingsarten!$A$9:$K$84,10,FALSE),"")</f>
        <v/>
      </c>
      <c r="I1811" s="2412" t="str">
        <f t="shared" si="455"/>
        <v/>
      </c>
      <c r="J1811" s="2413"/>
      <c r="K1811" s="2414" t="str">
        <f>IFERROR(VLOOKUP(F1811,Trainingsarten!$A$9:$K$84,11,FALSE),"0")</f>
        <v>0</v>
      </c>
      <c r="L1811" s="2816"/>
      <c r="M1811" s="2840"/>
      <c r="N1811" s="2368" t="str">
        <f t="shared" si="456"/>
        <v/>
      </c>
      <c r="O1811" s="2415"/>
      <c r="P1811" s="2370" t="str">
        <f>IFERROR(VLOOKUP(F1811,Trainingsarten!$A$9:$N$84,12,FALSE),"")</f>
        <v/>
      </c>
      <c r="Q1811" s="2432" t="s">
        <v>437</v>
      </c>
      <c r="R1811" s="2537" t="str">
        <f>IFERROR(VLOOKUP(F1811,Trainingsarten!$A$9:$N$84,14,FALSE),"")</f>
        <v/>
      </c>
      <c r="S1811" s="2419" t="str">
        <f t="shared" si="457"/>
        <v/>
      </c>
      <c r="T1811" s="2009">
        <f t="shared" si="458"/>
        <v>9.0633167424266201</v>
      </c>
      <c r="U1811" s="2009">
        <f t="shared" si="459"/>
        <v>12.735911290962074</v>
      </c>
      <c r="V1811" s="2009">
        <f t="shared" si="460"/>
        <v>2.4726737408374095</v>
      </c>
      <c r="W1811" s="3284">
        <f t="shared" si="461"/>
        <v>0.71163472604102718</v>
      </c>
      <c r="X1811" s="3300"/>
      <c r="Y1811" s="3316"/>
      <c r="AA1811" s="3301"/>
      <c r="AB1811" s="3409"/>
      <c r="AE1811" s="2548"/>
    </row>
    <row r="1812" spans="2:31" x14ac:dyDescent="0.2">
      <c r="B1812" s="2992" t="s">
        <v>628</v>
      </c>
      <c r="C1812" s="2409">
        <v>44910</v>
      </c>
      <c r="D1812" s="2009"/>
      <c r="E1812" s="2010"/>
      <c r="F1812" s="2759"/>
      <c r="G1812" s="2410"/>
      <c r="H1812" s="2411" t="str">
        <f>IFERROR(VLOOKUP(F1812,Trainingsarten!$A$9:$K$84,10,FALSE),"")</f>
        <v/>
      </c>
      <c r="I1812" s="2412" t="str">
        <f t="shared" si="455"/>
        <v/>
      </c>
      <c r="J1812" s="2413"/>
      <c r="K1812" s="2414" t="str">
        <f>IFERROR(VLOOKUP(F1812,Trainingsarten!$A$9:$K$84,11,FALSE),"0")</f>
        <v>0</v>
      </c>
      <c r="L1812" s="2816"/>
      <c r="M1812" s="2840"/>
      <c r="N1812" s="2368" t="str">
        <f t="shared" si="456"/>
        <v/>
      </c>
      <c r="O1812" s="2415"/>
      <c r="P1812" s="2370" t="str">
        <f>IFERROR(VLOOKUP(F1812,Trainingsarten!$A$9:$N$84,12,FALSE),"")</f>
        <v/>
      </c>
      <c r="Q1812" s="2432" t="s">
        <v>437</v>
      </c>
      <c r="R1812" s="2537" t="str">
        <f>IFERROR(VLOOKUP(F1812,Trainingsarten!$A$9:$N$84,14,FALSE),"")</f>
        <v/>
      </c>
      <c r="S1812" s="2419" t="str">
        <f t="shared" si="457"/>
        <v/>
      </c>
      <c r="T1812" s="2009">
        <f t="shared" si="458"/>
        <v>7.7685572077942453</v>
      </c>
      <c r="U1812" s="2009">
        <f t="shared" si="459"/>
        <v>12.43267530784393</v>
      </c>
      <c r="V1812" s="2009">
        <f t="shared" si="460"/>
        <v>3.6725945485354536</v>
      </c>
      <c r="W1812" s="3284">
        <f t="shared" si="461"/>
        <v>0.62485000335309693</v>
      </c>
      <c r="X1812" s="3300"/>
      <c r="Y1812" s="3316"/>
      <c r="AA1812" s="3301"/>
      <c r="AB1812" s="3409"/>
      <c r="AE1812" s="2548"/>
    </row>
    <row r="1813" spans="2:31" ht="16" thickBot="1" x14ac:dyDescent="0.25">
      <c r="B1813" s="2993">
        <f t="shared" ref="B1813" si="469">SUM(K1809:K1815)</f>
        <v>0</v>
      </c>
      <c r="C1813" s="2562">
        <v>44911</v>
      </c>
      <c r="D1813" s="2563"/>
      <c r="E1813" s="2564"/>
      <c r="F1813" s="2775"/>
      <c r="G1813" s="2565"/>
      <c r="H1813" s="2566" t="str">
        <f>IFERROR(VLOOKUP(F1813,Trainingsarten!$A$9:$K$84,10,FALSE),"")</f>
        <v/>
      </c>
      <c r="I1813" s="2567" t="str">
        <f t="shared" si="455"/>
        <v/>
      </c>
      <c r="J1813" s="2568"/>
      <c r="K1813" s="2569" t="str">
        <f>IFERROR(VLOOKUP(F1813,Trainingsarten!$A$9:$K$84,11,FALSE),"0")</f>
        <v>0</v>
      </c>
      <c r="L1813" s="2816"/>
      <c r="M1813" s="2840"/>
      <c r="N1813" s="2570" t="str">
        <f t="shared" si="456"/>
        <v/>
      </c>
      <c r="O1813" s="2571"/>
      <c r="P1813" s="2572" t="str">
        <f>IFERROR(VLOOKUP(F1813,Trainingsarten!$A$9:$N$84,12,FALSE),"")</f>
        <v/>
      </c>
      <c r="Q1813" s="2573" t="s">
        <v>437</v>
      </c>
      <c r="R1813" s="2574" t="str">
        <f>IFERROR(VLOOKUP(F1813,Trainingsarten!$A$9:$N$84,14,FALSE),"")</f>
        <v/>
      </c>
      <c r="S1813" s="2575" t="str">
        <f t="shared" si="457"/>
        <v/>
      </c>
      <c r="T1813" s="2563">
        <f t="shared" si="458"/>
        <v>6.6587633209664965</v>
      </c>
      <c r="U1813" s="2563">
        <f t="shared" si="459"/>
        <v>12.13665922908574</v>
      </c>
      <c r="V1813" s="2563">
        <f t="shared" si="460"/>
        <v>4.6641181000496843</v>
      </c>
      <c r="W1813" s="3284">
        <f t="shared" si="461"/>
        <v>0.54864878343198764</v>
      </c>
      <c r="X1813" s="3300"/>
      <c r="Y1813" s="3316"/>
      <c r="AA1813" s="3301"/>
      <c r="AB1813" s="3409"/>
      <c r="AE1813" s="2548"/>
    </row>
    <row r="1814" spans="2:31" x14ac:dyDescent="0.2">
      <c r="B1814" s="2994" t="s">
        <v>761</v>
      </c>
      <c r="C1814" s="2441">
        <v>44912</v>
      </c>
      <c r="D1814" s="1111"/>
      <c r="E1814" s="1112"/>
      <c r="F1814" s="2774"/>
      <c r="G1814" s="2442"/>
      <c r="H1814" s="2443" t="str">
        <f>IFERROR(VLOOKUP(F1814,Trainingsarten!$A$9:$K$84,10,FALSE),"")</f>
        <v/>
      </c>
      <c r="I1814" s="2444" t="str">
        <f t="shared" si="455"/>
        <v/>
      </c>
      <c r="J1814" s="1320"/>
      <c r="K1814" s="2445" t="str">
        <f>IFERROR(VLOOKUP(F1814,Trainingsarten!$A$9:$K$84,11,FALSE),"0")</f>
        <v>0</v>
      </c>
      <c r="L1814" s="2819"/>
      <c r="M1814" s="1320"/>
      <c r="N1814" s="1119" t="str">
        <f t="shared" si="456"/>
        <v/>
      </c>
      <c r="O1814" s="2446"/>
      <c r="P1814" s="1121" t="str">
        <f>IFERROR(VLOOKUP(F1814,Trainingsarten!$A$9:$N$84,12,FALSE),"")</f>
        <v/>
      </c>
      <c r="Q1814" s="2447" t="s">
        <v>437</v>
      </c>
      <c r="R1814" s="2448" t="str">
        <f>IFERROR(VLOOKUP(F1814,Trainingsarten!$A$9:$N$84,14,FALSE),"")</f>
        <v/>
      </c>
      <c r="S1814" s="2449" t="str">
        <f t="shared" si="457"/>
        <v/>
      </c>
      <c r="T1814" s="1111">
        <f t="shared" si="458"/>
        <v>5.7075114179712827</v>
      </c>
      <c r="U1814" s="1111">
        <f t="shared" si="459"/>
        <v>11.847691152202747</v>
      </c>
      <c r="V1814" s="1111">
        <f t="shared" si="460"/>
        <v>5.477895908119244</v>
      </c>
      <c r="W1814" s="3286">
        <f t="shared" si="461"/>
        <v>0.48174039520857448</v>
      </c>
      <c r="X1814" s="3300"/>
      <c r="Y1814" s="3316"/>
      <c r="AA1814" s="3301"/>
      <c r="AB1814" s="3409"/>
      <c r="AE1814" s="2548"/>
    </row>
    <row r="1815" spans="2:31" ht="16" thickBot="1" x14ac:dyDescent="0.25">
      <c r="B1815" s="2995">
        <f t="shared" ref="B1815" si="470">AVERAGE(W1809:W1815)</f>
        <v>0.64619670250665351</v>
      </c>
      <c r="C1815" s="1631">
        <v>44913</v>
      </c>
      <c r="D1815" s="1108"/>
      <c r="E1815" s="1261"/>
      <c r="F1815" s="2763"/>
      <c r="G1815" s="2433"/>
      <c r="H1815" s="2434" t="str">
        <f>IFERROR(VLOOKUP(F1815,Trainingsarten!$A$9:$K$84,10,FALSE),"")</f>
        <v/>
      </c>
      <c r="I1815" s="2435" t="str">
        <f t="shared" si="455"/>
        <v/>
      </c>
      <c r="J1815" s="1310"/>
      <c r="K1815" s="2436" t="str">
        <f>IFERROR(VLOOKUP(F1815,Trainingsarten!$A$9:$K$84,11,FALSE),"0")</f>
        <v>0</v>
      </c>
      <c r="L1815" s="2818"/>
      <c r="M1815" s="2798"/>
      <c r="N1815" s="1223" t="str">
        <f t="shared" si="456"/>
        <v/>
      </c>
      <c r="O1815" s="2437"/>
      <c r="P1815" s="1519" t="str">
        <f>IFERROR(VLOOKUP(F1815,Trainingsarten!$A$9:$N$84,12,FALSE),"")</f>
        <v/>
      </c>
      <c r="Q1815" s="2438" t="s">
        <v>437</v>
      </c>
      <c r="R1815" s="2439" t="str">
        <f>IFERROR(VLOOKUP(F1815,Trainingsarten!$A$9:$N$84,14,FALSE),"")</f>
        <v/>
      </c>
      <c r="S1815" s="2440" t="str">
        <f t="shared" si="457"/>
        <v/>
      </c>
      <c r="T1815" s="1108">
        <f t="shared" si="458"/>
        <v>4.8921526439753853</v>
      </c>
      <c r="U1815" s="1108">
        <f t="shared" si="459"/>
        <v>11.565603267626491</v>
      </c>
      <c r="V1815" s="1108">
        <f t="shared" si="460"/>
        <v>6.1401797342314648</v>
      </c>
      <c r="W1815" s="3285">
        <f t="shared" si="461"/>
        <v>0.42299156652460201</v>
      </c>
      <c r="X1815" s="3300"/>
      <c r="Y1815" s="3316"/>
      <c r="AA1815" s="3301"/>
      <c r="AB1815" s="3409"/>
      <c r="AE1815" s="2548"/>
    </row>
    <row r="1816" spans="2:31" ht="16" thickBot="1" x14ac:dyDescent="0.25">
      <c r="B1816" s="2986">
        <f t="shared" ref="B1816" si="471">B1809+1</f>
        <v>51</v>
      </c>
      <c r="C1816" s="2399">
        <v>44914</v>
      </c>
      <c r="D1816" s="2292">
        <v>148</v>
      </c>
      <c r="E1816" s="2293" t="s">
        <v>836</v>
      </c>
      <c r="F1816" s="2761" t="s">
        <v>800</v>
      </c>
      <c r="G1816" s="2400">
        <v>2.7534722222222221E-2</v>
      </c>
      <c r="H1816" s="2401">
        <v>6.71</v>
      </c>
      <c r="I1816" s="2402">
        <f t="shared" si="455"/>
        <v>4.1035353535353531E-3</v>
      </c>
      <c r="J1816" s="2403">
        <v>138</v>
      </c>
      <c r="K1816" s="2404">
        <v>44</v>
      </c>
      <c r="L1816" s="2815">
        <v>206</v>
      </c>
      <c r="M1816" s="2591">
        <v>15</v>
      </c>
      <c r="N1816" s="2296">
        <f t="shared" si="456"/>
        <v>1.0900949796472184</v>
      </c>
      <c r="O1816" s="2405" t="s">
        <v>953</v>
      </c>
      <c r="P1816" s="2298">
        <f>IFERROR(VLOOKUP(F1816,Trainingsarten!$A$9:$N$84,12,FALSE),"")</f>
        <v>194.60000000000002</v>
      </c>
      <c r="Q1816" s="2406" t="s">
        <v>437</v>
      </c>
      <c r="R1816" s="2407">
        <f>IFERROR(VLOOKUP(F1816,Trainingsarten!$A$9:$N$84,14,FALSE),"")</f>
        <v>212.96</v>
      </c>
      <c r="S1816" s="2408">
        <f t="shared" si="457"/>
        <v>1.4927536231884058</v>
      </c>
      <c r="T1816" s="2292">
        <f t="shared" si="458"/>
        <v>10.478987980550329</v>
      </c>
      <c r="U1816" s="2292">
        <f t="shared" si="459"/>
        <v>12.33785080887348</v>
      </c>
      <c r="V1816" s="2292">
        <f t="shared" si="460"/>
        <v>6.6734506236511058</v>
      </c>
      <c r="W1816" s="3283">
        <f t="shared" si="461"/>
        <v>0.84933657756776881</v>
      </c>
      <c r="X1816" s="3300"/>
      <c r="Y1816" s="3316"/>
      <c r="AA1816" s="3301"/>
      <c r="AB1816" s="3409"/>
      <c r="AE1816" s="2548"/>
    </row>
    <row r="1817" spans="2:31" x14ac:dyDescent="0.2">
      <c r="B1817" s="2991" t="s">
        <v>626</v>
      </c>
      <c r="C1817" s="2409">
        <v>44915</v>
      </c>
      <c r="D1817" s="2009"/>
      <c r="E1817" s="2010"/>
      <c r="F1817" s="2759"/>
      <c r="G1817" s="2410"/>
      <c r="H1817" s="2411" t="str">
        <f>IFERROR(VLOOKUP(F1817,Trainingsarten!$A$9:$K$84,10,FALSE),"")</f>
        <v/>
      </c>
      <c r="I1817" s="2412" t="str">
        <f t="shared" si="455"/>
        <v/>
      </c>
      <c r="J1817" s="2413"/>
      <c r="K1817" s="2414" t="str">
        <f>IFERROR(VLOOKUP(F1817,Trainingsarten!$A$9:$K$84,11,FALSE),"0")</f>
        <v>0</v>
      </c>
      <c r="L1817" s="2816"/>
      <c r="M1817" s="2840"/>
      <c r="N1817" s="2368" t="str">
        <f t="shared" si="456"/>
        <v/>
      </c>
      <c r="O1817" s="2415"/>
      <c r="P1817" s="2370" t="str">
        <f>IFERROR(VLOOKUP(F1817,Trainingsarten!$A$9:$N$84,12,FALSE),"")</f>
        <v/>
      </c>
      <c r="Q1817" s="2432" t="s">
        <v>437</v>
      </c>
      <c r="R1817" s="2537" t="str">
        <f>IFERROR(VLOOKUP(F1817,Trainingsarten!$A$9:$N$84,14,FALSE),"")</f>
        <v/>
      </c>
      <c r="S1817" s="2419" t="str">
        <f t="shared" si="457"/>
        <v/>
      </c>
      <c r="T1817" s="2009">
        <f t="shared" si="458"/>
        <v>8.9819896976145674</v>
      </c>
      <c r="U1817" s="2009">
        <f t="shared" si="459"/>
        <v>12.044092456281254</v>
      </c>
      <c r="V1817" s="2009">
        <f t="shared" si="460"/>
        <v>1.8588628283231508</v>
      </c>
      <c r="W1817" s="3284">
        <f t="shared" si="461"/>
        <v>0.74575894615706528</v>
      </c>
      <c r="X1817" s="3300"/>
      <c r="Y1817" s="3316"/>
      <c r="AA1817" s="3301"/>
      <c r="AB1817" s="3409"/>
      <c r="AE1817" s="2548"/>
    </row>
    <row r="1818" spans="2:31" ht="16" thickBot="1" x14ac:dyDescent="0.25">
      <c r="B1818" s="2979">
        <f t="shared" ref="B1818" si="472">SUM(H1816:H1822)</f>
        <v>25.86</v>
      </c>
      <c r="C1818" s="2409">
        <v>44916</v>
      </c>
      <c r="D1818" s="2009">
        <v>149</v>
      </c>
      <c r="E1818" s="2010" t="s">
        <v>836</v>
      </c>
      <c r="F1818" s="2759" t="s">
        <v>943</v>
      </c>
      <c r="G1818" s="2410">
        <v>3.3043981481481487E-2</v>
      </c>
      <c r="H1818" s="2411">
        <v>8.85</v>
      </c>
      <c r="I1818" s="2412">
        <f t="shared" si="455"/>
        <v>3.733783218246496E-3</v>
      </c>
      <c r="J1818" s="2413">
        <v>143</v>
      </c>
      <c r="K1818" s="2414">
        <v>66</v>
      </c>
      <c r="L1818" s="2816">
        <v>226</v>
      </c>
      <c r="M1818" s="2840">
        <v>29</v>
      </c>
      <c r="N1818" s="2368">
        <f t="shared" si="456"/>
        <v>1.0881693228771399</v>
      </c>
      <c r="O1818" s="2415" t="s">
        <v>953</v>
      </c>
      <c r="P1818" s="2370">
        <f>IFERROR(VLOOKUP(F1818,Trainingsarten!$A$9:$N$84,12,FALSE),"")</f>
        <v>194.60000000000002</v>
      </c>
      <c r="Q1818" s="2432" t="s">
        <v>437</v>
      </c>
      <c r="R1818" s="2537">
        <f>IFERROR(VLOOKUP(F1818,Trainingsarten!$A$9:$N$84,14,FALSE),"")</f>
        <v>212.96</v>
      </c>
      <c r="S1818" s="2419">
        <f t="shared" si="457"/>
        <v>1.5804195804195804</v>
      </c>
      <c r="T1818" s="2009">
        <f t="shared" si="458"/>
        <v>17.127419740812485</v>
      </c>
      <c r="U1818" s="2009">
        <f t="shared" si="459"/>
        <v>13.328756921607891</v>
      </c>
      <c r="V1818" s="2009">
        <f t="shared" si="460"/>
        <v>3.0621027586666862</v>
      </c>
      <c r="W1818" s="3284">
        <f t="shared" si="461"/>
        <v>1.2849975313936739</v>
      </c>
      <c r="X1818" s="3300"/>
      <c r="Y1818" s="3316"/>
      <c r="AA1818" s="3301"/>
      <c r="AB1818" s="3409"/>
      <c r="AE1818" s="2548"/>
    </row>
    <row r="1819" spans="2:31" x14ac:dyDescent="0.2">
      <c r="B1819" s="2992" t="s">
        <v>628</v>
      </c>
      <c r="C1819" s="2409">
        <v>44917</v>
      </c>
      <c r="D1819" s="2009"/>
      <c r="E1819" s="2010"/>
      <c r="F1819" s="2759"/>
      <c r="G1819" s="2410"/>
      <c r="H1819" s="2411" t="str">
        <f>IFERROR(VLOOKUP(F1819,Trainingsarten!$A$9:$K$84,10,FALSE),"")</f>
        <v/>
      </c>
      <c r="I1819" s="2412" t="str">
        <f t="shared" si="455"/>
        <v/>
      </c>
      <c r="J1819" s="2413"/>
      <c r="K1819" s="2414" t="str">
        <f>IFERROR(VLOOKUP(F1819,Trainingsarten!$A$9:$K$84,11,FALSE),"0")</f>
        <v>0</v>
      </c>
      <c r="L1819" s="2816"/>
      <c r="M1819" s="2840"/>
      <c r="N1819" s="2368" t="str">
        <f t="shared" si="456"/>
        <v/>
      </c>
      <c r="O1819" s="2415"/>
      <c r="P1819" s="2370" t="str">
        <f>IFERROR(VLOOKUP(F1819,Trainingsarten!$A$9:$N$84,12,FALSE),"")</f>
        <v/>
      </c>
      <c r="Q1819" s="2432" t="s">
        <v>437</v>
      </c>
      <c r="R1819" s="2537" t="str">
        <f>IFERROR(VLOOKUP(F1819,Trainingsarten!$A$9:$N$84,14,FALSE),"")</f>
        <v/>
      </c>
      <c r="S1819" s="2419" t="str">
        <f t="shared" si="457"/>
        <v/>
      </c>
      <c r="T1819" s="2009">
        <f t="shared" si="458"/>
        <v>14.680645492124988</v>
      </c>
      <c r="U1819" s="2009">
        <f t="shared" si="459"/>
        <v>13.011405566331513</v>
      </c>
      <c r="V1819" s="2009">
        <f t="shared" si="460"/>
        <v>-3.7986628192045941</v>
      </c>
      <c r="W1819" s="3284">
        <f t="shared" si="461"/>
        <v>1.1282905153700553</v>
      </c>
      <c r="X1819" s="3300"/>
      <c r="Y1819" s="3316"/>
      <c r="AA1819" s="3301"/>
      <c r="AB1819" s="3409"/>
      <c r="AE1819" s="2548"/>
    </row>
    <row r="1820" spans="2:31" ht="16" thickBot="1" x14ac:dyDescent="0.25">
      <c r="B1820" s="2993">
        <f t="shared" ref="B1820" si="473">SUM(K1816:K1822)</f>
        <v>176</v>
      </c>
      <c r="C1820" s="2562">
        <v>44918</v>
      </c>
      <c r="D1820" s="2563"/>
      <c r="E1820" s="2564"/>
      <c r="F1820" s="2775"/>
      <c r="G1820" s="2565"/>
      <c r="H1820" s="2566" t="str">
        <f>IFERROR(VLOOKUP(F1820,Trainingsarten!$A$9:$K$84,10,FALSE),"")</f>
        <v/>
      </c>
      <c r="I1820" s="2567" t="str">
        <f t="shared" si="455"/>
        <v/>
      </c>
      <c r="J1820" s="2568"/>
      <c r="K1820" s="2569" t="str">
        <f>IFERROR(VLOOKUP(F1820,Trainingsarten!$A$9:$K$84,11,FALSE),"0")</f>
        <v>0</v>
      </c>
      <c r="L1820" s="2816"/>
      <c r="M1820" s="2840"/>
      <c r="N1820" s="2570" t="str">
        <f t="shared" si="456"/>
        <v/>
      </c>
      <c r="O1820" s="2571"/>
      <c r="P1820" s="2572" t="str">
        <f>IFERROR(VLOOKUP(F1820,Trainingsarten!$A$9:$N$84,12,FALSE),"")</f>
        <v/>
      </c>
      <c r="Q1820" s="2573" t="s">
        <v>437</v>
      </c>
      <c r="R1820" s="2574" t="str">
        <f>IFERROR(VLOOKUP(F1820,Trainingsarten!$A$9:$N$84,14,FALSE),"")</f>
        <v/>
      </c>
      <c r="S1820" s="2575" t="str">
        <f t="shared" si="457"/>
        <v/>
      </c>
      <c r="T1820" s="2563">
        <f t="shared" si="458"/>
        <v>12.583410421821419</v>
      </c>
      <c r="U1820" s="2563">
        <f t="shared" si="459"/>
        <v>12.701610195704573</v>
      </c>
      <c r="V1820" s="2563">
        <f t="shared" si="460"/>
        <v>-1.6692399257934749</v>
      </c>
      <c r="W1820" s="3284">
        <f t="shared" si="461"/>
        <v>0.99069411105663385</v>
      </c>
      <c r="X1820" s="3300"/>
      <c r="Y1820" s="3316"/>
      <c r="AA1820" s="3301"/>
      <c r="AB1820" s="3409"/>
      <c r="AE1820" s="2548"/>
    </row>
    <row r="1821" spans="2:31" x14ac:dyDescent="0.2">
      <c r="B1821" s="2994" t="s">
        <v>761</v>
      </c>
      <c r="C1821" s="2441">
        <v>44919</v>
      </c>
      <c r="D1821" s="1111">
        <v>150</v>
      </c>
      <c r="E1821" s="1112" t="s">
        <v>835</v>
      </c>
      <c r="F1821" s="2774" t="s">
        <v>819</v>
      </c>
      <c r="G1821" s="2442">
        <v>4.2048611111111113E-2</v>
      </c>
      <c r="H1821" s="2443">
        <v>10.3</v>
      </c>
      <c r="I1821" s="2444">
        <f t="shared" si="455"/>
        <v>4.0823894282632145E-3</v>
      </c>
      <c r="J1821" s="1320">
        <v>137</v>
      </c>
      <c r="K1821" s="2445">
        <v>66</v>
      </c>
      <c r="L1821" s="2819">
        <v>203</v>
      </c>
      <c r="M1821" s="1320">
        <v>38</v>
      </c>
      <c r="N1821" s="1119">
        <f t="shared" si="456"/>
        <v>1.0686842486596144</v>
      </c>
      <c r="O1821" s="2446" t="s">
        <v>958</v>
      </c>
      <c r="P1821" s="1121">
        <f>IFERROR(VLOOKUP(F1821,Trainingsarten!$A$9:$N$84,12,FALSE),"")</f>
        <v>194.60000000000002</v>
      </c>
      <c r="Q1821" s="2447" t="s">
        <v>437</v>
      </c>
      <c r="R1821" s="2448">
        <f>IFERROR(VLOOKUP(F1821,Trainingsarten!$A$9:$N$84,14,FALSE),"")</f>
        <v>212.96</v>
      </c>
      <c r="S1821" s="2449">
        <f t="shared" si="457"/>
        <v>1.4817518248175183</v>
      </c>
      <c r="T1821" s="1111">
        <f t="shared" si="458"/>
        <v>20.214351790132646</v>
      </c>
      <c r="U1821" s="1111">
        <f t="shared" si="459"/>
        <v>13.970619476759225</v>
      </c>
      <c r="V1821" s="1111">
        <f t="shared" si="460"/>
        <v>0.11819977388315372</v>
      </c>
      <c r="W1821" s="3286">
        <f t="shared" si="461"/>
        <v>1.446918787227736</v>
      </c>
      <c r="X1821" s="3300"/>
      <c r="Y1821" s="3316"/>
      <c r="AA1821" s="3301"/>
      <c r="AB1821" s="3409"/>
      <c r="AE1821" s="2548"/>
    </row>
    <row r="1822" spans="2:31" ht="16" thickBot="1" x14ac:dyDescent="0.25">
      <c r="B1822" s="2995">
        <f t="shared" ref="B1822" si="474">AVERAGE(W1816:W1822)</f>
        <v>1.1023516779090199</v>
      </c>
      <c r="C1822" s="1631">
        <v>44920</v>
      </c>
      <c r="D1822" s="1108"/>
      <c r="E1822" s="1261"/>
      <c r="F1822" s="2763"/>
      <c r="G1822" s="2433"/>
      <c r="H1822" s="2434" t="str">
        <f>IFERROR(VLOOKUP(F1822,Trainingsarten!$A$9:$K$84,10,FALSE),"")</f>
        <v/>
      </c>
      <c r="I1822" s="2435" t="str">
        <f t="shared" si="455"/>
        <v/>
      </c>
      <c r="J1822" s="1310"/>
      <c r="K1822" s="2436" t="str">
        <f>IFERROR(VLOOKUP(F1822,Trainingsarten!$A$9:$K$84,11,FALSE),"0")</f>
        <v>0</v>
      </c>
      <c r="L1822" s="2818"/>
      <c r="M1822" s="2798"/>
      <c r="N1822" s="1223" t="str">
        <f t="shared" si="456"/>
        <v/>
      </c>
      <c r="O1822" s="2437"/>
      <c r="P1822" s="1519" t="str">
        <f>IFERROR(VLOOKUP(F1822,Trainingsarten!$A$9:$N$84,12,FALSE),"")</f>
        <v/>
      </c>
      <c r="Q1822" s="2438" t="s">
        <v>437</v>
      </c>
      <c r="R1822" s="2439" t="str">
        <f>IFERROR(VLOOKUP(F1822,Trainingsarten!$A$9:$N$84,14,FALSE),"")</f>
        <v/>
      </c>
      <c r="S1822" s="2440" t="str">
        <f t="shared" si="457"/>
        <v/>
      </c>
      <c r="T1822" s="1108">
        <f t="shared" si="458"/>
        <v>17.326587248685126</v>
      </c>
      <c r="U1822" s="1108">
        <f t="shared" si="459"/>
        <v>13.637985679693529</v>
      </c>
      <c r="V1822" s="1108">
        <f t="shared" si="460"/>
        <v>-6.2437323133734211</v>
      </c>
      <c r="W1822" s="3285">
        <f t="shared" si="461"/>
        <v>1.2704652765902074</v>
      </c>
      <c r="X1822" s="3300"/>
      <c r="Y1822" s="3316"/>
      <c r="AA1822" s="3301"/>
      <c r="AB1822" s="3409"/>
      <c r="AE1822" s="2548"/>
    </row>
    <row r="1823" spans="2:31" ht="16" thickBot="1" x14ac:dyDescent="0.25">
      <c r="B1823" s="2985">
        <v>52</v>
      </c>
      <c r="C1823" s="2585">
        <v>44921</v>
      </c>
      <c r="D1823" s="2586"/>
      <c r="E1823" s="2587"/>
      <c r="F1823" s="2761"/>
      <c r="G1823" s="2588"/>
      <c r="H1823" s="2589" t="str">
        <f>IFERROR(VLOOKUP(F1823,Trainingsarten!$A$9:$K$84,10,FALSE),"")</f>
        <v/>
      </c>
      <c r="I1823" s="2590" t="str">
        <f t="shared" si="455"/>
        <v/>
      </c>
      <c r="J1823" s="2591"/>
      <c r="K1823" s="2592" t="str">
        <f>IFERROR(VLOOKUP(F1823,Trainingsarten!$A$9:$K$84,11,FALSE),"0")</f>
        <v>0</v>
      </c>
      <c r="L1823" s="2815"/>
      <c r="M1823" s="2591"/>
      <c r="N1823" s="2593" t="str">
        <f t="shared" si="456"/>
        <v/>
      </c>
      <c r="O1823" s="2594"/>
      <c r="P1823" s="1919" t="str">
        <f>IFERROR(VLOOKUP(F1823,Trainingsarten!$A$9:$N$84,12,FALSE),"")</f>
        <v/>
      </c>
      <c r="Q1823" s="1069" t="s">
        <v>437</v>
      </c>
      <c r="R1823" s="2462" t="str">
        <f>IFERROR(VLOOKUP(F1823,Trainingsarten!$A$9:$N$84,14,FALSE),"")</f>
        <v/>
      </c>
      <c r="S1823" s="2595" t="str">
        <f t="shared" si="457"/>
        <v/>
      </c>
      <c r="T1823" s="2586">
        <f t="shared" si="458"/>
        <v>14.851360498872964</v>
      </c>
      <c r="U1823" s="2586">
        <f t="shared" si="459"/>
        <v>13.313271734938921</v>
      </c>
      <c r="V1823" s="2586">
        <f t="shared" si="460"/>
        <v>-3.6886015689915972</v>
      </c>
      <c r="W1823" s="3283">
        <f t="shared" si="461"/>
        <v>1.1155304867621332</v>
      </c>
      <c r="X1823" s="3300"/>
      <c r="Y1823" s="3316"/>
      <c r="AA1823" s="3301"/>
      <c r="AB1823" s="3409"/>
      <c r="AE1823" s="2548"/>
    </row>
    <row r="1824" spans="2:31" x14ac:dyDescent="0.2">
      <c r="B1824" s="2991" t="s">
        <v>626</v>
      </c>
      <c r="C1824" s="2596">
        <v>44922</v>
      </c>
      <c r="D1824" s="2597">
        <v>151</v>
      </c>
      <c r="E1824" s="2598" t="s">
        <v>835</v>
      </c>
      <c r="F1824" s="2759" t="s">
        <v>819</v>
      </c>
      <c r="G1824" s="2599">
        <v>4.8449074074074082E-2</v>
      </c>
      <c r="H1824" s="2600">
        <v>12.1</v>
      </c>
      <c r="I1824" s="2601">
        <f t="shared" si="455"/>
        <v>4.0040557086011641E-3</v>
      </c>
      <c r="J1824" s="2602">
        <v>145</v>
      </c>
      <c r="K1824" s="2603">
        <v>81</v>
      </c>
      <c r="L1824" s="2816">
        <v>209</v>
      </c>
      <c r="M1824" s="2840">
        <v>50</v>
      </c>
      <c r="N1824" s="2604">
        <f t="shared" si="456"/>
        <v>1.0791587516960657</v>
      </c>
      <c r="O1824" s="2605" t="s">
        <v>958</v>
      </c>
      <c r="P1824" s="2606">
        <f>IFERROR(VLOOKUP(F1824,Trainingsarten!$A$9:$N$84,12,FALSE),"")</f>
        <v>194.60000000000002</v>
      </c>
      <c r="Q1824" s="2607" t="s">
        <v>437</v>
      </c>
      <c r="R1824" s="2608">
        <f>IFERROR(VLOOKUP(F1824,Trainingsarten!$A$9:$N$84,14,FALSE),"")</f>
        <v>212.96</v>
      </c>
      <c r="S1824" s="2609">
        <f t="shared" si="457"/>
        <v>1.4413793103448276</v>
      </c>
      <c r="T1824" s="2597">
        <f t="shared" si="458"/>
        <v>24.301166141891112</v>
      </c>
      <c r="U1824" s="2597">
        <f t="shared" si="459"/>
        <v>14.92486050315466</v>
      </c>
      <c r="V1824" s="2597">
        <f t="shared" si="460"/>
        <v>-1.5380887639340433</v>
      </c>
      <c r="W1824" s="3284">
        <f t="shared" si="461"/>
        <v>1.6282340553035379</v>
      </c>
      <c r="X1824" s="3300"/>
      <c r="Y1824" s="3316"/>
      <c r="AA1824" s="3301"/>
      <c r="AB1824" s="3409"/>
      <c r="AE1824" s="2548"/>
    </row>
    <row r="1825" spans="1:31" ht="16" thickBot="1" x14ac:dyDescent="0.25">
      <c r="B1825" s="2979">
        <f t="shared" ref="B1825" si="475">SUM(H1823:H1829)</f>
        <v>34.659999999999997</v>
      </c>
      <c r="C1825" s="2596">
        <v>44923</v>
      </c>
      <c r="D1825" s="2597"/>
      <c r="E1825" s="2598"/>
      <c r="F1825" s="2759"/>
      <c r="G1825" s="2599"/>
      <c r="H1825" s="2600" t="str">
        <f>IFERROR(VLOOKUP(F1825,Trainingsarten!$A$9:$K$84,10,FALSE),"")</f>
        <v/>
      </c>
      <c r="I1825" s="2601" t="str">
        <f t="shared" si="455"/>
        <v/>
      </c>
      <c r="J1825" s="2602"/>
      <c r="K1825" s="2603" t="str">
        <f>IFERROR(VLOOKUP(F1825,Trainingsarten!$A$9:$K$84,11,FALSE),"0")</f>
        <v>0</v>
      </c>
      <c r="L1825" s="2816"/>
      <c r="M1825" s="2840"/>
      <c r="N1825" s="2604" t="str">
        <f t="shared" si="456"/>
        <v/>
      </c>
      <c r="O1825" s="2605"/>
      <c r="P1825" s="2606" t="str">
        <f>IFERROR(VLOOKUP(F1825,Trainingsarten!$A$9:$N$84,12,FALSE),"")</f>
        <v/>
      </c>
      <c r="Q1825" s="2607" t="s">
        <v>437</v>
      </c>
      <c r="R1825" s="2608" t="str">
        <f>IFERROR(VLOOKUP(F1825,Trainingsarten!$A$9:$N$84,14,FALSE),"")</f>
        <v/>
      </c>
      <c r="S1825" s="2609" t="str">
        <f t="shared" si="457"/>
        <v/>
      </c>
      <c r="T1825" s="2597">
        <f t="shared" si="458"/>
        <v>20.829570978763812</v>
      </c>
      <c r="U1825" s="2597">
        <f t="shared" si="459"/>
        <v>14.569506681650978</v>
      </c>
      <c r="V1825" s="2597">
        <f t="shared" si="460"/>
        <v>-9.3763056387364525</v>
      </c>
      <c r="W1825" s="3284">
        <f t="shared" si="461"/>
        <v>1.4296689266079845</v>
      </c>
      <c r="X1825" s="3300"/>
      <c r="Y1825" s="3316"/>
      <c r="AA1825" s="3301"/>
      <c r="AB1825" s="3409"/>
      <c r="AE1825" s="2548"/>
    </row>
    <row r="1826" spans="1:31" x14ac:dyDescent="0.2">
      <c r="B1826" s="2998" t="s">
        <v>628</v>
      </c>
      <c r="C1826" s="2596">
        <v>44924</v>
      </c>
      <c r="D1826" s="2597">
        <v>152</v>
      </c>
      <c r="E1826" s="2598" t="s">
        <v>836</v>
      </c>
      <c r="F1826" s="2759" t="s">
        <v>819</v>
      </c>
      <c r="G1826" s="2599">
        <v>3.5636574074074077E-2</v>
      </c>
      <c r="H1826" s="2600">
        <v>9.36</v>
      </c>
      <c r="I1826" s="2601">
        <f t="shared" si="455"/>
        <v>3.8073262899651792E-3</v>
      </c>
      <c r="J1826" s="2602">
        <v>134</v>
      </c>
      <c r="K1826" s="2603">
        <v>67</v>
      </c>
      <c r="L1826" s="2816">
        <v>222</v>
      </c>
      <c r="M1826" s="2840">
        <v>32</v>
      </c>
      <c r="N1826" s="2604">
        <f t="shared" si="456"/>
        <v>1.0899636433218522</v>
      </c>
      <c r="O1826" s="2605" t="s">
        <v>953</v>
      </c>
      <c r="P1826" s="2606">
        <f>IFERROR(VLOOKUP(F1826,Trainingsarten!$A$9:$N$84,12,FALSE),"")</f>
        <v>194.60000000000002</v>
      </c>
      <c r="Q1826" s="2607" t="s">
        <v>437</v>
      </c>
      <c r="R1826" s="2608">
        <f>IFERROR(VLOOKUP(F1826,Trainingsarten!$A$9:$N$84,14,FALSE),"")</f>
        <v>212.96</v>
      </c>
      <c r="S1826" s="2609">
        <f t="shared" si="457"/>
        <v>1.6567164179104477</v>
      </c>
      <c r="T1826" s="2597">
        <f t="shared" si="458"/>
        <v>27.425346553226124</v>
      </c>
      <c r="U1826" s="2597">
        <f t="shared" si="459"/>
        <v>15.817851760659288</v>
      </c>
      <c r="V1826" s="2597">
        <f t="shared" si="460"/>
        <v>-6.2600642971128337</v>
      </c>
      <c r="W1826" s="3284">
        <f t="shared" si="461"/>
        <v>1.7338224537819942</v>
      </c>
      <c r="X1826" s="3300"/>
      <c r="Y1826" s="3316"/>
      <c r="AA1826" s="3301"/>
      <c r="AB1826" s="3409"/>
      <c r="AE1826" s="2548"/>
    </row>
    <row r="1827" spans="1:31" ht="16" thickBot="1" x14ac:dyDescent="0.25">
      <c r="B1827" s="2993">
        <f t="shared" ref="B1827" si="476">SUM(K1823:K1829)</f>
        <v>236</v>
      </c>
      <c r="C1827" s="2596">
        <v>44925</v>
      </c>
      <c r="D1827" s="2597"/>
      <c r="E1827" s="2598"/>
      <c r="F1827" s="2775"/>
      <c r="G1827" s="2599"/>
      <c r="H1827" s="2600" t="str">
        <f>IFERROR(VLOOKUP(F1827,Trainingsarten!$A$9:$K$84,10,FALSE),"")</f>
        <v/>
      </c>
      <c r="I1827" s="2601" t="str">
        <f t="shared" si="455"/>
        <v/>
      </c>
      <c r="J1827" s="2602"/>
      <c r="K1827" s="2603" t="str">
        <f>IFERROR(VLOOKUP(F1827,Trainingsarten!$A$9:$K$84,11,FALSE),"0")</f>
        <v>0</v>
      </c>
      <c r="L1827" s="2816"/>
      <c r="M1827" s="2840"/>
      <c r="N1827" s="2604" t="str">
        <f t="shared" si="456"/>
        <v/>
      </c>
      <c r="O1827" s="2605"/>
      <c r="P1827" s="2606" t="str">
        <f>IFERROR(VLOOKUP(F1827,Trainingsarten!$A$9:$N$84,12,FALSE),"")</f>
        <v/>
      </c>
      <c r="Q1827" s="2607" t="s">
        <v>437</v>
      </c>
      <c r="R1827" s="2608" t="str">
        <f>IFERROR(VLOOKUP(F1827,Trainingsarten!$A$9:$N$84,14,FALSE),"")</f>
        <v/>
      </c>
      <c r="S1827" s="2609" t="str">
        <f t="shared" si="457"/>
        <v/>
      </c>
      <c r="T1827" s="2597">
        <f t="shared" si="458"/>
        <v>23.507439902765249</v>
      </c>
      <c r="U1827" s="2597">
        <f t="shared" si="459"/>
        <v>15.441236242548353</v>
      </c>
      <c r="V1827" s="2597">
        <f t="shared" si="460"/>
        <v>-11.607494792566836</v>
      </c>
      <c r="W1827" s="3284">
        <f t="shared" si="461"/>
        <v>1.5223806911256534</v>
      </c>
      <c r="X1827" s="3300"/>
      <c r="Y1827" s="3316"/>
      <c r="AA1827" s="3301"/>
      <c r="AB1827" s="3409"/>
      <c r="AE1827" s="2548"/>
    </row>
    <row r="1828" spans="1:31" ht="16" thickBot="1" x14ac:dyDescent="0.25">
      <c r="B1828" s="2999" t="s">
        <v>761</v>
      </c>
      <c r="C1828" s="2538">
        <v>44926</v>
      </c>
      <c r="D1828" s="1925">
        <v>153</v>
      </c>
      <c r="E1828" s="1926" t="s">
        <v>835</v>
      </c>
      <c r="F1828" s="2773" t="s">
        <v>927</v>
      </c>
      <c r="G1828" s="2539">
        <v>5.2060185185185182E-2</v>
      </c>
      <c r="H1828" s="2540">
        <v>13.2</v>
      </c>
      <c r="I1828" s="2541">
        <f t="shared" si="455"/>
        <v>3.9439534231200894E-3</v>
      </c>
      <c r="J1828" s="2542">
        <v>143</v>
      </c>
      <c r="K1828" s="2543">
        <v>88</v>
      </c>
      <c r="L1828" s="2820">
        <v>211</v>
      </c>
      <c r="M1828" s="2542">
        <v>47</v>
      </c>
      <c r="N1828" s="1932">
        <f t="shared" si="456"/>
        <v>1.0731320669380369</v>
      </c>
      <c r="O1828" s="2544" t="s">
        <v>958</v>
      </c>
      <c r="P1828" s="2545">
        <f>IFERROR(VLOOKUP(F1828,Trainingsarten!$A$9:$N$84,12,FALSE),"")</f>
        <v>229.68</v>
      </c>
      <c r="Q1828" s="2546" t="s">
        <v>437</v>
      </c>
      <c r="R1828" s="2547">
        <f>IFERROR(VLOOKUP(F1828,Trainingsarten!$A$9:$N$84,14,FALSE),"")</f>
        <v>247.95</v>
      </c>
      <c r="S1828" s="1936">
        <f t="shared" si="457"/>
        <v>1.4755244755244756</v>
      </c>
      <c r="T1828" s="1925">
        <f t="shared" si="458"/>
        <v>32.720662773798786</v>
      </c>
      <c r="U1828" s="1925">
        <f t="shared" si="459"/>
        <v>17.168825855821012</v>
      </c>
      <c r="V1828" s="1925">
        <f t="shared" si="460"/>
        <v>-8.0662036602168961</v>
      </c>
      <c r="W1828" s="3289">
        <f t="shared" si="461"/>
        <v>1.9058183156249437</v>
      </c>
      <c r="X1828" s="3300"/>
      <c r="Y1828" s="3316"/>
      <c r="AA1828" s="3301"/>
      <c r="AB1828" s="3409"/>
      <c r="AE1828" s="2548"/>
    </row>
    <row r="1829" spans="1:31" ht="17" thickTop="1" thickBot="1" x14ac:dyDescent="0.25">
      <c r="B1829" s="3129">
        <f t="shared" ref="B1829" si="477">AVERAGE(W1823:W1829)</f>
        <v>1.5726937681531499</v>
      </c>
      <c r="C1829" s="2576">
        <v>44927</v>
      </c>
      <c r="D1829" s="1788"/>
      <c r="E1829" s="1789"/>
      <c r="F1829" s="2763"/>
      <c r="G1829" s="2577"/>
      <c r="H1829" s="2578" t="str">
        <f>IFERROR(VLOOKUP(F1829,Trainingsarten!$A$9:$K$84,10,FALSE),"")</f>
        <v/>
      </c>
      <c r="I1829" s="2579" t="str">
        <f t="shared" si="455"/>
        <v/>
      </c>
      <c r="J1829" s="2580"/>
      <c r="K1829" s="2581" t="str">
        <f>IFERROR(VLOOKUP(F1829,Trainingsarten!$A$9:$K$84,11,FALSE),"0")</f>
        <v>0</v>
      </c>
      <c r="L1829" s="2821"/>
      <c r="M1829" s="2580"/>
      <c r="N1829" s="2582" t="str">
        <f t="shared" si="456"/>
        <v/>
      </c>
      <c r="O1829" s="2583"/>
      <c r="P1829" s="2584" t="str">
        <f>IFERROR(VLOOKUP(F1829,Trainingsarten!$A$9:$N$84,12,FALSE),"")</f>
        <v/>
      </c>
      <c r="Q1829" s="945" t="s">
        <v>437</v>
      </c>
      <c r="R1829" s="946" t="str">
        <f>IFERROR(VLOOKUP(F1829,Trainingsarten!$A$9:$N$84,14,FALSE),"")</f>
        <v/>
      </c>
      <c r="S1829" s="2390" t="str">
        <f t="shared" si="457"/>
        <v/>
      </c>
      <c r="T1829" s="1788">
        <f t="shared" si="458"/>
        <v>28.046282377541814</v>
      </c>
      <c r="U1829" s="1788">
        <f t="shared" si="459"/>
        <v>16.760044287825274</v>
      </c>
      <c r="V1829" s="1788">
        <f t="shared" si="460"/>
        <v>-15.551836917977774</v>
      </c>
      <c r="W1829" s="3293">
        <f t="shared" si="461"/>
        <v>1.6734014478658041</v>
      </c>
      <c r="X1829" s="3300"/>
      <c r="Y1829" s="3316"/>
      <c r="AA1829" s="3301"/>
      <c r="AB1829" s="3409"/>
      <c r="AE1829" s="2548"/>
    </row>
    <row r="1830" spans="1:31" ht="16" thickBot="1" x14ac:dyDescent="0.25">
      <c r="A1830" s="3439">
        <f>WEEKNUM(C1830,1)</f>
        <v>1</v>
      </c>
      <c r="B1830" s="3440"/>
      <c r="C1830" s="2585">
        <v>44928</v>
      </c>
      <c r="D1830" s="2586"/>
      <c r="E1830" s="2587"/>
      <c r="F1830" s="2761"/>
      <c r="G1830" s="2588"/>
      <c r="H1830" s="2589" t="str">
        <f>IFERROR(VLOOKUP(F1830,Trainingsarten!$A$9:$K$84,10,FALSE),"")</f>
        <v/>
      </c>
      <c r="I1830" s="2590" t="str">
        <f t="shared" ref="I1830:I1893" si="478">IFERROR(G1830/H1830,"")</f>
        <v/>
      </c>
      <c r="J1830" s="2591"/>
      <c r="K1830" s="2592" t="str">
        <f>IFERROR(VLOOKUP(F1830,Trainingsarten!$A$9:$K$84,11,FALSE),"0")</f>
        <v>0</v>
      </c>
      <c r="L1830" s="2815"/>
      <c r="M1830" s="2591"/>
      <c r="N1830" s="2593" t="str">
        <f t="shared" ref="N1830:N1893" si="479">IFERROR((L1830/67)/(1/(I1830*24)/3.6),"")</f>
        <v/>
      </c>
      <c r="O1830" s="2594"/>
      <c r="P1830" s="1919" t="str">
        <f>IFERROR(VLOOKUP(F1830,Trainingsarten!$A$9:$N$84,12,FALSE),"")</f>
        <v/>
      </c>
      <c r="Q1830" s="1069" t="s">
        <v>437</v>
      </c>
      <c r="R1830" s="2462" t="str">
        <f>IFERROR(VLOOKUP(F1830,Trainingsarten!$A$9:$N$84,14,FALSE),"")</f>
        <v/>
      </c>
      <c r="S1830" s="2595" t="str">
        <f t="shared" ref="S1830:S1893" si="480">IFERROR(L1830/J1830,"")</f>
        <v/>
      </c>
      <c r="T1830" s="2586">
        <f t="shared" ref="T1830:T1893" si="481">T1829+(K1830-T1829)/7</f>
        <v>24.039670609321554</v>
      </c>
      <c r="U1830" s="2586">
        <f t="shared" ref="U1830:U1893" si="482">U1829+(K1830-U1829)/42</f>
        <v>16.360995614305626</v>
      </c>
      <c r="V1830" s="2586">
        <f t="shared" ref="V1830:V1893" si="483">U1829-T1829</f>
        <v>-11.286238089716541</v>
      </c>
      <c r="W1830" s="3283">
        <f>T1830/U1830</f>
        <v>1.4693281005650962</v>
      </c>
      <c r="X1830" s="3300"/>
      <c r="Y1830" s="3316"/>
      <c r="AA1830" s="3301"/>
      <c r="AB1830" s="3409"/>
    </row>
    <row r="1831" spans="1:31" x14ac:dyDescent="0.2">
      <c r="A1831" s="2934" t="s">
        <v>626</v>
      </c>
      <c r="B1831" s="3000">
        <f>SUM(H1830:H1836)</f>
        <v>29.92</v>
      </c>
      <c r="C1831" s="2933">
        <v>44929</v>
      </c>
      <c r="D1831" s="2597">
        <v>1</v>
      </c>
      <c r="E1831" s="2598" t="s">
        <v>835</v>
      </c>
      <c r="F1831" s="2759" t="s">
        <v>943</v>
      </c>
      <c r="G1831" s="2599">
        <v>3.2696759259259259E-2</v>
      </c>
      <c r="H1831" s="2600">
        <v>8.01</v>
      </c>
      <c r="I1831" s="2601">
        <f t="shared" si="478"/>
        <v>4.0819924168862994E-3</v>
      </c>
      <c r="J1831" s="2602">
        <v>144</v>
      </c>
      <c r="K1831" s="2603">
        <v>51</v>
      </c>
      <c r="L1831" s="2816">
        <v>203</v>
      </c>
      <c r="M1831" s="2840">
        <v>13</v>
      </c>
      <c r="N1831" s="2604">
        <f t="shared" si="479"/>
        <v>1.0685803193768981</v>
      </c>
      <c r="O1831" s="2605" t="s">
        <v>958</v>
      </c>
      <c r="P1831" s="2606">
        <f>IFERROR(VLOOKUP(F1831,Trainingsarten!$A$9:$N$84,12,FALSE),"")</f>
        <v>194.60000000000002</v>
      </c>
      <c r="Q1831" s="2607" t="s">
        <v>437</v>
      </c>
      <c r="R1831" s="2608">
        <f>IFERROR(VLOOKUP(F1831,Trainingsarten!$A$9:$N$84,14,FALSE),"")</f>
        <v>212.96</v>
      </c>
      <c r="S1831" s="2609">
        <f t="shared" si="480"/>
        <v>1.4097222222222223</v>
      </c>
      <c r="T1831" s="2597">
        <f t="shared" si="481"/>
        <v>27.891146236561333</v>
      </c>
      <c r="U1831" s="2597">
        <f t="shared" si="482"/>
        <v>17.185733813965015</v>
      </c>
      <c r="V1831" s="2597">
        <f t="shared" si="483"/>
        <v>-7.6786749950159283</v>
      </c>
      <c r="W1831" s="3284">
        <f t="shared" ref="W1831:W1893" si="484">T1831/U1831</f>
        <v>1.6229243707881225</v>
      </c>
      <c r="X1831" s="3300"/>
      <c r="Y1831" s="3316"/>
      <c r="AA1831" s="3301"/>
      <c r="AB1831" s="3409"/>
    </row>
    <row r="1832" spans="1:31" x14ac:dyDescent="0.2">
      <c r="A1832" s="2935" t="s">
        <v>628</v>
      </c>
      <c r="B1832" s="3001">
        <f>SUM(K1830:K1836)</f>
        <v>208</v>
      </c>
      <c r="C1832" s="2933">
        <v>44930</v>
      </c>
      <c r="D1832" s="2597"/>
      <c r="E1832" s="2598"/>
      <c r="F1832" s="2759"/>
      <c r="G1832" s="2599"/>
      <c r="H1832" s="2600" t="str">
        <f>IFERROR(VLOOKUP(F1832,Trainingsarten!$A$9:$K$84,10,FALSE),"")</f>
        <v/>
      </c>
      <c r="I1832" s="2601" t="str">
        <f t="shared" si="478"/>
        <v/>
      </c>
      <c r="J1832" s="2602"/>
      <c r="K1832" s="2603" t="str">
        <f>IFERROR(VLOOKUP(F1832,Trainingsarten!$A$9:$K$84,11,FALSE),"0")</f>
        <v>0</v>
      </c>
      <c r="L1832" s="2816"/>
      <c r="M1832" s="2840"/>
      <c r="N1832" s="2604" t="str">
        <f t="shared" si="479"/>
        <v/>
      </c>
      <c r="O1832" s="2605"/>
      <c r="P1832" s="2606" t="str">
        <f>IFERROR(VLOOKUP(F1832,Trainingsarten!$A$9:$N$84,12,FALSE),"")</f>
        <v/>
      </c>
      <c r="Q1832" s="2607" t="s">
        <v>437</v>
      </c>
      <c r="R1832" s="2608" t="str">
        <f>IFERROR(VLOOKUP(F1832,Trainingsarten!$A$9:$N$84,14,FALSE),"")</f>
        <v/>
      </c>
      <c r="S1832" s="2609" t="str">
        <f t="shared" si="480"/>
        <v/>
      </c>
      <c r="T1832" s="2597">
        <f t="shared" si="481"/>
        <v>23.906696774195428</v>
      </c>
      <c r="U1832" s="2597">
        <f t="shared" si="482"/>
        <v>16.776549675537275</v>
      </c>
      <c r="V1832" s="2597">
        <f t="shared" si="483"/>
        <v>-10.705412422596318</v>
      </c>
      <c r="W1832" s="3284">
        <f t="shared" si="484"/>
        <v>1.4250067645944491</v>
      </c>
      <c r="X1832" s="3300"/>
      <c r="Y1832" s="3316"/>
      <c r="AA1832" s="3301"/>
      <c r="AB1832" s="3409"/>
    </row>
    <row r="1833" spans="1:31" x14ac:dyDescent="0.2">
      <c r="A1833" s="2935" t="s">
        <v>761</v>
      </c>
      <c r="B1833" s="3002">
        <f>AVERAGE(W1830:W1836)</f>
        <v>1.5857778936770941</v>
      </c>
      <c r="C1833" s="2933">
        <v>44931</v>
      </c>
      <c r="D1833" s="2597">
        <v>2</v>
      </c>
      <c r="E1833" s="2598" t="s">
        <v>836</v>
      </c>
      <c r="F1833" s="2759" t="s">
        <v>927</v>
      </c>
      <c r="G1833" s="2599">
        <v>3.2303240740740737E-2</v>
      </c>
      <c r="H1833" s="2600">
        <v>9.31</v>
      </c>
      <c r="I1833" s="2601">
        <f t="shared" si="478"/>
        <v>3.4697358475553959E-3</v>
      </c>
      <c r="J1833" s="2602">
        <v>152</v>
      </c>
      <c r="K1833" s="2603">
        <v>72</v>
      </c>
      <c r="L1833" s="2816">
        <v>241</v>
      </c>
      <c r="M1833" s="2840">
        <v>40</v>
      </c>
      <c r="N1833" s="2604">
        <f t="shared" si="479"/>
        <v>1.0783317568975743</v>
      </c>
      <c r="O1833" s="2605" t="s">
        <v>821</v>
      </c>
      <c r="P1833" s="2606">
        <f>IFERROR(VLOOKUP(F1833,Trainingsarten!$A$9:$N$84,12,FALSE),"")</f>
        <v>229.68</v>
      </c>
      <c r="Q1833" s="2607" t="s">
        <v>437</v>
      </c>
      <c r="R1833" s="2608">
        <f>IFERROR(VLOOKUP(F1833,Trainingsarten!$A$9:$N$84,14,FALSE),"")</f>
        <v>247.95</v>
      </c>
      <c r="S1833" s="2609">
        <f t="shared" si="480"/>
        <v>1.5855263157894737</v>
      </c>
      <c r="T1833" s="2597">
        <f t="shared" si="481"/>
        <v>30.777168663596083</v>
      </c>
      <c r="U1833" s="2597">
        <f t="shared" si="482"/>
        <v>18.091393730881627</v>
      </c>
      <c r="V1833" s="2597">
        <f t="shared" si="483"/>
        <v>-7.1301470986581528</v>
      </c>
      <c r="W1833" s="3284">
        <f t="shared" si="484"/>
        <v>1.7012049553186224</v>
      </c>
      <c r="X1833" s="3300"/>
      <c r="Y1833" s="3316"/>
      <c r="AA1833" s="3301"/>
      <c r="AB1833" s="3409"/>
    </row>
    <row r="1834" spans="1:31" x14ac:dyDescent="0.2">
      <c r="A1834" s="2935" t="s">
        <v>979</v>
      </c>
      <c r="B1834" s="3130">
        <f>IFERROR(AVERAGE(N1830:N1836),"")</f>
        <v>1.0730763542568544</v>
      </c>
      <c r="C1834" s="2933">
        <v>44932</v>
      </c>
      <c r="D1834" s="2597"/>
      <c r="E1834" s="2598"/>
      <c r="F1834" s="2775"/>
      <c r="G1834" s="2599"/>
      <c r="H1834" s="2600" t="str">
        <f>IFERROR(VLOOKUP(F1834,Trainingsarten!$A$9:$K$84,10,FALSE),"")</f>
        <v/>
      </c>
      <c r="I1834" s="2601" t="str">
        <f t="shared" si="478"/>
        <v/>
      </c>
      <c r="J1834" s="2602"/>
      <c r="K1834" s="2603" t="str">
        <f>IFERROR(VLOOKUP(F1834,Trainingsarten!$A$9:$K$84,11,FALSE),"0")</f>
        <v>0</v>
      </c>
      <c r="L1834" s="2816"/>
      <c r="M1834" s="2840"/>
      <c r="N1834" s="2604" t="str">
        <f t="shared" si="479"/>
        <v/>
      </c>
      <c r="O1834" s="2605"/>
      <c r="P1834" s="2606" t="str">
        <f>IFERROR(VLOOKUP(F1834,Trainingsarten!$A$9:$N$84,12,FALSE),"")</f>
        <v/>
      </c>
      <c r="Q1834" s="2607" t="s">
        <v>437</v>
      </c>
      <c r="R1834" s="2608" t="str">
        <f>IFERROR(VLOOKUP(F1834,Trainingsarten!$A$9:$N$84,14,FALSE),"")</f>
        <v/>
      </c>
      <c r="S1834" s="2609" t="str">
        <f t="shared" si="480"/>
        <v/>
      </c>
      <c r="T1834" s="2597">
        <f t="shared" si="481"/>
        <v>26.380430283082354</v>
      </c>
      <c r="U1834" s="2597">
        <f t="shared" si="482"/>
        <v>17.66064626109873</v>
      </c>
      <c r="V1834" s="2597">
        <f t="shared" si="483"/>
        <v>-12.685774932714455</v>
      </c>
      <c r="W1834" s="3284">
        <f t="shared" si="484"/>
        <v>1.4937409363773269</v>
      </c>
      <c r="X1834" s="3300"/>
      <c r="Y1834" s="3316"/>
      <c r="AA1834" s="3301"/>
      <c r="AB1834" s="3409"/>
    </row>
    <row r="1835" spans="1:31" x14ac:dyDescent="0.2">
      <c r="A1835" s="2935" t="s">
        <v>980</v>
      </c>
      <c r="B1835" s="3002">
        <f>IFERROR(AVERAGE(S1830:S1836),"")</f>
        <v>1.5092075462437069</v>
      </c>
      <c r="C1835" s="2933">
        <v>44933</v>
      </c>
      <c r="D1835" s="2887">
        <v>3</v>
      </c>
      <c r="E1835" s="2888" t="s">
        <v>835</v>
      </c>
      <c r="F1835" s="2889" t="s">
        <v>906</v>
      </c>
      <c r="G1835" s="2890">
        <v>4.9189814814814818E-2</v>
      </c>
      <c r="H1835" s="2891">
        <v>12.6</v>
      </c>
      <c r="I1835" s="2892">
        <f t="shared" si="478"/>
        <v>3.903953556731335E-3</v>
      </c>
      <c r="J1835" s="2893">
        <v>139</v>
      </c>
      <c r="K1835" s="2894">
        <v>85</v>
      </c>
      <c r="L1835" s="2816">
        <v>213</v>
      </c>
      <c r="M1835" s="2893">
        <v>50</v>
      </c>
      <c r="N1835" s="2895">
        <f t="shared" si="479"/>
        <v>1.0723169864960911</v>
      </c>
      <c r="O1835" s="2896" t="s">
        <v>1460</v>
      </c>
      <c r="P1835" s="2897">
        <f>IFERROR(VLOOKUP(F1835,Trainingsarten!$A$9:$N$84,12,FALSE),"")</f>
        <v>194.60000000000002</v>
      </c>
      <c r="Q1835" s="2898" t="s">
        <v>437</v>
      </c>
      <c r="R1835" s="2899">
        <f>IFERROR(VLOOKUP(F1835,Trainingsarten!$A$9:$N$84,14,FALSE),"")</f>
        <v>212.96</v>
      </c>
      <c r="S1835" s="2845">
        <f t="shared" si="480"/>
        <v>1.5323741007194245</v>
      </c>
      <c r="T1835" s="2887">
        <f t="shared" si="481"/>
        <v>34.754654528356305</v>
      </c>
      <c r="U1835" s="2887">
        <f t="shared" si="482"/>
        <v>19.263964207263047</v>
      </c>
      <c r="V1835" s="2887">
        <f t="shared" si="483"/>
        <v>-8.7197840219836245</v>
      </c>
      <c r="W1835" s="3284">
        <f t="shared" si="484"/>
        <v>1.8041278604147759</v>
      </c>
      <c r="X1835" s="3300"/>
      <c r="Y1835" s="3316"/>
      <c r="AA1835" s="3301"/>
      <c r="AB1835" s="3409"/>
    </row>
    <row r="1836" spans="1:31" ht="16" thickBot="1" x14ac:dyDescent="0.25">
      <c r="A1836" s="2936" t="s">
        <v>183</v>
      </c>
      <c r="B1836" s="3003">
        <f>IFERROR(SUM(M1830:M1836),"")</f>
        <v>103</v>
      </c>
      <c r="C1836" s="2926">
        <v>44934</v>
      </c>
      <c r="D1836" s="1788"/>
      <c r="E1836" s="1789"/>
      <c r="F1836" s="2763"/>
      <c r="G1836" s="2577"/>
      <c r="H1836" s="2578" t="str">
        <f>IFERROR(VLOOKUP(F1836,Trainingsarten!$A$9:$K$84,10,FALSE),"")</f>
        <v/>
      </c>
      <c r="I1836" s="2579" t="str">
        <f t="shared" si="478"/>
        <v/>
      </c>
      <c r="J1836" s="2580"/>
      <c r="K1836" s="2581" t="str">
        <f>IFERROR(VLOOKUP(F1836,Trainingsarten!$A$9:$K$84,11,FALSE),"0")</f>
        <v>0</v>
      </c>
      <c r="L1836" s="2821"/>
      <c r="M1836" s="2580"/>
      <c r="N1836" s="2582" t="str">
        <f t="shared" si="479"/>
        <v/>
      </c>
      <c r="O1836" s="2583"/>
      <c r="P1836" s="2584" t="str">
        <f>IFERROR(VLOOKUP(F1836,Trainingsarten!$A$9:$N$84,12,FALSE),"")</f>
        <v/>
      </c>
      <c r="Q1836" s="945" t="s">
        <v>437</v>
      </c>
      <c r="R1836" s="946" t="str">
        <f>IFERROR(VLOOKUP(F1836,Trainingsarten!$A$9:$N$84,14,FALSE),"")</f>
        <v/>
      </c>
      <c r="S1836" s="2390" t="str">
        <f t="shared" si="480"/>
        <v/>
      </c>
      <c r="T1836" s="1788">
        <f t="shared" si="481"/>
        <v>29.789703881448261</v>
      </c>
      <c r="U1836" s="1788">
        <f t="shared" si="482"/>
        <v>18.805298392804403</v>
      </c>
      <c r="V1836" s="1788">
        <f t="shared" si="483"/>
        <v>-15.490690321093258</v>
      </c>
      <c r="W1836" s="3293">
        <f t="shared" si="484"/>
        <v>1.5841122676812667</v>
      </c>
      <c r="X1836" s="3300"/>
      <c r="Y1836" s="3316"/>
      <c r="AA1836" s="3301"/>
      <c r="AB1836" s="3409"/>
    </row>
    <row r="1837" spans="1:31" ht="16" thickBot="1" x14ac:dyDescent="0.25">
      <c r="A1837" s="3439">
        <f>WEEKNUM(C1837,1)</f>
        <v>2</v>
      </c>
      <c r="B1837" s="3440"/>
      <c r="C1837" s="2585">
        <v>44935</v>
      </c>
      <c r="D1837" s="2586"/>
      <c r="E1837" s="2587"/>
      <c r="F1837" s="2761"/>
      <c r="G1837" s="2588"/>
      <c r="H1837" s="2589" t="str">
        <f>IFERROR(VLOOKUP(F1837,Trainingsarten!$A$9:$K$84,10,FALSE),"")</f>
        <v/>
      </c>
      <c r="I1837" s="2590" t="str">
        <f t="shared" si="478"/>
        <v/>
      </c>
      <c r="J1837" s="2591"/>
      <c r="K1837" s="2592" t="str">
        <f>IFERROR(VLOOKUP(F1837,Trainingsarten!$A$9:$K$84,11,FALSE),"0")</f>
        <v>0</v>
      </c>
      <c r="L1837" s="2815"/>
      <c r="M1837" s="2591"/>
      <c r="N1837" s="2593" t="str">
        <f t="shared" si="479"/>
        <v/>
      </c>
      <c r="O1837" s="2594"/>
      <c r="P1837" s="1919" t="str">
        <f>IFERROR(VLOOKUP(F1837,Trainingsarten!$A$9:$N$84,12,FALSE),"")</f>
        <v/>
      </c>
      <c r="Q1837" s="1069" t="s">
        <v>437</v>
      </c>
      <c r="R1837" s="2462" t="str">
        <f>IFERROR(VLOOKUP(F1837,Trainingsarten!$A$9:$N$84,14,FALSE),"")</f>
        <v/>
      </c>
      <c r="S1837" s="2595" t="str">
        <f t="shared" si="480"/>
        <v/>
      </c>
      <c r="T1837" s="2586">
        <f t="shared" si="481"/>
        <v>25.534031898384224</v>
      </c>
      <c r="U1837" s="2586">
        <f t="shared" si="482"/>
        <v>18.357553192975725</v>
      </c>
      <c r="V1837" s="2586">
        <f t="shared" si="483"/>
        <v>-10.984405488643858</v>
      </c>
      <c r="W1837" s="3283">
        <f t="shared" si="484"/>
        <v>1.3909278447933073</v>
      </c>
      <c r="X1837" s="3300"/>
      <c r="Y1837" s="3316"/>
      <c r="AA1837" s="3301"/>
      <c r="AB1837" s="3409"/>
    </row>
    <row r="1838" spans="1:31" x14ac:dyDescent="0.2">
      <c r="A1838" s="2934" t="s">
        <v>626</v>
      </c>
      <c r="B1838" s="3000">
        <f>SUM(H1837:H1843)</f>
        <v>10.3</v>
      </c>
      <c r="C1838" s="2596">
        <v>44936</v>
      </c>
      <c r="D1838" s="2597"/>
      <c r="E1838" s="2598"/>
      <c r="F1838" s="2759"/>
      <c r="G1838" s="2599"/>
      <c r="H1838" s="2600" t="str">
        <f>IFERROR(VLOOKUP(F1838,Trainingsarten!$A$9:$K$84,10,FALSE),"")</f>
        <v/>
      </c>
      <c r="I1838" s="2601" t="str">
        <f t="shared" si="478"/>
        <v/>
      </c>
      <c r="J1838" s="2602"/>
      <c r="K1838" s="2603" t="str">
        <f>IFERROR(VLOOKUP(F1838,Trainingsarten!$A$9:$K$84,11,FALSE),"0")</f>
        <v>0</v>
      </c>
      <c r="L1838" s="2816"/>
      <c r="M1838" s="2840"/>
      <c r="N1838" s="2604" t="str">
        <f t="shared" si="479"/>
        <v/>
      </c>
      <c r="O1838" s="2605"/>
      <c r="P1838" s="2606" t="str">
        <f>IFERROR(VLOOKUP(F1838,Trainingsarten!$A$9:$N$84,12,FALSE),"")</f>
        <v/>
      </c>
      <c r="Q1838" s="2607" t="s">
        <v>437</v>
      </c>
      <c r="R1838" s="2608" t="str">
        <f>IFERROR(VLOOKUP(F1838,Trainingsarten!$A$9:$N$84,14,FALSE),"")</f>
        <v/>
      </c>
      <c r="S1838" s="2609" t="str">
        <f t="shared" si="480"/>
        <v/>
      </c>
      <c r="T1838" s="2597">
        <f t="shared" si="481"/>
        <v>21.886313055757906</v>
      </c>
      <c r="U1838" s="2597">
        <f t="shared" si="482"/>
        <v>17.920468593142971</v>
      </c>
      <c r="V1838" s="2597">
        <f t="shared" si="483"/>
        <v>-7.1764787054084991</v>
      </c>
      <c r="W1838" s="3284">
        <f t="shared" si="484"/>
        <v>1.2213024978672942</v>
      </c>
      <c r="X1838" s="3300"/>
      <c r="Y1838" s="3316"/>
      <c r="AA1838" s="3301"/>
      <c r="AB1838" s="3409"/>
    </row>
    <row r="1839" spans="1:31" x14ac:dyDescent="0.2">
      <c r="A1839" s="2935" t="s">
        <v>628</v>
      </c>
      <c r="B1839" s="3001">
        <f>SUM(K1837:K1843)</f>
        <v>68</v>
      </c>
      <c r="C1839" s="2596">
        <v>44937</v>
      </c>
      <c r="D1839" s="2597">
        <v>4</v>
      </c>
      <c r="E1839" s="2598" t="s">
        <v>835</v>
      </c>
      <c r="F1839" s="2759" t="s">
        <v>819</v>
      </c>
      <c r="G1839" s="2599">
        <v>4.2407407407407401E-2</v>
      </c>
      <c r="H1839" s="2600">
        <v>10.3</v>
      </c>
      <c r="I1839" s="2601">
        <f t="shared" si="478"/>
        <v>4.1172240201366407E-3</v>
      </c>
      <c r="J1839" s="2602">
        <v>132</v>
      </c>
      <c r="K1839" s="2603">
        <v>68</v>
      </c>
      <c r="L1839" s="2816">
        <v>204</v>
      </c>
      <c r="M1839" s="2840">
        <v>29</v>
      </c>
      <c r="N1839" s="2604">
        <f t="shared" si="479"/>
        <v>1.0831125923779159</v>
      </c>
      <c r="O1839" s="2605" t="s">
        <v>958</v>
      </c>
      <c r="P1839" s="2606">
        <f>IFERROR(VLOOKUP(F1839,Trainingsarten!$A$9:$N$84,12,FALSE),"")</f>
        <v>194.60000000000002</v>
      </c>
      <c r="Q1839" s="2607" t="s">
        <v>437</v>
      </c>
      <c r="R1839" s="2608">
        <f>IFERROR(VLOOKUP(F1839,Trainingsarten!$A$9:$N$84,14,FALSE),"")</f>
        <v>212.96</v>
      </c>
      <c r="S1839" s="2609">
        <f t="shared" si="480"/>
        <v>1.5454545454545454</v>
      </c>
      <c r="T1839" s="2597">
        <f t="shared" si="481"/>
        <v>28.473982619221061</v>
      </c>
      <c r="U1839" s="2597">
        <f t="shared" si="482"/>
        <v>19.112838388544329</v>
      </c>
      <c r="V1839" s="2597">
        <f t="shared" si="483"/>
        <v>-3.9658444626149354</v>
      </c>
      <c r="W1839" s="3284">
        <f t="shared" si="484"/>
        <v>1.48978304741422</v>
      </c>
      <c r="X1839" s="3300"/>
      <c r="Y1839" s="3316"/>
      <c r="AA1839" s="3301"/>
      <c r="AB1839" s="3409"/>
    </row>
    <row r="1840" spans="1:31" x14ac:dyDescent="0.2">
      <c r="A1840" s="2935" t="s">
        <v>761</v>
      </c>
      <c r="B1840" s="3002">
        <f>AVERAGE(W1837:W1843)</f>
        <v>1.2075312341134166</v>
      </c>
      <c r="C1840" s="2596">
        <v>44938</v>
      </c>
      <c r="D1840" s="2597"/>
      <c r="E1840" s="2598"/>
      <c r="F1840" s="2759"/>
      <c r="G1840" s="2599"/>
      <c r="H1840" s="2600" t="str">
        <f>IFERROR(VLOOKUP(F1840,Trainingsarten!$A$9:$K$84,10,FALSE),"")</f>
        <v/>
      </c>
      <c r="I1840" s="2601" t="str">
        <f t="shared" si="478"/>
        <v/>
      </c>
      <c r="J1840" s="2602"/>
      <c r="K1840" s="2603" t="str">
        <f>IFERROR(VLOOKUP(F1840,Trainingsarten!$A$9:$K$84,11,FALSE),"0")</f>
        <v>0</v>
      </c>
      <c r="L1840" s="2816"/>
      <c r="M1840" s="2840"/>
      <c r="N1840" s="2604" t="str">
        <f t="shared" si="479"/>
        <v/>
      </c>
      <c r="O1840" s="2605"/>
      <c r="P1840" s="2606" t="str">
        <f>IFERROR(VLOOKUP(F1840,Trainingsarten!$A$9:$N$84,12,FALSE),"")</f>
        <v/>
      </c>
      <c r="Q1840" s="2607" t="s">
        <v>437</v>
      </c>
      <c r="R1840" s="2608" t="str">
        <f>IFERROR(VLOOKUP(F1840,Trainingsarten!$A$9:$N$84,14,FALSE),"")</f>
        <v/>
      </c>
      <c r="S1840" s="2609" t="str">
        <f t="shared" si="480"/>
        <v/>
      </c>
      <c r="T1840" s="2597">
        <f t="shared" si="481"/>
        <v>24.406270816475196</v>
      </c>
      <c r="U1840" s="2597">
        <f t="shared" si="482"/>
        <v>18.657770807864701</v>
      </c>
      <c r="V1840" s="2597">
        <f t="shared" si="483"/>
        <v>-9.3611442306767323</v>
      </c>
      <c r="W1840" s="3284">
        <f t="shared" si="484"/>
        <v>1.3081021879734616</v>
      </c>
      <c r="X1840" s="3300"/>
      <c r="Y1840" s="3316"/>
      <c r="AA1840" s="3301"/>
      <c r="AB1840" s="3409"/>
    </row>
    <row r="1841" spans="1:28" x14ac:dyDescent="0.2">
      <c r="A1841" s="2935" t="s">
        <v>979</v>
      </c>
      <c r="B1841" s="3130">
        <f>IFERROR(AVERAGE(N1837:N1843),"")</f>
        <v>1.0831125923779159</v>
      </c>
      <c r="C1841" s="2596">
        <v>44939</v>
      </c>
      <c r="D1841" s="2597"/>
      <c r="E1841" s="2598"/>
      <c r="F1841" s="2775"/>
      <c r="G1841" s="2599"/>
      <c r="H1841" s="2600" t="str">
        <f>IFERROR(VLOOKUP(F1841,Trainingsarten!$A$9:$K$84,10,FALSE),"")</f>
        <v/>
      </c>
      <c r="I1841" s="2601" t="str">
        <f t="shared" si="478"/>
        <v/>
      </c>
      <c r="J1841" s="2602"/>
      <c r="K1841" s="2603" t="str">
        <f>IFERROR(VLOOKUP(F1841,Trainingsarten!$A$9:$K$84,11,FALSE),"0")</f>
        <v>0</v>
      </c>
      <c r="L1841" s="2816"/>
      <c r="M1841" s="2840"/>
      <c r="N1841" s="2604" t="str">
        <f t="shared" si="479"/>
        <v/>
      </c>
      <c r="O1841" s="2605"/>
      <c r="P1841" s="2606" t="str">
        <f>IFERROR(VLOOKUP(F1841,Trainingsarten!$A$9:$N$84,12,FALSE),"")</f>
        <v/>
      </c>
      <c r="Q1841" s="2607" t="s">
        <v>437</v>
      </c>
      <c r="R1841" s="2608" t="str">
        <f>IFERROR(VLOOKUP(F1841,Trainingsarten!$A$9:$N$84,14,FALSE),"")</f>
        <v/>
      </c>
      <c r="S1841" s="2609" t="str">
        <f t="shared" si="480"/>
        <v/>
      </c>
      <c r="T1841" s="2597">
        <f t="shared" si="481"/>
        <v>20.919660699835884</v>
      </c>
      <c r="U1841" s="2597">
        <f t="shared" si="482"/>
        <v>18.213538169582208</v>
      </c>
      <c r="V1841" s="2597">
        <f t="shared" si="483"/>
        <v>-5.7485000086104954</v>
      </c>
      <c r="W1841" s="3284">
        <f t="shared" si="484"/>
        <v>1.1485775309035273</v>
      </c>
      <c r="X1841" s="3300"/>
      <c r="Y1841" s="3316"/>
      <c r="AA1841" s="3301"/>
      <c r="AB1841" s="3409"/>
    </row>
    <row r="1842" spans="1:28" x14ac:dyDescent="0.2">
      <c r="A1842" s="2935" t="s">
        <v>980</v>
      </c>
      <c r="B1842" s="3002">
        <f>IFERROR(AVERAGE(S1837:S1843),"")</f>
        <v>1.5454545454545454</v>
      </c>
      <c r="C1842" s="2886">
        <v>44940</v>
      </c>
      <c r="D1842" s="2887"/>
      <c r="E1842" s="2888"/>
      <c r="F1842" s="2889"/>
      <c r="G1842" s="2890"/>
      <c r="H1842" s="2891" t="str">
        <f>IFERROR(VLOOKUP(F1842,Trainingsarten!$A$9:$K$84,10,FALSE),"")</f>
        <v/>
      </c>
      <c r="I1842" s="2892" t="str">
        <f t="shared" si="478"/>
        <v/>
      </c>
      <c r="J1842" s="2893"/>
      <c r="K1842" s="2894" t="str">
        <f>IFERROR(VLOOKUP(F1842,Trainingsarten!$A$9:$K$84,11,FALSE),"0")</f>
        <v>0</v>
      </c>
      <c r="L1842" s="2816"/>
      <c r="M1842" s="2893"/>
      <c r="N1842" s="2895" t="str">
        <f t="shared" si="479"/>
        <v/>
      </c>
      <c r="O1842" s="2896"/>
      <c r="P1842" s="2897" t="str">
        <f>IFERROR(VLOOKUP(F1842,Trainingsarten!$A$9:$N$84,12,FALSE),"")</f>
        <v/>
      </c>
      <c r="Q1842" s="2898" t="s">
        <v>437</v>
      </c>
      <c r="R1842" s="2899" t="str">
        <f>IFERROR(VLOOKUP(F1842,Trainingsarten!$A$9:$N$84,14,FALSE),"")</f>
        <v/>
      </c>
      <c r="S1842" s="2845" t="str">
        <f t="shared" si="480"/>
        <v/>
      </c>
      <c r="T1842" s="2887">
        <f t="shared" si="481"/>
        <v>17.931137742716473</v>
      </c>
      <c r="U1842" s="2887">
        <f t="shared" si="482"/>
        <v>17.779882498877868</v>
      </c>
      <c r="V1842" s="2887">
        <f t="shared" si="483"/>
        <v>-2.7061225302536762</v>
      </c>
      <c r="W1842" s="3284">
        <f t="shared" si="484"/>
        <v>1.0085071003055364</v>
      </c>
      <c r="X1842" s="3300"/>
      <c r="Y1842" s="3316"/>
      <c r="AA1842" s="3301"/>
      <c r="AB1842" s="3409"/>
    </row>
    <row r="1843" spans="1:28" ht="16" thickBot="1" x14ac:dyDescent="0.25">
      <c r="A1843" s="2936" t="s">
        <v>183</v>
      </c>
      <c r="B1843" s="3003">
        <f>IFERROR(SUM(M1837:M1843),"")</f>
        <v>29</v>
      </c>
      <c r="C1843" s="2576">
        <v>44941</v>
      </c>
      <c r="D1843" s="1788"/>
      <c r="E1843" s="1789"/>
      <c r="F1843" s="2763"/>
      <c r="G1843" s="2577"/>
      <c r="H1843" s="2578" t="str">
        <f>IFERROR(VLOOKUP(F1843,Trainingsarten!$A$9:$K$84,10,FALSE),"")</f>
        <v/>
      </c>
      <c r="I1843" s="2579" t="str">
        <f t="shared" si="478"/>
        <v/>
      </c>
      <c r="J1843" s="2580"/>
      <c r="K1843" s="2581" t="str">
        <f>IFERROR(VLOOKUP(F1843,Trainingsarten!$A$9:$K$84,11,FALSE),"0")</f>
        <v>0</v>
      </c>
      <c r="L1843" s="2821"/>
      <c r="M1843" s="2580"/>
      <c r="N1843" s="2582" t="str">
        <f t="shared" si="479"/>
        <v/>
      </c>
      <c r="O1843" s="2583"/>
      <c r="P1843" s="2584" t="str">
        <f>IFERROR(VLOOKUP(F1843,Trainingsarten!$A$9:$N$84,12,FALSE),"")</f>
        <v/>
      </c>
      <c r="Q1843" s="945" t="s">
        <v>437</v>
      </c>
      <c r="R1843" s="946" t="str">
        <f>IFERROR(VLOOKUP(F1843,Trainingsarten!$A$9:$N$84,14,FALSE),"")</f>
        <v/>
      </c>
      <c r="S1843" s="2390" t="str">
        <f t="shared" si="480"/>
        <v/>
      </c>
      <c r="T1843" s="1788">
        <f t="shared" si="481"/>
        <v>15.369546636614119</v>
      </c>
      <c r="U1843" s="1788">
        <f t="shared" si="482"/>
        <v>17.356551963190299</v>
      </c>
      <c r="V1843" s="1788">
        <f t="shared" si="483"/>
        <v>-0.15125524383860522</v>
      </c>
      <c r="W1843" s="3293">
        <f t="shared" si="484"/>
        <v>0.88551842953656856</v>
      </c>
      <c r="X1843" s="3300"/>
      <c r="Y1843" s="3316"/>
      <c r="AA1843" s="3301"/>
      <c r="AB1843" s="3409"/>
    </row>
    <row r="1844" spans="1:28" ht="16" thickBot="1" x14ac:dyDescent="0.25">
      <c r="A1844" s="3439">
        <f>WEEKNUM(C1844,1)</f>
        <v>3</v>
      </c>
      <c r="B1844" s="3440"/>
      <c r="C1844" s="2585">
        <v>44942</v>
      </c>
      <c r="D1844" s="2586"/>
      <c r="E1844" s="2587"/>
      <c r="F1844" s="2761"/>
      <c r="G1844" s="2588"/>
      <c r="H1844" s="2589" t="str">
        <f>IFERROR(VLOOKUP(F1844,Trainingsarten!$A$9:$K$84,10,FALSE),"")</f>
        <v/>
      </c>
      <c r="I1844" s="2590" t="str">
        <f t="shared" si="478"/>
        <v/>
      </c>
      <c r="J1844" s="2591"/>
      <c r="K1844" s="2592" t="str">
        <f>IFERROR(VLOOKUP(F1844,Trainingsarten!$A$9:$K$84,11,FALSE),"0")</f>
        <v>0</v>
      </c>
      <c r="L1844" s="2815"/>
      <c r="M1844" s="2591"/>
      <c r="N1844" s="2593" t="str">
        <f t="shared" si="479"/>
        <v/>
      </c>
      <c r="O1844" s="2594"/>
      <c r="P1844" s="1919" t="str">
        <f>IFERROR(VLOOKUP(F1844,Trainingsarten!$A$9:$N$84,12,FALSE),"")</f>
        <v/>
      </c>
      <c r="Q1844" s="1069" t="s">
        <v>437</v>
      </c>
      <c r="R1844" s="2462" t="str">
        <f>IFERROR(VLOOKUP(F1844,Trainingsarten!$A$9:$N$84,14,FALSE),"")</f>
        <v/>
      </c>
      <c r="S1844" s="2595" t="str">
        <f t="shared" si="480"/>
        <v/>
      </c>
      <c r="T1844" s="2586">
        <f t="shared" si="481"/>
        <v>13.173897117097816</v>
      </c>
      <c r="U1844" s="2586">
        <f t="shared" si="482"/>
        <v>16.943300725971483</v>
      </c>
      <c r="V1844" s="2586">
        <f t="shared" si="483"/>
        <v>1.9870053265761793</v>
      </c>
      <c r="W1844" s="3283">
        <f t="shared" si="484"/>
        <v>0.77752837715406009</v>
      </c>
      <c r="X1844" s="3300"/>
      <c r="Y1844" s="3316"/>
      <c r="AA1844" s="3301"/>
      <c r="AB1844" s="3409"/>
    </row>
    <row r="1845" spans="1:28" x14ac:dyDescent="0.2">
      <c r="A1845" s="2934" t="s">
        <v>626</v>
      </c>
      <c r="B1845" s="3000">
        <f>SUM(H1844:H1850)</f>
        <v>7.54</v>
      </c>
      <c r="C1845" s="2596">
        <v>44943</v>
      </c>
      <c r="D1845" s="2597"/>
      <c r="E1845" s="2598"/>
      <c r="F1845" s="2759"/>
      <c r="G1845" s="2599"/>
      <c r="H1845" s="2600" t="str">
        <f>IFERROR(VLOOKUP(F1845,Trainingsarten!$A$9:$K$84,10,FALSE),"")</f>
        <v/>
      </c>
      <c r="I1845" s="2601" t="str">
        <f t="shared" si="478"/>
        <v/>
      </c>
      <c r="J1845" s="2602"/>
      <c r="K1845" s="2603" t="str">
        <f>IFERROR(VLOOKUP(F1845,Trainingsarten!$A$9:$K$84,11,FALSE),"0")</f>
        <v>0</v>
      </c>
      <c r="L1845" s="2816"/>
      <c r="M1845" s="2840"/>
      <c r="N1845" s="2604" t="str">
        <f t="shared" si="479"/>
        <v/>
      </c>
      <c r="O1845" s="2605"/>
      <c r="P1845" s="2606" t="str">
        <f>IFERROR(VLOOKUP(F1845,Trainingsarten!$A$9:$N$84,12,FALSE),"")</f>
        <v/>
      </c>
      <c r="Q1845" s="2607" t="s">
        <v>437</v>
      </c>
      <c r="R1845" s="2608" t="str">
        <f>IFERROR(VLOOKUP(F1845,Trainingsarten!$A$9:$N$84,14,FALSE),"")</f>
        <v/>
      </c>
      <c r="S1845" s="2609" t="str">
        <f t="shared" si="480"/>
        <v/>
      </c>
      <c r="T1845" s="2597">
        <f t="shared" si="481"/>
        <v>11.29191181465527</v>
      </c>
      <c r="U1845" s="2597">
        <f t="shared" si="482"/>
        <v>16.539888803924544</v>
      </c>
      <c r="V1845" s="2597">
        <f t="shared" si="483"/>
        <v>3.7694036088736667</v>
      </c>
      <c r="W1845" s="3284">
        <f t="shared" si="484"/>
        <v>0.6827078433547844</v>
      </c>
      <c r="X1845" s="3300"/>
      <c r="Y1845" s="3316"/>
      <c r="AA1845" s="3301"/>
      <c r="AB1845" s="3409"/>
    </row>
    <row r="1846" spans="1:28" x14ac:dyDescent="0.2">
      <c r="A1846" s="2935" t="s">
        <v>628</v>
      </c>
      <c r="B1846" s="3001">
        <f>SUM(K1844:K1850)</f>
        <v>48</v>
      </c>
      <c r="C1846" s="2596">
        <v>44944</v>
      </c>
      <c r="D1846" s="2597"/>
      <c r="E1846" s="2598"/>
      <c r="F1846" s="2759"/>
      <c r="G1846" s="2599"/>
      <c r="H1846" s="2600" t="str">
        <f>IFERROR(VLOOKUP(F1846,Trainingsarten!$A$9:$K$84,10,FALSE),"")</f>
        <v/>
      </c>
      <c r="I1846" s="2601" t="str">
        <f t="shared" si="478"/>
        <v/>
      </c>
      <c r="J1846" s="2602"/>
      <c r="K1846" s="2603" t="str">
        <f>IFERROR(VLOOKUP(F1846,Trainingsarten!$A$9:$K$84,11,FALSE),"0")</f>
        <v>0</v>
      </c>
      <c r="L1846" s="2816"/>
      <c r="M1846" s="2840"/>
      <c r="N1846" s="2604" t="str">
        <f t="shared" si="479"/>
        <v/>
      </c>
      <c r="O1846" s="2605"/>
      <c r="P1846" s="2606" t="str">
        <f>IFERROR(VLOOKUP(F1846,Trainingsarten!$A$9:$N$84,12,FALSE),"")</f>
        <v/>
      </c>
      <c r="Q1846" s="2607" t="s">
        <v>437</v>
      </c>
      <c r="R1846" s="2608" t="str">
        <f>IFERROR(VLOOKUP(F1846,Trainingsarten!$A$9:$N$84,14,FALSE),"")</f>
        <v/>
      </c>
      <c r="S1846" s="2609" t="str">
        <f t="shared" si="480"/>
        <v/>
      </c>
      <c r="T1846" s="2597">
        <f t="shared" si="481"/>
        <v>9.6787815554188033</v>
      </c>
      <c r="U1846" s="2597">
        <f t="shared" si="482"/>
        <v>16.146081927640626</v>
      </c>
      <c r="V1846" s="2597">
        <f t="shared" si="483"/>
        <v>5.247976989269274</v>
      </c>
      <c r="W1846" s="3284">
        <f t="shared" si="484"/>
        <v>0.59945078928712781</v>
      </c>
      <c r="X1846" s="3300"/>
      <c r="Y1846" s="3316"/>
      <c r="AA1846" s="3301"/>
      <c r="AB1846" s="3409"/>
    </row>
    <row r="1847" spans="1:28" x14ac:dyDescent="0.2">
      <c r="A1847" s="2935" t="s">
        <v>761</v>
      </c>
      <c r="B1847" s="3002">
        <f>AVERAGE(W1844:W1850)</f>
        <v>0.65045413715514733</v>
      </c>
      <c r="C1847" s="2596">
        <v>44945</v>
      </c>
      <c r="D1847" s="2597"/>
      <c r="E1847" s="2598"/>
      <c r="F1847" s="2759"/>
      <c r="G1847" s="2599"/>
      <c r="H1847" s="2600" t="str">
        <f>IFERROR(VLOOKUP(F1847,Trainingsarten!$A$9:$K$84,10,FALSE),"")</f>
        <v/>
      </c>
      <c r="I1847" s="2601" t="str">
        <f t="shared" si="478"/>
        <v/>
      </c>
      <c r="J1847" s="2602"/>
      <c r="K1847" s="2603" t="str">
        <f>IFERROR(VLOOKUP(F1847,Trainingsarten!$A$9:$K$84,11,FALSE),"0")</f>
        <v>0</v>
      </c>
      <c r="L1847" s="2816"/>
      <c r="M1847" s="2840"/>
      <c r="N1847" s="2604" t="str">
        <f t="shared" si="479"/>
        <v/>
      </c>
      <c r="O1847" s="2605"/>
      <c r="P1847" s="2606" t="str">
        <f>IFERROR(VLOOKUP(F1847,Trainingsarten!$A$9:$N$84,12,FALSE),"")</f>
        <v/>
      </c>
      <c r="Q1847" s="2607" t="s">
        <v>437</v>
      </c>
      <c r="R1847" s="2608" t="str">
        <f>IFERROR(VLOOKUP(F1847,Trainingsarten!$A$9:$N$84,14,FALSE),"")</f>
        <v/>
      </c>
      <c r="S1847" s="2609" t="str">
        <f t="shared" si="480"/>
        <v/>
      </c>
      <c r="T1847" s="2597">
        <f t="shared" si="481"/>
        <v>8.2960984760732597</v>
      </c>
      <c r="U1847" s="2597">
        <f t="shared" si="482"/>
        <v>15.761651405553945</v>
      </c>
      <c r="V1847" s="2597">
        <f t="shared" si="483"/>
        <v>6.467300372221823</v>
      </c>
      <c r="W1847" s="3284">
        <f t="shared" si="484"/>
        <v>0.52634703449601461</v>
      </c>
      <c r="X1847" s="3300"/>
      <c r="Y1847" s="3316"/>
      <c r="AA1847" s="3301"/>
      <c r="AB1847" s="3409"/>
    </row>
    <row r="1848" spans="1:28" x14ac:dyDescent="0.2">
      <c r="A1848" s="2935" t="s">
        <v>979</v>
      </c>
      <c r="B1848" s="3130">
        <f>IFERROR(AVERAGE(N1844:N1850),"")</f>
        <v>1.0684983570212598</v>
      </c>
      <c r="C1848" s="2596">
        <v>44946</v>
      </c>
      <c r="D1848" s="2597"/>
      <c r="E1848" s="2598"/>
      <c r="F1848" s="2775"/>
      <c r="G1848" s="2599"/>
      <c r="H1848" s="2600" t="str">
        <f>IFERROR(VLOOKUP(F1848,Trainingsarten!$A$9:$K$84,10,FALSE),"")</f>
        <v/>
      </c>
      <c r="I1848" s="2601" t="str">
        <f t="shared" si="478"/>
        <v/>
      </c>
      <c r="J1848" s="2602"/>
      <c r="K1848" s="2603" t="str">
        <f>IFERROR(VLOOKUP(F1848,Trainingsarten!$A$9:$K$84,11,FALSE),"0")</f>
        <v>0</v>
      </c>
      <c r="L1848" s="2816"/>
      <c r="M1848" s="2840"/>
      <c r="N1848" s="2604" t="str">
        <f t="shared" si="479"/>
        <v/>
      </c>
      <c r="O1848" s="2605"/>
      <c r="P1848" s="2606" t="str">
        <f>IFERROR(VLOOKUP(F1848,Trainingsarten!$A$9:$N$84,12,FALSE),"")</f>
        <v/>
      </c>
      <c r="Q1848" s="2607" t="s">
        <v>437</v>
      </c>
      <c r="R1848" s="2608" t="str">
        <f>IFERROR(VLOOKUP(F1848,Trainingsarten!$A$9:$N$84,14,FALSE),"")</f>
        <v/>
      </c>
      <c r="S1848" s="2609" t="str">
        <f t="shared" si="480"/>
        <v/>
      </c>
      <c r="T1848" s="2597">
        <f t="shared" si="481"/>
        <v>7.1109415509199367</v>
      </c>
      <c r="U1848" s="2597">
        <f t="shared" si="482"/>
        <v>15.386373991135994</v>
      </c>
      <c r="V1848" s="2597">
        <f t="shared" si="483"/>
        <v>7.4655529294806851</v>
      </c>
      <c r="W1848" s="3284">
        <f t="shared" si="484"/>
        <v>0.46215837175259822</v>
      </c>
      <c r="X1848" s="3300"/>
      <c r="Y1848" s="3316"/>
      <c r="AA1848" s="3301"/>
      <c r="AB1848" s="3409"/>
    </row>
    <row r="1849" spans="1:28" x14ac:dyDescent="0.2">
      <c r="A1849" s="2935" t="s">
        <v>980</v>
      </c>
      <c r="B1849" s="3002">
        <f>IFERROR(AVERAGE(S1844:S1850),"")</f>
        <v>1.4736842105263157</v>
      </c>
      <c r="C1849" s="2886">
        <v>44947</v>
      </c>
      <c r="D1849" s="2887">
        <v>5</v>
      </c>
      <c r="E1849" s="2888" t="s">
        <v>835</v>
      </c>
      <c r="F1849" s="2889" t="s">
        <v>943</v>
      </c>
      <c r="G1849" s="2890">
        <v>3.1875000000000001E-2</v>
      </c>
      <c r="H1849" s="2891">
        <v>7.54</v>
      </c>
      <c r="I1849" s="2892">
        <f t="shared" si="478"/>
        <v>4.2274535809018569E-3</v>
      </c>
      <c r="J1849" s="2893">
        <v>133</v>
      </c>
      <c r="K1849" s="2894">
        <v>48</v>
      </c>
      <c r="L1849" s="2816">
        <v>196</v>
      </c>
      <c r="M1849" s="2893">
        <v>28</v>
      </c>
      <c r="N1849" s="2895">
        <f t="shared" si="479"/>
        <v>1.0684983570212598</v>
      </c>
      <c r="O1849" s="2896" t="s">
        <v>958</v>
      </c>
      <c r="P1849" s="2897">
        <f>IFERROR(VLOOKUP(F1849,Trainingsarten!$A$9:$N$84,12,FALSE),"")</f>
        <v>194.60000000000002</v>
      </c>
      <c r="Q1849" s="2898" t="s">
        <v>437</v>
      </c>
      <c r="R1849" s="2899">
        <f>IFERROR(VLOOKUP(F1849,Trainingsarten!$A$9:$N$84,14,FALSE),"")</f>
        <v>212.96</v>
      </c>
      <c r="S1849" s="2845">
        <f t="shared" si="480"/>
        <v>1.4736842105263157</v>
      </c>
      <c r="T1849" s="2887">
        <f t="shared" si="481"/>
        <v>12.952235615074231</v>
      </c>
      <c r="U1849" s="2887">
        <f t="shared" si="482"/>
        <v>16.162888896108946</v>
      </c>
      <c r="V1849" s="2887">
        <f t="shared" si="483"/>
        <v>8.2754324402160577</v>
      </c>
      <c r="W1849" s="3284">
        <f t="shared" si="484"/>
        <v>0.80135647150258849</v>
      </c>
      <c r="X1849" s="3300"/>
      <c r="Y1849" s="3316"/>
      <c r="AA1849" s="3301"/>
      <c r="AB1849" s="3409"/>
    </row>
    <row r="1850" spans="1:28" ht="16" thickBot="1" x14ac:dyDescent="0.25">
      <c r="A1850" s="2936" t="s">
        <v>183</v>
      </c>
      <c r="B1850" s="3003">
        <f>IFERROR(SUM(M1844:M1850),"")</f>
        <v>28</v>
      </c>
      <c r="C1850" s="2576">
        <v>44948</v>
      </c>
      <c r="D1850" s="1788"/>
      <c r="E1850" s="1789"/>
      <c r="F1850" s="2763"/>
      <c r="G1850" s="2577"/>
      <c r="H1850" s="2578" t="str">
        <f>IFERROR(VLOOKUP(F1850,Trainingsarten!$A$9:$K$84,10,FALSE),"")</f>
        <v/>
      </c>
      <c r="I1850" s="2579" t="str">
        <f t="shared" si="478"/>
        <v/>
      </c>
      <c r="J1850" s="2580"/>
      <c r="K1850" s="2581" t="str">
        <f>IFERROR(VLOOKUP(F1850,Trainingsarten!$A$9:$K$84,11,FALSE),"0")</f>
        <v>0</v>
      </c>
      <c r="L1850" s="2821"/>
      <c r="M1850" s="2580"/>
      <c r="N1850" s="2582" t="str">
        <f t="shared" si="479"/>
        <v/>
      </c>
      <c r="O1850" s="2583"/>
      <c r="P1850" s="2584" t="str">
        <f>IFERROR(VLOOKUP(F1850,Trainingsarten!$A$9:$N$84,12,FALSE),"")</f>
        <v/>
      </c>
      <c r="Q1850" s="945" t="s">
        <v>437</v>
      </c>
      <c r="R1850" s="946" t="str">
        <f>IFERROR(VLOOKUP(F1850,Trainingsarten!$A$9:$N$84,14,FALSE),"")</f>
        <v/>
      </c>
      <c r="S1850" s="2390" t="str">
        <f t="shared" si="480"/>
        <v/>
      </c>
      <c r="T1850" s="1788">
        <f t="shared" si="481"/>
        <v>11.101916241492198</v>
      </c>
      <c r="U1850" s="1788">
        <f t="shared" si="482"/>
        <v>15.778058208106351</v>
      </c>
      <c r="V1850" s="1788">
        <f t="shared" si="483"/>
        <v>3.2106532810347144</v>
      </c>
      <c r="W1850" s="3293">
        <f t="shared" si="484"/>
        <v>0.70363007253885812</v>
      </c>
      <c r="X1850" s="3300"/>
      <c r="Y1850" s="3316"/>
      <c r="AA1850" s="3301"/>
      <c r="AB1850" s="3409"/>
    </row>
    <row r="1851" spans="1:28" ht="16" thickBot="1" x14ac:dyDescent="0.25">
      <c r="A1851" s="3439">
        <f>WEEKNUM(C1851,1)</f>
        <v>4</v>
      </c>
      <c r="B1851" s="3440"/>
      <c r="C1851" s="2585">
        <v>44949</v>
      </c>
      <c r="D1851" s="2586">
        <v>6</v>
      </c>
      <c r="E1851" s="2587" t="s">
        <v>835</v>
      </c>
      <c r="F1851" s="2761" t="s">
        <v>943</v>
      </c>
      <c r="G1851" s="2588">
        <v>2.7847222222222221E-2</v>
      </c>
      <c r="H1851" s="2589">
        <v>6.92</v>
      </c>
      <c r="I1851" s="2590">
        <f t="shared" si="478"/>
        <v>4.0241650610147719E-3</v>
      </c>
      <c r="J1851" s="2591">
        <v>132</v>
      </c>
      <c r="K1851" s="2592">
        <v>45</v>
      </c>
      <c r="L1851" s="2815">
        <v>206</v>
      </c>
      <c r="M1851" s="2591">
        <v>29</v>
      </c>
      <c r="N1851" s="2593">
        <f t="shared" si="479"/>
        <v>1.0690104391338107</v>
      </c>
      <c r="O1851" s="2594" t="s">
        <v>953</v>
      </c>
      <c r="P1851" s="1919">
        <f>IFERROR(VLOOKUP(F1851,Trainingsarten!$A$9:$N$84,12,FALSE),"")</f>
        <v>194.60000000000002</v>
      </c>
      <c r="Q1851" s="1069" t="s">
        <v>437</v>
      </c>
      <c r="R1851" s="2462">
        <f>IFERROR(VLOOKUP(F1851,Trainingsarten!$A$9:$N$84,14,FALSE),"")</f>
        <v>212.96</v>
      </c>
      <c r="S1851" s="2595">
        <f t="shared" si="480"/>
        <v>1.5606060606060606</v>
      </c>
      <c r="T1851" s="2586">
        <f t="shared" si="481"/>
        <v>15.944499635564741</v>
      </c>
      <c r="U1851" s="2586">
        <f t="shared" si="482"/>
        <v>16.47381872696096</v>
      </c>
      <c r="V1851" s="2586">
        <f t="shared" si="483"/>
        <v>4.6761419666141535</v>
      </c>
      <c r="W1851" s="3283">
        <f t="shared" si="484"/>
        <v>0.96786907151467327</v>
      </c>
      <c r="X1851" s="3300"/>
      <c r="Y1851" s="3316"/>
      <c r="AA1851" s="3301"/>
      <c r="AB1851" s="3409"/>
    </row>
    <row r="1852" spans="1:28" x14ac:dyDescent="0.2">
      <c r="A1852" s="2934" t="s">
        <v>626</v>
      </c>
      <c r="B1852" s="3000">
        <f>SUM(H1851:H1857)</f>
        <v>28.259999999999998</v>
      </c>
      <c r="C1852" s="2596">
        <v>44950</v>
      </c>
      <c r="D1852" s="2597"/>
      <c r="E1852" s="2598"/>
      <c r="F1852" s="2759"/>
      <c r="G1852" s="2599"/>
      <c r="H1852" s="2600" t="str">
        <f>IFERROR(VLOOKUP(F1852,Trainingsarten!$A$9:$K$84,10,FALSE),"")</f>
        <v/>
      </c>
      <c r="I1852" s="2601" t="str">
        <f t="shared" si="478"/>
        <v/>
      </c>
      <c r="J1852" s="2602"/>
      <c r="K1852" s="2603" t="str">
        <f>IFERROR(VLOOKUP(F1852,Trainingsarten!$A$9:$K$84,11,FALSE),"0")</f>
        <v>0</v>
      </c>
      <c r="L1852" s="2816"/>
      <c r="M1852" s="2840"/>
      <c r="N1852" s="2604" t="str">
        <f t="shared" si="479"/>
        <v/>
      </c>
      <c r="O1852" s="2605"/>
      <c r="P1852" s="2606" t="str">
        <f>IFERROR(VLOOKUP(F1852,Trainingsarten!$A$9:$N$84,12,FALSE),"")</f>
        <v/>
      </c>
      <c r="Q1852" s="2607" t="s">
        <v>437</v>
      </c>
      <c r="R1852" s="2608" t="str">
        <f>IFERROR(VLOOKUP(F1852,Trainingsarten!$A$9:$N$84,14,FALSE),"")</f>
        <v/>
      </c>
      <c r="S1852" s="2609" t="str">
        <f t="shared" si="480"/>
        <v/>
      </c>
      <c r="T1852" s="2597">
        <f t="shared" si="481"/>
        <v>13.666713973341206</v>
      </c>
      <c r="U1852" s="2597">
        <f t="shared" si="482"/>
        <v>16.081584947747604</v>
      </c>
      <c r="V1852" s="2597">
        <f t="shared" si="483"/>
        <v>0.52931909139621958</v>
      </c>
      <c r="W1852" s="3284">
        <f t="shared" si="484"/>
        <v>0.8498362579153228</v>
      </c>
      <c r="X1852" s="3300"/>
      <c r="Y1852" s="3316"/>
      <c r="AA1852" s="3301"/>
      <c r="AB1852" s="3409"/>
    </row>
    <row r="1853" spans="1:28" x14ac:dyDescent="0.2">
      <c r="A1853" s="2935" t="s">
        <v>628</v>
      </c>
      <c r="B1853" s="3001">
        <f>SUM(K1851:K1857)</f>
        <v>189</v>
      </c>
      <c r="C1853" s="2596">
        <v>44951</v>
      </c>
      <c r="D1853" s="2597">
        <v>7</v>
      </c>
      <c r="E1853" s="2598" t="s">
        <v>836</v>
      </c>
      <c r="F1853" s="2759" t="s">
        <v>627</v>
      </c>
      <c r="G1853" s="2599">
        <v>3.3043981481481487E-2</v>
      </c>
      <c r="H1853" s="2600">
        <v>8.68</v>
      </c>
      <c r="I1853" s="2601">
        <f t="shared" si="478"/>
        <v>3.8069103089264388E-3</v>
      </c>
      <c r="J1853" s="2602">
        <v>147</v>
      </c>
      <c r="K1853" s="2603">
        <v>62</v>
      </c>
      <c r="L1853" s="2816">
        <v>216</v>
      </c>
      <c r="M1853" s="2840">
        <v>27</v>
      </c>
      <c r="N1853" s="2604">
        <f t="shared" si="479"/>
        <v>1.0603892977508771</v>
      </c>
      <c r="O1853" s="2605" t="s">
        <v>1463</v>
      </c>
      <c r="P1853" s="2606">
        <f>IFERROR(VLOOKUP(F1853,Trainingsarten!$A$9:$N$84,12,FALSE),"")</f>
        <v>279.53100000000006</v>
      </c>
      <c r="Q1853" s="2607" t="s">
        <v>437</v>
      </c>
      <c r="R1853" s="2608">
        <f>IFERROR(VLOOKUP(F1853,Trainingsarten!$A$9:$N$84,14,FALSE),"")</f>
        <v>306.15300000000002</v>
      </c>
      <c r="S1853" s="2609">
        <f t="shared" si="480"/>
        <v>1.4693877551020409</v>
      </c>
      <c r="T1853" s="2597">
        <f t="shared" si="481"/>
        <v>20.57146912000675</v>
      </c>
      <c r="U1853" s="2597">
        <f t="shared" si="482"/>
        <v>17.174880544229804</v>
      </c>
      <c r="V1853" s="2597">
        <f t="shared" si="483"/>
        <v>2.4148709744063979</v>
      </c>
      <c r="W1853" s="3284">
        <f t="shared" si="484"/>
        <v>1.1977649024707824</v>
      </c>
      <c r="X1853" s="3300"/>
      <c r="Y1853" s="3316"/>
      <c r="AA1853" s="3301"/>
      <c r="AB1853" s="3409"/>
    </row>
    <row r="1854" spans="1:28" x14ac:dyDescent="0.2">
      <c r="A1854" s="2935" t="s">
        <v>761</v>
      </c>
      <c r="B1854" s="3002">
        <f>AVERAGE(W1851:W1857)</f>
        <v>1.1293345417427152</v>
      </c>
      <c r="C1854" s="2596">
        <v>44952</v>
      </c>
      <c r="D1854" s="2597">
        <v>8</v>
      </c>
      <c r="E1854" s="2598" t="s">
        <v>836</v>
      </c>
      <c r="F1854" s="2759" t="s">
        <v>974</v>
      </c>
      <c r="G1854" s="2599">
        <v>2.2442129629629631E-2</v>
      </c>
      <c r="H1854" s="2600">
        <v>5.58</v>
      </c>
      <c r="I1854" s="2601">
        <f t="shared" si="478"/>
        <v>4.0218870303995752E-3</v>
      </c>
      <c r="J1854" s="2602">
        <v>133</v>
      </c>
      <c r="K1854" s="2603">
        <v>38</v>
      </c>
      <c r="L1854" s="2816">
        <v>207</v>
      </c>
      <c r="M1854" s="2840">
        <v>20</v>
      </c>
      <c r="N1854" s="2604">
        <f t="shared" si="479"/>
        <v>1.0735917188252286</v>
      </c>
      <c r="O1854" s="2605" t="s">
        <v>953</v>
      </c>
      <c r="P1854" s="2606">
        <f>IFERROR(VLOOKUP(F1854,Trainingsarten!$A$9:$N$84,12,FALSE),"")</f>
        <v>255.10000000000002</v>
      </c>
      <c r="Q1854" s="2607" t="s">
        <v>437</v>
      </c>
      <c r="R1854" s="2608">
        <f>IFERROR(VLOOKUP(F1854,Trainingsarten!$A$9:$N$84,14,FALSE),"")</f>
        <v>278.29999999999995</v>
      </c>
      <c r="S1854" s="2609">
        <f t="shared" si="480"/>
        <v>1.5563909774436091</v>
      </c>
      <c r="T1854" s="2597">
        <f t="shared" si="481"/>
        <v>23.06125924572007</v>
      </c>
      <c r="U1854" s="2597">
        <f t="shared" si="482"/>
        <v>17.670716721748143</v>
      </c>
      <c r="V1854" s="2597">
        <f t="shared" si="483"/>
        <v>-3.3965885757769456</v>
      </c>
      <c r="W1854" s="3284">
        <f t="shared" si="484"/>
        <v>1.3050551151294019</v>
      </c>
      <c r="X1854" s="3300"/>
      <c r="Y1854" s="3316"/>
      <c r="AA1854" s="3301"/>
      <c r="AB1854" s="3409"/>
    </row>
    <row r="1855" spans="1:28" x14ac:dyDescent="0.2">
      <c r="A1855" s="2935" t="s">
        <v>979</v>
      </c>
      <c r="B1855" s="3130">
        <f>IFERROR(AVERAGE(N1851:N1857),"")</f>
        <v>1.0669222884152099</v>
      </c>
      <c r="C1855" s="2596">
        <v>44953</v>
      </c>
      <c r="D1855" s="2597"/>
      <c r="E1855" s="2598"/>
      <c r="F1855" s="2775"/>
      <c r="G1855" s="2599"/>
      <c r="H1855" s="2600" t="str">
        <f>IFERROR(VLOOKUP(F1855,Trainingsarten!$A$9:$K$84,10,FALSE),"")</f>
        <v/>
      </c>
      <c r="I1855" s="2601" t="str">
        <f t="shared" si="478"/>
        <v/>
      </c>
      <c r="J1855" s="2602"/>
      <c r="K1855" s="2603" t="str">
        <f>IFERROR(VLOOKUP(F1855,Trainingsarten!$A$9:$K$84,11,FALSE),"0")</f>
        <v>0</v>
      </c>
      <c r="L1855" s="2816"/>
      <c r="M1855" s="2840"/>
      <c r="N1855" s="2604" t="str">
        <f t="shared" si="479"/>
        <v/>
      </c>
      <c r="O1855" s="2605"/>
      <c r="P1855" s="2606" t="str">
        <f>IFERROR(VLOOKUP(F1855,Trainingsarten!$A$9:$N$84,12,FALSE),"")</f>
        <v/>
      </c>
      <c r="Q1855" s="2607" t="s">
        <v>437</v>
      </c>
      <c r="R1855" s="2608" t="str">
        <f>IFERROR(VLOOKUP(F1855,Trainingsarten!$A$9:$N$84,14,FALSE),"")</f>
        <v/>
      </c>
      <c r="S1855" s="2609" t="str">
        <f t="shared" si="480"/>
        <v/>
      </c>
      <c r="T1855" s="2597">
        <f t="shared" si="481"/>
        <v>19.766793639188631</v>
      </c>
      <c r="U1855" s="2597">
        <f t="shared" si="482"/>
        <v>17.249985371230331</v>
      </c>
      <c r="V1855" s="2597">
        <f t="shared" si="483"/>
        <v>-5.3905425239719271</v>
      </c>
      <c r="W1855" s="3284">
        <f t="shared" si="484"/>
        <v>1.1459020523087431</v>
      </c>
      <c r="X1855" s="3300"/>
      <c r="Y1855" s="3316"/>
      <c r="AA1855" s="3301"/>
      <c r="AB1855" s="3409"/>
    </row>
    <row r="1856" spans="1:28" x14ac:dyDescent="0.2">
      <c r="A1856" s="2935" t="s">
        <v>980</v>
      </c>
      <c r="B1856" s="3002">
        <f>IFERROR(AVERAGE(S1851:S1857),"")</f>
        <v>1.4973156227483593</v>
      </c>
      <c r="C1856" s="2886">
        <v>44954</v>
      </c>
      <c r="D1856" s="2887">
        <v>9</v>
      </c>
      <c r="E1856" s="2888" t="s">
        <v>835</v>
      </c>
      <c r="F1856" s="2889" t="s">
        <v>943</v>
      </c>
      <c r="G1856" s="2890">
        <v>2.9976851851851852E-2</v>
      </c>
      <c r="H1856" s="2891">
        <v>7.08</v>
      </c>
      <c r="I1856" s="2892">
        <f t="shared" si="478"/>
        <v>4.2340186231429166E-3</v>
      </c>
      <c r="J1856" s="2893">
        <v>139</v>
      </c>
      <c r="K1856" s="2894">
        <v>44</v>
      </c>
      <c r="L1856" s="2816">
        <v>195</v>
      </c>
      <c r="M1856" s="2893">
        <v>26</v>
      </c>
      <c r="N1856" s="2895">
        <f t="shared" si="479"/>
        <v>1.0646976979509235</v>
      </c>
      <c r="O1856" s="2896" t="s">
        <v>953</v>
      </c>
      <c r="P1856" s="2897">
        <f>IFERROR(VLOOKUP(F1856,Trainingsarten!$A$9:$N$84,12,FALSE),"")</f>
        <v>194.60000000000002</v>
      </c>
      <c r="Q1856" s="2898" t="s">
        <v>437</v>
      </c>
      <c r="R1856" s="2899">
        <f>IFERROR(VLOOKUP(F1856,Trainingsarten!$A$9:$N$84,14,FALSE),"")</f>
        <v>212.96</v>
      </c>
      <c r="S1856" s="2845">
        <f t="shared" si="480"/>
        <v>1.4028776978417266</v>
      </c>
      <c r="T1856" s="2887">
        <f t="shared" si="481"/>
        <v>23.228680262161685</v>
      </c>
      <c r="U1856" s="2887">
        <f t="shared" si="482"/>
        <v>17.886890481439131</v>
      </c>
      <c r="V1856" s="2887">
        <f t="shared" si="483"/>
        <v>-2.5168082679583001</v>
      </c>
      <c r="W1856" s="3284">
        <f t="shared" si="484"/>
        <v>1.2986427286657578</v>
      </c>
      <c r="X1856" s="3300"/>
      <c r="Y1856" s="3316"/>
      <c r="AA1856" s="3301"/>
      <c r="AB1856" s="3409"/>
    </row>
    <row r="1857" spans="1:28" ht="16" thickBot="1" x14ac:dyDescent="0.25">
      <c r="A1857" s="2936" t="s">
        <v>183</v>
      </c>
      <c r="B1857" s="3003">
        <f>IFERROR(SUM(M1851:M1857),"")</f>
        <v>102</v>
      </c>
      <c r="C1857" s="2576">
        <v>44955</v>
      </c>
      <c r="D1857" s="1788"/>
      <c r="E1857" s="1789"/>
      <c r="F1857" s="2763"/>
      <c r="G1857" s="2577"/>
      <c r="H1857" s="2578" t="str">
        <f>IFERROR(VLOOKUP(F1857,Trainingsarten!$A$9:$K$84,10,FALSE),"")</f>
        <v/>
      </c>
      <c r="I1857" s="2579" t="str">
        <f t="shared" si="478"/>
        <v/>
      </c>
      <c r="J1857" s="2580"/>
      <c r="K1857" s="2581" t="str">
        <f>IFERROR(VLOOKUP(F1857,Trainingsarten!$A$9:$K$84,11,FALSE),"0")</f>
        <v>0</v>
      </c>
      <c r="L1857" s="2821"/>
      <c r="M1857" s="2580"/>
      <c r="N1857" s="2582" t="str">
        <f t="shared" si="479"/>
        <v/>
      </c>
      <c r="O1857" s="2583"/>
      <c r="P1857" s="2584" t="str">
        <f>IFERROR(VLOOKUP(F1857,Trainingsarten!$A$9:$N$84,12,FALSE),"")</f>
        <v/>
      </c>
      <c r="Q1857" s="945" t="s">
        <v>437</v>
      </c>
      <c r="R1857" s="946" t="str">
        <f>IFERROR(VLOOKUP(F1857,Trainingsarten!$A$9:$N$84,14,FALSE),"")</f>
        <v/>
      </c>
      <c r="S1857" s="2390" t="str">
        <f t="shared" si="480"/>
        <v/>
      </c>
      <c r="T1857" s="1788">
        <f t="shared" si="481"/>
        <v>19.910297367567157</v>
      </c>
      <c r="U1857" s="1788">
        <f t="shared" si="482"/>
        <v>17.46101213664296</v>
      </c>
      <c r="V1857" s="1788">
        <f t="shared" si="483"/>
        <v>-5.3417897807225536</v>
      </c>
      <c r="W1857" s="3293">
        <f t="shared" si="484"/>
        <v>1.140271664194324</v>
      </c>
      <c r="X1857" s="3300"/>
      <c r="Y1857" s="3316"/>
      <c r="AA1857" s="3301"/>
      <c r="AB1857" s="3409"/>
    </row>
    <row r="1858" spans="1:28" ht="16" thickBot="1" x14ac:dyDescent="0.25">
      <c r="A1858" s="3439">
        <f>WEEKNUM(C1858,1)</f>
        <v>5</v>
      </c>
      <c r="B1858" s="3440"/>
      <c r="C1858" s="2585">
        <v>44956</v>
      </c>
      <c r="D1858" s="2586"/>
      <c r="E1858" s="2587"/>
      <c r="F1858" s="2761"/>
      <c r="G1858" s="2588"/>
      <c r="H1858" s="2589" t="str">
        <f>IFERROR(VLOOKUP(F1858,Trainingsarten!$A$9:$K$84,10,FALSE),"")</f>
        <v/>
      </c>
      <c r="I1858" s="2590" t="str">
        <f t="shared" si="478"/>
        <v/>
      </c>
      <c r="J1858" s="2591"/>
      <c r="K1858" s="2592" t="str">
        <f>IFERROR(VLOOKUP(F1858,Trainingsarten!$A$9:$K$84,11,FALSE),"0")</f>
        <v>0</v>
      </c>
      <c r="L1858" s="2815"/>
      <c r="M1858" s="2591"/>
      <c r="N1858" s="2593" t="str">
        <f t="shared" si="479"/>
        <v/>
      </c>
      <c r="O1858" s="2594"/>
      <c r="P1858" s="1919" t="str">
        <f>IFERROR(VLOOKUP(F1858,Trainingsarten!$A$9:$N$84,12,FALSE),"")</f>
        <v/>
      </c>
      <c r="Q1858" s="1069" t="s">
        <v>437</v>
      </c>
      <c r="R1858" s="2462" t="str">
        <f>IFERROR(VLOOKUP(F1858,Trainingsarten!$A$9:$N$84,14,FALSE),"")</f>
        <v/>
      </c>
      <c r="S1858" s="2595" t="str">
        <f t="shared" si="480"/>
        <v/>
      </c>
      <c r="T1858" s="2586">
        <f t="shared" si="481"/>
        <v>17.065969172200422</v>
      </c>
      <c r="U1858" s="2586">
        <f t="shared" si="482"/>
        <v>17.045273752437176</v>
      </c>
      <c r="V1858" s="2586">
        <f t="shared" si="483"/>
        <v>-2.4492852309241968</v>
      </c>
      <c r="W1858" s="3283">
        <f t="shared" si="484"/>
        <v>1.0012141441706259</v>
      </c>
      <c r="X1858" s="3300"/>
      <c r="Y1858" s="3316"/>
      <c r="AA1858" s="3301"/>
      <c r="AB1858" s="3409"/>
    </row>
    <row r="1859" spans="1:28" x14ac:dyDescent="0.2">
      <c r="A1859" s="2934" t="s">
        <v>626</v>
      </c>
      <c r="B1859" s="3000">
        <f>SUM(H1858:H1864)</f>
        <v>27.49</v>
      </c>
      <c r="C1859" s="2596">
        <v>44957</v>
      </c>
      <c r="D1859" s="2597">
        <v>10</v>
      </c>
      <c r="E1859" s="2598" t="s">
        <v>835</v>
      </c>
      <c r="F1859" s="2759" t="s">
        <v>943</v>
      </c>
      <c r="G1859" s="2599">
        <v>2.5439814814814814E-2</v>
      </c>
      <c r="H1859" s="2600">
        <v>6.33</v>
      </c>
      <c r="I1859" s="2601">
        <f t="shared" si="478"/>
        <v>4.0189280908080275E-3</v>
      </c>
      <c r="J1859" s="2602">
        <v>133</v>
      </c>
      <c r="K1859" s="2603">
        <v>41</v>
      </c>
      <c r="L1859" s="2816">
        <v>207</v>
      </c>
      <c r="M1859" s="2840">
        <v>23</v>
      </c>
      <c r="N1859" s="2604">
        <f t="shared" si="479"/>
        <v>1.0728018674400508</v>
      </c>
      <c r="O1859" s="2605" t="s">
        <v>953</v>
      </c>
      <c r="P1859" s="2606">
        <f>IFERROR(VLOOKUP(F1859,Trainingsarten!$A$9:$N$84,12,FALSE),"")</f>
        <v>194.60000000000002</v>
      </c>
      <c r="Q1859" s="2607" t="s">
        <v>437</v>
      </c>
      <c r="R1859" s="2608">
        <f>IFERROR(VLOOKUP(F1859,Trainingsarten!$A$9:$N$84,14,FALSE),"")</f>
        <v>212.96</v>
      </c>
      <c r="S1859" s="2609">
        <f t="shared" si="480"/>
        <v>1.5563909774436091</v>
      </c>
      <c r="T1859" s="2597">
        <f t="shared" si="481"/>
        <v>20.485116433314648</v>
      </c>
      <c r="U1859" s="2597">
        <f t="shared" si="482"/>
        <v>17.615624377379149</v>
      </c>
      <c r="V1859" s="2597">
        <f t="shared" si="483"/>
        <v>-2.0695419763246292E-2</v>
      </c>
      <c r="W1859" s="3284">
        <f t="shared" si="484"/>
        <v>1.1628947117889454</v>
      </c>
      <c r="X1859" s="3300"/>
      <c r="Y1859" s="3316"/>
      <c r="AA1859" s="3301"/>
      <c r="AB1859" s="3409"/>
    </row>
    <row r="1860" spans="1:28" x14ac:dyDescent="0.2">
      <c r="A1860" s="2935" t="s">
        <v>628</v>
      </c>
      <c r="B1860" s="3001">
        <f>SUM(K1858:K1864)</f>
        <v>178</v>
      </c>
      <c r="C1860" s="2596">
        <v>44958</v>
      </c>
      <c r="D1860" s="2597"/>
      <c r="E1860" s="2598"/>
      <c r="F1860" s="2759"/>
      <c r="G1860" s="2599"/>
      <c r="H1860" s="2600" t="str">
        <f>IFERROR(VLOOKUP(F1860,Trainingsarten!$A$9:$K$84,10,FALSE),"")</f>
        <v/>
      </c>
      <c r="I1860" s="2601" t="str">
        <f t="shared" si="478"/>
        <v/>
      </c>
      <c r="J1860" s="2602"/>
      <c r="K1860" s="2603" t="str">
        <f>IFERROR(VLOOKUP(F1860,Trainingsarten!$A$9:$K$84,11,FALSE),"0")</f>
        <v>0</v>
      </c>
      <c r="L1860" s="2816"/>
      <c r="M1860" s="2840"/>
      <c r="N1860" s="2604" t="str">
        <f t="shared" si="479"/>
        <v/>
      </c>
      <c r="O1860" s="2605"/>
      <c r="P1860" s="2606" t="str">
        <f>IFERROR(VLOOKUP(F1860,Trainingsarten!$A$9:$N$84,12,FALSE),"")</f>
        <v/>
      </c>
      <c r="Q1860" s="2607" t="s">
        <v>437</v>
      </c>
      <c r="R1860" s="2608" t="str">
        <f>IFERROR(VLOOKUP(F1860,Trainingsarten!$A$9:$N$84,14,FALSE),"")</f>
        <v/>
      </c>
      <c r="S1860" s="2609" t="str">
        <f t="shared" si="480"/>
        <v/>
      </c>
      <c r="T1860" s="2597">
        <f t="shared" si="481"/>
        <v>17.558671228555411</v>
      </c>
      <c r="U1860" s="2597">
        <f t="shared" si="482"/>
        <v>17.196204749346311</v>
      </c>
      <c r="V1860" s="2597">
        <f t="shared" si="483"/>
        <v>-2.8694920559354991</v>
      </c>
      <c r="W1860" s="3284">
        <f t="shared" si="484"/>
        <v>1.0210782835220009</v>
      </c>
      <c r="X1860" s="3300"/>
      <c r="Y1860" s="3316"/>
      <c r="AA1860" s="3301"/>
      <c r="AB1860" s="3409"/>
    </row>
    <row r="1861" spans="1:28" x14ac:dyDescent="0.2">
      <c r="A1861" s="2935" t="s">
        <v>761</v>
      </c>
      <c r="B1861" s="3002">
        <f>AVERAGE(W1858:W1864)</f>
        <v>1.149733716992166</v>
      </c>
      <c r="C1861" s="2596">
        <v>44959</v>
      </c>
      <c r="D1861" s="2597">
        <v>11</v>
      </c>
      <c r="E1861" s="2598" t="s">
        <v>835</v>
      </c>
      <c r="F1861" s="2759" t="s">
        <v>800</v>
      </c>
      <c r="G1861" s="2599">
        <v>2.4849537037037035E-2</v>
      </c>
      <c r="H1861" s="2600">
        <v>5.84</v>
      </c>
      <c r="I1861" s="2601">
        <f t="shared" si="478"/>
        <v>4.2550577118214104E-3</v>
      </c>
      <c r="J1861" s="2602">
        <v>137</v>
      </c>
      <c r="K1861" s="2603">
        <v>37</v>
      </c>
      <c r="L1861" s="2816">
        <v>193</v>
      </c>
      <c r="M1861" s="2840">
        <v>15</v>
      </c>
      <c r="N1861" s="2604">
        <f t="shared" si="479"/>
        <v>1.0590140053158863</v>
      </c>
      <c r="O1861" s="2605" t="s">
        <v>953</v>
      </c>
      <c r="P1861" s="2606">
        <f>IFERROR(VLOOKUP(F1861,Trainingsarten!$A$9:$N$84,12,FALSE),"")</f>
        <v>194.60000000000002</v>
      </c>
      <c r="Q1861" s="2607" t="s">
        <v>437</v>
      </c>
      <c r="R1861" s="2608">
        <f>IFERROR(VLOOKUP(F1861,Trainingsarten!$A$9:$N$84,14,FALSE),"")</f>
        <v>212.96</v>
      </c>
      <c r="S1861" s="2609">
        <f t="shared" si="480"/>
        <v>1.4087591240875912</v>
      </c>
      <c r="T1861" s="2597">
        <f t="shared" si="481"/>
        <v>20.336003910190353</v>
      </c>
      <c r="U1861" s="2597">
        <f t="shared" si="482"/>
        <v>17.667723683885683</v>
      </c>
      <c r="V1861" s="2597">
        <f t="shared" si="483"/>
        <v>-0.36246647920910036</v>
      </c>
      <c r="W1861" s="3284">
        <f t="shared" si="484"/>
        <v>1.1510256937478791</v>
      </c>
      <c r="X1861" s="3300"/>
      <c r="Y1861" s="3316"/>
      <c r="AA1861" s="3301"/>
      <c r="AB1861" s="3409"/>
    </row>
    <row r="1862" spans="1:28" x14ac:dyDescent="0.2">
      <c r="A1862" s="2935" t="s">
        <v>979</v>
      </c>
      <c r="B1862" s="3130">
        <f>IFERROR(AVERAGE(N1858:N1864),"")</f>
        <v>1.0709148384015883</v>
      </c>
      <c r="C1862" s="2596">
        <v>44960</v>
      </c>
      <c r="D1862" s="2597">
        <v>12</v>
      </c>
      <c r="E1862" s="2598" t="s">
        <v>835</v>
      </c>
      <c r="F1862" s="2775" t="s">
        <v>943</v>
      </c>
      <c r="G1862" s="2599">
        <v>2.4039351851851853E-2</v>
      </c>
      <c r="H1862" s="2600">
        <v>5.53</v>
      </c>
      <c r="I1862" s="2601">
        <f t="shared" si="478"/>
        <v>4.3470799008773695E-3</v>
      </c>
      <c r="J1862" s="2602">
        <v>138</v>
      </c>
      <c r="K1862" s="2603">
        <v>36</v>
      </c>
      <c r="L1862" s="2816">
        <v>192</v>
      </c>
      <c r="M1862" s="2840">
        <v>21</v>
      </c>
      <c r="N1862" s="2604">
        <f t="shared" si="479"/>
        <v>1.0763110307414103</v>
      </c>
      <c r="O1862" s="2605" t="s">
        <v>957</v>
      </c>
      <c r="P1862" s="2606">
        <f>IFERROR(VLOOKUP(F1862,Trainingsarten!$A$9:$N$84,12,FALSE),"")</f>
        <v>194.60000000000002</v>
      </c>
      <c r="Q1862" s="2607" t="s">
        <v>437</v>
      </c>
      <c r="R1862" s="2608">
        <f>IFERROR(VLOOKUP(F1862,Trainingsarten!$A$9:$N$84,14,FALSE),"")</f>
        <v>212.96</v>
      </c>
      <c r="S1862" s="2609">
        <f t="shared" si="480"/>
        <v>1.3913043478260869</v>
      </c>
      <c r="T1862" s="2597">
        <f t="shared" si="481"/>
        <v>22.573717637306018</v>
      </c>
      <c r="U1862" s="2597">
        <f t="shared" si="482"/>
        <v>18.104206453316976</v>
      </c>
      <c r="V1862" s="2597">
        <f t="shared" si="483"/>
        <v>-2.6682802263046703</v>
      </c>
      <c r="W1862" s="3284">
        <f t="shared" si="484"/>
        <v>1.246876945173709</v>
      </c>
      <c r="X1862" s="3300"/>
      <c r="Y1862" s="3316"/>
      <c r="AA1862" s="3301"/>
      <c r="AB1862" s="3409"/>
    </row>
    <row r="1863" spans="1:28" x14ac:dyDescent="0.2">
      <c r="A1863" s="2935" t="s">
        <v>980</v>
      </c>
      <c r="B1863" s="3002">
        <f>IFERROR(AVERAGE(S1858:S1864),"")</f>
        <v>1.4641136123393217</v>
      </c>
      <c r="C1863" s="2886">
        <v>44961</v>
      </c>
      <c r="D1863" s="2887"/>
      <c r="E1863" s="2888"/>
      <c r="F1863" s="2889"/>
      <c r="G1863" s="2890"/>
      <c r="H1863" s="2891" t="str">
        <f>IFERROR(VLOOKUP(F1863,Trainingsarten!$A$9:$K$84,10,FALSE),"")</f>
        <v/>
      </c>
      <c r="I1863" s="2892" t="str">
        <f t="shared" si="478"/>
        <v/>
      </c>
      <c r="J1863" s="2893"/>
      <c r="K1863" s="2894" t="str">
        <f>IFERROR(VLOOKUP(F1863,Trainingsarten!$A$9:$K$84,11,FALSE),"0")</f>
        <v>0</v>
      </c>
      <c r="L1863" s="2816"/>
      <c r="M1863" s="2893"/>
      <c r="N1863" s="2895" t="str">
        <f t="shared" si="479"/>
        <v/>
      </c>
      <c r="O1863" s="2896"/>
      <c r="P1863" s="2897" t="str">
        <f>IFERROR(VLOOKUP(F1863,Trainingsarten!$A$9:$N$84,12,FALSE),"")</f>
        <v/>
      </c>
      <c r="Q1863" s="2898" t="s">
        <v>437</v>
      </c>
      <c r="R1863" s="2899" t="str">
        <f>IFERROR(VLOOKUP(F1863,Trainingsarten!$A$9:$N$84,14,FALSE),"")</f>
        <v/>
      </c>
      <c r="S1863" s="2845" t="str">
        <f t="shared" si="480"/>
        <v/>
      </c>
      <c r="T1863" s="2887">
        <f t="shared" si="481"/>
        <v>19.348900831976586</v>
      </c>
      <c r="U1863" s="2887">
        <f t="shared" si="482"/>
        <v>17.673153918714192</v>
      </c>
      <c r="V1863" s="2887">
        <f t="shared" si="483"/>
        <v>-4.4695111839890416</v>
      </c>
      <c r="W1863" s="3284">
        <f t="shared" si="484"/>
        <v>1.0948187811281345</v>
      </c>
      <c r="X1863" s="3300"/>
      <c r="Y1863" s="3316"/>
      <c r="AA1863" s="3301"/>
      <c r="AB1863" s="3409"/>
    </row>
    <row r="1864" spans="1:28" ht="16" thickBot="1" x14ac:dyDescent="0.25">
      <c r="A1864" s="2936" t="s">
        <v>183</v>
      </c>
      <c r="B1864" s="3003">
        <f>IFERROR(SUM(M1858:M1864),"")</f>
        <v>92</v>
      </c>
      <c r="C1864" s="2576">
        <v>44962</v>
      </c>
      <c r="D1864" s="1788">
        <v>13</v>
      </c>
      <c r="E1864" s="1789" t="s">
        <v>835</v>
      </c>
      <c r="F1864" s="2763" t="s">
        <v>819</v>
      </c>
      <c r="G1864" s="2577">
        <v>4.1238425925925921E-2</v>
      </c>
      <c r="H1864" s="2578">
        <v>9.7899999999999991</v>
      </c>
      <c r="I1864" s="2579">
        <f t="shared" si="478"/>
        <v>4.2123009117391143E-3</v>
      </c>
      <c r="J1864" s="2580">
        <v>132</v>
      </c>
      <c r="K1864" s="2581">
        <v>64</v>
      </c>
      <c r="L1864" s="2821">
        <v>198</v>
      </c>
      <c r="M1864" s="2580">
        <v>33</v>
      </c>
      <c r="N1864" s="2582">
        <f t="shared" si="479"/>
        <v>1.0755324501090058</v>
      </c>
      <c r="O1864" s="2583" t="s">
        <v>958</v>
      </c>
      <c r="P1864" s="2584">
        <f>IFERROR(VLOOKUP(F1864,Trainingsarten!$A$9:$N$84,12,FALSE),"")</f>
        <v>194.60000000000002</v>
      </c>
      <c r="Q1864" s="945" t="s">
        <v>437</v>
      </c>
      <c r="R1864" s="946">
        <f>IFERROR(VLOOKUP(F1864,Trainingsarten!$A$9:$N$84,14,FALSE),"")</f>
        <v>212.96</v>
      </c>
      <c r="S1864" s="2390">
        <f t="shared" si="480"/>
        <v>1.5</v>
      </c>
      <c r="T1864" s="1788">
        <f t="shared" si="481"/>
        <v>25.727629284551359</v>
      </c>
      <c r="U1864" s="1788">
        <f t="shared" si="482"/>
        <v>18.776174063506712</v>
      </c>
      <c r="V1864" s="1788">
        <f t="shared" si="483"/>
        <v>-1.6757469132623939</v>
      </c>
      <c r="W1864" s="3293">
        <f t="shared" si="484"/>
        <v>1.3702274594138677</v>
      </c>
      <c r="X1864" s="3300"/>
      <c r="Y1864" s="3316"/>
      <c r="AA1864" s="3301"/>
      <c r="AB1864" s="3409"/>
    </row>
    <row r="1865" spans="1:28" ht="16" thickBot="1" x14ac:dyDescent="0.25">
      <c r="A1865" s="3439">
        <f>WEEKNUM(C1865,1)</f>
        <v>6</v>
      </c>
      <c r="B1865" s="3440"/>
      <c r="C1865" s="2585">
        <v>44963</v>
      </c>
      <c r="D1865" s="2586">
        <v>14</v>
      </c>
      <c r="E1865" s="2587" t="s">
        <v>835</v>
      </c>
      <c r="F1865" s="2761" t="s">
        <v>943</v>
      </c>
      <c r="G1865" s="2588">
        <v>2.8078703703703703E-2</v>
      </c>
      <c r="H1865" s="2589">
        <v>6.81</v>
      </c>
      <c r="I1865" s="2590">
        <f t="shared" si="478"/>
        <v>4.1231576657421009E-3</v>
      </c>
      <c r="J1865" s="2591">
        <v>135</v>
      </c>
      <c r="K1865" s="2592">
        <v>44</v>
      </c>
      <c r="L1865" s="2815">
        <v>202</v>
      </c>
      <c r="M1865" s="2591">
        <v>22</v>
      </c>
      <c r="N1865" s="2593">
        <f t="shared" si="479"/>
        <v>1.0740394941591602</v>
      </c>
      <c r="O1865" s="2594" t="s">
        <v>958</v>
      </c>
      <c r="P1865" s="1919">
        <f>IFERROR(VLOOKUP(F1865,Trainingsarten!$A$9:$N$84,12,FALSE),"")</f>
        <v>194.60000000000002</v>
      </c>
      <c r="Q1865" s="1069" t="s">
        <v>437</v>
      </c>
      <c r="R1865" s="2462">
        <f>IFERROR(VLOOKUP(F1865,Trainingsarten!$A$9:$N$84,14,FALSE),"")</f>
        <v>212.96</v>
      </c>
      <c r="S1865" s="2595">
        <f t="shared" si="480"/>
        <v>1.4962962962962962</v>
      </c>
      <c r="T1865" s="2586">
        <f t="shared" si="481"/>
        <v>28.33796795818688</v>
      </c>
      <c r="U1865" s="2586">
        <f t="shared" si="482"/>
        <v>19.376741347708933</v>
      </c>
      <c r="V1865" s="2586">
        <f t="shared" si="483"/>
        <v>-6.9514552210446467</v>
      </c>
      <c r="W1865" s="3283">
        <f t="shared" si="484"/>
        <v>1.4624733565707375</v>
      </c>
      <c r="X1865" s="3300"/>
      <c r="Y1865" s="3316"/>
      <c r="AA1865" s="3301"/>
      <c r="AB1865" s="3409"/>
    </row>
    <row r="1866" spans="1:28" x14ac:dyDescent="0.2">
      <c r="A1866" s="2934" t="s">
        <v>626</v>
      </c>
      <c r="B1866" s="3000">
        <f>SUM(H1865:H1871)</f>
        <v>33.4</v>
      </c>
      <c r="C1866" s="2596">
        <v>44964</v>
      </c>
      <c r="D1866" s="2597">
        <v>15</v>
      </c>
      <c r="E1866" s="2598" t="s">
        <v>836</v>
      </c>
      <c r="F1866" s="2759" t="s">
        <v>975</v>
      </c>
      <c r="G1866" s="2599">
        <v>2.8171296296296302E-2</v>
      </c>
      <c r="H1866" s="2600">
        <v>7.27</v>
      </c>
      <c r="I1866" s="2601">
        <f t="shared" si="478"/>
        <v>3.8750063681287899E-3</v>
      </c>
      <c r="J1866" s="2602">
        <v>136</v>
      </c>
      <c r="K1866" s="2603">
        <v>52</v>
      </c>
      <c r="L1866" s="2816">
        <v>213</v>
      </c>
      <c r="M1866" s="2840">
        <v>19</v>
      </c>
      <c r="N1866" s="2604">
        <f t="shared" si="479"/>
        <v>1.0643659282678768</v>
      </c>
      <c r="O1866" s="2605" t="s">
        <v>958</v>
      </c>
      <c r="P1866" s="2606" t="str">
        <f>IFERROR(VLOOKUP(F1866,Trainingsarten!$A$9:$N$84,12,FALSE),"")</f>
        <v/>
      </c>
      <c r="Q1866" s="2607" t="s">
        <v>437</v>
      </c>
      <c r="R1866" s="2608" t="str">
        <f>IFERROR(VLOOKUP(F1866,Trainingsarten!$A$9:$N$84,14,FALSE),"")</f>
        <v/>
      </c>
      <c r="S1866" s="2609">
        <f t="shared" si="480"/>
        <v>1.5661764705882353</v>
      </c>
      <c r="T1866" s="2597">
        <f t="shared" si="481"/>
        <v>31.71825824987447</v>
      </c>
      <c r="U1866" s="2597">
        <f t="shared" si="482"/>
        <v>20.153485601334911</v>
      </c>
      <c r="V1866" s="2597">
        <f t="shared" si="483"/>
        <v>-8.9612266104779472</v>
      </c>
      <c r="W1866" s="3284">
        <f t="shared" si="484"/>
        <v>1.5738348629764343</v>
      </c>
      <c r="X1866" s="3300"/>
      <c r="Y1866" s="3316"/>
      <c r="AA1866" s="3301"/>
      <c r="AB1866" s="3409"/>
    </row>
    <row r="1867" spans="1:28" x14ac:dyDescent="0.2">
      <c r="A1867" s="2935" t="s">
        <v>628</v>
      </c>
      <c r="B1867" s="3001">
        <f>SUM(K1865:K1871)</f>
        <v>219</v>
      </c>
      <c r="C1867" s="2596">
        <v>44965</v>
      </c>
      <c r="D1867" s="2597"/>
      <c r="E1867" s="2598"/>
      <c r="F1867" s="2759"/>
      <c r="G1867" s="2599"/>
      <c r="H1867" s="2600" t="str">
        <f>IFERROR(VLOOKUP(F1867,Trainingsarten!$A$9:$K$84,10,FALSE),"")</f>
        <v/>
      </c>
      <c r="I1867" s="2601" t="str">
        <f t="shared" si="478"/>
        <v/>
      </c>
      <c r="J1867" s="2602"/>
      <c r="K1867" s="2603" t="str">
        <f>IFERROR(VLOOKUP(F1867,Trainingsarten!$A$9:$K$84,11,FALSE),"0")</f>
        <v>0</v>
      </c>
      <c r="L1867" s="2816"/>
      <c r="M1867" s="2840"/>
      <c r="N1867" s="2604" t="str">
        <f t="shared" si="479"/>
        <v/>
      </c>
      <c r="O1867" s="2605"/>
      <c r="P1867" s="2606" t="str">
        <f>IFERROR(VLOOKUP(F1867,Trainingsarten!$A$9:$N$84,12,FALSE),"")</f>
        <v/>
      </c>
      <c r="Q1867" s="2607" t="s">
        <v>437</v>
      </c>
      <c r="R1867" s="2608" t="str">
        <f>IFERROR(VLOOKUP(F1867,Trainingsarten!$A$9:$N$84,14,FALSE),"")</f>
        <v/>
      </c>
      <c r="S1867" s="2609" t="str">
        <f t="shared" si="480"/>
        <v/>
      </c>
      <c r="T1867" s="2597">
        <f t="shared" si="481"/>
        <v>27.187078499892401</v>
      </c>
      <c r="U1867" s="2597">
        <f t="shared" si="482"/>
        <v>19.673640706065033</v>
      </c>
      <c r="V1867" s="2597">
        <f t="shared" si="483"/>
        <v>-11.564772648539559</v>
      </c>
      <c r="W1867" s="3284">
        <f t="shared" si="484"/>
        <v>1.3819037821256495</v>
      </c>
      <c r="X1867" s="3300"/>
      <c r="Y1867" s="3316"/>
      <c r="AA1867" s="3301"/>
      <c r="AB1867" s="3409"/>
    </row>
    <row r="1868" spans="1:28" x14ac:dyDescent="0.2">
      <c r="A1868" s="2935" t="s">
        <v>761</v>
      </c>
      <c r="B1868" s="3002">
        <f>AVERAGE(W1865:W1871)</f>
        <v>1.4310845799197573</v>
      </c>
      <c r="C1868" s="2596">
        <v>44966</v>
      </c>
      <c r="D1868" s="2597">
        <v>16</v>
      </c>
      <c r="E1868" s="2598" t="s">
        <v>836</v>
      </c>
      <c r="F1868" s="2759" t="s">
        <v>974</v>
      </c>
      <c r="G1868" s="2599">
        <v>2.3912037037037034E-2</v>
      </c>
      <c r="H1868" s="2600">
        <v>5.99</v>
      </c>
      <c r="I1868" s="2601">
        <f t="shared" si="478"/>
        <v>3.9919928275520926E-3</v>
      </c>
      <c r="J1868" s="2602">
        <v>136</v>
      </c>
      <c r="K1868" s="2603">
        <v>40</v>
      </c>
      <c r="L1868" s="2816">
        <v>205</v>
      </c>
      <c r="M1868" s="2840">
        <v>19</v>
      </c>
      <c r="N1868" s="2604">
        <f t="shared" si="479"/>
        <v>1.055316074053771</v>
      </c>
      <c r="O1868" s="2605" t="s">
        <v>821</v>
      </c>
      <c r="P1868" s="2606">
        <f>IFERROR(VLOOKUP(F1868,Trainingsarten!$A$9:$N$84,12,FALSE),"")</f>
        <v>255.10000000000002</v>
      </c>
      <c r="Q1868" s="2607" t="s">
        <v>437</v>
      </c>
      <c r="R1868" s="2608">
        <f>IFERROR(VLOOKUP(F1868,Trainingsarten!$A$9:$N$84,14,FALSE),"")</f>
        <v>278.29999999999995</v>
      </c>
      <c r="S1868" s="2609">
        <f t="shared" si="480"/>
        <v>1.5073529411764706</v>
      </c>
      <c r="T1868" s="2597">
        <f t="shared" si="481"/>
        <v>29.01749585705063</v>
      </c>
      <c r="U1868" s="2597">
        <f t="shared" si="482"/>
        <v>20.157601641634912</v>
      </c>
      <c r="V1868" s="2597">
        <f t="shared" si="483"/>
        <v>-7.513437793827368</v>
      </c>
      <c r="W1868" s="3284">
        <f t="shared" si="484"/>
        <v>1.4395311690809425</v>
      </c>
      <c r="X1868" s="3300"/>
      <c r="Y1868" s="3316"/>
      <c r="AA1868" s="3301"/>
      <c r="AB1868" s="3409"/>
    </row>
    <row r="1869" spans="1:28" x14ac:dyDescent="0.2">
      <c r="A1869" s="2935" t="s">
        <v>979</v>
      </c>
      <c r="B1869" s="3130">
        <f>IFERROR(AVERAGE(N1865:N1871),"")</f>
        <v>1.0620130047123659</v>
      </c>
      <c r="C1869" s="2596">
        <v>44967</v>
      </c>
      <c r="D1869" s="2597">
        <v>17</v>
      </c>
      <c r="E1869" s="2598" t="s">
        <v>836</v>
      </c>
      <c r="F1869" s="2775" t="s">
        <v>943</v>
      </c>
      <c r="G1869" s="2599">
        <v>2.6192129629629631E-2</v>
      </c>
      <c r="H1869" s="2600">
        <v>6.34</v>
      </c>
      <c r="I1869" s="2601">
        <f t="shared" si="478"/>
        <v>4.1312507302254942E-3</v>
      </c>
      <c r="J1869" s="2602">
        <v>129</v>
      </c>
      <c r="K1869" s="2603">
        <v>39</v>
      </c>
      <c r="L1869" s="2816">
        <v>196</v>
      </c>
      <c r="M1869" s="2840">
        <v>17</v>
      </c>
      <c r="N1869" s="2604">
        <f t="shared" si="479"/>
        <v>1.0441828711332926</v>
      </c>
      <c r="O1869" s="2605" t="s">
        <v>1460</v>
      </c>
      <c r="P1869" s="2606">
        <f>IFERROR(VLOOKUP(F1869,Trainingsarten!$A$9:$N$84,12,FALSE),"")</f>
        <v>194.60000000000002</v>
      </c>
      <c r="Q1869" s="2607" t="s">
        <v>437</v>
      </c>
      <c r="R1869" s="2608">
        <f>IFERROR(VLOOKUP(F1869,Trainingsarten!$A$9:$N$84,14,FALSE),"")</f>
        <v>212.96</v>
      </c>
      <c r="S1869" s="2609">
        <f t="shared" si="480"/>
        <v>1.5193798449612403</v>
      </c>
      <c r="T1869" s="2597">
        <f t="shared" si="481"/>
        <v>30.443567877471967</v>
      </c>
      <c r="U1869" s="2597">
        <f t="shared" si="482"/>
        <v>20.60623017397694</v>
      </c>
      <c r="V1869" s="2597">
        <f t="shared" si="483"/>
        <v>-8.8598942154157179</v>
      </c>
      <c r="W1869" s="3284">
        <f t="shared" si="484"/>
        <v>1.4773962835724479</v>
      </c>
      <c r="X1869" s="3300"/>
      <c r="Y1869" s="3316"/>
      <c r="AA1869" s="3301"/>
      <c r="AB1869" s="3409"/>
    </row>
    <row r="1870" spans="1:28" x14ac:dyDescent="0.2">
      <c r="A1870" s="2935" t="s">
        <v>980</v>
      </c>
      <c r="B1870" s="3002">
        <f>IFERROR(AVERAGE(S1865:S1871),"")</f>
        <v>1.5201666919997971</v>
      </c>
      <c r="C1870" s="2886">
        <v>44968</v>
      </c>
      <c r="D1870" s="2887"/>
      <c r="E1870" s="2888"/>
      <c r="F1870" s="2889"/>
      <c r="G1870" s="2890"/>
      <c r="H1870" s="2891" t="str">
        <f>IFERROR(VLOOKUP(F1870,Trainingsarten!$A$9:$K$84,10,FALSE),"")</f>
        <v/>
      </c>
      <c r="I1870" s="2892" t="str">
        <f t="shared" si="478"/>
        <v/>
      </c>
      <c r="J1870" s="2893"/>
      <c r="K1870" s="2894" t="str">
        <f>IFERROR(VLOOKUP(F1870,Trainingsarten!$A$9:$K$84,11,FALSE),"0")</f>
        <v>0</v>
      </c>
      <c r="L1870" s="2816"/>
      <c r="M1870" s="2893"/>
      <c r="N1870" s="2895" t="str">
        <f t="shared" si="479"/>
        <v/>
      </c>
      <c r="O1870" s="2896"/>
      <c r="P1870" s="2897" t="str">
        <f>IFERROR(VLOOKUP(F1870,Trainingsarten!$A$9:$N$84,12,FALSE),"")</f>
        <v/>
      </c>
      <c r="Q1870" s="2898" t="s">
        <v>437</v>
      </c>
      <c r="R1870" s="2899" t="str">
        <f>IFERROR(VLOOKUP(F1870,Trainingsarten!$A$9:$N$84,14,FALSE),"")</f>
        <v/>
      </c>
      <c r="S1870" s="2845" t="str">
        <f t="shared" si="480"/>
        <v/>
      </c>
      <c r="T1870" s="2887">
        <f t="shared" si="481"/>
        <v>26.094486752118829</v>
      </c>
      <c r="U1870" s="2887">
        <f t="shared" si="482"/>
        <v>20.115605646025109</v>
      </c>
      <c r="V1870" s="2887">
        <f t="shared" si="483"/>
        <v>-9.8373377034950273</v>
      </c>
      <c r="W1870" s="3284">
        <f t="shared" si="484"/>
        <v>1.2972260050880029</v>
      </c>
      <c r="X1870" s="3300"/>
      <c r="Y1870" s="3316"/>
      <c r="AA1870" s="3301"/>
      <c r="AB1870" s="3409"/>
    </row>
    <row r="1871" spans="1:28" ht="16" thickBot="1" x14ac:dyDescent="0.25">
      <c r="A1871" s="2936" t="s">
        <v>183</v>
      </c>
      <c r="B1871" s="3003">
        <f>IFERROR(SUM(M1865:M1871),"")</f>
        <v>101</v>
      </c>
      <c r="C1871" s="2576">
        <v>44969</v>
      </c>
      <c r="D1871" s="1788">
        <v>18</v>
      </c>
      <c r="E1871" s="1789" t="s">
        <v>835</v>
      </c>
      <c r="F1871" s="2763" t="s">
        <v>943</v>
      </c>
      <c r="G1871" s="2577">
        <v>2.9803240740740741E-2</v>
      </c>
      <c r="H1871" s="2578">
        <v>6.99</v>
      </c>
      <c r="I1871" s="2579">
        <f t="shared" si="478"/>
        <v>4.2636968155566153E-3</v>
      </c>
      <c r="J1871" s="2580">
        <v>129</v>
      </c>
      <c r="K1871" s="2581">
        <v>44</v>
      </c>
      <c r="L1871" s="2821">
        <v>195</v>
      </c>
      <c r="M1871" s="2580">
        <v>24</v>
      </c>
      <c r="N1871" s="2582">
        <f t="shared" si="479"/>
        <v>1.0721606559477292</v>
      </c>
      <c r="O1871" s="2583" t="s">
        <v>953</v>
      </c>
      <c r="P1871" s="2584">
        <f>IFERROR(VLOOKUP(F1871,Trainingsarten!$A$9:$N$84,12,FALSE),"")</f>
        <v>194.60000000000002</v>
      </c>
      <c r="Q1871" s="945" t="s">
        <v>437</v>
      </c>
      <c r="R1871" s="946">
        <f>IFERROR(VLOOKUP(F1871,Trainingsarten!$A$9:$N$84,14,FALSE),"")</f>
        <v>212.96</v>
      </c>
      <c r="S1871" s="2390">
        <f t="shared" si="480"/>
        <v>1.5116279069767442</v>
      </c>
      <c r="T1871" s="1788">
        <f t="shared" si="481"/>
        <v>28.652417216101853</v>
      </c>
      <c r="U1871" s="1788">
        <f t="shared" si="482"/>
        <v>20.684281702072131</v>
      </c>
      <c r="V1871" s="1788">
        <f t="shared" si="483"/>
        <v>-5.9788811060937199</v>
      </c>
      <c r="W1871" s="3293">
        <f t="shared" si="484"/>
        <v>1.3852266000240889</v>
      </c>
      <c r="X1871" s="3300"/>
      <c r="Y1871" s="3316"/>
      <c r="AA1871" s="3301"/>
      <c r="AB1871" s="3409"/>
    </row>
    <row r="1872" spans="1:28" ht="16" thickBot="1" x14ac:dyDescent="0.25">
      <c r="A1872" s="3439">
        <f>WEEKNUM(C1872,1)</f>
        <v>7</v>
      </c>
      <c r="B1872" s="3440"/>
      <c r="C1872" s="2585">
        <v>44970</v>
      </c>
      <c r="D1872" s="2586">
        <v>19</v>
      </c>
      <c r="E1872" s="2587" t="s">
        <v>836</v>
      </c>
      <c r="F1872" s="2761" t="s">
        <v>800</v>
      </c>
      <c r="G1872" s="2588">
        <v>2.6018518518518521E-2</v>
      </c>
      <c r="H1872" s="2589">
        <v>6.56</v>
      </c>
      <c r="I1872" s="2590">
        <f t="shared" si="478"/>
        <v>3.9662375790424573E-3</v>
      </c>
      <c r="J1872" s="2591">
        <v>126</v>
      </c>
      <c r="K1872" s="2592">
        <v>43</v>
      </c>
      <c r="L1872" s="2815">
        <v>209</v>
      </c>
      <c r="M1872" s="2591">
        <v>19</v>
      </c>
      <c r="N1872" s="2593">
        <f t="shared" si="479"/>
        <v>1.0689661448853296</v>
      </c>
      <c r="O1872" s="2594" t="s">
        <v>958</v>
      </c>
      <c r="P1872" s="1919">
        <f>IFERROR(VLOOKUP(F1872,Trainingsarten!$A$9:$N$84,12,FALSE),"")</f>
        <v>194.60000000000002</v>
      </c>
      <c r="Q1872" s="1069" t="s">
        <v>437</v>
      </c>
      <c r="R1872" s="2462">
        <f>IFERROR(VLOOKUP(F1872,Trainingsarten!$A$9:$N$84,14,FALSE),"")</f>
        <v>212.96</v>
      </c>
      <c r="S1872" s="2595">
        <f t="shared" si="480"/>
        <v>1.6587301587301588</v>
      </c>
      <c r="T1872" s="2586">
        <f t="shared" si="481"/>
        <v>30.702071899515875</v>
      </c>
      <c r="U1872" s="2586">
        <f t="shared" si="482"/>
        <v>21.215608328213271</v>
      </c>
      <c r="V1872" s="2586">
        <f t="shared" si="483"/>
        <v>-7.9681355140297221</v>
      </c>
      <c r="W1872" s="3283">
        <f t="shared" si="484"/>
        <v>1.4471454895161864</v>
      </c>
      <c r="X1872" s="3300"/>
      <c r="Y1872" s="3316"/>
      <c r="AA1872" s="3301"/>
      <c r="AB1872" s="3409"/>
    </row>
    <row r="1873" spans="1:28" x14ac:dyDescent="0.2">
      <c r="A1873" s="2934" t="s">
        <v>626</v>
      </c>
      <c r="B1873" s="3000">
        <f>SUM(H1872:H1878)</f>
        <v>32.85</v>
      </c>
      <c r="C1873" s="2596">
        <v>44971</v>
      </c>
      <c r="D1873" s="2597">
        <v>20</v>
      </c>
      <c r="E1873" s="2598" t="s">
        <v>836</v>
      </c>
      <c r="F1873" s="2759" t="s">
        <v>914</v>
      </c>
      <c r="G1873" s="2599">
        <v>3.7743055555555557E-2</v>
      </c>
      <c r="H1873" s="2600">
        <v>9.74</v>
      </c>
      <c r="I1873" s="2601">
        <f t="shared" si="478"/>
        <v>3.8750570385580655E-3</v>
      </c>
      <c r="J1873" s="2602">
        <v>143</v>
      </c>
      <c r="K1873" s="2603">
        <v>72</v>
      </c>
      <c r="L1873" s="2816">
        <v>213</v>
      </c>
      <c r="M1873" s="2840">
        <v>24</v>
      </c>
      <c r="N1873" s="2604">
        <f t="shared" si="479"/>
        <v>1.0643798461491312</v>
      </c>
      <c r="O1873" s="2605" t="s">
        <v>1463</v>
      </c>
      <c r="P1873" s="2606">
        <f>IFERROR(VLOOKUP(F1873,Trainingsarten!$A$9:$N$84,12,FALSE),"")</f>
        <v>255.10000000000002</v>
      </c>
      <c r="Q1873" s="2607" t="s">
        <v>437</v>
      </c>
      <c r="R1873" s="2608">
        <f>IFERROR(VLOOKUP(F1873,Trainingsarten!$A$9:$N$84,14,FALSE),"")</f>
        <v>278.29999999999995</v>
      </c>
      <c r="S1873" s="2609">
        <f t="shared" si="480"/>
        <v>1.4895104895104896</v>
      </c>
      <c r="T1873" s="2597">
        <f t="shared" si="481"/>
        <v>36.601775913870753</v>
      </c>
      <c r="U1873" s="2597">
        <f t="shared" si="482"/>
        <v>22.424760510874862</v>
      </c>
      <c r="V1873" s="2597">
        <f t="shared" si="483"/>
        <v>-9.486463571302604</v>
      </c>
      <c r="W1873" s="3284">
        <f t="shared" si="484"/>
        <v>1.632203648111237</v>
      </c>
      <c r="X1873" s="3300"/>
      <c r="Y1873" s="3316"/>
      <c r="AA1873" s="3301"/>
      <c r="AB1873" s="3409"/>
    </row>
    <row r="1874" spans="1:28" x14ac:dyDescent="0.2">
      <c r="A1874" s="2935" t="s">
        <v>628</v>
      </c>
      <c r="B1874" s="3001">
        <f>SUM(K1872:K1878)</f>
        <v>228</v>
      </c>
      <c r="C1874" s="2596">
        <v>44972</v>
      </c>
      <c r="D1874" s="2597"/>
      <c r="E1874" s="2598"/>
      <c r="F1874" s="2759"/>
      <c r="G1874" s="2599"/>
      <c r="H1874" s="2600" t="str">
        <f>IFERROR(VLOOKUP(F1874,Trainingsarten!$A$9:$K$84,10,FALSE),"")</f>
        <v/>
      </c>
      <c r="I1874" s="2601" t="str">
        <f t="shared" si="478"/>
        <v/>
      </c>
      <c r="J1874" s="2602"/>
      <c r="K1874" s="2603" t="str">
        <f>IFERROR(VLOOKUP(F1874,Trainingsarten!$A$9:$K$84,11,FALSE),"0")</f>
        <v>0</v>
      </c>
      <c r="L1874" s="2816"/>
      <c r="M1874" s="2840"/>
      <c r="N1874" s="2604" t="str">
        <f t="shared" si="479"/>
        <v/>
      </c>
      <c r="O1874" s="2605"/>
      <c r="P1874" s="2606" t="str">
        <f>IFERROR(VLOOKUP(F1874,Trainingsarten!$A$9:$N$84,12,FALSE),"")</f>
        <v/>
      </c>
      <c r="Q1874" s="2607" t="s">
        <v>437</v>
      </c>
      <c r="R1874" s="2608" t="str">
        <f>IFERROR(VLOOKUP(F1874,Trainingsarten!$A$9:$N$84,14,FALSE),"")</f>
        <v/>
      </c>
      <c r="S1874" s="2609" t="str">
        <f t="shared" si="480"/>
        <v/>
      </c>
      <c r="T1874" s="2597">
        <f t="shared" si="481"/>
        <v>31.372950783317791</v>
      </c>
      <c r="U1874" s="2597">
        <f t="shared" si="482"/>
        <v>21.890837641568318</v>
      </c>
      <c r="V1874" s="2597">
        <f t="shared" si="483"/>
        <v>-14.177015402995892</v>
      </c>
      <c r="W1874" s="3284">
        <f t="shared" si="484"/>
        <v>1.4331544227318178</v>
      </c>
      <c r="X1874" s="3300"/>
      <c r="Y1874" s="3316"/>
      <c r="AA1874" s="3301"/>
      <c r="AB1874" s="3409"/>
    </row>
    <row r="1875" spans="1:28" x14ac:dyDescent="0.2">
      <c r="A1875" s="2935" t="s">
        <v>761</v>
      </c>
      <c r="B1875" s="3002">
        <f>AVERAGE(W1872:W1878)</f>
        <v>1.4409278374173324</v>
      </c>
      <c r="C1875" s="2596">
        <v>44973</v>
      </c>
      <c r="D1875" s="2597">
        <v>21</v>
      </c>
      <c r="E1875" s="2598" t="s">
        <v>836</v>
      </c>
      <c r="F1875" s="2759" t="s">
        <v>974</v>
      </c>
      <c r="G1875" s="2599">
        <v>2.5752314814814815E-2</v>
      </c>
      <c r="H1875" s="2600">
        <v>6.52</v>
      </c>
      <c r="I1875" s="2601">
        <f t="shared" si="478"/>
        <v>3.9497415360145423E-3</v>
      </c>
      <c r="J1875" s="2602">
        <v>138</v>
      </c>
      <c r="K1875" s="2603">
        <v>44</v>
      </c>
      <c r="L1875" s="2816">
        <v>208</v>
      </c>
      <c r="M1875" s="2840">
        <v>20</v>
      </c>
      <c r="N1875" s="2604">
        <f t="shared" si="479"/>
        <v>1.059426792418277</v>
      </c>
      <c r="O1875" s="2605" t="s">
        <v>976</v>
      </c>
      <c r="P1875" s="2606">
        <f>IFERROR(VLOOKUP(F1875,Trainingsarten!$A$9:$N$84,12,FALSE),"")</f>
        <v>255.10000000000002</v>
      </c>
      <c r="Q1875" s="2607" t="s">
        <v>437</v>
      </c>
      <c r="R1875" s="2608">
        <f>IFERROR(VLOOKUP(F1875,Trainingsarten!$A$9:$N$84,14,FALSE),"")</f>
        <v>278.29999999999995</v>
      </c>
      <c r="S1875" s="2609">
        <f t="shared" si="480"/>
        <v>1.5072463768115942</v>
      </c>
      <c r="T1875" s="2597">
        <f t="shared" si="481"/>
        <v>33.176814957129537</v>
      </c>
      <c r="U1875" s="2597">
        <f t="shared" si="482"/>
        <v>22.417246269150024</v>
      </c>
      <c r="V1875" s="2597">
        <f t="shared" si="483"/>
        <v>-9.4821131417494726</v>
      </c>
      <c r="W1875" s="3284">
        <f t="shared" si="484"/>
        <v>1.4799683493144529</v>
      </c>
      <c r="X1875" s="3300"/>
      <c r="Y1875" s="3316"/>
      <c r="AA1875" s="3301"/>
      <c r="AB1875" s="3409"/>
    </row>
    <row r="1876" spans="1:28" x14ac:dyDescent="0.2">
      <c r="A1876" s="2935" t="s">
        <v>979</v>
      </c>
      <c r="B1876" s="3130">
        <f>IFERROR(AVERAGE(N1872:N1878),"")</f>
        <v>1.0646326833708109</v>
      </c>
      <c r="C1876" s="2596">
        <v>44974</v>
      </c>
      <c r="D1876" s="2597"/>
      <c r="E1876" s="2598"/>
      <c r="F1876" s="2775"/>
      <c r="G1876" s="2599"/>
      <c r="H1876" s="2600" t="str">
        <f>IFERROR(VLOOKUP(F1876,Trainingsarten!$A$9:$K$84,10,FALSE),"")</f>
        <v/>
      </c>
      <c r="I1876" s="2601" t="str">
        <f t="shared" si="478"/>
        <v/>
      </c>
      <c r="J1876" s="2602"/>
      <c r="K1876" s="2603" t="str">
        <f>IFERROR(VLOOKUP(F1876,Trainingsarten!$A$9:$K$84,11,FALSE),"0")</f>
        <v>0</v>
      </c>
      <c r="L1876" s="2816"/>
      <c r="M1876" s="2840"/>
      <c r="N1876" s="2604" t="str">
        <f t="shared" si="479"/>
        <v/>
      </c>
      <c r="O1876" s="2605"/>
      <c r="P1876" s="2606" t="str">
        <f>IFERROR(VLOOKUP(F1876,Trainingsarten!$A$9:$N$84,12,FALSE),"")</f>
        <v/>
      </c>
      <c r="Q1876" s="2607" t="s">
        <v>437</v>
      </c>
      <c r="R1876" s="2608" t="str">
        <f>IFERROR(VLOOKUP(F1876,Trainingsarten!$A$9:$N$84,14,FALSE),"")</f>
        <v/>
      </c>
      <c r="S1876" s="2609" t="str">
        <f t="shared" si="480"/>
        <v/>
      </c>
      <c r="T1876" s="2597">
        <f t="shared" si="481"/>
        <v>28.43726996325389</v>
      </c>
      <c r="U1876" s="2597">
        <f t="shared" si="482"/>
        <v>21.883502310360736</v>
      </c>
      <c r="V1876" s="2597">
        <f t="shared" si="483"/>
        <v>-10.759568687979513</v>
      </c>
      <c r="W1876" s="3284">
        <f t="shared" si="484"/>
        <v>1.2994844042761051</v>
      </c>
      <c r="X1876" s="3300"/>
      <c r="Y1876" s="3316"/>
      <c r="AA1876" s="3301"/>
      <c r="AB1876" s="3409"/>
    </row>
    <row r="1877" spans="1:28" x14ac:dyDescent="0.2">
      <c r="A1877" s="2935" t="s">
        <v>980</v>
      </c>
      <c r="B1877" s="3002">
        <f>IFERROR(AVERAGE(S1872:S1878),"")</f>
        <v>1.5398116058871207</v>
      </c>
      <c r="C1877" s="2886">
        <v>44975</v>
      </c>
      <c r="D1877" s="2887">
        <v>22</v>
      </c>
      <c r="E1877" s="2888" t="s">
        <v>835</v>
      </c>
      <c r="F1877" s="2889" t="s">
        <v>819</v>
      </c>
      <c r="G1877" s="2890">
        <v>4.144675925925926E-2</v>
      </c>
      <c r="H1877" s="2891">
        <v>10.029999999999999</v>
      </c>
      <c r="I1877" s="2892">
        <f t="shared" si="478"/>
        <v>4.1322790886599466E-3</v>
      </c>
      <c r="J1877" s="2893">
        <v>133</v>
      </c>
      <c r="K1877" s="2894">
        <v>69</v>
      </c>
      <c r="L1877" s="2816">
        <v>200</v>
      </c>
      <c r="M1877" s="2893">
        <v>35</v>
      </c>
      <c r="N1877" s="2895">
        <f t="shared" si="479"/>
        <v>1.0657579500305057</v>
      </c>
      <c r="O1877" s="2896" t="s">
        <v>958</v>
      </c>
      <c r="P1877" s="2897">
        <f>IFERROR(VLOOKUP(F1877,Trainingsarten!$A$9:$N$84,12,FALSE),"")</f>
        <v>194.60000000000002</v>
      </c>
      <c r="Q1877" s="2898" t="s">
        <v>437</v>
      </c>
      <c r="R1877" s="2899">
        <f>IFERROR(VLOOKUP(F1877,Trainingsarten!$A$9:$N$84,14,FALSE),"")</f>
        <v>212.96</v>
      </c>
      <c r="S1877" s="2845">
        <f t="shared" si="480"/>
        <v>1.5037593984962405</v>
      </c>
      <c r="T1877" s="2887">
        <f t="shared" si="481"/>
        <v>34.231945682789046</v>
      </c>
      <c r="U1877" s="2887">
        <f t="shared" si="482"/>
        <v>23.005323683923574</v>
      </c>
      <c r="V1877" s="2887">
        <f t="shared" si="483"/>
        <v>-6.5537676528931534</v>
      </c>
      <c r="W1877" s="3284">
        <f t="shared" si="484"/>
        <v>1.4880010450237997</v>
      </c>
      <c r="X1877" s="3300"/>
      <c r="Y1877" s="3316"/>
      <c r="AA1877" s="3301"/>
      <c r="AB1877" s="3409"/>
    </row>
    <row r="1878" spans="1:28" ht="16" thickBot="1" x14ac:dyDescent="0.25">
      <c r="A1878" s="2936" t="s">
        <v>183</v>
      </c>
      <c r="B1878" s="3003">
        <f>IFERROR(SUM(M1872:M1878),"")</f>
        <v>98</v>
      </c>
      <c r="C1878" s="2576">
        <v>44976</v>
      </c>
      <c r="D1878" s="1788"/>
      <c r="E1878" s="1789"/>
      <c r="F1878" s="2763"/>
      <c r="G1878" s="2577"/>
      <c r="H1878" s="2578" t="str">
        <f>IFERROR(VLOOKUP(F1878,Trainingsarten!$A$9:$K$84,10,FALSE),"")</f>
        <v/>
      </c>
      <c r="I1878" s="2579" t="str">
        <f t="shared" si="478"/>
        <v/>
      </c>
      <c r="J1878" s="2580"/>
      <c r="K1878" s="2581" t="str">
        <f>IFERROR(VLOOKUP(F1878,Trainingsarten!$A$9:$K$84,11,FALSE),"0")</f>
        <v>0</v>
      </c>
      <c r="L1878" s="2821"/>
      <c r="M1878" s="2580"/>
      <c r="N1878" s="2582" t="str">
        <f t="shared" si="479"/>
        <v/>
      </c>
      <c r="O1878" s="2583"/>
      <c r="P1878" s="2584" t="str">
        <f>IFERROR(VLOOKUP(F1878,Trainingsarten!$A$9:$N$84,12,FALSE),"")</f>
        <v/>
      </c>
      <c r="Q1878" s="945" t="s">
        <v>437</v>
      </c>
      <c r="R1878" s="946" t="str">
        <f>IFERROR(VLOOKUP(F1878,Trainingsarten!$A$9:$N$84,14,FALSE),"")</f>
        <v/>
      </c>
      <c r="S1878" s="2390" t="str">
        <f t="shared" si="480"/>
        <v/>
      </c>
      <c r="T1878" s="1788">
        <f t="shared" si="481"/>
        <v>29.341667728104895</v>
      </c>
      <c r="U1878" s="1788">
        <f t="shared" si="482"/>
        <v>22.457577881925396</v>
      </c>
      <c r="V1878" s="1788">
        <f t="shared" si="483"/>
        <v>-11.226621998865472</v>
      </c>
      <c r="W1878" s="3293">
        <f t="shared" si="484"/>
        <v>1.3065375029477264</v>
      </c>
      <c r="X1878" s="3300"/>
      <c r="Y1878" s="3316"/>
      <c r="AA1878" s="3301"/>
      <c r="AB1878" s="3409"/>
    </row>
    <row r="1879" spans="1:28" ht="16" thickBot="1" x14ac:dyDescent="0.25">
      <c r="A1879" s="3439">
        <f>WEEKNUM(C1879,1)</f>
        <v>8</v>
      </c>
      <c r="B1879" s="3440"/>
      <c r="C1879" s="2585">
        <v>44977</v>
      </c>
      <c r="D1879" s="2586">
        <v>23</v>
      </c>
      <c r="E1879" s="2587" t="s">
        <v>836</v>
      </c>
      <c r="F1879" s="2761" t="s">
        <v>800</v>
      </c>
      <c r="G1879" s="2588">
        <v>2.7314814814814816E-2</v>
      </c>
      <c r="H1879" s="2589">
        <v>6.72</v>
      </c>
      <c r="I1879" s="2590">
        <f t="shared" si="478"/>
        <v>4.0647045855379191E-3</v>
      </c>
      <c r="J1879" s="2591">
        <v>133</v>
      </c>
      <c r="K1879" s="2592">
        <v>43</v>
      </c>
      <c r="L1879" s="2815">
        <v>202</v>
      </c>
      <c r="M1879" s="2591">
        <v>14</v>
      </c>
      <c r="N1879" s="2593">
        <f t="shared" si="479"/>
        <v>1.0588130774697939</v>
      </c>
      <c r="O1879" s="2594" t="s">
        <v>976</v>
      </c>
      <c r="P1879" s="1919">
        <f>IFERROR(VLOOKUP(F1879,Trainingsarten!$A$9:$N$84,12,FALSE),"")</f>
        <v>194.60000000000002</v>
      </c>
      <c r="Q1879" s="1069" t="s">
        <v>437</v>
      </c>
      <c r="R1879" s="2462">
        <f>IFERROR(VLOOKUP(F1879,Trainingsarten!$A$9:$N$84,14,FALSE),"")</f>
        <v>212.96</v>
      </c>
      <c r="S1879" s="2595">
        <f t="shared" si="480"/>
        <v>1.518796992481203</v>
      </c>
      <c r="T1879" s="2586">
        <f t="shared" si="481"/>
        <v>31.292858052661337</v>
      </c>
      <c r="U1879" s="2586">
        <f t="shared" si="482"/>
        <v>22.946683170450981</v>
      </c>
      <c r="V1879" s="2586">
        <f t="shared" si="483"/>
        <v>-6.8840898461794993</v>
      </c>
      <c r="W1879" s="3283">
        <f t="shared" si="484"/>
        <v>1.3637203172333827</v>
      </c>
      <c r="X1879" s="3300"/>
      <c r="Y1879" s="3316"/>
      <c r="AA1879" s="3301"/>
      <c r="AB1879" s="3409"/>
    </row>
    <row r="1880" spans="1:28" x14ac:dyDescent="0.2">
      <c r="A1880" s="2934" t="s">
        <v>626</v>
      </c>
      <c r="B1880" s="3000">
        <f>SUM(H1879:H1885)</f>
        <v>40.25</v>
      </c>
      <c r="C1880" s="2596">
        <v>44978</v>
      </c>
      <c r="D1880" s="2597">
        <v>24</v>
      </c>
      <c r="E1880" s="2598" t="s">
        <v>836</v>
      </c>
      <c r="F1880" s="2759" t="s">
        <v>914</v>
      </c>
      <c r="G1880" s="2599">
        <v>3.5046296296296298E-2</v>
      </c>
      <c r="H1880" s="2600">
        <v>9.2200000000000006</v>
      </c>
      <c r="I1880" s="2601">
        <f t="shared" si="478"/>
        <v>3.8011167349562142E-3</v>
      </c>
      <c r="J1880" s="2602">
        <v>135</v>
      </c>
      <c r="K1880" s="2603">
        <v>67</v>
      </c>
      <c r="L1880" s="2816">
        <v>215</v>
      </c>
      <c r="M1880" s="2840">
        <v>15</v>
      </c>
      <c r="N1880" s="2604">
        <f t="shared" si="479"/>
        <v>1.0538737980380095</v>
      </c>
      <c r="O1880" s="2605" t="s">
        <v>1463</v>
      </c>
      <c r="P1880" s="2606">
        <f>IFERROR(VLOOKUP(F1880,Trainingsarten!$A$9:$N$84,12,FALSE),"")</f>
        <v>255.10000000000002</v>
      </c>
      <c r="Q1880" s="2607" t="s">
        <v>437</v>
      </c>
      <c r="R1880" s="2608">
        <f>IFERROR(VLOOKUP(F1880,Trainingsarten!$A$9:$N$84,14,FALSE),"")</f>
        <v>278.29999999999995</v>
      </c>
      <c r="S1880" s="2609">
        <f t="shared" si="480"/>
        <v>1.5925925925925926</v>
      </c>
      <c r="T1880" s="2597">
        <f t="shared" si="481"/>
        <v>36.393878330852573</v>
      </c>
      <c r="U1880" s="2597">
        <f t="shared" si="482"/>
        <v>23.995571666392625</v>
      </c>
      <c r="V1880" s="2597">
        <f t="shared" si="483"/>
        <v>-8.3461748822103559</v>
      </c>
      <c r="W1880" s="3284">
        <f t="shared" si="484"/>
        <v>1.5166914477734486</v>
      </c>
      <c r="X1880" s="3300"/>
      <c r="Y1880" s="3316"/>
      <c r="AA1880" s="3301"/>
      <c r="AB1880" s="3409"/>
    </row>
    <row r="1881" spans="1:28" x14ac:dyDescent="0.2">
      <c r="A1881" s="2935" t="s">
        <v>628</v>
      </c>
      <c r="B1881" s="3001">
        <f>SUM(K1879:K1885)</f>
        <v>271</v>
      </c>
      <c r="C1881" s="2596">
        <v>44979</v>
      </c>
      <c r="D1881" s="2597"/>
      <c r="E1881" s="2598"/>
      <c r="F1881" s="2759"/>
      <c r="G1881" s="2599"/>
      <c r="H1881" s="2600" t="str">
        <f>IFERROR(VLOOKUP(F1881,Trainingsarten!$A$9:$K$84,10,FALSE),"")</f>
        <v/>
      </c>
      <c r="I1881" s="2601" t="str">
        <f t="shared" si="478"/>
        <v/>
      </c>
      <c r="J1881" s="2602"/>
      <c r="K1881" s="2603" t="str">
        <f>IFERROR(VLOOKUP(F1881,Trainingsarten!$A$9:$K$84,11,FALSE),"0")</f>
        <v>0</v>
      </c>
      <c r="L1881" s="2816"/>
      <c r="M1881" s="2840"/>
      <c r="N1881" s="2604" t="str">
        <f t="shared" si="479"/>
        <v/>
      </c>
      <c r="O1881" s="2605"/>
      <c r="P1881" s="2606" t="str">
        <f>IFERROR(VLOOKUP(F1881,Trainingsarten!$A$9:$N$84,12,FALSE),"")</f>
        <v/>
      </c>
      <c r="Q1881" s="2607" t="s">
        <v>437</v>
      </c>
      <c r="R1881" s="2608" t="str">
        <f>IFERROR(VLOOKUP(F1881,Trainingsarten!$A$9:$N$84,14,FALSE),"")</f>
        <v/>
      </c>
      <c r="S1881" s="2609" t="str">
        <f t="shared" si="480"/>
        <v/>
      </c>
      <c r="T1881" s="2597">
        <f t="shared" si="481"/>
        <v>31.194752855016489</v>
      </c>
      <c r="U1881" s="2597">
        <f t="shared" si="482"/>
        <v>23.424248531478515</v>
      </c>
      <c r="V1881" s="2597">
        <f t="shared" si="483"/>
        <v>-12.398306664459948</v>
      </c>
      <c r="W1881" s="3284">
        <f t="shared" si="484"/>
        <v>1.3317290760937597</v>
      </c>
      <c r="X1881" s="3300"/>
      <c r="Y1881" s="3316"/>
      <c r="AA1881" s="3301"/>
      <c r="AB1881" s="3409"/>
    </row>
    <row r="1882" spans="1:28" x14ac:dyDescent="0.2">
      <c r="A1882" s="2935" t="s">
        <v>761</v>
      </c>
      <c r="B1882" s="3002">
        <f>AVERAGE(W1879:W1885)</f>
        <v>1.4182911845799437</v>
      </c>
      <c r="C1882" s="2596">
        <v>44980</v>
      </c>
      <c r="D1882" s="2597">
        <v>25</v>
      </c>
      <c r="E1882" s="2598" t="s">
        <v>836</v>
      </c>
      <c r="F1882" s="2759" t="s">
        <v>974</v>
      </c>
      <c r="G1882" s="2599">
        <v>2.4826388888888887E-2</v>
      </c>
      <c r="H1882" s="2600">
        <v>6.2</v>
      </c>
      <c r="I1882" s="2601">
        <f t="shared" si="478"/>
        <v>4.0042562724014333E-3</v>
      </c>
      <c r="J1882" s="2602">
        <v>136</v>
      </c>
      <c r="K1882" s="2603">
        <v>41</v>
      </c>
      <c r="L1882" s="2816">
        <v>205</v>
      </c>
      <c r="M1882" s="2840">
        <v>12</v>
      </c>
      <c r="N1882" s="2604">
        <f t="shared" si="479"/>
        <v>1.0585580163697641</v>
      </c>
      <c r="O1882" s="2605" t="s">
        <v>958</v>
      </c>
      <c r="P1882" s="2606">
        <f>IFERROR(VLOOKUP(F1882,Trainingsarten!$A$9:$N$84,12,FALSE),"")</f>
        <v>255.10000000000002</v>
      </c>
      <c r="Q1882" s="2607" t="s">
        <v>437</v>
      </c>
      <c r="R1882" s="2608">
        <f>IFERROR(VLOOKUP(F1882,Trainingsarten!$A$9:$N$84,14,FALSE),"")</f>
        <v>278.29999999999995</v>
      </c>
      <c r="S1882" s="2609">
        <f t="shared" si="480"/>
        <v>1.5073529411764706</v>
      </c>
      <c r="T1882" s="2597">
        <f t="shared" si="481"/>
        <v>32.595502447156989</v>
      </c>
      <c r="U1882" s="2597">
        <f t="shared" si="482"/>
        <v>23.842718804538549</v>
      </c>
      <c r="V1882" s="2597">
        <f t="shared" si="483"/>
        <v>-7.770504323537974</v>
      </c>
      <c r="W1882" s="3284">
        <f t="shared" si="484"/>
        <v>1.3671050988091304</v>
      </c>
      <c r="X1882" s="3300"/>
      <c r="Y1882" s="3316"/>
      <c r="AA1882" s="3301"/>
      <c r="AB1882" s="3409"/>
    </row>
    <row r="1883" spans="1:28" x14ac:dyDescent="0.2">
      <c r="A1883" s="2935" t="s">
        <v>979</v>
      </c>
      <c r="B1883" s="3130">
        <f>IFERROR(AVERAGE(N1879:N1885),"")</f>
        <v>1.0587070635645925</v>
      </c>
      <c r="C1883" s="2596">
        <v>44981</v>
      </c>
      <c r="D1883" s="2597">
        <v>26</v>
      </c>
      <c r="E1883" s="2598" t="s">
        <v>835</v>
      </c>
      <c r="F1883" s="2775" t="s">
        <v>943</v>
      </c>
      <c r="G1883" s="2599">
        <v>2.6944444444444441E-2</v>
      </c>
      <c r="H1883" s="2600">
        <v>6.41</v>
      </c>
      <c r="I1883" s="2601">
        <f t="shared" si="478"/>
        <v>4.2035014733922682E-3</v>
      </c>
      <c r="J1883" s="2602">
        <v>132</v>
      </c>
      <c r="K1883" s="2603">
        <v>40</v>
      </c>
      <c r="L1883" s="2816">
        <v>193</v>
      </c>
      <c r="M1883" s="2840">
        <v>14</v>
      </c>
      <c r="N1883" s="2604">
        <f t="shared" si="479"/>
        <v>1.0461825040165784</v>
      </c>
      <c r="O1883" s="2605" t="s">
        <v>976</v>
      </c>
      <c r="P1883" s="2606">
        <f>IFERROR(VLOOKUP(F1883,Trainingsarten!$A$9:$N$84,12,FALSE),"")</f>
        <v>194.60000000000002</v>
      </c>
      <c r="Q1883" s="2607" t="s">
        <v>437</v>
      </c>
      <c r="R1883" s="2608">
        <f>IFERROR(VLOOKUP(F1883,Trainingsarten!$A$9:$N$84,14,FALSE),"")</f>
        <v>212.96</v>
      </c>
      <c r="S1883" s="2609">
        <f t="shared" si="480"/>
        <v>1.4621212121212122</v>
      </c>
      <c r="T1883" s="2597">
        <f t="shared" si="481"/>
        <v>33.653287811848848</v>
      </c>
      <c r="U1883" s="2597">
        <f t="shared" si="482"/>
        <v>24.22741597585906</v>
      </c>
      <c r="V1883" s="2597">
        <f t="shared" si="483"/>
        <v>-8.7527836426184393</v>
      </c>
      <c r="W1883" s="3284">
        <f t="shared" si="484"/>
        <v>1.3890580755860227</v>
      </c>
      <c r="X1883" s="3300"/>
      <c r="Y1883" s="3316"/>
      <c r="AA1883" s="3301"/>
      <c r="AB1883" s="3409"/>
    </row>
    <row r="1884" spans="1:28" x14ac:dyDescent="0.2">
      <c r="A1884" s="2935" t="s">
        <v>980</v>
      </c>
      <c r="B1884" s="3002">
        <f>IFERROR(AVERAGE(S1879:S1885),"")</f>
        <v>1.5199895415674252</v>
      </c>
      <c r="C1884" s="2886">
        <v>44982</v>
      </c>
      <c r="D1884" s="2887">
        <v>27</v>
      </c>
      <c r="E1884" s="2888" t="s">
        <v>835</v>
      </c>
      <c r="F1884" s="2889" t="s">
        <v>819</v>
      </c>
      <c r="G1884" s="2890">
        <v>4.9062500000000002E-2</v>
      </c>
      <c r="H1884" s="2891">
        <v>11.7</v>
      </c>
      <c r="I1884" s="2892">
        <f t="shared" si="478"/>
        <v>4.1933760683760691E-3</v>
      </c>
      <c r="J1884" s="2893">
        <v>131</v>
      </c>
      <c r="K1884" s="2894">
        <v>80</v>
      </c>
      <c r="L1884" s="2816">
        <v>199</v>
      </c>
      <c r="M1884" s="2893">
        <v>45</v>
      </c>
      <c r="N1884" s="2895">
        <f t="shared" si="479"/>
        <v>1.0761079219288177</v>
      </c>
      <c r="O1884" s="2896" t="s">
        <v>953</v>
      </c>
      <c r="P1884" s="2897">
        <f>IFERROR(VLOOKUP(F1884,Trainingsarten!$A$9:$N$84,12,FALSE),"")</f>
        <v>194.60000000000002</v>
      </c>
      <c r="Q1884" s="2898" t="s">
        <v>437</v>
      </c>
      <c r="R1884" s="2899">
        <f>IFERROR(VLOOKUP(F1884,Trainingsarten!$A$9:$N$84,14,FALSE),"")</f>
        <v>212.96</v>
      </c>
      <c r="S1884" s="2845">
        <f t="shared" si="480"/>
        <v>1.5190839694656488</v>
      </c>
      <c r="T1884" s="2887">
        <f t="shared" si="481"/>
        <v>40.274246695870438</v>
      </c>
      <c r="U1884" s="2887">
        <f t="shared" si="482"/>
        <v>25.555334643100512</v>
      </c>
      <c r="V1884" s="2887">
        <f t="shared" si="483"/>
        <v>-9.4258718359897884</v>
      </c>
      <c r="W1884" s="3284">
        <f t="shared" si="484"/>
        <v>1.5759624070015366</v>
      </c>
      <c r="X1884" s="3300"/>
      <c r="Y1884" s="3316"/>
      <c r="AA1884" s="3301"/>
      <c r="AB1884" s="3409"/>
    </row>
    <row r="1885" spans="1:28" ht="16" thickBot="1" x14ac:dyDescent="0.25">
      <c r="A1885" s="2936" t="s">
        <v>183</v>
      </c>
      <c r="B1885" s="3003">
        <f>IFERROR(SUM(M1879:M1885),"")</f>
        <v>100</v>
      </c>
      <c r="C1885" s="2576">
        <v>44983</v>
      </c>
      <c r="D1885" s="1788"/>
      <c r="E1885" s="1789"/>
      <c r="F1885" s="2763"/>
      <c r="G1885" s="2577"/>
      <c r="H1885" s="2578" t="str">
        <f>IFERROR(VLOOKUP(F1885,Trainingsarten!$A$9:$K$84,10,FALSE),"")</f>
        <v/>
      </c>
      <c r="I1885" s="2579" t="str">
        <f t="shared" si="478"/>
        <v/>
      </c>
      <c r="J1885" s="2580"/>
      <c r="K1885" s="2581" t="str">
        <f>IFERROR(VLOOKUP(F1885,Trainingsarten!$A$9:$K$84,11,FALSE),"0")</f>
        <v>0</v>
      </c>
      <c r="L1885" s="2821"/>
      <c r="M1885" s="2580"/>
      <c r="N1885" s="2582" t="str">
        <f t="shared" si="479"/>
        <v/>
      </c>
      <c r="O1885" s="2583"/>
      <c r="P1885" s="2584" t="str">
        <f>IFERROR(VLOOKUP(F1885,Trainingsarten!$A$9:$N$84,12,FALSE),"")</f>
        <v/>
      </c>
      <c r="Q1885" s="945" t="s">
        <v>437</v>
      </c>
      <c r="R1885" s="946" t="str">
        <f>IFERROR(VLOOKUP(F1885,Trainingsarten!$A$9:$N$84,14,FALSE),"")</f>
        <v/>
      </c>
      <c r="S1885" s="2390" t="str">
        <f t="shared" si="480"/>
        <v/>
      </c>
      <c r="T1885" s="1788">
        <f t="shared" si="481"/>
        <v>34.520782882174665</v>
      </c>
      <c r="U1885" s="1788">
        <f t="shared" si="482"/>
        <v>24.946874294455263</v>
      </c>
      <c r="V1885" s="1788">
        <f t="shared" si="483"/>
        <v>-14.718912052769927</v>
      </c>
      <c r="W1885" s="3293">
        <f t="shared" si="484"/>
        <v>1.3837718695623249</v>
      </c>
      <c r="X1885" s="3300"/>
      <c r="Y1885" s="3316"/>
      <c r="AA1885" s="3301"/>
      <c r="AB1885" s="3409"/>
    </row>
    <row r="1886" spans="1:28" ht="16" thickBot="1" x14ac:dyDescent="0.25">
      <c r="A1886" s="3439">
        <f>WEEKNUM(C1886,1)</f>
        <v>9</v>
      </c>
      <c r="B1886" s="3440"/>
      <c r="C1886" s="2585">
        <v>44984</v>
      </c>
      <c r="D1886" s="2586">
        <v>28</v>
      </c>
      <c r="E1886" s="2587" t="s">
        <v>836</v>
      </c>
      <c r="F1886" s="2761" t="s">
        <v>943</v>
      </c>
      <c r="G1886" s="2588">
        <v>2.8993055555555553E-2</v>
      </c>
      <c r="H1886" s="2589">
        <v>7.24</v>
      </c>
      <c r="I1886" s="2590">
        <f t="shared" si="478"/>
        <v>4.0045656844689987E-3</v>
      </c>
      <c r="J1886" s="2591">
        <v>133</v>
      </c>
      <c r="K1886" s="2592">
        <v>47</v>
      </c>
      <c r="L1886" s="2815">
        <v>205</v>
      </c>
      <c r="M1886" s="2591">
        <v>21</v>
      </c>
      <c r="N1886" s="2593">
        <f t="shared" si="479"/>
        <v>1.0586398119897749</v>
      </c>
      <c r="O1886" s="2594" t="s">
        <v>976</v>
      </c>
      <c r="P1886" s="1919">
        <f>IFERROR(VLOOKUP(F1886,Trainingsarten!$A$9:$N$84,12,FALSE),"")</f>
        <v>194.60000000000002</v>
      </c>
      <c r="Q1886" s="1069" t="s">
        <v>437</v>
      </c>
      <c r="R1886" s="2462">
        <f>IFERROR(VLOOKUP(F1886,Trainingsarten!$A$9:$N$84,14,FALSE),"")</f>
        <v>212.96</v>
      </c>
      <c r="S1886" s="2595">
        <f t="shared" si="480"/>
        <v>1.5413533834586466</v>
      </c>
      <c r="T1886" s="2586">
        <f t="shared" si="481"/>
        <v>36.303528184721138</v>
      </c>
      <c r="U1886" s="2586">
        <f t="shared" si="482"/>
        <v>25.471948716015852</v>
      </c>
      <c r="V1886" s="2586">
        <f t="shared" si="483"/>
        <v>-9.5739085877194015</v>
      </c>
      <c r="W1886" s="3283">
        <f t="shared" si="484"/>
        <v>1.4252356028769317</v>
      </c>
      <c r="X1886" s="3300"/>
      <c r="Y1886" s="3316"/>
      <c r="AA1886" s="3301"/>
      <c r="AB1886" s="3409"/>
    </row>
    <row r="1887" spans="1:28" x14ac:dyDescent="0.2">
      <c r="A1887" s="2934" t="s">
        <v>626</v>
      </c>
      <c r="B1887" s="3000">
        <f>SUM(H1886:H1892)</f>
        <v>40.75</v>
      </c>
      <c r="C1887" s="2596">
        <v>44985</v>
      </c>
      <c r="D1887" s="2597">
        <v>29</v>
      </c>
      <c r="E1887" s="2598" t="s">
        <v>836</v>
      </c>
      <c r="F1887" s="2759" t="s">
        <v>978</v>
      </c>
      <c r="G1887" s="2599">
        <v>3.5439814814814813E-2</v>
      </c>
      <c r="H1887" s="2600">
        <v>9.0399999999999991</v>
      </c>
      <c r="I1887" s="2601">
        <f t="shared" si="478"/>
        <v>3.9203334972140284E-3</v>
      </c>
      <c r="J1887" s="2602">
        <v>137</v>
      </c>
      <c r="K1887" s="2603">
        <v>65</v>
      </c>
      <c r="L1887" s="2816">
        <v>209</v>
      </c>
      <c r="M1887" s="2840">
        <v>15</v>
      </c>
      <c r="N1887" s="2604">
        <f t="shared" si="479"/>
        <v>1.0565942411834632</v>
      </c>
      <c r="O1887" s="2605" t="s">
        <v>1463</v>
      </c>
      <c r="P1887" s="2606" t="str">
        <f>IFERROR(VLOOKUP(F1887,Trainingsarten!$A$9:$N$84,12,FALSE),"")</f>
        <v/>
      </c>
      <c r="Q1887" s="2607" t="s">
        <v>437</v>
      </c>
      <c r="R1887" s="2608" t="str">
        <f>IFERROR(VLOOKUP(F1887,Trainingsarten!$A$9:$N$84,14,FALSE),"")</f>
        <v/>
      </c>
      <c r="S1887" s="2609">
        <f t="shared" si="480"/>
        <v>1.5255474452554745</v>
      </c>
      <c r="T1887" s="2597">
        <f t="shared" si="481"/>
        <v>40.403024158332407</v>
      </c>
      <c r="U1887" s="2597">
        <f t="shared" si="482"/>
        <v>26.413092794205951</v>
      </c>
      <c r="V1887" s="2597">
        <f t="shared" si="483"/>
        <v>-10.831579468705286</v>
      </c>
      <c r="W1887" s="3284">
        <f t="shared" si="484"/>
        <v>1.5296589639512161</v>
      </c>
      <c r="X1887" s="3300"/>
      <c r="Y1887" s="3316"/>
      <c r="AA1887" s="3301"/>
      <c r="AB1887" s="3409"/>
    </row>
    <row r="1888" spans="1:28" x14ac:dyDescent="0.2">
      <c r="A1888" s="2935" t="s">
        <v>628</v>
      </c>
      <c r="B1888" s="3001">
        <f>SUM(K1886:K1892)</f>
        <v>283</v>
      </c>
      <c r="C1888" s="2596">
        <v>44986</v>
      </c>
      <c r="D1888" s="2597"/>
      <c r="E1888" s="2598"/>
      <c r="F1888" s="2759"/>
      <c r="G1888" s="2599"/>
      <c r="H1888" s="2600" t="str">
        <f>IFERROR(VLOOKUP(F1888,Trainingsarten!$A$9:$K$84,10,FALSE),"")</f>
        <v/>
      </c>
      <c r="I1888" s="2601" t="str">
        <f t="shared" si="478"/>
        <v/>
      </c>
      <c r="J1888" s="2602"/>
      <c r="K1888" s="2603" t="str">
        <f>IFERROR(VLOOKUP(F1888,Trainingsarten!$A$9:$K$84,11,FALSE),"0")</f>
        <v>0</v>
      </c>
      <c r="L1888" s="2816"/>
      <c r="M1888" s="2840"/>
      <c r="N1888" s="2604" t="str">
        <f t="shared" si="479"/>
        <v/>
      </c>
      <c r="O1888" s="2605"/>
      <c r="P1888" s="2606" t="str">
        <f>IFERROR(VLOOKUP(F1888,Trainingsarten!$A$9:$N$84,12,FALSE),"")</f>
        <v/>
      </c>
      <c r="Q1888" s="2607" t="s">
        <v>437</v>
      </c>
      <c r="R1888" s="2608" t="str">
        <f>IFERROR(VLOOKUP(F1888,Trainingsarten!$A$9:$N$84,14,FALSE),"")</f>
        <v/>
      </c>
      <c r="S1888" s="2609" t="str">
        <f t="shared" si="480"/>
        <v/>
      </c>
      <c r="T1888" s="2597">
        <f t="shared" si="481"/>
        <v>34.631163564284918</v>
      </c>
      <c r="U1888" s="2597">
        <f t="shared" si="482"/>
        <v>25.784209632439143</v>
      </c>
      <c r="V1888" s="2597">
        <f t="shared" si="483"/>
        <v>-13.989931364126456</v>
      </c>
      <c r="W1888" s="3284">
        <f t="shared" si="484"/>
        <v>1.3431151878596044</v>
      </c>
      <c r="X1888" s="3300"/>
      <c r="Y1888" s="3316"/>
      <c r="AA1888" s="3301"/>
      <c r="AB1888" s="3409"/>
    </row>
    <row r="1889" spans="1:28" x14ac:dyDescent="0.2">
      <c r="A1889" s="2935" t="s">
        <v>761</v>
      </c>
      <c r="B1889" s="3002">
        <f>AVERAGE(W1886:W1892)</f>
        <v>1.4039225372131265</v>
      </c>
      <c r="C1889" s="2596">
        <v>44987</v>
      </c>
      <c r="D1889" s="2597">
        <v>30</v>
      </c>
      <c r="E1889" s="2598" t="s">
        <v>836</v>
      </c>
      <c r="F1889" s="2759" t="s">
        <v>974</v>
      </c>
      <c r="G1889" s="2599">
        <v>2.8437500000000001E-2</v>
      </c>
      <c r="H1889" s="2600">
        <v>7.46</v>
      </c>
      <c r="I1889" s="2601">
        <f t="shared" si="478"/>
        <v>3.8119973190348525E-3</v>
      </c>
      <c r="J1889" s="2602">
        <v>134</v>
      </c>
      <c r="K1889" s="2603">
        <v>54</v>
      </c>
      <c r="L1889" s="2816">
        <v>222</v>
      </c>
      <c r="M1889" s="2840">
        <v>21</v>
      </c>
      <c r="N1889" s="2604">
        <f t="shared" si="479"/>
        <v>1.0913008683125927</v>
      </c>
      <c r="O1889" s="2605" t="s">
        <v>958</v>
      </c>
      <c r="P1889" s="2606">
        <f>IFERROR(VLOOKUP(F1889,Trainingsarten!$A$9:$N$84,12,FALSE),"")</f>
        <v>255.10000000000002</v>
      </c>
      <c r="Q1889" s="2607" t="s">
        <v>437</v>
      </c>
      <c r="R1889" s="2608">
        <f>IFERROR(VLOOKUP(F1889,Trainingsarten!$A$9:$N$84,14,FALSE),"")</f>
        <v>278.29999999999995</v>
      </c>
      <c r="S1889" s="2609">
        <f t="shared" si="480"/>
        <v>1.6567164179104477</v>
      </c>
      <c r="T1889" s="2597">
        <f t="shared" si="481"/>
        <v>37.398140197958504</v>
      </c>
      <c r="U1889" s="2597">
        <f t="shared" si="482"/>
        <v>26.456014165000116</v>
      </c>
      <c r="V1889" s="2597">
        <f t="shared" si="483"/>
        <v>-8.8469539318457748</v>
      </c>
      <c r="W1889" s="3284">
        <f t="shared" si="484"/>
        <v>1.4135969222239921</v>
      </c>
      <c r="X1889" s="3300"/>
      <c r="Y1889" s="3316"/>
      <c r="AA1889" s="3301"/>
      <c r="AB1889" s="3409"/>
    </row>
    <row r="1890" spans="1:28" x14ac:dyDescent="0.2">
      <c r="A1890" s="2935" t="s">
        <v>979</v>
      </c>
      <c r="B1890" s="3130">
        <f>IFERROR(AVERAGE(N1886:N1892),"")</f>
        <v>1.0754826107243012</v>
      </c>
      <c r="C1890" s="2596">
        <v>44988</v>
      </c>
      <c r="D1890" s="2597">
        <v>31</v>
      </c>
      <c r="E1890" s="2598" t="s">
        <v>836</v>
      </c>
      <c r="F1890" s="2775" t="s">
        <v>943</v>
      </c>
      <c r="G1890" s="2599">
        <v>2.7939814814814817E-2</v>
      </c>
      <c r="H1890" s="2600">
        <v>7.14</v>
      </c>
      <c r="I1890" s="2601">
        <f t="shared" si="478"/>
        <v>3.9131393298059971E-3</v>
      </c>
      <c r="J1890" s="2602">
        <v>129</v>
      </c>
      <c r="K1890" s="2603">
        <v>48</v>
      </c>
      <c r="L1890" s="2816">
        <v>212</v>
      </c>
      <c r="M1890" s="2840">
        <v>17</v>
      </c>
      <c r="N1890" s="2604">
        <f t="shared" si="479"/>
        <v>1.0697938877043356</v>
      </c>
      <c r="O1890" s="2605" t="s">
        <v>976</v>
      </c>
      <c r="P1890" s="2606">
        <f>IFERROR(VLOOKUP(F1890,Trainingsarten!$A$9:$N$84,12,FALSE),"")</f>
        <v>194.60000000000002</v>
      </c>
      <c r="Q1890" s="2607" t="s">
        <v>437</v>
      </c>
      <c r="R1890" s="2608">
        <f>IFERROR(VLOOKUP(F1890,Trainingsarten!$A$9:$N$84,14,FALSE),"")</f>
        <v>212.96</v>
      </c>
      <c r="S1890" s="2609">
        <f t="shared" si="480"/>
        <v>1.6434108527131783</v>
      </c>
      <c r="T1890" s="2597">
        <f t="shared" si="481"/>
        <v>38.912691598250149</v>
      </c>
      <c r="U1890" s="2597">
        <f t="shared" si="482"/>
        <v>26.968966208690588</v>
      </c>
      <c r="V1890" s="2597">
        <f t="shared" si="483"/>
        <v>-10.942126032958388</v>
      </c>
      <c r="W1890" s="3284">
        <f t="shared" si="484"/>
        <v>1.4428692333676019</v>
      </c>
      <c r="X1890" s="3300"/>
      <c r="Y1890" s="3316"/>
      <c r="AA1890" s="3301"/>
      <c r="AB1890" s="3409"/>
    </row>
    <row r="1891" spans="1:28" x14ac:dyDescent="0.2">
      <c r="A1891" s="2935" t="s">
        <v>980</v>
      </c>
      <c r="B1891" s="3002">
        <f>IFERROR(AVERAGE(S1886:S1892),"")</f>
        <v>1.6057133121752418</v>
      </c>
      <c r="C1891" s="2886">
        <v>44989</v>
      </c>
      <c r="D1891" s="2887"/>
      <c r="E1891" s="2888"/>
      <c r="F1891" s="2889"/>
      <c r="G1891" s="2890"/>
      <c r="H1891" s="2891" t="str">
        <f>IFERROR(VLOOKUP(F1891,Trainingsarten!$A$9:$K$84,10,FALSE),"")</f>
        <v/>
      </c>
      <c r="I1891" s="2892" t="str">
        <f t="shared" si="478"/>
        <v/>
      </c>
      <c r="J1891" s="2893"/>
      <c r="K1891" s="2894" t="str">
        <f>IFERROR(VLOOKUP(F1891,Trainingsarten!$A$9:$K$84,11,FALSE),"0")</f>
        <v>0</v>
      </c>
      <c r="L1891" s="2816"/>
      <c r="M1891" s="2893"/>
      <c r="N1891" s="2895" t="str">
        <f t="shared" si="479"/>
        <v/>
      </c>
      <c r="O1891" s="2896"/>
      <c r="P1891" s="2897" t="str">
        <f>IFERROR(VLOOKUP(F1891,Trainingsarten!$A$9:$N$84,12,FALSE),"")</f>
        <v/>
      </c>
      <c r="Q1891" s="2898" t="s">
        <v>437</v>
      </c>
      <c r="R1891" s="2899" t="str">
        <f>IFERROR(VLOOKUP(F1891,Trainingsarten!$A$9:$N$84,14,FALSE),"")</f>
        <v/>
      </c>
      <c r="S1891" s="2845" t="str">
        <f t="shared" si="480"/>
        <v/>
      </c>
      <c r="T1891" s="2887">
        <f t="shared" si="481"/>
        <v>33.353735655642986</v>
      </c>
      <c r="U1891" s="2887">
        <f t="shared" si="482"/>
        <v>26.326847965626527</v>
      </c>
      <c r="V1891" s="2887">
        <f t="shared" si="483"/>
        <v>-11.94372538955956</v>
      </c>
      <c r="W1891" s="3284">
        <f t="shared" si="484"/>
        <v>1.2669095707617968</v>
      </c>
      <c r="X1891" s="3300"/>
      <c r="Y1891" s="3316"/>
      <c r="AA1891" s="3301"/>
      <c r="AB1891" s="3409"/>
    </row>
    <row r="1892" spans="1:28" ht="16" thickBot="1" x14ac:dyDescent="0.25">
      <c r="A1892" s="2936" t="s">
        <v>183</v>
      </c>
      <c r="B1892" s="3003">
        <f>IFERROR(SUM(M1886:M1892),"")</f>
        <v>97</v>
      </c>
      <c r="C1892" s="2576">
        <v>44990</v>
      </c>
      <c r="D1892" s="1788">
        <v>32</v>
      </c>
      <c r="E1892" s="1789" t="s">
        <v>836</v>
      </c>
      <c r="F1892" s="2763" t="s">
        <v>819</v>
      </c>
      <c r="G1892" s="2577">
        <v>3.9016203703703699E-2</v>
      </c>
      <c r="H1892" s="2578">
        <v>9.8699999999999992</v>
      </c>
      <c r="I1892" s="2579">
        <f t="shared" si="478"/>
        <v>3.9530094937896354E-3</v>
      </c>
      <c r="J1892" s="2580">
        <v>130</v>
      </c>
      <c r="K1892" s="2581">
        <v>69</v>
      </c>
      <c r="L1892" s="2821">
        <v>216</v>
      </c>
      <c r="M1892" s="2580">
        <v>23</v>
      </c>
      <c r="N1892" s="2582">
        <f t="shared" si="479"/>
        <v>1.1010842444313389</v>
      </c>
      <c r="O1892" s="2583" t="s">
        <v>953</v>
      </c>
      <c r="P1892" s="2584">
        <f>IFERROR(VLOOKUP(F1892,Trainingsarten!$A$9:$N$84,12,FALSE),"")</f>
        <v>194.60000000000002</v>
      </c>
      <c r="Q1892" s="945" t="s">
        <v>437</v>
      </c>
      <c r="R1892" s="946">
        <f>IFERROR(VLOOKUP(F1892,Trainingsarten!$A$9:$N$84,14,FALSE),"")</f>
        <v>212.96</v>
      </c>
      <c r="S1892" s="2390">
        <f t="shared" si="480"/>
        <v>1.6615384615384616</v>
      </c>
      <c r="T1892" s="1788">
        <f t="shared" si="481"/>
        <v>38.446059133408276</v>
      </c>
      <c r="U1892" s="1788">
        <f t="shared" si="482"/>
        <v>27.342875395016371</v>
      </c>
      <c r="V1892" s="1788">
        <f t="shared" si="483"/>
        <v>-7.0268876900164585</v>
      </c>
      <c r="W1892" s="3293">
        <f t="shared" si="484"/>
        <v>1.4060722794507421</v>
      </c>
      <c r="X1892" s="3300"/>
      <c r="Y1892" s="3316"/>
      <c r="AA1892" s="3301"/>
      <c r="AB1892" s="3409"/>
    </row>
    <row r="1893" spans="1:28" ht="16" thickBot="1" x14ac:dyDescent="0.25">
      <c r="A1893" s="3439">
        <f>WEEKNUM(C1893,1)</f>
        <v>10</v>
      </c>
      <c r="B1893" s="3440"/>
      <c r="C1893" s="2585">
        <v>44991</v>
      </c>
      <c r="D1893" s="2586"/>
      <c r="E1893" s="2587"/>
      <c r="F1893" s="2761"/>
      <c r="G1893" s="2588"/>
      <c r="H1893" s="2589" t="str">
        <f>IFERROR(VLOOKUP(F1893,Trainingsarten!$A$9:$K$84,10,FALSE),"")</f>
        <v/>
      </c>
      <c r="I1893" s="2590" t="str">
        <f t="shared" si="478"/>
        <v/>
      </c>
      <c r="J1893" s="2591"/>
      <c r="K1893" s="2592" t="str">
        <f>IFERROR(VLOOKUP(F1893,Trainingsarten!$A$9:$K$84,11,FALSE),"0")</f>
        <v>0</v>
      </c>
      <c r="L1893" s="2924"/>
      <c r="M1893" s="2591"/>
      <c r="N1893" s="2593" t="str">
        <f t="shared" si="479"/>
        <v/>
      </c>
      <c r="O1893" s="2594"/>
      <c r="P1893" s="1919" t="str">
        <f>IFERROR(VLOOKUP(F1893,Trainingsarten!$A$9:$N$84,12,FALSE),"")</f>
        <v/>
      </c>
      <c r="Q1893" s="1069" t="s">
        <v>437</v>
      </c>
      <c r="R1893" s="2462" t="str">
        <f>IFERROR(VLOOKUP(F1893,Trainingsarten!$A$9:$N$84,14,FALSE),"")</f>
        <v/>
      </c>
      <c r="S1893" s="2595" t="str">
        <f t="shared" si="480"/>
        <v/>
      </c>
      <c r="T1893" s="2586">
        <f t="shared" si="481"/>
        <v>32.953764971492809</v>
      </c>
      <c r="U1893" s="2586">
        <f t="shared" si="482"/>
        <v>26.691854552277885</v>
      </c>
      <c r="V1893" s="2586">
        <f t="shared" si="483"/>
        <v>-11.103183738391905</v>
      </c>
      <c r="W1893" s="3283">
        <f t="shared" si="484"/>
        <v>1.2346000502494321</v>
      </c>
      <c r="X1893" s="3300"/>
      <c r="Y1893" s="3316"/>
      <c r="AA1893" s="3301"/>
      <c r="AB1893" s="3409"/>
    </row>
    <row r="1894" spans="1:28" x14ac:dyDescent="0.2">
      <c r="A1894" s="2934" t="s">
        <v>626</v>
      </c>
      <c r="B1894" s="3000">
        <f>SUM(H1893:H1899)</f>
        <v>15.24</v>
      </c>
      <c r="C1894" s="2596">
        <v>44992</v>
      </c>
      <c r="D1894" s="2597">
        <v>33</v>
      </c>
      <c r="E1894" s="2598" t="s">
        <v>836</v>
      </c>
      <c r="F1894" s="2759" t="s">
        <v>943</v>
      </c>
      <c r="G1894" s="2442">
        <v>2.7870370370370368E-2</v>
      </c>
      <c r="H1894" s="2443">
        <v>7.32</v>
      </c>
      <c r="I1894" s="2444">
        <f t="shared" ref="I1894:I1957" si="485">IFERROR(G1894/H1894,"")</f>
        <v>3.8074276462254598E-3</v>
      </c>
      <c r="J1894" s="1320">
        <v>138</v>
      </c>
      <c r="K1894" s="2445">
        <v>53</v>
      </c>
      <c r="L1894" s="2819">
        <v>223</v>
      </c>
      <c r="M1894" s="1320">
        <v>19</v>
      </c>
      <c r="N1894" s="2604">
        <f t="shared" ref="N1894:N1957" si="486">IFERROR((L1894/67)/(1/(I1894*24)/3.6),"")</f>
        <v>1.0949025364978384</v>
      </c>
      <c r="O1894" s="2605" t="s">
        <v>958</v>
      </c>
      <c r="P1894" s="2606">
        <f>IFERROR(VLOOKUP(F1894,Trainingsarten!$A$9:$N$84,12,FALSE),"")</f>
        <v>194.60000000000002</v>
      </c>
      <c r="Q1894" s="2607" t="s">
        <v>437</v>
      </c>
      <c r="R1894" s="2608">
        <f>IFERROR(VLOOKUP(F1894,Trainingsarten!$A$9:$N$84,14,FALSE),"")</f>
        <v>212.96</v>
      </c>
      <c r="S1894" s="2609">
        <f t="shared" ref="S1894:S1957" si="487">IFERROR(L1894/J1894,"")</f>
        <v>1.6159420289855073</v>
      </c>
      <c r="T1894" s="2597">
        <f t="shared" ref="T1894:T1957" si="488">T1893+(K1894-T1893)/7</f>
        <v>35.817512832708125</v>
      </c>
      <c r="U1894" s="2597">
        <f t="shared" ref="U1894:U1957" si="489">U1893+(K1894-U1893)/42</f>
        <v>27.318238967699841</v>
      </c>
      <c r="V1894" s="2597">
        <f t="shared" ref="V1894:V1957" si="490">U1893-T1893</f>
        <v>-6.2619104192149244</v>
      </c>
      <c r="W1894" s="3284">
        <f t="shared" ref="W1894:W1957" si="491">T1894/U1894</f>
        <v>1.3111208550103663</v>
      </c>
      <c r="X1894" s="3300"/>
      <c r="Y1894" s="3316"/>
      <c r="AA1894" s="3301"/>
      <c r="AB1894" s="3409"/>
    </row>
    <row r="1895" spans="1:28" x14ac:dyDescent="0.2">
      <c r="A1895" s="2935" t="s">
        <v>628</v>
      </c>
      <c r="B1895" s="3001">
        <f>SUM(K1893:K1899)</f>
        <v>111</v>
      </c>
      <c r="C1895" s="2596">
        <v>44993</v>
      </c>
      <c r="D1895" s="2597">
        <v>34</v>
      </c>
      <c r="E1895" s="2598" t="s">
        <v>836</v>
      </c>
      <c r="F1895" s="2759" t="s">
        <v>978</v>
      </c>
      <c r="G1895" s="2599">
        <v>2.8611111111111115E-2</v>
      </c>
      <c r="H1895" s="2600">
        <v>7.92</v>
      </c>
      <c r="I1895" s="2601">
        <f t="shared" si="485"/>
        <v>3.6125140291806963E-3</v>
      </c>
      <c r="J1895" s="2602">
        <v>141</v>
      </c>
      <c r="K1895" s="2603">
        <v>58</v>
      </c>
      <c r="L1895" s="2816">
        <v>228</v>
      </c>
      <c r="M1895" s="2840">
        <v>19</v>
      </c>
      <c r="N1895" s="2604">
        <f t="shared" si="486"/>
        <v>1.062143826322931</v>
      </c>
      <c r="O1895" s="2605" t="s">
        <v>1463</v>
      </c>
      <c r="P1895" s="2606" t="str">
        <f>IFERROR(VLOOKUP(F1895,Trainingsarten!$A$9:$N$84,12,FALSE),"")</f>
        <v/>
      </c>
      <c r="Q1895" s="2607" t="s">
        <v>437</v>
      </c>
      <c r="R1895" s="2608" t="str">
        <f>IFERROR(VLOOKUP(F1895,Trainingsarten!$A$9:$N$84,14,FALSE),"")</f>
        <v/>
      </c>
      <c r="S1895" s="2609">
        <f t="shared" si="487"/>
        <v>1.6170212765957446</v>
      </c>
      <c r="T1895" s="2597">
        <f t="shared" si="488"/>
        <v>38.986439570892678</v>
      </c>
      <c r="U1895" s="2597">
        <f t="shared" si="489"/>
        <v>28.048757087516513</v>
      </c>
      <c r="V1895" s="2597">
        <f t="shared" si="490"/>
        <v>-8.4992738650082842</v>
      </c>
      <c r="W1895" s="3284">
        <f t="shared" si="491"/>
        <v>1.3899524834290833</v>
      </c>
      <c r="X1895" s="3300"/>
      <c r="Y1895" s="3316"/>
      <c r="AA1895" s="3301"/>
      <c r="AB1895" s="3409"/>
    </row>
    <row r="1896" spans="1:28" x14ac:dyDescent="0.2">
      <c r="A1896" s="2935" t="s">
        <v>761</v>
      </c>
      <c r="B1896" s="3002">
        <f>AVERAGE(W1893:W1899)</f>
        <v>1.1421196126918243</v>
      </c>
      <c r="C1896" s="2596">
        <v>44994</v>
      </c>
      <c r="D1896" s="2597"/>
      <c r="E1896" s="2598"/>
      <c r="F1896" s="2759"/>
      <c r="G1896" s="2599"/>
      <c r="H1896" s="2600" t="str">
        <f>IFERROR(VLOOKUP(F1896,Trainingsarten!$A$9:$K$84,10,FALSE),"")</f>
        <v/>
      </c>
      <c r="I1896" s="2601" t="str">
        <f t="shared" si="485"/>
        <v/>
      </c>
      <c r="J1896" s="2602"/>
      <c r="K1896" s="2603" t="str">
        <f>IFERROR(VLOOKUP(F1896,Trainingsarten!$A$9:$K$84,11,FALSE),"0")</f>
        <v>0</v>
      </c>
      <c r="L1896" s="2816"/>
      <c r="M1896" s="2840"/>
      <c r="N1896" s="2604" t="str">
        <f t="shared" si="486"/>
        <v/>
      </c>
      <c r="O1896" s="2605"/>
      <c r="P1896" s="2606" t="str">
        <f>IFERROR(VLOOKUP(F1896,Trainingsarten!$A$9:$N$84,12,FALSE),"")</f>
        <v/>
      </c>
      <c r="Q1896" s="2607" t="s">
        <v>437</v>
      </c>
      <c r="R1896" s="2608" t="str">
        <f>IFERROR(VLOOKUP(F1896,Trainingsarten!$A$9:$N$84,14,FALSE),"")</f>
        <v/>
      </c>
      <c r="S1896" s="2609" t="str">
        <f t="shared" si="487"/>
        <v/>
      </c>
      <c r="T1896" s="2597">
        <f t="shared" si="488"/>
        <v>33.416948203622297</v>
      </c>
      <c r="U1896" s="2597">
        <f t="shared" si="489"/>
        <v>27.380929537813739</v>
      </c>
      <c r="V1896" s="2597">
        <f t="shared" si="490"/>
        <v>-10.937682483376165</v>
      </c>
      <c r="W1896" s="3284">
        <f t="shared" si="491"/>
        <v>1.2204460830109025</v>
      </c>
      <c r="X1896" s="3300"/>
      <c r="Y1896" s="3316"/>
      <c r="AA1896" s="3301"/>
      <c r="AB1896" s="3409"/>
    </row>
    <row r="1897" spans="1:28" x14ac:dyDescent="0.2">
      <c r="A1897" s="2935" t="s">
        <v>979</v>
      </c>
      <c r="B1897" s="3130">
        <f>IFERROR(AVERAGE(N1893:N1899),"")</f>
        <v>1.0785231814103846</v>
      </c>
      <c r="C1897" s="2596">
        <v>44995</v>
      </c>
      <c r="D1897" s="2597"/>
      <c r="E1897" s="2598"/>
      <c r="F1897" s="2775"/>
      <c r="G1897" s="2599"/>
      <c r="H1897" s="2600" t="str">
        <f>IFERROR(VLOOKUP(F1897,Trainingsarten!$A$9:$K$84,10,FALSE),"")</f>
        <v/>
      </c>
      <c r="I1897" s="2601" t="str">
        <f t="shared" si="485"/>
        <v/>
      </c>
      <c r="J1897" s="2602"/>
      <c r="K1897" s="2603" t="str">
        <f>IFERROR(VLOOKUP(F1897,Trainingsarten!$A$9:$K$84,11,FALSE),"0")</f>
        <v>0</v>
      </c>
      <c r="L1897" s="2816"/>
      <c r="M1897" s="2840"/>
      <c r="N1897" s="2604" t="str">
        <f t="shared" si="486"/>
        <v/>
      </c>
      <c r="O1897" s="2605"/>
      <c r="P1897" s="2606" t="str">
        <f>IFERROR(VLOOKUP(F1897,Trainingsarten!$A$9:$N$84,12,FALSE),"")</f>
        <v/>
      </c>
      <c r="Q1897" s="2607" t="s">
        <v>437</v>
      </c>
      <c r="R1897" s="2608" t="str">
        <f>IFERROR(VLOOKUP(F1897,Trainingsarten!$A$9:$N$84,14,FALSE),"")</f>
        <v/>
      </c>
      <c r="S1897" s="2609" t="str">
        <f t="shared" si="487"/>
        <v/>
      </c>
      <c r="T1897" s="2597">
        <f t="shared" si="488"/>
        <v>28.643098460247685</v>
      </c>
      <c r="U1897" s="2597">
        <f t="shared" si="489"/>
        <v>26.729002644056269</v>
      </c>
      <c r="V1897" s="2597">
        <f t="shared" si="490"/>
        <v>-6.0360186658085588</v>
      </c>
      <c r="W1897" s="3284">
        <f t="shared" si="491"/>
        <v>1.0716111948388412</v>
      </c>
      <c r="X1897" s="3300"/>
      <c r="Y1897" s="3316"/>
      <c r="AA1897" s="3301"/>
      <c r="AB1897" s="3409"/>
    </row>
    <row r="1898" spans="1:28" x14ac:dyDescent="0.2">
      <c r="A1898" s="2935" t="s">
        <v>980</v>
      </c>
      <c r="B1898" s="3002">
        <f>IFERROR(AVERAGE(S1893:S1899),"")</f>
        <v>1.6164816527906258</v>
      </c>
      <c r="C1898" s="2886">
        <v>44996</v>
      </c>
      <c r="D1898" s="2887"/>
      <c r="E1898" s="2888"/>
      <c r="F1898" s="2889"/>
      <c r="G1898" s="2890"/>
      <c r="H1898" s="2891" t="str">
        <f>IFERROR(VLOOKUP(F1898,Trainingsarten!$A$9:$K$84,10,FALSE),"")</f>
        <v/>
      </c>
      <c r="I1898" s="2892" t="str">
        <f t="shared" si="485"/>
        <v/>
      </c>
      <c r="J1898" s="2893"/>
      <c r="K1898" s="2894" t="str">
        <f>IFERROR(VLOOKUP(F1898,Trainingsarten!$A$9:$K$84,11,FALSE),"0")</f>
        <v>0</v>
      </c>
      <c r="L1898" s="2816"/>
      <c r="M1898" s="2893"/>
      <c r="N1898" s="2895" t="str">
        <f t="shared" si="486"/>
        <v/>
      </c>
      <c r="O1898" s="2896"/>
      <c r="P1898" s="2897" t="str">
        <f>IFERROR(VLOOKUP(F1898,Trainingsarten!$A$9:$N$84,12,FALSE),"")</f>
        <v/>
      </c>
      <c r="Q1898" s="2898" t="s">
        <v>437</v>
      </c>
      <c r="R1898" s="2899" t="str">
        <f>IFERROR(VLOOKUP(F1898,Trainingsarten!$A$9:$N$84,14,FALSE),"")</f>
        <v/>
      </c>
      <c r="S1898" s="2845" t="str">
        <f t="shared" si="487"/>
        <v/>
      </c>
      <c r="T1898" s="2887">
        <f t="shared" si="488"/>
        <v>24.551227251640874</v>
      </c>
      <c r="U1898" s="2887">
        <f t="shared" si="489"/>
        <v>26.092597819197785</v>
      </c>
      <c r="V1898" s="2887">
        <f t="shared" si="490"/>
        <v>-1.9140958161914163</v>
      </c>
      <c r="W1898" s="3284">
        <f t="shared" si="491"/>
        <v>0.94092690278532409</v>
      </c>
      <c r="X1898" s="3300"/>
      <c r="Y1898" s="3316"/>
      <c r="AA1898" s="3301"/>
      <c r="AB1898" s="3409"/>
    </row>
    <row r="1899" spans="1:28" ht="16" thickBot="1" x14ac:dyDescent="0.25">
      <c r="A1899" s="2936" t="s">
        <v>183</v>
      </c>
      <c r="B1899" s="3003">
        <f>IFERROR(SUM(M1893:M1899),"")</f>
        <v>38</v>
      </c>
      <c r="C1899" s="2576">
        <v>44997</v>
      </c>
      <c r="D1899" s="1788"/>
      <c r="E1899" s="1789"/>
      <c r="F1899" s="2763"/>
      <c r="G1899" s="2577"/>
      <c r="H1899" s="2578" t="str">
        <f>IFERROR(VLOOKUP(F1899,Trainingsarten!$A$9:$K$84,10,FALSE),"")</f>
        <v/>
      </c>
      <c r="I1899" s="2579" t="str">
        <f t="shared" si="485"/>
        <v/>
      </c>
      <c r="J1899" s="2580"/>
      <c r="K1899" s="2581" t="str">
        <f>IFERROR(VLOOKUP(F1899,Trainingsarten!$A$9:$K$84,11,FALSE),"0")</f>
        <v>0</v>
      </c>
      <c r="L1899" s="2821"/>
      <c r="M1899" s="2580"/>
      <c r="N1899" s="2582" t="str">
        <f t="shared" si="486"/>
        <v/>
      </c>
      <c r="O1899" s="2583"/>
      <c r="P1899" s="2584" t="str">
        <f>IFERROR(VLOOKUP(F1899,Trainingsarten!$A$9:$N$84,12,FALSE),"")</f>
        <v/>
      </c>
      <c r="Q1899" s="945" t="s">
        <v>437</v>
      </c>
      <c r="R1899" s="946" t="str">
        <f>IFERROR(VLOOKUP(F1899,Trainingsarten!$A$9:$N$84,14,FALSE),"")</f>
        <v/>
      </c>
      <c r="S1899" s="2390" t="str">
        <f t="shared" si="487"/>
        <v/>
      </c>
      <c r="T1899" s="1788">
        <f t="shared" si="488"/>
        <v>21.043909072835035</v>
      </c>
      <c r="U1899" s="1788">
        <f t="shared" si="489"/>
        <v>25.471345490169266</v>
      </c>
      <c r="V1899" s="1788">
        <f t="shared" si="490"/>
        <v>1.5413705675569105</v>
      </c>
      <c r="W1899" s="3293">
        <f t="shared" si="491"/>
        <v>0.82617971951882119</v>
      </c>
      <c r="X1899" s="3300"/>
      <c r="Y1899" s="3316"/>
      <c r="AA1899" s="3301"/>
      <c r="AB1899" s="3409"/>
    </row>
    <row r="1900" spans="1:28" ht="16" thickBot="1" x14ac:dyDescent="0.25">
      <c r="A1900" s="3439">
        <f>WEEKNUM(C1900,1)</f>
        <v>11</v>
      </c>
      <c r="B1900" s="3440"/>
      <c r="C1900" s="2585">
        <v>44998</v>
      </c>
      <c r="D1900" s="2586"/>
      <c r="E1900" s="2587"/>
      <c r="F1900" s="2761"/>
      <c r="G1900" s="2588"/>
      <c r="H1900" s="2589" t="str">
        <f>IFERROR(VLOOKUP(F1900,Trainingsarten!$A$9:$K$84,10,FALSE),"")</f>
        <v/>
      </c>
      <c r="I1900" s="2590" t="str">
        <f t="shared" si="485"/>
        <v/>
      </c>
      <c r="J1900" s="2591"/>
      <c r="K1900" s="2592" t="str">
        <f>IFERROR(VLOOKUP(F1900,Trainingsarten!$A$9:$K$84,11,FALSE),"0")</f>
        <v>0</v>
      </c>
      <c r="L1900" s="2815"/>
      <c r="M1900" s="2591"/>
      <c r="N1900" s="2593" t="str">
        <f t="shared" si="486"/>
        <v/>
      </c>
      <c r="O1900" s="2594"/>
      <c r="P1900" s="1919" t="str">
        <f>IFERROR(VLOOKUP(F1900,Trainingsarten!$A$9:$N$84,12,FALSE),"")</f>
        <v/>
      </c>
      <c r="Q1900" s="1069" t="s">
        <v>437</v>
      </c>
      <c r="R1900" s="2462" t="str">
        <f>IFERROR(VLOOKUP(F1900,Trainingsarten!$A$9:$N$84,14,FALSE),"")</f>
        <v/>
      </c>
      <c r="S1900" s="2595" t="str">
        <f t="shared" si="487"/>
        <v/>
      </c>
      <c r="T1900" s="2586">
        <f t="shared" si="488"/>
        <v>18.037636348144314</v>
      </c>
      <c r="U1900" s="2586">
        <f t="shared" si="489"/>
        <v>24.864884883260473</v>
      </c>
      <c r="V1900" s="2586">
        <f t="shared" si="490"/>
        <v>4.4274364173342313</v>
      </c>
      <c r="W1900" s="3283">
        <f t="shared" si="491"/>
        <v>0.72542609518725765</v>
      </c>
      <c r="X1900" s="3300"/>
      <c r="Y1900" s="3316"/>
      <c r="AA1900" s="3301"/>
      <c r="AB1900" s="3409"/>
    </row>
    <row r="1901" spans="1:28" x14ac:dyDescent="0.2">
      <c r="A1901" s="2934" t="s">
        <v>626</v>
      </c>
      <c r="B1901" s="3000">
        <f>SUM(H1900:H1906)</f>
        <v>0</v>
      </c>
      <c r="C1901" s="2596">
        <v>44999</v>
      </c>
      <c r="D1901" s="2597"/>
      <c r="E1901" s="2598"/>
      <c r="F1901" s="2759"/>
      <c r="G1901" s="2599"/>
      <c r="H1901" s="2600" t="str">
        <f>IFERROR(VLOOKUP(F1901,Trainingsarten!$A$9:$K$84,10,FALSE),"")</f>
        <v/>
      </c>
      <c r="I1901" s="2601" t="str">
        <f t="shared" si="485"/>
        <v/>
      </c>
      <c r="J1901" s="2602"/>
      <c r="K1901" s="2603" t="str">
        <f>IFERROR(VLOOKUP(F1901,Trainingsarten!$A$9:$K$84,11,FALSE),"0")</f>
        <v>0</v>
      </c>
      <c r="L1901" s="2816"/>
      <c r="M1901" s="2840"/>
      <c r="N1901" s="2604" t="str">
        <f t="shared" si="486"/>
        <v/>
      </c>
      <c r="O1901" s="2605"/>
      <c r="P1901" s="2606" t="str">
        <f>IFERROR(VLOOKUP(F1901,Trainingsarten!$A$9:$N$84,12,FALSE),"")</f>
        <v/>
      </c>
      <c r="Q1901" s="2607" t="s">
        <v>437</v>
      </c>
      <c r="R1901" s="2608" t="str">
        <f>IFERROR(VLOOKUP(F1901,Trainingsarten!$A$9:$N$84,14,FALSE),"")</f>
        <v/>
      </c>
      <c r="S1901" s="2609" t="str">
        <f t="shared" si="487"/>
        <v/>
      </c>
      <c r="T1901" s="2597">
        <f t="shared" si="488"/>
        <v>15.46083115555227</v>
      </c>
      <c r="U1901" s="2597">
        <f t="shared" si="489"/>
        <v>24.272863814611412</v>
      </c>
      <c r="V1901" s="2597">
        <f t="shared" si="490"/>
        <v>6.8272485351161585</v>
      </c>
      <c r="W1901" s="3284">
        <f t="shared" si="491"/>
        <v>0.63695949821320186</v>
      </c>
      <c r="X1901" s="3300"/>
      <c r="Y1901" s="3316"/>
      <c r="AA1901" s="3301"/>
      <c r="AB1901" s="3409"/>
    </row>
    <row r="1902" spans="1:28" x14ac:dyDescent="0.2">
      <c r="A1902" s="2935" t="s">
        <v>628</v>
      </c>
      <c r="B1902" s="3001">
        <f>SUM(K1900:K1906)</f>
        <v>0</v>
      </c>
      <c r="C1902" s="2596">
        <v>45000</v>
      </c>
      <c r="D1902" s="2597"/>
      <c r="E1902" s="2598"/>
      <c r="F1902" s="2759"/>
      <c r="G1902" s="2599"/>
      <c r="H1902" s="2600" t="str">
        <f>IFERROR(VLOOKUP(F1902,Trainingsarten!$A$9:$K$84,10,FALSE),"")</f>
        <v/>
      </c>
      <c r="I1902" s="2601" t="str">
        <f t="shared" si="485"/>
        <v/>
      </c>
      <c r="J1902" s="2602"/>
      <c r="K1902" s="2603" t="str">
        <f>IFERROR(VLOOKUP(F1902,Trainingsarten!$A$9:$K$84,11,FALSE),"0")</f>
        <v>0</v>
      </c>
      <c r="L1902" s="2816"/>
      <c r="M1902" s="2840"/>
      <c r="N1902" s="2604" t="str">
        <f t="shared" si="486"/>
        <v/>
      </c>
      <c r="O1902" s="2605"/>
      <c r="P1902" s="2606" t="str">
        <f>IFERROR(VLOOKUP(F1902,Trainingsarten!$A$9:$N$84,12,FALSE),"")</f>
        <v/>
      </c>
      <c r="Q1902" s="2607" t="s">
        <v>437</v>
      </c>
      <c r="R1902" s="2608" t="str">
        <f>IFERROR(VLOOKUP(F1902,Trainingsarten!$A$9:$N$84,14,FALSE),"")</f>
        <v/>
      </c>
      <c r="S1902" s="2609" t="str">
        <f t="shared" si="487"/>
        <v/>
      </c>
      <c r="T1902" s="2597">
        <f t="shared" si="488"/>
        <v>13.252140990473375</v>
      </c>
      <c r="U1902" s="2597">
        <f t="shared" si="489"/>
        <v>23.694938485692091</v>
      </c>
      <c r="V1902" s="2597">
        <f t="shared" si="490"/>
        <v>8.8120326590591418</v>
      </c>
      <c r="W1902" s="3284">
        <f t="shared" si="491"/>
        <v>0.55928151062622611</v>
      </c>
      <c r="X1902" s="3300"/>
      <c r="Y1902" s="3316"/>
      <c r="AA1902" s="3301"/>
      <c r="AB1902" s="3409"/>
    </row>
    <row r="1903" spans="1:28" x14ac:dyDescent="0.2">
      <c r="A1903" s="2935" t="s">
        <v>761</v>
      </c>
      <c r="B1903" s="3002">
        <f>AVERAGE(W1900:W1906)</f>
        <v>0.50785305257682345</v>
      </c>
      <c r="C1903" s="2596">
        <v>45001</v>
      </c>
      <c r="D1903" s="2597"/>
      <c r="E1903" s="2598"/>
      <c r="F1903" s="2759"/>
      <c r="G1903" s="2599"/>
      <c r="H1903" s="2600" t="str">
        <f>IFERROR(VLOOKUP(F1903,Trainingsarten!$A$9:$K$84,10,FALSE),"")</f>
        <v/>
      </c>
      <c r="I1903" s="2601" t="str">
        <f t="shared" si="485"/>
        <v/>
      </c>
      <c r="J1903" s="2602"/>
      <c r="K1903" s="2603" t="str">
        <f>IFERROR(VLOOKUP(F1903,Trainingsarten!$A$9:$K$84,11,FALSE),"0")</f>
        <v>0</v>
      </c>
      <c r="L1903" s="2816"/>
      <c r="M1903" s="2840"/>
      <c r="N1903" s="2604" t="str">
        <f t="shared" si="486"/>
        <v/>
      </c>
      <c r="O1903" s="2605"/>
      <c r="P1903" s="2606" t="str">
        <f>IFERROR(VLOOKUP(F1903,Trainingsarten!$A$9:$N$84,12,FALSE),"")</f>
        <v/>
      </c>
      <c r="Q1903" s="2607" t="s">
        <v>437</v>
      </c>
      <c r="R1903" s="2608" t="str">
        <f>IFERROR(VLOOKUP(F1903,Trainingsarten!$A$9:$N$84,14,FALSE),"")</f>
        <v/>
      </c>
      <c r="S1903" s="2609" t="str">
        <f t="shared" si="487"/>
        <v/>
      </c>
      <c r="T1903" s="2597">
        <f t="shared" si="488"/>
        <v>11.358977991834321</v>
      </c>
      <c r="U1903" s="2597">
        <f t="shared" si="489"/>
        <v>23.130773283651802</v>
      </c>
      <c r="V1903" s="2597">
        <f t="shared" si="490"/>
        <v>10.442797495218716</v>
      </c>
      <c r="W1903" s="3284">
        <f t="shared" si="491"/>
        <v>0.49107644835473513</v>
      </c>
      <c r="X1903" s="3300"/>
      <c r="Y1903" s="3316"/>
      <c r="AA1903" s="3301"/>
      <c r="AB1903" s="3409"/>
    </row>
    <row r="1904" spans="1:28" x14ac:dyDescent="0.2">
      <c r="A1904" s="2935" t="s">
        <v>979</v>
      </c>
      <c r="B1904" s="3130" t="str">
        <f>IFERROR(AVERAGE(N1900:N1906),"")</f>
        <v/>
      </c>
      <c r="C1904" s="2596">
        <v>45002</v>
      </c>
      <c r="D1904" s="2597"/>
      <c r="E1904" s="2598"/>
      <c r="F1904" s="2775"/>
      <c r="G1904" s="2599"/>
      <c r="H1904" s="2600" t="str">
        <f>IFERROR(VLOOKUP(F1904,Trainingsarten!$A$9:$K$84,10,FALSE),"")</f>
        <v/>
      </c>
      <c r="I1904" s="2601" t="str">
        <f t="shared" si="485"/>
        <v/>
      </c>
      <c r="J1904" s="2602"/>
      <c r="K1904" s="2603" t="str">
        <f>IFERROR(VLOOKUP(F1904,Trainingsarten!$A$9:$K$84,11,FALSE),"0")</f>
        <v>0</v>
      </c>
      <c r="L1904" s="2816"/>
      <c r="M1904" s="2840"/>
      <c r="N1904" s="2604" t="str">
        <f t="shared" si="486"/>
        <v/>
      </c>
      <c r="O1904" s="2605"/>
      <c r="P1904" s="2606" t="str">
        <f>IFERROR(VLOOKUP(F1904,Trainingsarten!$A$9:$N$84,12,FALSE),"")</f>
        <v/>
      </c>
      <c r="Q1904" s="2607" t="s">
        <v>437</v>
      </c>
      <c r="R1904" s="2608" t="str">
        <f>IFERROR(VLOOKUP(F1904,Trainingsarten!$A$9:$N$84,14,FALSE),"")</f>
        <v/>
      </c>
      <c r="S1904" s="2609" t="str">
        <f t="shared" si="487"/>
        <v/>
      </c>
      <c r="T1904" s="2597">
        <f t="shared" si="488"/>
        <v>9.7362668501437035</v>
      </c>
      <c r="U1904" s="2597">
        <f t="shared" si="489"/>
        <v>22.580040586421998</v>
      </c>
      <c r="V1904" s="2597">
        <f t="shared" si="490"/>
        <v>11.771795291817481</v>
      </c>
      <c r="W1904" s="3284">
        <f t="shared" si="491"/>
        <v>0.43118907660415767</v>
      </c>
      <c r="X1904" s="3300"/>
      <c r="Y1904" s="3316"/>
      <c r="AA1904" s="3301"/>
      <c r="AB1904" s="3409"/>
    </row>
    <row r="1905" spans="1:28" x14ac:dyDescent="0.2">
      <c r="A1905" s="2935" t="s">
        <v>980</v>
      </c>
      <c r="B1905" s="3002" t="str">
        <f>IFERROR(AVERAGE(S1900:S1906),"")</f>
        <v/>
      </c>
      <c r="C1905" s="2886">
        <v>45003</v>
      </c>
      <c r="D1905" s="2887"/>
      <c r="E1905" s="2888"/>
      <c r="F1905" s="2889"/>
      <c r="G1905" s="2890"/>
      <c r="H1905" s="2891" t="str">
        <f>IFERROR(VLOOKUP(F1905,Trainingsarten!$A$9:$K$84,10,FALSE),"")</f>
        <v/>
      </c>
      <c r="I1905" s="2892" t="str">
        <f t="shared" si="485"/>
        <v/>
      </c>
      <c r="J1905" s="2893"/>
      <c r="K1905" s="2894" t="str">
        <f>IFERROR(VLOOKUP(F1905,Trainingsarten!$A$9:$K$84,11,FALSE),"0")</f>
        <v>0</v>
      </c>
      <c r="L1905" s="2816"/>
      <c r="M1905" s="2893"/>
      <c r="N1905" s="2895" t="str">
        <f t="shared" si="486"/>
        <v/>
      </c>
      <c r="O1905" s="2896"/>
      <c r="P1905" s="2897" t="str">
        <f>IFERROR(VLOOKUP(F1905,Trainingsarten!$A$9:$N$84,12,FALSE),"")</f>
        <v/>
      </c>
      <c r="Q1905" s="2898" t="s">
        <v>437</v>
      </c>
      <c r="R1905" s="2899" t="str">
        <f>IFERROR(VLOOKUP(F1905,Trainingsarten!$A$9:$N$84,14,FALSE),"")</f>
        <v/>
      </c>
      <c r="S1905" s="2845" t="str">
        <f t="shared" si="487"/>
        <v/>
      </c>
      <c r="T1905" s="2887">
        <f t="shared" si="488"/>
        <v>8.3453715858374604</v>
      </c>
      <c r="U1905" s="2887">
        <f t="shared" si="489"/>
        <v>22.042420572459569</v>
      </c>
      <c r="V1905" s="2887">
        <f t="shared" si="490"/>
        <v>12.843773736278294</v>
      </c>
      <c r="W1905" s="3284">
        <f t="shared" si="491"/>
        <v>0.3786050428719433</v>
      </c>
      <c r="X1905" s="3300"/>
      <c r="Y1905" s="3316"/>
      <c r="AA1905" s="3301"/>
      <c r="AB1905" s="3409"/>
    </row>
    <row r="1906" spans="1:28" ht="16" thickBot="1" x14ac:dyDescent="0.25">
      <c r="A1906" s="2936" t="s">
        <v>183</v>
      </c>
      <c r="B1906" s="3003">
        <f>IFERROR(SUM(M1900:M1906),"")</f>
        <v>0</v>
      </c>
      <c r="C1906" s="2576">
        <v>45004</v>
      </c>
      <c r="D1906" s="1788"/>
      <c r="E1906" s="1789"/>
      <c r="F1906" s="2763"/>
      <c r="G1906" s="2577"/>
      <c r="H1906" s="2578" t="str">
        <f>IFERROR(VLOOKUP(F1906,Trainingsarten!$A$9:$K$84,10,FALSE),"")</f>
        <v/>
      </c>
      <c r="I1906" s="2579" t="str">
        <f t="shared" si="485"/>
        <v/>
      </c>
      <c r="J1906" s="2580"/>
      <c r="K1906" s="2581" t="str">
        <f>IFERROR(VLOOKUP(F1906,Trainingsarten!$A$9:$K$84,11,FALSE),"0")</f>
        <v>0</v>
      </c>
      <c r="L1906" s="2821"/>
      <c r="M1906" s="2580"/>
      <c r="N1906" s="2582" t="str">
        <f t="shared" si="486"/>
        <v/>
      </c>
      <c r="O1906" s="2583"/>
      <c r="P1906" s="2584" t="str">
        <f>IFERROR(VLOOKUP(F1906,Trainingsarten!$A$9:$N$84,12,FALSE),"")</f>
        <v/>
      </c>
      <c r="Q1906" s="945" t="s">
        <v>437</v>
      </c>
      <c r="R1906" s="946" t="str">
        <f>IFERROR(VLOOKUP(F1906,Trainingsarten!$A$9:$N$84,14,FALSE),"")</f>
        <v/>
      </c>
      <c r="S1906" s="2390" t="str">
        <f t="shared" si="487"/>
        <v/>
      </c>
      <c r="T1906" s="1788">
        <f t="shared" si="488"/>
        <v>7.1531756450035378</v>
      </c>
      <c r="U1906" s="1788">
        <f t="shared" si="489"/>
        <v>21.517601035020057</v>
      </c>
      <c r="V1906" s="1788">
        <f t="shared" si="490"/>
        <v>13.697048986622109</v>
      </c>
      <c r="W1906" s="3293">
        <f t="shared" si="491"/>
        <v>0.33243369618024288</v>
      </c>
      <c r="X1906" s="3300"/>
      <c r="Y1906" s="3316"/>
      <c r="AA1906" s="3301"/>
      <c r="AB1906" s="3409"/>
    </row>
    <row r="1907" spans="1:28" ht="16" thickBot="1" x14ac:dyDescent="0.25">
      <c r="A1907" s="3439">
        <f>WEEKNUM(C1907,1)</f>
        <v>12</v>
      </c>
      <c r="B1907" s="3440"/>
      <c r="C1907" s="2585">
        <v>45005</v>
      </c>
      <c r="D1907" s="2586"/>
      <c r="E1907" s="2587"/>
      <c r="F1907" s="2761"/>
      <c r="G1907" s="2588"/>
      <c r="H1907" s="2589" t="str">
        <f>IFERROR(VLOOKUP(F1907,Trainingsarten!$A$9:$K$84,10,FALSE),"")</f>
        <v/>
      </c>
      <c r="I1907" s="2590" t="str">
        <f t="shared" si="485"/>
        <v/>
      </c>
      <c r="J1907" s="2591"/>
      <c r="K1907" s="2592" t="str">
        <f>IFERROR(VLOOKUP(F1907,Trainingsarten!$A$9:$K$84,11,FALSE),"0")</f>
        <v>0</v>
      </c>
      <c r="L1907" s="2815"/>
      <c r="M1907" s="2591"/>
      <c r="N1907" s="2593" t="str">
        <f t="shared" si="486"/>
        <v/>
      </c>
      <c r="O1907" s="2594"/>
      <c r="P1907" s="1919" t="str">
        <f>IFERROR(VLOOKUP(F1907,Trainingsarten!$A$9:$N$84,12,FALSE),"")</f>
        <v/>
      </c>
      <c r="Q1907" s="1069" t="s">
        <v>437</v>
      </c>
      <c r="R1907" s="2462" t="str">
        <f>IFERROR(VLOOKUP(F1907,Trainingsarten!$A$9:$N$84,14,FALSE),"")</f>
        <v/>
      </c>
      <c r="S1907" s="2595" t="str">
        <f t="shared" si="487"/>
        <v/>
      </c>
      <c r="T1907" s="2586">
        <f t="shared" si="488"/>
        <v>6.1312934100030319</v>
      </c>
      <c r="U1907" s="2586">
        <f t="shared" si="489"/>
        <v>21.005277200852913</v>
      </c>
      <c r="V1907" s="2586">
        <f t="shared" si="490"/>
        <v>14.364425390016519</v>
      </c>
      <c r="W1907" s="3283">
        <f t="shared" si="491"/>
        <v>0.29189300152411568</v>
      </c>
      <c r="X1907" s="3300"/>
      <c r="Y1907" s="3316"/>
      <c r="AA1907" s="3301"/>
      <c r="AB1907" s="3409"/>
    </row>
    <row r="1908" spans="1:28" x14ac:dyDescent="0.2">
      <c r="A1908" s="2934" t="s">
        <v>626</v>
      </c>
      <c r="B1908" s="3000">
        <f>SUM(H1907:H1913)</f>
        <v>18.649999999999999</v>
      </c>
      <c r="C1908" s="2925">
        <v>45006</v>
      </c>
      <c r="D1908" s="2597">
        <v>35</v>
      </c>
      <c r="E1908" s="2598" t="s">
        <v>836</v>
      </c>
      <c r="F1908" s="2759" t="s">
        <v>943</v>
      </c>
      <c r="G1908" s="2599">
        <v>2.2152777777777775E-2</v>
      </c>
      <c r="H1908" s="2600">
        <v>5.52</v>
      </c>
      <c r="I1908" s="2601">
        <f t="shared" si="485"/>
        <v>4.0131843800322057E-3</v>
      </c>
      <c r="J1908" s="2602">
        <v>137</v>
      </c>
      <c r="K1908" s="2603">
        <v>37</v>
      </c>
      <c r="L1908" s="2816">
        <v>210</v>
      </c>
      <c r="M1908" s="2840">
        <v>11</v>
      </c>
      <c r="N1908" s="2604">
        <f t="shared" si="486"/>
        <v>1.0867942894224529</v>
      </c>
      <c r="O1908" s="2605" t="s">
        <v>958</v>
      </c>
      <c r="P1908" s="2606">
        <f>IFERROR(VLOOKUP(F1908,Trainingsarten!$A$9:$N$84,12,FALSE),"")</f>
        <v>194.60000000000002</v>
      </c>
      <c r="Q1908" s="2607" t="s">
        <v>437</v>
      </c>
      <c r="R1908" s="2608">
        <f>IFERROR(VLOOKUP(F1908,Trainingsarten!$A$9:$N$84,14,FALSE),"")</f>
        <v>212.96</v>
      </c>
      <c r="S1908" s="2609">
        <f t="shared" si="487"/>
        <v>1.5328467153284671</v>
      </c>
      <c r="T1908" s="2597">
        <f t="shared" si="488"/>
        <v>10.541108637145456</v>
      </c>
      <c r="U1908" s="2597">
        <f t="shared" si="489"/>
        <v>21.386103934165938</v>
      </c>
      <c r="V1908" s="2597">
        <f t="shared" si="490"/>
        <v>14.873983790849881</v>
      </c>
      <c r="W1908" s="3284">
        <f t="shared" si="491"/>
        <v>0.49289523092166537</v>
      </c>
      <c r="X1908" s="3300"/>
      <c r="Y1908" s="3316"/>
      <c r="AA1908" s="3301"/>
      <c r="AB1908" s="3409"/>
    </row>
    <row r="1909" spans="1:28" x14ac:dyDescent="0.2">
      <c r="A1909" s="2935" t="s">
        <v>628</v>
      </c>
      <c r="B1909" s="3001">
        <f>SUM(K1907:K1913)</f>
        <v>125</v>
      </c>
      <c r="C1909" s="2925">
        <v>45007</v>
      </c>
      <c r="D1909" s="2597"/>
      <c r="E1909" s="2598"/>
      <c r="F1909" s="2759"/>
      <c r="G1909" s="2599"/>
      <c r="H1909" s="2600" t="str">
        <f>IFERROR(VLOOKUP(F1909,Trainingsarten!$A$9:$K$84,10,FALSE),"")</f>
        <v/>
      </c>
      <c r="I1909" s="2601" t="str">
        <f t="shared" si="485"/>
        <v/>
      </c>
      <c r="J1909" s="2602"/>
      <c r="K1909" s="2603" t="str">
        <f>IFERROR(VLOOKUP(F1909,Trainingsarten!$A$9:$K$84,11,FALSE),"0")</f>
        <v>0</v>
      </c>
      <c r="L1909" s="2816"/>
      <c r="M1909" s="2840"/>
      <c r="N1909" s="2604" t="str">
        <f t="shared" si="486"/>
        <v/>
      </c>
      <c r="O1909" s="2605"/>
      <c r="P1909" s="2606" t="str">
        <f>IFERROR(VLOOKUP(F1909,Trainingsarten!$A$9:$N$84,12,FALSE),"")</f>
        <v/>
      </c>
      <c r="Q1909" s="2607" t="s">
        <v>437</v>
      </c>
      <c r="R1909" s="2608" t="str">
        <f>IFERROR(VLOOKUP(F1909,Trainingsarten!$A$9:$N$84,14,FALSE),"")</f>
        <v/>
      </c>
      <c r="S1909" s="2609" t="str">
        <f t="shared" si="487"/>
        <v/>
      </c>
      <c r="T1909" s="2597">
        <f t="shared" si="488"/>
        <v>9.0352359746961053</v>
      </c>
      <c r="U1909" s="2597">
        <f t="shared" si="489"/>
        <v>20.876910983352463</v>
      </c>
      <c r="V1909" s="2597">
        <f t="shared" si="490"/>
        <v>10.844995297020482</v>
      </c>
      <c r="W1909" s="3284">
        <f t="shared" si="491"/>
        <v>0.43278605641902324</v>
      </c>
      <c r="X1909" s="3300"/>
      <c r="Y1909" s="3316"/>
      <c r="AA1909" s="3301"/>
      <c r="AB1909" s="3409"/>
    </row>
    <row r="1910" spans="1:28" x14ac:dyDescent="0.2">
      <c r="A1910" s="2935" t="s">
        <v>761</v>
      </c>
      <c r="B1910" s="3002">
        <f>AVERAGE(W1907:W1913)</f>
        <v>0.56149180695869538</v>
      </c>
      <c r="C1910" s="2925">
        <v>45008</v>
      </c>
      <c r="D1910" s="2597">
        <v>36</v>
      </c>
      <c r="E1910" s="2598" t="s">
        <v>836</v>
      </c>
      <c r="F1910" s="2759" t="s">
        <v>974</v>
      </c>
      <c r="G1910" s="2599">
        <v>2.7060185185185187E-2</v>
      </c>
      <c r="H1910" s="2600">
        <v>6.95</v>
      </c>
      <c r="I1910" s="2601">
        <f t="shared" si="485"/>
        <v>3.8935518252065015E-3</v>
      </c>
      <c r="J1910" s="2602">
        <v>143</v>
      </c>
      <c r="K1910" s="2603">
        <v>48</v>
      </c>
      <c r="L1910" s="2816">
        <v>215</v>
      </c>
      <c r="M1910" s="2840">
        <v>18</v>
      </c>
      <c r="N1910" s="2604">
        <f t="shared" si="486"/>
        <v>1.0795017717169548</v>
      </c>
      <c r="O1910" s="2605" t="s">
        <v>958</v>
      </c>
      <c r="P1910" s="2606">
        <f>IFERROR(VLOOKUP(F1910,Trainingsarten!$A$9:$N$84,12,FALSE),"")</f>
        <v>255.10000000000002</v>
      </c>
      <c r="Q1910" s="2607" t="s">
        <v>437</v>
      </c>
      <c r="R1910" s="2608">
        <f>IFERROR(VLOOKUP(F1910,Trainingsarten!$A$9:$N$84,14,FALSE),"")</f>
        <v>278.29999999999995</v>
      </c>
      <c r="S1910" s="2609">
        <f t="shared" si="487"/>
        <v>1.5034965034965035</v>
      </c>
      <c r="T1910" s="2597">
        <f t="shared" si="488"/>
        <v>14.601630835453804</v>
      </c>
      <c r="U1910" s="2597">
        <f t="shared" si="489"/>
        <v>21.522698817082166</v>
      </c>
      <c r="V1910" s="2597">
        <f t="shared" si="490"/>
        <v>11.841675008656358</v>
      </c>
      <c r="W1910" s="3284">
        <f t="shared" si="491"/>
        <v>0.67842936239319396</v>
      </c>
      <c r="X1910" s="3300"/>
      <c r="Y1910" s="3316"/>
      <c r="AA1910" s="3301"/>
      <c r="AB1910" s="3409"/>
    </row>
    <row r="1911" spans="1:28" x14ac:dyDescent="0.2">
      <c r="A1911" s="2935" t="s">
        <v>979</v>
      </c>
      <c r="B1911" s="3130">
        <f>IFERROR(AVERAGE(N1907:N1913),"")</f>
        <v>1.0735147459107239</v>
      </c>
      <c r="C1911" s="2925">
        <v>45009</v>
      </c>
      <c r="D1911" s="2597"/>
      <c r="E1911" s="2598"/>
      <c r="F1911" s="2775"/>
      <c r="G1911" s="2599"/>
      <c r="H1911" s="2600" t="str">
        <f>IFERROR(VLOOKUP(F1911,Trainingsarten!$A$9:$K$84,10,FALSE),"")</f>
        <v/>
      </c>
      <c r="I1911" s="2601" t="str">
        <f t="shared" si="485"/>
        <v/>
      </c>
      <c r="J1911" s="2602"/>
      <c r="K1911" s="2603" t="str">
        <f>IFERROR(VLOOKUP(F1911,Trainingsarten!$A$9:$K$84,11,FALSE),"0")</f>
        <v>0</v>
      </c>
      <c r="L1911" s="2816"/>
      <c r="M1911" s="2840"/>
      <c r="N1911" s="2604" t="str">
        <f t="shared" si="486"/>
        <v/>
      </c>
      <c r="O1911" s="2605"/>
      <c r="P1911" s="2606" t="str">
        <f>IFERROR(VLOOKUP(F1911,Trainingsarten!$A$9:$N$84,12,FALSE),"")</f>
        <v/>
      </c>
      <c r="Q1911" s="2607" t="s">
        <v>437</v>
      </c>
      <c r="R1911" s="2608" t="str">
        <f>IFERROR(VLOOKUP(F1911,Trainingsarten!$A$9:$N$84,14,FALSE),"")</f>
        <v/>
      </c>
      <c r="S1911" s="2609" t="str">
        <f t="shared" si="487"/>
        <v/>
      </c>
      <c r="T1911" s="2597">
        <f t="shared" si="488"/>
        <v>12.515683573246118</v>
      </c>
      <c r="U1911" s="2597">
        <f t="shared" si="489"/>
        <v>21.010253607151636</v>
      </c>
      <c r="V1911" s="2597">
        <f t="shared" si="490"/>
        <v>6.9210679816283616</v>
      </c>
      <c r="W1911" s="3284">
        <f t="shared" si="491"/>
        <v>0.59569407429646304</v>
      </c>
      <c r="X1911" s="3300"/>
      <c r="Y1911" s="3316"/>
      <c r="AA1911" s="3301"/>
      <c r="AB1911" s="3409"/>
    </row>
    <row r="1912" spans="1:28" x14ac:dyDescent="0.2">
      <c r="A1912" s="2935" t="s">
        <v>980</v>
      </c>
      <c r="B1912" s="3002">
        <f>IFERROR(AVERAGE(S1907:S1913),"")</f>
        <v>1.4965268762989712</v>
      </c>
      <c r="C1912" s="2925">
        <v>45010</v>
      </c>
      <c r="D1912" s="2887">
        <v>37</v>
      </c>
      <c r="E1912" s="2888" t="s">
        <v>835</v>
      </c>
      <c r="F1912" s="2889" t="s">
        <v>943</v>
      </c>
      <c r="G1912" s="2890">
        <v>2.5011574074074075E-2</v>
      </c>
      <c r="H1912" s="2891">
        <v>6.18</v>
      </c>
      <c r="I1912" s="2892">
        <f t="shared" si="485"/>
        <v>4.0471802708857731E-3</v>
      </c>
      <c r="J1912" s="2893">
        <v>139</v>
      </c>
      <c r="K1912" s="2894">
        <v>40</v>
      </c>
      <c r="L1912" s="2816">
        <v>202</v>
      </c>
      <c r="M1912" s="2893">
        <v>26</v>
      </c>
      <c r="N1912" s="2895">
        <f t="shared" si="486"/>
        <v>1.0542481765927645</v>
      </c>
      <c r="O1912" s="2896" t="s">
        <v>976</v>
      </c>
      <c r="P1912" s="2897">
        <f>IFERROR(VLOOKUP(F1912,Trainingsarten!$A$9:$N$84,12,FALSE),"")</f>
        <v>194.60000000000002</v>
      </c>
      <c r="Q1912" s="2898" t="s">
        <v>437</v>
      </c>
      <c r="R1912" s="2899">
        <f>IFERROR(VLOOKUP(F1912,Trainingsarten!$A$9:$N$84,14,FALSE),"")</f>
        <v>212.96</v>
      </c>
      <c r="S1912" s="2845">
        <f t="shared" si="487"/>
        <v>1.4532374100719425</v>
      </c>
      <c r="T1912" s="2887">
        <f t="shared" si="488"/>
        <v>16.442014491353817</v>
      </c>
      <c r="U1912" s="2887">
        <f t="shared" si="489"/>
        <v>21.462390426028978</v>
      </c>
      <c r="V1912" s="2887">
        <f t="shared" si="490"/>
        <v>8.4945700339055179</v>
      </c>
      <c r="W1912" s="3284">
        <f t="shared" si="491"/>
        <v>0.76608495908328123</v>
      </c>
      <c r="X1912" s="3300"/>
      <c r="Y1912" s="3316"/>
      <c r="AA1912" s="3301"/>
      <c r="AB1912" s="3409"/>
    </row>
    <row r="1913" spans="1:28" ht="16" thickBot="1" x14ac:dyDescent="0.25">
      <c r="A1913" s="2936" t="s">
        <v>183</v>
      </c>
      <c r="B1913" s="3003">
        <f>IFERROR(SUM(M1907:M1913),"")</f>
        <v>55</v>
      </c>
      <c r="C1913" s="2926">
        <v>45011</v>
      </c>
      <c r="D1913" s="1788"/>
      <c r="E1913" s="1789"/>
      <c r="F1913" s="2763"/>
      <c r="G1913" s="2577"/>
      <c r="H1913" s="2578" t="str">
        <f>IFERROR(VLOOKUP(F1913,Trainingsarten!$A$9:$K$84,10,FALSE),"")</f>
        <v/>
      </c>
      <c r="I1913" s="2579" t="str">
        <f t="shared" si="485"/>
        <v/>
      </c>
      <c r="J1913" s="2580"/>
      <c r="K1913" s="2581" t="str">
        <f>IFERROR(VLOOKUP(F1913,Trainingsarten!$A$9:$K$84,11,FALSE),"0")</f>
        <v>0</v>
      </c>
      <c r="L1913" s="2821"/>
      <c r="M1913" s="2580"/>
      <c r="N1913" s="2582" t="str">
        <f t="shared" si="486"/>
        <v/>
      </c>
      <c r="O1913" s="2583"/>
      <c r="P1913" s="2584" t="str">
        <f>IFERROR(VLOOKUP(F1913,Trainingsarten!$A$9:$N$84,12,FALSE),"")</f>
        <v/>
      </c>
      <c r="Q1913" s="945" t="s">
        <v>437</v>
      </c>
      <c r="R1913" s="946" t="str">
        <f>IFERROR(VLOOKUP(F1913,Trainingsarten!$A$9:$N$84,14,FALSE),"")</f>
        <v/>
      </c>
      <c r="S1913" s="2390" t="str">
        <f t="shared" si="487"/>
        <v/>
      </c>
      <c r="T1913" s="1788">
        <f t="shared" si="488"/>
        <v>14.093155278303271</v>
      </c>
      <c r="U1913" s="1788">
        <f t="shared" si="489"/>
        <v>20.951381130171146</v>
      </c>
      <c r="V1913" s="1788">
        <f t="shared" si="490"/>
        <v>5.0203759346751617</v>
      </c>
      <c r="W1913" s="3293">
        <f t="shared" si="491"/>
        <v>0.67265996407312501</v>
      </c>
      <c r="X1913" s="3300"/>
      <c r="Y1913" s="3316"/>
      <c r="AA1913" s="3301"/>
      <c r="AB1913" s="3409"/>
    </row>
    <row r="1914" spans="1:28" ht="16" thickBot="1" x14ac:dyDescent="0.25">
      <c r="A1914" s="3439">
        <f>WEEKNUM(C1914,1)</f>
        <v>13</v>
      </c>
      <c r="B1914" s="3440"/>
      <c r="C1914" s="2585">
        <v>45012</v>
      </c>
      <c r="D1914" s="2586">
        <v>38</v>
      </c>
      <c r="E1914" s="2587" t="s">
        <v>836</v>
      </c>
      <c r="F1914" s="2761" t="s">
        <v>943</v>
      </c>
      <c r="G1914" s="2588">
        <v>2.4837962962962964E-2</v>
      </c>
      <c r="H1914" s="2589">
        <v>6.24</v>
      </c>
      <c r="I1914" s="2590">
        <f t="shared" si="485"/>
        <v>3.9804427825261158E-3</v>
      </c>
      <c r="J1914" s="2591">
        <v>144</v>
      </c>
      <c r="K1914" s="2592">
        <v>41</v>
      </c>
      <c r="L1914" s="2815">
        <v>210</v>
      </c>
      <c r="M1914" s="2591">
        <v>20</v>
      </c>
      <c r="N1914" s="2593">
        <f t="shared" si="486"/>
        <v>1.0779276693455799</v>
      </c>
      <c r="O1914" s="2594" t="s">
        <v>976</v>
      </c>
      <c r="P1914" s="1919">
        <f>IFERROR(VLOOKUP(F1914,Trainingsarten!$A$9:$N$84,12,FALSE),"")</f>
        <v>194.60000000000002</v>
      </c>
      <c r="Q1914" s="1069" t="s">
        <v>437</v>
      </c>
      <c r="R1914" s="2462">
        <f>IFERROR(VLOOKUP(F1914,Trainingsarten!$A$9:$N$84,14,FALSE),"")</f>
        <v>212.96</v>
      </c>
      <c r="S1914" s="2595">
        <f t="shared" si="487"/>
        <v>1.4583333333333333</v>
      </c>
      <c r="T1914" s="2586">
        <f t="shared" si="488"/>
        <v>17.936990238545661</v>
      </c>
      <c r="U1914" s="2586">
        <f t="shared" si="489"/>
        <v>21.428729198500406</v>
      </c>
      <c r="V1914" s="2586">
        <f t="shared" si="490"/>
        <v>6.8582258518678749</v>
      </c>
      <c r="W1914" s="3283">
        <f t="shared" si="491"/>
        <v>0.83705338157901132</v>
      </c>
      <c r="X1914" s="3300"/>
      <c r="Y1914" s="3316"/>
      <c r="AA1914" s="3301"/>
      <c r="AB1914" s="3409"/>
    </row>
    <row r="1915" spans="1:28" x14ac:dyDescent="0.2">
      <c r="A1915" s="2934" t="s">
        <v>626</v>
      </c>
      <c r="B1915" s="3000">
        <f>SUM(H1914:H1920)</f>
        <v>43.59</v>
      </c>
      <c r="C1915" s="2596">
        <v>45013</v>
      </c>
      <c r="D1915" s="2597"/>
      <c r="E1915" s="2598"/>
      <c r="F1915" s="2759"/>
      <c r="G1915" s="2599"/>
      <c r="H1915" s="2600" t="str">
        <f>IFERROR(VLOOKUP(F1915,Trainingsarten!$A$9:$K$84,10,FALSE),"")</f>
        <v/>
      </c>
      <c r="I1915" s="2601" t="str">
        <f t="shared" si="485"/>
        <v/>
      </c>
      <c r="J1915" s="2602"/>
      <c r="K1915" s="2603" t="str">
        <f>IFERROR(VLOOKUP(F1915,Trainingsarten!$A$9:$K$84,11,FALSE),"0")</f>
        <v>0</v>
      </c>
      <c r="L1915" s="2816"/>
      <c r="M1915" s="2840"/>
      <c r="N1915" s="2604" t="str">
        <f t="shared" si="486"/>
        <v/>
      </c>
      <c r="O1915" s="2605"/>
      <c r="P1915" s="2606" t="str">
        <f>IFERROR(VLOOKUP(F1915,Trainingsarten!$A$9:$N$84,12,FALSE),"")</f>
        <v/>
      </c>
      <c r="Q1915" s="2607" t="s">
        <v>437</v>
      </c>
      <c r="R1915" s="2608" t="str">
        <f>IFERROR(VLOOKUP(F1915,Trainingsarten!$A$9:$N$84,14,FALSE),"")</f>
        <v/>
      </c>
      <c r="S1915" s="2609" t="str">
        <f t="shared" si="487"/>
        <v/>
      </c>
      <c r="T1915" s="2597">
        <f t="shared" si="488"/>
        <v>15.374563061610566</v>
      </c>
      <c r="U1915" s="2597">
        <f t="shared" si="489"/>
        <v>20.918521360440874</v>
      </c>
      <c r="V1915" s="2597">
        <f t="shared" si="490"/>
        <v>3.4917389599547448</v>
      </c>
      <c r="W1915" s="3284">
        <f t="shared" si="491"/>
        <v>0.734973700898644</v>
      </c>
      <c r="X1915" s="3300"/>
      <c r="Y1915" s="3316"/>
      <c r="AA1915" s="3301"/>
      <c r="AB1915" s="3409"/>
    </row>
    <row r="1916" spans="1:28" x14ac:dyDescent="0.2">
      <c r="A1916" s="2935" t="s">
        <v>628</v>
      </c>
      <c r="B1916" s="3001">
        <f>SUM(K1914:K1920)</f>
        <v>289</v>
      </c>
      <c r="C1916" s="2596">
        <v>45014</v>
      </c>
      <c r="D1916" s="2597">
        <v>39</v>
      </c>
      <c r="E1916" s="2598" t="s">
        <v>835</v>
      </c>
      <c r="F1916" s="2759" t="s">
        <v>943</v>
      </c>
      <c r="G1916" s="2599">
        <v>3.2754629629629627E-2</v>
      </c>
      <c r="H1916" s="2600">
        <v>8.06</v>
      </c>
      <c r="I1916" s="2601">
        <f t="shared" si="485"/>
        <v>4.0638498299788613E-3</v>
      </c>
      <c r="J1916" s="2602">
        <v>143</v>
      </c>
      <c r="K1916" s="2603">
        <v>52</v>
      </c>
      <c r="L1916" s="2816">
        <v>203</v>
      </c>
      <c r="M1916" s="2840">
        <v>31</v>
      </c>
      <c r="N1916" s="2604">
        <f t="shared" si="486"/>
        <v>1.0638309692233618</v>
      </c>
      <c r="O1916" s="2605" t="s">
        <v>976</v>
      </c>
      <c r="P1916" s="2606">
        <f>IFERROR(VLOOKUP(F1916,Trainingsarten!$A$9:$N$84,12,FALSE),"")</f>
        <v>194.60000000000002</v>
      </c>
      <c r="Q1916" s="2607" t="s">
        <v>437</v>
      </c>
      <c r="R1916" s="2608">
        <f>IFERROR(VLOOKUP(F1916,Trainingsarten!$A$9:$N$84,14,FALSE),"")</f>
        <v>212.96</v>
      </c>
      <c r="S1916" s="2609">
        <f t="shared" si="487"/>
        <v>1.4195804195804196</v>
      </c>
      <c r="T1916" s="2597">
        <f t="shared" si="488"/>
        <v>20.606768338523342</v>
      </c>
      <c r="U1916" s="2597">
        <f t="shared" si="489"/>
        <v>21.658556566144661</v>
      </c>
      <c r="V1916" s="2597">
        <f t="shared" si="490"/>
        <v>5.543958298830308</v>
      </c>
      <c r="W1916" s="3284">
        <f t="shared" si="491"/>
        <v>0.95143775050709467</v>
      </c>
      <c r="X1916" s="3300"/>
      <c r="Y1916" s="3316"/>
      <c r="AA1916" s="3301"/>
      <c r="AB1916" s="3409"/>
    </row>
    <row r="1917" spans="1:28" x14ac:dyDescent="0.2">
      <c r="A1917" s="2935" t="s">
        <v>761</v>
      </c>
      <c r="B1917" s="3002">
        <f>AVERAGE(W1914:W1920)</f>
        <v>1.0665470003171726</v>
      </c>
      <c r="C1917" s="2596">
        <v>45015</v>
      </c>
      <c r="D1917" s="2597">
        <v>40</v>
      </c>
      <c r="E1917" s="2598" t="s">
        <v>836</v>
      </c>
      <c r="F1917" s="2759" t="s">
        <v>943</v>
      </c>
      <c r="G1917" s="2599">
        <v>2.6053240740740738E-2</v>
      </c>
      <c r="H1917" s="2600">
        <v>6.44</v>
      </c>
      <c r="I1917" s="2601">
        <f t="shared" si="485"/>
        <v>4.0455342765125368E-3</v>
      </c>
      <c r="J1917" s="2602">
        <v>139</v>
      </c>
      <c r="K1917" s="2603">
        <v>42</v>
      </c>
      <c r="L1917" s="2816">
        <v>206</v>
      </c>
      <c r="M1917" s="2840">
        <v>15</v>
      </c>
      <c r="N1917" s="2604">
        <f t="shared" si="486"/>
        <v>1.0746871233892648</v>
      </c>
      <c r="O1917" s="2605" t="s">
        <v>976</v>
      </c>
      <c r="P1917" s="2606">
        <f>IFERROR(VLOOKUP(F1917,Trainingsarten!$A$9:$N$84,12,FALSE),"")</f>
        <v>194.60000000000002</v>
      </c>
      <c r="Q1917" s="2607" t="s">
        <v>437</v>
      </c>
      <c r="R1917" s="2608">
        <f>IFERROR(VLOOKUP(F1917,Trainingsarten!$A$9:$N$84,14,FALSE),"")</f>
        <v>212.96</v>
      </c>
      <c r="S1917" s="2609">
        <f t="shared" si="487"/>
        <v>1.4820143884892085</v>
      </c>
      <c r="T1917" s="2597">
        <f t="shared" si="488"/>
        <v>23.662944290162866</v>
      </c>
      <c r="U1917" s="2597">
        <f t="shared" si="489"/>
        <v>22.142876647903122</v>
      </c>
      <c r="V1917" s="2597">
        <f t="shared" si="490"/>
        <v>1.0517882276213193</v>
      </c>
      <c r="W1917" s="3284">
        <f t="shared" si="491"/>
        <v>1.0686481556317431</v>
      </c>
      <c r="X1917" s="3300"/>
      <c r="Y1917" s="3316"/>
      <c r="AA1917" s="3301"/>
      <c r="AB1917" s="3409"/>
    </row>
    <row r="1918" spans="1:28" x14ac:dyDescent="0.2">
      <c r="A1918" s="2935" t="s">
        <v>979</v>
      </c>
      <c r="B1918" s="3130">
        <f>IFERROR(AVERAGE(N1914:N1920),"")</f>
        <v>1.0687030595441376</v>
      </c>
      <c r="C1918" s="2596">
        <v>45016</v>
      </c>
      <c r="D1918" s="2597">
        <v>41</v>
      </c>
      <c r="E1918" s="2598" t="s">
        <v>836</v>
      </c>
      <c r="F1918" s="2775" t="s">
        <v>819</v>
      </c>
      <c r="G1918" s="2599">
        <v>3.9629629629629633E-2</v>
      </c>
      <c r="H1918" s="2600">
        <v>10.15</v>
      </c>
      <c r="I1918" s="2601">
        <f t="shared" si="485"/>
        <v>3.9043970078452839E-3</v>
      </c>
      <c r="J1918" s="2602">
        <v>138</v>
      </c>
      <c r="K1918" s="2603">
        <v>72</v>
      </c>
      <c r="L1918" s="2816">
        <v>219</v>
      </c>
      <c r="M1918" s="2840">
        <v>35</v>
      </c>
      <c r="N1918" s="2604">
        <f t="shared" si="486"/>
        <v>1.1026483346812734</v>
      </c>
      <c r="O1918" s="2605" t="s">
        <v>953</v>
      </c>
      <c r="P1918" s="2606">
        <f>IFERROR(VLOOKUP(F1918,Trainingsarten!$A$9:$N$84,12,FALSE),"")</f>
        <v>194.60000000000002</v>
      </c>
      <c r="Q1918" s="2607" t="s">
        <v>437</v>
      </c>
      <c r="R1918" s="2608">
        <f>IFERROR(VLOOKUP(F1918,Trainingsarten!$A$9:$N$84,14,FALSE),"")</f>
        <v>212.96</v>
      </c>
      <c r="S1918" s="2609">
        <f t="shared" si="487"/>
        <v>1.5869565217391304</v>
      </c>
      <c r="T1918" s="2597">
        <f t="shared" si="488"/>
        <v>30.56823796299674</v>
      </c>
      <c r="U1918" s="2597">
        <f t="shared" si="489"/>
        <v>23.329951013429238</v>
      </c>
      <c r="V1918" s="2597">
        <f t="shared" si="490"/>
        <v>-1.5200676422597432</v>
      </c>
      <c r="W1918" s="3284">
        <f t="shared" si="491"/>
        <v>1.3102572716676937</v>
      </c>
      <c r="X1918" s="3300"/>
      <c r="Y1918" s="3316"/>
      <c r="AA1918" s="3301"/>
      <c r="AB1918" s="3409"/>
    </row>
    <row r="1919" spans="1:28" x14ac:dyDescent="0.2">
      <c r="A1919" s="2935" t="s">
        <v>980</v>
      </c>
      <c r="B1919" s="3002">
        <f>IFERROR(AVERAGE(S1914:S1920),"")</f>
        <v>1.4825067036207846</v>
      </c>
      <c r="C1919" s="2886">
        <v>45017</v>
      </c>
      <c r="D1919" s="2887"/>
      <c r="E1919" s="2888"/>
      <c r="F1919" s="2889"/>
      <c r="G1919" s="2890"/>
      <c r="H1919" s="2891" t="str">
        <f>IFERROR(VLOOKUP(F1919,Trainingsarten!$A$9:$K$84,10,FALSE),"")</f>
        <v/>
      </c>
      <c r="I1919" s="2892" t="str">
        <f t="shared" si="485"/>
        <v/>
      </c>
      <c r="J1919" s="2893"/>
      <c r="K1919" s="2894" t="str">
        <f>IFERROR(VLOOKUP(F1919,Trainingsarten!$A$9:$K$84,11,FALSE),"0")</f>
        <v>0</v>
      </c>
      <c r="L1919" s="2816"/>
      <c r="M1919" s="2893"/>
      <c r="N1919" s="2895" t="str">
        <f t="shared" si="486"/>
        <v/>
      </c>
      <c r="O1919" s="2896"/>
      <c r="P1919" s="2897" t="str">
        <f>IFERROR(VLOOKUP(F1919,Trainingsarten!$A$9:$N$84,12,FALSE),"")</f>
        <v/>
      </c>
      <c r="Q1919" s="2898" t="s">
        <v>437</v>
      </c>
      <c r="R1919" s="2899" t="str">
        <f>IFERROR(VLOOKUP(F1919,Trainingsarten!$A$9:$N$84,14,FALSE),"")</f>
        <v/>
      </c>
      <c r="S1919" s="2845" t="str">
        <f t="shared" si="487"/>
        <v/>
      </c>
      <c r="T1919" s="2887">
        <f t="shared" si="488"/>
        <v>26.201346825425777</v>
      </c>
      <c r="U1919" s="2887">
        <f t="shared" si="489"/>
        <v>22.774475989299969</v>
      </c>
      <c r="V1919" s="2887">
        <f t="shared" si="490"/>
        <v>-7.2382869495675024</v>
      </c>
      <c r="W1919" s="3284">
        <f t="shared" si="491"/>
        <v>1.150469799513097</v>
      </c>
      <c r="X1919" s="3300"/>
      <c r="Y1919" s="3316"/>
      <c r="AA1919" s="3301"/>
      <c r="AB1919" s="3409"/>
    </row>
    <row r="1920" spans="1:28" ht="16" thickBot="1" x14ac:dyDescent="0.25">
      <c r="A1920" s="2936" t="s">
        <v>183</v>
      </c>
      <c r="B1920" s="3003">
        <f>IFERROR(SUM(M1914:M1920),"")</f>
        <v>142</v>
      </c>
      <c r="C1920" s="2576">
        <v>45018</v>
      </c>
      <c r="D1920" s="1788">
        <v>42</v>
      </c>
      <c r="E1920" s="1789" t="s">
        <v>835</v>
      </c>
      <c r="F1920" s="2763" t="s">
        <v>906</v>
      </c>
      <c r="G1920" s="2577">
        <v>5.2546296296296292E-2</v>
      </c>
      <c r="H1920" s="2578">
        <v>12.7</v>
      </c>
      <c r="I1920" s="2579">
        <f t="shared" si="485"/>
        <v>4.1375036453776609E-3</v>
      </c>
      <c r="J1920" s="2580">
        <v>131</v>
      </c>
      <c r="K1920" s="2581">
        <v>82</v>
      </c>
      <c r="L1920" s="2821">
        <v>192</v>
      </c>
      <c r="M1920" s="2580">
        <v>41</v>
      </c>
      <c r="N1920" s="2582">
        <f t="shared" si="486"/>
        <v>1.0244212010812079</v>
      </c>
      <c r="O1920" s="2583" t="s">
        <v>958</v>
      </c>
      <c r="P1920" s="2584">
        <f>IFERROR(VLOOKUP(F1920,Trainingsarten!$A$9:$N$84,12,FALSE),"")</f>
        <v>194.60000000000002</v>
      </c>
      <c r="Q1920" s="945" t="s">
        <v>437</v>
      </c>
      <c r="R1920" s="946">
        <f>IFERROR(VLOOKUP(F1920,Trainingsarten!$A$9:$N$84,14,FALSE),"")</f>
        <v>212.96</v>
      </c>
      <c r="S1920" s="2390">
        <f t="shared" si="487"/>
        <v>1.4656488549618321</v>
      </c>
      <c r="T1920" s="1788">
        <f t="shared" si="488"/>
        <v>34.172582993222093</v>
      </c>
      <c r="U1920" s="1788">
        <f t="shared" si="489"/>
        <v>24.184607513364256</v>
      </c>
      <c r="V1920" s="1788">
        <f t="shared" si="490"/>
        <v>-3.4268708361258078</v>
      </c>
      <c r="W1920" s="3293">
        <f t="shared" si="491"/>
        <v>1.4129889424229254</v>
      </c>
      <c r="X1920" s="3300"/>
      <c r="Y1920" s="3316"/>
      <c r="AA1920" s="3301"/>
      <c r="AB1920" s="3409"/>
    </row>
    <row r="1921" spans="1:28" ht="16" thickBot="1" x14ac:dyDescent="0.25">
      <c r="A1921" s="3439">
        <f>WEEKNUM(C1921,1)</f>
        <v>14</v>
      </c>
      <c r="B1921" s="3440"/>
      <c r="C1921" s="2585">
        <v>45019</v>
      </c>
      <c r="D1921" s="2586"/>
      <c r="E1921" s="2587"/>
      <c r="F1921" s="2761"/>
      <c r="G1921" s="2588"/>
      <c r="H1921" s="2589" t="str">
        <f>IFERROR(VLOOKUP(F1921,Trainingsarten!$A$9:$K$84,10,FALSE),"")</f>
        <v/>
      </c>
      <c r="I1921" s="2590" t="str">
        <f t="shared" si="485"/>
        <v/>
      </c>
      <c r="J1921" s="2591"/>
      <c r="K1921" s="2592" t="str">
        <f>IFERROR(VLOOKUP(F1921,Trainingsarten!$A$9:$K$84,11,FALSE),"0")</f>
        <v>0</v>
      </c>
      <c r="L1921" s="2815"/>
      <c r="M1921" s="2591"/>
      <c r="N1921" s="2593" t="str">
        <f t="shared" si="486"/>
        <v/>
      </c>
      <c r="O1921" s="2594"/>
      <c r="P1921" s="1919" t="str">
        <f>IFERROR(VLOOKUP(F1921,Trainingsarten!$A$9:$N$84,12,FALSE),"")</f>
        <v/>
      </c>
      <c r="Q1921" s="1069" t="s">
        <v>437</v>
      </c>
      <c r="R1921" s="2462" t="str">
        <f>IFERROR(VLOOKUP(F1921,Trainingsarten!$A$9:$N$84,14,FALSE),"")</f>
        <v/>
      </c>
      <c r="S1921" s="2595" t="str">
        <f t="shared" si="487"/>
        <v/>
      </c>
      <c r="T1921" s="2586">
        <f t="shared" si="488"/>
        <v>29.290785422761793</v>
      </c>
      <c r="U1921" s="2586">
        <f t="shared" si="489"/>
        <v>23.60878352495082</v>
      </c>
      <c r="V1921" s="2586">
        <f t="shared" si="490"/>
        <v>-9.9879754798578375</v>
      </c>
      <c r="W1921" s="3283">
        <f t="shared" si="491"/>
        <v>1.2406732177372028</v>
      </c>
      <c r="X1921" s="3300"/>
      <c r="Y1921" s="3316"/>
      <c r="AA1921" s="3301"/>
      <c r="AB1921" s="3409"/>
    </row>
    <row r="1922" spans="1:28" x14ac:dyDescent="0.2">
      <c r="A1922" s="2934" t="s">
        <v>626</v>
      </c>
      <c r="B1922" s="3000">
        <f>SUM(H1921:H1927)</f>
        <v>47.35</v>
      </c>
      <c r="C1922" s="2596">
        <v>45020</v>
      </c>
      <c r="D1922" s="2597">
        <v>43</v>
      </c>
      <c r="E1922" s="2598" t="s">
        <v>836</v>
      </c>
      <c r="F1922" s="2759" t="s">
        <v>943</v>
      </c>
      <c r="G1922" s="2599">
        <v>2.5624999999999998E-2</v>
      </c>
      <c r="H1922" s="2600">
        <v>6.65</v>
      </c>
      <c r="I1922" s="2601">
        <f t="shared" si="485"/>
        <v>3.8533834586466161E-3</v>
      </c>
      <c r="J1922" s="2602">
        <v>137</v>
      </c>
      <c r="K1922" s="2603">
        <v>47</v>
      </c>
      <c r="L1922" s="2816">
        <v>220</v>
      </c>
      <c r="M1922" s="2840">
        <v>23</v>
      </c>
      <c r="N1922" s="2604">
        <f t="shared" si="486"/>
        <v>1.09321063853664</v>
      </c>
      <c r="O1922" s="2605" t="s">
        <v>958</v>
      </c>
      <c r="P1922" s="2606">
        <f>IFERROR(VLOOKUP(F1922,Trainingsarten!$A$9:$N$84,12,FALSE),"")</f>
        <v>194.60000000000002</v>
      </c>
      <c r="Q1922" s="2607" t="s">
        <v>437</v>
      </c>
      <c r="R1922" s="2608">
        <f>IFERROR(VLOOKUP(F1922,Trainingsarten!$A$9:$N$84,14,FALSE),"")</f>
        <v>212.96</v>
      </c>
      <c r="S1922" s="2609">
        <f t="shared" si="487"/>
        <v>1.6058394160583942</v>
      </c>
      <c r="T1922" s="2597">
        <f t="shared" si="488"/>
        <v>31.820673219510109</v>
      </c>
      <c r="U1922" s="2597">
        <f t="shared" si="489"/>
        <v>24.165717250547228</v>
      </c>
      <c r="V1922" s="2597">
        <f t="shared" si="490"/>
        <v>-5.6820018978109736</v>
      </c>
      <c r="W1922" s="3284">
        <f t="shared" si="491"/>
        <v>1.316769243370566</v>
      </c>
      <c r="X1922" s="3300"/>
      <c r="Y1922" s="3316"/>
      <c r="AA1922" s="3301"/>
      <c r="AB1922" s="3409"/>
    </row>
    <row r="1923" spans="1:28" x14ac:dyDescent="0.2">
      <c r="A1923" s="2935" t="s">
        <v>628</v>
      </c>
      <c r="B1923" s="3001">
        <f>SUM(K1921:K1927)</f>
        <v>328</v>
      </c>
      <c r="C1923" s="2596">
        <v>45021</v>
      </c>
      <c r="D1923" s="2597">
        <v>44</v>
      </c>
      <c r="E1923" s="2598" t="s">
        <v>836</v>
      </c>
      <c r="F1923" s="2759" t="s">
        <v>977</v>
      </c>
      <c r="G1923" s="2599">
        <v>3.4907407407407408E-2</v>
      </c>
      <c r="H1923" s="2600">
        <v>9.1999999999999993</v>
      </c>
      <c r="I1923" s="2601">
        <f t="shared" si="485"/>
        <v>3.7942834138486314E-3</v>
      </c>
      <c r="J1923" s="2602">
        <v>137</v>
      </c>
      <c r="K1923" s="2603">
        <v>65</v>
      </c>
      <c r="L1923" s="2816">
        <v>217</v>
      </c>
      <c r="M1923" s="2840">
        <v>18</v>
      </c>
      <c r="N1923" s="2604">
        <f t="shared" si="486"/>
        <v>1.061765087605451</v>
      </c>
      <c r="O1923" s="2605" t="s">
        <v>1463</v>
      </c>
      <c r="P1923" s="2606" t="str">
        <f>IFERROR(VLOOKUP(F1923,Trainingsarten!$A$9:$N$84,12,FALSE),"")</f>
        <v/>
      </c>
      <c r="Q1923" s="2607" t="s">
        <v>437</v>
      </c>
      <c r="R1923" s="2608" t="str">
        <f>IFERROR(VLOOKUP(F1923,Trainingsarten!$A$9:$N$84,14,FALSE),"")</f>
        <v/>
      </c>
      <c r="S1923" s="2609">
        <f t="shared" si="487"/>
        <v>1.583941605839416</v>
      </c>
      <c r="T1923" s="2597">
        <f t="shared" si="488"/>
        <v>36.56057704529438</v>
      </c>
      <c r="U1923" s="2597">
        <f t="shared" si="489"/>
        <v>25.137962077915152</v>
      </c>
      <c r="V1923" s="2597">
        <f t="shared" si="490"/>
        <v>-7.6549559689628808</v>
      </c>
      <c r="W1923" s="3284">
        <f t="shared" si="491"/>
        <v>1.4543970164317543</v>
      </c>
      <c r="X1923" s="3300"/>
      <c r="Y1923" s="3316"/>
      <c r="AA1923" s="3301"/>
      <c r="AB1923" s="3409"/>
    </row>
    <row r="1924" spans="1:28" x14ac:dyDescent="0.2">
      <c r="A1924" s="2935" t="s">
        <v>761</v>
      </c>
      <c r="B1924" s="3002">
        <f>AVERAGE(W1921:W1927)</f>
        <v>1.4830714762663699</v>
      </c>
      <c r="C1924" s="2596">
        <v>45022</v>
      </c>
      <c r="D1924" s="2597">
        <v>45</v>
      </c>
      <c r="E1924" s="2598" t="s">
        <v>836</v>
      </c>
      <c r="F1924" s="2759" t="s">
        <v>974</v>
      </c>
      <c r="G1924" s="2599">
        <v>2.7986111111111111E-2</v>
      </c>
      <c r="H1924" s="2600">
        <v>7.07</v>
      </c>
      <c r="I1924" s="2601">
        <f t="shared" si="485"/>
        <v>3.9584315574414585E-3</v>
      </c>
      <c r="J1924" s="2602">
        <v>134</v>
      </c>
      <c r="K1924" s="2603">
        <v>49</v>
      </c>
      <c r="L1924" s="2816">
        <v>210</v>
      </c>
      <c r="M1924" s="2840">
        <v>19</v>
      </c>
      <c r="N1924" s="2604">
        <f t="shared" si="486"/>
        <v>1.0719668981823556</v>
      </c>
      <c r="O1924" s="2605" t="s">
        <v>957</v>
      </c>
      <c r="P1924" s="2606">
        <f>IFERROR(VLOOKUP(F1924,Trainingsarten!$A$9:$N$84,12,FALSE),"")</f>
        <v>255.10000000000002</v>
      </c>
      <c r="Q1924" s="2607" t="s">
        <v>437</v>
      </c>
      <c r="R1924" s="2608">
        <f>IFERROR(VLOOKUP(F1924,Trainingsarten!$A$9:$N$84,14,FALSE),"")</f>
        <v>278.29999999999995</v>
      </c>
      <c r="S1924" s="2609">
        <f t="shared" si="487"/>
        <v>1.5671641791044777</v>
      </c>
      <c r="T1924" s="2597">
        <f t="shared" si="488"/>
        <v>38.337637467395183</v>
      </c>
      <c r="U1924" s="2597">
        <f t="shared" si="489"/>
        <v>25.706105837964792</v>
      </c>
      <c r="V1924" s="2597">
        <f t="shared" si="490"/>
        <v>-11.422614967379229</v>
      </c>
      <c r="W1924" s="3284">
        <f t="shared" si="491"/>
        <v>1.4913825419163704</v>
      </c>
      <c r="X1924" s="3300"/>
      <c r="Y1924" s="3316"/>
      <c r="AA1924" s="3301"/>
      <c r="AB1924" s="3409"/>
    </row>
    <row r="1925" spans="1:28" x14ac:dyDescent="0.2">
      <c r="A1925" s="2935" t="s">
        <v>979</v>
      </c>
      <c r="B1925" s="3130">
        <f>IFERROR(AVERAGE(N1921:N1927),"")</f>
        <v>1.079800824331564</v>
      </c>
      <c r="C1925" s="2596">
        <v>45023</v>
      </c>
      <c r="D1925" s="2597">
        <v>46</v>
      </c>
      <c r="E1925" s="2598" t="s">
        <v>836</v>
      </c>
      <c r="F1925" s="2775" t="s">
        <v>943</v>
      </c>
      <c r="G1925" s="2599">
        <v>2.56712962962963E-2</v>
      </c>
      <c r="H1925" s="2600">
        <v>6.53</v>
      </c>
      <c r="I1925" s="2601">
        <f t="shared" si="485"/>
        <v>3.9312858034144405E-3</v>
      </c>
      <c r="J1925" s="2602">
        <v>132</v>
      </c>
      <c r="K1925" s="2603">
        <v>46</v>
      </c>
      <c r="L1925" s="2816">
        <v>217</v>
      </c>
      <c r="M1925" s="2840">
        <v>26</v>
      </c>
      <c r="N1925" s="2604">
        <f t="shared" si="486"/>
        <v>1.1001028547918905</v>
      </c>
      <c r="O1925" s="2605" t="s">
        <v>957</v>
      </c>
      <c r="P1925" s="2606">
        <f>IFERROR(VLOOKUP(F1925,Trainingsarten!$A$9:$N$84,12,FALSE),"")</f>
        <v>194.60000000000002</v>
      </c>
      <c r="Q1925" s="2607" t="s">
        <v>437</v>
      </c>
      <c r="R1925" s="2608">
        <f>IFERROR(VLOOKUP(F1925,Trainingsarten!$A$9:$N$84,14,FALSE),"")</f>
        <v>212.96</v>
      </c>
      <c r="S1925" s="2609">
        <f t="shared" si="487"/>
        <v>1.643939393939394</v>
      </c>
      <c r="T1925" s="2597">
        <f t="shared" si="488"/>
        <v>39.432260686338729</v>
      </c>
      <c r="U1925" s="2597">
        <f t="shared" si="489"/>
        <v>26.189293794203724</v>
      </c>
      <c r="V1925" s="2597">
        <f t="shared" si="490"/>
        <v>-12.631531629430391</v>
      </c>
      <c r="W1925" s="3284">
        <f t="shared" si="491"/>
        <v>1.5056633827623855</v>
      </c>
      <c r="X1925" s="3300"/>
      <c r="Y1925" s="3316"/>
      <c r="AA1925" s="3301"/>
      <c r="AB1925" s="3409"/>
    </row>
    <row r="1926" spans="1:28" x14ac:dyDescent="0.2">
      <c r="A1926" s="2935" t="s">
        <v>980</v>
      </c>
      <c r="B1926" s="3002">
        <f>IFERROR(AVERAGE(S1921:S1927),"")</f>
        <v>1.5742945660471599</v>
      </c>
      <c r="C1926" s="2886">
        <v>45024</v>
      </c>
      <c r="D1926" s="2887">
        <v>47</v>
      </c>
      <c r="E1926" s="2888" t="s">
        <v>835</v>
      </c>
      <c r="F1926" s="2889" t="s">
        <v>811</v>
      </c>
      <c r="G1926" s="2890">
        <v>7.4398148148148144E-2</v>
      </c>
      <c r="H1926" s="2891">
        <v>17.899999999999999</v>
      </c>
      <c r="I1926" s="2892">
        <f t="shared" si="485"/>
        <v>4.1563211255948689E-3</v>
      </c>
      <c r="J1926" s="2893">
        <v>136</v>
      </c>
      <c r="K1926" s="2894">
        <v>121</v>
      </c>
      <c r="L1926" s="2816">
        <v>200</v>
      </c>
      <c r="M1926" s="2893">
        <v>78</v>
      </c>
      <c r="N1926" s="2895">
        <f t="shared" si="486"/>
        <v>1.0719586425414829</v>
      </c>
      <c r="O1926" s="2896" t="s">
        <v>953</v>
      </c>
      <c r="P1926" s="2897">
        <f>IFERROR(VLOOKUP(F1926,Trainingsarten!$A$9:$N$84,12,FALSE),"")</f>
        <v>194.60000000000002</v>
      </c>
      <c r="Q1926" s="2898" t="s">
        <v>437</v>
      </c>
      <c r="R1926" s="2899">
        <f>IFERROR(VLOOKUP(F1926,Trainingsarten!$A$9:$N$84,14,FALSE),"")</f>
        <v>212.96</v>
      </c>
      <c r="S1926" s="2845">
        <f t="shared" si="487"/>
        <v>1.4705882352941178</v>
      </c>
      <c r="T1926" s="2887">
        <f t="shared" si="488"/>
        <v>51.084794874004622</v>
      </c>
      <c r="U1926" s="2887">
        <f t="shared" si="489"/>
        <v>28.446691561008397</v>
      </c>
      <c r="V1926" s="2887">
        <f t="shared" si="490"/>
        <v>-13.242966892135005</v>
      </c>
      <c r="W1926" s="3284">
        <f t="shared" si="491"/>
        <v>1.7958079506168674</v>
      </c>
      <c r="X1926" s="3300"/>
      <c r="Y1926" s="3316"/>
      <c r="AA1926" s="3301"/>
      <c r="AB1926" s="3409"/>
    </row>
    <row r="1927" spans="1:28" ht="16" thickBot="1" x14ac:dyDescent="0.25">
      <c r="A1927" s="2936" t="s">
        <v>183</v>
      </c>
      <c r="B1927" s="3003">
        <f>IFERROR(SUM(M1921:M1927),"")</f>
        <v>164</v>
      </c>
      <c r="C1927" s="2576">
        <v>45025</v>
      </c>
      <c r="D1927" s="1788"/>
      <c r="E1927" s="1789"/>
      <c r="F1927" s="2763"/>
      <c r="G1927" s="2577"/>
      <c r="H1927" s="2578" t="str">
        <f>IFERROR(VLOOKUP(F1927,Trainingsarten!$A$9:$K$84,10,FALSE),"")</f>
        <v/>
      </c>
      <c r="I1927" s="2579" t="str">
        <f t="shared" si="485"/>
        <v/>
      </c>
      <c r="J1927" s="2580"/>
      <c r="K1927" s="2581" t="str">
        <f>IFERROR(VLOOKUP(F1927,Trainingsarten!$A$9:$K$84,11,FALSE),"0")</f>
        <v>0</v>
      </c>
      <c r="L1927" s="2821"/>
      <c r="M1927" s="2580"/>
      <c r="N1927" s="2582" t="str">
        <f t="shared" si="486"/>
        <v/>
      </c>
      <c r="O1927" s="2583"/>
      <c r="P1927" s="2584" t="str">
        <f>IFERROR(VLOOKUP(F1927,Trainingsarten!$A$9:$N$84,12,FALSE),"")</f>
        <v/>
      </c>
      <c r="Q1927" s="945" t="s">
        <v>437</v>
      </c>
      <c r="R1927" s="946" t="str">
        <f>IFERROR(VLOOKUP(F1927,Trainingsarten!$A$9:$N$84,14,FALSE),"")</f>
        <v/>
      </c>
      <c r="S1927" s="2390" t="str">
        <f t="shared" si="487"/>
        <v/>
      </c>
      <c r="T1927" s="1788">
        <f t="shared" si="488"/>
        <v>43.786967034861107</v>
      </c>
      <c r="U1927" s="1788">
        <f t="shared" si="489"/>
        <v>27.769389380984386</v>
      </c>
      <c r="V1927" s="1788">
        <f t="shared" si="490"/>
        <v>-22.638103312996225</v>
      </c>
      <c r="W1927" s="3293">
        <f t="shared" si="491"/>
        <v>1.5768069810294445</v>
      </c>
      <c r="X1927" s="3300"/>
      <c r="Y1927" s="3316"/>
      <c r="AA1927" s="3301"/>
      <c r="AB1927" s="3409"/>
    </row>
    <row r="1928" spans="1:28" ht="16" thickBot="1" x14ac:dyDescent="0.25">
      <c r="A1928" s="3439">
        <f>WEEKNUM(C1928,1)</f>
        <v>15</v>
      </c>
      <c r="B1928" s="3440"/>
      <c r="C1928" s="2585">
        <v>45026</v>
      </c>
      <c r="D1928" s="2586"/>
      <c r="E1928" s="2587"/>
      <c r="F1928" s="2906"/>
      <c r="G1928" s="2588"/>
      <c r="H1928" s="2589" t="str">
        <f>IFERROR(VLOOKUP(F1928,Trainingsarten!$A$9:$K$84,10,FALSE),"")</f>
        <v/>
      </c>
      <c r="I1928" s="2590" t="str">
        <f t="shared" si="485"/>
        <v/>
      </c>
      <c r="J1928" s="2591"/>
      <c r="K1928" s="2592" t="str">
        <f>IFERROR(VLOOKUP(F1928,Trainingsarten!$A$9:$K$84,11,FALSE),"0")</f>
        <v>0</v>
      </c>
      <c r="L1928" s="2815"/>
      <c r="M1928" s="2591"/>
      <c r="N1928" s="2593" t="str">
        <f t="shared" si="486"/>
        <v/>
      </c>
      <c r="O1928" s="2594"/>
      <c r="P1928" s="1919" t="str">
        <f>IFERROR(VLOOKUP(F1928,Trainingsarten!$A$9:$N$84,12,FALSE),"")</f>
        <v/>
      </c>
      <c r="Q1928" s="1069" t="s">
        <v>437</v>
      </c>
      <c r="R1928" s="2462" t="str">
        <f>IFERROR(VLOOKUP(F1928,Trainingsarten!$A$9:$N$84,14,FALSE),"")</f>
        <v/>
      </c>
      <c r="S1928" s="2595" t="str">
        <f t="shared" si="487"/>
        <v/>
      </c>
      <c r="T1928" s="2586">
        <f t="shared" si="488"/>
        <v>37.531686029880952</v>
      </c>
      <c r="U1928" s="2586">
        <f t="shared" si="489"/>
        <v>27.108213443341899</v>
      </c>
      <c r="V1928" s="2586">
        <f t="shared" si="490"/>
        <v>-16.017577653876721</v>
      </c>
      <c r="W1928" s="3283">
        <f t="shared" si="491"/>
        <v>1.3845134467575613</v>
      </c>
      <c r="X1928" s="3300"/>
      <c r="Y1928" s="3316"/>
      <c r="AA1928" s="3301"/>
      <c r="AB1928" s="3409"/>
    </row>
    <row r="1929" spans="1:28" x14ac:dyDescent="0.2">
      <c r="A1929" s="2934" t="s">
        <v>626</v>
      </c>
      <c r="B1929" s="3000">
        <f>SUM(H1928:H1934)</f>
        <v>23.27</v>
      </c>
      <c r="C1929" s="2596">
        <v>45027</v>
      </c>
      <c r="D1929" s="2597">
        <v>48</v>
      </c>
      <c r="E1929" s="2598" t="s">
        <v>835</v>
      </c>
      <c r="F1929" s="2907" t="s">
        <v>943</v>
      </c>
      <c r="G1929" s="2599">
        <v>3.0486111111111113E-2</v>
      </c>
      <c r="H1929" s="2600">
        <v>7.49</v>
      </c>
      <c r="I1929" s="2601">
        <f t="shared" si="485"/>
        <v>4.0702418038866634E-3</v>
      </c>
      <c r="J1929" s="2602">
        <v>130</v>
      </c>
      <c r="K1929" s="2603">
        <v>48</v>
      </c>
      <c r="L1929" s="2816">
        <v>205</v>
      </c>
      <c r="M1929" s="2840">
        <v>27</v>
      </c>
      <c r="N1929" s="2604">
        <f t="shared" si="486"/>
        <v>1.076001833290158</v>
      </c>
      <c r="O1929" s="2605" t="s">
        <v>1460</v>
      </c>
      <c r="P1929" s="2606">
        <f>IFERROR(VLOOKUP(F1929,Trainingsarten!$A$9:$N$84,12,FALSE),"")</f>
        <v>194.60000000000002</v>
      </c>
      <c r="Q1929" s="2607" t="s">
        <v>437</v>
      </c>
      <c r="R1929" s="2608">
        <f>IFERROR(VLOOKUP(F1929,Trainingsarten!$A$9:$N$84,14,FALSE),"")</f>
        <v>212.96</v>
      </c>
      <c r="S1929" s="2609">
        <f t="shared" si="487"/>
        <v>1.5769230769230769</v>
      </c>
      <c r="T1929" s="2597">
        <f t="shared" si="488"/>
        <v>39.027159454183675</v>
      </c>
      <c r="U1929" s="2597">
        <f t="shared" si="489"/>
        <v>27.60563693278614</v>
      </c>
      <c r="V1929" s="2597">
        <f t="shared" si="490"/>
        <v>-10.423472586539052</v>
      </c>
      <c r="W1929" s="3284">
        <f t="shared" si="491"/>
        <v>1.4137387791198774</v>
      </c>
      <c r="X1929" s="3302"/>
      <c r="Y1929" s="3317"/>
      <c r="AA1929" s="3301"/>
      <c r="AB1929" s="3409"/>
    </row>
    <row r="1930" spans="1:28" x14ac:dyDescent="0.2">
      <c r="A1930" s="2935" t="s">
        <v>628</v>
      </c>
      <c r="B1930" s="3001">
        <f>SUM(K1928:K1934)</f>
        <v>153</v>
      </c>
      <c r="C1930" s="2596">
        <v>45028</v>
      </c>
      <c r="D1930" s="2597"/>
      <c r="E1930" s="2598"/>
      <c r="F1930" s="2907"/>
      <c r="G1930" s="2599"/>
      <c r="H1930" s="2891" t="str">
        <f>IFERROR(VLOOKUP(F1930,Trainingsarten!$A$9:$K$84,10,FALSE),"")</f>
        <v/>
      </c>
      <c r="I1930" s="2601" t="str">
        <f t="shared" si="485"/>
        <v/>
      </c>
      <c r="J1930" s="2602"/>
      <c r="K1930" s="2603" t="str">
        <f>IFERROR(VLOOKUP(F1930,Trainingsarten!$A$9:$K$84,11,FALSE),"0")</f>
        <v>0</v>
      </c>
      <c r="L1930" s="2816"/>
      <c r="M1930" s="2840"/>
      <c r="N1930" s="2604" t="str">
        <f t="shared" si="486"/>
        <v/>
      </c>
      <c r="O1930" s="2605"/>
      <c r="P1930" s="2606" t="str">
        <f>IFERROR(VLOOKUP(F1930,Trainingsarten!$A$9:$N$84,12,FALSE),"")</f>
        <v/>
      </c>
      <c r="Q1930" s="2607" t="s">
        <v>437</v>
      </c>
      <c r="R1930" s="2608" t="str">
        <f>IFERROR(VLOOKUP(F1930,Trainingsarten!$A$9:$N$84,14,FALSE),"")</f>
        <v/>
      </c>
      <c r="S1930" s="2609" t="str">
        <f t="shared" si="487"/>
        <v/>
      </c>
      <c r="T1930" s="2597">
        <f t="shared" si="488"/>
        <v>33.451850960728862</v>
      </c>
      <c r="U1930" s="2597">
        <f t="shared" si="489"/>
        <v>26.948359862957901</v>
      </c>
      <c r="V1930" s="2597">
        <f t="shared" si="490"/>
        <v>-11.421522521397534</v>
      </c>
      <c r="W1930" s="3284">
        <f t="shared" si="491"/>
        <v>1.2413316109345263</v>
      </c>
      <c r="X1930" s="3300"/>
      <c r="Y1930" s="3316"/>
      <c r="AA1930" s="3301"/>
      <c r="AB1930" s="3409"/>
    </row>
    <row r="1931" spans="1:28" x14ac:dyDescent="0.2">
      <c r="A1931" s="2935" t="s">
        <v>761</v>
      </c>
      <c r="B1931" s="3002">
        <f>AVERAGE(W1928:W1934)</f>
        <v>1.2006999856153802</v>
      </c>
      <c r="C1931" s="2596">
        <v>45029</v>
      </c>
      <c r="D1931" s="2597"/>
      <c r="E1931" s="2598"/>
      <c r="F1931" s="2907"/>
      <c r="G1931" s="2599"/>
      <c r="H1931" s="2891" t="str">
        <f>IFERROR(VLOOKUP(F1931,Trainingsarten!$A$9:$K$84,10,FALSE),"")</f>
        <v/>
      </c>
      <c r="I1931" s="2601" t="str">
        <f t="shared" si="485"/>
        <v/>
      </c>
      <c r="J1931" s="2602"/>
      <c r="K1931" s="2603" t="str">
        <f>IFERROR(VLOOKUP(F1931,Trainingsarten!$A$9:$K$84,11,FALSE),"0")</f>
        <v>0</v>
      </c>
      <c r="L1931" s="2816"/>
      <c r="M1931" s="2840"/>
      <c r="N1931" s="2604" t="str">
        <f t="shared" si="486"/>
        <v/>
      </c>
      <c r="O1931" s="2605"/>
      <c r="P1931" s="2606" t="str">
        <f>IFERROR(VLOOKUP(F1931,Trainingsarten!$A$9:$N$84,12,FALSE),"")</f>
        <v/>
      </c>
      <c r="Q1931" s="2607" t="s">
        <v>437</v>
      </c>
      <c r="R1931" s="2608" t="str">
        <f>IFERROR(VLOOKUP(F1931,Trainingsarten!$A$9:$N$84,14,FALSE),"")</f>
        <v/>
      </c>
      <c r="S1931" s="2609" t="str">
        <f t="shared" si="487"/>
        <v/>
      </c>
      <c r="T1931" s="2597">
        <f t="shared" si="488"/>
        <v>28.673015109196168</v>
      </c>
      <c r="U1931" s="2597">
        <f t="shared" si="489"/>
        <v>26.306732247173187</v>
      </c>
      <c r="V1931" s="2597">
        <f t="shared" si="490"/>
        <v>-6.5034910977709615</v>
      </c>
      <c r="W1931" s="3284">
        <f t="shared" si="491"/>
        <v>1.0899497071620232</v>
      </c>
      <c r="X1931" s="3300"/>
      <c r="Y1931" s="3316"/>
      <c r="AA1931" s="3301"/>
      <c r="AB1931" s="3409"/>
    </row>
    <row r="1932" spans="1:28" x14ac:dyDescent="0.2">
      <c r="A1932" s="2935" t="s">
        <v>979</v>
      </c>
      <c r="B1932" s="3130">
        <f>IFERROR(AVERAGE(N1928:N1934),"")</f>
        <v>1.0783859830761202</v>
      </c>
      <c r="C1932" s="2596">
        <v>45030</v>
      </c>
      <c r="D1932" s="2597"/>
      <c r="E1932" s="2598"/>
      <c r="F1932" s="2908"/>
      <c r="G1932" s="2599"/>
      <c r="H1932" s="2891" t="str">
        <f>IFERROR(VLOOKUP(F1932,Trainingsarten!$A$9:$K$84,10,FALSE),"")</f>
        <v/>
      </c>
      <c r="I1932" s="2601" t="str">
        <f t="shared" si="485"/>
        <v/>
      </c>
      <c r="J1932" s="2602"/>
      <c r="K1932" s="2603" t="str">
        <f>IFERROR(VLOOKUP(F1932,Trainingsarten!$A$9:$K$84,11,FALSE),"0")</f>
        <v>0</v>
      </c>
      <c r="L1932" s="2816"/>
      <c r="M1932" s="2840"/>
      <c r="N1932" s="2604" t="str">
        <f t="shared" si="486"/>
        <v/>
      </c>
      <c r="O1932" s="2605"/>
      <c r="P1932" s="2606" t="str">
        <f>IFERROR(VLOOKUP(F1932,Trainingsarten!$A$9:$N$84,12,FALSE),"")</f>
        <v/>
      </c>
      <c r="Q1932" s="2607" t="s">
        <v>437</v>
      </c>
      <c r="R1932" s="2608" t="str">
        <f>IFERROR(VLOOKUP(F1932,Trainingsarten!$A$9:$N$84,14,FALSE),"")</f>
        <v/>
      </c>
      <c r="S1932" s="2609" t="str">
        <f t="shared" si="487"/>
        <v/>
      </c>
      <c r="T1932" s="2597">
        <f t="shared" si="488"/>
        <v>24.576870093596717</v>
      </c>
      <c r="U1932" s="2597">
        <f t="shared" si="489"/>
        <v>25.68038147938335</v>
      </c>
      <c r="V1932" s="2597">
        <f t="shared" si="490"/>
        <v>-2.366282862022981</v>
      </c>
      <c r="W1932" s="3284">
        <f t="shared" si="491"/>
        <v>0.95702901116665462</v>
      </c>
      <c r="X1932" s="3300"/>
      <c r="Y1932" s="3316"/>
      <c r="AA1932" s="3301"/>
      <c r="AB1932" s="3409"/>
    </row>
    <row r="1933" spans="1:28" x14ac:dyDescent="0.2">
      <c r="A1933" s="2935" t="s">
        <v>980</v>
      </c>
      <c r="B1933" s="3002">
        <f>IFERROR(AVERAGE(S1928:S1934),"")</f>
        <v>1.5931381855109672</v>
      </c>
      <c r="C1933" s="2886">
        <v>45031</v>
      </c>
      <c r="D1933" s="2887">
        <v>49</v>
      </c>
      <c r="E1933" s="2888" t="s">
        <v>836</v>
      </c>
      <c r="F1933" s="3010" t="s">
        <v>819</v>
      </c>
      <c r="G1933" s="2890">
        <v>3.7025462962962961E-2</v>
      </c>
      <c r="H1933" s="2891">
        <v>9.51</v>
      </c>
      <c r="I1933" s="2892">
        <f t="shared" si="485"/>
        <v>3.8933189235502591E-3</v>
      </c>
      <c r="J1933" s="2893">
        <v>134</v>
      </c>
      <c r="K1933" s="2894">
        <v>65</v>
      </c>
      <c r="L1933" s="2816">
        <v>216</v>
      </c>
      <c r="M1933" s="2893">
        <v>34</v>
      </c>
      <c r="N1933" s="2895">
        <f t="shared" si="486"/>
        <v>1.0844578369979756</v>
      </c>
      <c r="O1933" s="2896" t="s">
        <v>976</v>
      </c>
      <c r="P1933" s="2897">
        <f>IFERROR(VLOOKUP(F1933,Trainingsarten!$A$9:$N$84,12,FALSE),"")</f>
        <v>194.60000000000002</v>
      </c>
      <c r="Q1933" s="2898" t="s">
        <v>437</v>
      </c>
      <c r="R1933" s="2899">
        <f>IFERROR(VLOOKUP(F1933,Trainingsarten!$A$9:$N$84,14,FALSE),"")</f>
        <v>212.96</v>
      </c>
      <c r="S1933" s="2845">
        <f t="shared" si="487"/>
        <v>1.6119402985074627</v>
      </c>
      <c r="T1933" s="2887">
        <f t="shared" si="488"/>
        <v>30.351602937368614</v>
      </c>
      <c r="U1933" s="2887">
        <f t="shared" si="489"/>
        <v>26.616562872731365</v>
      </c>
      <c r="V1933" s="2887">
        <f t="shared" si="490"/>
        <v>1.1035113857866321</v>
      </c>
      <c r="W1933" s="3284">
        <f t="shared" si="491"/>
        <v>1.1403276629855086</v>
      </c>
      <c r="X1933" s="3300"/>
      <c r="Y1933" s="3316"/>
      <c r="AA1933" s="3301"/>
      <c r="AB1933" s="3409"/>
    </row>
    <row r="1934" spans="1:28" ht="16" thickBot="1" x14ac:dyDescent="0.25">
      <c r="A1934" s="2936" t="s">
        <v>183</v>
      </c>
      <c r="B1934" s="3003">
        <f>IFERROR(SUM(M1928:M1934),"")</f>
        <v>73</v>
      </c>
      <c r="C1934" s="2576">
        <v>45032</v>
      </c>
      <c r="D1934" s="1788">
        <v>50</v>
      </c>
      <c r="E1934" s="1789" t="s">
        <v>835</v>
      </c>
      <c r="F1934" s="2909" t="s">
        <v>943</v>
      </c>
      <c r="G1934" s="2577">
        <v>2.5868055555555557E-2</v>
      </c>
      <c r="H1934" s="2578">
        <v>6.27</v>
      </c>
      <c r="I1934" s="2579">
        <f t="shared" si="485"/>
        <v>4.1256866914761653E-3</v>
      </c>
      <c r="J1934" s="2580">
        <v>127</v>
      </c>
      <c r="K1934" s="2581">
        <v>40</v>
      </c>
      <c r="L1934" s="2821">
        <v>202</v>
      </c>
      <c r="M1934" s="2580">
        <v>12</v>
      </c>
      <c r="N1934" s="2582">
        <f t="shared" si="486"/>
        <v>1.0746982789402271</v>
      </c>
      <c r="O1934" s="2583" t="s">
        <v>953</v>
      </c>
      <c r="P1934" s="2584">
        <f>IFERROR(VLOOKUP(F1934,Trainingsarten!$A$9:$N$84,12,FALSE),"")</f>
        <v>194.60000000000002</v>
      </c>
      <c r="Q1934" s="945" t="s">
        <v>437</v>
      </c>
      <c r="R1934" s="946">
        <f>IFERROR(VLOOKUP(F1934,Trainingsarten!$A$9:$N$84,14,FALSE),"")</f>
        <v>212.96</v>
      </c>
      <c r="S1934" s="2390">
        <f t="shared" si="487"/>
        <v>1.5905511811023623</v>
      </c>
      <c r="T1934" s="1788">
        <f t="shared" si="488"/>
        <v>31.729945374887382</v>
      </c>
      <c r="U1934" s="1788">
        <f t="shared" si="489"/>
        <v>26.93521613766633</v>
      </c>
      <c r="V1934" s="1788">
        <f t="shared" si="490"/>
        <v>-3.7350400646372499</v>
      </c>
      <c r="W1934" s="3293">
        <f t="shared" si="491"/>
        <v>1.1780096811815102</v>
      </c>
      <c r="X1934" s="3300"/>
      <c r="Y1934" s="3316"/>
      <c r="AA1934" s="3301"/>
      <c r="AB1934" s="3409"/>
    </row>
    <row r="1935" spans="1:28" ht="16" thickBot="1" x14ac:dyDescent="0.25">
      <c r="A1935" s="3439">
        <f>WEEKNUM(C1935,1)</f>
        <v>16</v>
      </c>
      <c r="B1935" s="3440"/>
      <c r="C1935" s="2585">
        <v>45033</v>
      </c>
      <c r="D1935" s="2586">
        <v>51</v>
      </c>
      <c r="E1935" s="2587" t="s">
        <v>836</v>
      </c>
      <c r="F1935" s="2906" t="s">
        <v>943</v>
      </c>
      <c r="G1935" s="2588">
        <v>2.4039351851851853E-2</v>
      </c>
      <c r="H1935" s="2589">
        <v>5.92</v>
      </c>
      <c r="I1935" s="2590">
        <f t="shared" si="485"/>
        <v>4.060701326326327E-3</v>
      </c>
      <c r="J1935" s="2591">
        <v>128</v>
      </c>
      <c r="K1935" s="2592">
        <v>38</v>
      </c>
      <c r="L1935" s="2815">
        <v>201</v>
      </c>
      <c r="M1935" s="2591">
        <v>19</v>
      </c>
      <c r="N1935" s="2593">
        <f t="shared" si="486"/>
        <v>1.052533783783784</v>
      </c>
      <c r="O1935" s="2594" t="s">
        <v>976</v>
      </c>
      <c r="P1935" s="1919">
        <f>IFERROR(VLOOKUP(F1935,Trainingsarten!$A$9:$N$84,12,FALSE),"")</f>
        <v>194.60000000000002</v>
      </c>
      <c r="Q1935" s="1069" t="s">
        <v>437</v>
      </c>
      <c r="R1935" s="2462">
        <f>IFERROR(VLOOKUP(F1935,Trainingsarten!$A$9:$N$84,14,FALSE),"")</f>
        <v>212.96</v>
      </c>
      <c r="S1935" s="2595">
        <f t="shared" si="487"/>
        <v>1.5703125</v>
      </c>
      <c r="T1935" s="2586">
        <f t="shared" si="488"/>
        <v>32.625667464189185</v>
      </c>
      <c r="U1935" s="2586">
        <f t="shared" si="489"/>
        <v>27.1986633724838</v>
      </c>
      <c r="V1935" s="2586">
        <f t="shared" si="490"/>
        <v>-4.7947292372210519</v>
      </c>
      <c r="W1935" s="3283">
        <f t="shared" si="491"/>
        <v>1.1995320144002277</v>
      </c>
      <c r="X1935" s="3300"/>
      <c r="Y1935" s="3316"/>
      <c r="AA1935" s="3301"/>
      <c r="AB1935" s="3409"/>
    </row>
    <row r="1936" spans="1:28" x14ac:dyDescent="0.2">
      <c r="A1936" s="2934" t="s">
        <v>626</v>
      </c>
      <c r="B1936" s="3000">
        <f>SUM(H1935:H1941)</f>
        <v>37.01</v>
      </c>
      <c r="C1936" s="2596">
        <v>45034</v>
      </c>
      <c r="D1936" s="2597">
        <v>52</v>
      </c>
      <c r="E1936" s="2598" t="s">
        <v>836</v>
      </c>
      <c r="F1936" s="2907" t="s">
        <v>977</v>
      </c>
      <c r="G1936" s="2599">
        <v>3.2361111111111111E-2</v>
      </c>
      <c r="H1936" s="2600">
        <v>8.61</v>
      </c>
      <c r="I1936" s="2601">
        <f t="shared" si="485"/>
        <v>3.7585494902568077E-3</v>
      </c>
      <c r="J1936" s="2602">
        <v>143</v>
      </c>
      <c r="K1936" s="2603">
        <v>63</v>
      </c>
      <c r="L1936" s="2816">
        <v>221</v>
      </c>
      <c r="M1936" s="2840">
        <v>16</v>
      </c>
      <c r="N1936" s="2604">
        <f t="shared" si="486"/>
        <v>1.0711529460710387</v>
      </c>
      <c r="O1936" s="2605" t="s">
        <v>821</v>
      </c>
      <c r="P1936" s="2606" t="str">
        <f>IFERROR(VLOOKUP(F1936,Trainingsarten!$A$9:$N$84,12,FALSE),"")</f>
        <v/>
      </c>
      <c r="Q1936" s="2607" t="s">
        <v>437</v>
      </c>
      <c r="R1936" s="2608" t="str">
        <f>IFERROR(VLOOKUP(F1936,Trainingsarten!$A$9:$N$84,14,FALSE),"")</f>
        <v/>
      </c>
      <c r="S1936" s="2609">
        <f t="shared" si="487"/>
        <v>1.5454545454545454</v>
      </c>
      <c r="T1936" s="2597">
        <f t="shared" si="488"/>
        <v>36.964857826447876</v>
      </c>
      <c r="U1936" s="2597">
        <f t="shared" si="489"/>
        <v>28.051076149329425</v>
      </c>
      <c r="V1936" s="2597">
        <f t="shared" si="490"/>
        <v>-5.4270040917053848</v>
      </c>
      <c r="W1936" s="3284">
        <f t="shared" si="491"/>
        <v>1.317769686612595</v>
      </c>
      <c r="X1936" s="3300"/>
      <c r="Y1936" s="3316"/>
      <c r="AA1936" s="3301"/>
      <c r="AB1936" s="3409"/>
    </row>
    <row r="1937" spans="1:31" x14ac:dyDescent="0.2">
      <c r="A1937" s="2935" t="s">
        <v>628</v>
      </c>
      <c r="B1937" s="3001">
        <f>SUM(K1935:K1941)</f>
        <v>246</v>
      </c>
      <c r="C1937" s="2596">
        <v>45035</v>
      </c>
      <c r="D1937" s="2597"/>
      <c r="E1937" s="2598"/>
      <c r="F1937" s="2907"/>
      <c r="G1937" s="2599"/>
      <c r="H1937" s="2600" t="str">
        <f>IFERROR(VLOOKUP(F1937,Trainingsarten!$A$9:$K$84,10,FALSE),"")</f>
        <v/>
      </c>
      <c r="I1937" s="2601" t="str">
        <f t="shared" si="485"/>
        <v/>
      </c>
      <c r="J1937" s="2602"/>
      <c r="K1937" s="2603" t="str">
        <f>IFERROR(VLOOKUP(F1937,Trainingsarten!$A$9:$K$84,11,FALSE),"0")</f>
        <v>0</v>
      </c>
      <c r="L1937" s="2816"/>
      <c r="M1937" s="2840"/>
      <c r="N1937" s="2604" t="str">
        <f t="shared" si="486"/>
        <v/>
      </c>
      <c r="O1937" s="2605"/>
      <c r="P1937" s="2606" t="str">
        <f>IFERROR(VLOOKUP(F1937,Trainingsarten!$A$9:$N$84,12,FALSE),"")</f>
        <v/>
      </c>
      <c r="Q1937" s="2607" t="s">
        <v>437</v>
      </c>
      <c r="R1937" s="2608" t="str">
        <f>IFERROR(VLOOKUP(F1937,Trainingsarten!$A$9:$N$84,14,FALSE),"")</f>
        <v/>
      </c>
      <c r="S1937" s="2609" t="str">
        <f t="shared" si="487"/>
        <v/>
      </c>
      <c r="T1937" s="2597">
        <f t="shared" si="488"/>
        <v>31.684163851241038</v>
      </c>
      <c r="U1937" s="2597">
        <f t="shared" si="489"/>
        <v>27.383193383869202</v>
      </c>
      <c r="V1937" s="2597">
        <f t="shared" si="490"/>
        <v>-8.9137816771184504</v>
      </c>
      <c r="W1937" s="3284">
        <f t="shared" si="491"/>
        <v>1.157066066293986</v>
      </c>
      <c r="X1937" s="3300"/>
      <c r="Y1937" s="3316"/>
      <c r="AA1937" s="3301"/>
      <c r="AB1937" s="3409"/>
    </row>
    <row r="1938" spans="1:31" x14ac:dyDescent="0.2">
      <c r="A1938" s="2935" t="s">
        <v>761</v>
      </c>
      <c r="B1938" s="3002">
        <f>AVERAGE(W1935:W1941)</f>
        <v>1.2015959002945178</v>
      </c>
      <c r="C1938" s="2596">
        <v>45036</v>
      </c>
      <c r="D1938" s="2597">
        <v>53</v>
      </c>
      <c r="E1938" s="2598" t="s">
        <v>836</v>
      </c>
      <c r="F1938" s="2907" t="s">
        <v>974</v>
      </c>
      <c r="G1938" s="2599">
        <v>2.7615740740740743E-2</v>
      </c>
      <c r="H1938" s="2600">
        <v>7.03</v>
      </c>
      <c r="I1938" s="2601">
        <f t="shared" si="485"/>
        <v>3.9282703756387972E-3</v>
      </c>
      <c r="J1938" s="2602">
        <v>134</v>
      </c>
      <c r="K1938" s="2603">
        <v>48</v>
      </c>
      <c r="L1938" s="2816">
        <v>211</v>
      </c>
      <c r="M1938" s="2840">
        <v>21</v>
      </c>
      <c r="N1938" s="2604">
        <f t="shared" si="486"/>
        <v>1.0688647799409781</v>
      </c>
      <c r="O1938" s="2605" t="s">
        <v>958</v>
      </c>
      <c r="P1938" s="2606">
        <f>IFERROR(VLOOKUP(F1938,Trainingsarten!$A$9:$N$84,12,FALSE),"")</f>
        <v>255.10000000000002</v>
      </c>
      <c r="Q1938" s="2607" t="s">
        <v>437</v>
      </c>
      <c r="R1938" s="2608">
        <f>IFERROR(VLOOKUP(F1938,Trainingsarten!$A$9:$N$84,14,FALSE),"")</f>
        <v>278.29999999999995</v>
      </c>
      <c r="S1938" s="2609">
        <f t="shared" si="487"/>
        <v>1.5746268656716418</v>
      </c>
      <c r="T1938" s="2597">
        <f t="shared" si="488"/>
        <v>34.01499758677803</v>
      </c>
      <c r="U1938" s="2597">
        <f t="shared" si="489"/>
        <v>27.874069731872314</v>
      </c>
      <c r="V1938" s="2597">
        <f t="shared" si="490"/>
        <v>-4.3009704673718367</v>
      </c>
      <c r="W1938" s="3284">
        <f t="shared" si="491"/>
        <v>1.2203096969325558</v>
      </c>
      <c r="X1938" s="3300"/>
      <c r="Y1938" s="3316"/>
      <c r="AA1938" s="3301"/>
      <c r="AB1938" s="3409"/>
    </row>
    <row r="1939" spans="1:31" x14ac:dyDescent="0.2">
      <c r="A1939" s="2935" t="s">
        <v>979</v>
      </c>
      <c r="B1939" s="3130">
        <f>IFERROR(AVERAGE(N1935:N1941),"")</f>
        <v>1.0631503007231042</v>
      </c>
      <c r="C1939" s="2596">
        <v>45037</v>
      </c>
      <c r="D1939" s="2597">
        <v>54</v>
      </c>
      <c r="E1939" s="2598" t="s">
        <v>836</v>
      </c>
      <c r="F1939" s="2908" t="s">
        <v>943</v>
      </c>
      <c r="G1939" s="2599">
        <v>2.5416666666666667E-2</v>
      </c>
      <c r="H1939" s="2600">
        <v>6.21</v>
      </c>
      <c r="I1939" s="2601">
        <f t="shared" si="485"/>
        <v>4.0928609769189479E-3</v>
      </c>
      <c r="J1939" s="2602">
        <v>132</v>
      </c>
      <c r="K1939" s="2603">
        <v>39</v>
      </c>
      <c r="L1939" s="2816">
        <v>200</v>
      </c>
      <c r="M1939" s="2840">
        <v>20</v>
      </c>
      <c r="N1939" s="2604">
        <f t="shared" si="486"/>
        <v>1.0555916071814837</v>
      </c>
      <c r="O1939" s="2605" t="s">
        <v>976</v>
      </c>
      <c r="P1939" s="2606">
        <f>IFERROR(VLOOKUP(F1939,Trainingsarten!$A$9:$N$84,12,FALSE),"")</f>
        <v>194.60000000000002</v>
      </c>
      <c r="Q1939" s="2607" t="s">
        <v>437</v>
      </c>
      <c r="R1939" s="2608">
        <f>IFERROR(VLOOKUP(F1939,Trainingsarten!$A$9:$N$84,14,FALSE),"")</f>
        <v>212.96</v>
      </c>
      <c r="S1939" s="2609">
        <f t="shared" si="487"/>
        <v>1.5151515151515151</v>
      </c>
      <c r="T1939" s="2597">
        <f t="shared" si="488"/>
        <v>34.72714078866688</v>
      </c>
      <c r="U1939" s="2597">
        <f t="shared" si="489"/>
        <v>28.138972833494403</v>
      </c>
      <c r="V1939" s="2597">
        <f t="shared" si="490"/>
        <v>-6.1409278549057156</v>
      </c>
      <c r="W1939" s="3284">
        <f t="shared" si="491"/>
        <v>1.2341296533514701</v>
      </c>
      <c r="X1939" s="3300"/>
      <c r="Y1939" s="3316"/>
      <c r="AA1939" s="3301"/>
      <c r="AB1939" s="3409"/>
    </row>
    <row r="1940" spans="1:31" x14ac:dyDescent="0.2">
      <c r="A1940" s="2935" t="s">
        <v>980</v>
      </c>
      <c r="B1940" s="3002">
        <f>IFERROR(AVERAGE(S1935:S1941),"")</f>
        <v>1.5513453057279813</v>
      </c>
      <c r="C1940" s="2886">
        <v>45038</v>
      </c>
      <c r="D1940" s="2887"/>
      <c r="E1940" s="2888"/>
      <c r="F1940" s="2908"/>
      <c r="G1940" s="2890"/>
      <c r="H1940" s="2891" t="str">
        <f>IFERROR(VLOOKUP(F1940,Trainingsarten!$A$9:$K$84,10,FALSE),"")</f>
        <v/>
      </c>
      <c r="I1940" s="2892" t="str">
        <f t="shared" si="485"/>
        <v/>
      </c>
      <c r="J1940" s="2893"/>
      <c r="K1940" s="2894" t="str">
        <f>IFERROR(VLOOKUP(F1940,Trainingsarten!$A$9:$K$84,11,FALSE),"0")</f>
        <v>0</v>
      </c>
      <c r="L1940" s="2816"/>
      <c r="M1940" s="2893"/>
      <c r="N1940" s="2895" t="str">
        <f t="shared" si="486"/>
        <v/>
      </c>
      <c r="O1940" s="2896"/>
      <c r="P1940" s="2897" t="str">
        <f>IFERROR(VLOOKUP(F1940,Trainingsarten!$A$9:$N$84,12,FALSE),"")</f>
        <v/>
      </c>
      <c r="Q1940" s="2898" t="s">
        <v>437</v>
      </c>
      <c r="R1940" s="2899" t="str">
        <f>IFERROR(VLOOKUP(F1940,Trainingsarten!$A$9:$N$84,14,FALSE),"")</f>
        <v/>
      </c>
      <c r="S1940" s="2845" t="str">
        <f t="shared" si="487"/>
        <v/>
      </c>
      <c r="T1940" s="2887">
        <f t="shared" si="488"/>
        <v>29.766120676000185</v>
      </c>
      <c r="U1940" s="2887">
        <f t="shared" si="489"/>
        <v>27.468997289839773</v>
      </c>
      <c r="V1940" s="2887">
        <f t="shared" si="490"/>
        <v>-6.5881679551724766</v>
      </c>
      <c r="W1940" s="3284">
        <f t="shared" si="491"/>
        <v>1.0836260370890958</v>
      </c>
      <c r="X1940" s="3300"/>
      <c r="Y1940" s="3316"/>
      <c r="AA1940" s="3301"/>
      <c r="AB1940" s="3409"/>
    </row>
    <row r="1941" spans="1:31" ht="16" thickBot="1" x14ac:dyDescent="0.25">
      <c r="A1941" s="2936" t="s">
        <v>183</v>
      </c>
      <c r="B1941" s="3003">
        <f>IFERROR(SUM(M1935:M1941),"")</f>
        <v>105</v>
      </c>
      <c r="C1941" s="2576">
        <v>45039</v>
      </c>
      <c r="D1941" s="1788">
        <v>55</v>
      </c>
      <c r="E1941" s="1789" t="s">
        <v>835</v>
      </c>
      <c r="F1941" s="2909" t="s">
        <v>819</v>
      </c>
      <c r="G1941" s="2577">
        <v>3.8831018518518515E-2</v>
      </c>
      <c r="H1941" s="2578">
        <v>9.24</v>
      </c>
      <c r="I1941" s="2579">
        <f t="shared" si="485"/>
        <v>4.2024911816578477E-3</v>
      </c>
      <c r="J1941" s="2580">
        <v>127</v>
      </c>
      <c r="K1941" s="2581">
        <v>58</v>
      </c>
      <c r="L1941" s="2821">
        <v>197</v>
      </c>
      <c r="M1941" s="2580">
        <v>29</v>
      </c>
      <c r="N1941" s="2582">
        <f t="shared" si="486"/>
        <v>1.0676083866382371</v>
      </c>
      <c r="O1941" s="2583" t="s">
        <v>953</v>
      </c>
      <c r="P1941" s="2584">
        <f>IFERROR(VLOOKUP(F1941,Trainingsarten!$A$9:$N$84,12,FALSE),"")</f>
        <v>194.60000000000002</v>
      </c>
      <c r="Q1941" s="945" t="s">
        <v>437</v>
      </c>
      <c r="R1941" s="946">
        <f>IFERROR(VLOOKUP(F1941,Trainingsarten!$A$9:$N$84,14,FALSE),"")</f>
        <v>212.96</v>
      </c>
      <c r="S1941" s="2390">
        <f t="shared" si="487"/>
        <v>1.5511811023622046</v>
      </c>
      <c r="T1941" s="1788">
        <f t="shared" si="488"/>
        <v>33.799532008000156</v>
      </c>
      <c r="U1941" s="1788">
        <f t="shared" si="489"/>
        <v>28.195925925795969</v>
      </c>
      <c r="V1941" s="1788">
        <f t="shared" si="490"/>
        <v>-2.2971233861604112</v>
      </c>
      <c r="W1941" s="3293">
        <f t="shared" si="491"/>
        <v>1.1987381473816947</v>
      </c>
      <c r="X1941" s="3300"/>
      <c r="Y1941" s="3316"/>
      <c r="AA1941" s="3301"/>
      <c r="AB1941" s="3409"/>
    </row>
    <row r="1942" spans="1:31" ht="16" thickBot="1" x14ac:dyDescent="0.25">
      <c r="A1942" s="3439">
        <f>WEEKNUM(C1942,1)</f>
        <v>17</v>
      </c>
      <c r="B1942" s="3440"/>
      <c r="C1942" s="2585">
        <v>45040</v>
      </c>
      <c r="D1942" s="2586">
        <v>56</v>
      </c>
      <c r="E1942" s="2587" t="s">
        <v>836</v>
      </c>
      <c r="F1942" s="2906" t="s">
        <v>944</v>
      </c>
      <c r="G1942" s="2588">
        <v>2.4398148148148145E-2</v>
      </c>
      <c r="H1942" s="2589">
        <v>5.92</v>
      </c>
      <c r="I1942" s="2590">
        <f t="shared" si="485"/>
        <v>4.1213088088088079E-3</v>
      </c>
      <c r="J1942" s="2591">
        <v>120</v>
      </c>
      <c r="K1942" s="2592">
        <v>37</v>
      </c>
      <c r="L1942" s="2815">
        <v>200</v>
      </c>
      <c r="M1942" s="2591">
        <v>13</v>
      </c>
      <c r="N1942" s="2593">
        <f t="shared" si="486"/>
        <v>1.0629286002420328</v>
      </c>
      <c r="O1942" s="2594" t="s">
        <v>976</v>
      </c>
      <c r="P1942" s="1919">
        <f>IFERROR(VLOOKUP(F1942,Trainingsarten!$A$9:$N$84,12,FALSE),"")</f>
        <v>194.60000000000002</v>
      </c>
      <c r="Q1942" s="1069" t="s">
        <v>437</v>
      </c>
      <c r="R1942" s="2462">
        <f>IFERROR(VLOOKUP(F1942,Trainingsarten!$A$9:$N$84,14,FALSE),"")</f>
        <v>212.96</v>
      </c>
      <c r="S1942" s="2595">
        <f t="shared" si="487"/>
        <v>1.6666666666666667</v>
      </c>
      <c r="T1942" s="2586">
        <f t="shared" si="488"/>
        <v>34.256741721142994</v>
      </c>
      <c r="U1942" s="2586">
        <f t="shared" si="489"/>
        <v>28.405546737086542</v>
      </c>
      <c r="V1942" s="2586">
        <f t="shared" si="490"/>
        <v>-5.6036060822041875</v>
      </c>
      <c r="W1942" s="3283">
        <f t="shared" si="491"/>
        <v>1.2059877614120018</v>
      </c>
      <c r="X1942" s="3300"/>
      <c r="Y1942" s="3316"/>
      <c r="AA1942" s="3301"/>
      <c r="AB1942" s="3409"/>
    </row>
    <row r="1943" spans="1:31" x14ac:dyDescent="0.2">
      <c r="A1943" s="2934" t="s">
        <v>626</v>
      </c>
      <c r="B1943" s="3000">
        <f>SUM(H1942:H1948)</f>
        <v>28.36</v>
      </c>
      <c r="C1943" s="2596">
        <v>45041</v>
      </c>
      <c r="D1943" s="2597">
        <v>57</v>
      </c>
      <c r="E1943" s="2598" t="s">
        <v>836</v>
      </c>
      <c r="F1943" s="2907" t="s">
        <v>977</v>
      </c>
      <c r="G1943" s="2599">
        <v>2.0856481481481479E-2</v>
      </c>
      <c r="H1943" s="2600">
        <v>5.51</v>
      </c>
      <c r="I1943" s="2601">
        <f t="shared" si="485"/>
        <v>3.7852053505411033E-3</v>
      </c>
      <c r="J1943" s="2602">
        <v>143</v>
      </c>
      <c r="K1943" s="2603">
        <v>40</v>
      </c>
      <c r="L1943" s="2816">
        <v>217</v>
      </c>
      <c r="M1943" s="2840">
        <v>25</v>
      </c>
      <c r="N1943" s="2604">
        <f t="shared" si="486"/>
        <v>1.0592247474063439</v>
      </c>
      <c r="O1943" s="2605" t="s">
        <v>1463</v>
      </c>
      <c r="P1943" s="2606" t="str">
        <f>IFERROR(VLOOKUP(F1943,Trainingsarten!$A$9:$N$84,12,FALSE),"")</f>
        <v/>
      </c>
      <c r="Q1943" s="2607" t="s">
        <v>437</v>
      </c>
      <c r="R1943" s="2608" t="str">
        <f>IFERROR(VLOOKUP(F1943,Trainingsarten!$A$9:$N$84,14,FALSE),"")</f>
        <v/>
      </c>
      <c r="S1943" s="2609">
        <f t="shared" si="487"/>
        <v>1.5174825174825175</v>
      </c>
      <c r="T1943" s="2597">
        <f t="shared" si="488"/>
        <v>35.077207189551139</v>
      </c>
      <c r="U1943" s="2597">
        <f t="shared" si="489"/>
        <v>28.681605148108289</v>
      </c>
      <c r="V1943" s="2597">
        <f t="shared" si="490"/>
        <v>-5.8511949840564519</v>
      </c>
      <c r="W1943" s="3284">
        <f t="shared" si="491"/>
        <v>1.2229861964983042</v>
      </c>
      <c r="X1943" s="3300"/>
      <c r="Y1943" s="3316"/>
      <c r="AA1943" s="3301"/>
      <c r="AB1943" s="3409"/>
    </row>
    <row r="1944" spans="1:31" x14ac:dyDescent="0.2">
      <c r="A1944" s="2935" t="s">
        <v>628</v>
      </c>
      <c r="B1944" s="3001">
        <f>SUM(K1942:K1948)</f>
        <v>196</v>
      </c>
      <c r="C1944" s="2596">
        <v>45042</v>
      </c>
      <c r="D1944" s="2597"/>
      <c r="E1944" s="2598"/>
      <c r="F1944" s="2907"/>
      <c r="G1944" s="2599"/>
      <c r="H1944" s="2600" t="str">
        <f>IFERROR(VLOOKUP(F1944,Trainingsarten!$A$9:$K$84,10,FALSE),"")</f>
        <v/>
      </c>
      <c r="I1944" s="2601" t="str">
        <f t="shared" si="485"/>
        <v/>
      </c>
      <c r="J1944" s="2602"/>
      <c r="K1944" s="2603" t="str">
        <f>IFERROR(VLOOKUP(F1944,Trainingsarten!$A$9:$K$84,11,FALSE),"0")</f>
        <v>0</v>
      </c>
      <c r="L1944" s="2816"/>
      <c r="M1944" s="2840"/>
      <c r="N1944" s="2604" t="str">
        <f t="shared" si="486"/>
        <v/>
      </c>
      <c r="O1944" s="2605"/>
      <c r="P1944" s="2606" t="str">
        <f>IFERROR(VLOOKUP(F1944,Trainingsarten!$A$9:$N$84,12,FALSE),"")</f>
        <v/>
      </c>
      <c r="Q1944" s="2607" t="s">
        <v>437</v>
      </c>
      <c r="R1944" s="2608" t="str">
        <f>IFERROR(VLOOKUP(F1944,Trainingsarten!$A$9:$N$84,14,FALSE),"")</f>
        <v/>
      </c>
      <c r="S1944" s="2609" t="str">
        <f t="shared" si="487"/>
        <v/>
      </c>
      <c r="T1944" s="2597">
        <f t="shared" si="488"/>
        <v>30.066177591043832</v>
      </c>
      <c r="U1944" s="2597">
        <f t="shared" si="489"/>
        <v>27.998709787439044</v>
      </c>
      <c r="V1944" s="2597">
        <f t="shared" si="490"/>
        <v>-6.3956020414428494</v>
      </c>
      <c r="W1944" s="3284">
        <f t="shared" si="491"/>
        <v>1.073841538388755</v>
      </c>
      <c r="X1944" s="3300"/>
      <c r="Y1944" s="3316"/>
      <c r="AA1944" s="3301"/>
      <c r="AB1944" s="3409"/>
    </row>
    <row r="1945" spans="1:31" x14ac:dyDescent="0.2">
      <c r="A1945" s="2935" t="s">
        <v>761</v>
      </c>
      <c r="B1945" s="3002">
        <f>AVERAGE(W1942:W1948)</f>
        <v>1.1166286239321228</v>
      </c>
      <c r="C1945" s="2596">
        <v>45043</v>
      </c>
      <c r="D1945" s="2597">
        <v>58</v>
      </c>
      <c r="E1945" s="2598" t="s">
        <v>836</v>
      </c>
      <c r="F1945" s="2907" t="s">
        <v>974</v>
      </c>
      <c r="G1945" s="2599">
        <v>2.6921296296296294E-2</v>
      </c>
      <c r="H1945" s="2600">
        <v>6.63</v>
      </c>
      <c r="I1945" s="2601">
        <f t="shared" si="485"/>
        <v>4.0605273448410702E-3</v>
      </c>
      <c r="J1945" s="2602">
        <v>129</v>
      </c>
      <c r="K1945" s="2603">
        <v>45</v>
      </c>
      <c r="L1945" s="2816">
        <v>206</v>
      </c>
      <c r="M1945" s="2840">
        <v>22</v>
      </c>
      <c r="N1945" s="2604">
        <f t="shared" si="486"/>
        <v>1.0786699984241688</v>
      </c>
      <c r="O1945" s="2605" t="s">
        <v>958</v>
      </c>
      <c r="P1945" s="2606">
        <f>IFERROR(VLOOKUP(F1945,Trainingsarten!$A$9:$N$84,12,FALSE),"")</f>
        <v>255.10000000000002</v>
      </c>
      <c r="Q1945" s="2607" t="s">
        <v>437</v>
      </c>
      <c r="R1945" s="2608">
        <f>IFERROR(VLOOKUP(F1945,Trainingsarten!$A$9:$N$84,14,FALSE),"")</f>
        <v>278.29999999999995</v>
      </c>
      <c r="S1945" s="2609">
        <f t="shared" si="487"/>
        <v>1.5968992248062015</v>
      </c>
      <c r="T1945" s="2597">
        <f t="shared" si="488"/>
        <v>32.199580792323282</v>
      </c>
      <c r="U1945" s="2597">
        <f t="shared" si="489"/>
        <v>28.403502411547638</v>
      </c>
      <c r="V1945" s="2597">
        <f t="shared" si="490"/>
        <v>-2.0674678036047887</v>
      </c>
      <c r="W1945" s="3284">
        <f t="shared" si="491"/>
        <v>1.1336482496339015</v>
      </c>
      <c r="X1945" s="3300"/>
      <c r="Y1945" s="3316"/>
      <c r="AA1945" s="3301"/>
      <c r="AB1945" s="3409"/>
    </row>
    <row r="1946" spans="1:31" x14ac:dyDescent="0.2">
      <c r="A1946" s="2935" t="s">
        <v>979</v>
      </c>
      <c r="B1946" s="3130">
        <f>IFERROR(AVERAGE(N1942:N1948),"")</f>
        <v>1.0643952070911635</v>
      </c>
      <c r="C1946" s="2596">
        <v>45044</v>
      </c>
      <c r="D1946" s="2597">
        <v>59</v>
      </c>
      <c r="E1946" s="2598" t="s">
        <v>836</v>
      </c>
      <c r="F1946" s="2908" t="s">
        <v>944</v>
      </c>
      <c r="G1946" s="2599">
        <v>2.207175925925926E-2</v>
      </c>
      <c r="H1946" s="2600">
        <v>5.3</v>
      </c>
      <c r="I1946" s="2601">
        <f t="shared" si="485"/>
        <v>4.1644828791055208E-3</v>
      </c>
      <c r="J1946" s="2602">
        <v>123</v>
      </c>
      <c r="K1946" s="2603">
        <v>33</v>
      </c>
      <c r="L1946" s="2816">
        <v>197</v>
      </c>
      <c r="M1946" s="2840">
        <v>16</v>
      </c>
      <c r="N1946" s="2604">
        <f t="shared" si="486"/>
        <v>1.057952689383272</v>
      </c>
      <c r="O1946" s="2605" t="s">
        <v>976</v>
      </c>
      <c r="P1946" s="2606">
        <f>IFERROR(VLOOKUP(F1946,Trainingsarten!$A$9:$N$84,12,FALSE),"")</f>
        <v>194.60000000000002</v>
      </c>
      <c r="Q1946" s="2607" t="s">
        <v>437</v>
      </c>
      <c r="R1946" s="2608">
        <f>IFERROR(VLOOKUP(F1946,Trainingsarten!$A$9:$N$84,14,FALSE),"")</f>
        <v>212.96</v>
      </c>
      <c r="S1946" s="2609">
        <f t="shared" si="487"/>
        <v>1.6016260162601625</v>
      </c>
      <c r="T1946" s="2597">
        <f t="shared" si="488"/>
        <v>32.313926393419955</v>
      </c>
      <c r="U1946" s="2597">
        <f t="shared" si="489"/>
        <v>28.512942830320313</v>
      </c>
      <c r="V1946" s="2597">
        <f t="shared" si="490"/>
        <v>-3.7960783807756435</v>
      </c>
      <c r="W1946" s="3284">
        <f t="shared" si="491"/>
        <v>1.1333073048867381</v>
      </c>
      <c r="X1946" s="3300"/>
      <c r="Y1946" s="3316"/>
      <c r="AA1946" s="3301"/>
      <c r="AB1946" s="3409"/>
    </row>
    <row r="1947" spans="1:31" x14ac:dyDescent="0.2">
      <c r="A1947" s="2935" t="s">
        <v>980</v>
      </c>
      <c r="B1947" s="3002">
        <f>IFERROR(AVERAGE(S1942:S1948),"")</f>
        <v>1.6013833698915945</v>
      </c>
      <c r="C1947" s="2886">
        <v>45045</v>
      </c>
      <c r="D1947" s="2887"/>
      <c r="E1947" s="2888"/>
      <c r="F1947" s="2908"/>
      <c r="G1947" s="2890"/>
      <c r="H1947" s="2891" t="str">
        <f>IFERROR(VLOOKUP(F1947,Trainingsarten!$A$9:$K$84,10,FALSE),"")</f>
        <v/>
      </c>
      <c r="I1947" s="2892" t="str">
        <f t="shared" si="485"/>
        <v/>
      </c>
      <c r="J1947" s="2893"/>
      <c r="K1947" s="2894" t="str">
        <f>IFERROR(VLOOKUP(F1947,Trainingsarten!$A$9:$K$84,11,FALSE),"0")</f>
        <v>0</v>
      </c>
      <c r="L1947" s="2816"/>
      <c r="M1947" s="2893"/>
      <c r="N1947" s="2895" t="str">
        <f t="shared" si="486"/>
        <v/>
      </c>
      <c r="O1947" s="2896"/>
      <c r="P1947" s="2897" t="str">
        <f>IFERROR(VLOOKUP(F1947,Trainingsarten!$A$9:$N$84,12,FALSE),"")</f>
        <v/>
      </c>
      <c r="Q1947" s="2898" t="s">
        <v>437</v>
      </c>
      <c r="R1947" s="2899" t="str">
        <f>IFERROR(VLOOKUP(F1947,Trainingsarten!$A$9:$N$84,14,FALSE),"")</f>
        <v/>
      </c>
      <c r="S1947" s="2845" t="str">
        <f t="shared" si="487"/>
        <v/>
      </c>
      <c r="T1947" s="2887">
        <f t="shared" si="488"/>
        <v>27.697651194359963</v>
      </c>
      <c r="U1947" s="2887">
        <f t="shared" si="489"/>
        <v>27.834063239122209</v>
      </c>
      <c r="V1947" s="2887">
        <f t="shared" si="490"/>
        <v>-3.800983563099642</v>
      </c>
      <c r="W1947" s="3284">
        <f t="shared" si="491"/>
        <v>0.99509909697372134</v>
      </c>
      <c r="X1947" s="3300"/>
      <c r="Y1947" s="3316"/>
      <c r="AA1947" s="3301"/>
      <c r="AB1947" s="3409"/>
    </row>
    <row r="1948" spans="1:31" ht="16" thickBot="1" x14ac:dyDescent="0.25">
      <c r="A1948" s="2936" t="s">
        <v>183</v>
      </c>
      <c r="B1948" s="3003">
        <f>IFERROR(SUM(M1942:M1948),"")</f>
        <v>105</v>
      </c>
      <c r="C1948" s="2576">
        <v>45046</v>
      </c>
      <c r="D1948" s="1788">
        <v>60</v>
      </c>
      <c r="E1948" s="1789" t="s">
        <v>836</v>
      </c>
      <c r="F1948" s="2923" t="s">
        <v>690</v>
      </c>
      <c r="G1948" s="2577">
        <v>1.5381944444444443E-2</v>
      </c>
      <c r="H1948" s="2578">
        <v>5</v>
      </c>
      <c r="I1948" s="2579">
        <f t="shared" si="485"/>
        <v>3.0763888888888885E-3</v>
      </c>
      <c r="J1948" s="2580">
        <v>165</v>
      </c>
      <c r="K1948" s="2581">
        <v>41</v>
      </c>
      <c r="L1948" s="2821">
        <v>268</v>
      </c>
      <c r="M1948" s="2580">
        <v>29</v>
      </c>
      <c r="N1948" s="2582">
        <f t="shared" si="486"/>
        <v>1.0631999999999997</v>
      </c>
      <c r="O1948" s="2583" t="s">
        <v>1463</v>
      </c>
      <c r="P1948" s="2584" t="str">
        <f>IFERROR(VLOOKUP(F1948,Trainingsarten!$A$9:$N$84,12,FALSE),"")</f>
        <v/>
      </c>
      <c r="Q1948" s="945" t="s">
        <v>437</v>
      </c>
      <c r="R1948" s="946" t="str">
        <f>IFERROR(VLOOKUP(F1948,Trainingsarten!$A$9:$N$84,14,FALSE),"")</f>
        <v/>
      </c>
      <c r="S1948" s="2390">
        <f t="shared" si="487"/>
        <v>1.6242424242424243</v>
      </c>
      <c r="T1948" s="1788">
        <f t="shared" si="488"/>
        <v>29.597986738022826</v>
      </c>
      <c r="U1948" s="1788">
        <f t="shared" si="489"/>
        <v>28.147537923905013</v>
      </c>
      <c r="V1948" s="1788">
        <f t="shared" si="490"/>
        <v>0.13641204476224544</v>
      </c>
      <c r="W1948" s="3293">
        <f t="shared" si="491"/>
        <v>1.0515302197314382</v>
      </c>
      <c r="X1948" s="3306"/>
      <c r="Y1948" s="3316"/>
      <c r="AA1948" s="3301"/>
      <c r="AB1948" s="3409"/>
      <c r="AE1948" s="3105"/>
    </row>
    <row r="1949" spans="1:31" ht="16" thickBot="1" x14ac:dyDescent="0.25">
      <c r="A1949" s="3439">
        <f>WEEKNUM(C1949,1)</f>
        <v>18</v>
      </c>
      <c r="B1949" s="3440"/>
      <c r="C1949" s="2585">
        <v>45047</v>
      </c>
      <c r="D1949" s="2586"/>
      <c r="E1949" s="2587"/>
      <c r="F1949" s="2761"/>
      <c r="G1949" s="2588"/>
      <c r="H1949" s="2589" t="str">
        <f>IFERROR(VLOOKUP(F1949,Trainingsarten!$A$9:$K$84,10,FALSE),"")</f>
        <v/>
      </c>
      <c r="I1949" s="2590" t="str">
        <f t="shared" si="485"/>
        <v/>
      </c>
      <c r="J1949" s="2591"/>
      <c r="K1949" s="2592" t="str">
        <f>IFERROR(VLOOKUP(F1949,Trainingsarten!$A$9:$K$84,11,FALSE),"0")</f>
        <v>0</v>
      </c>
      <c r="L1949" s="2815"/>
      <c r="M1949" s="2591"/>
      <c r="N1949" s="2593" t="str">
        <f t="shared" si="486"/>
        <v/>
      </c>
      <c r="O1949" s="2594"/>
      <c r="P1949" s="1919" t="str">
        <f>IFERROR(VLOOKUP(F1949,Trainingsarten!$A$9:$N$84,12,FALSE),"")</f>
        <v/>
      </c>
      <c r="Q1949" s="1069" t="s">
        <v>437</v>
      </c>
      <c r="R1949" s="2462" t="str">
        <f>IFERROR(VLOOKUP(F1949,Trainingsarten!$A$9:$N$84,14,FALSE),"")</f>
        <v/>
      </c>
      <c r="S1949" s="2595" t="str">
        <f t="shared" si="487"/>
        <v/>
      </c>
      <c r="T1949" s="2586">
        <f t="shared" si="488"/>
        <v>25.369702918305279</v>
      </c>
      <c r="U1949" s="2586">
        <f t="shared" si="489"/>
        <v>27.477358449526321</v>
      </c>
      <c r="V1949" s="2586">
        <f t="shared" si="490"/>
        <v>-1.4504488141178129</v>
      </c>
      <c r="W1949" s="3283">
        <f t="shared" si="491"/>
        <v>0.92329482708126276</v>
      </c>
      <c r="X1949" s="3300"/>
      <c r="Y1949" s="3316"/>
      <c r="AA1949" s="3301"/>
      <c r="AB1949" s="3409"/>
    </row>
    <row r="1950" spans="1:31" x14ac:dyDescent="0.2">
      <c r="A1950" s="2934" t="s">
        <v>626</v>
      </c>
      <c r="B1950" s="3000">
        <f>SUM(H1949:H1955)</f>
        <v>15.870000000000001</v>
      </c>
      <c r="C1950" s="2596">
        <v>45048</v>
      </c>
      <c r="D1950" s="2597"/>
      <c r="E1950" s="2598"/>
      <c r="F1950" s="2759"/>
      <c r="G1950" s="2599"/>
      <c r="H1950" s="2600" t="str">
        <f>IFERROR(VLOOKUP(F1950,Trainingsarten!$A$9:$K$84,10,FALSE),"")</f>
        <v/>
      </c>
      <c r="I1950" s="2601" t="str">
        <f t="shared" si="485"/>
        <v/>
      </c>
      <c r="J1950" s="2602"/>
      <c r="K1950" s="2603" t="str">
        <f>IFERROR(VLOOKUP(F1950,Trainingsarten!$A$9:$K$84,11,FALSE),"0")</f>
        <v>0</v>
      </c>
      <c r="L1950" s="2816"/>
      <c r="M1950" s="2840"/>
      <c r="N1950" s="2604" t="str">
        <f t="shared" si="486"/>
        <v/>
      </c>
      <c r="O1950" s="2605"/>
      <c r="P1950" s="2606" t="str">
        <f>IFERROR(VLOOKUP(F1950,Trainingsarten!$A$9:$N$84,12,FALSE),"")</f>
        <v/>
      </c>
      <c r="Q1950" s="2607" t="s">
        <v>437</v>
      </c>
      <c r="R1950" s="2608" t="str">
        <f>IFERROR(VLOOKUP(F1950,Trainingsarten!$A$9:$N$84,14,FALSE),"")</f>
        <v/>
      </c>
      <c r="S1950" s="2609" t="str">
        <f t="shared" si="487"/>
        <v/>
      </c>
      <c r="T1950" s="2597">
        <f t="shared" si="488"/>
        <v>21.745459644261668</v>
      </c>
      <c r="U1950" s="2597">
        <f t="shared" si="489"/>
        <v>26.823135629299504</v>
      </c>
      <c r="V1950" s="2597">
        <f t="shared" si="490"/>
        <v>2.1076555312210417</v>
      </c>
      <c r="W1950" s="3284">
        <f t="shared" si="491"/>
        <v>0.81069789694940153</v>
      </c>
      <c r="X1950" s="3300"/>
      <c r="Y1950" s="3316"/>
      <c r="AA1950" s="3301"/>
      <c r="AB1950" s="3409"/>
    </row>
    <row r="1951" spans="1:31" x14ac:dyDescent="0.2">
      <c r="A1951" s="2935" t="s">
        <v>628</v>
      </c>
      <c r="B1951" s="3001">
        <f>SUM(K1949:K1955)</f>
        <v>91</v>
      </c>
      <c r="C1951" s="2596">
        <v>45049</v>
      </c>
      <c r="D1951" s="2597">
        <v>61</v>
      </c>
      <c r="E1951" s="2598" t="s">
        <v>836</v>
      </c>
      <c r="F1951" s="2759" t="s">
        <v>944</v>
      </c>
      <c r="G1951" s="2599">
        <v>1.923611111111111E-2</v>
      </c>
      <c r="H1951" s="2600">
        <v>4.6900000000000004</v>
      </c>
      <c r="I1951" s="2601">
        <f t="shared" si="485"/>
        <v>4.1015162283818997E-3</v>
      </c>
      <c r="J1951" s="2602">
        <v>124</v>
      </c>
      <c r="K1951" s="2603">
        <v>26</v>
      </c>
      <c r="L1951" s="2816">
        <v>200</v>
      </c>
      <c r="M1951" s="2840">
        <v>10</v>
      </c>
      <c r="N1951" s="2604">
        <f t="shared" si="486"/>
        <v>1.0578238869617795</v>
      </c>
      <c r="O1951" s="2605" t="s">
        <v>976</v>
      </c>
      <c r="P1951" s="2606">
        <f>IFERROR(VLOOKUP(F1951,Trainingsarten!$A$9:$N$84,12,FALSE),"")</f>
        <v>194.60000000000002</v>
      </c>
      <c r="Q1951" s="2607" t="s">
        <v>437</v>
      </c>
      <c r="R1951" s="2608">
        <f>IFERROR(VLOOKUP(F1951,Trainingsarten!$A$9:$N$84,14,FALSE),"")</f>
        <v>212.96</v>
      </c>
      <c r="S1951" s="2609">
        <f t="shared" si="487"/>
        <v>1.6129032258064515</v>
      </c>
      <c r="T1951" s="2597">
        <f t="shared" si="488"/>
        <v>22.353251123652857</v>
      </c>
      <c r="U1951" s="2597">
        <f t="shared" si="489"/>
        <v>26.803537161935228</v>
      </c>
      <c r="V1951" s="2597">
        <f t="shared" si="490"/>
        <v>5.0776759850378355</v>
      </c>
      <c r="W1951" s="3284">
        <f t="shared" si="491"/>
        <v>0.83396646452310785</v>
      </c>
      <c r="X1951" s="3300"/>
      <c r="Y1951" s="3316"/>
      <c r="AA1951" s="3301"/>
      <c r="AB1951" s="3409"/>
    </row>
    <row r="1952" spans="1:31" x14ac:dyDescent="0.2">
      <c r="A1952" s="2935" t="s">
        <v>761</v>
      </c>
      <c r="B1952" s="3002">
        <f>AVERAGE(W1949:W1955)</f>
        <v>0.84262841460989502</v>
      </c>
      <c r="C1952" s="2596">
        <v>45050</v>
      </c>
      <c r="D1952" s="2597">
        <v>62</v>
      </c>
      <c r="E1952" s="2598" t="s">
        <v>836</v>
      </c>
      <c r="F1952" s="2759" t="s">
        <v>944</v>
      </c>
      <c r="G1952" s="2599">
        <v>2.1828703703703701E-2</v>
      </c>
      <c r="H1952" s="2600">
        <f>1.59+3.86</f>
        <v>5.45</v>
      </c>
      <c r="I1952" s="2601">
        <f t="shared" si="485"/>
        <v>4.0052667346245317E-3</v>
      </c>
      <c r="J1952" s="2602">
        <v>124</v>
      </c>
      <c r="K1952" s="2603">
        <v>31</v>
      </c>
      <c r="L1952" s="2816">
        <v>208</v>
      </c>
      <c r="M1952" s="2840">
        <v>10</v>
      </c>
      <c r="N1952" s="2604">
        <f t="shared" si="486"/>
        <v>1.0743201424072297</v>
      </c>
      <c r="O1952" s="2605" t="s">
        <v>958</v>
      </c>
      <c r="P1952" s="2606">
        <f>IFERROR(VLOOKUP(F1952,Trainingsarten!$A$9:$N$84,12,FALSE),"")</f>
        <v>194.60000000000002</v>
      </c>
      <c r="Q1952" s="2607" t="s">
        <v>437</v>
      </c>
      <c r="R1952" s="2608">
        <f>IFERROR(VLOOKUP(F1952,Trainingsarten!$A$9:$N$84,14,FALSE),"")</f>
        <v>212.96</v>
      </c>
      <c r="S1952" s="2609">
        <f t="shared" si="487"/>
        <v>1.6774193548387097</v>
      </c>
      <c r="T1952" s="2597">
        <f t="shared" si="488"/>
        <v>23.588500963131022</v>
      </c>
      <c r="U1952" s="2597">
        <f t="shared" si="489"/>
        <v>26.903452943793912</v>
      </c>
      <c r="V1952" s="2597">
        <f t="shared" si="490"/>
        <v>4.4502860382823712</v>
      </c>
      <c r="W1952" s="3284">
        <f t="shared" si="491"/>
        <v>0.87678340071854666</v>
      </c>
      <c r="X1952" s="3300"/>
      <c r="Y1952" s="3316"/>
      <c r="AA1952" s="3301"/>
      <c r="AB1952" s="3409"/>
    </row>
    <row r="1953" spans="1:28" x14ac:dyDescent="0.2">
      <c r="A1953" s="2935" t="s">
        <v>979</v>
      </c>
      <c r="B1953" s="3130">
        <f>IFERROR(AVERAGE(N1949:N1955),"")</f>
        <v>1.0641447338482599</v>
      </c>
      <c r="C1953" s="2596">
        <v>45051</v>
      </c>
      <c r="D1953" s="2597">
        <v>63</v>
      </c>
      <c r="E1953" s="2598" t="s">
        <v>836</v>
      </c>
      <c r="F1953" s="2775" t="s">
        <v>944</v>
      </c>
      <c r="G1953" s="2599">
        <v>2.2870370370370371E-2</v>
      </c>
      <c r="H1953" s="2600">
        <v>5.73</v>
      </c>
      <c r="I1953" s="2601">
        <f t="shared" si="485"/>
        <v>3.9913386335724901E-3</v>
      </c>
      <c r="J1953" s="2602">
        <v>127</v>
      </c>
      <c r="K1953" s="2603">
        <v>34</v>
      </c>
      <c r="L1953" s="2816">
        <v>206</v>
      </c>
      <c r="M1953" s="2840">
        <v>19</v>
      </c>
      <c r="N1953" s="2604">
        <f t="shared" si="486"/>
        <v>1.0602901721757703</v>
      </c>
      <c r="O1953" s="2605" t="s">
        <v>957</v>
      </c>
      <c r="P1953" s="2606">
        <f>IFERROR(VLOOKUP(F1953,Trainingsarten!$A$9:$N$84,12,FALSE),"")</f>
        <v>194.60000000000002</v>
      </c>
      <c r="Q1953" s="2607" t="s">
        <v>437</v>
      </c>
      <c r="R1953" s="2608">
        <f>IFERROR(VLOOKUP(F1953,Trainingsarten!$A$9:$N$84,14,FALSE),"")</f>
        <v>212.96</v>
      </c>
      <c r="S1953" s="2609">
        <f t="shared" si="487"/>
        <v>1.6220472440944882</v>
      </c>
      <c r="T1953" s="2597">
        <f t="shared" si="488"/>
        <v>25.075857968398019</v>
      </c>
      <c r="U1953" s="2597">
        <f t="shared" si="489"/>
        <v>27.072418349894058</v>
      </c>
      <c r="V1953" s="2597">
        <f t="shared" si="490"/>
        <v>3.3149519806628902</v>
      </c>
      <c r="W1953" s="3284">
        <f t="shared" si="491"/>
        <v>0.92625112556655465</v>
      </c>
      <c r="X1953" s="3300"/>
      <c r="Y1953" s="3316"/>
      <c r="AA1953" s="3301"/>
      <c r="AB1953" s="3409"/>
    </row>
    <row r="1954" spans="1:28" x14ac:dyDescent="0.2">
      <c r="A1954" s="2935" t="s">
        <v>980</v>
      </c>
      <c r="B1954" s="3002">
        <f>IFERROR(AVERAGE(S1949:S1955),"")</f>
        <v>1.6374566082465496</v>
      </c>
      <c r="C1954" s="2886">
        <v>45052</v>
      </c>
      <c r="D1954" s="2887"/>
      <c r="E1954" s="2888"/>
      <c r="F1954" s="2889"/>
      <c r="G1954" s="2890"/>
      <c r="H1954" s="2891" t="str">
        <f>IFERROR(VLOOKUP(F1954,Trainingsarten!$A$9:$K$84,10,FALSE),"")</f>
        <v/>
      </c>
      <c r="I1954" s="2892" t="str">
        <f t="shared" si="485"/>
        <v/>
      </c>
      <c r="J1954" s="2893"/>
      <c r="K1954" s="2894" t="str">
        <f>IFERROR(VLOOKUP(F1954,Trainingsarten!$A$9:$K$84,11,FALSE),"0")</f>
        <v>0</v>
      </c>
      <c r="L1954" s="2816"/>
      <c r="M1954" s="2893"/>
      <c r="N1954" s="2895" t="str">
        <f t="shared" si="486"/>
        <v/>
      </c>
      <c r="O1954" s="2896"/>
      <c r="P1954" s="2897" t="str">
        <f>IFERROR(VLOOKUP(F1954,Trainingsarten!$A$9:$N$84,12,FALSE),"")</f>
        <v/>
      </c>
      <c r="Q1954" s="2898" t="s">
        <v>437</v>
      </c>
      <c r="R1954" s="2899" t="str">
        <f>IFERROR(VLOOKUP(F1954,Trainingsarten!$A$9:$N$84,14,FALSE),"")</f>
        <v/>
      </c>
      <c r="S1954" s="2845" t="str">
        <f t="shared" si="487"/>
        <v/>
      </c>
      <c r="T1954" s="2887">
        <f t="shared" si="488"/>
        <v>21.493592544341158</v>
      </c>
      <c r="U1954" s="2887">
        <f t="shared" si="489"/>
        <v>26.427836960610865</v>
      </c>
      <c r="V1954" s="2887">
        <f t="shared" si="490"/>
        <v>1.9965603814960389</v>
      </c>
      <c r="W1954" s="3284">
        <f t="shared" si="491"/>
        <v>0.81329367122916996</v>
      </c>
      <c r="X1954" s="3300"/>
      <c r="Y1954" s="3316"/>
      <c r="AA1954" s="3301"/>
      <c r="AB1954" s="3409"/>
    </row>
    <row r="1955" spans="1:28" ht="16" thickBot="1" x14ac:dyDescent="0.25">
      <c r="A1955" s="2936" t="s">
        <v>183</v>
      </c>
      <c r="B1955" s="3003">
        <f>IFERROR(SUM(M1949:M1955),"")</f>
        <v>39</v>
      </c>
      <c r="C1955" s="2576">
        <v>45053</v>
      </c>
      <c r="D1955" s="1788"/>
      <c r="E1955" s="1789"/>
      <c r="F1955" s="2763"/>
      <c r="G1955" s="2577"/>
      <c r="H1955" s="2578" t="str">
        <f>IFERROR(VLOOKUP(F1955,Trainingsarten!$A$9:$K$84,10,FALSE),"")</f>
        <v/>
      </c>
      <c r="I1955" s="2579" t="str">
        <f t="shared" si="485"/>
        <v/>
      </c>
      <c r="J1955" s="2580"/>
      <c r="K1955" s="2581" t="str">
        <f>IFERROR(VLOOKUP(F1955,Trainingsarten!$A$9:$K$84,11,FALSE),"0")</f>
        <v>0</v>
      </c>
      <c r="L1955" s="2821"/>
      <c r="M1955" s="2580"/>
      <c r="N1955" s="2582" t="str">
        <f t="shared" si="486"/>
        <v/>
      </c>
      <c r="O1955" s="2583"/>
      <c r="P1955" s="2584" t="str">
        <f>IFERROR(VLOOKUP(F1955,Trainingsarten!$A$9:$N$84,12,FALSE),"")</f>
        <v/>
      </c>
      <c r="Q1955" s="945" t="s">
        <v>437</v>
      </c>
      <c r="R1955" s="946" t="str">
        <f>IFERROR(VLOOKUP(F1955,Trainingsarten!$A$9:$N$84,14,FALSE),"")</f>
        <v/>
      </c>
      <c r="S1955" s="2390" t="str">
        <f t="shared" si="487"/>
        <v/>
      </c>
      <c r="T1955" s="1788">
        <f t="shared" si="488"/>
        <v>18.423079323720994</v>
      </c>
      <c r="U1955" s="1788">
        <f t="shared" si="489"/>
        <v>25.798602747262986</v>
      </c>
      <c r="V1955" s="1788">
        <f t="shared" si="490"/>
        <v>4.9342444162697063</v>
      </c>
      <c r="W1955" s="3293">
        <f t="shared" si="491"/>
        <v>0.71411151620122248</v>
      </c>
      <c r="X1955" s="3300"/>
      <c r="Y1955" s="3316"/>
      <c r="AA1955" s="3301"/>
      <c r="AB1955" s="3409"/>
    </row>
    <row r="1956" spans="1:28" ht="16" thickBot="1" x14ac:dyDescent="0.25">
      <c r="A1956" s="3439">
        <f>WEEKNUM(C1956,1)</f>
        <v>19</v>
      </c>
      <c r="B1956" s="3440"/>
      <c r="C1956" s="2585">
        <v>45054</v>
      </c>
      <c r="D1956" s="2586">
        <v>64</v>
      </c>
      <c r="E1956" s="2587" t="s">
        <v>836</v>
      </c>
      <c r="F1956" s="2761" t="s">
        <v>800</v>
      </c>
      <c r="G1956" s="2588">
        <v>2.3483796296296298E-2</v>
      </c>
      <c r="H1956" s="2589">
        <v>5.68</v>
      </c>
      <c r="I1956" s="2590">
        <f t="shared" si="485"/>
        <v>4.1344711789254047E-3</v>
      </c>
      <c r="J1956" s="2591">
        <v>123</v>
      </c>
      <c r="K1956" s="2592">
        <v>32</v>
      </c>
      <c r="L1956" s="2815">
        <v>201</v>
      </c>
      <c r="M1956" s="2591">
        <v>23</v>
      </c>
      <c r="N1956" s="2593">
        <f t="shared" si="486"/>
        <v>1.0716549295774649</v>
      </c>
      <c r="O1956" s="2594" t="s">
        <v>958</v>
      </c>
      <c r="P1956" s="1919">
        <f>IFERROR(VLOOKUP(F1956,Trainingsarten!$A$9:$N$84,12,FALSE),"")</f>
        <v>194.60000000000002</v>
      </c>
      <c r="Q1956" s="1069" t="s">
        <v>437</v>
      </c>
      <c r="R1956" s="2462">
        <f>IFERROR(VLOOKUP(F1956,Trainingsarten!$A$9:$N$84,14,FALSE),"")</f>
        <v>212.96</v>
      </c>
      <c r="S1956" s="2595">
        <f t="shared" si="487"/>
        <v>1.6341463414634145</v>
      </c>
      <c r="T1956" s="2586">
        <f t="shared" si="488"/>
        <v>20.362639420332282</v>
      </c>
      <c r="U1956" s="2586">
        <f t="shared" si="489"/>
        <v>25.946255062804344</v>
      </c>
      <c r="V1956" s="2586">
        <f t="shared" si="490"/>
        <v>7.375523423541992</v>
      </c>
      <c r="W1956" s="3283">
        <f t="shared" si="491"/>
        <v>0.78480071097132853</v>
      </c>
      <c r="X1956" s="3300"/>
      <c r="Y1956" s="3316"/>
      <c r="AA1956" s="3301"/>
      <c r="AB1956" s="3409"/>
    </row>
    <row r="1957" spans="1:28" x14ac:dyDescent="0.2">
      <c r="A1957" s="2934" t="s">
        <v>626</v>
      </c>
      <c r="B1957" s="3000">
        <f>SUM(H1956:H1962)</f>
        <v>19.330000000000002</v>
      </c>
      <c r="C1957" s="2596">
        <v>45055</v>
      </c>
      <c r="D1957" s="2597">
        <v>65</v>
      </c>
      <c r="E1957" s="2598" t="s">
        <v>836</v>
      </c>
      <c r="F1957" s="2759" t="s">
        <v>800</v>
      </c>
      <c r="G1957" s="2599">
        <v>2.7118055555555552E-2</v>
      </c>
      <c r="H1957" s="2600">
        <v>6.71</v>
      </c>
      <c r="I1957" s="2601">
        <f t="shared" si="485"/>
        <v>4.0414389799635691E-3</v>
      </c>
      <c r="J1957" s="2602">
        <v>128</v>
      </c>
      <c r="K1957" s="2603">
        <v>38</v>
      </c>
      <c r="L1957" s="2816">
        <v>202</v>
      </c>
      <c r="M1957" s="2840">
        <v>16</v>
      </c>
      <c r="N1957" s="2604">
        <f t="shared" si="486"/>
        <v>1.0527526302911667</v>
      </c>
      <c r="O1957" s="2605" t="s">
        <v>976</v>
      </c>
      <c r="P1957" s="2606">
        <f>IFERROR(VLOOKUP(F1957,Trainingsarten!$A$9:$N$84,12,FALSE),"")</f>
        <v>194.60000000000002</v>
      </c>
      <c r="Q1957" s="2607" t="s">
        <v>437</v>
      </c>
      <c r="R1957" s="2608">
        <f>IFERROR(VLOOKUP(F1957,Trainingsarten!$A$9:$N$84,14,FALSE),"")</f>
        <v>212.96</v>
      </c>
      <c r="S1957" s="2609">
        <f t="shared" si="487"/>
        <v>1.578125</v>
      </c>
      <c r="T1957" s="2597">
        <f t="shared" si="488"/>
        <v>22.882262360284813</v>
      </c>
      <c r="U1957" s="2597">
        <f t="shared" si="489"/>
        <v>26.23324898988043</v>
      </c>
      <c r="V1957" s="2597">
        <f t="shared" si="490"/>
        <v>5.5836156424720613</v>
      </c>
      <c r="W1957" s="3284">
        <f t="shared" si="491"/>
        <v>0.87226185247247601</v>
      </c>
      <c r="X1957" s="3300"/>
      <c r="Y1957" s="3316"/>
      <c r="AA1957" s="3301"/>
      <c r="AB1957" s="3409"/>
    </row>
    <row r="1958" spans="1:28" x14ac:dyDescent="0.2">
      <c r="A1958" s="2935" t="s">
        <v>628</v>
      </c>
      <c r="B1958" s="3001">
        <f>SUM(K1956:K1962)</f>
        <v>110</v>
      </c>
      <c r="C1958" s="2596">
        <v>45056</v>
      </c>
      <c r="D1958" s="2597"/>
      <c r="E1958" s="2598"/>
      <c r="F1958" s="2759"/>
      <c r="G1958" s="2599"/>
      <c r="H1958" s="2600" t="str">
        <f>IFERROR(VLOOKUP(F1958,Trainingsarten!$A$9:$K$84,10,FALSE),"")</f>
        <v/>
      </c>
      <c r="I1958" s="2601" t="str">
        <f t="shared" ref="I1958:I2021" si="492">IFERROR(G1958/H1958,"")</f>
        <v/>
      </c>
      <c r="J1958" s="2602"/>
      <c r="K1958" s="2603" t="str">
        <f>IFERROR(VLOOKUP(F1958,Trainingsarten!$A$9:$K$84,11,FALSE),"0")</f>
        <v>0</v>
      </c>
      <c r="L1958" s="2816"/>
      <c r="M1958" s="2840"/>
      <c r="N1958" s="2604" t="str">
        <f t="shared" ref="N1958:N2021" si="493">IFERROR((L1958/67)/(1/(I1958*24)/3.6),"")</f>
        <v/>
      </c>
      <c r="O1958" s="2605"/>
      <c r="P1958" s="2606" t="str">
        <f>IFERROR(VLOOKUP(F1958,Trainingsarten!$A$9:$N$84,12,FALSE),"")</f>
        <v/>
      </c>
      <c r="Q1958" s="2607" t="s">
        <v>437</v>
      </c>
      <c r="R1958" s="2608" t="str">
        <f>IFERROR(VLOOKUP(F1958,Trainingsarten!$A$9:$N$84,14,FALSE),"")</f>
        <v/>
      </c>
      <c r="S1958" s="2609" t="str">
        <f t="shared" ref="S1958:S2021" si="494">IFERROR(L1958/J1958,"")</f>
        <v/>
      </c>
      <c r="T1958" s="2597">
        <f t="shared" ref="T1958:T2021" si="495">T1957+(K1958-T1957)/7</f>
        <v>19.613367737386984</v>
      </c>
      <c r="U1958" s="2597">
        <f t="shared" ref="U1958:U2021" si="496">U1957+(K1958-U1957)/42</f>
        <v>25.608647823454707</v>
      </c>
      <c r="V1958" s="2597">
        <f t="shared" ref="V1958:V2021" si="497">U1957-T1957</f>
        <v>3.3509866295956172</v>
      </c>
      <c r="W1958" s="3284">
        <f t="shared" ref="W1958:W2021" si="498">T1958/U1958</f>
        <v>0.76588845582949105</v>
      </c>
      <c r="X1958" s="3300"/>
      <c r="Y1958" s="3316"/>
      <c r="AA1958" s="3301"/>
      <c r="AB1958" s="3409"/>
    </row>
    <row r="1959" spans="1:28" x14ac:dyDescent="0.2">
      <c r="A1959" s="2935" t="s">
        <v>761</v>
      </c>
      <c r="B1959" s="3002">
        <f>AVERAGE(W1956:W1962)</f>
        <v>0.75855611532354228</v>
      </c>
      <c r="C1959" s="2596">
        <v>45057</v>
      </c>
      <c r="D1959" s="2597">
        <v>66</v>
      </c>
      <c r="E1959" s="2598" t="s">
        <v>835</v>
      </c>
      <c r="F1959" s="2759" t="s">
        <v>800</v>
      </c>
      <c r="G1959" s="2599">
        <v>2.7719907407407405E-2</v>
      </c>
      <c r="H1959" s="2600">
        <v>6.94</v>
      </c>
      <c r="I1959" s="2601">
        <f t="shared" si="492"/>
        <v>3.994222969367061E-3</v>
      </c>
      <c r="J1959" s="2602">
        <v>134</v>
      </c>
      <c r="K1959" s="2603">
        <v>40</v>
      </c>
      <c r="L1959" s="2816">
        <v>205</v>
      </c>
      <c r="M1959" s="2840">
        <v>16</v>
      </c>
      <c r="N1959" s="2604">
        <f t="shared" si="493"/>
        <v>1.0559056303496923</v>
      </c>
      <c r="O1959" s="2605" t="s">
        <v>976</v>
      </c>
      <c r="P1959" s="2606">
        <f>IFERROR(VLOOKUP(F1959,Trainingsarten!$A$9:$N$84,12,FALSE),"")</f>
        <v>194.60000000000002</v>
      </c>
      <c r="Q1959" s="2607" t="s">
        <v>437</v>
      </c>
      <c r="R1959" s="2608">
        <f>IFERROR(VLOOKUP(F1959,Trainingsarten!$A$9:$N$84,14,FALSE),"")</f>
        <v>212.96</v>
      </c>
      <c r="S1959" s="2609">
        <f t="shared" si="494"/>
        <v>1.5298507462686568</v>
      </c>
      <c r="T1959" s="2597">
        <f t="shared" si="495"/>
        <v>22.52574377490313</v>
      </c>
      <c r="U1959" s="2597">
        <f t="shared" si="496"/>
        <v>25.951299065753403</v>
      </c>
      <c r="V1959" s="2597">
        <f t="shared" si="497"/>
        <v>5.9952800860677229</v>
      </c>
      <c r="W1959" s="3284">
        <f t="shared" si="498"/>
        <v>0.86800062370015219</v>
      </c>
      <c r="X1959" s="3300"/>
      <c r="Y1959" s="3316"/>
      <c r="AA1959" s="3301"/>
      <c r="AB1959" s="3409"/>
    </row>
    <row r="1960" spans="1:28" x14ac:dyDescent="0.2">
      <c r="A1960" s="2935" t="s">
        <v>979</v>
      </c>
      <c r="B1960" s="3130">
        <f>IFERROR(AVERAGE(N1956:N1962),"")</f>
        <v>1.0601043967394412</v>
      </c>
      <c r="C1960" s="2596">
        <v>45058</v>
      </c>
      <c r="D1960" s="2597"/>
      <c r="E1960" s="2598"/>
      <c r="F1960" s="2775"/>
      <c r="G1960" s="2599"/>
      <c r="H1960" s="2600" t="str">
        <f>IFERROR(VLOOKUP(F1960,Trainingsarten!$A$9:$K$84,10,FALSE),"")</f>
        <v/>
      </c>
      <c r="I1960" s="2601" t="str">
        <f t="shared" si="492"/>
        <v/>
      </c>
      <c r="J1960" s="2602"/>
      <c r="K1960" s="2603" t="str">
        <f>IFERROR(VLOOKUP(F1960,Trainingsarten!$A$9:$K$84,11,FALSE),"0")</f>
        <v>0</v>
      </c>
      <c r="L1960" s="2816"/>
      <c r="M1960" s="2840"/>
      <c r="N1960" s="2604" t="str">
        <f t="shared" si="493"/>
        <v/>
      </c>
      <c r="O1960" s="2605"/>
      <c r="P1960" s="2606" t="str">
        <f>IFERROR(VLOOKUP(F1960,Trainingsarten!$A$9:$N$84,12,FALSE),"")</f>
        <v/>
      </c>
      <c r="Q1960" s="2607" t="s">
        <v>437</v>
      </c>
      <c r="R1960" s="2608" t="str">
        <f>IFERROR(VLOOKUP(F1960,Trainingsarten!$A$9:$N$84,14,FALSE),"")</f>
        <v/>
      </c>
      <c r="S1960" s="2609" t="str">
        <f t="shared" si="494"/>
        <v/>
      </c>
      <c r="T1960" s="2597">
        <f t="shared" si="495"/>
        <v>19.307780378488399</v>
      </c>
      <c r="U1960" s="2597">
        <f t="shared" si="496"/>
        <v>25.333410992759276</v>
      </c>
      <c r="V1960" s="2597">
        <f t="shared" si="497"/>
        <v>3.4255552908502729</v>
      </c>
      <c r="W1960" s="3284">
        <f t="shared" si="498"/>
        <v>0.76214688910257267</v>
      </c>
      <c r="X1960" s="3300"/>
      <c r="Y1960" s="3316"/>
      <c r="AA1960" s="3301"/>
      <c r="AB1960" s="3409"/>
    </row>
    <row r="1961" spans="1:28" x14ac:dyDescent="0.2">
      <c r="A1961" s="2935" t="s">
        <v>980</v>
      </c>
      <c r="B1961" s="3002">
        <f>IFERROR(AVERAGE(S1956:S1962),"")</f>
        <v>1.5807073625773569</v>
      </c>
      <c r="C1961" s="2886">
        <v>45059</v>
      </c>
      <c r="D1961" s="2887"/>
      <c r="E1961" s="2888"/>
      <c r="F1961" s="2889"/>
      <c r="G1961" s="2890"/>
      <c r="H1961" s="2891" t="str">
        <f>IFERROR(VLOOKUP(F1961,Trainingsarten!$A$9:$K$84,10,FALSE),"")</f>
        <v/>
      </c>
      <c r="I1961" s="2892" t="str">
        <f t="shared" si="492"/>
        <v/>
      </c>
      <c r="J1961" s="2893"/>
      <c r="K1961" s="2894" t="str">
        <f>IFERROR(VLOOKUP(F1961,Trainingsarten!$A$9:$K$84,11,FALSE),"0")</f>
        <v>0</v>
      </c>
      <c r="L1961" s="2816"/>
      <c r="M1961" s="2893"/>
      <c r="N1961" s="2895" t="str">
        <f t="shared" si="493"/>
        <v/>
      </c>
      <c r="O1961" s="2896"/>
      <c r="P1961" s="2897" t="str">
        <f>IFERROR(VLOOKUP(F1961,Trainingsarten!$A$9:$N$84,12,FALSE),"")</f>
        <v/>
      </c>
      <c r="Q1961" s="2898" t="s">
        <v>437</v>
      </c>
      <c r="R1961" s="2899" t="str">
        <f>IFERROR(VLOOKUP(F1961,Trainingsarten!$A$9:$N$84,14,FALSE),"")</f>
        <v/>
      </c>
      <c r="S1961" s="2845" t="str">
        <f t="shared" si="494"/>
        <v/>
      </c>
      <c r="T1961" s="2887">
        <f t="shared" si="495"/>
        <v>16.549526038704343</v>
      </c>
      <c r="U1961" s="2887">
        <f t="shared" si="496"/>
        <v>24.730234540550722</v>
      </c>
      <c r="V1961" s="2887">
        <f t="shared" si="497"/>
        <v>6.0256306142708773</v>
      </c>
      <c r="W1961" s="3284">
        <f t="shared" si="498"/>
        <v>0.66920214652908827</v>
      </c>
      <c r="X1961" s="3300"/>
      <c r="Y1961" s="3316"/>
      <c r="AA1961" s="3301"/>
      <c r="AB1961" s="3409"/>
    </row>
    <row r="1962" spans="1:28" ht="16" thickBot="1" x14ac:dyDescent="0.25">
      <c r="A1962" s="2936" t="s">
        <v>183</v>
      </c>
      <c r="B1962" s="3003">
        <f>IFERROR(SUM(M1956:M1962),"")</f>
        <v>55</v>
      </c>
      <c r="C1962" s="2576">
        <v>45060</v>
      </c>
      <c r="D1962" s="1788"/>
      <c r="E1962" s="1789"/>
      <c r="F1962" s="2763"/>
      <c r="G1962" s="2577"/>
      <c r="H1962" s="2578" t="str">
        <f>IFERROR(VLOOKUP(F1962,Trainingsarten!$A$9:$K$84,10,FALSE),"")</f>
        <v/>
      </c>
      <c r="I1962" s="2579" t="str">
        <f t="shared" si="492"/>
        <v/>
      </c>
      <c r="J1962" s="2580"/>
      <c r="K1962" s="2581" t="str">
        <f>IFERROR(VLOOKUP(F1962,Trainingsarten!$A$9:$K$84,11,FALSE),"0")</f>
        <v>0</v>
      </c>
      <c r="L1962" s="2821"/>
      <c r="M1962" s="2580"/>
      <c r="N1962" s="2582" t="str">
        <f t="shared" si="493"/>
        <v/>
      </c>
      <c r="O1962" s="2583"/>
      <c r="P1962" s="2584" t="str">
        <f>IFERROR(VLOOKUP(F1962,Trainingsarten!$A$9:$N$84,12,FALSE),"")</f>
        <v/>
      </c>
      <c r="Q1962" s="945" t="s">
        <v>437</v>
      </c>
      <c r="R1962" s="946" t="str">
        <f>IFERROR(VLOOKUP(F1962,Trainingsarten!$A$9:$N$84,14,FALSE),"")</f>
        <v/>
      </c>
      <c r="S1962" s="2390" t="str">
        <f t="shared" si="494"/>
        <v/>
      </c>
      <c r="T1962" s="1788">
        <f t="shared" si="495"/>
        <v>14.185308033175151</v>
      </c>
      <c r="U1962" s="1788">
        <f t="shared" si="496"/>
        <v>24.141419432442373</v>
      </c>
      <c r="V1962" s="1788">
        <f t="shared" si="497"/>
        <v>8.1807085018463788</v>
      </c>
      <c r="W1962" s="3293">
        <f t="shared" si="498"/>
        <v>0.58759212865968713</v>
      </c>
      <c r="X1962" s="3300"/>
      <c r="Y1962" s="3316"/>
      <c r="AA1962" s="3301"/>
      <c r="AB1962" s="3409"/>
    </row>
    <row r="1963" spans="1:28" ht="16" thickBot="1" x14ac:dyDescent="0.25">
      <c r="A1963" s="3439">
        <f>WEEKNUM(C1963,1)</f>
        <v>20</v>
      </c>
      <c r="B1963" s="3440"/>
      <c r="C1963" s="2585">
        <v>45061</v>
      </c>
      <c r="D1963" s="2586"/>
      <c r="E1963" s="2587"/>
      <c r="F1963" s="2761"/>
      <c r="G1963" s="2588"/>
      <c r="H1963" s="2589" t="str">
        <f>IFERROR(VLOOKUP(F1963,Trainingsarten!$A$9:$K$84,10,FALSE),"")</f>
        <v/>
      </c>
      <c r="I1963" s="2590" t="str">
        <f t="shared" si="492"/>
        <v/>
      </c>
      <c r="J1963" s="2591"/>
      <c r="K1963" s="2592" t="str">
        <f>IFERROR(VLOOKUP(F1963,Trainingsarten!$A$9:$K$84,11,FALSE),"0")</f>
        <v>0</v>
      </c>
      <c r="L1963" s="2815"/>
      <c r="M1963" s="2591"/>
      <c r="N1963" s="2593" t="str">
        <f t="shared" si="493"/>
        <v/>
      </c>
      <c r="O1963" s="2594"/>
      <c r="P1963" s="1919" t="str">
        <f>IFERROR(VLOOKUP(F1963,Trainingsarten!$A$9:$N$84,12,FALSE),"")</f>
        <v/>
      </c>
      <c r="Q1963" s="1069" t="s">
        <v>437</v>
      </c>
      <c r="R1963" s="2462" t="str">
        <f>IFERROR(VLOOKUP(F1963,Trainingsarten!$A$9:$N$84,14,FALSE),"")</f>
        <v/>
      </c>
      <c r="S1963" s="2595" t="str">
        <f t="shared" si="494"/>
        <v/>
      </c>
      <c r="T1963" s="2586">
        <f t="shared" si="495"/>
        <v>12.158835457007271</v>
      </c>
      <c r="U1963" s="2586">
        <f t="shared" si="496"/>
        <v>23.566623731669935</v>
      </c>
      <c r="V1963" s="2586">
        <f t="shared" si="497"/>
        <v>9.9561113992672219</v>
      </c>
      <c r="W1963" s="3283">
        <f t="shared" si="498"/>
        <v>0.51593455199387162</v>
      </c>
      <c r="X1963" s="3300"/>
      <c r="Y1963" s="3316"/>
      <c r="AA1963" s="3301"/>
      <c r="AB1963" s="3409"/>
    </row>
    <row r="1964" spans="1:28" x14ac:dyDescent="0.2">
      <c r="A1964" s="2934" t="s">
        <v>626</v>
      </c>
      <c r="B1964" s="3000">
        <f>SUM(H1963:H1969)</f>
        <v>14.59</v>
      </c>
      <c r="C1964" s="2596">
        <v>45062</v>
      </c>
      <c r="D1964" s="2597">
        <v>67</v>
      </c>
      <c r="E1964" s="2598" t="s">
        <v>836</v>
      </c>
      <c r="F1964" s="2759" t="s">
        <v>862</v>
      </c>
      <c r="G1964" s="2599">
        <v>4.2314814814814812E-2</v>
      </c>
      <c r="H1964" s="2600">
        <v>7.69</v>
      </c>
      <c r="I1964" s="2601">
        <f t="shared" si="492"/>
        <v>5.5025766989356059E-3</v>
      </c>
      <c r="J1964" s="2602">
        <v>128</v>
      </c>
      <c r="K1964" s="2603">
        <v>55</v>
      </c>
      <c r="L1964" s="2816">
        <v>182</v>
      </c>
      <c r="M1964" s="2840">
        <v>370</v>
      </c>
      <c r="N1964" s="2604"/>
      <c r="O1964" s="2605" t="s">
        <v>868</v>
      </c>
      <c r="P1964" s="2606" t="str">
        <f>IFERROR(VLOOKUP(F1964,Trainingsarten!$A$9:$N$84,12,FALSE),"")</f>
        <v/>
      </c>
      <c r="Q1964" s="2607" t="s">
        <v>437</v>
      </c>
      <c r="R1964" s="2608" t="str">
        <f>IFERROR(VLOOKUP(F1964,Trainingsarten!$A$9:$N$84,14,FALSE),"")</f>
        <v/>
      </c>
      <c r="S1964" s="2609"/>
      <c r="T1964" s="2597">
        <f t="shared" si="495"/>
        <v>18.279001820291946</v>
      </c>
      <c r="U1964" s="2597">
        <f t="shared" si="496"/>
        <v>24.315037452344459</v>
      </c>
      <c r="V1964" s="2597">
        <f t="shared" si="497"/>
        <v>11.407788274662664</v>
      </c>
      <c r="W1964" s="3284">
        <f t="shared" si="498"/>
        <v>0.7517570908997091</v>
      </c>
      <c r="X1964" s="3300"/>
      <c r="Y1964" s="3316"/>
      <c r="AA1964" s="3301"/>
      <c r="AB1964" s="3409"/>
    </row>
    <row r="1965" spans="1:28" x14ac:dyDescent="0.2">
      <c r="A1965" s="2935" t="s">
        <v>628</v>
      </c>
      <c r="B1965" s="3001">
        <f>SUM(K1963:K1969)</f>
        <v>90</v>
      </c>
      <c r="C1965" s="2596">
        <v>45063</v>
      </c>
      <c r="D1965" s="2597"/>
      <c r="E1965" s="2598"/>
      <c r="F1965" s="2759"/>
      <c r="G1965" s="2599"/>
      <c r="H1965" s="2600" t="str">
        <f>IFERROR(VLOOKUP(F1965,Trainingsarten!$A$9:$K$84,10,FALSE),"")</f>
        <v/>
      </c>
      <c r="I1965" s="2601" t="str">
        <f t="shared" si="492"/>
        <v/>
      </c>
      <c r="J1965" s="2602"/>
      <c r="K1965" s="2603" t="str">
        <f>IFERROR(VLOOKUP(F1965,Trainingsarten!$A$9:$K$84,11,FALSE),"0")</f>
        <v>0</v>
      </c>
      <c r="L1965" s="2816"/>
      <c r="M1965" s="2840"/>
      <c r="N1965" s="2604" t="str">
        <f t="shared" si="493"/>
        <v/>
      </c>
      <c r="O1965" s="2605"/>
      <c r="P1965" s="2606" t="str">
        <f>IFERROR(VLOOKUP(F1965,Trainingsarten!$A$9:$N$84,12,FALSE),"")</f>
        <v/>
      </c>
      <c r="Q1965" s="2607" t="s">
        <v>437</v>
      </c>
      <c r="R1965" s="2608" t="str">
        <f>IFERROR(VLOOKUP(F1965,Trainingsarten!$A$9:$N$84,14,FALSE),"")</f>
        <v/>
      </c>
      <c r="S1965" s="2609" t="str">
        <f t="shared" si="494"/>
        <v/>
      </c>
      <c r="T1965" s="2597">
        <f t="shared" si="495"/>
        <v>15.667715845964524</v>
      </c>
      <c r="U1965" s="2597">
        <f t="shared" si="496"/>
        <v>23.7361079891934</v>
      </c>
      <c r="V1965" s="2597">
        <f t="shared" si="497"/>
        <v>6.0360356320525135</v>
      </c>
      <c r="W1965" s="3284">
        <f t="shared" si="498"/>
        <v>0.66007939688754946</v>
      </c>
      <c r="X1965" s="3300"/>
      <c r="Y1965" s="3316"/>
      <c r="AA1965" s="3301"/>
      <c r="AB1965" s="3409"/>
    </row>
    <row r="1966" spans="1:28" x14ac:dyDescent="0.2">
      <c r="A1966" s="2935" t="s">
        <v>761</v>
      </c>
      <c r="B1966" s="3002">
        <f>AVERAGE(W1963:W1969)</f>
        <v>0.58059549159104229</v>
      </c>
      <c r="C1966" s="2596">
        <v>45064</v>
      </c>
      <c r="D1966" s="2597"/>
      <c r="E1966" s="2598"/>
      <c r="F1966" s="2759"/>
      <c r="G1966" s="2599"/>
      <c r="H1966" s="2600" t="str">
        <f>IFERROR(VLOOKUP(F1966,Trainingsarten!$A$9:$K$84,10,FALSE),"")</f>
        <v/>
      </c>
      <c r="I1966" s="2601" t="str">
        <f t="shared" si="492"/>
        <v/>
      </c>
      <c r="J1966" s="2602"/>
      <c r="K1966" s="2603" t="str">
        <f>IFERROR(VLOOKUP(F1966,Trainingsarten!$A$9:$K$84,11,FALSE),"0")</f>
        <v>0</v>
      </c>
      <c r="L1966" s="2816"/>
      <c r="M1966" s="2840"/>
      <c r="N1966" s="2604" t="str">
        <f t="shared" si="493"/>
        <v/>
      </c>
      <c r="O1966" s="2605"/>
      <c r="P1966" s="2606" t="str">
        <f>IFERROR(VLOOKUP(F1966,Trainingsarten!$A$9:$N$84,12,FALSE),"")</f>
        <v/>
      </c>
      <c r="Q1966" s="2607" t="s">
        <v>437</v>
      </c>
      <c r="R1966" s="2608" t="str">
        <f>IFERROR(VLOOKUP(F1966,Trainingsarten!$A$9:$N$84,14,FALSE),"")</f>
        <v/>
      </c>
      <c r="S1966" s="2609" t="str">
        <f t="shared" si="494"/>
        <v/>
      </c>
      <c r="T1966" s="2597">
        <f t="shared" si="495"/>
        <v>13.429470725112449</v>
      </c>
      <c r="U1966" s="2597">
        <f t="shared" si="496"/>
        <v>23.170962560879271</v>
      </c>
      <c r="V1966" s="2597">
        <f t="shared" si="497"/>
        <v>8.0683921432288752</v>
      </c>
      <c r="W1966" s="3284">
        <f t="shared" si="498"/>
        <v>0.57958190946223853</v>
      </c>
      <c r="X1966" s="3300"/>
      <c r="Y1966" s="3316"/>
      <c r="AA1966" s="3301"/>
      <c r="AB1966" s="3409"/>
    </row>
    <row r="1967" spans="1:28" x14ac:dyDescent="0.2">
      <c r="A1967" s="2935" t="s">
        <v>979</v>
      </c>
      <c r="B1967" s="3130">
        <f>IFERROR(AVERAGE(N1963:N1969),"")</f>
        <v>1.0609777200951762</v>
      </c>
      <c r="C1967" s="2596">
        <v>45065</v>
      </c>
      <c r="D1967" s="2597"/>
      <c r="E1967" s="2598"/>
      <c r="F1967" s="2775"/>
      <c r="G1967" s="2599"/>
      <c r="H1967" s="2600" t="str">
        <f>IFERROR(VLOOKUP(F1967,Trainingsarten!$A$9:$K$84,10,FALSE),"")</f>
        <v/>
      </c>
      <c r="I1967" s="2601" t="str">
        <f t="shared" si="492"/>
        <v/>
      </c>
      <c r="J1967" s="2602"/>
      <c r="K1967" s="2603" t="str">
        <f>IFERROR(VLOOKUP(F1967,Trainingsarten!$A$9:$K$84,11,FALSE),"0")</f>
        <v>0</v>
      </c>
      <c r="L1967" s="2816"/>
      <c r="M1967" s="2840"/>
      <c r="N1967" s="2604" t="str">
        <f t="shared" si="493"/>
        <v/>
      </c>
      <c r="O1967" s="2605"/>
      <c r="P1967" s="2606" t="str">
        <f>IFERROR(VLOOKUP(F1967,Trainingsarten!$A$9:$N$84,12,FALSE),"")</f>
        <v/>
      </c>
      <c r="Q1967" s="2607" t="s">
        <v>437</v>
      </c>
      <c r="R1967" s="2608" t="str">
        <f>IFERROR(VLOOKUP(F1967,Trainingsarten!$A$9:$N$84,14,FALSE),"")</f>
        <v/>
      </c>
      <c r="S1967" s="2609" t="str">
        <f t="shared" si="494"/>
        <v/>
      </c>
      <c r="T1967" s="2597">
        <f t="shared" si="495"/>
        <v>11.510974907239241</v>
      </c>
      <c r="U1967" s="2597">
        <f t="shared" si="496"/>
        <v>22.619272976096433</v>
      </c>
      <c r="V1967" s="2597">
        <f t="shared" si="497"/>
        <v>9.7414918357668228</v>
      </c>
      <c r="W1967" s="3284">
        <f t="shared" si="498"/>
        <v>0.50890118879611179</v>
      </c>
      <c r="X1967" s="3300"/>
      <c r="Y1967" s="3316"/>
      <c r="AA1967" s="3301"/>
      <c r="AB1967" s="3409"/>
    </row>
    <row r="1968" spans="1:28" x14ac:dyDescent="0.2">
      <c r="A1968" s="2935" t="s">
        <v>980</v>
      </c>
      <c r="B1968" s="3002">
        <f>IFERROR(AVERAGE(S1963:S1969),"")</f>
        <v>1.4330708661417322</v>
      </c>
      <c r="C1968" s="2886">
        <v>45066</v>
      </c>
      <c r="D1968" s="2887"/>
      <c r="E1968" s="2888"/>
      <c r="F1968" s="2889"/>
      <c r="G1968" s="2890"/>
      <c r="H1968" s="2891" t="str">
        <f>IFERROR(VLOOKUP(F1968,Trainingsarten!$A$9:$K$84,10,FALSE),"")</f>
        <v/>
      </c>
      <c r="I1968" s="2892" t="str">
        <f t="shared" si="492"/>
        <v/>
      </c>
      <c r="J1968" s="2893"/>
      <c r="K1968" s="2894" t="str">
        <f>IFERROR(VLOOKUP(F1968,Trainingsarten!$A$9:$K$84,11,FALSE),"0")</f>
        <v>0</v>
      </c>
      <c r="L1968" s="2816"/>
      <c r="M1968" s="2893"/>
      <c r="N1968" s="2895" t="str">
        <f t="shared" si="493"/>
        <v/>
      </c>
      <c r="O1968" s="2896"/>
      <c r="P1968" s="2897" t="str">
        <f>IFERROR(VLOOKUP(F1968,Trainingsarten!$A$9:$N$84,12,FALSE),"")</f>
        <v/>
      </c>
      <c r="Q1968" s="2898" t="s">
        <v>437</v>
      </c>
      <c r="R1968" s="2899" t="str">
        <f>IFERROR(VLOOKUP(F1968,Trainingsarten!$A$9:$N$84,14,FALSE),"")</f>
        <v/>
      </c>
      <c r="S1968" s="2845" t="str">
        <f t="shared" si="494"/>
        <v/>
      </c>
      <c r="T1968" s="2887">
        <f t="shared" si="495"/>
        <v>9.8665499204907778</v>
      </c>
      <c r="U1968" s="2887">
        <f t="shared" si="496"/>
        <v>22.080718857617946</v>
      </c>
      <c r="V1968" s="2887">
        <f t="shared" si="497"/>
        <v>11.108298068857192</v>
      </c>
      <c r="W1968" s="3284">
        <f t="shared" si="498"/>
        <v>0.44684006821122013</v>
      </c>
      <c r="X1968" s="3300"/>
      <c r="Y1968" s="3316"/>
      <c r="AA1968" s="3301"/>
      <c r="AB1968" s="3409"/>
    </row>
    <row r="1969" spans="1:28" ht="16" thickBot="1" x14ac:dyDescent="0.25">
      <c r="A1969" s="2936" t="s">
        <v>183</v>
      </c>
      <c r="B1969" s="3003">
        <f>IFERROR(SUM(M1963:M1969),"")</f>
        <v>398</v>
      </c>
      <c r="C1969" s="2576">
        <v>45067</v>
      </c>
      <c r="D1969" s="1788">
        <v>68</v>
      </c>
      <c r="E1969" s="1789" t="s">
        <v>835</v>
      </c>
      <c r="F1969" s="2763" t="s">
        <v>943</v>
      </c>
      <c r="G1969" s="2577">
        <v>3.1192129629629629E-2</v>
      </c>
      <c r="H1969" s="2578">
        <v>6.9</v>
      </c>
      <c r="I1969" s="2579">
        <f t="shared" si="492"/>
        <v>4.5205984970477717E-3</v>
      </c>
      <c r="J1969" s="2580">
        <v>127</v>
      </c>
      <c r="K1969" s="2581">
        <v>35</v>
      </c>
      <c r="L1969" s="2821">
        <v>182</v>
      </c>
      <c r="M1969" s="2580">
        <v>28</v>
      </c>
      <c r="N1969" s="2582">
        <f t="shared" si="493"/>
        <v>1.0609777200951762</v>
      </c>
      <c r="O1969" s="2583" t="s">
        <v>976</v>
      </c>
      <c r="P1969" s="2584">
        <f>IFERROR(VLOOKUP(F1969,Trainingsarten!$A$9:$N$84,12,FALSE),"")</f>
        <v>194.60000000000002</v>
      </c>
      <c r="Q1969" s="945" t="s">
        <v>437</v>
      </c>
      <c r="R1969" s="946">
        <f>IFERROR(VLOOKUP(F1969,Trainingsarten!$A$9:$N$84,14,FALSE),"")</f>
        <v>212.96</v>
      </c>
      <c r="S1969" s="2390">
        <f t="shared" si="494"/>
        <v>1.4330708661417322</v>
      </c>
      <c r="T1969" s="1788">
        <f t="shared" si="495"/>
        <v>13.457042788992096</v>
      </c>
      <c r="U1969" s="1788">
        <f t="shared" si="496"/>
        <v>22.388320789579424</v>
      </c>
      <c r="V1969" s="1788">
        <f t="shared" si="497"/>
        <v>12.214168937127168</v>
      </c>
      <c r="W1969" s="3293">
        <f t="shared" si="498"/>
        <v>0.60107423488659484</v>
      </c>
      <c r="X1969" s="3300"/>
      <c r="Y1969" s="3316"/>
      <c r="AA1969" s="3301"/>
      <c r="AB1969" s="3409"/>
    </row>
    <row r="1970" spans="1:28" ht="16" thickBot="1" x14ac:dyDescent="0.25">
      <c r="A1970" s="3439">
        <f>WEEKNUM(C1970,1)</f>
        <v>21</v>
      </c>
      <c r="B1970" s="3440"/>
      <c r="C1970" s="2585">
        <v>45068</v>
      </c>
      <c r="D1970" s="2586">
        <v>69</v>
      </c>
      <c r="E1970" s="2587" t="s">
        <v>836</v>
      </c>
      <c r="F1970" s="2761" t="s">
        <v>800</v>
      </c>
      <c r="G1970" s="2588">
        <v>2.5127314814814811E-2</v>
      </c>
      <c r="H1970" s="2589">
        <v>6.1</v>
      </c>
      <c r="I1970" s="2590">
        <f t="shared" si="492"/>
        <v>4.1192319368548872E-3</v>
      </c>
      <c r="J1970" s="2591">
        <v>122</v>
      </c>
      <c r="K1970" s="2592">
        <v>35</v>
      </c>
      <c r="L1970" s="2815">
        <v>200</v>
      </c>
      <c r="M1970" s="2591">
        <v>10</v>
      </c>
      <c r="N1970" s="2593">
        <f t="shared" si="493"/>
        <v>1.0623929532664547</v>
      </c>
      <c r="O1970" s="2594" t="s">
        <v>958</v>
      </c>
      <c r="P1970" s="1919">
        <f>IFERROR(VLOOKUP(F1970,Trainingsarten!$A$9:$N$84,12,FALSE),"")</f>
        <v>194.60000000000002</v>
      </c>
      <c r="Q1970" s="1069" t="s">
        <v>437</v>
      </c>
      <c r="R1970" s="2462">
        <f>IFERROR(VLOOKUP(F1970,Trainingsarten!$A$9:$N$84,14,FALSE),"")</f>
        <v>212.96</v>
      </c>
      <c r="S1970" s="2595">
        <f t="shared" si="494"/>
        <v>1.639344262295082</v>
      </c>
      <c r="T1970" s="2586">
        <f t="shared" si="495"/>
        <v>16.534608104850367</v>
      </c>
      <c r="U1970" s="2586">
        <f t="shared" si="496"/>
        <v>22.688598866018008</v>
      </c>
      <c r="V1970" s="2586">
        <f t="shared" si="497"/>
        <v>8.9312780005873282</v>
      </c>
      <c r="W1970" s="3283">
        <f t="shared" si="498"/>
        <v>0.72876285585070577</v>
      </c>
      <c r="X1970" s="3300"/>
      <c r="Y1970" s="3316"/>
      <c r="AA1970" s="3301"/>
      <c r="AB1970" s="3409"/>
    </row>
    <row r="1971" spans="1:28" x14ac:dyDescent="0.2">
      <c r="A1971" s="2934" t="s">
        <v>626</v>
      </c>
      <c r="B1971" s="3000">
        <f>SUM(H1970:H1976)</f>
        <v>25.810000000000002</v>
      </c>
      <c r="C1971" s="2596">
        <v>45069</v>
      </c>
      <c r="D1971" s="2597"/>
      <c r="E1971" s="2598"/>
      <c r="F1971" s="2759"/>
      <c r="G1971" s="2599"/>
      <c r="H1971" s="2600" t="str">
        <f>IFERROR(VLOOKUP(F1971,Trainingsarten!$A$9:$K$84,10,FALSE),"")</f>
        <v/>
      </c>
      <c r="I1971" s="2601" t="str">
        <f t="shared" si="492"/>
        <v/>
      </c>
      <c r="J1971" s="2602"/>
      <c r="K1971" s="2603" t="str">
        <f>IFERROR(VLOOKUP(F1971,Trainingsarten!$A$9:$K$84,11,FALSE),"0")</f>
        <v>0</v>
      </c>
      <c r="L1971" s="2816"/>
      <c r="M1971" s="2840"/>
      <c r="N1971" s="2604" t="str">
        <f t="shared" si="493"/>
        <v/>
      </c>
      <c r="O1971" s="2605"/>
      <c r="P1971" s="2606" t="str">
        <f>IFERROR(VLOOKUP(F1971,Trainingsarten!$A$9:$N$84,12,FALSE),"")</f>
        <v/>
      </c>
      <c r="Q1971" s="2607" t="s">
        <v>437</v>
      </c>
      <c r="R1971" s="2608" t="str">
        <f>IFERROR(VLOOKUP(F1971,Trainingsarten!$A$9:$N$84,14,FALSE),"")</f>
        <v/>
      </c>
      <c r="S1971" s="2609" t="str">
        <f t="shared" si="494"/>
        <v/>
      </c>
      <c r="T1971" s="2597">
        <f t="shared" si="495"/>
        <v>14.172521232728887</v>
      </c>
      <c r="U1971" s="2597">
        <f t="shared" si="496"/>
        <v>22.148394131112816</v>
      </c>
      <c r="V1971" s="2597">
        <f t="shared" si="497"/>
        <v>6.1539907611676412</v>
      </c>
      <c r="W1971" s="3284">
        <f t="shared" si="498"/>
        <v>0.63988933684452221</v>
      </c>
      <c r="X1971" s="3300"/>
      <c r="Y1971" s="3316"/>
      <c r="AA1971" s="3301"/>
      <c r="AB1971" s="3409"/>
    </row>
    <row r="1972" spans="1:28" x14ac:dyDescent="0.2">
      <c r="A1972" s="2935" t="s">
        <v>628</v>
      </c>
      <c r="B1972" s="3001">
        <f>SUM(K1970:K1976)</f>
        <v>152</v>
      </c>
      <c r="C1972" s="2596">
        <v>45070</v>
      </c>
      <c r="D1972" s="2597">
        <v>70</v>
      </c>
      <c r="E1972" s="2598" t="s">
        <v>836</v>
      </c>
      <c r="F1972" s="2759" t="s">
        <v>800</v>
      </c>
      <c r="G1972" s="2599">
        <v>2.4710648148148148E-2</v>
      </c>
      <c r="H1972" s="2600">
        <v>6.01</v>
      </c>
      <c r="I1972" s="2601">
        <f t="shared" si="492"/>
        <v>4.1115887101744013E-3</v>
      </c>
      <c r="J1972" s="2602">
        <v>127</v>
      </c>
      <c r="K1972" s="2603">
        <v>34</v>
      </c>
      <c r="L1972" s="2816">
        <v>200</v>
      </c>
      <c r="M1972" s="2840">
        <v>14</v>
      </c>
      <c r="N1972" s="2604">
        <f t="shared" si="493"/>
        <v>1.06042168525095</v>
      </c>
      <c r="O1972" s="2605" t="s">
        <v>976</v>
      </c>
      <c r="P1972" s="2606">
        <f>IFERROR(VLOOKUP(F1972,Trainingsarten!$A$9:$N$84,12,FALSE),"")</f>
        <v>194.60000000000002</v>
      </c>
      <c r="Q1972" s="2607" t="s">
        <v>437</v>
      </c>
      <c r="R1972" s="2608">
        <f>IFERROR(VLOOKUP(F1972,Trainingsarten!$A$9:$N$84,14,FALSE),"")</f>
        <v>212.96</v>
      </c>
      <c r="S1972" s="2609">
        <f t="shared" si="494"/>
        <v>1.5748031496062993</v>
      </c>
      <c r="T1972" s="2597">
        <f t="shared" si="495"/>
        <v>17.005018199481903</v>
      </c>
      <c r="U1972" s="2597">
        <f t="shared" si="496"/>
        <v>22.430575223229177</v>
      </c>
      <c r="V1972" s="2597">
        <f t="shared" si="497"/>
        <v>7.9758728983839298</v>
      </c>
      <c r="W1972" s="3284">
        <f t="shared" si="498"/>
        <v>0.7581177936922211</v>
      </c>
      <c r="X1972" s="3300"/>
      <c r="Y1972" s="3316"/>
      <c r="AA1972" s="3301"/>
      <c r="AB1972" s="3409"/>
    </row>
    <row r="1973" spans="1:28" x14ac:dyDescent="0.2">
      <c r="A1973" s="2935" t="s">
        <v>761</v>
      </c>
      <c r="B1973" s="3002">
        <f>AVERAGE(W1970:W1976)</f>
        <v>0.81375975073191242</v>
      </c>
      <c r="C1973" s="2596">
        <v>45071</v>
      </c>
      <c r="D1973" s="2597">
        <v>71</v>
      </c>
      <c r="E1973" s="2598" t="s">
        <v>836</v>
      </c>
      <c r="F1973" s="2759" t="s">
        <v>974</v>
      </c>
      <c r="G1973" s="2599">
        <v>2.7476851851851853E-2</v>
      </c>
      <c r="H1973" s="2600">
        <v>6.96</v>
      </c>
      <c r="I1973" s="2601">
        <f t="shared" si="492"/>
        <v>3.9478235419327379E-3</v>
      </c>
      <c r="J1973" s="2602">
        <v>126</v>
      </c>
      <c r="K1973" s="2603">
        <v>43</v>
      </c>
      <c r="L1973" s="2816">
        <v>210</v>
      </c>
      <c r="M1973" s="2840">
        <v>14</v>
      </c>
      <c r="N1973" s="2604">
        <f t="shared" si="493"/>
        <v>1.0690941842511581</v>
      </c>
      <c r="O1973" s="2605" t="s">
        <v>958</v>
      </c>
      <c r="P1973" s="2606">
        <f>IFERROR(VLOOKUP(F1973,Trainingsarten!$A$9:$N$84,12,FALSE),"")</f>
        <v>255.10000000000002</v>
      </c>
      <c r="Q1973" s="2607" t="s">
        <v>437</v>
      </c>
      <c r="R1973" s="2608">
        <f>IFERROR(VLOOKUP(F1973,Trainingsarten!$A$9:$N$84,14,FALSE),"")</f>
        <v>278.29999999999995</v>
      </c>
      <c r="S1973" s="2609">
        <f t="shared" si="494"/>
        <v>1.6666666666666667</v>
      </c>
      <c r="T1973" s="2597">
        <f t="shared" si="495"/>
        <v>20.718587028127345</v>
      </c>
      <c r="U1973" s="2597">
        <f t="shared" si="496"/>
        <v>22.920323432199911</v>
      </c>
      <c r="V1973" s="2597">
        <f t="shared" si="497"/>
        <v>5.4255570237472739</v>
      </c>
      <c r="W1973" s="3284">
        <f t="shared" si="498"/>
        <v>0.90393955780835844</v>
      </c>
      <c r="X1973" s="3300"/>
      <c r="Y1973" s="3316"/>
      <c r="AA1973" s="3301"/>
      <c r="AB1973" s="3409"/>
    </row>
    <row r="1974" spans="1:28" x14ac:dyDescent="0.2">
      <c r="A1974" s="2935" t="s">
        <v>979</v>
      </c>
      <c r="B1974" s="3130">
        <f>IFERROR(AVERAGE(N1970:N1976),"")</f>
        <v>1.0636355608008701</v>
      </c>
      <c r="C1974" s="2596">
        <v>45072</v>
      </c>
      <c r="D1974" s="2597">
        <v>72</v>
      </c>
      <c r="E1974" s="2598" t="s">
        <v>836</v>
      </c>
      <c r="F1974" s="2775" t="s">
        <v>800</v>
      </c>
      <c r="G1974" s="2599">
        <v>2.6574074074074073E-2</v>
      </c>
      <c r="H1974" s="2600">
        <v>6.74</v>
      </c>
      <c r="I1974" s="2601">
        <f t="shared" si="492"/>
        <v>3.9427409605451149E-3</v>
      </c>
      <c r="J1974" s="2602">
        <v>129</v>
      </c>
      <c r="K1974" s="2603">
        <v>40</v>
      </c>
      <c r="L1974" s="2816">
        <v>209</v>
      </c>
      <c r="M1974" s="2840">
        <v>14</v>
      </c>
      <c r="N1974" s="2604">
        <f t="shared" si="493"/>
        <v>1.0626334204349173</v>
      </c>
      <c r="O1974" s="2605" t="s">
        <v>953</v>
      </c>
      <c r="P1974" s="2606">
        <f>IFERROR(VLOOKUP(F1974,Trainingsarten!$A$9:$N$84,12,FALSE),"")</f>
        <v>194.60000000000002</v>
      </c>
      <c r="Q1974" s="2607" t="s">
        <v>437</v>
      </c>
      <c r="R1974" s="2608">
        <f>IFERROR(VLOOKUP(F1974,Trainingsarten!$A$9:$N$84,14,FALSE),"")</f>
        <v>212.96</v>
      </c>
      <c r="S1974" s="2609">
        <f t="shared" si="494"/>
        <v>1.6201550387596899</v>
      </c>
      <c r="T1974" s="2597">
        <f t="shared" si="495"/>
        <v>23.473074595537724</v>
      </c>
      <c r="U1974" s="2597">
        <f t="shared" si="496"/>
        <v>23.326982398099915</v>
      </c>
      <c r="V1974" s="2597">
        <f t="shared" si="497"/>
        <v>2.201736404072566</v>
      </c>
      <c r="W1974" s="3284">
        <f t="shared" si="498"/>
        <v>1.006262798802888</v>
      </c>
      <c r="X1974" s="3300"/>
      <c r="Y1974" s="3316"/>
      <c r="AA1974" s="3301"/>
      <c r="AB1974" s="3409"/>
    </row>
    <row r="1975" spans="1:28" x14ac:dyDescent="0.2">
      <c r="A1975" s="2935" t="s">
        <v>980</v>
      </c>
      <c r="B1975" s="3002">
        <f>IFERROR(AVERAGE(S1970:S1976),"")</f>
        <v>1.6252422793319345</v>
      </c>
      <c r="C1975" s="2886">
        <v>45073</v>
      </c>
      <c r="D1975" s="2887"/>
      <c r="E1975" s="2888"/>
      <c r="F1975" s="2889"/>
      <c r="G1975" s="2890"/>
      <c r="H1975" s="2891" t="str">
        <f>IFERROR(VLOOKUP(F1975,Trainingsarten!$A$9:$K$84,10,FALSE),"")</f>
        <v/>
      </c>
      <c r="I1975" s="2892" t="str">
        <f t="shared" si="492"/>
        <v/>
      </c>
      <c r="J1975" s="2893"/>
      <c r="K1975" s="2894" t="str">
        <f>IFERROR(VLOOKUP(F1975,Trainingsarten!$A$9:$K$84,11,FALSE),"0")</f>
        <v>0</v>
      </c>
      <c r="L1975" s="2816"/>
      <c r="M1975" s="2893"/>
      <c r="N1975" s="2895" t="str">
        <f t="shared" si="493"/>
        <v/>
      </c>
      <c r="O1975" s="2896"/>
      <c r="P1975" s="2897" t="str">
        <f>IFERROR(VLOOKUP(F1975,Trainingsarten!$A$9:$N$84,12,FALSE),"")</f>
        <v/>
      </c>
      <c r="Q1975" s="2898" t="s">
        <v>437</v>
      </c>
      <c r="R1975" s="2899" t="str">
        <f>IFERROR(VLOOKUP(F1975,Trainingsarten!$A$9:$N$84,14,FALSE),"")</f>
        <v/>
      </c>
      <c r="S1975" s="2845" t="str">
        <f t="shared" si="494"/>
        <v/>
      </c>
      <c r="T1975" s="2887">
        <f t="shared" si="495"/>
        <v>20.119778224746621</v>
      </c>
      <c r="U1975" s="2887">
        <f t="shared" si="496"/>
        <v>22.77157805528801</v>
      </c>
      <c r="V1975" s="2887">
        <f t="shared" si="497"/>
        <v>-0.14609219743780955</v>
      </c>
      <c r="W1975" s="3284">
        <f t="shared" si="498"/>
        <v>0.8835478233391213</v>
      </c>
      <c r="X1975" s="3300"/>
      <c r="Y1975" s="3316"/>
      <c r="AA1975" s="3301"/>
      <c r="AB1975" s="3409"/>
    </row>
    <row r="1976" spans="1:28" ht="16" thickBot="1" x14ac:dyDescent="0.25">
      <c r="A1976" s="2936" t="s">
        <v>183</v>
      </c>
      <c r="B1976" s="3003">
        <f>IFERROR(SUM(M1970:M1976),"")</f>
        <v>52</v>
      </c>
      <c r="C1976" s="2576">
        <v>45074</v>
      </c>
      <c r="D1976" s="1788"/>
      <c r="E1976" s="1789"/>
      <c r="F1976" s="2763"/>
      <c r="G1976" s="2577"/>
      <c r="H1976" s="2578" t="str">
        <f>IFERROR(VLOOKUP(F1976,Trainingsarten!$A$9:$K$84,10,FALSE),"")</f>
        <v/>
      </c>
      <c r="I1976" s="2579" t="str">
        <f t="shared" si="492"/>
        <v/>
      </c>
      <c r="J1976" s="2580"/>
      <c r="K1976" s="2581" t="str">
        <f>IFERROR(VLOOKUP(F1976,Trainingsarten!$A$9:$K$84,11,FALSE),"0")</f>
        <v>0</v>
      </c>
      <c r="L1976" s="2821"/>
      <c r="M1976" s="2580"/>
      <c r="N1976" s="2582" t="str">
        <f t="shared" si="493"/>
        <v/>
      </c>
      <c r="O1976" s="2583"/>
      <c r="P1976" s="2584" t="str">
        <f>IFERROR(VLOOKUP(F1976,Trainingsarten!$A$9:$N$84,12,FALSE),"")</f>
        <v/>
      </c>
      <c r="Q1976" s="945" t="s">
        <v>437</v>
      </c>
      <c r="R1976" s="946" t="str">
        <f>IFERROR(VLOOKUP(F1976,Trainingsarten!$A$9:$N$84,14,FALSE),"")</f>
        <v/>
      </c>
      <c r="S1976" s="2390" t="str">
        <f t="shared" si="494"/>
        <v/>
      </c>
      <c r="T1976" s="1788">
        <f t="shared" si="495"/>
        <v>17.245524192639962</v>
      </c>
      <c r="U1976" s="1788">
        <f t="shared" si="496"/>
        <v>22.2293976254002</v>
      </c>
      <c r="V1976" s="1788">
        <f t="shared" si="497"/>
        <v>2.651799830541389</v>
      </c>
      <c r="W1976" s="3293">
        <f t="shared" si="498"/>
        <v>0.77579808878556999</v>
      </c>
      <c r="X1976" s="3300"/>
      <c r="Y1976" s="3316"/>
      <c r="AA1976" s="3301"/>
      <c r="AB1976" s="3409"/>
    </row>
    <row r="1977" spans="1:28" ht="16" thickBot="1" x14ac:dyDescent="0.25">
      <c r="A1977" s="3439">
        <f>WEEKNUM(C1977,1)</f>
        <v>22</v>
      </c>
      <c r="B1977" s="3440"/>
      <c r="C1977" s="2585">
        <v>45075</v>
      </c>
      <c r="D1977" s="2586"/>
      <c r="E1977" s="2587"/>
      <c r="F1977" s="2761"/>
      <c r="G1977" s="2588"/>
      <c r="H1977" s="2589" t="str">
        <f>IFERROR(VLOOKUP(F1977,Trainingsarten!$A$9:$K$84,10,FALSE),"")</f>
        <v/>
      </c>
      <c r="I1977" s="2590" t="str">
        <f t="shared" si="492"/>
        <v/>
      </c>
      <c r="J1977" s="2591"/>
      <c r="K1977" s="2592" t="str">
        <f>IFERROR(VLOOKUP(F1977,Trainingsarten!$A$9:$K$84,11,FALSE),"0")</f>
        <v>0</v>
      </c>
      <c r="L1977" s="2815"/>
      <c r="M1977" s="2591"/>
      <c r="N1977" s="2593" t="str">
        <f t="shared" si="493"/>
        <v/>
      </c>
      <c r="O1977" s="2594"/>
      <c r="P1977" s="1919" t="str">
        <f>IFERROR(VLOOKUP(F1977,Trainingsarten!$A$9:$N$84,12,FALSE),"")</f>
        <v/>
      </c>
      <c r="Q1977" s="1069" t="s">
        <v>437</v>
      </c>
      <c r="R1977" s="2462" t="str">
        <f>IFERROR(VLOOKUP(F1977,Trainingsarten!$A$9:$N$84,14,FALSE),"")</f>
        <v/>
      </c>
      <c r="S1977" s="2595" t="str">
        <f t="shared" si="494"/>
        <v/>
      </c>
      <c r="T1977" s="2586">
        <f t="shared" si="495"/>
        <v>14.781877879405682</v>
      </c>
      <c r="U1977" s="2586">
        <f t="shared" si="496"/>
        <v>21.700126253366861</v>
      </c>
      <c r="V1977" s="2586">
        <f t="shared" si="497"/>
        <v>4.9838734327602374</v>
      </c>
      <c r="W1977" s="3283">
        <f t="shared" si="498"/>
        <v>0.68118856576293951</v>
      </c>
      <c r="X1977" s="3300"/>
      <c r="Y1977" s="3316"/>
      <c r="AA1977" s="3301"/>
      <c r="AB1977" s="3409"/>
    </row>
    <row r="1978" spans="1:28" x14ac:dyDescent="0.2">
      <c r="A1978" s="2934" t="s">
        <v>626</v>
      </c>
      <c r="B1978" s="3000">
        <f>SUM(H1977:H1983)</f>
        <v>38.11</v>
      </c>
      <c r="C1978" s="2596">
        <v>45076</v>
      </c>
      <c r="D1978" s="2597">
        <v>73</v>
      </c>
      <c r="E1978" s="2598" t="s">
        <v>836</v>
      </c>
      <c r="F1978" s="2759" t="s">
        <v>800</v>
      </c>
      <c r="G1978" s="2599">
        <v>2.2685185185185183E-2</v>
      </c>
      <c r="H1978" s="2600">
        <v>5.55</v>
      </c>
      <c r="I1978" s="2601">
        <f t="shared" si="492"/>
        <v>4.0874207540874206E-3</v>
      </c>
      <c r="J1978" s="2602">
        <v>130</v>
      </c>
      <c r="K1978" s="2603">
        <v>32</v>
      </c>
      <c r="L1978" s="2816">
        <v>204</v>
      </c>
      <c r="M1978" s="2840">
        <v>14</v>
      </c>
      <c r="N1978" s="2604">
        <f t="shared" si="493"/>
        <v>1.0752722872125857</v>
      </c>
      <c r="O1978" s="2605" t="s">
        <v>953</v>
      </c>
      <c r="P1978" s="2606">
        <f>IFERROR(VLOOKUP(F1978,Trainingsarten!$A$9:$N$84,12,FALSE),"")</f>
        <v>194.60000000000002</v>
      </c>
      <c r="Q1978" s="2607" t="s">
        <v>437</v>
      </c>
      <c r="R1978" s="2608">
        <f>IFERROR(VLOOKUP(F1978,Trainingsarten!$A$9:$N$84,14,FALSE),"")</f>
        <v>212.96</v>
      </c>
      <c r="S1978" s="2609">
        <f t="shared" si="494"/>
        <v>1.5692307692307692</v>
      </c>
      <c r="T1978" s="2597">
        <f t="shared" si="495"/>
        <v>17.241609610919156</v>
      </c>
      <c r="U1978" s="2597">
        <f t="shared" si="496"/>
        <v>21.945361342572411</v>
      </c>
      <c r="V1978" s="2597">
        <f t="shared" si="497"/>
        <v>6.9182483739611786</v>
      </c>
      <c r="W1978" s="3284">
        <f t="shared" si="498"/>
        <v>0.78566077549480495</v>
      </c>
      <c r="X1978" s="3300"/>
      <c r="Y1978" s="3316"/>
      <c r="AA1978" s="3301"/>
      <c r="AB1978" s="3409"/>
    </row>
    <row r="1979" spans="1:28" x14ac:dyDescent="0.2">
      <c r="A1979" s="2935" t="s">
        <v>628</v>
      </c>
      <c r="B1979" s="3001">
        <f>SUM(K1977:K1983)</f>
        <v>230</v>
      </c>
      <c r="C1979" s="2596">
        <v>45077</v>
      </c>
      <c r="D1979" s="2597">
        <v>74</v>
      </c>
      <c r="E1979" s="2598" t="s">
        <v>836</v>
      </c>
      <c r="F1979" s="2759" t="s">
        <v>800</v>
      </c>
      <c r="G1979" s="2599">
        <v>2.7465277777777772E-2</v>
      </c>
      <c r="H1979" s="2600">
        <v>7.06</v>
      </c>
      <c r="I1979" s="2601">
        <f t="shared" si="492"/>
        <v>3.8902659741894864E-3</v>
      </c>
      <c r="J1979" s="2602">
        <v>128</v>
      </c>
      <c r="K1979" s="2603">
        <v>42</v>
      </c>
      <c r="L1979" s="2816">
        <v>210</v>
      </c>
      <c r="M1979" s="2840">
        <v>15</v>
      </c>
      <c r="N1979" s="2604">
        <f t="shared" si="493"/>
        <v>1.0535072512790156</v>
      </c>
      <c r="O1979" s="2605" t="s">
        <v>976</v>
      </c>
      <c r="P1979" s="2606">
        <f>IFERROR(VLOOKUP(F1979,Trainingsarten!$A$9:$N$84,12,FALSE),"")</f>
        <v>194.60000000000002</v>
      </c>
      <c r="Q1979" s="2607" t="s">
        <v>437</v>
      </c>
      <c r="R1979" s="2608">
        <f>IFERROR(VLOOKUP(F1979,Trainingsarten!$A$9:$N$84,14,FALSE),"")</f>
        <v>212.96</v>
      </c>
      <c r="S1979" s="2609">
        <f t="shared" si="494"/>
        <v>1.640625</v>
      </c>
      <c r="T1979" s="2597">
        <f t="shared" si="495"/>
        <v>20.778522523644991</v>
      </c>
      <c r="U1979" s="2597">
        <f t="shared" si="496"/>
        <v>22.422852739177831</v>
      </c>
      <c r="V1979" s="2597">
        <f t="shared" si="497"/>
        <v>4.7037517316532558</v>
      </c>
      <c r="W1979" s="3284">
        <f t="shared" si="498"/>
        <v>0.92666721604696534</v>
      </c>
      <c r="X1979" s="3300"/>
      <c r="Y1979" s="3316"/>
      <c r="AA1979" s="3301"/>
      <c r="AB1979" s="3409"/>
    </row>
    <row r="1980" spans="1:28" x14ac:dyDescent="0.2">
      <c r="A1980" s="2935" t="s">
        <v>761</v>
      </c>
      <c r="B1980" s="3002">
        <f>AVERAGE(W1977:W1983)</f>
        <v>0.97190893820035618</v>
      </c>
      <c r="C1980" s="2596">
        <v>45078</v>
      </c>
      <c r="D1980" s="2597">
        <v>75</v>
      </c>
      <c r="E1980" s="2598" t="s">
        <v>836</v>
      </c>
      <c r="F1980" s="2759" t="s">
        <v>974</v>
      </c>
      <c r="G1980" s="2599">
        <v>2.7118055555555552E-2</v>
      </c>
      <c r="H1980" s="2600">
        <v>6.99</v>
      </c>
      <c r="I1980" s="2601">
        <f t="shared" si="492"/>
        <v>3.8795501510093776E-3</v>
      </c>
      <c r="J1980" s="2602">
        <v>128</v>
      </c>
      <c r="K1980" s="2603">
        <v>44</v>
      </c>
      <c r="L1980" s="2816">
        <v>212</v>
      </c>
      <c r="M1980" s="2840">
        <v>12</v>
      </c>
      <c r="N1980" s="2604">
        <f t="shared" si="493"/>
        <v>1.0606111075523665</v>
      </c>
      <c r="O1980" s="2605" t="s">
        <v>958</v>
      </c>
      <c r="P1980" s="2606">
        <f>IFERROR(VLOOKUP(F1980,Trainingsarten!$A$9:$N$84,12,FALSE),"")</f>
        <v>255.10000000000002</v>
      </c>
      <c r="Q1980" s="2607" t="s">
        <v>437</v>
      </c>
      <c r="R1980" s="2608">
        <f>IFERROR(VLOOKUP(F1980,Trainingsarten!$A$9:$N$84,14,FALSE),"")</f>
        <v>278.29999999999995</v>
      </c>
      <c r="S1980" s="2609">
        <f t="shared" si="494"/>
        <v>1.65625</v>
      </c>
      <c r="T1980" s="2597">
        <f t="shared" si="495"/>
        <v>24.095876448838563</v>
      </c>
      <c r="U1980" s="2597">
        <f t="shared" si="496"/>
        <v>22.936594340625977</v>
      </c>
      <c r="V1980" s="2597">
        <f t="shared" si="497"/>
        <v>1.6443302155328396</v>
      </c>
      <c r="W1980" s="3284">
        <f t="shared" si="498"/>
        <v>1.0505429049751833</v>
      </c>
      <c r="X1980" s="3300"/>
      <c r="Y1980" s="3316"/>
      <c r="AA1980" s="3301"/>
      <c r="AB1980" s="3409"/>
    </row>
    <row r="1981" spans="1:28" x14ac:dyDescent="0.2">
      <c r="A1981" s="2935" t="s">
        <v>979</v>
      </c>
      <c r="B1981" s="3130">
        <f>IFERROR(AVERAGE(N1977:N1983),"")</f>
        <v>1.0686397613626855</v>
      </c>
      <c r="C1981" s="2596">
        <v>45079</v>
      </c>
      <c r="D1981" s="2597">
        <v>76</v>
      </c>
      <c r="E1981" s="2598" t="s">
        <v>836</v>
      </c>
      <c r="F1981" s="2775" t="s">
        <v>800</v>
      </c>
      <c r="G1981" s="2599">
        <v>2.225694444444444E-2</v>
      </c>
      <c r="H1981" s="2600">
        <v>6.11</v>
      </c>
      <c r="I1981" s="2601">
        <f t="shared" si="492"/>
        <v>3.6427077650481895E-3</v>
      </c>
      <c r="J1981" s="2602">
        <v>136</v>
      </c>
      <c r="K1981" s="2603">
        <v>40</v>
      </c>
      <c r="L1981" s="2816">
        <v>230</v>
      </c>
      <c r="M1981" s="2840">
        <v>12</v>
      </c>
      <c r="N1981" s="2604">
        <f t="shared" si="493"/>
        <v>1.0804162493587706</v>
      </c>
      <c r="O1981" s="2605" t="s">
        <v>957</v>
      </c>
      <c r="P1981" s="2606">
        <f>IFERROR(VLOOKUP(F1981,Trainingsarten!$A$9:$N$84,12,FALSE),"")</f>
        <v>194.60000000000002</v>
      </c>
      <c r="Q1981" s="2607" t="s">
        <v>437</v>
      </c>
      <c r="R1981" s="2608">
        <f>IFERROR(VLOOKUP(F1981,Trainingsarten!$A$9:$N$84,14,FALSE),"")</f>
        <v>212.96</v>
      </c>
      <c r="S1981" s="2609">
        <f t="shared" si="494"/>
        <v>1.6911764705882353</v>
      </c>
      <c r="T1981" s="2597">
        <f t="shared" si="495"/>
        <v>26.367894099004484</v>
      </c>
      <c r="U1981" s="2597">
        <f t="shared" si="496"/>
        <v>23.342865903944407</v>
      </c>
      <c r="V1981" s="2597">
        <f t="shared" si="497"/>
        <v>-1.1592821082125866</v>
      </c>
      <c r="W1981" s="3284">
        <f t="shared" si="498"/>
        <v>1.1295911225086084</v>
      </c>
      <c r="X1981" s="3300"/>
      <c r="Y1981" s="3316"/>
      <c r="AA1981" s="3301"/>
      <c r="AB1981" s="3409"/>
    </row>
    <row r="1982" spans="1:28" x14ac:dyDescent="0.2">
      <c r="A1982" s="2935" t="s">
        <v>980</v>
      </c>
      <c r="B1982" s="3002">
        <f>IFERROR(AVERAGE(S1977:S1983),"")</f>
        <v>1.6121863749711001</v>
      </c>
      <c r="C1982" s="2886">
        <v>45080</v>
      </c>
      <c r="D1982" s="2887"/>
      <c r="E1982" s="2888"/>
      <c r="F1982" s="2889"/>
      <c r="G1982" s="2890"/>
      <c r="H1982" s="2891" t="str">
        <f>IFERROR(VLOOKUP(F1982,Trainingsarten!$A$9:$K$84,10,FALSE),"")</f>
        <v/>
      </c>
      <c r="I1982" s="2892" t="str">
        <f t="shared" si="492"/>
        <v/>
      </c>
      <c r="J1982" s="2893"/>
      <c r="K1982" s="2894" t="str">
        <f>IFERROR(VLOOKUP(F1982,Trainingsarten!$A$9:$K$84,11,FALSE),"0")</f>
        <v>0</v>
      </c>
      <c r="L1982" s="2816"/>
      <c r="M1982" s="2893"/>
      <c r="N1982" s="2895" t="str">
        <f t="shared" si="493"/>
        <v/>
      </c>
      <c r="O1982" s="2896"/>
      <c r="P1982" s="2897" t="str">
        <f>IFERROR(VLOOKUP(F1982,Trainingsarten!$A$9:$N$84,12,FALSE),"")</f>
        <v/>
      </c>
      <c r="Q1982" s="2898" t="s">
        <v>437</v>
      </c>
      <c r="R1982" s="2899" t="str">
        <f>IFERROR(VLOOKUP(F1982,Trainingsarten!$A$9:$N$84,14,FALSE),"")</f>
        <v/>
      </c>
      <c r="S1982" s="2845" t="str">
        <f t="shared" si="494"/>
        <v/>
      </c>
      <c r="T1982" s="2887">
        <f t="shared" si="495"/>
        <v>22.601052084860985</v>
      </c>
      <c r="U1982" s="2887">
        <f t="shared" si="496"/>
        <v>22.787083382421923</v>
      </c>
      <c r="V1982" s="2887">
        <f t="shared" si="497"/>
        <v>-3.0250281950600773</v>
      </c>
      <c r="W1982" s="3284">
        <f t="shared" si="498"/>
        <v>0.99183610756853402</v>
      </c>
      <c r="X1982" s="3300"/>
      <c r="Y1982" s="3316"/>
      <c r="AA1982" s="3301"/>
      <c r="AB1982" s="3409"/>
    </row>
    <row r="1983" spans="1:28" ht="16" thickBot="1" x14ac:dyDescent="0.25">
      <c r="A1983" s="2936" t="s">
        <v>183</v>
      </c>
      <c r="B1983" s="3003">
        <f>IFERROR(SUM(M1977:M1983),"")</f>
        <v>84</v>
      </c>
      <c r="C1983" s="2576">
        <v>45081</v>
      </c>
      <c r="D1983" s="1788">
        <v>77</v>
      </c>
      <c r="E1983" s="1789" t="s">
        <v>835</v>
      </c>
      <c r="F1983" s="2763" t="s">
        <v>906</v>
      </c>
      <c r="G1983" s="2577">
        <v>5.0104166666666672E-2</v>
      </c>
      <c r="H1983" s="2578">
        <v>12.4</v>
      </c>
      <c r="I1983" s="2579">
        <f t="shared" si="492"/>
        <v>4.0406586021505377E-3</v>
      </c>
      <c r="J1983" s="2580">
        <v>137</v>
      </c>
      <c r="K1983" s="2581">
        <v>72</v>
      </c>
      <c r="L1983" s="2821">
        <v>206</v>
      </c>
      <c r="M1983" s="2580">
        <v>31</v>
      </c>
      <c r="N1983" s="2582">
        <f t="shared" si="493"/>
        <v>1.0733919114106887</v>
      </c>
      <c r="O1983" s="2583" t="s">
        <v>953</v>
      </c>
      <c r="P1983" s="2584">
        <f>IFERROR(VLOOKUP(F1983,Trainingsarten!$A$9:$N$84,12,FALSE),"")</f>
        <v>194.60000000000002</v>
      </c>
      <c r="Q1983" s="945" t="s">
        <v>437</v>
      </c>
      <c r="R1983" s="946">
        <f>IFERROR(VLOOKUP(F1983,Trainingsarten!$A$9:$N$84,14,FALSE),"")</f>
        <v>212.96</v>
      </c>
      <c r="S1983" s="2390">
        <f t="shared" si="494"/>
        <v>1.5036496350364963</v>
      </c>
      <c r="T1983" s="1788">
        <f t="shared" si="495"/>
        <v>29.658044644166559</v>
      </c>
      <c r="U1983" s="1788">
        <f t="shared" si="496"/>
        <v>23.958819492364256</v>
      </c>
      <c r="V1983" s="1788">
        <f t="shared" si="497"/>
        <v>0.1860312975609375</v>
      </c>
      <c r="W1983" s="3293">
        <f t="shared" si="498"/>
        <v>1.237875875045457</v>
      </c>
      <c r="X1983" s="3300"/>
      <c r="Y1983" s="3316"/>
      <c r="AA1983" s="3301"/>
      <c r="AB1983" s="3409"/>
    </row>
    <row r="1984" spans="1:28" ht="16" thickBot="1" x14ac:dyDescent="0.25">
      <c r="A1984" s="3439">
        <f>WEEKNUM(C1984,1)</f>
        <v>23</v>
      </c>
      <c r="B1984" s="3440"/>
      <c r="C1984" s="2585">
        <v>45082</v>
      </c>
      <c r="D1984" s="2586"/>
      <c r="E1984" s="2587"/>
      <c r="F1984" s="2761"/>
      <c r="G1984" s="2588"/>
      <c r="H1984" s="2589" t="str">
        <f>IFERROR(VLOOKUP(F1984,Trainingsarten!$A$9:$K$84,10,FALSE),"")</f>
        <v/>
      </c>
      <c r="I1984" s="2590" t="str">
        <f t="shared" si="492"/>
        <v/>
      </c>
      <c r="J1984" s="2591"/>
      <c r="K1984" s="2592" t="str">
        <f>IFERROR(VLOOKUP(F1984,Trainingsarten!$A$9:$K$84,11,FALSE),"0")</f>
        <v>0</v>
      </c>
      <c r="L1984" s="2815"/>
      <c r="M1984" s="2591"/>
      <c r="N1984" s="2593" t="str">
        <f t="shared" si="493"/>
        <v/>
      </c>
      <c r="O1984" s="2594"/>
      <c r="P1984" s="1919" t="str">
        <f>IFERROR(VLOOKUP(F1984,Trainingsarten!$A$9:$N$84,12,FALSE),"")</f>
        <v/>
      </c>
      <c r="Q1984" s="1069" t="s">
        <v>437</v>
      </c>
      <c r="R1984" s="2462" t="str">
        <f>IFERROR(VLOOKUP(F1984,Trainingsarten!$A$9:$N$84,14,FALSE),"")</f>
        <v/>
      </c>
      <c r="S1984" s="2595" t="str">
        <f t="shared" si="494"/>
        <v/>
      </c>
      <c r="T1984" s="2586">
        <f t="shared" si="495"/>
        <v>25.421181123571337</v>
      </c>
      <c r="U1984" s="2586">
        <f t="shared" si="496"/>
        <v>23.388371409212727</v>
      </c>
      <c r="V1984" s="2586">
        <f t="shared" si="497"/>
        <v>-5.6992251518023025</v>
      </c>
      <c r="W1984" s="3283">
        <f t="shared" si="498"/>
        <v>1.086915402478938</v>
      </c>
      <c r="X1984" s="3300"/>
      <c r="Y1984" s="3316"/>
      <c r="AA1984" s="3301"/>
      <c r="AB1984" s="3409"/>
    </row>
    <row r="1985" spans="1:28" x14ac:dyDescent="0.2">
      <c r="A1985" s="2934" t="s">
        <v>626</v>
      </c>
      <c r="B1985" s="3000">
        <f>SUM(H1984:H1990)</f>
        <v>29.16</v>
      </c>
      <c r="C1985" s="2596">
        <v>45083</v>
      </c>
      <c r="D1985" s="2597">
        <v>78</v>
      </c>
      <c r="E1985" s="2598" t="s">
        <v>835</v>
      </c>
      <c r="F1985" s="2759" t="s">
        <v>943</v>
      </c>
      <c r="G1985" s="2599">
        <v>3.2523148148148148E-2</v>
      </c>
      <c r="H1985" s="2600">
        <v>8.11</v>
      </c>
      <c r="I1985" s="2601">
        <f t="shared" si="492"/>
        <v>4.0102525460108691E-3</v>
      </c>
      <c r="J1985" s="2602">
        <v>127</v>
      </c>
      <c r="K1985" s="2603">
        <v>46</v>
      </c>
      <c r="L1985" s="2816">
        <v>203</v>
      </c>
      <c r="M1985" s="2840">
        <v>19</v>
      </c>
      <c r="N1985" s="2604">
        <f t="shared" si="493"/>
        <v>1.0498003202237887</v>
      </c>
      <c r="O1985" s="2605" t="s">
        <v>976</v>
      </c>
      <c r="P1985" s="2606">
        <f>IFERROR(VLOOKUP(F1985,Trainingsarten!$A$9:$N$84,12,FALSE),"")</f>
        <v>194.60000000000002</v>
      </c>
      <c r="Q1985" s="2607" t="s">
        <v>437</v>
      </c>
      <c r="R1985" s="2608">
        <f>IFERROR(VLOOKUP(F1985,Trainingsarten!$A$9:$N$84,14,FALSE),"")</f>
        <v>212.96</v>
      </c>
      <c r="S1985" s="2609">
        <f t="shared" si="494"/>
        <v>1.5984251968503937</v>
      </c>
      <c r="T1985" s="2597">
        <f t="shared" si="495"/>
        <v>28.361012391632574</v>
      </c>
      <c r="U1985" s="2597">
        <f t="shared" si="496"/>
        <v>23.926743518517185</v>
      </c>
      <c r="V1985" s="2597">
        <f t="shared" si="497"/>
        <v>-2.0328097143586099</v>
      </c>
      <c r="W1985" s="3284">
        <f t="shared" si="498"/>
        <v>1.1853268861967639</v>
      </c>
      <c r="X1985" s="3300"/>
      <c r="Y1985" s="3316"/>
      <c r="AA1985" s="3301"/>
      <c r="AB1985" s="3409"/>
    </row>
    <row r="1986" spans="1:28" x14ac:dyDescent="0.2">
      <c r="A1986" s="2935" t="s">
        <v>628</v>
      </c>
      <c r="B1986" s="3001">
        <f>SUM(K1984:K1990)</f>
        <v>174</v>
      </c>
      <c r="C1986" s="2596">
        <v>45084</v>
      </c>
      <c r="D1986" s="2597"/>
      <c r="E1986" s="2598"/>
      <c r="F1986" s="2759"/>
      <c r="G1986" s="2599"/>
      <c r="H1986" s="2600" t="str">
        <f>IFERROR(VLOOKUP(F1986,Trainingsarten!$A$9:$K$84,10,FALSE),"")</f>
        <v/>
      </c>
      <c r="I1986" s="2601" t="str">
        <f t="shared" si="492"/>
        <v/>
      </c>
      <c r="J1986" s="2602"/>
      <c r="K1986" s="2603" t="str">
        <f>IFERROR(VLOOKUP(F1986,Trainingsarten!$A$9:$K$84,11,FALSE),"0")</f>
        <v>0</v>
      </c>
      <c r="L1986" s="2816"/>
      <c r="M1986" s="2840"/>
      <c r="N1986" s="2604" t="str">
        <f t="shared" si="493"/>
        <v/>
      </c>
      <c r="O1986" s="2605"/>
      <c r="P1986" s="2606" t="str">
        <f>IFERROR(VLOOKUP(F1986,Trainingsarten!$A$9:$N$84,12,FALSE),"")</f>
        <v/>
      </c>
      <c r="Q1986" s="2607" t="s">
        <v>437</v>
      </c>
      <c r="R1986" s="2608" t="str">
        <f>IFERROR(VLOOKUP(F1986,Trainingsarten!$A$9:$N$84,14,FALSE),"")</f>
        <v/>
      </c>
      <c r="S1986" s="2609" t="str">
        <f t="shared" si="494"/>
        <v/>
      </c>
      <c r="T1986" s="2597">
        <f t="shared" si="495"/>
        <v>24.30943919282792</v>
      </c>
      <c r="U1986" s="2597">
        <f t="shared" si="496"/>
        <v>23.357059149028679</v>
      </c>
      <c r="V1986" s="2597">
        <f t="shared" si="497"/>
        <v>-4.4342688731153892</v>
      </c>
      <c r="W1986" s="3284">
        <f t="shared" si="498"/>
        <v>1.0407748269044756</v>
      </c>
      <c r="X1986" s="3300"/>
      <c r="Y1986" s="3316"/>
      <c r="AA1986" s="3301"/>
      <c r="AB1986" s="3409"/>
    </row>
    <row r="1987" spans="1:28" x14ac:dyDescent="0.2">
      <c r="A1987" s="2935" t="s">
        <v>761</v>
      </c>
      <c r="B1987" s="3002">
        <f>AVERAGE(W1984:W1990)</f>
        <v>1.0663660229312133</v>
      </c>
      <c r="C1987" s="2596">
        <v>45085</v>
      </c>
      <c r="D1987" s="2597"/>
      <c r="E1987" s="2598"/>
      <c r="F1987" s="2759"/>
      <c r="G1987" s="2599"/>
      <c r="H1987" s="2600" t="str">
        <f>IFERROR(VLOOKUP(F1987,Trainingsarten!$A$9:$K$84,10,FALSE),"")</f>
        <v/>
      </c>
      <c r="I1987" s="2601" t="str">
        <f t="shared" si="492"/>
        <v/>
      </c>
      <c r="J1987" s="2602"/>
      <c r="K1987" s="2603" t="str">
        <f>IFERROR(VLOOKUP(F1987,Trainingsarten!$A$9:$K$84,11,FALSE),"0")</f>
        <v>0</v>
      </c>
      <c r="L1987" s="2816"/>
      <c r="M1987" s="2840"/>
      <c r="N1987" s="2604" t="str">
        <f t="shared" si="493"/>
        <v/>
      </c>
      <c r="O1987" s="2605"/>
      <c r="P1987" s="2606" t="str">
        <f>IFERROR(VLOOKUP(F1987,Trainingsarten!$A$9:$N$84,12,FALSE),"")</f>
        <v/>
      </c>
      <c r="Q1987" s="2607" t="s">
        <v>437</v>
      </c>
      <c r="R1987" s="2608" t="str">
        <f>IFERROR(VLOOKUP(F1987,Trainingsarten!$A$9:$N$84,14,FALSE),"")</f>
        <v/>
      </c>
      <c r="S1987" s="2609" t="str">
        <f t="shared" si="494"/>
        <v/>
      </c>
      <c r="T1987" s="2597">
        <f t="shared" si="495"/>
        <v>20.836662165281073</v>
      </c>
      <c r="U1987" s="2597">
        <f t="shared" si="496"/>
        <v>22.800938693099425</v>
      </c>
      <c r="V1987" s="2597">
        <f t="shared" si="497"/>
        <v>-0.95238004379924135</v>
      </c>
      <c r="W1987" s="3284">
        <f t="shared" si="498"/>
        <v>0.91385106752588086</v>
      </c>
      <c r="X1987" s="3300"/>
      <c r="Y1987" s="3316"/>
      <c r="AA1987" s="3301"/>
      <c r="AB1987" s="3409"/>
    </row>
    <row r="1988" spans="1:28" x14ac:dyDescent="0.2">
      <c r="A1988" s="2935" t="s">
        <v>979</v>
      </c>
      <c r="B1988" s="3130">
        <f>IFERROR(AVERAGE(N1984:N1990),"")</f>
        <v>1.0579131699291184</v>
      </c>
      <c r="C1988" s="2596">
        <v>45086</v>
      </c>
      <c r="D1988" s="2597">
        <v>79</v>
      </c>
      <c r="E1988" s="2598" t="s">
        <v>835</v>
      </c>
      <c r="F1988" s="2775" t="s">
        <v>819</v>
      </c>
      <c r="G1988" s="2599">
        <v>3.8263888888888889E-2</v>
      </c>
      <c r="H1988" s="2600">
        <v>9.35</v>
      </c>
      <c r="I1988" s="2601">
        <f t="shared" si="492"/>
        <v>4.0923945335710043E-3</v>
      </c>
      <c r="J1988" s="2602">
        <v>128</v>
      </c>
      <c r="K1988" s="2603">
        <v>52</v>
      </c>
      <c r="L1988" s="2816">
        <v>202</v>
      </c>
      <c r="M1988" s="2840">
        <v>24</v>
      </c>
      <c r="N1988" s="2604">
        <f t="shared" si="493"/>
        <v>1.066026019634448</v>
      </c>
      <c r="O1988" s="2605" t="s">
        <v>958</v>
      </c>
      <c r="P1988" s="2606">
        <f>IFERROR(VLOOKUP(F1988,Trainingsarten!$A$9:$N$84,12,FALSE),"")</f>
        <v>194.60000000000002</v>
      </c>
      <c r="Q1988" s="2607" t="s">
        <v>437</v>
      </c>
      <c r="R1988" s="2608">
        <f>IFERROR(VLOOKUP(F1988,Trainingsarten!$A$9:$N$84,14,FALSE),"")</f>
        <v>212.96</v>
      </c>
      <c r="S1988" s="2609">
        <f t="shared" si="494"/>
        <v>1.578125</v>
      </c>
      <c r="T1988" s="2597">
        <f t="shared" si="495"/>
        <v>25.288567570240922</v>
      </c>
      <c r="U1988" s="2597">
        <f t="shared" si="496"/>
        <v>23.496154438501819</v>
      </c>
      <c r="V1988" s="2597">
        <f t="shared" si="497"/>
        <v>1.9642765278183525</v>
      </c>
      <c r="W1988" s="3284">
        <f t="shared" si="498"/>
        <v>1.0762853826327416</v>
      </c>
      <c r="X1988" s="3300"/>
      <c r="Y1988" s="3316"/>
      <c r="AA1988" s="3301"/>
      <c r="AB1988" s="3409"/>
    </row>
    <row r="1989" spans="1:28" x14ac:dyDescent="0.2">
      <c r="A1989" s="2935" t="s">
        <v>980</v>
      </c>
      <c r="B1989" s="3002">
        <f>IFERROR(AVERAGE(S1984:S1990),"")</f>
        <v>1.5882750984251968</v>
      </c>
      <c r="C1989" s="2886">
        <v>45087</v>
      </c>
      <c r="D1989" s="2887"/>
      <c r="E1989" s="2888"/>
      <c r="F1989" s="2889"/>
      <c r="G1989" s="2890"/>
      <c r="H1989" s="2891" t="str">
        <f>IFERROR(VLOOKUP(F1989,Trainingsarten!$A$9:$K$84,10,FALSE),"")</f>
        <v/>
      </c>
      <c r="I1989" s="2892" t="str">
        <f t="shared" si="492"/>
        <v/>
      </c>
      <c r="J1989" s="2893"/>
      <c r="K1989" s="2894" t="str">
        <f>IFERROR(VLOOKUP(F1989,Trainingsarten!$A$9:$K$84,11,FALSE),"0")</f>
        <v>0</v>
      </c>
      <c r="L1989" s="2816"/>
      <c r="M1989" s="2893"/>
      <c r="N1989" s="2895" t="str">
        <f t="shared" si="493"/>
        <v/>
      </c>
      <c r="O1989" s="2896"/>
      <c r="P1989" s="2897" t="str">
        <f>IFERROR(VLOOKUP(F1989,Trainingsarten!$A$9:$N$84,12,FALSE),"")</f>
        <v/>
      </c>
      <c r="Q1989" s="2898" t="s">
        <v>437</v>
      </c>
      <c r="R1989" s="2899" t="str">
        <f>IFERROR(VLOOKUP(F1989,Trainingsarten!$A$9:$N$84,14,FALSE),"")</f>
        <v/>
      </c>
      <c r="S1989" s="2845" t="str">
        <f t="shared" si="494"/>
        <v/>
      </c>
      <c r="T1989" s="2887">
        <f t="shared" si="495"/>
        <v>21.675915060206503</v>
      </c>
      <c r="U1989" s="2887">
        <f t="shared" si="496"/>
        <v>22.936722189966062</v>
      </c>
      <c r="V1989" s="2887">
        <f t="shared" si="497"/>
        <v>-1.792413131739103</v>
      </c>
      <c r="W1989" s="3284">
        <f t="shared" si="498"/>
        <v>0.9450310676775292</v>
      </c>
      <c r="X1989" s="3300"/>
      <c r="Y1989" s="3316"/>
      <c r="AA1989" s="3301"/>
      <c r="AB1989" s="3409"/>
    </row>
    <row r="1990" spans="1:28" ht="16" thickBot="1" x14ac:dyDescent="0.25">
      <c r="A1990" s="2936" t="s">
        <v>183</v>
      </c>
      <c r="B1990" s="3003">
        <f>IFERROR(SUM(M1984:M1990),"")</f>
        <v>533</v>
      </c>
      <c r="C1990" s="2576">
        <v>45088</v>
      </c>
      <c r="D1990" s="1788">
        <v>80</v>
      </c>
      <c r="E1990" s="1789" t="s">
        <v>836</v>
      </c>
      <c r="F1990" s="2763" t="s">
        <v>862</v>
      </c>
      <c r="G1990" s="2577">
        <v>6.1099537037037042E-2</v>
      </c>
      <c r="H1990" s="2578">
        <v>11.7</v>
      </c>
      <c r="I1990" s="2579">
        <f t="shared" si="492"/>
        <v>5.2221826527382087E-3</v>
      </c>
      <c r="J1990" s="2580">
        <v>133</v>
      </c>
      <c r="K1990" s="2581">
        <v>76</v>
      </c>
      <c r="L1990" s="2821">
        <v>179</v>
      </c>
      <c r="M1990" s="2580">
        <v>490</v>
      </c>
      <c r="N1990" s="2582"/>
      <c r="O1990" s="2583" t="s">
        <v>868</v>
      </c>
      <c r="P1990" s="2584" t="str">
        <f>IFERROR(VLOOKUP(F1990,Trainingsarten!$A$9:$N$84,12,FALSE),"")</f>
        <v/>
      </c>
      <c r="Q1990" s="945" t="s">
        <v>437</v>
      </c>
      <c r="R1990" s="946" t="str">
        <f>IFERROR(VLOOKUP(F1990,Trainingsarten!$A$9:$N$84,14,FALSE),"")</f>
        <v/>
      </c>
      <c r="S1990" s="2390"/>
      <c r="T1990" s="1788">
        <f t="shared" si="495"/>
        <v>29.436498623034144</v>
      </c>
      <c r="U1990" s="1788">
        <f t="shared" si="496"/>
        <v>24.20013356639544</v>
      </c>
      <c r="V1990" s="1788">
        <f t="shared" si="497"/>
        <v>1.2608071297595593</v>
      </c>
      <c r="W1990" s="3293">
        <f t="shared" si="498"/>
        <v>1.2163775271021635</v>
      </c>
      <c r="X1990" s="3300"/>
      <c r="Y1990" s="3316"/>
      <c r="AA1990" s="3301"/>
      <c r="AB1990" s="3409"/>
    </row>
    <row r="1991" spans="1:28" ht="16" thickBot="1" x14ac:dyDescent="0.25">
      <c r="A1991" s="3439">
        <f>WEEKNUM(C1991,1)</f>
        <v>24</v>
      </c>
      <c r="B1991" s="3440"/>
      <c r="C1991" s="2585">
        <v>45089</v>
      </c>
      <c r="D1991" s="2586">
        <v>81</v>
      </c>
      <c r="E1991" s="2587" t="s">
        <v>836</v>
      </c>
      <c r="F1991" s="2761" t="s">
        <v>800</v>
      </c>
      <c r="G1991" s="2588">
        <v>2.4895833333333336E-2</v>
      </c>
      <c r="H1991" s="2589">
        <v>6.22</v>
      </c>
      <c r="I1991" s="2590">
        <f t="shared" si="492"/>
        <v>4.0025455519828515E-3</v>
      </c>
      <c r="J1991" s="2591">
        <v>121</v>
      </c>
      <c r="K1991" s="2592">
        <v>36</v>
      </c>
      <c r="L1991" s="2815">
        <v>206</v>
      </c>
      <c r="M1991" s="2591">
        <v>11</v>
      </c>
      <c r="N1991" s="2593">
        <f t="shared" si="493"/>
        <v>1.063267264961367</v>
      </c>
      <c r="O1991" s="2594" t="s">
        <v>958</v>
      </c>
      <c r="P1991" s="1919">
        <f>IFERROR(VLOOKUP(F1991,Trainingsarten!$A$9:$N$84,12,FALSE),"")</f>
        <v>194.60000000000002</v>
      </c>
      <c r="Q1991" s="1069" t="s">
        <v>437</v>
      </c>
      <c r="R1991" s="2462">
        <f>IFERROR(VLOOKUP(F1991,Trainingsarten!$A$9:$N$84,14,FALSE),"")</f>
        <v>212.96</v>
      </c>
      <c r="S1991" s="2595">
        <f t="shared" si="494"/>
        <v>1.7024793388429753</v>
      </c>
      <c r="T1991" s="2586">
        <f t="shared" si="495"/>
        <v>30.37414167688641</v>
      </c>
      <c r="U1991" s="2586">
        <f t="shared" si="496"/>
        <v>24.481082767195549</v>
      </c>
      <c r="V1991" s="2586">
        <f t="shared" si="497"/>
        <v>-5.2363650566387037</v>
      </c>
      <c r="W1991" s="3283">
        <f t="shared" si="498"/>
        <v>1.2407188834632557</v>
      </c>
      <c r="X1991" s="3300"/>
      <c r="Y1991" s="3316"/>
      <c r="AA1991" s="3301"/>
      <c r="AB1991" s="3409"/>
    </row>
    <row r="1992" spans="1:28" x14ac:dyDescent="0.2">
      <c r="A1992" s="2934" t="s">
        <v>626</v>
      </c>
      <c r="B1992" s="3000">
        <f>SUM(H1991:H1997)</f>
        <v>40.44</v>
      </c>
      <c r="C1992" s="2596">
        <v>45090</v>
      </c>
      <c r="D1992" s="2597">
        <v>82</v>
      </c>
      <c r="E1992" s="2598" t="s">
        <v>836</v>
      </c>
      <c r="F1992" s="2759" t="s">
        <v>800</v>
      </c>
      <c r="G1992" s="2599">
        <v>2.6168981481481477E-2</v>
      </c>
      <c r="H1992" s="2600">
        <v>6.67</v>
      </c>
      <c r="I1992" s="2601">
        <f t="shared" si="492"/>
        <v>3.9233855294574932E-3</v>
      </c>
      <c r="J1992" s="2602">
        <v>125</v>
      </c>
      <c r="K1992" s="2603">
        <v>39</v>
      </c>
      <c r="L1992" s="2816">
        <v>208</v>
      </c>
      <c r="M1992" s="2840">
        <v>16</v>
      </c>
      <c r="N1992" s="2604">
        <f t="shared" si="493"/>
        <v>1.0523574033878582</v>
      </c>
      <c r="O1992" s="2605" t="s">
        <v>976</v>
      </c>
      <c r="P1992" s="2606">
        <f>IFERROR(VLOOKUP(F1992,Trainingsarten!$A$9:$N$84,12,FALSE),"")</f>
        <v>194.60000000000002</v>
      </c>
      <c r="Q1992" s="2607" t="s">
        <v>437</v>
      </c>
      <c r="R1992" s="2608">
        <f>IFERROR(VLOOKUP(F1992,Trainingsarten!$A$9:$N$84,14,FALSE),"")</f>
        <v>212.96</v>
      </c>
      <c r="S1992" s="2609">
        <f t="shared" si="494"/>
        <v>1.6639999999999999</v>
      </c>
      <c r="T1992" s="2597">
        <f t="shared" si="495"/>
        <v>31.606407151616924</v>
      </c>
      <c r="U1992" s="2597">
        <f t="shared" si="496"/>
        <v>24.826771272738512</v>
      </c>
      <c r="V1992" s="2597">
        <f t="shared" si="497"/>
        <v>-5.8930589096908612</v>
      </c>
      <c r="W1992" s="3284">
        <f t="shared" si="498"/>
        <v>1.2730776307720253</v>
      </c>
      <c r="X1992" s="3300"/>
      <c r="Y1992" s="3316"/>
      <c r="AA1992" s="3301"/>
      <c r="AB1992" s="3409"/>
    </row>
    <row r="1993" spans="1:28" x14ac:dyDescent="0.2">
      <c r="A1993" s="2935" t="s">
        <v>628</v>
      </c>
      <c r="B1993" s="3001">
        <f>SUM(K1991:K1997)</f>
        <v>239</v>
      </c>
      <c r="C1993" s="2596">
        <v>45091</v>
      </c>
      <c r="D1993" s="2597"/>
      <c r="E1993" s="2598"/>
      <c r="F1993" s="2759"/>
      <c r="G1993" s="2599"/>
      <c r="H1993" s="2600" t="str">
        <f>IFERROR(VLOOKUP(F1993,Trainingsarten!$A$9:$K$84,10,FALSE),"")</f>
        <v/>
      </c>
      <c r="I1993" s="2601" t="str">
        <f t="shared" si="492"/>
        <v/>
      </c>
      <c r="J1993" s="2602"/>
      <c r="K1993" s="2603" t="str">
        <f>IFERROR(VLOOKUP(F1993,Trainingsarten!$A$9:$K$84,11,FALSE),"0")</f>
        <v>0</v>
      </c>
      <c r="L1993" s="2816"/>
      <c r="M1993" s="2840"/>
      <c r="N1993" s="2604" t="str">
        <f t="shared" si="493"/>
        <v/>
      </c>
      <c r="O1993" s="2605"/>
      <c r="P1993" s="2606" t="str">
        <f>IFERROR(VLOOKUP(F1993,Trainingsarten!$A$9:$N$84,12,FALSE),"")</f>
        <v/>
      </c>
      <c r="Q1993" s="2607" t="s">
        <v>437</v>
      </c>
      <c r="R1993" s="2608" t="str">
        <f>IFERROR(VLOOKUP(F1993,Trainingsarten!$A$9:$N$84,14,FALSE),"")</f>
        <v/>
      </c>
      <c r="S1993" s="2609" t="str">
        <f t="shared" si="494"/>
        <v/>
      </c>
      <c r="T1993" s="2597">
        <f t="shared" si="495"/>
        <v>27.091206129957364</v>
      </c>
      <c r="U1993" s="2597">
        <f t="shared" si="496"/>
        <v>24.235657671006642</v>
      </c>
      <c r="V1993" s="2597">
        <f t="shared" si="497"/>
        <v>-6.7796358788784126</v>
      </c>
      <c r="W1993" s="3284">
        <f t="shared" si="498"/>
        <v>1.1178242611656808</v>
      </c>
      <c r="X1993" s="3300"/>
      <c r="Y1993" s="3316"/>
      <c r="AA1993" s="3301"/>
      <c r="AB1993" s="3409"/>
    </row>
    <row r="1994" spans="1:28" x14ac:dyDescent="0.2">
      <c r="A1994" s="2935" t="s">
        <v>761</v>
      </c>
      <c r="B1994" s="3002">
        <f>AVERAGE(W1991:W1997)</f>
        <v>1.213702106294037</v>
      </c>
      <c r="C1994" s="2596">
        <v>45092</v>
      </c>
      <c r="D1994" s="2597">
        <v>83</v>
      </c>
      <c r="E1994" s="2598" t="s">
        <v>836</v>
      </c>
      <c r="F1994" s="2759" t="s">
        <v>974</v>
      </c>
      <c r="G1994" s="2599">
        <v>2.736111111111111E-2</v>
      </c>
      <c r="H1994" s="2600">
        <v>7.06</v>
      </c>
      <c r="I1994" s="2601">
        <f t="shared" si="492"/>
        <v>3.8755114888259366E-3</v>
      </c>
      <c r="J1994" s="2602">
        <v>126</v>
      </c>
      <c r="K1994" s="2603">
        <v>44</v>
      </c>
      <c r="L1994" s="2816">
        <v>213</v>
      </c>
      <c r="M1994" s="2840">
        <v>12</v>
      </c>
      <c r="N1994" s="2604">
        <f t="shared" si="493"/>
        <v>1.0645046721068878</v>
      </c>
      <c r="O1994" s="2605" t="s">
        <v>957</v>
      </c>
      <c r="P1994" s="2606">
        <f>IFERROR(VLOOKUP(F1994,Trainingsarten!$A$9:$N$84,12,FALSE),"")</f>
        <v>255.10000000000002</v>
      </c>
      <c r="Q1994" s="2607" t="s">
        <v>437</v>
      </c>
      <c r="R1994" s="2608">
        <f>IFERROR(VLOOKUP(F1994,Trainingsarten!$A$9:$N$84,14,FALSE),"")</f>
        <v>278.29999999999995</v>
      </c>
      <c r="S1994" s="2609">
        <f t="shared" si="494"/>
        <v>1.6904761904761905</v>
      </c>
      <c r="T1994" s="2597">
        <f t="shared" si="495"/>
        <v>29.506748111392024</v>
      </c>
      <c r="U1994" s="2597">
        <f t="shared" si="496"/>
        <v>24.706237250268387</v>
      </c>
      <c r="V1994" s="2597">
        <f t="shared" si="497"/>
        <v>-2.8555484589507216</v>
      </c>
      <c r="W1994" s="3284">
        <f t="shared" si="498"/>
        <v>1.194303600847656</v>
      </c>
      <c r="X1994" s="3300"/>
      <c r="Y1994" s="3316"/>
      <c r="AA1994" s="3301"/>
      <c r="AB1994" s="3409"/>
    </row>
    <row r="1995" spans="1:28" x14ac:dyDescent="0.2">
      <c r="A1995" s="2935" t="s">
        <v>979</v>
      </c>
      <c r="B1995" s="3130">
        <f>IFERROR(AVERAGE(N1991:N1997),"")</f>
        <v>1.0615175953784344</v>
      </c>
      <c r="C1995" s="2596">
        <v>45093</v>
      </c>
      <c r="D1995" s="2597">
        <v>84</v>
      </c>
      <c r="E1995" s="2598" t="s">
        <v>836</v>
      </c>
      <c r="F1995" s="2775" t="s">
        <v>800</v>
      </c>
      <c r="G1995" s="2599">
        <v>2.9791666666666664E-2</v>
      </c>
      <c r="H1995" s="2600">
        <v>7.51</v>
      </c>
      <c r="I1995" s="2601">
        <f t="shared" si="492"/>
        <v>3.9669329782512208E-3</v>
      </c>
      <c r="J1995" s="2602">
        <v>125</v>
      </c>
      <c r="K1995" s="2603">
        <v>43</v>
      </c>
      <c r="L1995" s="2816">
        <v>206</v>
      </c>
      <c r="M1995" s="2840">
        <v>12</v>
      </c>
      <c r="N1995" s="2604">
        <f t="shared" si="493"/>
        <v>1.0538068644792018</v>
      </c>
      <c r="O1995" s="2605" t="s">
        <v>976</v>
      </c>
      <c r="P1995" s="2606">
        <f>IFERROR(VLOOKUP(F1995,Trainingsarten!$A$9:$N$84,12,FALSE),"")</f>
        <v>194.60000000000002</v>
      </c>
      <c r="Q1995" s="2607" t="s">
        <v>437</v>
      </c>
      <c r="R1995" s="2608">
        <f>IFERROR(VLOOKUP(F1995,Trainingsarten!$A$9:$N$84,14,FALSE),"")</f>
        <v>212.96</v>
      </c>
      <c r="S1995" s="2609">
        <f t="shared" si="494"/>
        <v>1.6479999999999999</v>
      </c>
      <c r="T1995" s="2597">
        <f t="shared" si="495"/>
        <v>31.434355524050307</v>
      </c>
      <c r="U1995" s="2597">
        <f t="shared" si="496"/>
        <v>25.141803030023901</v>
      </c>
      <c r="V1995" s="2597">
        <f t="shared" si="497"/>
        <v>-4.8005108611236373</v>
      </c>
      <c r="W1995" s="3284">
        <f t="shared" si="498"/>
        <v>1.2502824672722139</v>
      </c>
      <c r="X1995" s="3300"/>
      <c r="Y1995" s="3316"/>
      <c r="AA1995" s="3301"/>
      <c r="AB1995" s="3409"/>
    </row>
    <row r="1996" spans="1:28" x14ac:dyDescent="0.2">
      <c r="A1996" s="2935" t="s">
        <v>980</v>
      </c>
      <c r="B1996" s="3002">
        <f>IFERROR(AVERAGE(S1991:S1997),"")</f>
        <v>1.6446407409003292</v>
      </c>
      <c r="C1996" s="2886">
        <v>45094</v>
      </c>
      <c r="D1996" s="2887"/>
      <c r="E1996" s="2888"/>
      <c r="F1996" s="2889"/>
      <c r="G1996" s="2890"/>
      <c r="H1996" s="2891" t="str">
        <f>IFERROR(VLOOKUP(F1996,Trainingsarten!$A$9:$K$84,10,FALSE),"")</f>
        <v/>
      </c>
      <c r="I1996" s="2892" t="str">
        <f t="shared" si="492"/>
        <v/>
      </c>
      <c r="J1996" s="2893"/>
      <c r="K1996" s="2894" t="str">
        <f>IFERROR(VLOOKUP(F1996,Trainingsarten!$A$9:$K$84,11,FALSE),"0")</f>
        <v>0</v>
      </c>
      <c r="L1996" s="2816"/>
      <c r="M1996" s="2893"/>
      <c r="N1996" s="2895" t="str">
        <f t="shared" si="493"/>
        <v/>
      </c>
      <c r="O1996" s="2896"/>
      <c r="P1996" s="2897" t="str">
        <f>IFERROR(VLOOKUP(F1996,Trainingsarten!$A$9:$N$84,12,FALSE),"")</f>
        <v/>
      </c>
      <c r="Q1996" s="2898" t="s">
        <v>437</v>
      </c>
      <c r="R1996" s="2899" t="str">
        <f>IFERROR(VLOOKUP(F1996,Trainingsarten!$A$9:$N$84,14,FALSE),"")</f>
        <v/>
      </c>
      <c r="S1996" s="2845" t="str">
        <f t="shared" si="494"/>
        <v/>
      </c>
      <c r="T1996" s="2887">
        <f t="shared" si="495"/>
        <v>26.943733306328834</v>
      </c>
      <c r="U1996" s="2887">
        <f t="shared" si="496"/>
        <v>24.543188672166188</v>
      </c>
      <c r="V1996" s="2887">
        <f t="shared" si="497"/>
        <v>-6.2925524940264062</v>
      </c>
      <c r="W1996" s="3284">
        <f t="shared" si="498"/>
        <v>1.0978089956536512</v>
      </c>
      <c r="X1996" s="3300"/>
      <c r="Y1996" s="3316"/>
      <c r="AA1996" s="3301"/>
      <c r="AB1996" s="3409"/>
    </row>
    <row r="1997" spans="1:28" ht="16" thickBot="1" x14ac:dyDescent="0.25">
      <c r="A1997" s="2936" t="s">
        <v>183</v>
      </c>
      <c r="B1997" s="3003">
        <f>IFERROR(SUM(M1991:M1997),"")</f>
        <v>84</v>
      </c>
      <c r="C1997" s="2576">
        <v>45095</v>
      </c>
      <c r="D1997" s="1788">
        <v>85</v>
      </c>
      <c r="E1997" s="1789" t="s">
        <v>835</v>
      </c>
      <c r="F1997" s="2763" t="s">
        <v>906</v>
      </c>
      <c r="G1997" s="2577">
        <v>5.1956018518518519E-2</v>
      </c>
      <c r="H1997" s="2578">
        <v>12.98</v>
      </c>
      <c r="I1997" s="2579">
        <f t="shared" si="492"/>
        <v>4.0027749243850934E-3</v>
      </c>
      <c r="J1997" s="2580">
        <v>137</v>
      </c>
      <c r="K1997" s="2581">
        <v>77</v>
      </c>
      <c r="L1997" s="2821">
        <v>208</v>
      </c>
      <c r="M1997" s="2580">
        <v>33</v>
      </c>
      <c r="N1997" s="2582">
        <f t="shared" si="493"/>
        <v>1.0736517719568566</v>
      </c>
      <c r="O1997" s="2583" t="s">
        <v>953</v>
      </c>
      <c r="P1997" s="2584">
        <f>IFERROR(VLOOKUP(F1997,Trainingsarten!$A$9:$N$84,12,FALSE),"")</f>
        <v>194.60000000000002</v>
      </c>
      <c r="Q1997" s="945" t="s">
        <v>437</v>
      </c>
      <c r="R1997" s="946">
        <f>IFERROR(VLOOKUP(F1997,Trainingsarten!$A$9:$N$84,14,FALSE),"")</f>
        <v>212.96</v>
      </c>
      <c r="S1997" s="2390">
        <f t="shared" si="494"/>
        <v>1.5182481751824817</v>
      </c>
      <c r="T1997" s="1788">
        <f t="shared" si="495"/>
        <v>34.094628548281861</v>
      </c>
      <c r="U1997" s="1788">
        <f t="shared" si="496"/>
        <v>25.792160370447945</v>
      </c>
      <c r="V1997" s="1788">
        <f t="shared" si="497"/>
        <v>-2.400544634162646</v>
      </c>
      <c r="W1997" s="3293">
        <f t="shared" si="498"/>
        <v>1.3218989048837759</v>
      </c>
      <c r="X1997" s="3300"/>
      <c r="Y1997" s="3316"/>
      <c r="AA1997" s="3301"/>
      <c r="AB1997" s="3409"/>
    </row>
    <row r="1998" spans="1:28" ht="16" thickBot="1" x14ac:dyDescent="0.25">
      <c r="A1998" s="3439">
        <f>WEEKNUM(C1998,1)</f>
        <v>25</v>
      </c>
      <c r="B1998" s="3440"/>
      <c r="C1998" s="2585">
        <v>45096</v>
      </c>
      <c r="D1998" s="2586">
        <v>86</v>
      </c>
      <c r="E1998" s="2587" t="s">
        <v>836</v>
      </c>
      <c r="F1998" s="2761" t="s">
        <v>800</v>
      </c>
      <c r="G1998" s="2588">
        <v>2.5706018518518517E-2</v>
      </c>
      <c r="H1998" s="2589">
        <v>6.51</v>
      </c>
      <c r="I1998" s="2590">
        <f t="shared" si="492"/>
        <v>3.9486971610627527E-3</v>
      </c>
      <c r="J1998" s="2591">
        <v>121</v>
      </c>
      <c r="K1998" s="2592">
        <v>37</v>
      </c>
      <c r="L1998" s="2815">
        <v>206</v>
      </c>
      <c r="M1998" s="2591">
        <v>10</v>
      </c>
      <c r="N1998" s="2593">
        <f t="shared" si="493"/>
        <v>1.0489625604695418</v>
      </c>
      <c r="O1998" s="2594" t="s">
        <v>976</v>
      </c>
      <c r="P1998" s="1919">
        <f>IFERROR(VLOOKUP(F1998,Trainingsarten!$A$9:$N$84,12,FALSE),"")</f>
        <v>194.60000000000002</v>
      </c>
      <c r="Q1998" s="1069" t="s">
        <v>437</v>
      </c>
      <c r="R1998" s="2462">
        <f>IFERROR(VLOOKUP(F1998,Trainingsarten!$A$9:$N$84,14,FALSE),"")</f>
        <v>212.96</v>
      </c>
      <c r="S1998" s="2595">
        <f t="shared" si="494"/>
        <v>1.7024793388429753</v>
      </c>
      <c r="T1998" s="2586">
        <f t="shared" si="495"/>
        <v>34.509681612813026</v>
      </c>
      <c r="U1998" s="2586">
        <f t="shared" si="496"/>
        <v>26.059013694961088</v>
      </c>
      <c r="V1998" s="2586">
        <f t="shared" si="497"/>
        <v>-8.3024681778339158</v>
      </c>
      <c r="W1998" s="3283">
        <f t="shared" si="498"/>
        <v>1.3242896303280276</v>
      </c>
      <c r="X1998" s="3300"/>
      <c r="Y1998" s="3316"/>
      <c r="AA1998" s="3301"/>
      <c r="AB1998" s="3409"/>
    </row>
    <row r="1999" spans="1:28" x14ac:dyDescent="0.2">
      <c r="A1999" s="2934" t="s">
        <v>626</v>
      </c>
      <c r="B1999" s="3000">
        <f>SUM(H1998:H2004)</f>
        <v>40.559999999999995</v>
      </c>
      <c r="C1999" s="2596">
        <v>45097</v>
      </c>
      <c r="D1999" s="2597">
        <v>87</v>
      </c>
      <c r="E1999" s="2598" t="s">
        <v>836</v>
      </c>
      <c r="F1999" s="2759" t="s">
        <v>943</v>
      </c>
      <c r="G1999" s="2599">
        <v>3.1168981481481482E-2</v>
      </c>
      <c r="H1999" s="2600">
        <v>8.02</v>
      </c>
      <c r="I1999" s="2601">
        <f t="shared" si="492"/>
        <v>3.8864066685139007E-3</v>
      </c>
      <c r="J1999" s="2602">
        <v>123</v>
      </c>
      <c r="K1999" s="2603">
        <v>48</v>
      </c>
      <c r="L1999" s="2816">
        <v>212</v>
      </c>
      <c r="M1999" s="2840">
        <v>12</v>
      </c>
      <c r="N1999" s="2604">
        <f t="shared" si="493"/>
        <v>1.0624855771020212</v>
      </c>
      <c r="O1999" s="2605" t="s">
        <v>958</v>
      </c>
      <c r="P1999" s="2606">
        <f>IFERROR(VLOOKUP(F1999,Trainingsarten!$A$9:$N$84,12,FALSE),"")</f>
        <v>194.60000000000002</v>
      </c>
      <c r="Q1999" s="2607" t="s">
        <v>437</v>
      </c>
      <c r="R1999" s="2608">
        <f>IFERROR(VLOOKUP(F1999,Trainingsarten!$A$9:$N$84,14,FALSE),"")</f>
        <v>212.96</v>
      </c>
      <c r="S1999" s="2609">
        <f t="shared" si="494"/>
        <v>1.7235772357723578</v>
      </c>
      <c r="T1999" s="2597">
        <f t="shared" si="495"/>
        <v>36.436869953839739</v>
      </c>
      <c r="U1999" s="2597">
        <f t="shared" si="496"/>
        <v>26.581418130795349</v>
      </c>
      <c r="V1999" s="2597">
        <f t="shared" si="497"/>
        <v>-8.4506679178519377</v>
      </c>
      <c r="W1999" s="3284">
        <f t="shared" si="498"/>
        <v>1.3707647114442914</v>
      </c>
      <c r="X1999" s="3300"/>
      <c r="Y1999" s="3316"/>
      <c r="AA1999" s="3301"/>
      <c r="AB1999" s="3409"/>
    </row>
    <row r="2000" spans="1:28" x14ac:dyDescent="0.2">
      <c r="A2000" s="2935" t="s">
        <v>628</v>
      </c>
      <c r="B2000" s="3001">
        <f>SUM(K1998:K2004)</f>
        <v>234</v>
      </c>
      <c r="C2000" s="2596">
        <v>45098</v>
      </c>
      <c r="D2000" s="2597"/>
      <c r="E2000" s="2598"/>
      <c r="F2000" s="2759"/>
      <c r="G2000" s="2599"/>
      <c r="H2000" s="2600" t="str">
        <f>IFERROR(VLOOKUP(F2000,Trainingsarten!$A$9:$K$84,10,FALSE),"")</f>
        <v/>
      </c>
      <c r="I2000" s="2601" t="str">
        <f t="shared" si="492"/>
        <v/>
      </c>
      <c r="J2000" s="2602"/>
      <c r="K2000" s="2603" t="str">
        <f>IFERROR(VLOOKUP(F2000,Trainingsarten!$A$9:$K$84,11,FALSE),"0")</f>
        <v>0</v>
      </c>
      <c r="L2000" s="2816"/>
      <c r="M2000" s="2840"/>
      <c r="N2000" s="2604" t="str">
        <f t="shared" si="493"/>
        <v/>
      </c>
      <c r="O2000" s="2605"/>
      <c r="P2000" s="2606" t="str">
        <f>IFERROR(VLOOKUP(F2000,Trainingsarten!$A$9:$N$84,12,FALSE),"")</f>
        <v/>
      </c>
      <c r="Q2000" s="2607" t="s">
        <v>437</v>
      </c>
      <c r="R2000" s="2608" t="str">
        <f>IFERROR(VLOOKUP(F2000,Trainingsarten!$A$9:$N$84,14,FALSE),"")</f>
        <v/>
      </c>
      <c r="S2000" s="2609" t="str">
        <f t="shared" si="494"/>
        <v/>
      </c>
      <c r="T2000" s="2597">
        <f t="shared" si="495"/>
        <v>31.23160281757692</v>
      </c>
      <c r="U2000" s="2597">
        <f t="shared" si="496"/>
        <v>25.948527222919271</v>
      </c>
      <c r="V2000" s="2597">
        <f t="shared" si="497"/>
        <v>-9.8554518230443904</v>
      </c>
      <c r="W2000" s="3284">
        <f t="shared" si="498"/>
        <v>1.2035982832193777</v>
      </c>
      <c r="X2000" s="3300"/>
      <c r="Y2000" s="3316"/>
      <c r="AA2000" s="3301"/>
      <c r="AB2000" s="3409"/>
    </row>
    <row r="2001" spans="1:28" x14ac:dyDescent="0.2">
      <c r="A2001" s="2935" t="s">
        <v>761</v>
      </c>
      <c r="B2001" s="3002">
        <f>AVERAGE(W1998:W2004)</f>
        <v>1.2447724632886055</v>
      </c>
      <c r="C2001" s="2596">
        <v>45099</v>
      </c>
      <c r="D2001" s="2597">
        <v>88</v>
      </c>
      <c r="E2001" s="2598" t="s">
        <v>836</v>
      </c>
      <c r="F2001" s="2759" t="s">
        <v>800</v>
      </c>
      <c r="G2001" s="2599">
        <v>2.3807870370370368E-2</v>
      </c>
      <c r="H2001" s="2600">
        <v>5.84</v>
      </c>
      <c r="I2001" s="2601">
        <f t="shared" si="492"/>
        <v>4.0766901319127342E-3</v>
      </c>
      <c r="J2001" s="2602">
        <v>125</v>
      </c>
      <c r="K2001" s="2603">
        <v>34</v>
      </c>
      <c r="L2001" s="2816">
        <v>204</v>
      </c>
      <c r="M2001" s="2840">
        <v>12</v>
      </c>
      <c r="N2001" s="2604">
        <f t="shared" si="493"/>
        <v>1.0724493968513595</v>
      </c>
      <c r="O2001" s="2605" t="s">
        <v>957</v>
      </c>
      <c r="P2001" s="2606">
        <f>IFERROR(VLOOKUP(F2001,Trainingsarten!$A$9:$N$84,12,FALSE),"")</f>
        <v>194.60000000000002</v>
      </c>
      <c r="Q2001" s="2607" t="s">
        <v>437</v>
      </c>
      <c r="R2001" s="2608">
        <f>IFERROR(VLOOKUP(F2001,Trainingsarten!$A$9:$N$84,14,FALSE),"")</f>
        <v>212.96</v>
      </c>
      <c r="S2001" s="2609">
        <f t="shared" si="494"/>
        <v>1.6319999999999999</v>
      </c>
      <c r="T2001" s="2597">
        <f t="shared" si="495"/>
        <v>31.627088129351645</v>
      </c>
      <c r="U2001" s="2597">
        <f t="shared" si="496"/>
        <v>26.140228955706906</v>
      </c>
      <c r="V2001" s="2597">
        <f t="shared" si="497"/>
        <v>-5.2830755946576495</v>
      </c>
      <c r="W2001" s="3284">
        <f t="shared" si="498"/>
        <v>1.2099009608118545</v>
      </c>
      <c r="X2001" s="3300"/>
      <c r="Y2001" s="3316"/>
      <c r="AA2001" s="3301"/>
      <c r="AB2001" s="3409"/>
    </row>
    <row r="2002" spans="1:28" x14ac:dyDescent="0.2">
      <c r="A2002" s="2935" t="s">
        <v>979</v>
      </c>
      <c r="B2002" s="3130">
        <f>IFERROR(AVERAGE(N1998:N2004),"")</f>
        <v>1.0623342112522716</v>
      </c>
      <c r="C2002" s="2596">
        <v>45100</v>
      </c>
      <c r="D2002" s="2597">
        <v>89</v>
      </c>
      <c r="E2002" s="2598" t="s">
        <v>835</v>
      </c>
      <c r="F2002" s="2775" t="s">
        <v>800</v>
      </c>
      <c r="G2002" s="2599">
        <v>3.1284722222222221E-2</v>
      </c>
      <c r="H2002" s="2600">
        <v>7.22</v>
      </c>
      <c r="I2002" s="2601">
        <f t="shared" si="492"/>
        <v>4.333064019698369E-3</v>
      </c>
      <c r="J2002" s="2602">
        <v>119</v>
      </c>
      <c r="K2002" s="2603">
        <v>38</v>
      </c>
      <c r="L2002" s="2816">
        <v>189</v>
      </c>
      <c r="M2002" s="2840">
        <v>27</v>
      </c>
      <c r="N2002" s="2604">
        <f t="shared" si="493"/>
        <v>1.0560776450159177</v>
      </c>
      <c r="O2002" s="2605" t="s">
        <v>976</v>
      </c>
      <c r="P2002" s="2606">
        <f>IFERROR(VLOOKUP(F2002,Trainingsarten!$A$9:$N$84,12,FALSE),"")</f>
        <v>194.60000000000002</v>
      </c>
      <c r="Q2002" s="2607" t="s">
        <v>437</v>
      </c>
      <c r="R2002" s="2608">
        <f>IFERROR(VLOOKUP(F2002,Trainingsarten!$A$9:$N$84,14,FALSE),"")</f>
        <v>212.96</v>
      </c>
      <c r="S2002" s="2609">
        <f t="shared" si="494"/>
        <v>1.588235294117647</v>
      </c>
      <c r="T2002" s="2597">
        <f t="shared" si="495"/>
        <v>32.537504110872838</v>
      </c>
      <c r="U2002" s="2597">
        <f t="shared" si="496"/>
        <v>26.422604456761505</v>
      </c>
      <c r="V2002" s="2597">
        <f t="shared" si="497"/>
        <v>-5.4868591736447385</v>
      </c>
      <c r="W2002" s="3284">
        <f t="shared" si="498"/>
        <v>1.2314268324350039</v>
      </c>
      <c r="X2002" s="3300"/>
      <c r="Y2002" s="3316"/>
      <c r="AA2002" s="3301"/>
      <c r="AB2002" s="3409"/>
    </row>
    <row r="2003" spans="1:28" x14ac:dyDescent="0.2">
      <c r="A2003" s="2935" t="s">
        <v>980</v>
      </c>
      <c r="B2003" s="3002">
        <f>IFERROR(AVERAGE(S1998:S2004),"")</f>
        <v>1.6501886063047355</v>
      </c>
      <c r="C2003" s="2886">
        <v>45101</v>
      </c>
      <c r="D2003" s="2887"/>
      <c r="E2003" s="2888"/>
      <c r="F2003" s="2889"/>
      <c r="G2003" s="2890"/>
      <c r="H2003" s="2891" t="str">
        <f>IFERROR(VLOOKUP(F2003,Trainingsarten!$A$9:$K$84,10,FALSE),"")</f>
        <v/>
      </c>
      <c r="I2003" s="2892" t="str">
        <f t="shared" si="492"/>
        <v/>
      </c>
      <c r="J2003" s="2893"/>
      <c r="K2003" s="2894" t="str">
        <f>IFERROR(VLOOKUP(F2003,Trainingsarten!$A$9:$K$84,11,FALSE),"0")</f>
        <v>0</v>
      </c>
      <c r="L2003" s="2816"/>
      <c r="M2003" s="2893"/>
      <c r="N2003" s="2895" t="str">
        <f t="shared" si="493"/>
        <v/>
      </c>
      <c r="O2003" s="2896"/>
      <c r="P2003" s="2897" t="str">
        <f>IFERROR(VLOOKUP(F2003,Trainingsarten!$A$9:$N$84,12,FALSE),"")</f>
        <v/>
      </c>
      <c r="Q2003" s="2898" t="s">
        <v>437</v>
      </c>
      <c r="R2003" s="2899" t="str">
        <f>IFERROR(VLOOKUP(F2003,Trainingsarten!$A$9:$N$84,14,FALSE),"")</f>
        <v/>
      </c>
      <c r="S2003" s="2845" t="str">
        <f t="shared" si="494"/>
        <v/>
      </c>
      <c r="T2003" s="2887">
        <f t="shared" si="495"/>
        <v>27.889289237891006</v>
      </c>
      <c r="U2003" s="2887">
        <f t="shared" si="496"/>
        <v>25.793494826838611</v>
      </c>
      <c r="V2003" s="2887">
        <f t="shared" si="497"/>
        <v>-6.1148996541113334</v>
      </c>
      <c r="W2003" s="3284">
        <f t="shared" si="498"/>
        <v>1.0812528284795158</v>
      </c>
      <c r="X2003" s="3300"/>
      <c r="Y2003" s="3316"/>
      <c r="AA2003" s="3301"/>
      <c r="AB2003" s="3409"/>
    </row>
    <row r="2004" spans="1:28" ht="16" thickBot="1" x14ac:dyDescent="0.25">
      <c r="A2004" s="2936" t="s">
        <v>183</v>
      </c>
      <c r="B2004" s="3003">
        <f>IFERROR(SUM(M1998:M2004),"")</f>
        <v>99</v>
      </c>
      <c r="C2004" s="2576">
        <v>45102</v>
      </c>
      <c r="D2004" s="1788">
        <v>90</v>
      </c>
      <c r="E2004" s="1789" t="s">
        <v>835</v>
      </c>
      <c r="F2004" s="2763" t="s">
        <v>906</v>
      </c>
      <c r="G2004" s="2577">
        <v>5.2071759259259255E-2</v>
      </c>
      <c r="H2004" s="2578">
        <v>12.97</v>
      </c>
      <c r="I2004" s="2579">
        <f t="shared" si="492"/>
        <v>4.0147848310916924E-3</v>
      </c>
      <c r="J2004" s="2580">
        <v>129</v>
      </c>
      <c r="K2004" s="2581">
        <v>77</v>
      </c>
      <c r="L2004" s="2821">
        <v>207</v>
      </c>
      <c r="M2004" s="2580">
        <v>38</v>
      </c>
      <c r="N2004" s="2582">
        <f t="shared" si="493"/>
        <v>1.071695876822518</v>
      </c>
      <c r="O2004" s="2583" t="s">
        <v>953</v>
      </c>
      <c r="P2004" s="2584">
        <f>IFERROR(VLOOKUP(F2004,Trainingsarten!$A$9:$N$84,12,FALSE),"")</f>
        <v>194.60000000000002</v>
      </c>
      <c r="Q2004" s="945" t="s">
        <v>437</v>
      </c>
      <c r="R2004" s="946">
        <f>IFERROR(VLOOKUP(F2004,Trainingsarten!$A$9:$N$84,14,FALSE),"")</f>
        <v>212.96</v>
      </c>
      <c r="S2004" s="2390">
        <f t="shared" si="494"/>
        <v>1.6046511627906976</v>
      </c>
      <c r="T2004" s="1788">
        <f t="shared" si="495"/>
        <v>34.905105061049433</v>
      </c>
      <c r="U2004" s="1788">
        <f t="shared" si="496"/>
        <v>27.012697330961501</v>
      </c>
      <c r="V2004" s="1788">
        <f t="shared" si="497"/>
        <v>-2.0957944110523954</v>
      </c>
      <c r="W2004" s="3293">
        <f t="shared" si="498"/>
        <v>1.2921739963021681</v>
      </c>
      <c r="X2004" s="3300"/>
      <c r="Y2004" s="3316"/>
      <c r="AA2004" s="3301"/>
      <c r="AB2004" s="3409"/>
    </row>
    <row r="2005" spans="1:28" ht="16" thickBot="1" x14ac:dyDescent="0.25">
      <c r="A2005" s="3439">
        <f>WEEKNUM(C2005,1)</f>
        <v>26</v>
      </c>
      <c r="B2005" s="3440"/>
      <c r="C2005" s="2585">
        <v>45103</v>
      </c>
      <c r="D2005" s="2586">
        <v>91</v>
      </c>
      <c r="E2005" s="2587" t="s">
        <v>836</v>
      </c>
      <c r="F2005" s="2761" t="s">
        <v>800</v>
      </c>
      <c r="G2005" s="2588">
        <v>2.4016203703703706E-2</v>
      </c>
      <c r="H2005" s="2589">
        <v>5.97</v>
      </c>
      <c r="I2005" s="2590">
        <f t="shared" si="492"/>
        <v>4.0228146907376394E-3</v>
      </c>
      <c r="J2005" s="2591">
        <v>121</v>
      </c>
      <c r="K2005" s="2592">
        <v>34</v>
      </c>
      <c r="L2005" s="2815">
        <v>202</v>
      </c>
      <c r="M2005" s="2591">
        <v>8</v>
      </c>
      <c r="N2005" s="2593">
        <f t="shared" si="493"/>
        <v>1.0479011975299384</v>
      </c>
      <c r="O2005" s="2594" t="s">
        <v>976</v>
      </c>
      <c r="P2005" s="1919">
        <f>IFERROR(VLOOKUP(F2005,Trainingsarten!$A$9:$N$84,12,FALSE),"")</f>
        <v>194.60000000000002</v>
      </c>
      <c r="Q2005" s="1069" t="s">
        <v>437</v>
      </c>
      <c r="R2005" s="2462">
        <f>IFERROR(VLOOKUP(F2005,Trainingsarten!$A$9:$N$84,14,FALSE),"")</f>
        <v>212.96</v>
      </c>
      <c r="S2005" s="2595">
        <f t="shared" si="494"/>
        <v>1.6694214876033058</v>
      </c>
      <c r="T2005" s="2586">
        <f t="shared" si="495"/>
        <v>34.77580433804237</v>
      </c>
      <c r="U2005" s="2586">
        <f t="shared" si="496"/>
        <v>27.179061680224322</v>
      </c>
      <c r="V2005" s="2586">
        <f t="shared" si="497"/>
        <v>-7.8924077300879318</v>
      </c>
      <c r="W2005" s="3283">
        <f t="shared" si="498"/>
        <v>1.2795071716307811</v>
      </c>
      <c r="X2005" s="3300"/>
      <c r="Y2005" s="3316"/>
      <c r="AA2005" s="3301"/>
      <c r="AB2005" s="3409"/>
    </row>
    <row r="2006" spans="1:28" x14ac:dyDescent="0.2">
      <c r="A2006" s="2934" t="s">
        <v>626</v>
      </c>
      <c r="B2006" s="3000">
        <f>SUM(H2005:H2011)</f>
        <v>40.53</v>
      </c>
      <c r="C2006" s="2596">
        <v>45104</v>
      </c>
      <c r="D2006" s="2597">
        <v>92</v>
      </c>
      <c r="E2006" s="2598" t="s">
        <v>836</v>
      </c>
      <c r="F2006" s="2759" t="s">
        <v>943</v>
      </c>
      <c r="G2006" s="2599">
        <v>3.1134259259259261E-2</v>
      </c>
      <c r="H2006" s="2600">
        <v>7.93</v>
      </c>
      <c r="I2006" s="2601">
        <f t="shared" si="492"/>
        <v>3.9261360982672461E-3</v>
      </c>
      <c r="J2006" s="2602">
        <v>123</v>
      </c>
      <c r="K2006" s="2603">
        <v>47</v>
      </c>
      <c r="L2006" s="2816">
        <v>210</v>
      </c>
      <c r="M2006" s="2840">
        <v>17</v>
      </c>
      <c r="N2006" s="2604">
        <f t="shared" si="493"/>
        <v>1.0632210950292675</v>
      </c>
      <c r="O2006" s="2605" t="s">
        <v>958</v>
      </c>
      <c r="P2006" s="2606">
        <f>IFERROR(VLOOKUP(F2006,Trainingsarten!$A$9:$N$84,12,FALSE),"")</f>
        <v>194.60000000000002</v>
      </c>
      <c r="Q2006" s="2607" t="s">
        <v>437</v>
      </c>
      <c r="R2006" s="2608">
        <f>IFERROR(VLOOKUP(F2006,Trainingsarten!$A$9:$N$84,14,FALSE),"")</f>
        <v>212.96</v>
      </c>
      <c r="S2006" s="2609">
        <f t="shared" si="494"/>
        <v>1.7073170731707317</v>
      </c>
      <c r="T2006" s="2597">
        <f t="shared" si="495"/>
        <v>36.522118004036315</v>
      </c>
      <c r="U2006" s="2597">
        <f t="shared" si="496"/>
        <v>27.650988783076123</v>
      </c>
      <c r="V2006" s="2597">
        <f t="shared" si="497"/>
        <v>-7.5967426578180479</v>
      </c>
      <c r="W2006" s="3284">
        <f t="shared" si="498"/>
        <v>1.3208250269295903</v>
      </c>
      <c r="X2006" s="3300"/>
      <c r="Y2006" s="3316"/>
      <c r="AA2006" s="3301"/>
      <c r="AB2006" s="3409"/>
    </row>
    <row r="2007" spans="1:28" x14ac:dyDescent="0.2">
      <c r="A2007" s="2935" t="s">
        <v>628</v>
      </c>
      <c r="B2007" s="3001">
        <f>SUM(K2005:K2011)</f>
        <v>243</v>
      </c>
      <c r="C2007" s="2596">
        <v>45105</v>
      </c>
      <c r="D2007" s="2597"/>
      <c r="E2007" s="2598"/>
      <c r="F2007" s="2759"/>
      <c r="G2007" s="2599"/>
      <c r="H2007" s="2600" t="str">
        <f>IFERROR(VLOOKUP(F2007,Trainingsarten!$A$9:$K$84,10,FALSE),"")</f>
        <v/>
      </c>
      <c r="I2007" s="2601" t="str">
        <f t="shared" si="492"/>
        <v/>
      </c>
      <c r="J2007" s="2602"/>
      <c r="K2007" s="2603" t="str">
        <f>IFERROR(VLOOKUP(F2007,Trainingsarten!$A$9:$K$84,11,FALSE),"0")</f>
        <v>0</v>
      </c>
      <c r="L2007" s="2816"/>
      <c r="M2007" s="2840"/>
      <c r="N2007" s="2604" t="str">
        <f t="shared" si="493"/>
        <v/>
      </c>
      <c r="O2007" s="2605"/>
      <c r="P2007" s="2606" t="str">
        <f>IFERROR(VLOOKUP(F2007,Trainingsarten!$A$9:$N$84,12,FALSE),"")</f>
        <v/>
      </c>
      <c r="Q2007" s="2607" t="s">
        <v>437</v>
      </c>
      <c r="R2007" s="2608" t="str">
        <f>IFERROR(VLOOKUP(F2007,Trainingsarten!$A$9:$N$84,14,FALSE),"")</f>
        <v/>
      </c>
      <c r="S2007" s="2609" t="str">
        <f t="shared" si="494"/>
        <v/>
      </c>
      <c r="T2007" s="2597">
        <f t="shared" si="495"/>
        <v>31.304672574888272</v>
      </c>
      <c r="U2007" s="2597">
        <f t="shared" si="496"/>
        <v>26.992631907288597</v>
      </c>
      <c r="V2007" s="2597">
        <f t="shared" si="497"/>
        <v>-8.8711292209601922</v>
      </c>
      <c r="W2007" s="3284">
        <f t="shared" si="498"/>
        <v>1.1597488041332986</v>
      </c>
      <c r="X2007" s="3300"/>
      <c r="Y2007" s="3316"/>
      <c r="AA2007" s="3301"/>
      <c r="AB2007" s="3409"/>
    </row>
    <row r="2008" spans="1:28" x14ac:dyDescent="0.2">
      <c r="A2008" s="2935" t="s">
        <v>761</v>
      </c>
      <c r="B2008" s="3002">
        <f>AVERAGE(W2005:W2011)</f>
        <v>1.2258423292947658</v>
      </c>
      <c r="C2008" s="2596">
        <v>45106</v>
      </c>
      <c r="D2008" s="2597">
        <v>93</v>
      </c>
      <c r="E2008" s="2598" t="s">
        <v>836</v>
      </c>
      <c r="F2008" s="2759" t="s">
        <v>974</v>
      </c>
      <c r="G2008" s="2599">
        <v>2.6805555555555555E-2</v>
      </c>
      <c r="H2008" s="2600">
        <v>6.71</v>
      </c>
      <c r="I2008" s="2601">
        <f t="shared" si="492"/>
        <v>3.9948666997847325E-3</v>
      </c>
      <c r="J2008" s="2602">
        <v>127</v>
      </c>
      <c r="K2008" s="2603">
        <v>41</v>
      </c>
      <c r="L2008" s="2816">
        <v>207</v>
      </c>
      <c r="M2008" s="2840">
        <v>15</v>
      </c>
      <c r="N2008" s="2604">
        <f t="shared" si="493"/>
        <v>1.0663789843628355</v>
      </c>
      <c r="O2008" s="2605" t="s">
        <v>957</v>
      </c>
      <c r="P2008" s="2606">
        <f>IFERROR(VLOOKUP(F2008,Trainingsarten!$A$9:$N$84,12,FALSE),"")</f>
        <v>255.10000000000002</v>
      </c>
      <c r="Q2008" s="2607" t="s">
        <v>437</v>
      </c>
      <c r="R2008" s="2608">
        <f>IFERROR(VLOOKUP(F2008,Trainingsarten!$A$9:$N$84,14,FALSE),"")</f>
        <v>278.29999999999995</v>
      </c>
      <c r="S2008" s="2609">
        <f t="shared" si="494"/>
        <v>1.6299212598425197</v>
      </c>
      <c r="T2008" s="2597">
        <f t="shared" si="495"/>
        <v>32.68971934990423</v>
      </c>
      <c r="U2008" s="2597">
        <f t="shared" si="496"/>
        <v>27.326140671400772</v>
      </c>
      <c r="V2008" s="2597">
        <f t="shared" si="497"/>
        <v>-4.3120406675996747</v>
      </c>
      <c r="W2008" s="3284">
        <f t="shared" si="498"/>
        <v>1.1962801386043116</v>
      </c>
      <c r="X2008" s="3300"/>
      <c r="Y2008" s="3316"/>
      <c r="AA2008" s="3301"/>
      <c r="AB2008" s="3409"/>
    </row>
    <row r="2009" spans="1:28" x14ac:dyDescent="0.2">
      <c r="A2009" s="2935" t="s">
        <v>979</v>
      </c>
      <c r="B2009" s="3130">
        <f>IFERROR(AVERAGE(N2005:N2011),"")</f>
        <v>1.0628072878441404</v>
      </c>
      <c r="C2009" s="2596">
        <v>45107</v>
      </c>
      <c r="D2009" s="2597">
        <v>94</v>
      </c>
      <c r="E2009" s="2598" t="s">
        <v>836</v>
      </c>
      <c r="F2009" s="2775" t="s">
        <v>943</v>
      </c>
      <c r="G2009" s="2599">
        <v>3.1053240740740742E-2</v>
      </c>
      <c r="H2009" s="2600">
        <v>7.93</v>
      </c>
      <c r="I2009" s="2601">
        <f t="shared" si="492"/>
        <v>3.9159193872308632E-3</v>
      </c>
      <c r="J2009" s="2602">
        <v>121</v>
      </c>
      <c r="K2009" s="2603">
        <v>47</v>
      </c>
      <c r="L2009" s="2816">
        <v>210</v>
      </c>
      <c r="M2009" s="2840">
        <v>11</v>
      </c>
      <c r="N2009" s="2604">
        <f t="shared" si="493"/>
        <v>1.0604543486853253</v>
      </c>
      <c r="O2009" s="2605" t="s">
        <v>1462</v>
      </c>
      <c r="P2009" s="2606">
        <f>IFERROR(VLOOKUP(F2009,Trainingsarten!$A$9:$N$84,12,FALSE),"")</f>
        <v>194.60000000000002</v>
      </c>
      <c r="Q2009" s="2607" t="s">
        <v>437</v>
      </c>
      <c r="R2009" s="2608">
        <f>IFERROR(VLOOKUP(F2009,Trainingsarten!$A$9:$N$84,14,FALSE),"")</f>
        <v>212.96</v>
      </c>
      <c r="S2009" s="2609">
        <f t="shared" si="494"/>
        <v>1.7355371900826446</v>
      </c>
      <c r="T2009" s="2597">
        <f t="shared" si="495"/>
        <v>34.73404515706077</v>
      </c>
      <c r="U2009" s="2597">
        <f t="shared" si="496"/>
        <v>27.794565893510278</v>
      </c>
      <c r="V2009" s="2597">
        <f t="shared" si="497"/>
        <v>-5.3635786785034583</v>
      </c>
      <c r="W2009" s="3284">
        <f t="shared" si="498"/>
        <v>1.2496703596716645</v>
      </c>
      <c r="X2009" s="3300"/>
      <c r="Y2009" s="3316"/>
      <c r="AA2009" s="3301"/>
      <c r="AB2009" s="3409"/>
    </row>
    <row r="2010" spans="1:28" x14ac:dyDescent="0.2">
      <c r="A2010" s="2935" t="s">
        <v>980</v>
      </c>
      <c r="B2010" s="3002">
        <f>IFERROR(AVERAGE(S2005:S2011),"")</f>
        <v>1.654321755081017</v>
      </c>
      <c r="C2010" s="2886">
        <v>45108</v>
      </c>
      <c r="D2010" s="2887"/>
      <c r="E2010" s="2888"/>
      <c r="F2010" s="2889"/>
      <c r="G2010" s="2890"/>
      <c r="H2010" s="2891" t="str">
        <f>IFERROR(VLOOKUP(F2010,Trainingsarten!$A$9:$K$84,10,FALSE),"")</f>
        <v/>
      </c>
      <c r="I2010" s="2892" t="str">
        <f t="shared" si="492"/>
        <v/>
      </c>
      <c r="J2010" s="2893"/>
      <c r="K2010" s="2894" t="str">
        <f>IFERROR(VLOOKUP(F2010,Trainingsarten!$A$9:$K$84,11,FALSE),"0")</f>
        <v>0</v>
      </c>
      <c r="L2010" s="2816"/>
      <c r="M2010" s="2893"/>
      <c r="N2010" s="2895" t="str">
        <f t="shared" si="493"/>
        <v/>
      </c>
      <c r="O2010" s="2896"/>
      <c r="P2010" s="2897" t="str">
        <f>IFERROR(VLOOKUP(F2010,Trainingsarten!$A$9:$N$84,12,FALSE),"")</f>
        <v/>
      </c>
      <c r="Q2010" s="2898" t="s">
        <v>437</v>
      </c>
      <c r="R2010" s="2899" t="str">
        <f>IFERROR(VLOOKUP(F2010,Trainingsarten!$A$9:$N$84,14,FALSE),"")</f>
        <v/>
      </c>
      <c r="S2010" s="2845" t="str">
        <f t="shared" si="494"/>
        <v/>
      </c>
      <c r="T2010" s="2887">
        <f t="shared" si="495"/>
        <v>29.772038706052086</v>
      </c>
      <c r="U2010" s="2887">
        <f t="shared" si="496"/>
        <v>27.132790515093365</v>
      </c>
      <c r="V2010" s="2887">
        <f t="shared" si="497"/>
        <v>-6.939479263550492</v>
      </c>
      <c r="W2010" s="3284">
        <f t="shared" si="498"/>
        <v>1.0972715353214615</v>
      </c>
      <c r="X2010" s="3300"/>
      <c r="Y2010" s="3316"/>
      <c r="AA2010" s="3301"/>
      <c r="AB2010" s="3409"/>
    </row>
    <row r="2011" spans="1:28" ht="16" thickBot="1" x14ac:dyDescent="0.25">
      <c r="A2011" s="2936" t="s">
        <v>183</v>
      </c>
      <c r="B2011" s="3003">
        <f>IFERROR(SUM(M2005:M2011),"")</f>
        <v>96</v>
      </c>
      <c r="C2011" s="2576">
        <v>45109</v>
      </c>
      <c r="D2011" s="1788">
        <v>95</v>
      </c>
      <c r="E2011" s="1789" t="s">
        <v>835</v>
      </c>
      <c r="F2011" s="2763" t="s">
        <v>906</v>
      </c>
      <c r="G2011" s="2577">
        <v>4.8101851851851847E-2</v>
      </c>
      <c r="H2011" s="2578">
        <v>11.99</v>
      </c>
      <c r="I2011" s="2579">
        <f t="shared" si="492"/>
        <v>4.0118308466932312E-3</v>
      </c>
      <c r="J2011" s="2580">
        <v>136</v>
      </c>
      <c r="K2011" s="2581">
        <v>74</v>
      </c>
      <c r="L2011" s="2821">
        <v>208</v>
      </c>
      <c r="M2011" s="2580">
        <v>45</v>
      </c>
      <c r="N2011" s="2582">
        <f t="shared" si="493"/>
        <v>1.0760808136133344</v>
      </c>
      <c r="O2011" s="2583" t="s">
        <v>953</v>
      </c>
      <c r="P2011" s="2584">
        <f>IFERROR(VLOOKUP(F2011,Trainingsarten!$A$9:$N$84,12,FALSE),"")</f>
        <v>194.60000000000002</v>
      </c>
      <c r="Q2011" s="945" t="s">
        <v>437</v>
      </c>
      <c r="R2011" s="946">
        <f>IFERROR(VLOOKUP(F2011,Trainingsarten!$A$9:$N$84,14,FALSE),"")</f>
        <v>212.96</v>
      </c>
      <c r="S2011" s="2390">
        <f t="shared" si="494"/>
        <v>1.5294117647058822</v>
      </c>
      <c r="T2011" s="1788">
        <f t="shared" si="495"/>
        <v>36.090318890901791</v>
      </c>
      <c r="U2011" s="1788">
        <f t="shared" si="496"/>
        <v>28.248676455210191</v>
      </c>
      <c r="V2011" s="1788">
        <f t="shared" si="497"/>
        <v>-2.6392481909587211</v>
      </c>
      <c r="W2011" s="3293">
        <f t="shared" si="498"/>
        <v>1.2775932687722538</v>
      </c>
      <c r="X2011" s="3300"/>
      <c r="Y2011" s="3316"/>
      <c r="AA2011" s="3301"/>
      <c r="AB2011" s="3409"/>
    </row>
    <row r="2012" spans="1:28" ht="16" thickBot="1" x14ac:dyDescent="0.25">
      <c r="A2012" s="3439">
        <f>WEEKNUM(C2012,1)</f>
        <v>27</v>
      </c>
      <c r="B2012" s="3440"/>
      <c r="C2012" s="2585">
        <v>45110</v>
      </c>
      <c r="D2012" s="2586">
        <v>96</v>
      </c>
      <c r="E2012" s="2587" t="s">
        <v>836</v>
      </c>
      <c r="F2012" s="2761" t="s">
        <v>800</v>
      </c>
      <c r="G2012" s="2588">
        <v>2.5104166666666664E-2</v>
      </c>
      <c r="H2012" s="2589">
        <v>6.12</v>
      </c>
      <c r="I2012" s="2590">
        <f t="shared" si="492"/>
        <v>4.1019880174291935E-3</v>
      </c>
      <c r="J2012" s="2591">
        <v>117</v>
      </c>
      <c r="K2012" s="2592">
        <v>35</v>
      </c>
      <c r="L2012" s="2815">
        <v>199</v>
      </c>
      <c r="M2012" s="2591">
        <v>14</v>
      </c>
      <c r="N2012" s="2593">
        <f t="shared" si="493"/>
        <v>1.0526558384547848</v>
      </c>
      <c r="O2012" s="2594" t="s">
        <v>976</v>
      </c>
      <c r="P2012" s="1919">
        <f>IFERROR(VLOOKUP(F2012,Trainingsarten!$A$9:$N$84,12,FALSE),"")</f>
        <v>194.60000000000002</v>
      </c>
      <c r="Q2012" s="1069" t="s">
        <v>437</v>
      </c>
      <c r="R2012" s="2462">
        <f>IFERROR(VLOOKUP(F2012,Trainingsarten!$A$9:$N$84,14,FALSE),"")</f>
        <v>212.96</v>
      </c>
      <c r="S2012" s="2595">
        <f t="shared" si="494"/>
        <v>1.7008547008547008</v>
      </c>
      <c r="T2012" s="2586">
        <f t="shared" si="495"/>
        <v>35.934559049344394</v>
      </c>
      <c r="U2012" s="2586">
        <f t="shared" si="496"/>
        <v>28.409422253895663</v>
      </c>
      <c r="V2012" s="2586">
        <f t="shared" si="497"/>
        <v>-7.8416424356916004</v>
      </c>
      <c r="W2012" s="3283">
        <f t="shared" si="498"/>
        <v>1.2648817257949285</v>
      </c>
      <c r="X2012" s="3300"/>
      <c r="Y2012" s="3316"/>
      <c r="AA2012" s="3301"/>
      <c r="AB2012" s="3409"/>
    </row>
    <row r="2013" spans="1:28" x14ac:dyDescent="0.2">
      <c r="A2013" s="2934" t="s">
        <v>626</v>
      </c>
      <c r="B2013" s="3000">
        <f>SUM(H2012:H2018)</f>
        <v>37.880000000000003</v>
      </c>
      <c r="C2013" s="2596">
        <v>45111</v>
      </c>
      <c r="D2013" s="2597"/>
      <c r="E2013" s="2598"/>
      <c r="F2013" s="2759"/>
      <c r="G2013" s="2599"/>
      <c r="H2013" s="2600" t="str">
        <f>IFERROR(VLOOKUP(F2013,Trainingsarten!$A$9:$K$84,10,FALSE),"")</f>
        <v/>
      </c>
      <c r="I2013" s="2601" t="str">
        <f t="shared" si="492"/>
        <v/>
      </c>
      <c r="J2013" s="2602"/>
      <c r="K2013" s="2603" t="str">
        <f>IFERROR(VLOOKUP(F2013,Trainingsarten!$A$9:$K$84,11,FALSE),"0")</f>
        <v>0</v>
      </c>
      <c r="L2013" s="2816"/>
      <c r="M2013" s="2840"/>
      <c r="N2013" s="2604" t="str">
        <f t="shared" si="493"/>
        <v/>
      </c>
      <c r="O2013" s="2605"/>
      <c r="P2013" s="2606" t="str">
        <f>IFERROR(VLOOKUP(F2013,Trainingsarten!$A$9:$N$84,12,FALSE),"")</f>
        <v/>
      </c>
      <c r="Q2013" s="2607" t="s">
        <v>437</v>
      </c>
      <c r="R2013" s="2608" t="str">
        <f>IFERROR(VLOOKUP(F2013,Trainingsarten!$A$9:$N$84,14,FALSE),"")</f>
        <v/>
      </c>
      <c r="S2013" s="2609" t="str">
        <f t="shared" si="494"/>
        <v/>
      </c>
      <c r="T2013" s="2597">
        <f t="shared" si="495"/>
        <v>30.801050613723767</v>
      </c>
      <c r="U2013" s="2597">
        <f t="shared" si="496"/>
        <v>27.73300743832672</v>
      </c>
      <c r="V2013" s="2597">
        <f t="shared" si="497"/>
        <v>-7.5251367954487307</v>
      </c>
      <c r="W2013" s="3284">
        <f t="shared" si="498"/>
        <v>1.110627856795547</v>
      </c>
      <c r="X2013" s="3300"/>
      <c r="Y2013" s="3316"/>
      <c r="AA2013" s="3301"/>
      <c r="AB2013" s="3409"/>
    </row>
    <row r="2014" spans="1:28" x14ac:dyDescent="0.2">
      <c r="A2014" s="2935" t="s">
        <v>628</v>
      </c>
      <c r="B2014" s="3001">
        <f>SUM(K2012:K2018)</f>
        <v>232</v>
      </c>
      <c r="C2014" s="2596">
        <v>45112</v>
      </c>
      <c r="D2014" s="2597"/>
      <c r="E2014" s="2598"/>
      <c r="F2014" s="2759"/>
      <c r="G2014" s="2599"/>
      <c r="H2014" s="2600" t="str">
        <f>IFERROR(VLOOKUP(F2014,Trainingsarten!$A$9:$K$84,10,FALSE),"")</f>
        <v/>
      </c>
      <c r="I2014" s="2601" t="str">
        <f t="shared" si="492"/>
        <v/>
      </c>
      <c r="J2014" s="2602"/>
      <c r="K2014" s="2603" t="str">
        <f>IFERROR(VLOOKUP(F2014,Trainingsarten!$A$9:$K$84,11,FALSE),"0")</f>
        <v>0</v>
      </c>
      <c r="L2014" s="2816"/>
      <c r="M2014" s="2840"/>
      <c r="N2014" s="2604" t="str">
        <f t="shared" si="493"/>
        <v/>
      </c>
      <c r="O2014" s="2605"/>
      <c r="P2014" s="2606" t="str">
        <f>IFERROR(VLOOKUP(F2014,Trainingsarten!$A$9:$N$84,12,FALSE),"")</f>
        <v/>
      </c>
      <c r="Q2014" s="2607" t="s">
        <v>437</v>
      </c>
      <c r="R2014" s="2608" t="str">
        <f>IFERROR(VLOOKUP(F2014,Trainingsarten!$A$9:$N$84,14,FALSE),"")</f>
        <v/>
      </c>
      <c r="S2014" s="2609" t="str">
        <f t="shared" si="494"/>
        <v/>
      </c>
      <c r="T2014" s="2597">
        <f t="shared" si="495"/>
        <v>26.400900526048943</v>
      </c>
      <c r="U2014" s="2597">
        <f t="shared" si="496"/>
        <v>27.072697737414178</v>
      </c>
      <c r="V2014" s="2597">
        <f t="shared" si="497"/>
        <v>-3.0680431753970474</v>
      </c>
      <c r="W2014" s="3284">
        <f t="shared" si="498"/>
        <v>0.97518543523511447</v>
      </c>
      <c r="X2014" s="3300"/>
      <c r="Y2014" s="3316"/>
      <c r="AA2014" s="3301"/>
      <c r="AB2014" s="3409"/>
    </row>
    <row r="2015" spans="1:28" x14ac:dyDescent="0.2">
      <c r="A2015" s="2935" t="s">
        <v>761</v>
      </c>
      <c r="B2015" s="3002">
        <f>AVERAGE(W2012:W2018)</f>
        <v>1.1451810876326358</v>
      </c>
      <c r="C2015" s="2596">
        <v>45113</v>
      </c>
      <c r="D2015" s="2597">
        <v>97</v>
      </c>
      <c r="E2015" s="2598" t="s">
        <v>836</v>
      </c>
      <c r="F2015" s="2759" t="s">
        <v>977</v>
      </c>
      <c r="G2015" s="2599">
        <v>3.6493055555555549E-2</v>
      </c>
      <c r="H2015" s="2600">
        <v>10.31</v>
      </c>
      <c r="I2015" s="2601">
        <f t="shared" si="492"/>
        <v>3.5395786183856012E-3</v>
      </c>
      <c r="J2015" s="2602">
        <v>141</v>
      </c>
      <c r="K2015" s="2603">
        <v>72</v>
      </c>
      <c r="L2015" s="2816">
        <v>233</v>
      </c>
      <c r="M2015" s="2840">
        <v>20</v>
      </c>
      <c r="N2015" s="2604">
        <f t="shared" si="493"/>
        <v>1.0635218669021524</v>
      </c>
      <c r="O2015" s="2605" t="s">
        <v>821</v>
      </c>
      <c r="P2015" s="2606" t="str">
        <f>IFERROR(VLOOKUP(F2015,Trainingsarten!$A$9:$N$84,12,FALSE),"")</f>
        <v/>
      </c>
      <c r="Q2015" s="2607" t="s">
        <v>437</v>
      </c>
      <c r="R2015" s="2608" t="str">
        <f>IFERROR(VLOOKUP(F2015,Trainingsarten!$A$9:$N$84,14,FALSE),"")</f>
        <v/>
      </c>
      <c r="S2015" s="2609">
        <f t="shared" si="494"/>
        <v>1.6524822695035462</v>
      </c>
      <c r="T2015" s="2597">
        <f t="shared" si="495"/>
        <v>32.915057593756238</v>
      </c>
      <c r="U2015" s="2597">
        <f t="shared" si="496"/>
        <v>28.142395410332888</v>
      </c>
      <c r="V2015" s="2597">
        <f t="shared" si="497"/>
        <v>0.6717972113652344</v>
      </c>
      <c r="W2015" s="3284">
        <f t="shared" si="498"/>
        <v>1.1695897635519328</v>
      </c>
      <c r="X2015" s="3300"/>
      <c r="Y2015" s="3316"/>
      <c r="AA2015" s="3301"/>
      <c r="AB2015" s="3409"/>
    </row>
    <row r="2016" spans="1:28" x14ac:dyDescent="0.2">
      <c r="A2016" s="2935" t="s">
        <v>979</v>
      </c>
      <c r="B2016" s="3130">
        <f>IFERROR(AVERAGE(N2012:N2018),"")</f>
        <v>1.0608077313624418</v>
      </c>
      <c r="C2016" s="2596">
        <v>45114</v>
      </c>
      <c r="D2016" s="2597">
        <v>98</v>
      </c>
      <c r="E2016" s="2598" t="s">
        <v>836</v>
      </c>
      <c r="F2016" s="2775" t="s">
        <v>800</v>
      </c>
      <c r="G2016" s="2599">
        <v>2.4884259259259259E-2</v>
      </c>
      <c r="H2016" s="2600">
        <v>6.24</v>
      </c>
      <c r="I2016" s="2601">
        <f t="shared" si="492"/>
        <v>3.9878620607787275E-3</v>
      </c>
      <c r="J2016" s="2602">
        <v>124</v>
      </c>
      <c r="K2016" s="2603">
        <v>37</v>
      </c>
      <c r="L2016" s="2816">
        <v>205</v>
      </c>
      <c r="M2016" s="2840">
        <v>12</v>
      </c>
      <c r="N2016" s="2604">
        <f t="shared" si="493"/>
        <v>1.0542240719479528</v>
      </c>
      <c r="O2016" s="2605" t="s">
        <v>976</v>
      </c>
      <c r="P2016" s="2606">
        <f>IFERROR(VLOOKUP(F2016,Trainingsarten!$A$9:$N$84,12,FALSE),"")</f>
        <v>194.60000000000002</v>
      </c>
      <c r="Q2016" s="2607" t="s">
        <v>437</v>
      </c>
      <c r="R2016" s="2608">
        <f>IFERROR(VLOOKUP(F2016,Trainingsarten!$A$9:$N$84,14,FALSE),"")</f>
        <v>212.96</v>
      </c>
      <c r="S2016" s="2609">
        <f t="shared" si="494"/>
        <v>1.653225806451613</v>
      </c>
      <c r="T2016" s="2597">
        <f t="shared" si="495"/>
        <v>33.498620794648204</v>
      </c>
      <c r="U2016" s="2597">
        <f t="shared" si="496"/>
        <v>28.353290757705913</v>
      </c>
      <c r="V2016" s="2597">
        <f t="shared" si="497"/>
        <v>-4.7726621834233498</v>
      </c>
      <c r="W2016" s="3284">
        <f t="shared" si="498"/>
        <v>1.1814720584256655</v>
      </c>
      <c r="X2016" s="3300"/>
      <c r="Y2016" s="3316"/>
      <c r="AA2016" s="3301"/>
      <c r="AB2016" s="3409"/>
    </row>
    <row r="2017" spans="1:28" x14ac:dyDescent="0.2">
      <c r="A2017" s="2935" t="s">
        <v>980</v>
      </c>
      <c r="B2017" s="3002">
        <f>IFERROR(AVERAGE(S2012:S2018),"")</f>
        <v>1.6344531942024649</v>
      </c>
      <c r="C2017" s="2886">
        <v>45115</v>
      </c>
      <c r="D2017" s="2887"/>
      <c r="E2017" s="2888"/>
      <c r="F2017" s="2889"/>
      <c r="G2017" s="2890"/>
      <c r="H2017" s="2600" t="str">
        <f>IFERROR(VLOOKUP(F2017,Trainingsarten!$A$9:$K$84,10,FALSE),"")</f>
        <v/>
      </c>
      <c r="I2017" s="2892" t="str">
        <f t="shared" si="492"/>
        <v/>
      </c>
      <c r="J2017" s="2893"/>
      <c r="K2017" s="2894" t="str">
        <f>IFERROR(VLOOKUP(F2017,Trainingsarten!$A$9:$K$84,11,FALSE),"0")</f>
        <v>0</v>
      </c>
      <c r="L2017" s="2816"/>
      <c r="M2017" s="2893"/>
      <c r="N2017" s="2895" t="str">
        <f t="shared" si="493"/>
        <v/>
      </c>
      <c r="O2017" s="2896"/>
      <c r="P2017" s="2897" t="str">
        <f>IFERROR(VLOOKUP(F2017,Trainingsarten!$A$9:$N$84,12,FALSE),"")</f>
        <v/>
      </c>
      <c r="Q2017" s="2898" t="s">
        <v>437</v>
      </c>
      <c r="R2017" s="2899" t="str">
        <f>IFERROR(VLOOKUP(F2017,Trainingsarten!$A$9:$N$84,14,FALSE),"")</f>
        <v/>
      </c>
      <c r="S2017" s="2845" t="str">
        <f t="shared" si="494"/>
        <v/>
      </c>
      <c r="T2017" s="2887">
        <f t="shared" si="495"/>
        <v>28.713103538269891</v>
      </c>
      <c r="U2017" s="2887">
        <f t="shared" si="496"/>
        <v>27.678212406331962</v>
      </c>
      <c r="V2017" s="2887">
        <f t="shared" si="497"/>
        <v>-5.1453300369422905</v>
      </c>
      <c r="W2017" s="3284">
        <f t="shared" si="498"/>
        <v>1.0373901000810724</v>
      </c>
      <c r="X2017" s="3300"/>
      <c r="Y2017" s="3316"/>
      <c r="AA2017" s="3301"/>
      <c r="AB2017" s="3409"/>
    </row>
    <row r="2018" spans="1:28" ht="16" thickBot="1" x14ac:dyDescent="0.25">
      <c r="A2018" s="2936" t="s">
        <v>183</v>
      </c>
      <c r="B2018" s="3003">
        <f>IFERROR(SUM(M2012:M2018),"")</f>
        <v>89</v>
      </c>
      <c r="C2018" s="2576">
        <v>45116</v>
      </c>
      <c r="D2018" s="1788">
        <v>99</v>
      </c>
      <c r="E2018" s="1789" t="s">
        <v>835</v>
      </c>
      <c r="F2018" s="2763" t="s">
        <v>809</v>
      </c>
      <c r="G2018" s="2577">
        <v>6.4560185185185193E-2</v>
      </c>
      <c r="H2018" s="2600">
        <v>15.21</v>
      </c>
      <c r="I2018" s="2579">
        <f t="shared" si="492"/>
        <v>4.2445881121094802E-3</v>
      </c>
      <c r="J2018" s="2580">
        <v>128</v>
      </c>
      <c r="K2018" s="2581">
        <v>88</v>
      </c>
      <c r="L2018" s="2821">
        <v>196</v>
      </c>
      <c r="M2018" s="2580">
        <v>43</v>
      </c>
      <c r="N2018" s="2582">
        <f t="shared" si="493"/>
        <v>1.0728291481448775</v>
      </c>
      <c r="O2018" s="2583" t="s">
        <v>953</v>
      </c>
      <c r="P2018" s="2584">
        <f>IFERROR(VLOOKUP(F2018,Trainingsarten!$A$9:$N$84,12,FALSE),"")</f>
        <v>194.60000000000002</v>
      </c>
      <c r="Q2018" s="945" t="s">
        <v>437</v>
      </c>
      <c r="R2018" s="946">
        <f>IFERROR(VLOOKUP(F2018,Trainingsarten!$A$9:$N$84,14,FALSE),"")</f>
        <v>212.96</v>
      </c>
      <c r="S2018" s="2390">
        <f t="shared" si="494"/>
        <v>1.53125</v>
      </c>
      <c r="T2018" s="1788">
        <f t="shared" si="495"/>
        <v>37.182660175659905</v>
      </c>
      <c r="U2018" s="1788">
        <f t="shared" si="496"/>
        <v>29.114445444276438</v>
      </c>
      <c r="V2018" s="1788">
        <f t="shared" si="497"/>
        <v>-1.034891131937929</v>
      </c>
      <c r="W2018" s="3293">
        <f t="shared" si="498"/>
        <v>1.2771206735441902</v>
      </c>
      <c r="X2018" s="3300"/>
      <c r="Y2018" s="3316"/>
      <c r="AA2018" s="3301"/>
      <c r="AB2018" s="3409"/>
    </row>
    <row r="2019" spans="1:28" ht="16" thickBot="1" x14ac:dyDescent="0.25">
      <c r="A2019" s="3439">
        <f>WEEKNUM(C2019,1)</f>
        <v>28</v>
      </c>
      <c r="B2019" s="3440"/>
      <c r="C2019" s="2585">
        <v>45117</v>
      </c>
      <c r="D2019" s="2586">
        <v>100</v>
      </c>
      <c r="E2019" s="2587" t="s">
        <v>836</v>
      </c>
      <c r="F2019" s="2761" t="s">
        <v>943</v>
      </c>
      <c r="G2019" s="2588">
        <v>2.9270833333333333E-2</v>
      </c>
      <c r="H2019" s="2589">
        <v>7.43</v>
      </c>
      <c r="I2019" s="2590">
        <f t="shared" si="492"/>
        <v>3.93954688200987E-3</v>
      </c>
      <c r="J2019" s="2591">
        <v>122</v>
      </c>
      <c r="K2019" s="2592">
        <v>45</v>
      </c>
      <c r="L2019" s="2815">
        <v>209</v>
      </c>
      <c r="M2019" s="2591">
        <v>17</v>
      </c>
      <c r="N2019" s="2593">
        <f t="shared" si="493"/>
        <v>1.0617725638295734</v>
      </c>
      <c r="O2019" s="2594" t="s">
        <v>1462</v>
      </c>
      <c r="P2019" s="1919">
        <f>IFERROR(VLOOKUP(F2019,Trainingsarten!$A$9:$N$84,12,FALSE),"")</f>
        <v>194.60000000000002</v>
      </c>
      <c r="Q2019" s="1069" t="s">
        <v>437</v>
      </c>
      <c r="R2019" s="2462">
        <f>IFERROR(VLOOKUP(F2019,Trainingsarten!$A$9:$N$84,14,FALSE),"")</f>
        <v>212.96</v>
      </c>
      <c r="S2019" s="2595">
        <f t="shared" si="494"/>
        <v>1.7131147540983607</v>
      </c>
      <c r="T2019" s="2586">
        <f t="shared" si="495"/>
        <v>38.299423007708491</v>
      </c>
      <c r="U2019" s="2586">
        <f t="shared" si="496"/>
        <v>29.492672933698426</v>
      </c>
      <c r="V2019" s="2586">
        <f t="shared" si="497"/>
        <v>-8.0682147313834669</v>
      </c>
      <c r="W2019" s="3283">
        <f t="shared" si="498"/>
        <v>1.2986080676311791</v>
      </c>
      <c r="X2019" s="3300"/>
      <c r="Y2019" s="3316"/>
      <c r="AA2019" s="3301"/>
      <c r="AB2019" s="3409"/>
    </row>
    <row r="2020" spans="1:28" x14ac:dyDescent="0.2">
      <c r="A2020" s="2934" t="s">
        <v>626</v>
      </c>
      <c r="B2020" s="3000">
        <f>SUM(H2019:H2025)</f>
        <v>44.36</v>
      </c>
      <c r="C2020" s="2596">
        <v>45118</v>
      </c>
      <c r="D2020" s="2597">
        <v>101</v>
      </c>
      <c r="E2020" s="2598" t="s">
        <v>836</v>
      </c>
      <c r="F2020" s="2759" t="s">
        <v>800</v>
      </c>
      <c r="G2020" s="2599">
        <v>2.8807870370370373E-2</v>
      </c>
      <c r="H2020" s="2600">
        <v>6.96</v>
      </c>
      <c r="I2020" s="2601">
        <f t="shared" si="492"/>
        <v>4.1390618348233297E-3</v>
      </c>
      <c r="J2020" s="2602">
        <v>120</v>
      </c>
      <c r="K2020" s="2603">
        <v>39</v>
      </c>
      <c r="L2020" s="2816">
        <v>196</v>
      </c>
      <c r="M2020" s="2840">
        <v>15</v>
      </c>
      <c r="N2020" s="2604">
        <f t="shared" si="493"/>
        <v>1.0461571453079432</v>
      </c>
      <c r="O2020" s="2605" t="s">
        <v>976</v>
      </c>
      <c r="P2020" s="2606">
        <f>IFERROR(VLOOKUP(F2020,Trainingsarten!$A$9:$N$84,12,FALSE),"")</f>
        <v>194.60000000000002</v>
      </c>
      <c r="Q2020" s="2607" t="s">
        <v>437</v>
      </c>
      <c r="R2020" s="2608">
        <f>IFERROR(VLOOKUP(F2020,Trainingsarten!$A$9:$N$84,14,FALSE),"")</f>
        <v>212.96</v>
      </c>
      <c r="S2020" s="2609">
        <f t="shared" si="494"/>
        <v>1.6333333333333333</v>
      </c>
      <c r="T2020" s="2597">
        <f t="shared" si="495"/>
        <v>38.399505435178703</v>
      </c>
      <c r="U2020" s="2597">
        <f t="shared" si="496"/>
        <v>29.719037863848463</v>
      </c>
      <c r="V2020" s="2597">
        <f t="shared" si="497"/>
        <v>-8.8067500740100648</v>
      </c>
      <c r="W2020" s="3284">
        <f t="shared" si="498"/>
        <v>1.2920844076816342</v>
      </c>
      <c r="X2020" s="3300"/>
      <c r="Y2020" s="3316"/>
      <c r="AA2020" s="3301"/>
      <c r="AB2020" s="3409"/>
    </row>
    <row r="2021" spans="1:28" x14ac:dyDescent="0.2">
      <c r="A2021" s="2935" t="s">
        <v>628</v>
      </c>
      <c r="B2021" s="3001">
        <f>SUM(K2019:K2025)</f>
        <v>265</v>
      </c>
      <c r="C2021" s="2596">
        <v>45119</v>
      </c>
      <c r="D2021" s="2597"/>
      <c r="E2021" s="2598"/>
      <c r="F2021" s="2759"/>
      <c r="G2021" s="2599"/>
      <c r="H2021" s="2600" t="str">
        <f>IFERROR(VLOOKUP(F2021,Trainingsarten!$A$9:$K$84,10,FALSE),"")</f>
        <v/>
      </c>
      <c r="I2021" s="2601" t="str">
        <f t="shared" si="492"/>
        <v/>
      </c>
      <c r="J2021" s="2602"/>
      <c r="K2021" s="2603" t="str">
        <f>IFERROR(VLOOKUP(F2021,Trainingsarten!$A$9:$K$84,11,FALSE),"0")</f>
        <v>0</v>
      </c>
      <c r="L2021" s="2816"/>
      <c r="M2021" s="2840"/>
      <c r="N2021" s="2604" t="str">
        <f t="shared" si="493"/>
        <v/>
      </c>
      <c r="O2021" s="2605"/>
      <c r="P2021" s="2606" t="str">
        <f>IFERROR(VLOOKUP(F2021,Trainingsarten!$A$9:$N$84,12,FALSE),"")</f>
        <v/>
      </c>
      <c r="Q2021" s="2607" t="s">
        <v>437</v>
      </c>
      <c r="R2021" s="2608" t="str">
        <f>IFERROR(VLOOKUP(F2021,Trainingsarten!$A$9:$N$84,14,FALSE),"")</f>
        <v/>
      </c>
      <c r="S2021" s="2609" t="str">
        <f t="shared" si="494"/>
        <v/>
      </c>
      <c r="T2021" s="2597">
        <f t="shared" si="495"/>
        <v>32.913861801581746</v>
      </c>
      <c r="U2021" s="2597">
        <f t="shared" si="496"/>
        <v>29.011441724233023</v>
      </c>
      <c r="V2021" s="2597">
        <f t="shared" si="497"/>
        <v>-8.6804675713302402</v>
      </c>
      <c r="W2021" s="3284">
        <f t="shared" si="498"/>
        <v>1.1345131384521667</v>
      </c>
      <c r="X2021" s="3300"/>
      <c r="Y2021" s="3316"/>
      <c r="AA2021" s="3301"/>
      <c r="AB2021" s="3409"/>
    </row>
    <row r="2022" spans="1:28" x14ac:dyDescent="0.2">
      <c r="A2022" s="2935" t="s">
        <v>761</v>
      </c>
      <c r="B2022" s="3002">
        <f>AVERAGE(W2019:W2025)</f>
        <v>1.2133065589205183</v>
      </c>
      <c r="C2022" s="2596">
        <v>45120</v>
      </c>
      <c r="D2022" s="2597">
        <v>102</v>
      </c>
      <c r="E2022" s="2598" t="s">
        <v>836</v>
      </c>
      <c r="F2022" s="2759" t="s">
        <v>943</v>
      </c>
      <c r="G2022" s="2599">
        <v>3.0555555555555555E-2</v>
      </c>
      <c r="H2022" s="2600">
        <v>8.06</v>
      </c>
      <c r="I2022" s="2601">
        <f t="shared" ref="I2022:I2085" si="499">IFERROR(G2022/H2022,"")</f>
        <v>3.7910118555279843E-3</v>
      </c>
      <c r="J2022" s="2602">
        <v>130</v>
      </c>
      <c r="K2022" s="2603">
        <v>52</v>
      </c>
      <c r="L2022" s="2816">
        <v>220</v>
      </c>
      <c r="M2022" s="2840">
        <v>14</v>
      </c>
      <c r="N2022" s="2604">
        <f t="shared" ref="N2022:N2085" si="500">IFERROR((L2022/67)/(1/(I2022*24)/3.6),"")</f>
        <v>1.0755157216399394</v>
      </c>
      <c r="O2022" s="2605" t="s">
        <v>1462</v>
      </c>
      <c r="P2022" s="2606">
        <f>IFERROR(VLOOKUP(F2022,Trainingsarten!$A$9:$N$84,12,FALSE),"")</f>
        <v>194.60000000000002</v>
      </c>
      <c r="Q2022" s="2607" t="s">
        <v>437</v>
      </c>
      <c r="R2022" s="2608">
        <f>IFERROR(VLOOKUP(F2022,Trainingsarten!$A$9:$N$84,14,FALSE),"")</f>
        <v>212.96</v>
      </c>
      <c r="S2022" s="2609">
        <f t="shared" ref="S2022:S2085" si="501">IFERROR(L2022/J2022,"")</f>
        <v>1.6923076923076923</v>
      </c>
      <c r="T2022" s="2597">
        <f t="shared" ref="T2022:T2085" si="502">T2021+(K2022-T2021)/7</f>
        <v>35.640452972784352</v>
      </c>
      <c r="U2022" s="2597">
        <f t="shared" ref="U2022:U2085" si="503">U2021+(K2022-U2021)/42</f>
        <v>29.558788349846523</v>
      </c>
      <c r="V2022" s="2597">
        <f t="shared" ref="V2022:V2085" si="504">U2021-T2021</f>
        <v>-3.9024200773487223</v>
      </c>
      <c r="W2022" s="3284">
        <f t="shared" ref="W2022:W2085" si="505">T2022/U2022</f>
        <v>1.2057481027624533</v>
      </c>
      <c r="X2022" s="3300"/>
      <c r="Y2022" s="3316"/>
      <c r="AA2022" s="3301"/>
      <c r="AB2022" s="3409"/>
    </row>
    <row r="2023" spans="1:28" x14ac:dyDescent="0.2">
      <c r="A2023" s="2935" t="s">
        <v>979</v>
      </c>
      <c r="B2023" s="3130">
        <f>IFERROR(AVERAGE(N2019:N2025),"")</f>
        <v>1.0612552500262977</v>
      </c>
      <c r="C2023" s="2596">
        <v>45121</v>
      </c>
      <c r="D2023" s="2597">
        <v>103</v>
      </c>
      <c r="E2023" s="2598" t="s">
        <v>836</v>
      </c>
      <c r="F2023" s="2775" t="s">
        <v>943</v>
      </c>
      <c r="G2023" s="2599">
        <v>2.6840277777777779E-2</v>
      </c>
      <c r="H2023" s="2600">
        <v>6.61</v>
      </c>
      <c r="I2023" s="2601">
        <f t="shared" si="499"/>
        <v>4.0605563960329468E-3</v>
      </c>
      <c r="J2023" s="2602">
        <v>117</v>
      </c>
      <c r="K2023" s="2603">
        <v>38</v>
      </c>
      <c r="L2023" s="2816">
        <v>201</v>
      </c>
      <c r="M2023" s="2840">
        <v>13</v>
      </c>
      <c r="N2023" s="2604">
        <f t="shared" si="500"/>
        <v>1.0524962178517399</v>
      </c>
      <c r="O2023" s="2605" t="s">
        <v>958</v>
      </c>
      <c r="P2023" s="2606">
        <f>IFERROR(VLOOKUP(F2023,Trainingsarten!$A$9:$N$84,12,FALSE),"")</f>
        <v>194.60000000000002</v>
      </c>
      <c r="Q2023" s="2607" t="s">
        <v>437</v>
      </c>
      <c r="R2023" s="2608">
        <f>IFERROR(VLOOKUP(F2023,Trainingsarten!$A$9:$N$84,14,FALSE),"")</f>
        <v>212.96</v>
      </c>
      <c r="S2023" s="2609">
        <f t="shared" si="501"/>
        <v>1.7179487179487178</v>
      </c>
      <c r="T2023" s="2597">
        <f t="shared" si="502"/>
        <v>35.977531119529445</v>
      </c>
      <c r="U2023" s="2597">
        <f t="shared" si="503"/>
        <v>29.759769579612083</v>
      </c>
      <c r="V2023" s="2597">
        <f t="shared" si="504"/>
        <v>-6.0816646229378293</v>
      </c>
      <c r="W2023" s="3284">
        <f t="shared" si="505"/>
        <v>1.2089317769508889</v>
      </c>
      <c r="X2023" s="3300"/>
      <c r="Y2023" s="3316"/>
      <c r="AA2023" s="3301"/>
      <c r="AB2023" s="3409"/>
    </row>
    <row r="2024" spans="1:28" x14ac:dyDescent="0.2">
      <c r="A2024" s="2935" t="s">
        <v>980</v>
      </c>
      <c r="B2024" s="3002">
        <f>IFERROR(AVERAGE(S2019:S2025),"")</f>
        <v>1.663840899537621</v>
      </c>
      <c r="C2024" s="2886">
        <v>45122</v>
      </c>
      <c r="D2024" s="2887"/>
      <c r="E2024" s="2888"/>
      <c r="F2024" s="2889"/>
      <c r="G2024" s="2890"/>
      <c r="H2024" s="2891" t="str">
        <f>IFERROR(VLOOKUP(F2024,Trainingsarten!$A$9:$K$84,10,FALSE),"")</f>
        <v/>
      </c>
      <c r="I2024" s="2892" t="str">
        <f t="shared" si="499"/>
        <v/>
      </c>
      <c r="J2024" s="2893"/>
      <c r="K2024" s="2894" t="str">
        <f>IFERROR(VLOOKUP(F2024,Trainingsarten!$A$9:$K$84,11,FALSE),"0")</f>
        <v>0</v>
      </c>
      <c r="L2024" s="2816"/>
      <c r="M2024" s="2893"/>
      <c r="N2024" s="2895" t="str">
        <f t="shared" si="500"/>
        <v/>
      </c>
      <c r="O2024" s="2896"/>
      <c r="P2024" s="2897" t="str">
        <f>IFERROR(VLOOKUP(F2024,Trainingsarten!$A$9:$N$84,12,FALSE),"")</f>
        <v/>
      </c>
      <c r="Q2024" s="2898" t="s">
        <v>437</v>
      </c>
      <c r="R2024" s="2899" t="str">
        <f>IFERROR(VLOOKUP(F2024,Trainingsarten!$A$9:$N$84,14,FALSE),"")</f>
        <v/>
      </c>
      <c r="S2024" s="2845" t="str">
        <f t="shared" si="501"/>
        <v/>
      </c>
      <c r="T2024" s="2887">
        <f t="shared" si="502"/>
        <v>30.837883816739524</v>
      </c>
      <c r="U2024" s="2887">
        <f t="shared" si="503"/>
        <v>29.051203637240366</v>
      </c>
      <c r="V2024" s="2887">
        <f t="shared" si="504"/>
        <v>-6.2177615399173618</v>
      </c>
      <c r="W2024" s="3284">
        <f t="shared" si="505"/>
        <v>1.0615010724446829</v>
      </c>
      <c r="X2024" s="3300"/>
      <c r="Y2024" s="3316"/>
      <c r="AA2024" s="3301"/>
      <c r="AB2024" s="3409"/>
    </row>
    <row r="2025" spans="1:28" ht="16" thickBot="1" x14ac:dyDescent="0.25">
      <c r="A2025" s="2936" t="s">
        <v>183</v>
      </c>
      <c r="B2025" s="3003">
        <f>IFERROR(SUM(M2019:M2025),"")</f>
        <v>113</v>
      </c>
      <c r="C2025" s="2576">
        <v>45123</v>
      </c>
      <c r="D2025" s="1788">
        <v>104</v>
      </c>
      <c r="E2025" s="3083" t="s">
        <v>835</v>
      </c>
      <c r="F2025" s="2763" t="s">
        <v>809</v>
      </c>
      <c r="G2025" s="3086">
        <v>6.3495370370370369E-2</v>
      </c>
      <c r="H2025" s="2891">
        <v>15.3</v>
      </c>
      <c r="I2025" s="2579">
        <f t="shared" si="499"/>
        <v>4.1500242072137492E-3</v>
      </c>
      <c r="J2025" s="2580">
        <v>128</v>
      </c>
      <c r="K2025" s="2581">
        <v>91</v>
      </c>
      <c r="L2025" s="2821">
        <v>200</v>
      </c>
      <c r="M2025" s="2580">
        <v>54</v>
      </c>
      <c r="N2025" s="2582">
        <f t="shared" si="500"/>
        <v>1.0703346015022925</v>
      </c>
      <c r="O2025" s="2583" t="s">
        <v>953</v>
      </c>
      <c r="P2025" s="2584">
        <f>IFERROR(VLOOKUP(F2025,Trainingsarten!$A$9:$N$84,12,FALSE),"")</f>
        <v>194.60000000000002</v>
      </c>
      <c r="Q2025" s="945" t="s">
        <v>437</v>
      </c>
      <c r="R2025" s="946">
        <f>IFERROR(VLOOKUP(F2025,Trainingsarten!$A$9:$N$84,14,FALSE),"")</f>
        <v>212.96</v>
      </c>
      <c r="S2025" s="2390">
        <f t="shared" si="501"/>
        <v>1.5625</v>
      </c>
      <c r="T2025" s="1788">
        <f t="shared" si="502"/>
        <v>39.43247184291959</v>
      </c>
      <c r="U2025" s="1788">
        <f t="shared" si="503"/>
        <v>30.526174979210833</v>
      </c>
      <c r="V2025" s="1788">
        <f t="shared" si="504"/>
        <v>-1.7866801794991574</v>
      </c>
      <c r="W2025" s="3293">
        <f t="shared" si="505"/>
        <v>1.2917593465206234</v>
      </c>
      <c r="X2025" s="3300"/>
      <c r="Y2025" s="3316"/>
      <c r="AA2025" s="3301"/>
      <c r="AB2025" s="3409"/>
    </row>
    <row r="2026" spans="1:28" ht="16" thickBot="1" x14ac:dyDescent="0.25">
      <c r="A2026" s="3439">
        <f>WEEKNUM(C2026,1)</f>
        <v>29</v>
      </c>
      <c r="B2026" s="3440"/>
      <c r="C2026" s="2585">
        <v>45124</v>
      </c>
      <c r="D2026" s="2586">
        <v>105</v>
      </c>
      <c r="E2026" s="3084" t="s">
        <v>836</v>
      </c>
      <c r="F2026" s="2761" t="s">
        <v>800</v>
      </c>
      <c r="G2026" s="3087">
        <v>2.7118055555555552E-2</v>
      </c>
      <c r="H2026" s="2589">
        <v>6.55</v>
      </c>
      <c r="I2026" s="2590">
        <f t="shared" si="499"/>
        <v>4.1401611535199319E-3</v>
      </c>
      <c r="J2026" s="2591">
        <v>118</v>
      </c>
      <c r="K2026" s="2592">
        <v>36</v>
      </c>
      <c r="L2026" s="2815">
        <v>195</v>
      </c>
      <c r="M2026" s="2591">
        <v>11</v>
      </c>
      <c r="N2026" s="2593">
        <f t="shared" si="500"/>
        <v>1.0410960464851315</v>
      </c>
      <c r="O2026" s="2594" t="s">
        <v>976</v>
      </c>
      <c r="P2026" s="1919">
        <f>IFERROR(VLOOKUP(F2026,Trainingsarten!$A$9:$N$84,12,FALSE),"")</f>
        <v>194.60000000000002</v>
      </c>
      <c r="Q2026" s="1069" t="s">
        <v>437</v>
      </c>
      <c r="R2026" s="2462">
        <f>IFERROR(VLOOKUP(F2026,Trainingsarten!$A$9:$N$84,14,FALSE),"")</f>
        <v>212.96</v>
      </c>
      <c r="S2026" s="2595">
        <f t="shared" si="501"/>
        <v>1.652542372881356</v>
      </c>
      <c r="T2026" s="2586">
        <f t="shared" si="502"/>
        <v>38.942118722502507</v>
      </c>
      <c r="U2026" s="2586">
        <f t="shared" si="503"/>
        <v>30.65650414637248</v>
      </c>
      <c r="V2026" s="2586">
        <f t="shared" si="504"/>
        <v>-8.9062968637087572</v>
      </c>
      <c r="W2026" s="3283">
        <f t="shared" si="505"/>
        <v>1.2702726487198133</v>
      </c>
      <c r="X2026" s="3300"/>
      <c r="Y2026" s="3316"/>
      <c r="AA2026" s="3301"/>
      <c r="AB2026" s="3409"/>
    </row>
    <row r="2027" spans="1:28" ht="16" thickBot="1" x14ac:dyDescent="0.25">
      <c r="A2027" s="2934" t="s">
        <v>626</v>
      </c>
      <c r="B2027" s="3000">
        <f>SUM(H2026:H2032)</f>
        <v>35.11</v>
      </c>
      <c r="C2027" s="2596">
        <v>45125</v>
      </c>
      <c r="D2027" s="2597"/>
      <c r="E2027" s="3085"/>
      <c r="F2027" s="2759"/>
      <c r="G2027" s="3088"/>
      <c r="H2027" s="2600" t="str">
        <f>IFERROR(VLOOKUP(F2027,Trainingsarten!$A$9:$K$84,10,FALSE),"")</f>
        <v/>
      </c>
      <c r="I2027" s="2601" t="str">
        <f t="shared" si="499"/>
        <v/>
      </c>
      <c r="J2027" s="2602"/>
      <c r="K2027" s="2603" t="str">
        <f>IFERROR(VLOOKUP(F2027,Trainingsarten!$A$9:$K$84,11,FALSE),"0")</f>
        <v>0</v>
      </c>
      <c r="L2027" s="2816"/>
      <c r="M2027" s="2840"/>
      <c r="N2027" s="2604" t="str">
        <f t="shared" si="500"/>
        <v/>
      </c>
      <c r="O2027" s="2605"/>
      <c r="P2027" s="2606" t="str">
        <f>IFERROR(VLOOKUP(F2027,Trainingsarten!$A$9:$N$84,12,FALSE),"")</f>
        <v/>
      </c>
      <c r="Q2027" s="2607" t="s">
        <v>437</v>
      </c>
      <c r="R2027" s="2608" t="str">
        <f>IFERROR(VLOOKUP(F2027,Trainingsarten!$A$9:$N$84,14,FALSE),"")</f>
        <v/>
      </c>
      <c r="S2027" s="2609" t="str">
        <f t="shared" si="501"/>
        <v/>
      </c>
      <c r="T2027" s="2597">
        <f t="shared" si="502"/>
        <v>33.37895890500215</v>
      </c>
      <c r="U2027" s="2597">
        <f t="shared" si="503"/>
        <v>29.92658738098266</v>
      </c>
      <c r="V2027" s="2597">
        <f t="shared" si="504"/>
        <v>-8.2856145761300262</v>
      </c>
      <c r="W2027" s="3284">
        <f t="shared" si="505"/>
        <v>1.1153613500954458</v>
      </c>
      <c r="X2027" s="3300"/>
      <c r="Y2027" s="3316"/>
      <c r="AA2027" s="3301"/>
      <c r="AB2027" s="3409"/>
    </row>
    <row r="2028" spans="1:28" x14ac:dyDescent="0.2">
      <c r="A2028" s="2935" t="s">
        <v>628</v>
      </c>
      <c r="B2028" s="3001">
        <f>SUM(K2026:K2032)</f>
        <v>215</v>
      </c>
      <c r="C2028" s="2596">
        <v>45126</v>
      </c>
      <c r="D2028" s="2597"/>
      <c r="E2028" s="3085"/>
      <c r="F2028" s="3062"/>
      <c r="G2028" s="3088"/>
      <c r="H2028" s="2600" t="str">
        <f>IFERROR(VLOOKUP(F2028,Trainingsarten!$A$9:$K$84,10,FALSE),"")</f>
        <v/>
      </c>
      <c r="I2028" s="2601" t="str">
        <f t="shared" si="499"/>
        <v/>
      </c>
      <c r="J2028" s="2602"/>
      <c r="K2028" s="2603" t="str">
        <f>IFERROR(VLOOKUP(F2028,Trainingsarten!$A$9:$K$84,11,FALSE),"0")</f>
        <v>0</v>
      </c>
      <c r="L2028" s="2816"/>
      <c r="M2028" s="2840"/>
      <c r="N2028" s="2604" t="str">
        <f t="shared" si="500"/>
        <v/>
      </c>
      <c r="O2028" s="2605"/>
      <c r="P2028" s="2606" t="str">
        <f>IFERROR(VLOOKUP(F2028,Trainingsarten!$A$9:$N$84,12,FALSE),"")</f>
        <v/>
      </c>
      <c r="Q2028" s="2607" t="s">
        <v>437</v>
      </c>
      <c r="R2028" s="2608" t="str">
        <f>IFERROR(VLOOKUP(F2028,Trainingsarten!$A$9:$N$84,14,FALSE),"")</f>
        <v/>
      </c>
      <c r="S2028" s="2609" t="str">
        <f t="shared" si="501"/>
        <v/>
      </c>
      <c r="T2028" s="2597">
        <f t="shared" si="502"/>
        <v>28.610536204287556</v>
      </c>
      <c r="U2028" s="2597">
        <f t="shared" si="503"/>
        <v>29.214049586197358</v>
      </c>
      <c r="V2028" s="2597">
        <f t="shared" si="504"/>
        <v>-3.4523715240194903</v>
      </c>
      <c r="W2028" s="3284">
        <f t="shared" si="505"/>
        <v>0.97934167325453769</v>
      </c>
      <c r="X2028" s="3300"/>
      <c r="Y2028" s="3316"/>
      <c r="AA2028" s="3301"/>
      <c r="AB2028" s="3409"/>
    </row>
    <row r="2029" spans="1:28" x14ac:dyDescent="0.2">
      <c r="A2029" s="2935" t="s">
        <v>761</v>
      </c>
      <c r="B2029" s="3002">
        <f>AVERAGE(W2026:W2032)</f>
        <v>1.0971939969207267</v>
      </c>
      <c r="C2029" s="2596">
        <v>45127</v>
      </c>
      <c r="D2029" s="2597">
        <v>106</v>
      </c>
      <c r="E2029" s="3085" t="s">
        <v>835</v>
      </c>
      <c r="F2029" s="3063" t="s">
        <v>1466</v>
      </c>
      <c r="G2029" s="3088">
        <v>2.6458333333333334E-2</v>
      </c>
      <c r="H2029" s="2600">
        <v>5.98</v>
      </c>
      <c r="I2029" s="2601">
        <f t="shared" si="499"/>
        <v>4.4244704570791521E-3</v>
      </c>
      <c r="J2029" s="2602">
        <v>116</v>
      </c>
      <c r="K2029" s="2603">
        <v>34</v>
      </c>
      <c r="L2029" s="2816">
        <v>186</v>
      </c>
      <c r="M2029" s="2840">
        <v>17</v>
      </c>
      <c r="N2029" s="2604">
        <f t="shared" si="500"/>
        <v>1.0612389557230568</v>
      </c>
      <c r="O2029" s="2605" t="s">
        <v>1462</v>
      </c>
      <c r="P2029" s="2606">
        <f>IFERROR(VLOOKUP(F2029,Trainingsarten!$A$9:$N$84,12,FALSE),"")</f>
        <v>194.60000000000002</v>
      </c>
      <c r="Q2029" s="2607" t="s">
        <v>437</v>
      </c>
      <c r="R2029" s="2608">
        <f>IFERROR(VLOOKUP(F2029,Trainingsarten!$A$9:$N$84,14,FALSE),"")</f>
        <v>212.96</v>
      </c>
      <c r="S2029" s="2609">
        <f t="shared" si="501"/>
        <v>1.603448275862069</v>
      </c>
      <c r="T2029" s="2597">
        <f t="shared" si="502"/>
        <v>29.380459603675046</v>
      </c>
      <c r="U2029" s="2597">
        <f t="shared" si="503"/>
        <v>29.328000786525994</v>
      </c>
      <c r="V2029" s="2597">
        <f t="shared" si="504"/>
        <v>0.60351338190980286</v>
      </c>
      <c r="W2029" s="3284">
        <f t="shared" si="505"/>
        <v>1.0017886939355631</v>
      </c>
      <c r="X2029" s="3300"/>
      <c r="Y2029" s="3316"/>
      <c r="AA2029" s="3301"/>
      <c r="AB2029" s="3409"/>
    </row>
    <row r="2030" spans="1:28" x14ac:dyDescent="0.2">
      <c r="A2030" s="2935" t="s">
        <v>979</v>
      </c>
      <c r="B2030" s="3130">
        <f>IFERROR(AVERAGE(N2026:N2032),"")</f>
        <v>1.0566205760795682</v>
      </c>
      <c r="C2030" s="2596">
        <v>45128</v>
      </c>
      <c r="D2030" s="2597">
        <v>107</v>
      </c>
      <c r="E2030" s="3085" t="s">
        <v>836</v>
      </c>
      <c r="F2030" s="3064" t="s">
        <v>627</v>
      </c>
      <c r="G2030" s="3088">
        <v>3.1365740740740743E-2</v>
      </c>
      <c r="H2030" s="3194">
        <v>8.59</v>
      </c>
      <c r="I2030" s="2601">
        <f t="shared" si="499"/>
        <v>3.651424998922089E-3</v>
      </c>
      <c r="J2030" s="2602">
        <v>141</v>
      </c>
      <c r="K2030" s="2603">
        <v>60</v>
      </c>
      <c r="L2030" s="2816">
        <v>225</v>
      </c>
      <c r="M2030" s="2840">
        <v>14</v>
      </c>
      <c r="N2030" s="2604">
        <f t="shared" si="500"/>
        <v>1.0594582384932152</v>
      </c>
      <c r="O2030" s="2605" t="s">
        <v>1463</v>
      </c>
      <c r="P2030" s="2606">
        <f>IFERROR(VLOOKUP(F2030,Trainingsarten!$A$9:$N$84,12,FALSE),"")</f>
        <v>279.53100000000006</v>
      </c>
      <c r="Q2030" s="2607" t="s">
        <v>437</v>
      </c>
      <c r="R2030" s="2608">
        <f>IFERROR(VLOOKUP(F2030,Trainingsarten!$A$9:$N$84,14,FALSE),"")</f>
        <v>306.15300000000002</v>
      </c>
      <c r="S2030" s="2609">
        <f t="shared" si="501"/>
        <v>1.5957446808510638</v>
      </c>
      <c r="T2030" s="2597">
        <f t="shared" si="502"/>
        <v>33.754679660292894</v>
      </c>
      <c r="U2030" s="2597">
        <f t="shared" si="503"/>
        <v>30.058286482084899</v>
      </c>
      <c r="V2030" s="2597">
        <f t="shared" si="504"/>
        <v>-5.2458817149052095E-2</v>
      </c>
      <c r="W2030" s="3284">
        <f t="shared" si="505"/>
        <v>1.1229741815259859</v>
      </c>
      <c r="X2030" s="3300"/>
      <c r="Y2030" s="3316"/>
      <c r="AA2030" s="3301"/>
      <c r="AB2030" s="3409"/>
    </row>
    <row r="2031" spans="1:28" x14ac:dyDescent="0.2">
      <c r="A2031" s="2935" t="s">
        <v>980</v>
      </c>
      <c r="B2031" s="3002">
        <f>IFERROR(AVERAGE(S2026:S2032),"")</f>
        <v>1.5965216186581641</v>
      </c>
      <c r="C2031" s="2886">
        <v>45129</v>
      </c>
      <c r="D2031" s="2887"/>
      <c r="E2031" s="3085"/>
      <c r="F2031" s="3063"/>
      <c r="G2031" s="3088"/>
      <c r="H2031" s="3194" t="str">
        <f>IFERROR(VLOOKUP(F2031,Trainingsarten!$A$9:$K$84,10,FALSE),"")</f>
        <v/>
      </c>
      <c r="I2031" s="2892" t="str">
        <f t="shared" si="499"/>
        <v/>
      </c>
      <c r="J2031" s="2893"/>
      <c r="K2031" s="2894" t="str">
        <f>IFERROR(VLOOKUP(F2031,Trainingsarten!$A$9:$K$84,11,FALSE),"0")</f>
        <v>0</v>
      </c>
      <c r="L2031" s="2816"/>
      <c r="M2031" s="2893"/>
      <c r="N2031" s="2895" t="str">
        <f t="shared" si="500"/>
        <v/>
      </c>
      <c r="O2031" s="2896"/>
      <c r="P2031" s="2897" t="str">
        <f>IFERROR(VLOOKUP(F2031,Trainingsarten!$A$9:$N$84,12,FALSE),"")</f>
        <v/>
      </c>
      <c r="Q2031" s="2898" t="s">
        <v>437</v>
      </c>
      <c r="R2031" s="2899" t="str">
        <f>IFERROR(VLOOKUP(F2031,Trainingsarten!$A$9:$N$84,14,FALSE),"")</f>
        <v/>
      </c>
      <c r="S2031" s="2845" t="str">
        <f t="shared" si="501"/>
        <v/>
      </c>
      <c r="T2031" s="2887">
        <f t="shared" si="502"/>
        <v>28.932582565965337</v>
      </c>
      <c r="U2031" s="2887">
        <f t="shared" si="503"/>
        <v>29.342612994416211</v>
      </c>
      <c r="V2031" s="2887">
        <f t="shared" si="504"/>
        <v>-3.6963931782079946</v>
      </c>
      <c r="W2031" s="3284">
        <f t="shared" si="505"/>
        <v>0.98602611060818268</v>
      </c>
      <c r="X2031" s="3300"/>
      <c r="Y2031" s="3316"/>
      <c r="AA2031" s="3301"/>
      <c r="AB2031" s="3409"/>
    </row>
    <row r="2032" spans="1:28" ht="16" thickBot="1" x14ac:dyDescent="0.25">
      <c r="A2032" s="2936" t="s">
        <v>183</v>
      </c>
      <c r="B2032" s="3003">
        <f>IFERROR(SUM(M2026:M2032),"")</f>
        <v>81</v>
      </c>
      <c r="C2032" s="2576">
        <v>45130</v>
      </c>
      <c r="D2032" s="1788">
        <v>108</v>
      </c>
      <c r="E2032" s="3083" t="s">
        <v>835</v>
      </c>
      <c r="F2032" s="3063" t="s">
        <v>906</v>
      </c>
      <c r="G2032" s="3086">
        <v>5.7465277777777775E-2</v>
      </c>
      <c r="H2032" s="2443">
        <v>13.99</v>
      </c>
      <c r="I2032" s="2579">
        <f t="shared" si="499"/>
        <v>4.1075966960527361E-3</v>
      </c>
      <c r="J2032" s="2580">
        <v>131</v>
      </c>
      <c r="K2032" s="2581">
        <v>85</v>
      </c>
      <c r="L2032" s="2821">
        <v>201</v>
      </c>
      <c r="M2032" s="2580">
        <v>39</v>
      </c>
      <c r="N2032" s="2582">
        <f t="shared" si="500"/>
        <v>1.0646890636168693</v>
      </c>
      <c r="O2032" s="2583" t="s">
        <v>1462</v>
      </c>
      <c r="P2032" s="2584">
        <f>IFERROR(VLOOKUP(F2032,Trainingsarten!$A$9:$N$84,12,FALSE),"")</f>
        <v>194.60000000000002</v>
      </c>
      <c r="Q2032" s="945" t="s">
        <v>437</v>
      </c>
      <c r="R2032" s="946">
        <f>IFERROR(VLOOKUP(F2032,Trainingsarten!$A$9:$N$84,14,FALSE),"")</f>
        <v>212.96</v>
      </c>
      <c r="S2032" s="2390">
        <f t="shared" si="501"/>
        <v>1.5343511450381679</v>
      </c>
      <c r="T2032" s="1788">
        <f t="shared" si="502"/>
        <v>36.94221362797029</v>
      </c>
      <c r="U2032" s="1788">
        <f t="shared" si="503"/>
        <v>30.66778887550154</v>
      </c>
      <c r="V2032" s="1788">
        <f t="shared" si="504"/>
        <v>0.41003042845087379</v>
      </c>
      <c r="W2032" s="3293">
        <f t="shared" si="505"/>
        <v>1.2045933203055592</v>
      </c>
      <c r="X2032" s="3300"/>
      <c r="Y2032" s="3316"/>
      <c r="AA2032" s="3301"/>
      <c r="AB2032" s="3409"/>
    </row>
    <row r="2033" spans="1:31" ht="16" thickBot="1" x14ac:dyDescent="0.25">
      <c r="A2033" s="3439">
        <f>WEEKNUM(C2033,1)</f>
        <v>30</v>
      </c>
      <c r="B2033" s="3440"/>
      <c r="C2033" s="2585">
        <v>45131</v>
      </c>
      <c r="D2033" s="2586">
        <v>109</v>
      </c>
      <c r="E2033" s="3084" t="s">
        <v>836</v>
      </c>
      <c r="F2033" s="3064" t="s">
        <v>1466</v>
      </c>
      <c r="G2033" s="3087">
        <v>2.7013888888888889E-2</v>
      </c>
      <c r="H2033" s="2589">
        <v>6.72</v>
      </c>
      <c r="I2033" s="2590">
        <f t="shared" si="499"/>
        <v>4.0199239417989417E-3</v>
      </c>
      <c r="J2033" s="2591">
        <v>122</v>
      </c>
      <c r="K2033" s="2592">
        <v>40</v>
      </c>
      <c r="L2033" s="2815">
        <v>204</v>
      </c>
      <c r="M2033" s="2591">
        <v>16</v>
      </c>
      <c r="N2033" s="2593">
        <f t="shared" si="500"/>
        <v>1.0575159914712151</v>
      </c>
      <c r="O2033" s="2594" t="s">
        <v>976</v>
      </c>
      <c r="P2033" s="1919">
        <f>IFERROR(VLOOKUP(F2033,Trainingsarten!$A$9:$N$84,12,FALSE),"")</f>
        <v>194.60000000000002</v>
      </c>
      <c r="Q2033" s="1069" t="s">
        <v>437</v>
      </c>
      <c r="R2033" s="2462">
        <f>IFERROR(VLOOKUP(F2033,Trainingsarten!$A$9:$N$84,14,FALSE),"")</f>
        <v>212.96</v>
      </c>
      <c r="S2033" s="2595">
        <f t="shared" si="501"/>
        <v>1.6721311475409837</v>
      </c>
      <c r="T2033" s="2586">
        <f t="shared" si="502"/>
        <v>37.379040252545963</v>
      </c>
      <c r="U2033" s="2586">
        <f t="shared" si="503"/>
        <v>30.88998437846579</v>
      </c>
      <c r="V2033" s="2586">
        <f t="shared" si="504"/>
        <v>-6.2744247524687502</v>
      </c>
      <c r="W2033" s="3283">
        <f t="shared" si="505"/>
        <v>1.2100698982095912</v>
      </c>
      <c r="X2033" s="3300"/>
      <c r="Y2033" s="3316"/>
      <c r="AA2033" s="3301"/>
      <c r="AB2033" s="3409"/>
    </row>
    <row r="2034" spans="1:31" x14ac:dyDescent="0.2">
      <c r="A2034" s="2934" t="s">
        <v>626</v>
      </c>
      <c r="B2034" s="3000">
        <f>SUM(H2033:H2039)</f>
        <v>44.6</v>
      </c>
      <c r="C2034" s="2596">
        <v>45132</v>
      </c>
      <c r="D2034" s="2597"/>
      <c r="E2034" s="2598"/>
      <c r="F2034" s="3063"/>
      <c r="G2034" s="2599"/>
      <c r="H2034" s="2600" t="str">
        <f>IFERROR(VLOOKUP(F2034,Trainingsarten!$A$9:$K$84,10,FALSE),"")</f>
        <v/>
      </c>
      <c r="I2034" s="2601" t="str">
        <f t="shared" si="499"/>
        <v/>
      </c>
      <c r="J2034" s="2602"/>
      <c r="K2034" s="2603" t="str">
        <f>IFERROR(VLOOKUP(F2034,Trainingsarten!$A$9:$K$84,11,FALSE),"0")</f>
        <v>0</v>
      </c>
      <c r="L2034" s="2816"/>
      <c r="M2034" s="2840"/>
      <c r="N2034" s="2604" t="str">
        <f t="shared" si="500"/>
        <v/>
      </c>
      <c r="O2034" s="2605"/>
      <c r="P2034" s="2606" t="str">
        <f>IFERROR(VLOOKUP(F2034,Trainingsarten!$A$9:$N$84,12,FALSE),"")</f>
        <v/>
      </c>
      <c r="Q2034" s="2607" t="s">
        <v>437</v>
      </c>
      <c r="R2034" s="2608" t="str">
        <f>IFERROR(VLOOKUP(F2034,Trainingsarten!$A$9:$N$84,14,FALSE),"")</f>
        <v/>
      </c>
      <c r="S2034" s="2609" t="str">
        <f t="shared" si="501"/>
        <v/>
      </c>
      <c r="T2034" s="2597">
        <f t="shared" si="502"/>
        <v>32.039177359325109</v>
      </c>
      <c r="U2034" s="2597">
        <f t="shared" si="503"/>
        <v>30.154508559930889</v>
      </c>
      <c r="V2034" s="2597">
        <f t="shared" si="504"/>
        <v>-6.4890558740801723</v>
      </c>
      <c r="W2034" s="3284">
        <f t="shared" si="505"/>
        <v>1.0625003984279338</v>
      </c>
      <c r="X2034" s="3300"/>
      <c r="Y2034" s="3316"/>
      <c r="AA2034" s="3301"/>
      <c r="AB2034" s="3409"/>
    </row>
    <row r="2035" spans="1:31" x14ac:dyDescent="0.2">
      <c r="A2035" s="2935" t="s">
        <v>628</v>
      </c>
      <c r="B2035" s="3001">
        <f>SUM(K2033:K2039)</f>
        <v>274</v>
      </c>
      <c r="C2035" s="2596">
        <v>45133</v>
      </c>
      <c r="D2035" s="2597">
        <v>110</v>
      </c>
      <c r="E2035" s="2598" t="s">
        <v>836</v>
      </c>
      <c r="F2035" s="3063" t="s">
        <v>918</v>
      </c>
      <c r="G2035" s="2599">
        <v>3.3159722222222222E-2</v>
      </c>
      <c r="H2035" s="2600">
        <v>8.7799999999999994</v>
      </c>
      <c r="I2035" s="2601">
        <f t="shared" si="499"/>
        <v>3.7767337382941029E-3</v>
      </c>
      <c r="J2035" s="2602">
        <v>136</v>
      </c>
      <c r="K2035" s="2603">
        <v>61</v>
      </c>
      <c r="L2035" s="2816">
        <v>218</v>
      </c>
      <c r="M2035" s="2840">
        <v>14</v>
      </c>
      <c r="N2035" s="2604">
        <f t="shared" si="500"/>
        <v>1.061724407574882</v>
      </c>
      <c r="O2035" s="2605" t="s">
        <v>1463</v>
      </c>
      <c r="P2035" s="2606">
        <f>IFERROR(VLOOKUP(F2035,Trainingsarten!$A$9:$N$84,12,FALSE),"")</f>
        <v>279.29999999999995</v>
      </c>
      <c r="Q2035" s="2607" t="s">
        <v>437</v>
      </c>
      <c r="R2035" s="2608">
        <f>IFERROR(VLOOKUP(F2035,Trainingsarten!$A$9:$N$84,14,FALSE),"")</f>
        <v>314.60000000000002</v>
      </c>
      <c r="S2035" s="2609">
        <f t="shared" si="501"/>
        <v>1.6029411764705883</v>
      </c>
      <c r="T2035" s="2597">
        <f t="shared" si="502"/>
        <v>36.176437736564381</v>
      </c>
      <c r="U2035" s="2597">
        <f t="shared" si="503"/>
        <v>30.888925022789678</v>
      </c>
      <c r="V2035" s="2597">
        <f t="shared" si="504"/>
        <v>-1.8846687993942197</v>
      </c>
      <c r="W2035" s="3284">
        <f t="shared" si="505"/>
        <v>1.1711782689062051</v>
      </c>
      <c r="X2035" s="3300"/>
      <c r="Y2035" s="3316"/>
      <c r="AA2035" s="3301"/>
      <c r="AB2035" s="3409"/>
    </row>
    <row r="2036" spans="1:31" ht="16" thickBot="1" x14ac:dyDescent="0.25">
      <c r="A2036" s="2935" t="s">
        <v>761</v>
      </c>
      <c r="B2036" s="3002">
        <f>AVERAGE(W2033:W2039)</f>
        <v>1.1672810456798701</v>
      </c>
      <c r="C2036" s="2596">
        <v>45134</v>
      </c>
      <c r="D2036" s="2597">
        <v>111</v>
      </c>
      <c r="E2036" s="2598" t="s">
        <v>836</v>
      </c>
      <c r="F2036" s="3065" t="s">
        <v>1466</v>
      </c>
      <c r="G2036" s="2599">
        <v>2.8703703703703703E-2</v>
      </c>
      <c r="H2036" s="2600">
        <v>7.06</v>
      </c>
      <c r="I2036" s="2601">
        <f t="shared" si="499"/>
        <v>4.0656804112894768E-3</v>
      </c>
      <c r="J2036" s="2602">
        <v>116</v>
      </c>
      <c r="K2036" s="2603">
        <v>42</v>
      </c>
      <c r="L2036" s="2816">
        <v>204</v>
      </c>
      <c r="M2036" s="2840">
        <v>15</v>
      </c>
      <c r="N2036" s="2604">
        <f t="shared" si="500"/>
        <v>1.069553084436176</v>
      </c>
      <c r="O2036" s="2605" t="s">
        <v>957</v>
      </c>
      <c r="P2036" s="2606">
        <f>IFERROR(VLOOKUP(F2036,Trainingsarten!$A$9:$N$84,12,FALSE),"")</f>
        <v>194.60000000000002</v>
      </c>
      <c r="Q2036" s="2607" t="s">
        <v>437</v>
      </c>
      <c r="R2036" s="2608">
        <f>IFERROR(VLOOKUP(F2036,Trainingsarten!$A$9:$N$84,14,FALSE),"")</f>
        <v>212.96</v>
      </c>
      <c r="S2036" s="2609">
        <f t="shared" si="501"/>
        <v>1.7586206896551724</v>
      </c>
      <c r="T2036" s="2597">
        <f t="shared" si="502"/>
        <v>37.008375202769471</v>
      </c>
      <c r="U2036" s="2597">
        <f t="shared" si="503"/>
        <v>31.153474427008973</v>
      </c>
      <c r="V2036" s="2597">
        <f t="shared" si="504"/>
        <v>-5.2875127137747029</v>
      </c>
      <c r="W2036" s="3284">
        <f t="shared" si="505"/>
        <v>1.1879373290924014</v>
      </c>
      <c r="X2036" s="3300"/>
      <c r="Y2036" s="3316"/>
      <c r="AA2036" s="3301"/>
      <c r="AB2036" s="3409"/>
    </row>
    <row r="2037" spans="1:31" x14ac:dyDescent="0.2">
      <c r="A2037" s="2935" t="s">
        <v>979</v>
      </c>
      <c r="B2037" s="3130">
        <f>IFERROR(AVERAGE(N2033:N2039),"")</f>
        <v>1.0658776970855548</v>
      </c>
      <c r="C2037" s="2596">
        <v>45135</v>
      </c>
      <c r="D2037" s="2597">
        <v>112</v>
      </c>
      <c r="E2037" s="2598" t="s">
        <v>836</v>
      </c>
      <c r="F2037" s="3063" t="s">
        <v>943</v>
      </c>
      <c r="G2037" s="2599">
        <v>3.0694444444444444E-2</v>
      </c>
      <c r="H2037" s="2600">
        <v>7.66</v>
      </c>
      <c r="I2037" s="2601">
        <f t="shared" si="499"/>
        <v>4.0071076298230342E-3</v>
      </c>
      <c r="J2037" s="2602">
        <v>123</v>
      </c>
      <c r="K2037" s="2603">
        <v>46</v>
      </c>
      <c r="L2037" s="2816">
        <v>207</v>
      </c>
      <c r="M2037" s="2840">
        <v>18</v>
      </c>
      <c r="N2037" s="2604">
        <f t="shared" si="500"/>
        <v>1.0696465453411792</v>
      </c>
      <c r="O2037" s="2605" t="s">
        <v>1462</v>
      </c>
      <c r="P2037" s="2606">
        <f>IFERROR(VLOOKUP(F2037,Trainingsarten!$A$9:$N$84,12,FALSE),"")</f>
        <v>194.60000000000002</v>
      </c>
      <c r="Q2037" s="2607" t="s">
        <v>437</v>
      </c>
      <c r="R2037" s="2608">
        <f>IFERROR(VLOOKUP(F2037,Trainingsarten!$A$9:$N$84,14,FALSE),"")</f>
        <v>212.96</v>
      </c>
      <c r="S2037" s="2609">
        <f t="shared" si="501"/>
        <v>1.6829268292682926</v>
      </c>
      <c r="T2037" s="2597">
        <f t="shared" si="502"/>
        <v>38.292893030945258</v>
      </c>
      <c r="U2037" s="2597">
        <f t="shared" si="503"/>
        <v>31.506963131127808</v>
      </c>
      <c r="V2037" s="2597">
        <f t="shared" si="504"/>
        <v>-5.8549007757604983</v>
      </c>
      <c r="W2037" s="3284">
        <f t="shared" si="505"/>
        <v>1.2153787361725505</v>
      </c>
      <c r="X2037" s="3300"/>
      <c r="Y2037" s="3316"/>
      <c r="AA2037" s="3301"/>
      <c r="AB2037" s="3409"/>
    </row>
    <row r="2038" spans="1:31" x14ac:dyDescent="0.2">
      <c r="A2038" s="2935" t="s">
        <v>980</v>
      </c>
      <c r="B2038" s="3002">
        <f>IFERROR(AVERAGE(S2033:S2039),"")</f>
        <v>1.651720915151893</v>
      </c>
      <c r="C2038" s="2886">
        <v>45136</v>
      </c>
      <c r="D2038" s="2887"/>
      <c r="E2038" s="2888"/>
      <c r="F2038" s="3063"/>
      <c r="G2038" s="2890"/>
      <c r="H2038" s="2891" t="str">
        <f>IFERROR(VLOOKUP(F2038,Trainingsarten!$A$9:$K$84,10,FALSE),"")</f>
        <v/>
      </c>
      <c r="I2038" s="2892" t="str">
        <f t="shared" si="499"/>
        <v/>
      </c>
      <c r="J2038" s="2893"/>
      <c r="K2038" s="2894" t="str">
        <f>IFERROR(VLOOKUP(F2038,Trainingsarten!$A$9:$K$84,11,FALSE),"0")</f>
        <v>0</v>
      </c>
      <c r="L2038" s="2816"/>
      <c r="M2038" s="2893"/>
      <c r="N2038" s="2895" t="str">
        <f t="shared" si="500"/>
        <v/>
      </c>
      <c r="O2038" s="2896"/>
      <c r="P2038" s="2897" t="str">
        <f>IFERROR(VLOOKUP(F2038,Trainingsarten!$A$9:$N$84,12,FALSE),"")</f>
        <v/>
      </c>
      <c r="Q2038" s="2898" t="s">
        <v>437</v>
      </c>
      <c r="R2038" s="2899" t="str">
        <f>IFERROR(VLOOKUP(F2038,Trainingsarten!$A$9:$N$84,14,FALSE),"")</f>
        <v/>
      </c>
      <c r="S2038" s="2845" t="str">
        <f t="shared" si="501"/>
        <v/>
      </c>
      <c r="T2038" s="2887">
        <f t="shared" si="502"/>
        <v>32.822479740810223</v>
      </c>
      <c r="U2038" s="2887">
        <f t="shared" si="503"/>
        <v>30.756797342291431</v>
      </c>
      <c r="V2038" s="2887">
        <f t="shared" si="504"/>
        <v>-6.7859298998174502</v>
      </c>
      <c r="W2038" s="3284">
        <f t="shared" si="505"/>
        <v>1.0671618171271176</v>
      </c>
      <c r="X2038" s="3300"/>
      <c r="Y2038" s="3316"/>
      <c r="AA2038" s="3301"/>
      <c r="AB2038" s="3409"/>
    </row>
    <row r="2039" spans="1:31" ht="16" thickBot="1" x14ac:dyDescent="0.25">
      <c r="A2039" s="2936" t="s">
        <v>183</v>
      </c>
      <c r="B2039" s="3003">
        <f>IFERROR(SUM(M2033:M2039),"")</f>
        <v>105</v>
      </c>
      <c r="C2039" s="2576">
        <v>45137</v>
      </c>
      <c r="D2039" s="1788">
        <v>113</v>
      </c>
      <c r="E2039" s="1789" t="s">
        <v>835</v>
      </c>
      <c r="F2039" s="3064" t="s">
        <v>907</v>
      </c>
      <c r="G2039" s="2577">
        <v>5.9120370370370372E-2</v>
      </c>
      <c r="H2039" s="2578">
        <v>14.38</v>
      </c>
      <c r="I2039" s="2579">
        <f t="shared" si="499"/>
        <v>4.1112914026683149E-3</v>
      </c>
      <c r="J2039" s="2580">
        <v>131</v>
      </c>
      <c r="K2039" s="2581">
        <v>85</v>
      </c>
      <c r="L2039" s="2821">
        <v>202</v>
      </c>
      <c r="M2039" s="2580">
        <v>42</v>
      </c>
      <c r="N2039" s="2582">
        <f t="shared" si="500"/>
        <v>1.0709484566043219</v>
      </c>
      <c r="O2039" s="2583" t="s">
        <v>953</v>
      </c>
      <c r="P2039" s="2584">
        <f>IFERROR(VLOOKUP(F2039,Trainingsarten!$A$9:$N$84,12,FALSE),"")</f>
        <v>194.60000000000002</v>
      </c>
      <c r="Q2039" s="945" t="s">
        <v>437</v>
      </c>
      <c r="R2039" s="946">
        <f>IFERROR(VLOOKUP(F2039,Trainingsarten!$A$9:$N$84,14,FALSE),"")</f>
        <v>212.96</v>
      </c>
      <c r="S2039" s="2390">
        <f t="shared" si="501"/>
        <v>1.5419847328244274</v>
      </c>
      <c r="T2039" s="1788">
        <f t="shared" si="502"/>
        <v>40.27641120640876</v>
      </c>
      <c r="U2039" s="1788">
        <f t="shared" si="503"/>
        <v>32.048302167474972</v>
      </c>
      <c r="V2039" s="1788">
        <f t="shared" si="504"/>
        <v>-2.065682398518792</v>
      </c>
      <c r="W2039" s="3293">
        <f t="shared" si="505"/>
        <v>1.2567408718232909</v>
      </c>
      <c r="X2039" s="3300"/>
      <c r="Y2039" s="3316"/>
      <c r="AA2039" s="3301"/>
      <c r="AB2039" s="3409"/>
    </row>
    <row r="2040" spans="1:31" ht="16" thickBot="1" x14ac:dyDescent="0.25">
      <c r="A2040" s="3439">
        <f>WEEKNUM(C2040,1)</f>
        <v>31</v>
      </c>
      <c r="B2040" s="3440"/>
      <c r="C2040" s="2585">
        <v>45138</v>
      </c>
      <c r="D2040" s="2586">
        <v>114</v>
      </c>
      <c r="E2040" s="2587" t="s">
        <v>836</v>
      </c>
      <c r="F2040" s="3063" t="s">
        <v>943</v>
      </c>
      <c r="G2040" s="2588">
        <v>3.2152777777777773E-2</v>
      </c>
      <c r="H2040" s="2589">
        <v>8.02</v>
      </c>
      <c r="I2040" s="2590">
        <f t="shared" si="499"/>
        <v>4.0090745358825159E-3</v>
      </c>
      <c r="J2040" s="2591">
        <v>116</v>
      </c>
      <c r="K2040" s="2592">
        <v>49</v>
      </c>
      <c r="L2040" s="2815">
        <v>206</v>
      </c>
      <c r="M2040" s="2591">
        <v>14</v>
      </c>
      <c r="N2040" s="2593">
        <f t="shared" si="500"/>
        <v>1.0650016749171847</v>
      </c>
      <c r="O2040" s="2594" t="s">
        <v>1462</v>
      </c>
      <c r="P2040" s="1919">
        <f>IFERROR(VLOOKUP(F2040,Trainingsarten!$A$9:$N$84,12,FALSE),"")</f>
        <v>194.60000000000002</v>
      </c>
      <c r="Q2040" s="1069" t="s">
        <v>437</v>
      </c>
      <c r="R2040" s="2462">
        <f>IFERROR(VLOOKUP(F2040,Trainingsarten!$A$9:$N$84,14,FALSE),"")</f>
        <v>212.96</v>
      </c>
      <c r="S2040" s="2595">
        <f t="shared" si="501"/>
        <v>1.7758620689655173</v>
      </c>
      <c r="T2040" s="2586">
        <f t="shared" si="502"/>
        <v>41.522638176921795</v>
      </c>
      <c r="U2040" s="2586">
        <f t="shared" si="503"/>
        <v>32.451914020630333</v>
      </c>
      <c r="V2040" s="2586">
        <f t="shared" si="504"/>
        <v>-8.2281090389337876</v>
      </c>
      <c r="W2040" s="3283">
        <f t="shared" si="505"/>
        <v>1.2795127631154519</v>
      </c>
      <c r="X2040" s="3300"/>
      <c r="Y2040" s="3316"/>
      <c r="AA2040" s="3301"/>
      <c r="AB2040" s="3409"/>
    </row>
    <row r="2041" spans="1:31" x14ac:dyDescent="0.2">
      <c r="A2041" s="2934" t="s">
        <v>626</v>
      </c>
      <c r="B2041" s="3000">
        <f>SUM(H2040:H2046)</f>
        <v>51.37</v>
      </c>
      <c r="C2041" s="2596">
        <v>45139</v>
      </c>
      <c r="D2041" s="2597"/>
      <c r="E2041" s="2598"/>
      <c r="F2041" s="3063"/>
      <c r="G2041" s="2599"/>
      <c r="H2041" s="2600" t="str">
        <f>IFERROR(VLOOKUP(F2041,Trainingsarten!$A$9:$K$84,10,FALSE),"")</f>
        <v/>
      </c>
      <c r="I2041" s="2601" t="str">
        <f t="shared" si="499"/>
        <v/>
      </c>
      <c r="J2041" s="2602"/>
      <c r="K2041" s="2603" t="str">
        <f>IFERROR(VLOOKUP(F2041,Trainingsarten!$A$9:$K$84,11,FALSE),"0")</f>
        <v>0</v>
      </c>
      <c r="L2041" s="2816"/>
      <c r="M2041" s="2840"/>
      <c r="N2041" s="2604" t="str">
        <f t="shared" si="500"/>
        <v/>
      </c>
      <c r="O2041" s="2605"/>
      <c r="P2041" s="2606" t="str">
        <f>IFERROR(VLOOKUP(F2041,Trainingsarten!$A$9:$N$84,12,FALSE),"")</f>
        <v/>
      </c>
      <c r="Q2041" s="2607" t="s">
        <v>437</v>
      </c>
      <c r="R2041" s="2608" t="str">
        <f>IFERROR(VLOOKUP(F2041,Trainingsarten!$A$9:$N$84,14,FALSE),"")</f>
        <v/>
      </c>
      <c r="S2041" s="2609" t="str">
        <f t="shared" si="501"/>
        <v/>
      </c>
      <c r="T2041" s="2597">
        <f t="shared" si="502"/>
        <v>35.590832723075827</v>
      </c>
      <c r="U2041" s="2597">
        <f t="shared" si="503"/>
        <v>31.679249401091514</v>
      </c>
      <c r="V2041" s="2597">
        <f t="shared" si="504"/>
        <v>-9.0707241562914618</v>
      </c>
      <c r="W2041" s="3284">
        <f>T2041/U2041</f>
        <v>1.1234746212721043</v>
      </c>
      <c r="X2041" s="3300"/>
      <c r="Y2041" s="3316"/>
      <c r="AA2041" s="3301"/>
      <c r="AB2041" s="3409"/>
    </row>
    <row r="2042" spans="1:31" x14ac:dyDescent="0.2">
      <c r="A2042" s="2935" t="s">
        <v>628</v>
      </c>
      <c r="B2042" s="3001">
        <f>SUM(K2040:K2046)</f>
        <v>333</v>
      </c>
      <c r="C2042" s="2596">
        <v>45140</v>
      </c>
      <c r="D2042" s="2597">
        <v>115</v>
      </c>
      <c r="E2042" s="2598" t="s">
        <v>836</v>
      </c>
      <c r="F2042" s="3064" t="s">
        <v>918</v>
      </c>
      <c r="G2042" s="2599">
        <v>3.5624999999999997E-2</v>
      </c>
      <c r="H2042" s="2600">
        <v>9.16</v>
      </c>
      <c r="I2042" s="2601">
        <f t="shared" si="499"/>
        <v>3.8891921397379908E-3</v>
      </c>
      <c r="J2042" s="2602">
        <v>135</v>
      </c>
      <c r="K2042" s="2603">
        <v>65</v>
      </c>
      <c r="L2042" s="2816">
        <v>210</v>
      </c>
      <c r="M2042" s="2840">
        <v>15</v>
      </c>
      <c r="N2042" s="2604">
        <f t="shared" si="500"/>
        <v>1.0532164504985986</v>
      </c>
      <c r="O2042" s="2605" t="s">
        <v>1463</v>
      </c>
      <c r="P2042" s="2606">
        <f>IFERROR(VLOOKUP(F2042,Trainingsarten!$A$9:$N$84,12,FALSE),"")</f>
        <v>279.29999999999995</v>
      </c>
      <c r="Q2042" s="2607" t="s">
        <v>437</v>
      </c>
      <c r="R2042" s="2608">
        <f>IFERROR(VLOOKUP(F2042,Trainingsarten!$A$9:$N$84,14,FALSE),"")</f>
        <v>314.60000000000002</v>
      </c>
      <c r="S2042" s="2609">
        <f t="shared" si="501"/>
        <v>1.5555555555555556</v>
      </c>
      <c r="T2042" s="2597">
        <f t="shared" si="502"/>
        <v>39.792142334064998</v>
      </c>
      <c r="U2042" s="2597">
        <f t="shared" si="503"/>
        <v>32.472600605827431</v>
      </c>
      <c r="V2042" s="2597">
        <f t="shared" si="504"/>
        <v>-3.9115833219843132</v>
      </c>
      <c r="W2042" s="3284">
        <f t="shared" si="505"/>
        <v>1.2254066995460791</v>
      </c>
      <c r="X2042" s="3300"/>
      <c r="Y2042" s="3316"/>
      <c r="AA2042" s="3301"/>
      <c r="AB2042" s="3409"/>
    </row>
    <row r="2043" spans="1:31" x14ac:dyDescent="0.2">
      <c r="A2043" s="2935" t="s">
        <v>761</v>
      </c>
      <c r="B2043" s="3002">
        <f>AVERAGE(W2040:W2046)</f>
        <v>1.2523582891522835</v>
      </c>
      <c r="C2043" s="2596">
        <v>45141</v>
      </c>
      <c r="D2043" s="2597">
        <v>116</v>
      </c>
      <c r="E2043" s="2598" t="s">
        <v>836</v>
      </c>
      <c r="F2043" s="3063" t="s">
        <v>943</v>
      </c>
      <c r="G2043" s="2599">
        <v>3.0624999999999999E-2</v>
      </c>
      <c r="H2043" s="2600">
        <v>7.24</v>
      </c>
      <c r="I2043" s="2601">
        <f t="shared" si="499"/>
        <v>4.2299723756906073E-3</v>
      </c>
      <c r="J2043" s="2602">
        <v>120</v>
      </c>
      <c r="K2043" s="2603">
        <v>41</v>
      </c>
      <c r="L2043" s="2816">
        <v>193</v>
      </c>
      <c r="M2043" s="2840">
        <v>24</v>
      </c>
      <c r="N2043" s="2604">
        <f t="shared" si="500"/>
        <v>1.0527706770017318</v>
      </c>
      <c r="O2043" s="2605" t="s">
        <v>976</v>
      </c>
      <c r="P2043" s="2606">
        <f>IFERROR(VLOOKUP(F2043,Trainingsarten!$A$9:$N$84,12,FALSE),"")</f>
        <v>194.60000000000002</v>
      </c>
      <c r="Q2043" s="2607" t="s">
        <v>437</v>
      </c>
      <c r="R2043" s="2608">
        <f>IFERROR(VLOOKUP(F2043,Trainingsarten!$A$9:$N$84,14,FALSE),"")</f>
        <v>212.96</v>
      </c>
      <c r="S2043" s="2609">
        <f t="shared" si="501"/>
        <v>1.6083333333333334</v>
      </c>
      <c r="T2043" s="2597">
        <f t="shared" si="502"/>
        <v>39.964693429198569</v>
      </c>
      <c r="U2043" s="2597">
        <f t="shared" si="503"/>
        <v>32.675633924736303</v>
      </c>
      <c r="V2043" s="2597">
        <f t="shared" si="504"/>
        <v>-7.3195417282375672</v>
      </c>
      <c r="W2043" s="3284">
        <f t="shared" si="505"/>
        <v>1.2230732392599202</v>
      </c>
      <c r="X2043" s="3300"/>
      <c r="Y2043" s="3316"/>
      <c r="AA2043" s="3301"/>
      <c r="AB2043" s="3409"/>
    </row>
    <row r="2044" spans="1:31" x14ac:dyDescent="0.2">
      <c r="A2044" s="2935" t="s">
        <v>979</v>
      </c>
      <c r="B2044" s="3130">
        <f>IFERROR(AVERAGE(N2040:N2046),"")</f>
        <v>1.0581628697436214</v>
      </c>
      <c r="C2044" s="2596">
        <v>45142</v>
      </c>
      <c r="D2044" s="2597">
        <v>117</v>
      </c>
      <c r="E2044" s="2598" t="s">
        <v>836</v>
      </c>
      <c r="F2044" s="3063" t="s">
        <v>923</v>
      </c>
      <c r="G2044" s="2599">
        <v>4.0960648148148149E-2</v>
      </c>
      <c r="H2044" s="2600">
        <v>11.12</v>
      </c>
      <c r="I2044" s="2601">
        <f t="shared" si="499"/>
        <v>3.6835115241140425E-3</v>
      </c>
      <c r="J2044" s="2602">
        <v>135</v>
      </c>
      <c r="K2044" s="2603">
        <v>80</v>
      </c>
      <c r="L2044" s="2816">
        <v>224</v>
      </c>
      <c r="M2044" s="2840">
        <v>19</v>
      </c>
      <c r="N2044" s="2604">
        <f t="shared" si="500"/>
        <v>1.0640180392999035</v>
      </c>
      <c r="O2044" s="2605" t="s">
        <v>1463</v>
      </c>
      <c r="P2044" s="2606">
        <f>IFERROR(VLOOKUP(F2044,Trainingsarten!$A$9:$N$84,12,FALSE),"")</f>
        <v>230.89999999999998</v>
      </c>
      <c r="Q2044" s="2607" t="s">
        <v>437</v>
      </c>
      <c r="R2044" s="2608">
        <f>IFERROR(VLOOKUP(F2044,Trainingsarten!$A$9:$N$84,14,FALSE),"")</f>
        <v>254.10000000000002</v>
      </c>
      <c r="S2044" s="2609">
        <f t="shared" si="501"/>
        <v>1.6592592592592592</v>
      </c>
      <c r="T2044" s="2597">
        <f t="shared" si="502"/>
        <v>45.68402293931306</v>
      </c>
      <c r="U2044" s="2597">
        <f t="shared" si="503"/>
        <v>33.802404545575918</v>
      </c>
      <c r="V2044" s="2597">
        <f t="shared" si="504"/>
        <v>-7.2890595044622657</v>
      </c>
      <c r="W2044" s="3284">
        <f t="shared" si="505"/>
        <v>1.351502165407112</v>
      </c>
      <c r="X2044" s="3300"/>
      <c r="Y2044" s="3316"/>
      <c r="AA2044" s="3301"/>
      <c r="AB2044" s="3409"/>
    </row>
    <row r="2045" spans="1:31" ht="16" thickBot="1" x14ac:dyDescent="0.25">
      <c r="A2045" s="2935" t="s">
        <v>980</v>
      </c>
      <c r="B2045" s="3002">
        <f>IFERROR(AVERAGE(S2040:S2046),"")</f>
        <v>1.6183095061093002</v>
      </c>
      <c r="C2045" s="2886">
        <v>45143</v>
      </c>
      <c r="D2045" s="2887"/>
      <c r="E2045" s="2888"/>
      <c r="F2045" s="3063"/>
      <c r="G2045" s="2890"/>
      <c r="H2045" s="2891" t="str">
        <f>IFERROR(VLOOKUP(F2045,Trainingsarten!$A$9:$K$84,10,FALSE),"")</f>
        <v/>
      </c>
      <c r="I2045" s="2892" t="str">
        <f t="shared" si="499"/>
        <v/>
      </c>
      <c r="J2045" s="2893"/>
      <c r="K2045" s="2894" t="str">
        <f>IFERROR(VLOOKUP(F2045,Trainingsarten!$A$9:$K$84,11,FALSE),"0")</f>
        <v>0</v>
      </c>
      <c r="L2045" s="2816"/>
      <c r="M2045" s="2893"/>
      <c r="N2045" s="2895" t="str">
        <f t="shared" si="500"/>
        <v/>
      </c>
      <c r="O2045" s="2896"/>
      <c r="P2045" s="2897" t="str">
        <f>IFERROR(VLOOKUP(F2045,Trainingsarten!$A$9:$N$84,12,FALSE),"")</f>
        <v/>
      </c>
      <c r="Q2045" s="2898" t="s">
        <v>437</v>
      </c>
      <c r="R2045" s="2899" t="str">
        <f>IFERROR(VLOOKUP(F2045,Trainingsarten!$A$9:$N$84,14,FALSE),"")</f>
        <v/>
      </c>
      <c r="S2045" s="2845" t="str">
        <f t="shared" si="501"/>
        <v/>
      </c>
      <c r="T2045" s="2887">
        <f t="shared" si="502"/>
        <v>39.157733947982621</v>
      </c>
      <c r="U2045" s="2887">
        <f t="shared" si="503"/>
        <v>32.997585389728869</v>
      </c>
      <c r="V2045" s="2887">
        <f t="shared" si="504"/>
        <v>-11.881618393737142</v>
      </c>
      <c r="W2045" s="3284">
        <f t="shared" si="505"/>
        <v>1.1866848281623423</v>
      </c>
      <c r="X2045" s="3300"/>
      <c r="Y2045" s="3316"/>
      <c r="AA2045" s="3301"/>
      <c r="AB2045" s="3409"/>
    </row>
    <row r="2046" spans="1:31" ht="16" thickBot="1" x14ac:dyDescent="0.25">
      <c r="A2046" s="2936" t="s">
        <v>183</v>
      </c>
      <c r="B2046" s="3003">
        <f>IFERROR(SUM(M2040:M2046),"")</f>
        <v>133</v>
      </c>
      <c r="C2046" s="2576">
        <v>45144</v>
      </c>
      <c r="D2046" s="1788">
        <v>118</v>
      </c>
      <c r="E2046" s="1789" t="s">
        <v>835</v>
      </c>
      <c r="F2046" s="3062" t="s">
        <v>809</v>
      </c>
      <c r="G2046" s="2577">
        <v>6.4803240740740745E-2</v>
      </c>
      <c r="H2046" s="2578">
        <v>15.83</v>
      </c>
      <c r="I2046" s="2579">
        <f t="shared" si="499"/>
        <v>4.0936980884864653E-3</v>
      </c>
      <c r="J2046" s="2580">
        <v>134</v>
      </c>
      <c r="K2046" s="2581">
        <v>98</v>
      </c>
      <c r="L2046" s="2821">
        <v>200</v>
      </c>
      <c r="M2046" s="2580">
        <v>61</v>
      </c>
      <c r="N2046" s="2582">
        <f t="shared" si="500"/>
        <v>1.0558075070006885</v>
      </c>
      <c r="O2046" s="2583" t="s">
        <v>953</v>
      </c>
      <c r="P2046" s="2584">
        <f>IFERROR(VLOOKUP(F2046,Trainingsarten!$A$9:$N$84,12,FALSE),"")</f>
        <v>194.60000000000002</v>
      </c>
      <c r="Q2046" s="945" t="s">
        <v>437</v>
      </c>
      <c r="R2046" s="946">
        <f>IFERROR(VLOOKUP(F2046,Trainingsarten!$A$9:$N$84,14,FALSE),"")</f>
        <v>212.96</v>
      </c>
      <c r="S2046" s="2390">
        <f t="shared" si="501"/>
        <v>1.4925373134328359</v>
      </c>
      <c r="T2046" s="1788">
        <f t="shared" si="502"/>
        <v>47.563771955413671</v>
      </c>
      <c r="U2046" s="1788">
        <f t="shared" si="503"/>
        <v>34.545261928068655</v>
      </c>
      <c r="V2046" s="1788">
        <f t="shared" si="504"/>
        <v>-6.1601485582537521</v>
      </c>
      <c r="W2046" s="3293">
        <f t="shared" si="505"/>
        <v>1.3768537073029756</v>
      </c>
      <c r="X2046" s="3300"/>
      <c r="Y2046" s="3316"/>
      <c r="AA2046" s="3301"/>
      <c r="AB2046" s="3409"/>
    </row>
    <row r="2047" spans="1:31" ht="16" thickBot="1" x14ac:dyDescent="0.25">
      <c r="A2047" s="3439">
        <f>WEEKNUM(C2047,1)</f>
        <v>32</v>
      </c>
      <c r="B2047" s="3440"/>
      <c r="C2047" s="2585">
        <v>45145</v>
      </c>
      <c r="D2047" s="2586"/>
      <c r="E2047" s="2587"/>
      <c r="F2047" s="3063"/>
      <c r="G2047" s="2588"/>
      <c r="H2047" s="2589" t="str">
        <f>IFERROR(VLOOKUP(F2047,Trainingsarten!$A$9:$K$84,10,FALSE),"")</f>
        <v/>
      </c>
      <c r="I2047" s="2590" t="str">
        <f t="shared" si="499"/>
        <v/>
      </c>
      <c r="J2047" s="2591"/>
      <c r="K2047" s="2592" t="str">
        <f>IFERROR(VLOOKUP(F2047,Trainingsarten!$A$9:$K$84,11,FALSE),"0")</f>
        <v>0</v>
      </c>
      <c r="L2047" s="2815"/>
      <c r="M2047" s="2591"/>
      <c r="N2047" s="2593" t="str">
        <f t="shared" si="500"/>
        <v/>
      </c>
      <c r="O2047" s="2594"/>
      <c r="P2047" s="1919" t="str">
        <f>IFERROR(VLOOKUP(F2047,Trainingsarten!$A$9:$N$84,12,FALSE),"")</f>
        <v/>
      </c>
      <c r="Q2047" s="1069" t="s">
        <v>437</v>
      </c>
      <c r="R2047" s="2462" t="str">
        <f>IFERROR(VLOOKUP(F2047,Trainingsarten!$A$9:$N$84,14,FALSE),"")</f>
        <v/>
      </c>
      <c r="S2047" s="2595" t="str">
        <f t="shared" si="501"/>
        <v/>
      </c>
      <c r="T2047" s="2586">
        <f t="shared" si="502"/>
        <v>40.768947390354576</v>
      </c>
      <c r="U2047" s="2586">
        <f t="shared" si="503"/>
        <v>33.722755691686068</v>
      </c>
      <c r="V2047" s="2586">
        <f t="shared" si="504"/>
        <v>-13.018510027345016</v>
      </c>
      <c r="W2047" s="3283">
        <f t="shared" si="505"/>
        <v>1.2089447186074909</v>
      </c>
      <c r="X2047" s="3300"/>
      <c r="Y2047" s="3316"/>
      <c r="AA2047" s="3301"/>
      <c r="AB2047" s="3409"/>
      <c r="AE2047" s="3438" t="s">
        <v>1461</v>
      </c>
    </row>
    <row r="2048" spans="1:31" x14ac:dyDescent="0.2">
      <c r="A2048" s="2934" t="s">
        <v>626</v>
      </c>
      <c r="B2048" s="3000">
        <f>SUM(H2047:H2053)</f>
        <v>42.64</v>
      </c>
      <c r="C2048" s="2596">
        <v>45146</v>
      </c>
      <c r="D2048" s="2597">
        <v>119</v>
      </c>
      <c r="E2048" s="2598" t="s">
        <v>835</v>
      </c>
      <c r="F2048" s="3064" t="s">
        <v>943</v>
      </c>
      <c r="G2048" s="2599">
        <v>3.2743055555555553E-2</v>
      </c>
      <c r="H2048" s="2600">
        <v>7.67</v>
      </c>
      <c r="I2048" s="2601">
        <f t="shared" si="499"/>
        <v>4.2689772562653919E-3</v>
      </c>
      <c r="J2048" s="2602">
        <v>116</v>
      </c>
      <c r="K2048" s="2603">
        <v>43</v>
      </c>
      <c r="L2048" s="2816">
        <v>189</v>
      </c>
      <c r="M2048" s="2840">
        <v>22</v>
      </c>
      <c r="N2048" s="2604">
        <f t="shared" si="500"/>
        <v>1.0404580746852439</v>
      </c>
      <c r="O2048" s="2605" t="s">
        <v>1462</v>
      </c>
      <c r="P2048" s="2606">
        <f>IFERROR(VLOOKUP(F2048,Trainingsarten!$A$9:$N$84,12,FALSE),"")</f>
        <v>194.60000000000002</v>
      </c>
      <c r="Q2048" s="2607" t="s">
        <v>437</v>
      </c>
      <c r="R2048" s="2608">
        <f>IFERROR(VLOOKUP(F2048,Trainingsarten!$A$9:$N$84,14,FALSE),"")</f>
        <v>212.96</v>
      </c>
      <c r="S2048" s="2609">
        <f t="shared" si="501"/>
        <v>1.6293103448275863</v>
      </c>
      <c r="T2048" s="2597">
        <f t="shared" si="502"/>
        <v>41.087669191732495</v>
      </c>
      <c r="U2048" s="2597">
        <f t="shared" si="503"/>
        <v>33.943642460931635</v>
      </c>
      <c r="V2048" s="2597">
        <f t="shared" si="504"/>
        <v>-7.0461916986685083</v>
      </c>
      <c r="W2048" s="3284">
        <f t="shared" si="505"/>
        <v>1.2104672985235299</v>
      </c>
      <c r="X2048" s="3300"/>
      <c r="Y2048" s="3316"/>
      <c r="AA2048" s="3301"/>
      <c r="AB2048" s="3409"/>
      <c r="AE2048" s="3438"/>
    </row>
    <row r="2049" spans="1:31" x14ac:dyDescent="0.2">
      <c r="A2049" s="2935" t="s">
        <v>628</v>
      </c>
      <c r="B2049" s="3001">
        <f>SUM(K2047:K2053)</f>
        <v>263</v>
      </c>
      <c r="C2049" s="2596">
        <v>45147</v>
      </c>
      <c r="D2049" s="2597"/>
      <c r="E2049" s="2598"/>
      <c r="F2049" s="3063"/>
      <c r="G2049" s="2599"/>
      <c r="H2049" s="2600" t="str">
        <f>IFERROR(VLOOKUP(F2049,Trainingsarten!$A$9:$K$84,10,FALSE),"")</f>
        <v/>
      </c>
      <c r="I2049" s="2601" t="str">
        <f t="shared" si="499"/>
        <v/>
      </c>
      <c r="J2049" s="2602"/>
      <c r="K2049" s="2603" t="str">
        <f>IFERROR(VLOOKUP(F2049,Trainingsarten!$A$9:$K$84,11,FALSE),"0")</f>
        <v>0</v>
      </c>
      <c r="L2049" s="2816"/>
      <c r="M2049" s="2840"/>
      <c r="N2049" s="2604" t="str">
        <f t="shared" si="500"/>
        <v/>
      </c>
      <c r="O2049" s="2605"/>
      <c r="P2049" s="2606" t="str">
        <f>IFERROR(VLOOKUP(F2049,Trainingsarten!$A$9:$N$84,12,FALSE),"")</f>
        <v/>
      </c>
      <c r="Q2049" s="2607" t="s">
        <v>437</v>
      </c>
      <c r="R2049" s="2608" t="str">
        <f>IFERROR(VLOOKUP(F2049,Trainingsarten!$A$9:$N$84,14,FALSE),"")</f>
        <v/>
      </c>
      <c r="S2049" s="2609" t="str">
        <f t="shared" si="501"/>
        <v/>
      </c>
      <c r="T2049" s="2597">
        <f t="shared" si="502"/>
        <v>35.218002164342138</v>
      </c>
      <c r="U2049" s="2597">
        <f t="shared" si="503"/>
        <v>33.135460497576119</v>
      </c>
      <c r="V2049" s="2597">
        <f t="shared" si="504"/>
        <v>-7.14402673080086</v>
      </c>
      <c r="W2049" s="3284">
        <f t="shared" si="505"/>
        <v>1.062849335288953</v>
      </c>
      <c r="X2049" s="3300"/>
      <c r="Y2049" s="3316"/>
      <c r="AA2049" s="3301"/>
      <c r="AB2049" s="3409"/>
      <c r="AE2049" s="3438"/>
    </row>
    <row r="2050" spans="1:31" x14ac:dyDescent="0.2">
      <c r="A2050" s="2935" t="s">
        <v>761</v>
      </c>
      <c r="B2050" s="3002">
        <f>AVERAGE(W2047:W2053)</f>
        <v>1.1220965219741237</v>
      </c>
      <c r="C2050" s="2596">
        <v>45148</v>
      </c>
      <c r="D2050" s="2597"/>
      <c r="E2050" s="2598"/>
      <c r="F2050" s="3063"/>
      <c r="G2050" s="2599"/>
      <c r="H2050" s="2600" t="str">
        <f>IFERROR(VLOOKUP(F2050,Trainingsarten!$A$9:$K$84,10,FALSE),"")</f>
        <v/>
      </c>
      <c r="I2050" s="2601" t="str">
        <f t="shared" si="499"/>
        <v/>
      </c>
      <c r="J2050" s="2602"/>
      <c r="K2050" s="2603" t="str">
        <f>IFERROR(VLOOKUP(F2050,Trainingsarten!$A$9:$K$84,11,FALSE),"0")</f>
        <v>0</v>
      </c>
      <c r="L2050" s="2816"/>
      <c r="M2050" s="2840"/>
      <c r="N2050" s="2604" t="str">
        <f t="shared" si="500"/>
        <v/>
      </c>
      <c r="O2050" s="2605"/>
      <c r="P2050" s="2606" t="str">
        <f>IFERROR(VLOOKUP(F2050,Trainingsarten!$A$9:$N$84,12,FALSE),"")</f>
        <v/>
      </c>
      <c r="Q2050" s="2607" t="s">
        <v>437</v>
      </c>
      <c r="R2050" s="2608" t="str">
        <f>IFERROR(VLOOKUP(F2050,Trainingsarten!$A$9:$N$84,14,FALSE),"")</f>
        <v/>
      </c>
      <c r="S2050" s="2609" t="str">
        <f t="shared" si="501"/>
        <v/>
      </c>
      <c r="T2050" s="2597">
        <f t="shared" si="502"/>
        <v>30.186858998007548</v>
      </c>
      <c r="U2050" s="2597">
        <f t="shared" si="503"/>
        <v>32.346520961919545</v>
      </c>
      <c r="V2050" s="2597">
        <f t="shared" si="504"/>
        <v>-2.0825416667660193</v>
      </c>
      <c r="W2050" s="3284">
        <f t="shared" si="505"/>
        <v>0.93323356269273927</v>
      </c>
      <c r="X2050" s="3300"/>
      <c r="Y2050" s="3316"/>
      <c r="AA2050" s="3301"/>
      <c r="AB2050" s="3409"/>
      <c r="AE2050" s="3438"/>
    </row>
    <row r="2051" spans="1:31" x14ac:dyDescent="0.2">
      <c r="A2051" s="2935" t="s">
        <v>979</v>
      </c>
      <c r="B2051" s="3130">
        <f>IFERROR(AVERAGE(N2047:N2053),"")</f>
        <v>1.0583223729043478</v>
      </c>
      <c r="C2051" s="3025">
        <v>45149</v>
      </c>
      <c r="D2051" s="2597">
        <v>120</v>
      </c>
      <c r="E2051" s="2598" t="s">
        <v>835</v>
      </c>
      <c r="F2051" s="3064" t="s">
        <v>819</v>
      </c>
      <c r="G2051" s="2599">
        <v>3.8657407407407404E-2</v>
      </c>
      <c r="H2051" s="2600">
        <v>8.8699999999999992</v>
      </c>
      <c r="I2051" s="2601">
        <f t="shared" si="499"/>
        <v>4.358219549876822E-3</v>
      </c>
      <c r="J2051" s="2602">
        <v>120</v>
      </c>
      <c r="K2051" s="2603">
        <v>50</v>
      </c>
      <c r="L2051" s="2816">
        <v>188</v>
      </c>
      <c r="M2051" s="2840">
        <v>17</v>
      </c>
      <c r="N2051" s="2604">
        <f t="shared" si="500"/>
        <v>1.0565885342173016</v>
      </c>
      <c r="O2051" s="2605" t="s">
        <v>976</v>
      </c>
      <c r="P2051" s="2606">
        <f>IFERROR(VLOOKUP(F2051,Trainingsarten!$A$9:$N$84,12,FALSE),"")</f>
        <v>194.60000000000002</v>
      </c>
      <c r="Q2051" s="2607" t="s">
        <v>437</v>
      </c>
      <c r="R2051" s="2608">
        <f>IFERROR(VLOOKUP(F2051,Trainingsarten!$A$9:$N$84,14,FALSE),"")</f>
        <v>212.96</v>
      </c>
      <c r="S2051" s="2609">
        <f t="shared" si="501"/>
        <v>1.5666666666666667</v>
      </c>
      <c r="T2051" s="2597">
        <f t="shared" si="502"/>
        <v>33.017307712577896</v>
      </c>
      <c r="U2051" s="2597">
        <f t="shared" si="503"/>
        <v>32.766841891397654</v>
      </c>
      <c r="V2051" s="2597">
        <f t="shared" si="504"/>
        <v>2.1596619639119972</v>
      </c>
      <c r="W2051" s="3284">
        <f t="shared" si="505"/>
        <v>1.0076438804206516</v>
      </c>
      <c r="X2051" s="3300"/>
      <c r="Y2051" s="3316"/>
      <c r="AA2051" s="3301"/>
      <c r="AB2051" s="3409"/>
      <c r="AE2051" s="3438"/>
    </row>
    <row r="2052" spans="1:31" x14ac:dyDescent="0.2">
      <c r="A2052" s="2935" t="s">
        <v>980</v>
      </c>
      <c r="B2052" s="3002">
        <f>IFERROR(AVERAGE(S2047:S2053),"")</f>
        <v>1.6083364231862562</v>
      </c>
      <c r="C2052" s="3026">
        <v>45150</v>
      </c>
      <c r="D2052" s="2887">
        <v>121</v>
      </c>
      <c r="E2052" s="2888" t="s">
        <v>835</v>
      </c>
      <c r="F2052" s="3063" t="s">
        <v>943</v>
      </c>
      <c r="G2052" s="2890">
        <v>3.6828703703703704E-2</v>
      </c>
      <c r="H2052" s="2891">
        <v>8.9</v>
      </c>
      <c r="I2052" s="2892">
        <f t="shared" si="499"/>
        <v>4.1380565959217644E-3</v>
      </c>
      <c r="J2052" s="2893">
        <v>124</v>
      </c>
      <c r="K2052" s="2894">
        <v>55</v>
      </c>
      <c r="L2052" s="2816">
        <v>202</v>
      </c>
      <c r="M2052" s="2893">
        <v>24</v>
      </c>
      <c r="N2052" s="2895">
        <f t="shared" si="500"/>
        <v>1.077920509810498</v>
      </c>
      <c r="O2052" s="2896" t="s">
        <v>1462</v>
      </c>
      <c r="P2052" s="2897">
        <f>IFERROR(VLOOKUP(F2052,Trainingsarten!$A$9:$N$84,12,FALSE),"")</f>
        <v>194.60000000000002</v>
      </c>
      <c r="Q2052" s="2898" t="s">
        <v>437</v>
      </c>
      <c r="R2052" s="2899">
        <f>IFERROR(VLOOKUP(F2052,Trainingsarten!$A$9:$N$84,14,FALSE),"")</f>
        <v>212.96</v>
      </c>
      <c r="S2052" s="2845">
        <f t="shared" si="501"/>
        <v>1.6290322580645162</v>
      </c>
      <c r="T2052" s="2887">
        <f t="shared" si="502"/>
        <v>36.157692325066769</v>
      </c>
      <c r="U2052" s="2887">
        <f t="shared" si="503"/>
        <v>33.296202798745327</v>
      </c>
      <c r="V2052" s="2887">
        <f t="shared" si="504"/>
        <v>-0.25046582118024219</v>
      </c>
      <c r="W2052" s="3284">
        <f t="shared" si="505"/>
        <v>1.0859404161975272</v>
      </c>
      <c r="X2052" s="3300"/>
      <c r="Y2052" s="3316"/>
      <c r="AA2052" s="3301"/>
      <c r="AB2052" s="3409"/>
      <c r="AE2052" s="3438"/>
    </row>
    <row r="2053" spans="1:31" ht="16" thickBot="1" x14ac:dyDescent="0.25">
      <c r="A2053" s="2936" t="s">
        <v>183</v>
      </c>
      <c r="B2053" s="3003">
        <f>IFERROR(SUM(M2047:M2053),"")</f>
        <v>353</v>
      </c>
      <c r="C2053" s="3027">
        <v>45151</v>
      </c>
      <c r="D2053" s="1788">
        <v>122</v>
      </c>
      <c r="E2053" s="1789" t="s">
        <v>836</v>
      </c>
      <c r="F2053" s="3206" t="s">
        <v>862</v>
      </c>
      <c r="G2053" s="2577">
        <v>8.3576388888888895E-2</v>
      </c>
      <c r="H2053" s="2578">
        <v>17.2</v>
      </c>
      <c r="I2053" s="2579">
        <f t="shared" si="499"/>
        <v>4.8590923772609826E-3</v>
      </c>
      <c r="J2053" s="2580">
        <v>134</v>
      </c>
      <c r="K2053" s="2581">
        <v>115</v>
      </c>
      <c r="L2053" s="2821">
        <v>185</v>
      </c>
      <c r="M2053" s="2580">
        <v>290</v>
      </c>
      <c r="N2053" s="2582"/>
      <c r="O2053" s="2583" t="s">
        <v>1465</v>
      </c>
      <c r="P2053" s="2584" t="str">
        <f>IFERROR(VLOOKUP(F2053,Trainingsarten!$A$9:$N$84,12,FALSE),"")</f>
        <v/>
      </c>
      <c r="Q2053" s="945" t="s">
        <v>437</v>
      </c>
      <c r="R2053" s="946" t="str">
        <f>IFERROR(VLOOKUP(F2053,Trainingsarten!$A$9:$N$84,14,FALSE),"")</f>
        <v/>
      </c>
      <c r="S2053" s="2390"/>
      <c r="T2053" s="1788">
        <f t="shared" si="502"/>
        <v>47.420879135771514</v>
      </c>
      <c r="U2053" s="1788">
        <f t="shared" si="503"/>
        <v>35.241531303537101</v>
      </c>
      <c r="V2053" s="1788">
        <f t="shared" si="504"/>
        <v>-2.8614895263214422</v>
      </c>
      <c r="W2053" s="3293">
        <f t="shared" si="505"/>
        <v>1.3455964420879749</v>
      </c>
      <c r="X2053" s="3300"/>
      <c r="Y2053" s="3316"/>
      <c r="AA2053" s="3301"/>
      <c r="AB2053" s="3409"/>
      <c r="AE2053" s="3438"/>
    </row>
    <row r="2054" spans="1:31" ht="16" thickBot="1" x14ac:dyDescent="0.25">
      <c r="A2054" s="3439">
        <f>WEEKNUM(C2054,1)</f>
        <v>33</v>
      </c>
      <c r="B2054" s="3440"/>
      <c r="C2054" s="3028">
        <v>45152</v>
      </c>
      <c r="D2054" s="2586"/>
      <c r="E2054" s="2587"/>
      <c r="F2054" s="3063"/>
      <c r="G2054" s="2588"/>
      <c r="H2054" s="2589" t="str">
        <f>IFERROR(VLOOKUP(F2054,Trainingsarten!$A$9:$K$84,10,FALSE),"")</f>
        <v/>
      </c>
      <c r="I2054" s="2590" t="str">
        <f t="shared" si="499"/>
        <v/>
      </c>
      <c r="J2054" s="2591"/>
      <c r="K2054" s="2592" t="str">
        <f>IFERROR(VLOOKUP(F2054,Trainingsarten!$A$9:$K$84,11,FALSE),"0")</f>
        <v>0</v>
      </c>
      <c r="L2054" s="2815"/>
      <c r="M2054" s="2591"/>
      <c r="N2054" s="2593" t="str">
        <f t="shared" si="500"/>
        <v/>
      </c>
      <c r="O2054" s="2594"/>
      <c r="P2054" s="1919" t="str">
        <f>IFERROR(VLOOKUP(F2054,Trainingsarten!$A$9:$N$84,12,FALSE),"")</f>
        <v/>
      </c>
      <c r="Q2054" s="1069" t="s">
        <v>437</v>
      </c>
      <c r="R2054" s="2462" t="str">
        <f>IFERROR(VLOOKUP(F2054,Trainingsarten!$A$9:$N$84,14,FALSE),"")</f>
        <v/>
      </c>
      <c r="S2054" s="2595" t="str">
        <f t="shared" si="501"/>
        <v/>
      </c>
      <c r="T2054" s="2586">
        <f t="shared" si="502"/>
        <v>40.646467830661301</v>
      </c>
      <c r="U2054" s="2586">
        <f t="shared" si="503"/>
        <v>34.402447224881456</v>
      </c>
      <c r="V2054" s="2586">
        <f t="shared" si="504"/>
        <v>-12.179347832234413</v>
      </c>
      <c r="W2054" s="3283">
        <f t="shared" si="505"/>
        <v>1.1814993150040756</v>
      </c>
      <c r="X2054" s="3300"/>
      <c r="Y2054" s="3316"/>
      <c r="AA2054" s="3301"/>
      <c r="AB2054" s="3409"/>
      <c r="AE2054" s="3438"/>
    </row>
    <row r="2055" spans="1:31" x14ac:dyDescent="0.2">
      <c r="A2055" s="2934" t="s">
        <v>626</v>
      </c>
      <c r="B2055" s="3000">
        <f>SUM(H2054:H2060)</f>
        <v>29.130000000000003</v>
      </c>
      <c r="C2055" s="3025">
        <v>45153</v>
      </c>
      <c r="D2055" s="2597">
        <v>123</v>
      </c>
      <c r="E2055" s="2598" t="s">
        <v>835</v>
      </c>
      <c r="F2055" s="3060" t="s">
        <v>943</v>
      </c>
      <c r="G2055" s="2599">
        <v>3.8391203703703698E-2</v>
      </c>
      <c r="H2055" s="2600">
        <v>8.8800000000000008</v>
      </c>
      <c r="I2055" s="2601">
        <f t="shared" si="499"/>
        <v>4.323333750417083E-3</v>
      </c>
      <c r="J2055" s="2602">
        <v>123</v>
      </c>
      <c r="K2055" s="2603">
        <v>49</v>
      </c>
      <c r="L2055" s="2816">
        <v>190</v>
      </c>
      <c r="M2055" s="2840">
        <v>15</v>
      </c>
      <c r="N2055" s="2604">
        <f t="shared" si="500"/>
        <v>1.0592812962215945</v>
      </c>
      <c r="O2055" s="2605" t="s">
        <v>976</v>
      </c>
      <c r="P2055" s="2606">
        <f>IFERROR(VLOOKUP(F2055,Trainingsarten!$A$9:$N$84,12,FALSE),"")</f>
        <v>194.60000000000002</v>
      </c>
      <c r="Q2055" s="2607" t="s">
        <v>437</v>
      </c>
      <c r="R2055" s="2608">
        <f>IFERROR(VLOOKUP(F2055,Trainingsarten!$A$9:$N$84,14,FALSE),"")</f>
        <v>212.96</v>
      </c>
      <c r="S2055" s="2609">
        <f t="shared" si="501"/>
        <v>1.5447154471544715</v>
      </c>
      <c r="T2055" s="2597">
        <f t="shared" si="502"/>
        <v>41.83982956913826</v>
      </c>
      <c r="U2055" s="2597">
        <f t="shared" si="503"/>
        <v>34.750008005241419</v>
      </c>
      <c r="V2055" s="2597">
        <f t="shared" si="504"/>
        <v>-6.2440206057798449</v>
      </c>
      <c r="W2055" s="3284">
        <f t="shared" si="505"/>
        <v>1.2040235951262936</v>
      </c>
      <c r="X2055" s="3300"/>
      <c r="Y2055" s="3316"/>
      <c r="AA2055" s="3301"/>
      <c r="AB2055" s="3409"/>
      <c r="AE2055" s="3438"/>
    </row>
    <row r="2056" spans="1:31" x14ac:dyDescent="0.2">
      <c r="A2056" s="2935" t="s">
        <v>628</v>
      </c>
      <c r="B2056" s="3001">
        <f>SUM(K2054:K2060)</f>
        <v>166</v>
      </c>
      <c r="C2056" s="3025">
        <v>45154</v>
      </c>
      <c r="D2056" s="2597"/>
      <c r="E2056" s="2598"/>
      <c r="F2056" s="3061"/>
      <c r="G2056" s="2599"/>
      <c r="H2056" s="2600" t="str">
        <f>IFERROR(VLOOKUP(F2056,Trainingsarten!$A$9:$K$84,10,FALSE),"")</f>
        <v/>
      </c>
      <c r="I2056" s="2601" t="str">
        <f t="shared" si="499"/>
        <v/>
      </c>
      <c r="J2056" s="2602"/>
      <c r="K2056" s="2603" t="str">
        <f>IFERROR(VLOOKUP(F2056,Trainingsarten!$A$9:$K$84,11,FALSE),"0")</f>
        <v>0</v>
      </c>
      <c r="L2056" s="2816"/>
      <c r="M2056" s="2840"/>
      <c r="N2056" s="2604" t="str">
        <f t="shared" si="500"/>
        <v/>
      </c>
      <c r="O2056" s="2605"/>
      <c r="P2056" s="2606" t="str">
        <f>IFERROR(VLOOKUP(F2056,Trainingsarten!$A$9:$N$84,12,FALSE),"")</f>
        <v/>
      </c>
      <c r="Q2056" s="2607" t="s">
        <v>437</v>
      </c>
      <c r="R2056" s="2608" t="str">
        <f>IFERROR(VLOOKUP(F2056,Trainingsarten!$A$9:$N$84,14,FALSE),"")</f>
        <v/>
      </c>
      <c r="S2056" s="2609" t="str">
        <f t="shared" si="501"/>
        <v/>
      </c>
      <c r="T2056" s="2597">
        <f t="shared" si="502"/>
        <v>35.862711059261365</v>
      </c>
      <c r="U2056" s="2597">
        <f t="shared" si="503"/>
        <v>33.922626862259477</v>
      </c>
      <c r="V2056" s="2597">
        <f t="shared" si="504"/>
        <v>-7.0898215638968409</v>
      </c>
      <c r="W2056" s="3284">
        <f t="shared" si="505"/>
        <v>1.0571914493791847</v>
      </c>
      <c r="X2056" s="3300"/>
      <c r="Y2056" s="3316"/>
      <c r="AA2056" s="3301"/>
      <c r="AB2056" s="3409"/>
      <c r="AE2056" s="3438"/>
    </row>
    <row r="2057" spans="1:31" x14ac:dyDescent="0.2">
      <c r="A2057" s="2935" t="s">
        <v>761</v>
      </c>
      <c r="B2057" s="3002">
        <f>AVERAGE(W2054:W2060)</f>
        <v>1.0511495494421419</v>
      </c>
      <c r="C2057" s="3025">
        <v>45155</v>
      </c>
      <c r="D2057" s="2597">
        <v>124</v>
      </c>
      <c r="E2057" s="2598" t="s">
        <v>835</v>
      </c>
      <c r="F2057" s="3061" t="s">
        <v>943</v>
      </c>
      <c r="G2057" s="2599">
        <v>3.5451388888888886E-2</v>
      </c>
      <c r="H2057" s="2600">
        <v>8.39</v>
      </c>
      <c r="I2057" s="2601">
        <f t="shared" si="499"/>
        <v>4.2254337173884245E-3</v>
      </c>
      <c r="J2057" s="2602">
        <v>125</v>
      </c>
      <c r="K2057" s="2603">
        <v>49</v>
      </c>
      <c r="L2057" s="2816">
        <v>197</v>
      </c>
      <c r="M2057" s="2840">
        <v>16</v>
      </c>
      <c r="N2057" s="2604">
        <f t="shared" si="500"/>
        <v>1.0734367495063417</v>
      </c>
      <c r="O2057" s="2605" t="s">
        <v>957</v>
      </c>
      <c r="P2057" s="2606">
        <f>IFERROR(VLOOKUP(F2057,Trainingsarten!$A$9:$N$84,12,FALSE),"")</f>
        <v>194.60000000000002</v>
      </c>
      <c r="Q2057" s="2607" t="s">
        <v>437</v>
      </c>
      <c r="R2057" s="2608">
        <f>IFERROR(VLOOKUP(F2057,Trainingsarten!$A$9:$N$84,14,FALSE),"")</f>
        <v>212.96</v>
      </c>
      <c r="S2057" s="2609">
        <f t="shared" si="501"/>
        <v>1.5760000000000001</v>
      </c>
      <c r="T2057" s="2597">
        <f t="shared" si="502"/>
        <v>37.739466622224029</v>
      </c>
      <c r="U2057" s="2597">
        <f t="shared" si="503"/>
        <v>34.281611936967586</v>
      </c>
      <c r="V2057" s="2597">
        <f t="shared" si="504"/>
        <v>-1.9400841970018874</v>
      </c>
      <c r="W2057" s="3284">
        <f t="shared" si="505"/>
        <v>1.1008661638085828</v>
      </c>
      <c r="X2057" s="3300"/>
      <c r="Y2057" s="3316"/>
      <c r="AA2057" s="3301"/>
      <c r="AB2057" s="3409"/>
      <c r="AE2057" s="3438"/>
    </row>
    <row r="2058" spans="1:31" x14ac:dyDescent="0.2">
      <c r="A2058" s="2935" t="s">
        <v>979</v>
      </c>
      <c r="B2058" s="3130">
        <f>IFERROR(AVERAGE(N2054:N2060),"")</f>
        <v>1.0701305502405061</v>
      </c>
      <c r="C2058" s="3025">
        <v>45156</v>
      </c>
      <c r="D2058" s="2597"/>
      <c r="E2058" s="2598"/>
      <c r="F2058" s="3061"/>
      <c r="G2058" s="2599"/>
      <c r="H2058" s="2600" t="str">
        <f>IFERROR(VLOOKUP(F2058,Trainingsarten!$A$9:$K$84,10,FALSE),"")</f>
        <v/>
      </c>
      <c r="I2058" s="2601" t="str">
        <f t="shared" si="499"/>
        <v/>
      </c>
      <c r="J2058" s="2602"/>
      <c r="K2058" s="2603" t="str">
        <f>IFERROR(VLOOKUP(F2058,Trainingsarten!$A$9:$K$84,11,FALSE),"0")</f>
        <v>0</v>
      </c>
      <c r="L2058" s="2816"/>
      <c r="M2058" s="2840"/>
      <c r="N2058" s="2604" t="str">
        <f t="shared" si="500"/>
        <v/>
      </c>
      <c r="O2058" s="2605"/>
      <c r="P2058" s="2606" t="str">
        <f>IFERROR(VLOOKUP(F2058,Trainingsarten!$A$9:$N$84,12,FALSE),"")</f>
        <v/>
      </c>
      <c r="Q2058" s="2607" t="s">
        <v>437</v>
      </c>
      <c r="R2058" s="2608" t="str">
        <f>IFERROR(VLOOKUP(F2058,Trainingsarten!$A$9:$N$84,14,FALSE),"")</f>
        <v/>
      </c>
      <c r="S2058" s="2609" t="str">
        <f t="shared" si="501"/>
        <v/>
      </c>
      <c r="T2058" s="2597">
        <f t="shared" si="502"/>
        <v>32.348114247620593</v>
      </c>
      <c r="U2058" s="2597">
        <f t="shared" si="503"/>
        <v>33.465383081325498</v>
      </c>
      <c r="V2058" s="2597">
        <f t="shared" si="504"/>
        <v>-3.4578546852564429</v>
      </c>
      <c r="W2058" s="3284">
        <f t="shared" si="505"/>
        <v>0.96661419261241421</v>
      </c>
      <c r="X2058" s="3300"/>
      <c r="Y2058" s="3316"/>
      <c r="AA2058" s="3301"/>
      <c r="AB2058" s="3409"/>
      <c r="AE2058" s="3438"/>
    </row>
    <row r="2059" spans="1:31" x14ac:dyDescent="0.2">
      <c r="A2059" s="2935" t="s">
        <v>980</v>
      </c>
      <c r="B2059" s="3002">
        <f>IFERROR(AVERAGE(S2054:S2060),"")</f>
        <v>1.5632737127371275</v>
      </c>
      <c r="C2059" s="3026">
        <v>45157</v>
      </c>
      <c r="D2059" s="2887"/>
      <c r="E2059" s="2888"/>
      <c r="F2059" s="3061"/>
      <c r="G2059" s="2890"/>
      <c r="H2059" s="2891" t="str">
        <f>IFERROR(VLOOKUP(F2059,Trainingsarten!$A$9:$K$84,10,FALSE),"")</f>
        <v/>
      </c>
      <c r="I2059" s="2892" t="str">
        <f t="shared" si="499"/>
        <v/>
      </c>
      <c r="J2059" s="2893"/>
      <c r="K2059" s="2894" t="str">
        <f>IFERROR(VLOOKUP(F2059,Trainingsarten!$A$9:$K$84,11,FALSE),"0")</f>
        <v>0</v>
      </c>
      <c r="L2059" s="2816"/>
      <c r="M2059" s="2893"/>
      <c r="N2059" s="2895" t="str">
        <f t="shared" si="500"/>
        <v/>
      </c>
      <c r="O2059" s="2896"/>
      <c r="P2059" s="2897" t="str">
        <f>IFERROR(VLOOKUP(F2059,Trainingsarten!$A$9:$N$84,12,FALSE),"")</f>
        <v/>
      </c>
      <c r="Q2059" s="2898" t="s">
        <v>437</v>
      </c>
      <c r="R2059" s="2899" t="str">
        <f>IFERROR(VLOOKUP(F2059,Trainingsarten!$A$9:$N$84,14,FALSE),"")</f>
        <v/>
      </c>
      <c r="S2059" s="2845" t="str">
        <f t="shared" si="501"/>
        <v/>
      </c>
      <c r="T2059" s="2887">
        <f t="shared" si="502"/>
        <v>27.726955069389078</v>
      </c>
      <c r="U2059" s="2887">
        <f t="shared" si="503"/>
        <v>32.66858824605584</v>
      </c>
      <c r="V2059" s="2887">
        <f t="shared" si="504"/>
        <v>1.1172688337049053</v>
      </c>
      <c r="W2059" s="3284">
        <f t="shared" si="505"/>
        <v>0.84873441302553443</v>
      </c>
      <c r="X2059" s="3300"/>
      <c r="Y2059" s="3316"/>
      <c r="AA2059" s="3301"/>
      <c r="AB2059" s="3409"/>
      <c r="AE2059" s="3438"/>
    </row>
    <row r="2060" spans="1:31" ht="16" thickBot="1" x14ac:dyDescent="0.25">
      <c r="A2060" s="2936" t="s">
        <v>183</v>
      </c>
      <c r="B2060" s="3003">
        <f>IFERROR(SUM(M2054:M2060),"")</f>
        <v>64</v>
      </c>
      <c r="C2060" s="3027">
        <v>45158</v>
      </c>
      <c r="D2060" s="1788">
        <v>125</v>
      </c>
      <c r="E2060" s="1789" t="s">
        <v>835</v>
      </c>
      <c r="F2060" s="3061" t="s">
        <v>819</v>
      </c>
      <c r="G2060" s="2577">
        <v>5.1354166666666666E-2</v>
      </c>
      <c r="H2060" s="2578">
        <v>11.86</v>
      </c>
      <c r="I2060" s="2579">
        <f t="shared" si="499"/>
        <v>4.3300309162450819E-3</v>
      </c>
      <c r="J2060" s="2580">
        <v>123</v>
      </c>
      <c r="K2060" s="2581">
        <v>68</v>
      </c>
      <c r="L2060" s="2821">
        <v>193</v>
      </c>
      <c r="M2060" s="2580">
        <v>33</v>
      </c>
      <c r="N2060" s="2582">
        <f t="shared" si="500"/>
        <v>1.077673604993582</v>
      </c>
      <c r="O2060" s="2583" t="s">
        <v>953</v>
      </c>
      <c r="P2060" s="2584">
        <f>IFERROR(VLOOKUP(F2060,Trainingsarten!$A$9:$N$84,12,FALSE),"")</f>
        <v>194.60000000000002</v>
      </c>
      <c r="Q2060" s="945" t="s">
        <v>437</v>
      </c>
      <c r="R2060" s="946">
        <f>IFERROR(VLOOKUP(F2060,Trainingsarten!$A$9:$N$84,14,FALSE),"")</f>
        <v>212.96</v>
      </c>
      <c r="S2060" s="2390">
        <f t="shared" si="501"/>
        <v>1.5691056910569106</v>
      </c>
      <c r="T2060" s="1788">
        <f t="shared" si="502"/>
        <v>33.480247202333494</v>
      </c>
      <c r="U2060" s="1788">
        <f t="shared" si="503"/>
        <v>33.509812335435463</v>
      </c>
      <c r="V2060" s="1788">
        <f t="shared" si="504"/>
        <v>4.9416331766667625</v>
      </c>
      <c r="W2060" s="3293">
        <f t="shared" si="505"/>
        <v>0.99911771713890785</v>
      </c>
      <c r="X2060" s="3300"/>
      <c r="Y2060" s="3316"/>
      <c r="AA2060" s="3301"/>
      <c r="AB2060" s="3409"/>
      <c r="AE2060" s="3438"/>
    </row>
    <row r="2061" spans="1:31" ht="16" thickBot="1" x14ac:dyDescent="0.25">
      <c r="A2061" s="3439">
        <f>WEEKNUM(C2061,1)</f>
        <v>34</v>
      </c>
      <c r="B2061" s="3440"/>
      <c r="C2061" s="3028">
        <v>45159</v>
      </c>
      <c r="D2061" s="2586"/>
      <c r="E2061" s="2587"/>
      <c r="F2061" s="3061"/>
      <c r="G2061" s="2588"/>
      <c r="H2061" s="2589" t="str">
        <f>IFERROR(VLOOKUP(F2061,Trainingsarten!$A$9:$K$84,10,FALSE),"")</f>
        <v/>
      </c>
      <c r="I2061" s="2590" t="str">
        <f t="shared" si="499"/>
        <v/>
      </c>
      <c r="J2061" s="2591"/>
      <c r="K2061" s="2592" t="str">
        <f>IFERROR(VLOOKUP(F2061,Trainingsarten!$A$9:$K$84,11,FALSE),"0")</f>
        <v>0</v>
      </c>
      <c r="L2061" s="2815"/>
      <c r="M2061" s="2591"/>
      <c r="N2061" s="2593" t="str">
        <f t="shared" si="500"/>
        <v/>
      </c>
      <c r="O2061" s="2594"/>
      <c r="P2061" s="1919" t="str">
        <f>IFERROR(VLOOKUP(F2061,Trainingsarten!$A$9:$N$84,12,FALSE),"")</f>
        <v/>
      </c>
      <c r="Q2061" s="1069" t="s">
        <v>437</v>
      </c>
      <c r="R2061" s="2462" t="str">
        <f>IFERROR(VLOOKUP(F2061,Trainingsarten!$A$9:$N$84,14,FALSE),"")</f>
        <v/>
      </c>
      <c r="S2061" s="2595" t="str">
        <f t="shared" si="501"/>
        <v/>
      </c>
      <c r="T2061" s="2586">
        <f t="shared" si="502"/>
        <v>28.697354744857279</v>
      </c>
      <c r="U2061" s="2586">
        <f t="shared" si="503"/>
        <v>32.711959660782234</v>
      </c>
      <c r="V2061" s="2586">
        <f t="shared" si="504"/>
        <v>2.9565133101968399E-2</v>
      </c>
      <c r="W2061" s="3283">
        <f t="shared" si="505"/>
        <v>0.87727409309757765</v>
      </c>
      <c r="X2061" s="3300"/>
      <c r="Y2061" s="3316"/>
      <c r="AA2061" s="3301"/>
      <c r="AB2061" s="3409"/>
      <c r="AE2061" s="3195"/>
    </row>
    <row r="2062" spans="1:31" x14ac:dyDescent="0.2">
      <c r="A2062" s="2934" t="s">
        <v>626</v>
      </c>
      <c r="B2062" s="3000">
        <f>SUM(H2061:H2067)</f>
        <v>37.22</v>
      </c>
      <c r="C2062" s="2596">
        <v>45160</v>
      </c>
      <c r="D2062" s="2597">
        <v>126</v>
      </c>
      <c r="E2062" s="2598" t="s">
        <v>835</v>
      </c>
      <c r="F2062" s="3061" t="s">
        <v>943</v>
      </c>
      <c r="G2062" s="2599">
        <v>2.9583333333333336E-2</v>
      </c>
      <c r="H2062" s="2600">
        <v>7.21</v>
      </c>
      <c r="I2062" s="2601">
        <f t="shared" si="499"/>
        <v>4.1030975496994916E-3</v>
      </c>
      <c r="J2062" s="2602">
        <v>128</v>
      </c>
      <c r="K2062" s="2603">
        <v>42</v>
      </c>
      <c r="L2062" s="2816">
        <v>199</v>
      </c>
      <c r="M2062" s="2840">
        <v>18</v>
      </c>
      <c r="N2062" s="2604">
        <f t="shared" si="500"/>
        <v>1.0529405676195995</v>
      </c>
      <c r="O2062" s="2605" t="s">
        <v>976</v>
      </c>
      <c r="P2062" s="2606">
        <f>IFERROR(VLOOKUP(F2062,Trainingsarten!$A$9:$N$84,12,FALSE),"")</f>
        <v>194.60000000000002</v>
      </c>
      <c r="Q2062" s="2607" t="s">
        <v>437</v>
      </c>
      <c r="R2062" s="2608">
        <f>IFERROR(VLOOKUP(F2062,Trainingsarten!$A$9:$N$84,14,FALSE),"")</f>
        <v>212.96</v>
      </c>
      <c r="S2062" s="2609">
        <f t="shared" si="501"/>
        <v>1.5546875</v>
      </c>
      <c r="T2062" s="2597">
        <f t="shared" si="502"/>
        <v>30.597732638449095</v>
      </c>
      <c r="U2062" s="2597">
        <f t="shared" si="503"/>
        <v>32.933103478382655</v>
      </c>
      <c r="V2062" s="2597">
        <f t="shared" si="504"/>
        <v>4.0146049159249557</v>
      </c>
      <c r="W2062" s="3284">
        <f t="shared" si="505"/>
        <v>0.92908743503428093</v>
      </c>
      <c r="X2062" s="3300"/>
      <c r="Y2062" s="3316"/>
      <c r="AA2062" s="3301"/>
      <c r="AB2062" s="3409"/>
      <c r="AE2062" s="3195"/>
    </row>
    <row r="2063" spans="1:31" ht="16" thickBot="1" x14ac:dyDescent="0.25">
      <c r="A2063" s="2935" t="s">
        <v>628</v>
      </c>
      <c r="B2063" s="3001">
        <f>SUM(K2061:K2067)</f>
        <v>231</v>
      </c>
      <c r="C2063" s="2596">
        <v>45161</v>
      </c>
      <c r="D2063" s="2597"/>
      <c r="E2063" s="2598"/>
      <c r="F2063" s="3061"/>
      <c r="G2063" s="2599"/>
      <c r="H2063" s="2600" t="str">
        <f>IFERROR(VLOOKUP(F2063,Trainingsarten!$A$9:$K$84,10,FALSE),"")</f>
        <v/>
      </c>
      <c r="I2063" s="2601" t="str">
        <f t="shared" si="499"/>
        <v/>
      </c>
      <c r="J2063" s="2602"/>
      <c r="K2063" s="2603" t="str">
        <f>IFERROR(VLOOKUP(F2063,Trainingsarten!$A$9:$K$84,11,FALSE),"0")</f>
        <v>0</v>
      </c>
      <c r="L2063" s="2816"/>
      <c r="M2063" s="2840"/>
      <c r="N2063" s="2604" t="str">
        <f t="shared" si="500"/>
        <v/>
      </c>
      <c r="O2063" s="2605"/>
      <c r="P2063" s="2606" t="str">
        <f>IFERROR(VLOOKUP(F2063,Trainingsarten!$A$9:$N$84,12,FALSE),"")</f>
        <v/>
      </c>
      <c r="Q2063" s="2607" t="s">
        <v>437</v>
      </c>
      <c r="R2063" s="2608" t="str">
        <f>IFERROR(VLOOKUP(F2063,Trainingsarten!$A$9:$N$84,14,FALSE),"")</f>
        <v/>
      </c>
      <c r="S2063" s="2609" t="str">
        <f t="shared" si="501"/>
        <v/>
      </c>
      <c r="T2063" s="2597">
        <f t="shared" si="502"/>
        <v>26.226627975813511</v>
      </c>
      <c r="U2063" s="2597">
        <f t="shared" si="503"/>
        <v>32.148981966992594</v>
      </c>
      <c r="V2063" s="2597">
        <f t="shared" si="504"/>
        <v>2.3353708399335602</v>
      </c>
      <c r="W2063" s="3284">
        <f t="shared" si="505"/>
        <v>0.81578408929839297</v>
      </c>
      <c r="X2063" s="3300"/>
      <c r="Y2063" s="3316"/>
      <c r="AA2063" s="3301"/>
      <c r="AB2063" s="3409"/>
      <c r="AE2063" s="3195"/>
    </row>
    <row r="2064" spans="1:31" x14ac:dyDescent="0.2">
      <c r="A2064" s="2935" t="s">
        <v>761</v>
      </c>
      <c r="B2064" s="3002">
        <f>AVERAGE(W2061:W2067)</f>
        <v>0.93502051359982052</v>
      </c>
      <c r="C2064" s="2596">
        <v>45162</v>
      </c>
      <c r="D2064" s="2597">
        <v>127</v>
      </c>
      <c r="E2064" s="2598" t="s">
        <v>836</v>
      </c>
      <c r="F2064" s="3066" t="s">
        <v>914</v>
      </c>
      <c r="G2064" s="2599">
        <v>3.1192129629629629E-2</v>
      </c>
      <c r="H2064" s="2600">
        <v>7.93</v>
      </c>
      <c r="I2064" s="2601">
        <f t="shared" si="499"/>
        <v>3.9334337490075193E-3</v>
      </c>
      <c r="J2064" s="2602">
        <v>143</v>
      </c>
      <c r="K2064" s="2603">
        <v>59</v>
      </c>
      <c r="L2064" s="2816">
        <v>207</v>
      </c>
      <c r="M2064" s="2840">
        <v>21</v>
      </c>
      <c r="N2064" s="2604">
        <f t="shared" si="500"/>
        <v>1.0499802375261145</v>
      </c>
      <c r="O2064" s="2605" t="s">
        <v>1463</v>
      </c>
      <c r="P2064" s="2606">
        <f>IFERROR(VLOOKUP(F2064,Trainingsarten!$A$9:$N$84,12,FALSE),"")</f>
        <v>255.10000000000002</v>
      </c>
      <c r="Q2064" s="2607" t="s">
        <v>437</v>
      </c>
      <c r="R2064" s="2608">
        <f>IFERROR(VLOOKUP(F2064,Trainingsarten!$A$9:$N$84,14,FALSE),"")</f>
        <v>278.29999999999995</v>
      </c>
      <c r="S2064" s="2609">
        <f t="shared" si="501"/>
        <v>1.4475524475524475</v>
      </c>
      <c r="T2064" s="2597">
        <f t="shared" si="502"/>
        <v>30.908538264983008</v>
      </c>
      <c r="U2064" s="2597">
        <f t="shared" si="503"/>
        <v>32.788291920159438</v>
      </c>
      <c r="V2064" s="2597">
        <f t="shared" si="504"/>
        <v>5.922353991179083</v>
      </c>
      <c r="W2064" s="3284">
        <f t="shared" si="505"/>
        <v>0.94266997317964318</v>
      </c>
      <c r="X2064" s="3300"/>
      <c r="Y2064" s="3316"/>
      <c r="AA2064" s="3301"/>
      <c r="AB2064" s="3409"/>
      <c r="AE2064" s="3195"/>
    </row>
    <row r="2065" spans="1:31" x14ac:dyDescent="0.2">
      <c r="A2065" s="2935" t="s">
        <v>979</v>
      </c>
      <c r="B2065" s="3130">
        <f>IFERROR(AVERAGE(N2061:N2067),"")</f>
        <v>1.059630070442831</v>
      </c>
      <c r="C2065" s="2596">
        <v>45163</v>
      </c>
      <c r="D2065" s="2597">
        <v>128</v>
      </c>
      <c r="E2065" s="2598" t="s">
        <v>835</v>
      </c>
      <c r="F2065" s="3058" t="s">
        <v>943</v>
      </c>
      <c r="G2065" s="2599">
        <v>3.6435185185185189E-2</v>
      </c>
      <c r="H2065" s="2600">
        <v>8.56</v>
      </c>
      <c r="I2065" s="2601">
        <f t="shared" si="499"/>
        <v>4.2564468674281758E-3</v>
      </c>
      <c r="J2065" s="2602">
        <v>121</v>
      </c>
      <c r="K2065" s="2603">
        <v>50</v>
      </c>
      <c r="L2065" s="2816">
        <v>193</v>
      </c>
      <c r="M2065" s="2840">
        <v>21</v>
      </c>
      <c r="N2065" s="2604">
        <f t="shared" si="500"/>
        <v>1.059359743339378</v>
      </c>
      <c r="O2065" s="2605" t="s">
        <v>1462</v>
      </c>
      <c r="P2065" s="2606">
        <f>IFERROR(VLOOKUP(F2065,Trainingsarten!$A$9:$N$84,12,FALSE),"")</f>
        <v>194.60000000000002</v>
      </c>
      <c r="Q2065" s="2607" t="s">
        <v>437</v>
      </c>
      <c r="R2065" s="2608">
        <f>IFERROR(VLOOKUP(F2065,Trainingsarten!$A$9:$N$84,14,FALSE),"")</f>
        <v>212.96</v>
      </c>
      <c r="S2065" s="2609">
        <f t="shared" si="501"/>
        <v>1.5950413223140496</v>
      </c>
      <c r="T2065" s="2597">
        <f t="shared" si="502"/>
        <v>33.635889941414007</v>
      </c>
      <c r="U2065" s="2597">
        <f t="shared" si="503"/>
        <v>33.198094493488973</v>
      </c>
      <c r="V2065" s="2597">
        <f t="shared" si="504"/>
        <v>1.8797536551764296</v>
      </c>
      <c r="W2065" s="3284">
        <f t="shared" si="505"/>
        <v>1.0131873667632008</v>
      </c>
      <c r="X2065" s="3300"/>
      <c r="Y2065" s="3316"/>
      <c r="AA2065" s="3301"/>
      <c r="AB2065" s="3409"/>
      <c r="AE2065" s="3195"/>
    </row>
    <row r="2066" spans="1:31" x14ac:dyDescent="0.2">
      <c r="A2066" s="2935" t="s">
        <v>980</v>
      </c>
      <c r="B2066" s="3002">
        <f>IFERROR(AVERAGE(S2061:S2067),"")</f>
        <v>1.5320126251589319</v>
      </c>
      <c r="C2066" s="2886">
        <v>45164</v>
      </c>
      <c r="D2066" s="2887"/>
      <c r="E2066" s="2888"/>
      <c r="F2066" s="3059"/>
      <c r="G2066" s="2890"/>
      <c r="H2066" s="2891" t="str">
        <f>IFERROR(VLOOKUP(F2066,Trainingsarten!$A$9:$K$84,10,FALSE),"")</f>
        <v/>
      </c>
      <c r="I2066" s="2892" t="str">
        <f t="shared" si="499"/>
        <v/>
      </c>
      <c r="J2066" s="2893"/>
      <c r="K2066" s="2894" t="str">
        <f>IFERROR(VLOOKUP(F2066,Trainingsarten!$A$9:$K$84,11,FALSE),"0")</f>
        <v>0</v>
      </c>
      <c r="L2066" s="2816"/>
      <c r="M2066" s="2893"/>
      <c r="N2066" s="2895" t="str">
        <f t="shared" si="500"/>
        <v/>
      </c>
      <c r="O2066" s="2896"/>
      <c r="P2066" s="2897" t="str">
        <f>IFERROR(VLOOKUP(F2066,Trainingsarten!$A$9:$N$84,12,FALSE),"")</f>
        <v/>
      </c>
      <c r="Q2066" s="2898" t="s">
        <v>437</v>
      </c>
      <c r="R2066" s="2899" t="str">
        <f>IFERROR(VLOOKUP(F2066,Trainingsarten!$A$9:$N$84,14,FALSE),"")</f>
        <v/>
      </c>
      <c r="S2066" s="2845" t="str">
        <f t="shared" si="501"/>
        <v/>
      </c>
      <c r="T2066" s="2887">
        <f t="shared" si="502"/>
        <v>28.830762806926291</v>
      </c>
      <c r="U2066" s="2887">
        <f t="shared" si="503"/>
        <v>32.407663672215428</v>
      </c>
      <c r="V2066" s="2887">
        <f t="shared" si="504"/>
        <v>-0.43779544792503344</v>
      </c>
      <c r="W2066" s="3284">
        <f t="shared" si="505"/>
        <v>0.88962793179207866</v>
      </c>
      <c r="X2066" s="3300"/>
      <c r="Y2066" s="3316"/>
      <c r="AA2066" s="3301"/>
      <c r="AB2066" s="3409"/>
      <c r="AE2066" s="3195"/>
    </row>
    <row r="2067" spans="1:31" ht="16" thickBot="1" x14ac:dyDescent="0.25">
      <c r="A2067" s="2936" t="s">
        <v>183</v>
      </c>
      <c r="B2067" s="3003">
        <f>IFERROR(SUM(M2061:M2067),"")</f>
        <v>103</v>
      </c>
      <c r="C2067" s="2576">
        <v>45165</v>
      </c>
      <c r="D2067" s="1788">
        <v>129</v>
      </c>
      <c r="E2067" s="1789" t="s">
        <v>835</v>
      </c>
      <c r="F2067" s="3058" t="s">
        <v>906</v>
      </c>
      <c r="G2067" s="2577">
        <v>5.6701388888888891E-2</v>
      </c>
      <c r="H2067" s="2578">
        <v>13.52</v>
      </c>
      <c r="I2067" s="2579">
        <f t="shared" si="499"/>
        <v>4.1938897107166341E-3</v>
      </c>
      <c r="J2067" s="2580">
        <v>130</v>
      </c>
      <c r="K2067" s="2581">
        <v>80</v>
      </c>
      <c r="L2067" s="2821">
        <v>199</v>
      </c>
      <c r="M2067" s="2580">
        <v>43</v>
      </c>
      <c r="N2067" s="2582">
        <f t="shared" si="500"/>
        <v>1.0762397332862317</v>
      </c>
      <c r="O2067" s="2583" t="s">
        <v>953</v>
      </c>
      <c r="P2067" s="2584">
        <f>IFERROR(VLOOKUP(F2067,Trainingsarten!$A$9:$N$84,12,FALSE),"")</f>
        <v>194.60000000000002</v>
      </c>
      <c r="Q2067" s="945" t="s">
        <v>437</v>
      </c>
      <c r="R2067" s="946">
        <f>IFERROR(VLOOKUP(F2067,Trainingsarten!$A$9:$N$84,14,FALSE),"")</f>
        <v>212.96</v>
      </c>
      <c r="S2067" s="2390">
        <f t="shared" si="501"/>
        <v>1.5307692307692307</v>
      </c>
      <c r="T2067" s="1788">
        <f t="shared" si="502"/>
        <v>36.14065383450825</v>
      </c>
      <c r="U2067" s="1788">
        <f t="shared" si="503"/>
        <v>33.540814537162682</v>
      </c>
      <c r="V2067" s="1788">
        <f t="shared" si="504"/>
        <v>3.5769008652891365</v>
      </c>
      <c r="W2067" s="3293">
        <f t="shared" si="505"/>
        <v>1.0775127060335696</v>
      </c>
      <c r="X2067" s="3300"/>
      <c r="Y2067" s="3316"/>
      <c r="AA2067" s="3301"/>
      <c r="AB2067" s="3409"/>
      <c r="AE2067" s="3195"/>
    </row>
    <row r="2068" spans="1:31" ht="16" thickBot="1" x14ac:dyDescent="0.25">
      <c r="A2068" s="3439">
        <f>WEEKNUM(C2068,1)</f>
        <v>35</v>
      </c>
      <c r="B2068" s="3440"/>
      <c r="C2068" s="2585">
        <v>45166</v>
      </c>
      <c r="D2068" s="2586"/>
      <c r="E2068" s="2587"/>
      <c r="F2068" s="3058"/>
      <c r="G2068" s="2588"/>
      <c r="H2068" s="2589" t="str">
        <f>IFERROR(VLOOKUP(F2068,Trainingsarten!$A$9:$K$84,10,FALSE),"")</f>
        <v/>
      </c>
      <c r="I2068" s="2590" t="str">
        <f t="shared" si="499"/>
        <v/>
      </c>
      <c r="J2068" s="2591"/>
      <c r="K2068" s="2592" t="str">
        <f>IFERROR(VLOOKUP(F2068,Trainingsarten!$A$9:$K$84,11,FALSE),"0")</f>
        <v>0</v>
      </c>
      <c r="L2068" s="2815"/>
      <c r="M2068" s="2591"/>
      <c r="N2068" s="2593" t="str">
        <f t="shared" si="500"/>
        <v/>
      </c>
      <c r="O2068" s="2594"/>
      <c r="P2068" s="1919" t="str">
        <f>IFERROR(VLOOKUP(F2068,Trainingsarten!$A$9:$N$84,12,FALSE),"")</f>
        <v/>
      </c>
      <c r="Q2068" s="1069" t="s">
        <v>437</v>
      </c>
      <c r="R2068" s="2462" t="str">
        <f>IFERROR(VLOOKUP(F2068,Trainingsarten!$A$9:$N$84,14,FALSE),"")</f>
        <v/>
      </c>
      <c r="S2068" s="2595" t="str">
        <f t="shared" si="501"/>
        <v/>
      </c>
      <c r="T2068" s="2586">
        <f t="shared" si="502"/>
        <v>30.977703286721358</v>
      </c>
      <c r="U2068" s="2586">
        <f t="shared" si="503"/>
        <v>32.742223714849281</v>
      </c>
      <c r="V2068" s="2586">
        <f t="shared" si="504"/>
        <v>-2.599839297345568</v>
      </c>
      <c r="W2068" s="3283">
        <f t="shared" si="505"/>
        <v>0.94610871749289049</v>
      </c>
      <c r="X2068" s="3300"/>
      <c r="Y2068" s="3316"/>
      <c r="AA2068" s="3301"/>
      <c r="AB2068" s="3409"/>
    </row>
    <row r="2069" spans="1:31" x14ac:dyDescent="0.2">
      <c r="A2069" s="2934" t="s">
        <v>626</v>
      </c>
      <c r="B2069" s="3000">
        <f>SUM(H2068:H2074)</f>
        <v>41.18</v>
      </c>
      <c r="C2069" s="2596">
        <v>45167</v>
      </c>
      <c r="D2069" s="2597">
        <v>130</v>
      </c>
      <c r="E2069" s="2598" t="s">
        <v>836</v>
      </c>
      <c r="F2069" s="3059" t="s">
        <v>943</v>
      </c>
      <c r="G2069" s="2599">
        <v>3.4386574074074076E-2</v>
      </c>
      <c r="H2069" s="2600">
        <v>8.1999999999999993</v>
      </c>
      <c r="I2069" s="2601">
        <f t="shared" si="499"/>
        <v>4.1934846431797655E-3</v>
      </c>
      <c r="J2069" s="2602">
        <v>132</v>
      </c>
      <c r="K2069" s="2603">
        <v>48</v>
      </c>
      <c r="L2069" s="2816">
        <v>196</v>
      </c>
      <c r="M2069" s="2840">
        <v>16</v>
      </c>
      <c r="N2069" s="2604">
        <f t="shared" si="500"/>
        <v>1.0599126319621406</v>
      </c>
      <c r="O2069" s="2605" t="s">
        <v>1462</v>
      </c>
      <c r="P2069" s="2606">
        <f>IFERROR(VLOOKUP(F2069,Trainingsarten!$A$9:$N$84,12,FALSE),"")</f>
        <v>194.60000000000002</v>
      </c>
      <c r="Q2069" s="2607" t="s">
        <v>437</v>
      </c>
      <c r="R2069" s="2608">
        <f>IFERROR(VLOOKUP(F2069,Trainingsarten!$A$9:$N$84,14,FALSE),"")</f>
        <v>212.96</v>
      </c>
      <c r="S2069" s="2609">
        <f t="shared" si="501"/>
        <v>1.4848484848484849</v>
      </c>
      <c r="T2069" s="2597">
        <f t="shared" si="502"/>
        <v>33.409459960046881</v>
      </c>
      <c r="U2069" s="2597">
        <f t="shared" si="503"/>
        <v>33.105504102590963</v>
      </c>
      <c r="V2069" s="2597">
        <f t="shared" si="504"/>
        <v>1.7645204281279234</v>
      </c>
      <c r="W2069" s="3284">
        <f t="shared" si="505"/>
        <v>1.0091814296654111</v>
      </c>
      <c r="X2069" s="3300"/>
      <c r="Y2069" s="3316"/>
      <c r="AA2069" s="3301"/>
      <c r="AB2069" s="3409"/>
    </row>
    <row r="2070" spans="1:31" x14ac:dyDescent="0.2">
      <c r="A2070" s="2935" t="s">
        <v>628</v>
      </c>
      <c r="B2070" s="3001">
        <f>SUM(K2068:K2074)</f>
        <v>256</v>
      </c>
      <c r="C2070" s="2596">
        <v>45168</v>
      </c>
      <c r="D2070" s="2597"/>
      <c r="E2070" s="2598"/>
      <c r="F2070" s="3058"/>
      <c r="G2070" s="2599"/>
      <c r="H2070" s="2600" t="str">
        <f>IFERROR(VLOOKUP(F2070,Trainingsarten!$A$9:$K$84,10,FALSE),"")</f>
        <v/>
      </c>
      <c r="I2070" s="2601" t="str">
        <f t="shared" si="499"/>
        <v/>
      </c>
      <c r="J2070" s="2602"/>
      <c r="K2070" s="2603" t="str">
        <f>IFERROR(VLOOKUP(F2070,Trainingsarten!$A$9:$K$84,11,FALSE),"0")</f>
        <v>0</v>
      </c>
      <c r="L2070" s="2816"/>
      <c r="M2070" s="2840"/>
      <c r="N2070" s="2604" t="str">
        <f t="shared" si="500"/>
        <v/>
      </c>
      <c r="O2070" s="2605"/>
      <c r="P2070" s="2606" t="str">
        <f>IFERROR(VLOOKUP(F2070,Trainingsarten!$A$9:$N$84,12,FALSE),"")</f>
        <v/>
      </c>
      <c r="Q2070" s="2607" t="s">
        <v>437</v>
      </c>
      <c r="R2070" s="2608" t="str">
        <f>IFERROR(VLOOKUP(F2070,Trainingsarten!$A$9:$N$84,14,FALSE),"")</f>
        <v/>
      </c>
      <c r="S2070" s="2609" t="str">
        <f t="shared" si="501"/>
        <v/>
      </c>
      <c r="T2070" s="2597">
        <f t="shared" si="502"/>
        <v>28.636679965754468</v>
      </c>
      <c r="U2070" s="2597">
        <f t="shared" si="503"/>
        <v>32.317277814434036</v>
      </c>
      <c r="V2070" s="2597">
        <f t="shared" si="504"/>
        <v>-0.30395585745591802</v>
      </c>
      <c r="W2070" s="3284">
        <f t="shared" si="505"/>
        <v>0.88611052360865361</v>
      </c>
      <c r="X2070" s="3300"/>
      <c r="Y2070" s="3316"/>
      <c r="AA2070" s="3301"/>
      <c r="AB2070" s="3409"/>
    </row>
    <row r="2071" spans="1:31" x14ac:dyDescent="0.2">
      <c r="A2071" s="2935" t="s">
        <v>761</v>
      </c>
      <c r="B2071" s="3002">
        <f>AVERAGE(W2068:W2074)</f>
        <v>1.0177071165360563</v>
      </c>
      <c r="C2071" s="2596">
        <v>45169</v>
      </c>
      <c r="D2071" s="2597">
        <v>131</v>
      </c>
      <c r="E2071" s="2598" t="s">
        <v>836</v>
      </c>
      <c r="F2071" s="3058" t="s">
        <v>899</v>
      </c>
      <c r="G2071" s="2599">
        <v>4.4328703703703703E-2</v>
      </c>
      <c r="H2071" s="2600">
        <v>11.75</v>
      </c>
      <c r="I2071" s="2601">
        <f t="shared" si="499"/>
        <v>3.7726556343577618E-3</v>
      </c>
      <c r="J2071" s="2602">
        <v>143</v>
      </c>
      <c r="K2071" s="2603">
        <v>82</v>
      </c>
      <c r="L2071" s="2816">
        <v>216</v>
      </c>
      <c r="M2071" s="2840">
        <v>20</v>
      </c>
      <c r="N2071" s="2604">
        <f t="shared" si="500"/>
        <v>1.050847888218482</v>
      </c>
      <c r="O2071" s="2605" t="s">
        <v>1463</v>
      </c>
      <c r="P2071" s="2606">
        <f>IFERROR(VLOOKUP(F2071,Trainingsarten!$A$9:$N$84,12,FALSE),"")</f>
        <v>230.89999999999998</v>
      </c>
      <c r="Q2071" s="2607" t="s">
        <v>437</v>
      </c>
      <c r="R2071" s="2608">
        <f>IFERROR(VLOOKUP(F2071,Trainingsarten!$A$9:$N$84,14,FALSE),"")</f>
        <v>254.10000000000002</v>
      </c>
      <c r="S2071" s="2609">
        <f t="shared" si="501"/>
        <v>1.5104895104895104</v>
      </c>
      <c r="T2071" s="2597">
        <f t="shared" si="502"/>
        <v>36.260011399218115</v>
      </c>
      <c r="U2071" s="2597">
        <f t="shared" si="503"/>
        <v>33.500199771233227</v>
      </c>
      <c r="V2071" s="2597">
        <f t="shared" si="504"/>
        <v>3.6805978486795681</v>
      </c>
      <c r="W2071" s="3284">
        <f t="shared" si="505"/>
        <v>1.0823819453863301</v>
      </c>
      <c r="X2071" s="3300"/>
      <c r="Y2071" s="3316"/>
      <c r="AA2071" s="3301"/>
      <c r="AB2071" s="3409"/>
    </row>
    <row r="2072" spans="1:31" ht="16" thickBot="1" x14ac:dyDescent="0.25">
      <c r="A2072" s="2935" t="s">
        <v>979</v>
      </c>
      <c r="B2072" s="3130">
        <f>IFERROR(AVERAGE(N2068:N2074),"")</f>
        <v>1.0593096556286847</v>
      </c>
      <c r="C2072" s="2596">
        <v>45170</v>
      </c>
      <c r="D2072" s="2597">
        <v>132</v>
      </c>
      <c r="E2072" s="2598" t="s">
        <v>836</v>
      </c>
      <c r="F2072" s="3058" t="s">
        <v>943</v>
      </c>
      <c r="G2072" s="2599">
        <v>2.7777777777777776E-2</v>
      </c>
      <c r="H2072" s="2600">
        <v>6.8</v>
      </c>
      <c r="I2072" s="2601">
        <f t="shared" si="499"/>
        <v>4.0849673202614381E-3</v>
      </c>
      <c r="J2072" s="2602">
        <v>135</v>
      </c>
      <c r="K2072" s="2603">
        <v>39</v>
      </c>
      <c r="L2072" s="2816">
        <v>199</v>
      </c>
      <c r="M2072" s="2840">
        <v>18</v>
      </c>
      <c r="N2072" s="2604">
        <f t="shared" si="500"/>
        <v>1.0482879719051801</v>
      </c>
      <c r="O2072" s="2605" t="s">
        <v>976</v>
      </c>
      <c r="P2072" s="2606">
        <f>IFERROR(VLOOKUP(F2072,Trainingsarten!$A$9:$N$84,12,FALSE),"")</f>
        <v>194.60000000000002</v>
      </c>
      <c r="Q2072" s="2607" t="s">
        <v>437</v>
      </c>
      <c r="R2072" s="2608">
        <f>IFERROR(VLOOKUP(F2072,Trainingsarten!$A$9:$N$84,14,FALSE),"")</f>
        <v>212.96</v>
      </c>
      <c r="S2072" s="2609">
        <f t="shared" si="501"/>
        <v>1.4740740740740741</v>
      </c>
      <c r="T2072" s="2597">
        <f t="shared" si="502"/>
        <v>36.651438342186957</v>
      </c>
      <c r="U2072" s="2597">
        <f t="shared" si="503"/>
        <v>33.631147395727673</v>
      </c>
      <c r="V2072" s="2597">
        <f t="shared" si="504"/>
        <v>-2.7598116279848881</v>
      </c>
      <c r="W2072" s="3284">
        <f t="shared" si="505"/>
        <v>1.0898063604824546</v>
      </c>
      <c r="X2072" s="3300"/>
      <c r="Y2072" s="3316"/>
      <c r="AA2072" s="3301"/>
      <c r="AB2072" s="3409"/>
    </row>
    <row r="2073" spans="1:31" x14ac:dyDescent="0.2">
      <c r="A2073" s="2935" t="s">
        <v>980</v>
      </c>
      <c r="B2073" s="3002">
        <f>IFERROR(AVERAGE(S2068:S2074),"")</f>
        <v>1.5018227143227143</v>
      </c>
      <c r="C2073" s="2886">
        <v>45171</v>
      </c>
      <c r="D2073" s="2887"/>
      <c r="E2073" s="2888"/>
      <c r="F2073" s="3066"/>
      <c r="G2073" s="2890"/>
      <c r="H2073" s="2891" t="str">
        <f>IFERROR(VLOOKUP(F2073,Trainingsarten!$A$9:$K$84,10,FALSE),"")</f>
        <v/>
      </c>
      <c r="I2073" s="2892" t="str">
        <f t="shared" si="499"/>
        <v/>
      </c>
      <c r="J2073" s="2893"/>
      <c r="K2073" s="2894" t="str">
        <f>IFERROR(VLOOKUP(F2073,Trainingsarten!$A$9:$K$84,11,FALSE),"0")</f>
        <v>0</v>
      </c>
      <c r="L2073" s="2816"/>
      <c r="M2073" s="2893"/>
      <c r="N2073" s="2895" t="str">
        <f t="shared" si="500"/>
        <v/>
      </c>
      <c r="O2073" s="2896"/>
      <c r="P2073" s="2897" t="str">
        <f>IFERROR(VLOOKUP(F2073,Trainingsarten!$A$9:$N$84,12,FALSE),"")</f>
        <v/>
      </c>
      <c r="Q2073" s="2898" t="s">
        <v>437</v>
      </c>
      <c r="R2073" s="2899" t="str">
        <f>IFERROR(VLOOKUP(F2073,Trainingsarten!$A$9:$N$84,14,FALSE),"")</f>
        <v/>
      </c>
      <c r="S2073" s="2845" t="str">
        <f t="shared" si="501"/>
        <v/>
      </c>
      <c r="T2073" s="2887">
        <f t="shared" si="502"/>
        <v>31.415518579017391</v>
      </c>
      <c r="U2073" s="2887">
        <f t="shared" si="503"/>
        <v>32.830405791067491</v>
      </c>
      <c r="V2073" s="2887">
        <f t="shared" si="504"/>
        <v>-3.0202909464592835</v>
      </c>
      <c r="W2073" s="3284">
        <f t="shared" si="505"/>
        <v>0.95690314578947233</v>
      </c>
      <c r="X2073" s="3300"/>
      <c r="Y2073" s="3316"/>
      <c r="AA2073" s="3301"/>
      <c r="AB2073" s="3409"/>
    </row>
    <row r="2074" spans="1:31" ht="16" thickBot="1" x14ac:dyDescent="0.25">
      <c r="A2074" s="2936" t="s">
        <v>183</v>
      </c>
      <c r="B2074" s="3003">
        <f>IFERROR(SUM(M2068:M2074),"")</f>
        <v>97</v>
      </c>
      <c r="C2074" s="2576">
        <v>45172</v>
      </c>
      <c r="D2074" s="1788">
        <v>133</v>
      </c>
      <c r="E2074" s="1789" t="s">
        <v>835</v>
      </c>
      <c r="F2074" s="3058" t="s">
        <v>907</v>
      </c>
      <c r="G2074" s="2577">
        <v>5.9432870370370372E-2</v>
      </c>
      <c r="H2074" s="2578">
        <v>14.43</v>
      </c>
      <c r="I2074" s="2579">
        <f t="shared" si="499"/>
        <v>4.118702035368702E-3</v>
      </c>
      <c r="J2074" s="2580">
        <v>132</v>
      </c>
      <c r="K2074" s="2581">
        <v>87</v>
      </c>
      <c r="L2074" s="2821">
        <v>203</v>
      </c>
      <c r="M2074" s="2580">
        <v>43</v>
      </c>
      <c r="N2074" s="2582">
        <f t="shared" si="500"/>
        <v>1.0781901304289363</v>
      </c>
      <c r="O2074" s="2583" t="s">
        <v>953</v>
      </c>
      <c r="P2074" s="2584">
        <f>IFERROR(VLOOKUP(F2074,Trainingsarten!$A$9:$N$84,12,FALSE),"")</f>
        <v>194.60000000000002</v>
      </c>
      <c r="Q2074" s="945" t="s">
        <v>437</v>
      </c>
      <c r="R2074" s="946">
        <f>IFERROR(VLOOKUP(F2074,Trainingsarten!$A$9:$N$84,14,FALSE),"")</f>
        <v>212.96</v>
      </c>
      <c r="S2074" s="2390">
        <f t="shared" si="501"/>
        <v>1.5378787878787878</v>
      </c>
      <c r="T2074" s="1788">
        <f t="shared" si="502"/>
        <v>39.356158782014909</v>
      </c>
      <c r="U2074" s="1788">
        <f t="shared" si="503"/>
        <v>34.120158034137312</v>
      </c>
      <c r="V2074" s="1788">
        <f t="shared" si="504"/>
        <v>1.4148872120501004</v>
      </c>
      <c r="W2074" s="3293">
        <f t="shared" si="505"/>
        <v>1.1534576933271812</v>
      </c>
      <c r="X2074" s="3300"/>
      <c r="Y2074" s="3316"/>
      <c r="AA2074" s="3301"/>
      <c r="AB2074" s="3409"/>
    </row>
    <row r="2075" spans="1:31" ht="16" thickBot="1" x14ac:dyDescent="0.25">
      <c r="A2075" s="3439">
        <f>WEEKNUM(C2075,1)</f>
        <v>36</v>
      </c>
      <c r="B2075" s="3440"/>
      <c r="C2075" s="2585">
        <v>45173</v>
      </c>
      <c r="D2075" s="2586">
        <v>134</v>
      </c>
      <c r="E2075" s="2587" t="s">
        <v>836</v>
      </c>
      <c r="F2075" s="3059" t="s">
        <v>943</v>
      </c>
      <c r="G2075" s="2588">
        <v>3.2997685185185185E-2</v>
      </c>
      <c r="H2075" s="2589">
        <v>8.1999999999999993</v>
      </c>
      <c r="I2075" s="2590">
        <f t="shared" si="499"/>
        <v>4.0241079494128277E-3</v>
      </c>
      <c r="J2075" s="2591">
        <v>119</v>
      </c>
      <c r="K2075" s="2592">
        <v>49</v>
      </c>
      <c r="L2075" s="2815">
        <v>204</v>
      </c>
      <c r="M2075" s="2591">
        <v>15</v>
      </c>
      <c r="N2075" s="2593">
        <f t="shared" si="500"/>
        <v>1.0586166727338915</v>
      </c>
      <c r="O2075" s="2594" t="s">
        <v>1462</v>
      </c>
      <c r="P2075" s="1919">
        <f>IFERROR(VLOOKUP(F2075,Trainingsarten!$A$9:$N$84,12,FALSE),"")</f>
        <v>194.60000000000002</v>
      </c>
      <c r="Q2075" s="1069" t="s">
        <v>437</v>
      </c>
      <c r="R2075" s="2462">
        <f>IFERROR(VLOOKUP(F2075,Trainingsarten!$A$9:$N$84,14,FALSE),"")</f>
        <v>212.96</v>
      </c>
      <c r="S2075" s="2595">
        <f t="shared" si="501"/>
        <v>1.7142857142857142</v>
      </c>
      <c r="T2075" s="2586">
        <f t="shared" si="502"/>
        <v>40.733850384584208</v>
      </c>
      <c r="U2075" s="2586">
        <f t="shared" si="503"/>
        <v>34.474439985705473</v>
      </c>
      <c r="V2075" s="2586">
        <f t="shared" si="504"/>
        <v>-5.236000747877597</v>
      </c>
      <c r="W2075" s="3283">
        <f t="shared" si="505"/>
        <v>1.1815667027941323</v>
      </c>
      <c r="X2075" s="3300"/>
      <c r="Y2075" s="3316"/>
      <c r="AA2075" s="3301"/>
      <c r="AB2075" s="3409"/>
    </row>
    <row r="2076" spans="1:31" x14ac:dyDescent="0.2">
      <c r="A2076" s="2934" t="s">
        <v>626</v>
      </c>
      <c r="B2076" s="3000">
        <f>SUM(H2075:H2081)</f>
        <v>50.24</v>
      </c>
      <c r="C2076" s="2596">
        <v>45174</v>
      </c>
      <c r="D2076" s="2597">
        <v>135</v>
      </c>
      <c r="E2076" s="2598" t="s">
        <v>836</v>
      </c>
      <c r="F2076" s="3058" t="s">
        <v>915</v>
      </c>
      <c r="G2076" s="2599">
        <v>4.4166666666666667E-2</v>
      </c>
      <c r="H2076" s="2600">
        <v>11.55</v>
      </c>
      <c r="I2076" s="2601">
        <f t="shared" si="499"/>
        <v>3.8239538239538237E-3</v>
      </c>
      <c r="J2076" s="2602">
        <v>138</v>
      </c>
      <c r="K2076" s="2603">
        <v>85</v>
      </c>
      <c r="L2076" s="2816">
        <v>215</v>
      </c>
      <c r="M2076" s="2840">
        <v>20</v>
      </c>
      <c r="N2076" s="2604">
        <f t="shared" si="500"/>
        <v>1.0602054661756155</v>
      </c>
      <c r="O2076" s="2605" t="s">
        <v>821</v>
      </c>
      <c r="P2076" s="2606">
        <f>IFERROR(VLOOKUP(F2076,Trainingsarten!$A$9:$N$84,12,FALSE),"")</f>
        <v>255.10000000000002</v>
      </c>
      <c r="Q2076" s="2607" t="s">
        <v>437</v>
      </c>
      <c r="R2076" s="2608">
        <f>IFERROR(VLOOKUP(F2076,Trainingsarten!$A$9:$N$84,14,FALSE),"")</f>
        <v>278.29999999999995</v>
      </c>
      <c r="S2076" s="2609">
        <f t="shared" si="501"/>
        <v>1.5579710144927537</v>
      </c>
      <c r="T2076" s="2597">
        <f t="shared" si="502"/>
        <v>47.057586043929319</v>
      </c>
      <c r="U2076" s="2597">
        <f t="shared" si="503"/>
        <v>35.677429509855344</v>
      </c>
      <c r="V2076" s="2597">
        <f t="shared" si="504"/>
        <v>-6.2594103988787353</v>
      </c>
      <c r="W2076" s="3284">
        <f t="shared" si="505"/>
        <v>1.3189735552817889</v>
      </c>
      <c r="X2076" s="3300"/>
      <c r="Y2076" s="3316"/>
      <c r="AA2076" s="3301"/>
      <c r="AB2076" s="3409"/>
    </row>
    <row r="2077" spans="1:31" x14ac:dyDescent="0.2">
      <c r="A2077" s="2935" t="s">
        <v>628</v>
      </c>
      <c r="B2077" s="3001">
        <f>SUM(K2075:K2081)</f>
        <v>325</v>
      </c>
      <c r="C2077" s="2596">
        <v>45175</v>
      </c>
      <c r="D2077" s="2597">
        <v>136</v>
      </c>
      <c r="E2077" s="2598" t="s">
        <v>836</v>
      </c>
      <c r="F2077" s="3058" t="s">
        <v>1466</v>
      </c>
      <c r="G2077" s="2599">
        <v>3.4583333333333334E-2</v>
      </c>
      <c r="H2077" s="2600">
        <v>8.4600000000000009</v>
      </c>
      <c r="I2077" s="2601">
        <f t="shared" si="499"/>
        <v>4.0878644602048856E-3</v>
      </c>
      <c r="J2077" s="2602">
        <v>123</v>
      </c>
      <c r="K2077" s="2603">
        <v>49</v>
      </c>
      <c r="L2077" s="2816">
        <v>199</v>
      </c>
      <c r="M2077" s="2840">
        <v>15</v>
      </c>
      <c r="N2077" s="2604">
        <f t="shared" si="500"/>
        <v>1.0490314385519213</v>
      </c>
      <c r="O2077" s="2605" t="s">
        <v>976</v>
      </c>
      <c r="P2077" s="2606">
        <f>IFERROR(VLOOKUP(F2077,Trainingsarten!$A$9:$N$84,12,FALSE),"")</f>
        <v>194.60000000000002</v>
      </c>
      <c r="Q2077" s="2607" t="s">
        <v>437</v>
      </c>
      <c r="R2077" s="2608">
        <f>IFERROR(VLOOKUP(F2077,Trainingsarten!$A$9:$N$84,14,FALSE),"")</f>
        <v>212.96</v>
      </c>
      <c r="S2077" s="2609">
        <f t="shared" si="501"/>
        <v>1.6178861788617886</v>
      </c>
      <c r="T2077" s="2597">
        <f t="shared" si="502"/>
        <v>47.335073751939419</v>
      </c>
      <c r="U2077" s="2597">
        <f t="shared" si="503"/>
        <v>35.994633569144504</v>
      </c>
      <c r="V2077" s="2597">
        <f t="shared" si="504"/>
        <v>-11.380156534073976</v>
      </c>
      <c r="W2077" s="3284">
        <f t="shared" si="505"/>
        <v>1.3150591923935078</v>
      </c>
      <c r="X2077" s="3300"/>
      <c r="Y2077" s="3316"/>
      <c r="AA2077" s="3301"/>
      <c r="AB2077" s="3409"/>
    </row>
    <row r="2078" spans="1:31" x14ac:dyDescent="0.2">
      <c r="A2078" s="2935" t="s">
        <v>761</v>
      </c>
      <c r="B2078" s="3002">
        <f>AVERAGE(W2075:W2081)</f>
        <v>1.2390333117032686</v>
      </c>
      <c r="C2078" s="2596">
        <v>45176</v>
      </c>
      <c r="D2078" s="2597"/>
      <c r="E2078" s="2598"/>
      <c r="F2078" s="3059"/>
      <c r="G2078" s="2599"/>
      <c r="H2078" s="2600" t="str">
        <f>IFERROR(VLOOKUP(F2078,Trainingsarten!$A$9:$K$84,10,FALSE),"")</f>
        <v/>
      </c>
      <c r="I2078" s="2601" t="str">
        <f t="shared" si="499"/>
        <v/>
      </c>
      <c r="J2078" s="2602"/>
      <c r="K2078" s="2603" t="str">
        <f>IFERROR(VLOOKUP(F2078,Trainingsarten!$A$9:$K$84,11,FALSE),"0")</f>
        <v>0</v>
      </c>
      <c r="L2078" s="2816"/>
      <c r="M2078" s="2840"/>
      <c r="N2078" s="2604" t="str">
        <f t="shared" si="500"/>
        <v/>
      </c>
      <c r="O2078" s="2605"/>
      <c r="P2078" s="2606" t="str">
        <f>IFERROR(VLOOKUP(F2078,Trainingsarten!$A$9:$N$84,12,FALSE),"")</f>
        <v/>
      </c>
      <c r="Q2078" s="2607" t="s">
        <v>437</v>
      </c>
      <c r="R2078" s="2608" t="str">
        <f>IFERROR(VLOOKUP(F2078,Trainingsarten!$A$9:$N$84,14,FALSE),"")</f>
        <v/>
      </c>
      <c r="S2078" s="2609" t="str">
        <f t="shared" si="501"/>
        <v/>
      </c>
      <c r="T2078" s="2597">
        <f t="shared" si="502"/>
        <v>40.572920358805213</v>
      </c>
      <c r="U2078" s="2597">
        <f t="shared" si="503"/>
        <v>35.137618484164875</v>
      </c>
      <c r="V2078" s="2597">
        <f t="shared" si="504"/>
        <v>-11.340440182794914</v>
      </c>
      <c r="W2078" s="3284">
        <f t="shared" si="505"/>
        <v>1.1546861201503971</v>
      </c>
      <c r="X2078" s="3300"/>
      <c r="Y2078" s="3316"/>
      <c r="AA2078" s="3301"/>
      <c r="AB2078" s="3409"/>
    </row>
    <row r="2079" spans="1:31" x14ac:dyDescent="0.2">
      <c r="A2079" s="2935" t="s">
        <v>979</v>
      </c>
      <c r="B2079" s="3130">
        <f>IFERROR(AVERAGE(N2075:N2081),"")</f>
        <v>1.0609681261169563</v>
      </c>
      <c r="C2079" s="2596">
        <v>45177</v>
      </c>
      <c r="D2079" s="2597">
        <v>137</v>
      </c>
      <c r="E2079" s="2598" t="s">
        <v>836</v>
      </c>
      <c r="F2079" s="3058" t="s">
        <v>899</v>
      </c>
      <c r="G2079" s="2599">
        <v>3.1018518518518515E-2</v>
      </c>
      <c r="H2079" s="2600">
        <v>8.25</v>
      </c>
      <c r="I2079" s="2601">
        <f t="shared" si="499"/>
        <v>3.7598204264870927E-3</v>
      </c>
      <c r="J2079" s="2602">
        <v>137</v>
      </c>
      <c r="K2079" s="2603">
        <v>59</v>
      </c>
      <c r="L2079" s="2816">
        <v>220</v>
      </c>
      <c r="M2079" s="2840">
        <v>15</v>
      </c>
      <c r="N2079" s="2604">
        <f t="shared" si="500"/>
        <v>1.0666666666666667</v>
      </c>
      <c r="O2079" s="2605" t="s">
        <v>1463</v>
      </c>
      <c r="P2079" s="2606">
        <f>IFERROR(VLOOKUP(F2079,Trainingsarten!$A$9:$N$84,12,FALSE),"")</f>
        <v>230.89999999999998</v>
      </c>
      <c r="Q2079" s="2607" t="s">
        <v>437</v>
      </c>
      <c r="R2079" s="2608">
        <f>IFERROR(VLOOKUP(F2079,Trainingsarten!$A$9:$N$84,14,FALSE),"")</f>
        <v>254.10000000000002</v>
      </c>
      <c r="S2079" s="2609">
        <f t="shared" si="501"/>
        <v>1.6058394160583942</v>
      </c>
      <c r="T2079" s="2597">
        <f t="shared" si="502"/>
        <v>43.205360307547323</v>
      </c>
      <c r="U2079" s="2597">
        <f t="shared" si="503"/>
        <v>35.705770425018095</v>
      </c>
      <c r="V2079" s="2597">
        <f t="shared" si="504"/>
        <v>-5.4353018746403379</v>
      </c>
      <c r="W2079" s="3284">
        <f t="shared" si="505"/>
        <v>1.2100385958140385</v>
      </c>
      <c r="X2079" s="3300"/>
      <c r="Y2079" s="3316"/>
      <c r="AA2079" s="3301"/>
      <c r="AB2079" s="3409"/>
    </row>
    <row r="2080" spans="1:31" x14ac:dyDescent="0.2">
      <c r="A2080" s="2935" t="s">
        <v>980</v>
      </c>
      <c r="B2080" s="3002">
        <f>IFERROR(AVERAGE(S2075:S2081),"")</f>
        <v>1.6029558632359708</v>
      </c>
      <c r="C2080" s="2886">
        <v>45178</v>
      </c>
      <c r="D2080" s="2887">
        <v>138</v>
      </c>
      <c r="E2080" s="2888" t="s">
        <v>835</v>
      </c>
      <c r="F2080" s="3058" t="s">
        <v>819</v>
      </c>
      <c r="G2080" s="2890">
        <v>5.6620370370370376E-2</v>
      </c>
      <c r="H2080" s="2891">
        <v>13.78</v>
      </c>
      <c r="I2080" s="2892">
        <f t="shared" si="499"/>
        <v>4.1088802881255717E-3</v>
      </c>
      <c r="J2080" s="2893">
        <v>133</v>
      </c>
      <c r="K2080" s="2894">
        <v>83</v>
      </c>
      <c r="L2080" s="2816">
        <v>202</v>
      </c>
      <c r="M2080" s="2893">
        <v>35</v>
      </c>
      <c r="N2080" s="2895">
        <f t="shared" si="500"/>
        <v>1.0703203864566864</v>
      </c>
      <c r="O2080" s="2896" t="s">
        <v>953</v>
      </c>
      <c r="P2080" s="2897">
        <f>IFERROR(VLOOKUP(F2080,Trainingsarten!$A$9:$N$84,12,FALSE),"")</f>
        <v>194.60000000000002</v>
      </c>
      <c r="Q2080" s="2898" t="s">
        <v>437</v>
      </c>
      <c r="R2080" s="2899">
        <f>IFERROR(VLOOKUP(F2080,Trainingsarten!$A$9:$N$84,14,FALSE),"")</f>
        <v>212.96</v>
      </c>
      <c r="S2080" s="2845">
        <f t="shared" si="501"/>
        <v>1.518796992481203</v>
      </c>
      <c r="T2080" s="2887">
        <f t="shared" si="502"/>
        <v>48.890308835040564</v>
      </c>
      <c r="U2080" s="2887">
        <f t="shared" si="503"/>
        <v>36.831823510136715</v>
      </c>
      <c r="V2080" s="2887">
        <f t="shared" si="504"/>
        <v>-7.4995898825292286</v>
      </c>
      <c r="W2080" s="3284">
        <f t="shared" si="505"/>
        <v>1.3273931121435016</v>
      </c>
      <c r="X2080" s="3300"/>
      <c r="Y2080" s="3316"/>
      <c r="AA2080" s="3301"/>
      <c r="AB2080" s="3409"/>
    </row>
    <row r="2081" spans="1:31" ht="16" thickBot="1" x14ac:dyDescent="0.25">
      <c r="A2081" s="2936" t="s">
        <v>183</v>
      </c>
      <c r="B2081" s="3003">
        <f>IFERROR(SUM(M2075:M2081),"")</f>
        <v>100</v>
      </c>
      <c r="C2081" s="2576">
        <v>45179</v>
      </c>
      <c r="D2081" s="1788"/>
      <c r="E2081" s="1789"/>
      <c r="F2081" s="3067"/>
      <c r="G2081" s="2577"/>
      <c r="H2081" s="2578" t="str">
        <f>IFERROR(VLOOKUP(F2081,Trainingsarten!$A$9:$K$84,10,FALSE),"")</f>
        <v/>
      </c>
      <c r="I2081" s="2579" t="str">
        <f t="shared" si="499"/>
        <v/>
      </c>
      <c r="J2081" s="2580"/>
      <c r="K2081" s="2581" t="str">
        <f>IFERROR(VLOOKUP(F2081,Trainingsarten!$A$9:$K$84,11,FALSE),"0")</f>
        <v>0</v>
      </c>
      <c r="L2081" s="2821"/>
      <c r="M2081" s="2580"/>
      <c r="N2081" s="2582" t="str">
        <f t="shared" si="500"/>
        <v/>
      </c>
      <c r="O2081" s="2583"/>
      <c r="P2081" s="2584" t="str">
        <f>IFERROR(VLOOKUP(F2081,Trainingsarten!$A$9:$N$84,12,FALSE),"")</f>
        <v/>
      </c>
      <c r="Q2081" s="945" t="s">
        <v>437</v>
      </c>
      <c r="R2081" s="946" t="str">
        <f>IFERROR(VLOOKUP(F2081,Trainingsarten!$A$9:$N$84,14,FALSE),"")</f>
        <v/>
      </c>
      <c r="S2081" s="2390" t="str">
        <f t="shared" si="501"/>
        <v/>
      </c>
      <c r="T2081" s="1788">
        <f t="shared" si="502"/>
        <v>41.905979001463344</v>
      </c>
      <c r="U2081" s="1788">
        <f t="shared" si="503"/>
        <v>35.954875331323933</v>
      </c>
      <c r="V2081" s="1788">
        <f t="shared" si="504"/>
        <v>-12.058485324903849</v>
      </c>
      <c r="W2081" s="3293">
        <f t="shared" si="505"/>
        <v>1.1655159033455138</v>
      </c>
      <c r="X2081" s="3300"/>
      <c r="Y2081" s="3316"/>
      <c r="AA2081" s="3301"/>
      <c r="AB2081" s="3409"/>
    </row>
    <row r="2082" spans="1:31" ht="16" thickBot="1" x14ac:dyDescent="0.25">
      <c r="A2082" s="3439">
        <f>WEEKNUM(C2082,1)</f>
        <v>37</v>
      </c>
      <c r="B2082" s="3440"/>
      <c r="C2082" s="2585">
        <v>45180</v>
      </c>
      <c r="D2082" s="2586">
        <v>139</v>
      </c>
      <c r="E2082" s="2587" t="s">
        <v>835</v>
      </c>
      <c r="F2082" s="3066" t="s">
        <v>819</v>
      </c>
      <c r="G2082" s="2588">
        <v>4.2500000000000003E-2</v>
      </c>
      <c r="H2082" s="2589">
        <v>10.15</v>
      </c>
      <c r="I2082" s="2590">
        <f t="shared" si="499"/>
        <v>4.1871921182266014E-3</v>
      </c>
      <c r="J2082" s="2591">
        <v>129</v>
      </c>
      <c r="K2082" s="2592">
        <v>60</v>
      </c>
      <c r="L2082" s="2815">
        <v>198</v>
      </c>
      <c r="M2082" s="2591">
        <v>31</v>
      </c>
      <c r="N2082" s="2593">
        <f t="shared" si="500"/>
        <v>1.0691213881332258</v>
      </c>
      <c r="O2082" s="2594" t="s">
        <v>1462</v>
      </c>
      <c r="P2082" s="1919">
        <f>IFERROR(VLOOKUP(F2082,Trainingsarten!$A$9:$N$84,12,FALSE),"")</f>
        <v>194.60000000000002</v>
      </c>
      <c r="Q2082" s="1069" t="s">
        <v>437</v>
      </c>
      <c r="R2082" s="2462">
        <f>IFERROR(VLOOKUP(F2082,Trainingsarten!$A$9:$N$84,14,FALSE),"")</f>
        <v>212.96</v>
      </c>
      <c r="S2082" s="2595">
        <f t="shared" si="501"/>
        <v>1.5348837209302326</v>
      </c>
      <c r="T2082" s="2586">
        <f t="shared" si="502"/>
        <v>44.49083914411144</v>
      </c>
      <c r="U2082" s="2586">
        <f t="shared" si="503"/>
        <v>36.527378299625745</v>
      </c>
      <c r="V2082" s="2586">
        <f t="shared" si="504"/>
        <v>-5.9511036701394104</v>
      </c>
      <c r="W2082" s="3283">
        <f t="shared" si="505"/>
        <v>1.2180134796196771</v>
      </c>
      <c r="X2082" s="3300"/>
      <c r="Y2082" s="3316"/>
      <c r="AA2082" s="3301"/>
      <c r="AB2082" s="3409"/>
      <c r="AE2082" s="3437" t="s">
        <v>1461</v>
      </c>
    </row>
    <row r="2083" spans="1:31" x14ac:dyDescent="0.2">
      <c r="A2083" s="2934" t="s">
        <v>626</v>
      </c>
      <c r="B2083" s="3000">
        <f>SUM(H2082:H2088)</f>
        <v>36.81</v>
      </c>
      <c r="C2083" s="2596">
        <v>45181</v>
      </c>
      <c r="D2083" s="2597"/>
      <c r="E2083" s="2598"/>
      <c r="F2083" s="3058"/>
      <c r="G2083" s="2599"/>
      <c r="H2083" s="2600" t="str">
        <f>IFERROR(VLOOKUP(F2083,Trainingsarten!$A$9:$K$84,10,FALSE),"")</f>
        <v/>
      </c>
      <c r="I2083" s="2601" t="str">
        <f t="shared" si="499"/>
        <v/>
      </c>
      <c r="J2083" s="2602"/>
      <c r="K2083" s="2603" t="str">
        <f>IFERROR(VLOOKUP(F2083,Trainingsarten!$A$9:$K$84,11,FALSE),"0")</f>
        <v>0</v>
      </c>
      <c r="L2083" s="2816"/>
      <c r="M2083" s="2840"/>
      <c r="N2083" s="2604" t="str">
        <f t="shared" si="500"/>
        <v/>
      </c>
      <c r="O2083" s="2605"/>
      <c r="P2083" s="2606" t="str">
        <f>IFERROR(VLOOKUP(F2083,Trainingsarten!$A$9:$N$84,12,FALSE),"")</f>
        <v/>
      </c>
      <c r="Q2083" s="2607" t="s">
        <v>437</v>
      </c>
      <c r="R2083" s="2608" t="str">
        <f>IFERROR(VLOOKUP(F2083,Trainingsarten!$A$9:$N$84,14,FALSE),"")</f>
        <v/>
      </c>
      <c r="S2083" s="2609" t="str">
        <f t="shared" si="501"/>
        <v/>
      </c>
      <c r="T2083" s="2597">
        <f t="shared" si="502"/>
        <v>38.135004980666949</v>
      </c>
      <c r="U2083" s="2597">
        <f t="shared" si="503"/>
        <v>35.657678816301321</v>
      </c>
      <c r="V2083" s="2597">
        <f t="shared" si="504"/>
        <v>-7.9634608444856951</v>
      </c>
      <c r="W2083" s="3284">
        <f t="shared" si="505"/>
        <v>1.0694752503977654</v>
      </c>
      <c r="X2083" s="3300"/>
      <c r="Y2083" s="3316"/>
      <c r="AA2083" s="3301"/>
      <c r="AB2083" s="3409"/>
      <c r="AE2083" s="3437"/>
    </row>
    <row r="2084" spans="1:31" x14ac:dyDescent="0.2">
      <c r="A2084" s="2935" t="s">
        <v>628</v>
      </c>
      <c r="B2084" s="3001">
        <f>SUM(K2082:K2088)</f>
        <v>220</v>
      </c>
      <c r="C2084" s="2596">
        <v>45182</v>
      </c>
      <c r="D2084" s="2597">
        <v>140</v>
      </c>
      <c r="E2084" s="2598" t="s">
        <v>835</v>
      </c>
      <c r="F2084" s="3059" t="s">
        <v>819</v>
      </c>
      <c r="G2084" s="2599">
        <v>3.7893518518518521E-2</v>
      </c>
      <c r="H2084" s="2600">
        <v>9.3000000000000007</v>
      </c>
      <c r="I2084" s="2601">
        <f t="shared" si="499"/>
        <v>4.0745718837116689E-3</v>
      </c>
      <c r="J2084" s="2602">
        <v>133</v>
      </c>
      <c r="K2084" s="2603">
        <v>57</v>
      </c>
      <c r="L2084" s="2816">
        <v>205</v>
      </c>
      <c r="M2084" s="2840">
        <v>20</v>
      </c>
      <c r="N2084" s="2604">
        <f t="shared" si="500"/>
        <v>1.0771465254373298</v>
      </c>
      <c r="O2084" s="2605" t="s">
        <v>1462</v>
      </c>
      <c r="P2084" s="2606">
        <f>IFERROR(VLOOKUP(F2084,Trainingsarten!$A$9:$N$84,12,FALSE),"")</f>
        <v>194.60000000000002</v>
      </c>
      <c r="Q2084" s="2607" t="s">
        <v>437</v>
      </c>
      <c r="R2084" s="2608">
        <f>IFERROR(VLOOKUP(F2084,Trainingsarten!$A$9:$N$84,14,FALSE),"")</f>
        <v>212.96</v>
      </c>
      <c r="S2084" s="2609">
        <f t="shared" si="501"/>
        <v>1.5413533834586466</v>
      </c>
      <c r="T2084" s="2597">
        <f t="shared" si="502"/>
        <v>40.830004269143096</v>
      </c>
      <c r="U2084" s="2597">
        <f t="shared" si="503"/>
        <v>36.165829320675101</v>
      </c>
      <c r="V2084" s="2597">
        <f t="shared" si="504"/>
        <v>-2.4773261643656284</v>
      </c>
      <c r="W2084" s="3284">
        <f t="shared" si="505"/>
        <v>1.1289663485139991</v>
      </c>
      <c r="X2084" s="3300"/>
      <c r="Y2084" s="3316"/>
      <c r="AA2084" s="3301"/>
      <c r="AB2084" s="3409"/>
      <c r="AE2084" s="3437"/>
    </row>
    <row r="2085" spans="1:31" x14ac:dyDescent="0.2">
      <c r="A2085" s="2935" t="s">
        <v>761</v>
      </c>
      <c r="B2085" s="3002">
        <f>AVERAGE(W2082:W2088)</f>
        <v>1.011959150831186</v>
      </c>
      <c r="C2085" s="3196">
        <v>45183</v>
      </c>
      <c r="D2085" s="2597"/>
      <c r="E2085" s="2598"/>
      <c r="F2085" s="3058"/>
      <c r="G2085" s="2599"/>
      <c r="H2085" s="2600" t="str">
        <f>IFERROR(VLOOKUP(F2085,Trainingsarten!$A$9:$K$84,10,FALSE),"")</f>
        <v/>
      </c>
      <c r="I2085" s="2601" t="str">
        <f t="shared" si="499"/>
        <v/>
      </c>
      <c r="J2085" s="2602"/>
      <c r="K2085" s="2603" t="str">
        <f>IFERROR(VLOOKUP(F2085,Trainingsarten!$A$9:$K$84,11,FALSE),"0")</f>
        <v>0</v>
      </c>
      <c r="L2085" s="2816"/>
      <c r="M2085" s="2840"/>
      <c r="N2085" s="2604" t="str">
        <f t="shared" si="500"/>
        <v/>
      </c>
      <c r="O2085" s="2605"/>
      <c r="P2085" s="2606" t="str">
        <f>IFERROR(VLOOKUP(F2085,Trainingsarten!$A$9:$N$84,12,FALSE),"")</f>
        <v/>
      </c>
      <c r="Q2085" s="2607" t="s">
        <v>437</v>
      </c>
      <c r="R2085" s="2608" t="str">
        <f>IFERROR(VLOOKUP(F2085,Trainingsarten!$A$9:$N$84,14,FALSE),"")</f>
        <v/>
      </c>
      <c r="S2085" s="2609" t="str">
        <f t="shared" si="501"/>
        <v/>
      </c>
      <c r="T2085" s="2597">
        <f t="shared" si="502"/>
        <v>34.997146516408371</v>
      </c>
      <c r="U2085" s="2597">
        <f t="shared" si="503"/>
        <v>35.30473814637331</v>
      </c>
      <c r="V2085" s="2597">
        <f t="shared" si="504"/>
        <v>-4.6641749484679949</v>
      </c>
      <c r="W2085" s="3284">
        <f t="shared" si="505"/>
        <v>0.99128752552448729</v>
      </c>
      <c r="X2085" s="3300"/>
      <c r="Y2085" s="3316"/>
      <c r="AA2085" s="3301"/>
      <c r="AB2085" s="3409"/>
      <c r="AE2085" s="3437"/>
    </row>
    <row r="2086" spans="1:31" x14ac:dyDescent="0.2">
      <c r="A2086" s="2935" t="s">
        <v>979</v>
      </c>
      <c r="B2086" s="3130">
        <f>IFERROR(AVERAGE(N2082:N2088),"")</f>
        <v>1.0712360248389918</v>
      </c>
      <c r="C2086" s="3196">
        <v>45184</v>
      </c>
      <c r="D2086" s="2597"/>
      <c r="E2086" s="2598"/>
      <c r="F2086" s="3058"/>
      <c r="G2086" s="2599"/>
      <c r="H2086" s="2600" t="str">
        <f>IFERROR(VLOOKUP(F2086,Trainingsarten!$A$9:$K$84,10,FALSE),"")</f>
        <v/>
      </c>
      <c r="I2086" s="2601" t="str">
        <f t="shared" ref="I2086:I2149" si="506">IFERROR(G2086/H2086,"")</f>
        <v/>
      </c>
      <c r="J2086" s="2602"/>
      <c r="K2086" s="2603" t="str">
        <f>IFERROR(VLOOKUP(F2086,Trainingsarten!$A$9:$K$84,11,FALSE),"0")</f>
        <v>0</v>
      </c>
      <c r="L2086" s="2816"/>
      <c r="M2086" s="2840"/>
      <c r="N2086" s="2604" t="str">
        <f t="shared" ref="N2086:N2149" si="507">IFERROR((L2086/67)/(1/(I2086*24)/3.6),"")</f>
        <v/>
      </c>
      <c r="O2086" s="2605"/>
      <c r="P2086" s="2606" t="str">
        <f>IFERROR(VLOOKUP(F2086,Trainingsarten!$A$9:$N$84,12,FALSE),"")</f>
        <v/>
      </c>
      <c r="Q2086" s="2607" t="s">
        <v>437</v>
      </c>
      <c r="R2086" s="2608" t="str">
        <f>IFERROR(VLOOKUP(F2086,Trainingsarten!$A$9:$N$84,14,FALSE),"")</f>
        <v/>
      </c>
      <c r="S2086" s="2609" t="str">
        <f t="shared" ref="S2086:S2149" si="508">IFERROR(L2086/J2086,"")</f>
        <v/>
      </c>
      <c r="T2086" s="2597">
        <f t="shared" ref="T2086:T2149" si="509">T2085+(K2086-T2085)/7</f>
        <v>29.99755415692146</v>
      </c>
      <c r="U2086" s="2597">
        <f t="shared" ref="U2086:U2149" si="510">U2085+(K2086-U2085)/42</f>
        <v>34.464149142888232</v>
      </c>
      <c r="V2086" s="2597">
        <f t="shared" ref="V2086:V2149" si="511">U2085-T2085</f>
        <v>0.30759162996493927</v>
      </c>
      <c r="W2086" s="3284">
        <f t="shared" ref="W2086:W2149" si="512">T2086/U2086</f>
        <v>0.87039880289954974</v>
      </c>
      <c r="X2086" s="3300"/>
      <c r="Y2086" s="3316"/>
      <c r="AA2086" s="3301"/>
      <c r="AB2086" s="3409"/>
      <c r="AE2086" s="3437"/>
    </row>
    <row r="2087" spans="1:31" x14ac:dyDescent="0.2">
      <c r="A2087" s="2935" t="s">
        <v>980</v>
      </c>
      <c r="B2087" s="3002">
        <f>IFERROR(AVERAGE(S2082:S2088),"")</f>
        <v>1.5167703928209846</v>
      </c>
      <c r="C2087" s="3197">
        <v>45185</v>
      </c>
      <c r="D2087" s="2887"/>
      <c r="E2087" s="2888"/>
      <c r="F2087" s="3059"/>
      <c r="G2087" s="2890"/>
      <c r="H2087" s="2891" t="str">
        <f>IFERROR(VLOOKUP(F2087,Trainingsarten!$A$9:$K$84,10,FALSE),"")</f>
        <v/>
      </c>
      <c r="I2087" s="2892" t="str">
        <f t="shared" si="506"/>
        <v/>
      </c>
      <c r="J2087" s="2893"/>
      <c r="K2087" s="2894" t="str">
        <f>IFERROR(VLOOKUP(F2087,Trainingsarten!$A$9:$K$84,11,FALSE),"0")</f>
        <v>0</v>
      </c>
      <c r="L2087" s="2816"/>
      <c r="M2087" s="2893"/>
      <c r="N2087" s="2895" t="str">
        <f t="shared" si="507"/>
        <v/>
      </c>
      <c r="O2087" s="2896"/>
      <c r="P2087" s="2897" t="str">
        <f>IFERROR(VLOOKUP(F2087,Trainingsarten!$A$9:$N$84,12,FALSE),"")</f>
        <v/>
      </c>
      <c r="Q2087" s="2898" t="s">
        <v>437</v>
      </c>
      <c r="R2087" s="2899" t="str">
        <f>IFERROR(VLOOKUP(F2087,Trainingsarten!$A$9:$N$84,14,FALSE),"")</f>
        <v/>
      </c>
      <c r="S2087" s="2845" t="str">
        <f t="shared" si="508"/>
        <v/>
      </c>
      <c r="T2087" s="2887">
        <f t="shared" si="509"/>
        <v>25.712189277361251</v>
      </c>
      <c r="U2087" s="2887">
        <f t="shared" si="510"/>
        <v>33.643574163295654</v>
      </c>
      <c r="V2087" s="2887">
        <f t="shared" si="511"/>
        <v>4.466594985966772</v>
      </c>
      <c r="W2087" s="3284">
        <f t="shared" si="512"/>
        <v>0.76425260742399492</v>
      </c>
      <c r="X2087" s="3300"/>
      <c r="Y2087" s="3316"/>
      <c r="AA2087" s="3301"/>
      <c r="AB2087" s="3409"/>
      <c r="AE2087" s="3437"/>
    </row>
    <row r="2088" spans="1:31" ht="16" thickBot="1" x14ac:dyDescent="0.25">
      <c r="A2088" s="2936" t="s">
        <v>183</v>
      </c>
      <c r="B2088" s="3003">
        <f>IFERROR(SUM(M2082:M2088),"")</f>
        <v>95</v>
      </c>
      <c r="C2088" s="2576">
        <v>45186</v>
      </c>
      <c r="D2088" s="1788">
        <v>141</v>
      </c>
      <c r="E2088" s="1789" t="s">
        <v>835</v>
      </c>
      <c r="F2088" s="3058" t="s">
        <v>809</v>
      </c>
      <c r="G2088" s="3208">
        <v>7.2210648148148149E-2</v>
      </c>
      <c r="H2088" s="2578">
        <v>17.36</v>
      </c>
      <c r="I2088" s="2892">
        <f>IFERROR(G2088/H2088,"")</f>
        <v>4.159599547704387E-3</v>
      </c>
      <c r="J2088" s="2580">
        <v>135</v>
      </c>
      <c r="K2088" s="2581">
        <v>103</v>
      </c>
      <c r="L2088" s="2821">
        <v>199</v>
      </c>
      <c r="M2088" s="2580">
        <v>44</v>
      </c>
      <c r="N2088" s="2582">
        <f t="shared" si="507"/>
        <v>1.0674401609464201</v>
      </c>
      <c r="O2088" s="2583" t="s">
        <v>953</v>
      </c>
      <c r="P2088" s="2584">
        <f>IFERROR(VLOOKUP(F2088,Trainingsarten!$A$9:$N$84,12,FALSE),"")</f>
        <v>194.60000000000002</v>
      </c>
      <c r="Q2088" s="945" t="s">
        <v>437</v>
      </c>
      <c r="R2088" s="946">
        <f>IFERROR(VLOOKUP(F2088,Trainingsarten!$A$9:$N$84,14,FALSE),"")</f>
        <v>212.96</v>
      </c>
      <c r="S2088" s="2390">
        <f t="shared" si="508"/>
        <v>1.4740740740740741</v>
      </c>
      <c r="T2088" s="1788">
        <f t="shared" si="509"/>
        <v>36.753305094881071</v>
      </c>
      <c r="U2088" s="1788">
        <f t="shared" si="510"/>
        <v>35.294917635598139</v>
      </c>
      <c r="V2088" s="1788">
        <f t="shared" si="511"/>
        <v>7.9313848859344027</v>
      </c>
      <c r="W2088" s="3293">
        <f t="shared" si="512"/>
        <v>1.0413200414388279</v>
      </c>
      <c r="X2088" s="3300"/>
      <c r="Y2088" s="3316"/>
      <c r="AA2088" s="3301"/>
      <c r="AB2088" s="3409"/>
      <c r="AE2088" s="3437"/>
    </row>
    <row r="2089" spans="1:31" ht="16" thickBot="1" x14ac:dyDescent="0.25">
      <c r="A2089" s="3439">
        <f>WEEKNUM(C2089,1)</f>
        <v>38</v>
      </c>
      <c r="B2089" s="3440"/>
      <c r="C2089" s="2585">
        <v>45187</v>
      </c>
      <c r="D2089" s="2586">
        <v>142</v>
      </c>
      <c r="E2089" s="2587" t="s">
        <v>836</v>
      </c>
      <c r="F2089" s="3058" t="s">
        <v>943</v>
      </c>
      <c r="G2089" s="2588">
        <v>3.6944444444444446E-2</v>
      </c>
      <c r="H2089" s="2589">
        <v>8.7100000000000009</v>
      </c>
      <c r="I2089" s="2590">
        <f t="shared" si="506"/>
        <v>4.241612450567674E-3</v>
      </c>
      <c r="J2089" s="2591">
        <v>124</v>
      </c>
      <c r="K2089" s="2592">
        <v>49</v>
      </c>
      <c r="L2089" s="2815">
        <v>193</v>
      </c>
      <c r="M2089" s="2591">
        <v>18</v>
      </c>
      <c r="N2089" s="2593">
        <f t="shared" si="507"/>
        <v>1.0556677005329267</v>
      </c>
      <c r="O2089" s="2594" t="s">
        <v>976</v>
      </c>
      <c r="P2089" s="1919">
        <f>IFERROR(VLOOKUP(F2089,Trainingsarten!$A$9:$N$84,12,FALSE),"")</f>
        <v>194.60000000000002</v>
      </c>
      <c r="Q2089" s="1069" t="s">
        <v>437</v>
      </c>
      <c r="R2089" s="2462">
        <f>IFERROR(VLOOKUP(F2089,Trainingsarten!$A$9:$N$84,14,FALSE),"")</f>
        <v>212.96</v>
      </c>
      <c r="S2089" s="2595">
        <f t="shared" si="508"/>
        <v>1.5564516129032258</v>
      </c>
      <c r="T2089" s="2586">
        <f t="shared" si="509"/>
        <v>38.502832938469489</v>
      </c>
      <c r="U2089" s="2586">
        <f t="shared" si="510"/>
        <v>35.621229120464854</v>
      </c>
      <c r="V2089" s="2586">
        <f t="shared" si="511"/>
        <v>-1.4583874592829318</v>
      </c>
      <c r="W2089" s="3283">
        <f t="shared" si="512"/>
        <v>1.0808956874637747</v>
      </c>
      <c r="X2089" s="3300"/>
      <c r="Y2089" s="3316"/>
      <c r="AA2089" s="3301"/>
      <c r="AB2089" s="3409"/>
    </row>
    <row r="2090" spans="1:31" ht="16" thickBot="1" x14ac:dyDescent="0.25">
      <c r="A2090" s="2934" t="s">
        <v>626</v>
      </c>
      <c r="B2090" s="3000">
        <f>SUM(H2089:H2095)</f>
        <v>44.087000000000003</v>
      </c>
      <c r="C2090" s="2596">
        <v>45188</v>
      </c>
      <c r="D2090" s="2597"/>
      <c r="E2090" s="2598"/>
      <c r="F2090" s="3058"/>
      <c r="G2090" s="2599"/>
      <c r="H2090" s="2600" t="str">
        <f>IFERROR(VLOOKUP(F2090,Trainingsarten!$A$9:$K$84,10,FALSE),"")</f>
        <v/>
      </c>
      <c r="I2090" s="2601" t="str">
        <f t="shared" si="506"/>
        <v/>
      </c>
      <c r="J2090" s="2602"/>
      <c r="K2090" s="2603" t="str">
        <f>IFERROR(VLOOKUP(F2090,Trainingsarten!$A$9:$K$84,11,FALSE),"0")</f>
        <v>0</v>
      </c>
      <c r="L2090" s="2816"/>
      <c r="M2090" s="2840"/>
      <c r="N2090" s="2604" t="str">
        <f t="shared" si="507"/>
        <v/>
      </c>
      <c r="O2090" s="2605"/>
      <c r="P2090" s="2606" t="str">
        <f>IFERROR(VLOOKUP(F2090,Trainingsarten!$A$9:$N$84,12,FALSE),"")</f>
        <v/>
      </c>
      <c r="Q2090" s="2607" t="s">
        <v>437</v>
      </c>
      <c r="R2090" s="2608" t="str">
        <f>IFERROR(VLOOKUP(F2090,Trainingsarten!$A$9:$N$84,14,FALSE),"")</f>
        <v/>
      </c>
      <c r="S2090" s="2609" t="str">
        <f t="shared" si="508"/>
        <v/>
      </c>
      <c r="T2090" s="2597">
        <f t="shared" si="509"/>
        <v>33.002428232973848</v>
      </c>
      <c r="U2090" s="2597">
        <f t="shared" si="510"/>
        <v>34.773104617596644</v>
      </c>
      <c r="V2090" s="2597">
        <f t="shared" si="511"/>
        <v>-2.8816038180046348</v>
      </c>
      <c r="W2090" s="3284">
        <f t="shared" si="512"/>
        <v>0.94907914021209483</v>
      </c>
      <c r="X2090" s="3300"/>
      <c r="Y2090" s="3316"/>
      <c r="AA2090" s="3301"/>
      <c r="AB2090" s="3409"/>
    </row>
    <row r="2091" spans="1:31" x14ac:dyDescent="0.2">
      <c r="A2091" s="2935" t="s">
        <v>628</v>
      </c>
      <c r="B2091" s="3001">
        <f>SUM(K2089:K2095)</f>
        <v>299</v>
      </c>
      <c r="C2091" s="2596">
        <v>45189</v>
      </c>
      <c r="D2091" s="2597">
        <v>143</v>
      </c>
      <c r="E2091" s="2598" t="s">
        <v>836</v>
      </c>
      <c r="F2091" s="3060" t="s">
        <v>915</v>
      </c>
      <c r="G2091" s="2599">
        <v>4.2847222222222224E-2</v>
      </c>
      <c r="H2091" s="2600">
        <v>11.106999999999999</v>
      </c>
      <c r="I2091" s="2601">
        <f t="shared" si="506"/>
        <v>3.8576773406160283E-3</v>
      </c>
      <c r="J2091" s="2602">
        <v>140</v>
      </c>
      <c r="K2091" s="2603">
        <v>82</v>
      </c>
      <c r="L2091" s="2816">
        <v>212</v>
      </c>
      <c r="M2091" s="2840">
        <v>20</v>
      </c>
      <c r="N2091" s="2604">
        <f t="shared" si="507"/>
        <v>1.0546314076506815</v>
      </c>
      <c r="O2091" s="2605" t="s">
        <v>1463</v>
      </c>
      <c r="P2091" s="2606">
        <f>IFERROR(VLOOKUP(F2091,Trainingsarten!$A$9:$N$84,12,FALSE),"")</f>
        <v>255.10000000000002</v>
      </c>
      <c r="Q2091" s="2607" t="s">
        <v>437</v>
      </c>
      <c r="R2091" s="2608">
        <f>IFERROR(VLOOKUP(F2091,Trainingsarten!$A$9:$N$84,14,FALSE),"")</f>
        <v>278.29999999999995</v>
      </c>
      <c r="S2091" s="2609">
        <f t="shared" si="508"/>
        <v>1.5142857142857142</v>
      </c>
      <c r="T2091" s="2597">
        <f t="shared" si="509"/>
        <v>40.002081342549012</v>
      </c>
      <c r="U2091" s="2597">
        <f t="shared" si="510"/>
        <v>35.897554507653865</v>
      </c>
      <c r="V2091" s="2597">
        <f t="shared" si="511"/>
        <v>1.7706763846227958</v>
      </c>
      <c r="W2091" s="3284">
        <f t="shared" si="512"/>
        <v>1.1143400126050371</v>
      </c>
      <c r="X2091" s="3300"/>
      <c r="Y2091" s="3316"/>
      <c r="AA2091" s="3301"/>
      <c r="AB2091" s="3409"/>
    </row>
    <row r="2092" spans="1:31" x14ac:dyDescent="0.2">
      <c r="A2092" s="2935" t="s">
        <v>761</v>
      </c>
      <c r="B2092" s="3002">
        <f>AVERAGE(W2089:W2095)</f>
        <v>1.0539375337652175</v>
      </c>
      <c r="C2092" s="2596">
        <v>45190</v>
      </c>
      <c r="D2092" s="2597">
        <v>144</v>
      </c>
      <c r="E2092" s="2598" t="s">
        <v>836</v>
      </c>
      <c r="F2092" s="3061" t="s">
        <v>943</v>
      </c>
      <c r="G2092" s="2599">
        <v>3.2986111111111112E-2</v>
      </c>
      <c r="H2092" s="2600">
        <v>8.4600000000000009</v>
      </c>
      <c r="I2092" s="2601">
        <f t="shared" si="506"/>
        <v>3.8990675072235353E-3</v>
      </c>
      <c r="J2092" s="2602">
        <v>127</v>
      </c>
      <c r="K2092" s="2603">
        <v>54</v>
      </c>
      <c r="L2092" s="2816">
        <v>212</v>
      </c>
      <c r="M2092" s="2840">
        <v>22</v>
      </c>
      <c r="N2092" s="2604">
        <f t="shared" si="507"/>
        <v>1.0659468614374932</v>
      </c>
      <c r="O2092" s="2605" t="s">
        <v>1462</v>
      </c>
      <c r="P2092" s="2606">
        <f>IFERROR(VLOOKUP(F2092,Trainingsarten!$A$9:$N$84,12,FALSE),"")</f>
        <v>194.60000000000002</v>
      </c>
      <c r="Q2092" s="2607" t="s">
        <v>437</v>
      </c>
      <c r="R2092" s="2608">
        <f>IFERROR(VLOOKUP(F2092,Trainingsarten!$A$9:$N$84,14,FALSE),"")</f>
        <v>212.96</v>
      </c>
      <c r="S2092" s="2609">
        <f t="shared" si="508"/>
        <v>1.6692913385826771</v>
      </c>
      <c r="T2092" s="2597">
        <f t="shared" si="509"/>
        <v>42.001784007899154</v>
      </c>
      <c r="U2092" s="2597">
        <f t="shared" si="510"/>
        <v>36.328565114614484</v>
      </c>
      <c r="V2092" s="2597">
        <f t="shared" si="511"/>
        <v>-4.1045268348951467</v>
      </c>
      <c r="W2092" s="3284">
        <f t="shared" si="512"/>
        <v>1.1561641335237436</v>
      </c>
      <c r="X2092" s="3300"/>
      <c r="Y2092" s="3316"/>
      <c r="AA2092" s="3301"/>
      <c r="AB2092" s="3409"/>
    </row>
    <row r="2093" spans="1:31" x14ac:dyDescent="0.2">
      <c r="A2093" s="2935" t="s">
        <v>979</v>
      </c>
      <c r="B2093" s="3130">
        <f>IFERROR(AVERAGE(N2089:N2095),"")</f>
        <v>1.0587486565403672</v>
      </c>
      <c r="C2093" s="2596">
        <v>45191</v>
      </c>
      <c r="D2093" s="2597"/>
      <c r="E2093" s="2598"/>
      <c r="F2093" s="3061"/>
      <c r="G2093" s="2599"/>
      <c r="H2093" s="2600" t="str">
        <f>IFERROR(VLOOKUP(F2093,Trainingsarten!$A$9:$K$84,10,FALSE),"")</f>
        <v/>
      </c>
      <c r="I2093" s="2601" t="str">
        <f t="shared" si="506"/>
        <v/>
      </c>
      <c r="J2093" s="2602"/>
      <c r="K2093" s="2603" t="str">
        <f>IFERROR(VLOOKUP(F2093,Trainingsarten!$A$9:$K$84,11,FALSE),"0")</f>
        <v>0</v>
      </c>
      <c r="L2093" s="2816"/>
      <c r="M2093" s="2840"/>
      <c r="N2093" s="2604" t="str">
        <f t="shared" si="507"/>
        <v/>
      </c>
      <c r="O2093" s="2605"/>
      <c r="P2093" s="2606" t="str">
        <f>IFERROR(VLOOKUP(F2093,Trainingsarten!$A$9:$N$84,12,FALSE),"")</f>
        <v/>
      </c>
      <c r="Q2093" s="2607" t="s">
        <v>437</v>
      </c>
      <c r="R2093" s="2608" t="str">
        <f>IFERROR(VLOOKUP(F2093,Trainingsarten!$A$9:$N$84,14,FALSE),"")</f>
        <v/>
      </c>
      <c r="S2093" s="2609" t="str">
        <f t="shared" si="508"/>
        <v/>
      </c>
      <c r="T2093" s="2597">
        <f t="shared" si="509"/>
        <v>36.001529149627849</v>
      </c>
      <c r="U2093" s="2597">
        <f t="shared" si="510"/>
        <v>35.463599278552238</v>
      </c>
      <c r="V2093" s="2597">
        <f t="shared" si="511"/>
        <v>-5.6732188932846697</v>
      </c>
      <c r="W2093" s="3284">
        <f t="shared" si="512"/>
        <v>1.0151685074842627</v>
      </c>
      <c r="X2093" s="3300"/>
      <c r="Y2093" s="3316"/>
      <c r="AA2093" s="3301"/>
      <c r="AB2093" s="3409"/>
    </row>
    <row r="2094" spans="1:31" x14ac:dyDescent="0.2">
      <c r="A2094" s="2935" t="s">
        <v>980</v>
      </c>
      <c r="B2094" s="3002">
        <f>IFERROR(AVERAGE(S2089:S2095),"")</f>
        <v>1.5800095552572058</v>
      </c>
      <c r="C2094" s="2886">
        <v>45192</v>
      </c>
      <c r="D2094" s="2887"/>
      <c r="E2094" s="2888"/>
      <c r="F2094" s="3061"/>
      <c r="G2094" s="2890"/>
      <c r="H2094" s="2891" t="str">
        <f>IFERROR(VLOOKUP(F2094,Trainingsarten!$A$9:$K$84,10,FALSE),"")</f>
        <v/>
      </c>
      <c r="I2094" s="2892" t="str">
        <f t="shared" si="506"/>
        <v/>
      </c>
      <c r="J2094" s="2893"/>
      <c r="K2094" s="2894" t="str">
        <f>IFERROR(VLOOKUP(F2094,Trainingsarten!$A$9:$K$84,11,FALSE),"0")</f>
        <v>0</v>
      </c>
      <c r="L2094" s="2816"/>
      <c r="M2094" s="2893"/>
      <c r="N2094" s="2895" t="str">
        <f t="shared" si="507"/>
        <v/>
      </c>
      <c r="O2094" s="2896"/>
      <c r="P2094" s="2897" t="str">
        <f>IFERROR(VLOOKUP(F2094,Trainingsarten!$A$9:$N$84,12,FALSE),"")</f>
        <v/>
      </c>
      <c r="Q2094" s="2898" t="s">
        <v>437</v>
      </c>
      <c r="R2094" s="2899" t="str">
        <f>IFERROR(VLOOKUP(F2094,Trainingsarten!$A$9:$N$84,14,FALSE),"")</f>
        <v/>
      </c>
      <c r="S2094" s="2845" t="str">
        <f t="shared" si="508"/>
        <v/>
      </c>
      <c r="T2094" s="2887">
        <f t="shared" si="509"/>
        <v>30.858453556823871</v>
      </c>
      <c r="U2094" s="2887">
        <f t="shared" si="510"/>
        <v>34.619227867158138</v>
      </c>
      <c r="V2094" s="2887">
        <f t="shared" si="511"/>
        <v>-0.53792987107561174</v>
      </c>
      <c r="W2094" s="3284">
        <f t="shared" si="512"/>
        <v>0.89136746998618188</v>
      </c>
      <c r="X2094" s="3300"/>
      <c r="Y2094" s="3316"/>
      <c r="AA2094" s="3301"/>
      <c r="AB2094" s="3409"/>
    </row>
    <row r="2095" spans="1:31" ht="16" thickBot="1" x14ac:dyDescent="0.25">
      <c r="A2095" s="2936" t="s">
        <v>183</v>
      </c>
      <c r="B2095" s="3003">
        <f>IFERROR(SUM(M2089:M2095),"")</f>
        <v>723</v>
      </c>
      <c r="C2095" s="2576">
        <v>45193</v>
      </c>
      <c r="D2095" s="1788">
        <v>145</v>
      </c>
      <c r="E2095" s="1789" t="s">
        <v>836</v>
      </c>
      <c r="F2095" s="3061" t="s">
        <v>862</v>
      </c>
      <c r="G2095" s="2577">
        <v>9.043981481481482E-2</v>
      </c>
      <c r="H2095" s="2578">
        <v>15.81</v>
      </c>
      <c r="I2095" s="2579">
        <f t="shared" si="506"/>
        <v>5.7204183943589384E-3</v>
      </c>
      <c r="J2095" s="2580">
        <v>137</v>
      </c>
      <c r="K2095" s="2581">
        <v>114</v>
      </c>
      <c r="L2095" s="2821">
        <v>169</v>
      </c>
      <c r="M2095" s="2580">
        <v>663</v>
      </c>
      <c r="N2095" s="2582"/>
      <c r="O2095" s="2583" t="s">
        <v>1465</v>
      </c>
      <c r="P2095" s="2584" t="str">
        <f>IFERROR(VLOOKUP(F2095,Trainingsarten!$A$9:$N$84,12,FALSE),"")</f>
        <v/>
      </c>
      <c r="Q2095" s="945" t="s">
        <v>437</v>
      </c>
      <c r="R2095" s="946" t="str">
        <f>IFERROR(VLOOKUP(F2095,Trainingsarten!$A$9:$N$84,14,FALSE),"")</f>
        <v/>
      </c>
      <c r="S2095" s="2390"/>
      <c r="T2095" s="1788">
        <f t="shared" si="509"/>
        <v>42.73581733442046</v>
      </c>
      <c r="U2095" s="1788">
        <f t="shared" si="510"/>
        <v>36.509246251273417</v>
      </c>
      <c r="V2095" s="1788">
        <f t="shared" si="511"/>
        <v>3.7607743103342663</v>
      </c>
      <c r="W2095" s="3293">
        <f t="shared" si="512"/>
        <v>1.1705477850814261</v>
      </c>
      <c r="X2095" s="3300"/>
      <c r="Y2095" s="3316"/>
      <c r="AA2095" s="3301"/>
      <c r="AB2095" s="3409"/>
    </row>
    <row r="2096" spans="1:31" ht="16" thickBot="1" x14ac:dyDescent="0.25">
      <c r="A2096" s="3439">
        <f>WEEKNUM(C2096,1)</f>
        <v>39</v>
      </c>
      <c r="B2096" s="3440"/>
      <c r="C2096" s="2585">
        <v>45194</v>
      </c>
      <c r="D2096" s="2586">
        <v>146</v>
      </c>
      <c r="E2096" s="2587" t="s">
        <v>836</v>
      </c>
      <c r="F2096" s="3061" t="s">
        <v>943</v>
      </c>
      <c r="G2096" s="2588">
        <v>2.5266203703703704E-2</v>
      </c>
      <c r="H2096" s="2589">
        <v>5.84</v>
      </c>
      <c r="I2096" s="2590">
        <f t="shared" si="506"/>
        <v>4.3264047437848807E-3</v>
      </c>
      <c r="J2096" s="2591">
        <v>118</v>
      </c>
      <c r="K2096" s="2603">
        <v>32</v>
      </c>
      <c r="L2096" s="2815">
        <v>188</v>
      </c>
      <c r="M2096" s="2591">
        <v>14</v>
      </c>
      <c r="N2096" s="2593">
        <f t="shared" si="507"/>
        <v>1.0488754855857698</v>
      </c>
      <c r="O2096" s="2594" t="s">
        <v>976</v>
      </c>
      <c r="P2096" s="1919">
        <f>IFERROR(VLOOKUP(F2096,Trainingsarten!$A$9:$N$84,12,FALSE),"")</f>
        <v>194.60000000000002</v>
      </c>
      <c r="Q2096" s="1069" t="s">
        <v>437</v>
      </c>
      <c r="R2096" s="2462">
        <f>IFERROR(VLOOKUP(F2096,Trainingsarten!$A$9:$N$84,14,FALSE),"")</f>
        <v>212.96</v>
      </c>
      <c r="S2096" s="2595">
        <f t="shared" si="508"/>
        <v>1.5932203389830508</v>
      </c>
      <c r="T2096" s="2586">
        <f t="shared" si="509"/>
        <v>41.202129143788966</v>
      </c>
      <c r="U2096" s="2586">
        <f t="shared" si="510"/>
        <v>36.401883245290719</v>
      </c>
      <c r="V2096" s="2586">
        <f t="shared" si="511"/>
        <v>-6.2265710831470429</v>
      </c>
      <c r="W2096" s="3283">
        <f t="shared" si="512"/>
        <v>1.1318680647963248</v>
      </c>
      <c r="X2096" s="3300"/>
      <c r="Y2096" s="3316"/>
      <c r="AA2096" s="3301"/>
      <c r="AB2096" s="3409"/>
    </row>
    <row r="2097" spans="1:28" x14ac:dyDescent="0.2">
      <c r="A2097" s="2934" t="s">
        <v>626</v>
      </c>
      <c r="B2097" s="3000">
        <f>SUM(H2096:H2102)</f>
        <v>16.899999999999999</v>
      </c>
      <c r="C2097" s="2596">
        <v>45195</v>
      </c>
      <c r="D2097" s="2597"/>
      <c r="E2097" s="2598"/>
      <c r="F2097" s="3061"/>
      <c r="G2097" s="2599"/>
      <c r="H2097" s="2600" t="str">
        <f>IFERROR(VLOOKUP(F2097,Trainingsarten!$A$9:$K$84,10,FALSE),"")</f>
        <v/>
      </c>
      <c r="I2097" s="2601" t="str">
        <f t="shared" si="506"/>
        <v/>
      </c>
      <c r="J2097" s="2602"/>
      <c r="K2097" s="2603" t="str">
        <f>IFERROR(VLOOKUP(F2097,Trainingsarten!$A$9:$K$84,11,FALSE),"0")</f>
        <v>0</v>
      </c>
      <c r="L2097" s="2816"/>
      <c r="M2097" s="2840"/>
      <c r="N2097" s="2604" t="str">
        <f t="shared" si="507"/>
        <v/>
      </c>
      <c r="O2097" s="2605"/>
      <c r="P2097" s="2606" t="str">
        <f>IFERROR(VLOOKUP(F2097,Trainingsarten!$A$9:$N$84,12,FALSE),"")</f>
        <v/>
      </c>
      <c r="Q2097" s="2607" t="s">
        <v>437</v>
      </c>
      <c r="R2097" s="2608" t="str">
        <f>IFERROR(VLOOKUP(F2097,Trainingsarten!$A$9:$N$84,14,FALSE),"")</f>
        <v/>
      </c>
      <c r="S2097" s="2609" t="str">
        <f t="shared" si="508"/>
        <v/>
      </c>
      <c r="T2097" s="2597">
        <f t="shared" si="509"/>
        <v>35.316110694676254</v>
      </c>
      <c r="U2097" s="2597">
        <f t="shared" si="510"/>
        <v>35.535171739450462</v>
      </c>
      <c r="V2097" s="2597">
        <f t="shared" si="511"/>
        <v>-4.8002458984982468</v>
      </c>
      <c r="W2097" s="3284">
        <f t="shared" si="512"/>
        <v>0.99383537396750465</v>
      </c>
      <c r="X2097" s="3300"/>
      <c r="Y2097" s="3316"/>
      <c r="AA2097" s="3301"/>
      <c r="AB2097" s="3409"/>
    </row>
    <row r="2098" spans="1:28" x14ac:dyDescent="0.2">
      <c r="A2098" s="2935" t="s">
        <v>628</v>
      </c>
      <c r="B2098" s="3001">
        <f>SUM(K2096:K2102)</f>
        <v>94</v>
      </c>
      <c r="C2098" s="2596">
        <v>45196</v>
      </c>
      <c r="D2098" s="2597">
        <v>147</v>
      </c>
      <c r="E2098" s="2598" t="s">
        <v>836</v>
      </c>
      <c r="F2098" s="3061" t="s">
        <v>943</v>
      </c>
      <c r="G2098" s="2599">
        <v>2.8912037037037038E-2</v>
      </c>
      <c r="H2098" s="2600">
        <v>6.84</v>
      </c>
      <c r="I2098" s="2601">
        <f t="shared" si="506"/>
        <v>4.2269059995668186E-3</v>
      </c>
      <c r="J2098" s="2602">
        <v>122</v>
      </c>
      <c r="K2098" s="2603">
        <v>39</v>
      </c>
      <c r="L2098" s="2816">
        <v>194</v>
      </c>
      <c r="M2098" s="2840">
        <v>19</v>
      </c>
      <c r="N2098" s="2604">
        <f t="shared" si="507"/>
        <v>1.0574583224229728</v>
      </c>
      <c r="O2098" s="2605" t="s">
        <v>1462</v>
      </c>
      <c r="P2098" s="2606">
        <f>IFERROR(VLOOKUP(F2098,Trainingsarten!$A$9:$N$84,12,FALSE),"")</f>
        <v>194.60000000000002</v>
      </c>
      <c r="Q2098" s="2607" t="s">
        <v>437</v>
      </c>
      <c r="R2098" s="2608">
        <f>IFERROR(VLOOKUP(F2098,Trainingsarten!$A$9:$N$84,14,FALSE),"")</f>
        <v>212.96</v>
      </c>
      <c r="S2098" s="2609">
        <f t="shared" si="508"/>
        <v>1.5901639344262295</v>
      </c>
      <c r="T2098" s="2597">
        <f t="shared" si="509"/>
        <v>35.842380595436786</v>
      </c>
      <c r="U2098" s="2597">
        <f t="shared" si="510"/>
        <v>35.617667650415925</v>
      </c>
      <c r="V2098" s="2597">
        <f t="shared" si="511"/>
        <v>0.2190610447742074</v>
      </c>
      <c r="W2098" s="3284">
        <f t="shared" si="512"/>
        <v>1.0063090303168192</v>
      </c>
      <c r="X2098" s="3300"/>
      <c r="Y2098" s="3316"/>
      <c r="AA2098" s="3301"/>
      <c r="AB2098" s="3409"/>
    </row>
    <row r="2099" spans="1:28" ht="16" thickBot="1" x14ac:dyDescent="0.25">
      <c r="A2099" s="2935" t="s">
        <v>761</v>
      </c>
      <c r="B2099" s="3002">
        <f>AVERAGE(W2096:W2102)</f>
        <v>0.89864736454304395</v>
      </c>
      <c r="C2099" s="2596">
        <v>45197</v>
      </c>
      <c r="D2099" s="2597"/>
      <c r="E2099" s="2598"/>
      <c r="F2099" s="3061"/>
      <c r="G2099" s="2599"/>
      <c r="H2099" s="2600" t="str">
        <f>IFERROR(VLOOKUP(F2099,Trainingsarten!$A$9:$K$84,10,FALSE),"")</f>
        <v/>
      </c>
      <c r="I2099" s="2601" t="str">
        <f t="shared" si="506"/>
        <v/>
      </c>
      <c r="J2099" s="2602"/>
      <c r="K2099" s="2603" t="str">
        <f>IFERROR(VLOOKUP(F2099,Trainingsarten!$A$9:$K$84,11,FALSE),"0")</f>
        <v>0</v>
      </c>
      <c r="L2099" s="2816"/>
      <c r="M2099" s="2840"/>
      <c r="N2099" s="2604" t="str">
        <f t="shared" si="507"/>
        <v/>
      </c>
      <c r="O2099" s="2605"/>
      <c r="P2099" s="2606" t="str">
        <f>IFERROR(VLOOKUP(F2099,Trainingsarten!$A$9:$N$84,12,FALSE),"")</f>
        <v/>
      </c>
      <c r="Q2099" s="2607" t="s">
        <v>437</v>
      </c>
      <c r="R2099" s="2608" t="str">
        <f>IFERROR(VLOOKUP(F2099,Trainingsarten!$A$9:$N$84,14,FALSE),"")</f>
        <v/>
      </c>
      <c r="S2099" s="2609" t="str">
        <f t="shared" si="508"/>
        <v/>
      </c>
      <c r="T2099" s="2597">
        <f t="shared" si="509"/>
        <v>30.722040510374388</v>
      </c>
      <c r="U2099" s="2597">
        <f t="shared" si="510"/>
        <v>34.769627944453639</v>
      </c>
      <c r="V2099" s="2597">
        <f t="shared" si="511"/>
        <v>-0.22471294502086181</v>
      </c>
      <c r="W2099" s="3284">
        <f t="shared" si="512"/>
        <v>0.8835884168635485</v>
      </c>
      <c r="X2099" s="3300"/>
      <c r="Y2099" s="3316"/>
      <c r="AA2099" s="3301"/>
      <c r="AB2099" s="3409"/>
    </row>
    <row r="2100" spans="1:28" x14ac:dyDescent="0.2">
      <c r="A2100" s="2935" t="s">
        <v>979</v>
      </c>
      <c r="B2100" s="3130">
        <f>IFERROR(AVERAGE(N2096:N2102),"")</f>
        <v>1.0592780421074626</v>
      </c>
      <c r="C2100" s="2596">
        <v>45198</v>
      </c>
      <c r="D2100" s="2597">
        <v>148</v>
      </c>
      <c r="E2100" s="2598" t="s">
        <v>835</v>
      </c>
      <c r="F2100" s="3055" t="s">
        <v>944</v>
      </c>
      <c r="G2100" s="2599">
        <v>1.9699074074074074E-2</v>
      </c>
      <c r="H2100" s="2600">
        <v>4.22</v>
      </c>
      <c r="I2100" s="2601">
        <f t="shared" si="506"/>
        <v>4.6680270317711074E-3</v>
      </c>
      <c r="J2100" s="2602">
        <v>128</v>
      </c>
      <c r="K2100" s="2603">
        <v>23</v>
      </c>
      <c r="L2100" s="2816">
        <v>178</v>
      </c>
      <c r="M2100" s="2840">
        <v>9</v>
      </c>
      <c r="N2100" s="2604">
        <f t="shared" si="507"/>
        <v>1.0715003183136449</v>
      </c>
      <c r="O2100" s="2605" t="s">
        <v>1462</v>
      </c>
      <c r="P2100" s="2606">
        <f>IFERROR(VLOOKUP(F2100,Trainingsarten!$A$9:$N$84,12,FALSE),"")</f>
        <v>194.60000000000002</v>
      </c>
      <c r="Q2100" s="2607" t="s">
        <v>437</v>
      </c>
      <c r="R2100" s="2608">
        <f>IFERROR(VLOOKUP(F2100,Trainingsarten!$A$9:$N$84,14,FALSE),"")</f>
        <v>212.96</v>
      </c>
      <c r="S2100" s="2609">
        <f t="shared" si="508"/>
        <v>1.390625</v>
      </c>
      <c r="T2100" s="2597">
        <f t="shared" si="509"/>
        <v>29.618891866035188</v>
      </c>
      <c r="U2100" s="2597">
        <f t="shared" si="510"/>
        <v>34.489398707680934</v>
      </c>
      <c r="V2100" s="2597">
        <f t="shared" si="511"/>
        <v>4.0475874340792508</v>
      </c>
      <c r="W2100" s="3284">
        <f t="shared" si="512"/>
        <v>0.8587824947913324</v>
      </c>
      <c r="X2100" s="3300"/>
      <c r="Y2100" s="3316"/>
      <c r="AA2100" s="3301"/>
      <c r="AB2100" s="3409"/>
    </row>
    <row r="2101" spans="1:28" x14ac:dyDescent="0.2">
      <c r="A2101" s="2935" t="s">
        <v>980</v>
      </c>
      <c r="B2101" s="3002">
        <f>IFERROR(AVERAGE(S2096:S2102),"")</f>
        <v>1.5246697578030934</v>
      </c>
      <c r="C2101" s="2886">
        <v>45199</v>
      </c>
      <c r="D2101" s="2887"/>
      <c r="E2101" s="2888"/>
      <c r="F2101" s="3056"/>
      <c r="G2101" s="2890"/>
      <c r="H2101" s="2891" t="str">
        <f>IFERROR(VLOOKUP(F2101,Trainingsarten!$A$9:$K$84,10,FALSE),"")</f>
        <v/>
      </c>
      <c r="I2101" s="2892" t="str">
        <f t="shared" si="506"/>
        <v/>
      </c>
      <c r="J2101" s="2893"/>
      <c r="K2101" s="2894" t="str">
        <f>IFERROR(VLOOKUP(F2101,Trainingsarten!$A$9:$K$84,11,FALSE),"0")</f>
        <v>0</v>
      </c>
      <c r="L2101" s="2816"/>
      <c r="M2101" s="2893"/>
      <c r="N2101" s="2895" t="str">
        <f t="shared" si="507"/>
        <v/>
      </c>
      <c r="O2101" s="2896"/>
      <c r="P2101" s="2897" t="str">
        <f>IFERROR(VLOOKUP(F2101,Trainingsarten!$A$9:$N$84,12,FALSE),"")</f>
        <v/>
      </c>
      <c r="Q2101" s="2898" t="s">
        <v>437</v>
      </c>
      <c r="R2101" s="2899" t="str">
        <f>IFERROR(VLOOKUP(F2101,Trainingsarten!$A$9:$N$84,14,FALSE),"")</f>
        <v/>
      </c>
      <c r="S2101" s="2845" t="str">
        <f t="shared" si="508"/>
        <v/>
      </c>
      <c r="T2101" s="2887">
        <f t="shared" si="509"/>
        <v>25.387621599458733</v>
      </c>
      <c r="U2101" s="2887">
        <f t="shared" si="510"/>
        <v>33.668222547974246</v>
      </c>
      <c r="V2101" s="2887">
        <f t="shared" si="511"/>
        <v>4.8705068416457458</v>
      </c>
      <c r="W2101" s="3284">
        <f t="shared" si="512"/>
        <v>0.754052922255804</v>
      </c>
      <c r="X2101" s="3300"/>
      <c r="Y2101" s="3316"/>
      <c r="AA2101" s="3301"/>
      <c r="AB2101" s="3409"/>
    </row>
    <row r="2102" spans="1:28" ht="16" thickBot="1" x14ac:dyDescent="0.25">
      <c r="A2102" s="2936" t="s">
        <v>183</v>
      </c>
      <c r="B2102" s="3003">
        <f>IFERROR(SUM(M2096:M2102),"")</f>
        <v>42</v>
      </c>
      <c r="C2102" s="2576">
        <v>45200</v>
      </c>
      <c r="D2102" s="1788"/>
      <c r="E2102" s="1789"/>
      <c r="F2102" s="3057"/>
      <c r="G2102" s="2577"/>
      <c r="H2102" s="2578" t="str">
        <f>IFERROR(VLOOKUP(F2102,Trainingsarten!$A$9:$K$84,10,FALSE),"")</f>
        <v/>
      </c>
      <c r="I2102" s="2579" t="str">
        <f t="shared" si="506"/>
        <v/>
      </c>
      <c r="J2102" s="2580"/>
      <c r="K2102" s="2581" t="str">
        <f>IFERROR(VLOOKUP(F2102,Trainingsarten!$A$9:$K$84,11,FALSE),"0")</f>
        <v>0</v>
      </c>
      <c r="L2102" s="2821"/>
      <c r="M2102" s="2580"/>
      <c r="N2102" s="2582" t="str">
        <f t="shared" si="507"/>
        <v/>
      </c>
      <c r="O2102" s="2583"/>
      <c r="P2102" s="2584" t="str">
        <f>IFERROR(VLOOKUP(F2102,Trainingsarten!$A$9:$N$84,12,FALSE),"")</f>
        <v/>
      </c>
      <c r="Q2102" s="945" t="s">
        <v>437</v>
      </c>
      <c r="R2102" s="946" t="str">
        <f>IFERROR(VLOOKUP(F2102,Trainingsarten!$A$9:$N$84,14,FALSE),"")</f>
        <v/>
      </c>
      <c r="S2102" s="2390" t="str">
        <f t="shared" si="508"/>
        <v/>
      </c>
      <c r="T2102" s="1788">
        <f t="shared" si="509"/>
        <v>21.760818513821771</v>
      </c>
      <c r="U2102" s="1788">
        <f t="shared" si="510"/>
        <v>32.866598201593909</v>
      </c>
      <c r="V2102" s="1788">
        <f t="shared" si="511"/>
        <v>8.280600948515513</v>
      </c>
      <c r="W2102" s="3293">
        <f t="shared" si="512"/>
        <v>0.66209524880997428</v>
      </c>
      <c r="X2102" s="3300"/>
      <c r="Y2102" s="3316"/>
      <c r="AA2102" s="3301"/>
      <c r="AB2102" s="3409"/>
    </row>
    <row r="2103" spans="1:28" ht="16" thickBot="1" x14ac:dyDescent="0.25">
      <c r="A2103" s="3439">
        <f>WEEKNUM(C2103,1)</f>
        <v>40</v>
      </c>
      <c r="B2103" s="3440"/>
      <c r="C2103" s="2585">
        <v>45201</v>
      </c>
      <c r="D2103" s="2586">
        <v>149</v>
      </c>
      <c r="E2103" s="2587" t="s">
        <v>835</v>
      </c>
      <c r="F2103" s="3056" t="s">
        <v>819</v>
      </c>
      <c r="G2103" s="2588">
        <v>4.4618055555555557E-2</v>
      </c>
      <c r="H2103" s="2600">
        <v>10.81</v>
      </c>
      <c r="I2103" s="2590">
        <f t="shared" si="506"/>
        <v>4.1274796998663791E-3</v>
      </c>
      <c r="J2103" s="2591">
        <v>133</v>
      </c>
      <c r="K2103" s="2603">
        <v>66</v>
      </c>
      <c r="L2103" s="2815">
        <v>202</v>
      </c>
      <c r="M2103" s="2591">
        <v>35</v>
      </c>
      <c r="N2103" s="2593">
        <f t="shared" si="507"/>
        <v>1.0751653388929543</v>
      </c>
      <c r="O2103" s="2594" t="s">
        <v>1462</v>
      </c>
      <c r="P2103" s="1919">
        <f>IFERROR(VLOOKUP(F2103,Trainingsarten!$A$9:$N$84,12,FALSE),"")</f>
        <v>194.60000000000002</v>
      </c>
      <c r="Q2103" s="1069" t="s">
        <v>437</v>
      </c>
      <c r="R2103" s="2462">
        <f>IFERROR(VLOOKUP(F2103,Trainingsarten!$A$9:$N$84,14,FALSE),"")</f>
        <v>212.96</v>
      </c>
      <c r="S2103" s="2595">
        <f t="shared" si="508"/>
        <v>1.518796992481203</v>
      </c>
      <c r="T2103" s="2586">
        <f t="shared" si="509"/>
        <v>28.080701583275804</v>
      </c>
      <c r="U2103" s="2586">
        <f t="shared" si="510"/>
        <v>33.655488720603579</v>
      </c>
      <c r="V2103" s="2586">
        <f t="shared" si="511"/>
        <v>11.105779687772138</v>
      </c>
      <c r="W2103" s="3283">
        <f t="shared" si="512"/>
        <v>0.83435726684560252</v>
      </c>
      <c r="X2103" s="3300"/>
      <c r="Y2103" s="3316"/>
      <c r="AA2103" s="3301"/>
      <c r="AB2103" s="3409"/>
    </row>
    <row r="2104" spans="1:28" x14ac:dyDescent="0.2">
      <c r="A2104" s="2934" t="s">
        <v>626</v>
      </c>
      <c r="B2104" s="3000">
        <f>SUM(H2103:H2109)</f>
        <v>34.159999999999997</v>
      </c>
      <c r="C2104" s="2596">
        <v>45202</v>
      </c>
      <c r="D2104" s="2597">
        <v>150</v>
      </c>
      <c r="E2104" s="2598" t="s">
        <v>835</v>
      </c>
      <c r="F2104" s="3056" t="s">
        <v>819</v>
      </c>
      <c r="G2104" s="2599">
        <v>4.1354166666666664E-2</v>
      </c>
      <c r="H2104" s="2600">
        <v>10.119999999999999</v>
      </c>
      <c r="I2104" s="2601">
        <f t="shared" si="506"/>
        <v>4.0863801054018449E-3</v>
      </c>
      <c r="J2104" s="2602">
        <v>126</v>
      </c>
      <c r="K2104" s="2603">
        <v>61</v>
      </c>
      <c r="L2104" s="2816">
        <v>203</v>
      </c>
      <c r="M2104" s="2840">
        <v>28</v>
      </c>
      <c r="N2104" s="2604">
        <f t="shared" si="507"/>
        <v>1.0697289245472246</v>
      </c>
      <c r="O2104" s="2605" t="s">
        <v>1462</v>
      </c>
      <c r="P2104" s="2606">
        <f>IFERROR(VLOOKUP(F2104,Trainingsarten!$A$9:$N$84,12,FALSE),"")</f>
        <v>194.60000000000002</v>
      </c>
      <c r="Q2104" s="2607" t="s">
        <v>437</v>
      </c>
      <c r="R2104" s="2608">
        <f>IFERROR(VLOOKUP(F2104,Trainingsarten!$A$9:$N$84,14,FALSE),"")</f>
        <v>212.96</v>
      </c>
      <c r="S2104" s="2609">
        <f t="shared" si="508"/>
        <v>1.6111111111111112</v>
      </c>
      <c r="T2104" s="2597">
        <f t="shared" si="509"/>
        <v>32.78345849995069</v>
      </c>
      <c r="U2104" s="2597">
        <f t="shared" si="510"/>
        <v>34.30654851297016</v>
      </c>
      <c r="V2104" s="2597">
        <f t="shared" si="511"/>
        <v>5.5747871373277746</v>
      </c>
      <c r="W2104" s="3284">
        <f t="shared" si="512"/>
        <v>0.95560351947256827</v>
      </c>
      <c r="X2104" s="3300"/>
      <c r="Y2104" s="3316"/>
      <c r="AA2104" s="3301"/>
      <c r="AB2104" s="3409"/>
    </row>
    <row r="2105" spans="1:28" x14ac:dyDescent="0.2">
      <c r="A2105" s="2935" t="s">
        <v>628</v>
      </c>
      <c r="B2105" s="3001">
        <f>SUM(K2103:K2109)</f>
        <v>215</v>
      </c>
      <c r="C2105" s="2596">
        <v>45203</v>
      </c>
      <c r="D2105" s="2597"/>
      <c r="E2105" s="2598"/>
      <c r="F2105" s="3057"/>
      <c r="G2105" s="2599"/>
      <c r="H2105" s="2600" t="str">
        <f>IFERROR(VLOOKUP(F2105,Trainingsarten!$A$9:$K$84,10,FALSE),"")</f>
        <v/>
      </c>
      <c r="I2105" s="2601" t="str">
        <f t="shared" si="506"/>
        <v/>
      </c>
      <c r="J2105" s="2602"/>
      <c r="K2105" s="2603" t="str">
        <f>IFERROR(VLOOKUP(F2105,Trainingsarten!$A$9:$K$84,11,FALSE),"0")</f>
        <v>0</v>
      </c>
      <c r="L2105" s="2816"/>
      <c r="M2105" s="2840"/>
      <c r="N2105" s="2604" t="str">
        <f t="shared" si="507"/>
        <v/>
      </c>
      <c r="O2105" s="2605"/>
      <c r="P2105" s="2606" t="str">
        <f>IFERROR(VLOOKUP(F2105,Trainingsarten!$A$9:$N$84,12,FALSE),"")</f>
        <v/>
      </c>
      <c r="Q2105" s="2607" t="s">
        <v>437</v>
      </c>
      <c r="R2105" s="2608" t="str">
        <f>IFERROR(VLOOKUP(F2105,Trainingsarten!$A$9:$N$84,14,FALSE),"")</f>
        <v/>
      </c>
      <c r="S2105" s="2609" t="str">
        <f t="shared" si="508"/>
        <v/>
      </c>
      <c r="T2105" s="2597">
        <f t="shared" si="509"/>
        <v>28.100107285672021</v>
      </c>
      <c r="U2105" s="2597">
        <f t="shared" si="510"/>
        <v>33.48972592932801</v>
      </c>
      <c r="V2105" s="2597">
        <f t="shared" si="511"/>
        <v>1.5230900130194698</v>
      </c>
      <c r="W2105" s="3284">
        <f t="shared" si="512"/>
        <v>0.83906650490274304</v>
      </c>
      <c r="X2105" s="3300"/>
      <c r="Y2105" s="3316"/>
      <c r="AA2105" s="3301"/>
      <c r="AB2105" s="3409"/>
    </row>
    <row r="2106" spans="1:28" x14ac:dyDescent="0.2">
      <c r="A2106" s="2935" t="s">
        <v>761</v>
      </c>
      <c r="B2106" s="3002">
        <f>AVERAGE(W2103:W2109)</f>
        <v>0.85085513503072574</v>
      </c>
      <c r="C2106" s="2596">
        <v>45204</v>
      </c>
      <c r="D2106" s="2597">
        <v>151</v>
      </c>
      <c r="E2106" s="2598" t="s">
        <v>835</v>
      </c>
      <c r="F2106" s="3056" t="s">
        <v>1466</v>
      </c>
      <c r="G2106" s="2599">
        <v>3.3541666666666664E-2</v>
      </c>
      <c r="H2106" s="2600">
        <v>8.23</v>
      </c>
      <c r="I2106" s="2601">
        <f t="shared" si="506"/>
        <v>4.0755366545159981E-3</v>
      </c>
      <c r="J2106" s="2602">
        <v>124</v>
      </c>
      <c r="K2106" s="2603">
        <v>48</v>
      </c>
      <c r="L2106" s="2816">
        <v>202</v>
      </c>
      <c r="M2106" s="2840">
        <v>20</v>
      </c>
      <c r="N2106" s="2604">
        <f t="shared" si="507"/>
        <v>1.0616347182677137</v>
      </c>
      <c r="O2106" s="2605" t="s">
        <v>976</v>
      </c>
      <c r="P2106" s="2606">
        <f>IFERROR(VLOOKUP(F2106,Trainingsarten!$A$9:$N$84,12,FALSE),"")</f>
        <v>194.60000000000002</v>
      </c>
      <c r="Q2106" s="2607" t="s">
        <v>437</v>
      </c>
      <c r="R2106" s="2608">
        <f>IFERROR(VLOOKUP(F2106,Trainingsarten!$A$9:$N$84,14,FALSE),"")</f>
        <v>212.96</v>
      </c>
      <c r="S2106" s="2609">
        <f t="shared" si="508"/>
        <v>1.6290322580645162</v>
      </c>
      <c r="T2106" s="2597">
        <f t="shared" si="509"/>
        <v>30.94294910200459</v>
      </c>
      <c r="U2106" s="2597">
        <f t="shared" si="510"/>
        <v>33.83520864529639</v>
      </c>
      <c r="V2106" s="2597">
        <f t="shared" si="511"/>
        <v>5.3896186436559894</v>
      </c>
      <c r="W2106" s="3284">
        <f t="shared" si="512"/>
        <v>0.91451923428012116</v>
      </c>
      <c r="X2106" s="3300"/>
      <c r="Y2106" s="3316"/>
      <c r="AA2106" s="3301"/>
      <c r="AB2106" s="3409"/>
    </row>
    <row r="2107" spans="1:28" x14ac:dyDescent="0.2">
      <c r="A2107" s="2935" t="s">
        <v>979</v>
      </c>
      <c r="B2107" s="3130">
        <f>IFERROR(AVERAGE(N2103:N2109),"")</f>
        <v>1.0680897081135403</v>
      </c>
      <c r="C2107" s="2596">
        <v>45205</v>
      </c>
      <c r="D2107" s="2597"/>
      <c r="E2107" s="2598"/>
      <c r="F2107" s="3056"/>
      <c r="G2107" s="2599"/>
      <c r="H2107" s="2600" t="str">
        <f>IFERROR(VLOOKUP(F2107,Trainingsarten!$A$9:$K$84,10,FALSE),"")</f>
        <v/>
      </c>
      <c r="I2107" s="2601" t="str">
        <f t="shared" si="506"/>
        <v/>
      </c>
      <c r="J2107" s="2602"/>
      <c r="K2107" s="2603" t="str">
        <f>IFERROR(VLOOKUP(F2107,Trainingsarten!$A$9:$K$84,11,FALSE),"0")</f>
        <v>0</v>
      </c>
      <c r="L2107" s="2816"/>
      <c r="M2107" s="2840"/>
      <c r="N2107" s="2604" t="str">
        <f t="shared" si="507"/>
        <v/>
      </c>
      <c r="O2107" s="2605"/>
      <c r="P2107" s="2606" t="str">
        <f>IFERROR(VLOOKUP(F2107,Trainingsarten!$A$9:$N$84,12,FALSE),"")</f>
        <v/>
      </c>
      <c r="Q2107" s="2607" t="s">
        <v>437</v>
      </c>
      <c r="R2107" s="2608" t="str">
        <f>IFERROR(VLOOKUP(F2107,Trainingsarten!$A$9:$N$84,14,FALSE),"")</f>
        <v/>
      </c>
      <c r="S2107" s="2609" t="str">
        <f t="shared" si="508"/>
        <v/>
      </c>
      <c r="T2107" s="2597">
        <f t="shared" si="509"/>
        <v>26.522527801718219</v>
      </c>
      <c r="U2107" s="2597">
        <f t="shared" si="510"/>
        <v>33.029608439455998</v>
      </c>
      <c r="V2107" s="2597">
        <f t="shared" si="511"/>
        <v>2.8922595432918001</v>
      </c>
      <c r="W2107" s="3284">
        <f t="shared" si="512"/>
        <v>0.80299249839230147</v>
      </c>
      <c r="X2107" s="3300"/>
      <c r="Y2107" s="3316"/>
      <c r="AA2107" s="3301"/>
      <c r="AB2107" s="3409"/>
    </row>
    <row r="2108" spans="1:28" ht="16" thickBot="1" x14ac:dyDescent="0.25">
      <c r="A2108" s="2935" t="s">
        <v>980</v>
      </c>
      <c r="B2108" s="3002">
        <f>IFERROR(AVERAGE(S2103:S2109),"")</f>
        <v>1.6044057490968424</v>
      </c>
      <c r="C2108" s="2886">
        <v>45206</v>
      </c>
      <c r="D2108" s="2887">
        <v>152</v>
      </c>
      <c r="E2108" s="2888" t="s">
        <v>836</v>
      </c>
      <c r="F2108" s="3225" t="s">
        <v>969</v>
      </c>
      <c r="G2108" s="2890">
        <v>1.4918981481481483E-2</v>
      </c>
      <c r="H2108" s="2891">
        <v>5</v>
      </c>
      <c r="I2108" s="2892">
        <f t="shared" si="506"/>
        <v>2.9837962962962965E-3</v>
      </c>
      <c r="J2108" s="2893">
        <v>167</v>
      </c>
      <c r="K2108" s="2894">
        <v>40</v>
      </c>
      <c r="L2108" s="2816">
        <v>277</v>
      </c>
      <c r="M2108" s="2893">
        <v>13</v>
      </c>
      <c r="N2108" s="2895">
        <f t="shared" si="507"/>
        <v>1.0658298507462685</v>
      </c>
      <c r="O2108" s="2896" t="s">
        <v>1463</v>
      </c>
      <c r="P2108" s="2897">
        <v>260</v>
      </c>
      <c r="Q2108" s="2898" t="s">
        <v>437</v>
      </c>
      <c r="R2108" s="2899">
        <v>270</v>
      </c>
      <c r="S2108" s="2845">
        <f t="shared" si="508"/>
        <v>1.658682634730539</v>
      </c>
      <c r="T2108" s="2887">
        <f t="shared" si="509"/>
        <v>28.447880972901331</v>
      </c>
      <c r="U2108" s="2887">
        <f t="shared" si="510"/>
        <v>33.195570143278474</v>
      </c>
      <c r="V2108" s="2887">
        <f t="shared" si="511"/>
        <v>6.5070806377377792</v>
      </c>
      <c r="W2108" s="3284">
        <f t="shared" si="512"/>
        <v>0.85697823083365632</v>
      </c>
      <c r="X2108" s="3300"/>
      <c r="Y2108" s="3316"/>
      <c r="AA2108" s="3301"/>
      <c r="AB2108" s="3409"/>
    </row>
    <row r="2109" spans="1:28" ht="16" thickBot="1" x14ac:dyDescent="0.25">
      <c r="A2109" s="2936" t="s">
        <v>183</v>
      </c>
      <c r="B2109" s="3003">
        <f>IFERROR(SUM(M2103:M2109),"")</f>
        <v>96</v>
      </c>
      <c r="C2109" s="2576">
        <v>45207</v>
      </c>
      <c r="D2109" s="1788"/>
      <c r="E2109" s="1789"/>
      <c r="F2109" s="3055"/>
      <c r="G2109" s="2577"/>
      <c r="H2109" s="2578" t="str">
        <f>IFERROR(VLOOKUP(F2109,Trainingsarten!$A$9:$K$84,10,FALSE),"")</f>
        <v/>
      </c>
      <c r="I2109" s="2579" t="str">
        <f t="shared" si="506"/>
        <v/>
      </c>
      <c r="J2109" s="2580"/>
      <c r="K2109" s="2581" t="str">
        <f>IFERROR(VLOOKUP(F2109,Trainingsarten!$A$9:$K$84,11,FALSE),"0")</f>
        <v>0</v>
      </c>
      <c r="L2109" s="2821"/>
      <c r="M2109" s="2580"/>
      <c r="N2109" s="2582" t="str">
        <f t="shared" si="507"/>
        <v/>
      </c>
      <c r="O2109" s="2583"/>
      <c r="P2109" s="2584" t="str">
        <f>IFERROR(VLOOKUP(F2109,Trainingsarten!$A$9:$N$84,12,FALSE),"")</f>
        <v/>
      </c>
      <c r="Q2109" s="945" t="s">
        <v>437</v>
      </c>
      <c r="R2109" s="946" t="str">
        <f>IFERROR(VLOOKUP(F2109,Trainingsarten!$A$9:$N$84,14,FALSE),"")</f>
        <v/>
      </c>
      <c r="S2109" s="2390" t="str">
        <f t="shared" si="508"/>
        <v/>
      </c>
      <c r="T2109" s="1788">
        <f t="shared" si="509"/>
        <v>24.38389797677257</v>
      </c>
      <c r="U2109" s="1788">
        <f t="shared" si="510"/>
        <v>32.405199425581365</v>
      </c>
      <c r="V2109" s="1788">
        <f t="shared" si="511"/>
        <v>4.7476891703771429</v>
      </c>
      <c r="W2109" s="3293">
        <f t="shared" si="512"/>
        <v>0.75246869048808851</v>
      </c>
      <c r="X2109" s="3300"/>
      <c r="Y2109" s="3316"/>
      <c r="AA2109" s="3301"/>
      <c r="AB2109" s="3409"/>
    </row>
    <row r="2110" spans="1:28" ht="16" thickBot="1" x14ac:dyDescent="0.25">
      <c r="A2110" s="3439">
        <f>WEEKNUM(C2110,1)</f>
        <v>41</v>
      </c>
      <c r="B2110" s="3440"/>
      <c r="C2110" s="2585">
        <v>45208</v>
      </c>
      <c r="D2110" s="2586">
        <v>153</v>
      </c>
      <c r="E2110" s="2587" t="s">
        <v>836</v>
      </c>
      <c r="F2110" s="3056" t="s">
        <v>1466</v>
      </c>
      <c r="G2110" s="2588">
        <v>2.9710648148148149E-2</v>
      </c>
      <c r="H2110" s="2589">
        <v>7.31</v>
      </c>
      <c r="I2110" s="2590">
        <f t="shared" si="506"/>
        <v>4.0643841515934547E-3</v>
      </c>
      <c r="J2110" s="2591">
        <v>120</v>
      </c>
      <c r="K2110" s="2592">
        <v>39</v>
      </c>
      <c r="L2110" s="2815">
        <v>202</v>
      </c>
      <c r="M2110" s="2591">
        <v>18</v>
      </c>
      <c r="N2110" s="2593">
        <f t="shared" si="507"/>
        <v>1.0587296077750783</v>
      </c>
      <c r="O2110" s="2594" t="s">
        <v>976</v>
      </c>
      <c r="P2110" s="1919">
        <f>IFERROR(VLOOKUP(F2110,Trainingsarten!$A$9:$N$84,12,FALSE),"")</f>
        <v>194.60000000000002</v>
      </c>
      <c r="Q2110" s="1069" t="s">
        <v>437</v>
      </c>
      <c r="R2110" s="2462">
        <f>IFERROR(VLOOKUP(F2110,Trainingsarten!$A$9:$N$84,14,FALSE),"")</f>
        <v>212.96</v>
      </c>
      <c r="S2110" s="2595">
        <f t="shared" si="508"/>
        <v>1.6833333333333333</v>
      </c>
      <c r="T2110" s="2586">
        <f t="shared" si="509"/>
        <v>26.471912551519345</v>
      </c>
      <c r="U2110" s="2586">
        <f t="shared" si="510"/>
        <v>32.56221848687705</v>
      </c>
      <c r="V2110" s="2586">
        <f t="shared" si="511"/>
        <v>8.0213014488087957</v>
      </c>
      <c r="W2110" s="3283">
        <f t="shared" si="512"/>
        <v>0.81296403567182718</v>
      </c>
      <c r="X2110" s="3300"/>
      <c r="Y2110" s="3316"/>
      <c r="AA2110" s="3301"/>
      <c r="AB2110" s="3409"/>
    </row>
    <row r="2111" spans="1:28" x14ac:dyDescent="0.2">
      <c r="A2111" s="2934" t="s">
        <v>626</v>
      </c>
      <c r="B2111" s="3000">
        <f>SUM(H2110:H2116)</f>
        <v>62.07</v>
      </c>
      <c r="C2111" s="2596">
        <v>45209</v>
      </c>
      <c r="D2111" s="2597">
        <v>154</v>
      </c>
      <c r="E2111" s="2598" t="s">
        <v>836</v>
      </c>
      <c r="F2111" s="3057" t="s">
        <v>943</v>
      </c>
      <c r="G2111" s="2599">
        <v>3.380787037037037E-2</v>
      </c>
      <c r="H2111" s="2600">
        <v>8.57</v>
      </c>
      <c r="I2111" s="2601">
        <f t="shared" si="506"/>
        <v>3.9449090280478842E-3</v>
      </c>
      <c r="J2111" s="2602">
        <v>127</v>
      </c>
      <c r="K2111" s="2603">
        <v>49</v>
      </c>
      <c r="L2111" s="2816">
        <v>209</v>
      </c>
      <c r="M2111" s="2840">
        <v>20</v>
      </c>
      <c r="N2111" s="2604">
        <f t="shared" si="507"/>
        <v>1.0632177502220519</v>
      </c>
      <c r="O2111" s="2605" t="s">
        <v>1462</v>
      </c>
      <c r="P2111" s="2606">
        <f>IFERROR(VLOOKUP(F2111,Trainingsarten!$A$9:$N$84,12,FALSE),"")</f>
        <v>194.60000000000002</v>
      </c>
      <c r="Q2111" s="2607" t="s">
        <v>437</v>
      </c>
      <c r="R2111" s="2608">
        <f>IFERROR(VLOOKUP(F2111,Trainingsarten!$A$9:$N$84,14,FALSE),"")</f>
        <v>212.96</v>
      </c>
      <c r="S2111" s="2609">
        <f t="shared" si="508"/>
        <v>1.6456692913385826</v>
      </c>
      <c r="T2111" s="2597">
        <f t="shared" si="509"/>
        <v>29.690210758445154</v>
      </c>
      <c r="U2111" s="2597">
        <f t="shared" si="510"/>
        <v>32.953594237189499</v>
      </c>
      <c r="V2111" s="2597">
        <f t="shared" si="511"/>
        <v>6.0903059353577049</v>
      </c>
      <c r="W2111" s="3284">
        <f t="shared" si="512"/>
        <v>0.90097033254535008</v>
      </c>
      <c r="X2111" s="3300"/>
      <c r="Y2111" s="3316"/>
      <c r="AA2111" s="3301"/>
      <c r="AB2111" s="3409"/>
    </row>
    <row r="2112" spans="1:28" x14ac:dyDescent="0.2">
      <c r="A2112" s="2935" t="s">
        <v>628</v>
      </c>
      <c r="B2112" s="3001">
        <f>SUM(K2110:K2116)</f>
        <v>360</v>
      </c>
      <c r="C2112" s="2596">
        <v>45210</v>
      </c>
      <c r="D2112" s="2597">
        <v>155</v>
      </c>
      <c r="E2112" s="2598" t="s">
        <v>836</v>
      </c>
      <c r="F2112" s="3056" t="s">
        <v>916</v>
      </c>
      <c r="G2112" s="2599">
        <v>5.0416666666666665E-2</v>
      </c>
      <c r="H2112" s="2600">
        <v>13.22</v>
      </c>
      <c r="I2112" s="2601">
        <f t="shared" si="506"/>
        <v>3.8136661623802315E-3</v>
      </c>
      <c r="J2112" s="2602">
        <v>143</v>
      </c>
      <c r="K2112" s="2603">
        <v>90</v>
      </c>
      <c r="L2112" s="2816">
        <v>215</v>
      </c>
      <c r="M2112" s="2840">
        <v>17</v>
      </c>
      <c r="N2112" s="2604">
        <f t="shared" si="507"/>
        <v>1.0573531736175401</v>
      </c>
      <c r="O2112" s="2605" t="s">
        <v>1463</v>
      </c>
      <c r="P2112" s="2606">
        <f>IFERROR(VLOOKUP(F2112,Trainingsarten!$A$9:$N$84,12,FALSE),"")</f>
        <v>255.10000000000002</v>
      </c>
      <c r="Q2112" s="2607" t="s">
        <v>437</v>
      </c>
      <c r="R2112" s="2608">
        <f>IFERROR(VLOOKUP(F2112,Trainingsarten!$A$9:$N$84,14,FALSE),"")</f>
        <v>278.29999999999995</v>
      </c>
      <c r="S2112" s="2609">
        <f t="shared" si="508"/>
        <v>1.5034965034965035</v>
      </c>
      <c r="T2112" s="2597">
        <f t="shared" si="509"/>
        <v>38.30589493581013</v>
      </c>
      <c r="U2112" s="2597">
        <f t="shared" si="510"/>
        <v>34.31184199344689</v>
      </c>
      <c r="V2112" s="2597">
        <f t="shared" si="511"/>
        <v>3.2633834787443448</v>
      </c>
      <c r="W2112" s="3284">
        <f t="shared" si="512"/>
        <v>1.1164045038190038</v>
      </c>
      <c r="X2112" s="3300"/>
      <c r="Y2112" s="3316"/>
      <c r="AA2112" s="3301"/>
      <c r="AB2112" s="3409"/>
    </row>
    <row r="2113" spans="1:28" x14ac:dyDescent="0.2">
      <c r="A2113" s="2935" t="s">
        <v>761</v>
      </c>
      <c r="B2113" s="3002">
        <f>AVERAGE(W2110:W2116)</f>
        <v>1.079703211027174</v>
      </c>
      <c r="C2113" s="2596">
        <v>45211</v>
      </c>
      <c r="D2113" s="2597">
        <v>156</v>
      </c>
      <c r="E2113" s="2598" t="s">
        <v>836</v>
      </c>
      <c r="F2113" s="3056" t="s">
        <v>1466</v>
      </c>
      <c r="G2113" s="2599">
        <v>3.2314814814814817E-2</v>
      </c>
      <c r="H2113" s="2600">
        <v>7.46</v>
      </c>
      <c r="I2113" s="2601">
        <f t="shared" si="506"/>
        <v>4.3317446132459542E-3</v>
      </c>
      <c r="J2113" s="2602">
        <v>135</v>
      </c>
      <c r="K2113" s="2603">
        <v>39</v>
      </c>
      <c r="L2113" s="2816">
        <v>189</v>
      </c>
      <c r="M2113" s="2840">
        <v>19</v>
      </c>
      <c r="N2113" s="2604">
        <f t="shared" si="507"/>
        <v>1.0557560721859871</v>
      </c>
      <c r="O2113" s="2605" t="s">
        <v>976</v>
      </c>
      <c r="P2113" s="2606">
        <f>IFERROR(VLOOKUP(F2113,Trainingsarten!$A$9:$N$84,12,FALSE),"")</f>
        <v>194.60000000000002</v>
      </c>
      <c r="Q2113" s="2607" t="s">
        <v>437</v>
      </c>
      <c r="R2113" s="2608">
        <f>IFERROR(VLOOKUP(F2113,Trainingsarten!$A$9:$N$84,14,FALSE),"")</f>
        <v>212.96</v>
      </c>
      <c r="S2113" s="2609">
        <f t="shared" si="508"/>
        <v>1.4</v>
      </c>
      <c r="T2113" s="2597">
        <f t="shared" si="509"/>
        <v>38.405052802122967</v>
      </c>
      <c r="U2113" s="2597">
        <f t="shared" si="510"/>
        <v>34.423464803126727</v>
      </c>
      <c r="V2113" s="2597">
        <f t="shared" si="511"/>
        <v>-3.9940529423632398</v>
      </c>
      <c r="W2113" s="3284">
        <f t="shared" si="512"/>
        <v>1.1156649402309609</v>
      </c>
      <c r="X2113" s="3300"/>
      <c r="Y2113" s="3316"/>
      <c r="AA2113" s="3301"/>
      <c r="AB2113" s="3409"/>
    </row>
    <row r="2114" spans="1:28" x14ac:dyDescent="0.2">
      <c r="A2114" s="2935" t="s">
        <v>979</v>
      </c>
      <c r="B2114" s="3130">
        <f>IFERROR(AVERAGE(N2110:N2116),"")</f>
        <v>1.0609622484570165</v>
      </c>
      <c r="C2114" s="2596">
        <v>45212</v>
      </c>
      <c r="D2114" s="2597">
        <v>157</v>
      </c>
      <c r="E2114" s="2598" t="s">
        <v>836</v>
      </c>
      <c r="F2114" s="3057" t="s">
        <v>943</v>
      </c>
      <c r="G2114" s="2599">
        <v>3.3761574074074076E-2</v>
      </c>
      <c r="H2114" s="2600">
        <v>8.18</v>
      </c>
      <c r="I2114" s="2601">
        <f t="shared" si="506"/>
        <v>4.1273317938965862E-3</v>
      </c>
      <c r="J2114" s="2602">
        <v>122</v>
      </c>
      <c r="K2114" s="2603">
        <v>45</v>
      </c>
      <c r="L2114" s="2816">
        <v>200</v>
      </c>
      <c r="M2114" s="2840">
        <v>18</v>
      </c>
      <c r="N2114" s="2604">
        <f t="shared" si="507"/>
        <v>1.0644819910228809</v>
      </c>
      <c r="O2114" s="2605" t="s">
        <v>1462</v>
      </c>
      <c r="P2114" s="2606">
        <f>IFERROR(VLOOKUP(F2114,Trainingsarten!$A$9:$N$84,12,FALSE),"")</f>
        <v>194.60000000000002</v>
      </c>
      <c r="Q2114" s="2607" t="s">
        <v>437</v>
      </c>
      <c r="R2114" s="2608">
        <f>IFERROR(VLOOKUP(F2114,Trainingsarten!$A$9:$N$84,14,FALSE),"")</f>
        <v>212.96</v>
      </c>
      <c r="S2114" s="2609">
        <f t="shared" si="508"/>
        <v>1.639344262295082</v>
      </c>
      <c r="T2114" s="2597">
        <f t="shared" si="509"/>
        <v>39.3471881161054</v>
      </c>
      <c r="U2114" s="2597">
        <f t="shared" si="510"/>
        <v>34.675287069718948</v>
      </c>
      <c r="V2114" s="2597">
        <f t="shared" si="511"/>
        <v>-3.9815879989962397</v>
      </c>
      <c r="W2114" s="3284">
        <f t="shared" si="512"/>
        <v>1.1347328729245418</v>
      </c>
      <c r="X2114" s="3300"/>
      <c r="Y2114" s="3316"/>
      <c r="AA2114" s="3301"/>
      <c r="AB2114" s="3409"/>
    </row>
    <row r="2115" spans="1:28" x14ac:dyDescent="0.2">
      <c r="A2115" s="2935" t="s">
        <v>980</v>
      </c>
      <c r="B2115" s="3002">
        <f>IFERROR(AVERAGE(S2110:S2116),"")</f>
        <v>1.5746001610368461</v>
      </c>
      <c r="C2115" s="2886">
        <v>45213</v>
      </c>
      <c r="D2115" s="2887">
        <v>158</v>
      </c>
      <c r="E2115" s="2888" t="s">
        <v>835</v>
      </c>
      <c r="F2115" s="3056" t="s">
        <v>810</v>
      </c>
      <c r="G2115" s="2890">
        <v>6.8888888888888888E-2</v>
      </c>
      <c r="H2115" s="2891">
        <v>17.329999999999998</v>
      </c>
      <c r="I2115" s="2892">
        <f t="shared" si="506"/>
        <v>3.9751234211707386E-3</v>
      </c>
      <c r="J2115" s="2893">
        <v>132</v>
      </c>
      <c r="K2115" s="2894">
        <v>98</v>
      </c>
      <c r="L2115" s="2816">
        <v>208</v>
      </c>
      <c r="M2115" s="2893">
        <v>60</v>
      </c>
      <c r="N2115" s="2895">
        <f t="shared" si="507"/>
        <v>1.066234895918561</v>
      </c>
      <c r="O2115" s="2896" t="s">
        <v>953</v>
      </c>
      <c r="P2115" s="2897">
        <f>IFERROR(VLOOKUP(F2115,Trainingsarten!$A$9:$N$84,12,FALSE),"")</f>
        <v>194.60000000000002</v>
      </c>
      <c r="Q2115" s="2898" t="s">
        <v>437</v>
      </c>
      <c r="R2115" s="2899">
        <f>IFERROR(VLOOKUP(F2115,Trainingsarten!$A$9:$N$84,14,FALSE),"")</f>
        <v>212.96</v>
      </c>
      <c r="S2115" s="2845">
        <f t="shared" si="508"/>
        <v>1.5757575757575757</v>
      </c>
      <c r="T2115" s="2887">
        <f t="shared" si="509"/>
        <v>47.726161242376058</v>
      </c>
      <c r="U2115" s="2887">
        <f t="shared" si="510"/>
        <v>36.183018329963737</v>
      </c>
      <c r="V2115" s="2887">
        <f t="shared" si="511"/>
        <v>-4.6719010463864521</v>
      </c>
      <c r="W2115" s="3284">
        <f t="shared" si="512"/>
        <v>1.3190210061290895</v>
      </c>
      <c r="X2115" s="3300"/>
      <c r="Y2115" s="3316"/>
      <c r="AA2115" s="3301"/>
      <c r="AB2115" s="3409"/>
    </row>
    <row r="2116" spans="1:28" ht="16" thickBot="1" x14ac:dyDescent="0.25">
      <c r="A2116" s="2936" t="s">
        <v>183</v>
      </c>
      <c r="B2116" s="3003">
        <f>IFERROR(SUM(M2110:M2116),"")</f>
        <v>152</v>
      </c>
      <c r="C2116" s="2576">
        <v>45214</v>
      </c>
      <c r="D2116" s="1788"/>
      <c r="E2116" s="1789"/>
      <c r="F2116" s="3056"/>
      <c r="G2116" s="2577"/>
      <c r="H2116" s="2578" t="str">
        <f>IFERROR(VLOOKUP(F2116,Trainingsarten!$A$9:$K$84,10,FALSE),"")</f>
        <v/>
      </c>
      <c r="I2116" s="2579" t="str">
        <f t="shared" si="506"/>
        <v/>
      </c>
      <c r="J2116" s="2580"/>
      <c r="K2116" s="2581" t="str">
        <f>IFERROR(VLOOKUP(F2116,Trainingsarten!$A$9:$K$84,11,FALSE),"0")</f>
        <v>0</v>
      </c>
      <c r="L2116" s="2821"/>
      <c r="M2116" s="2580"/>
      <c r="N2116" s="2582" t="str">
        <f t="shared" si="507"/>
        <v/>
      </c>
      <c r="O2116" s="2583"/>
      <c r="P2116" s="2584" t="str">
        <f>IFERROR(VLOOKUP(F2116,Trainingsarten!$A$9:$N$84,12,FALSE),"")</f>
        <v/>
      </c>
      <c r="Q2116" s="945" t="s">
        <v>437</v>
      </c>
      <c r="R2116" s="946" t="str">
        <f>IFERROR(VLOOKUP(F2116,Trainingsarten!$A$9:$N$84,14,FALSE),"")</f>
        <v/>
      </c>
      <c r="S2116" s="2390" t="str">
        <f t="shared" si="508"/>
        <v/>
      </c>
      <c r="T2116" s="1788">
        <f t="shared" si="509"/>
        <v>40.908138207750909</v>
      </c>
      <c r="U2116" s="1788">
        <f t="shared" si="510"/>
        <v>35.321517893536026</v>
      </c>
      <c r="V2116" s="1788">
        <f t="shared" si="511"/>
        <v>-11.543142912412321</v>
      </c>
      <c r="W2116" s="3293">
        <f t="shared" si="512"/>
        <v>1.1581647858694446</v>
      </c>
      <c r="X2116" s="3300"/>
      <c r="Y2116" s="3316"/>
      <c r="AA2116" s="3301"/>
      <c r="AB2116" s="3409"/>
    </row>
    <row r="2117" spans="1:28" ht="16" thickBot="1" x14ac:dyDescent="0.25">
      <c r="A2117" s="3439">
        <f>WEEKNUM(C2117,1)</f>
        <v>42</v>
      </c>
      <c r="B2117" s="3440"/>
      <c r="C2117" s="2585">
        <v>45215</v>
      </c>
      <c r="D2117" s="2586">
        <v>159</v>
      </c>
      <c r="E2117" s="2587" t="s">
        <v>836</v>
      </c>
      <c r="F2117" s="3056" t="s">
        <v>943</v>
      </c>
      <c r="G2117" s="2588">
        <v>3.2731481481481479E-2</v>
      </c>
      <c r="H2117" s="2589">
        <v>8.07</v>
      </c>
      <c r="I2117" s="2590">
        <f t="shared" si="506"/>
        <v>4.0559456606544583E-3</v>
      </c>
      <c r="J2117" s="2591">
        <v>120</v>
      </c>
      <c r="K2117" s="2592">
        <v>45</v>
      </c>
      <c r="L2117" s="2815">
        <v>205</v>
      </c>
      <c r="M2117" s="2591">
        <v>18</v>
      </c>
      <c r="N2117" s="2593">
        <f t="shared" si="507"/>
        <v>1.072222530470325</v>
      </c>
      <c r="O2117" s="2594" t="s">
        <v>1462</v>
      </c>
      <c r="P2117" s="1919">
        <f>IFERROR(VLOOKUP(F2117,Trainingsarten!$A$9:$N$84,12,FALSE),"")</f>
        <v>194.60000000000002</v>
      </c>
      <c r="Q2117" s="1069" t="s">
        <v>437</v>
      </c>
      <c r="R2117" s="2462">
        <f>IFERROR(VLOOKUP(F2117,Trainingsarten!$A$9:$N$84,14,FALSE),"")</f>
        <v>212.96</v>
      </c>
      <c r="S2117" s="2595">
        <f t="shared" si="508"/>
        <v>1.7083333333333333</v>
      </c>
      <c r="T2117" s="2586">
        <f t="shared" si="509"/>
        <v>41.492689892357923</v>
      </c>
      <c r="U2117" s="2586">
        <f t="shared" si="510"/>
        <v>35.551957943689928</v>
      </c>
      <c r="V2117" s="2586">
        <f t="shared" si="511"/>
        <v>-5.5866203142148834</v>
      </c>
      <c r="W2117" s="3283">
        <f t="shared" si="512"/>
        <v>1.1670999937071653</v>
      </c>
      <c r="X2117" s="3300"/>
      <c r="Y2117" s="3316"/>
      <c r="AA2117" s="3301"/>
      <c r="AB2117" s="3409"/>
    </row>
    <row r="2118" spans="1:28" x14ac:dyDescent="0.2">
      <c r="A2118" s="2934" t="s">
        <v>626</v>
      </c>
      <c r="B2118" s="3000">
        <f>SUM(H2117:H2123)</f>
        <v>56.35</v>
      </c>
      <c r="C2118" s="2596">
        <v>45216</v>
      </c>
      <c r="D2118" s="2597"/>
      <c r="E2118" s="2598"/>
      <c r="F2118" s="3055"/>
      <c r="G2118" s="2599"/>
      <c r="H2118" s="2600" t="str">
        <f>IFERROR(VLOOKUP(F2118,Trainingsarten!$A$9:$K$84,10,FALSE),"")</f>
        <v/>
      </c>
      <c r="I2118" s="2601" t="str">
        <f t="shared" si="506"/>
        <v/>
      </c>
      <c r="J2118" s="2602"/>
      <c r="K2118" s="2603" t="str">
        <f>IFERROR(VLOOKUP(F2118,Trainingsarten!$A$9:$K$84,11,FALSE),"0")</f>
        <v>0</v>
      </c>
      <c r="L2118" s="2816"/>
      <c r="M2118" s="2840"/>
      <c r="N2118" s="2604" t="str">
        <f t="shared" si="507"/>
        <v/>
      </c>
      <c r="O2118" s="2605"/>
      <c r="P2118" s="2606" t="str">
        <f>IFERROR(VLOOKUP(F2118,Trainingsarten!$A$9:$N$84,12,FALSE),"")</f>
        <v/>
      </c>
      <c r="Q2118" s="2607" t="s">
        <v>437</v>
      </c>
      <c r="R2118" s="2608" t="str">
        <f>IFERROR(VLOOKUP(F2118,Trainingsarten!$A$9:$N$84,14,FALSE),"")</f>
        <v/>
      </c>
      <c r="S2118" s="2609" t="str">
        <f t="shared" si="508"/>
        <v/>
      </c>
      <c r="T2118" s="2597">
        <f t="shared" si="509"/>
        <v>35.565162764878217</v>
      </c>
      <c r="U2118" s="2597">
        <f t="shared" si="510"/>
        <v>34.705482754554453</v>
      </c>
      <c r="V2118" s="2597">
        <f t="shared" si="511"/>
        <v>-5.9407319486679953</v>
      </c>
      <c r="W2118" s="3284">
        <f t="shared" si="512"/>
        <v>1.0247707261819012</v>
      </c>
      <c r="X2118" s="3300"/>
      <c r="Y2118" s="3316"/>
      <c r="AA2118" s="3301"/>
      <c r="AB2118" s="3409"/>
    </row>
    <row r="2119" spans="1:28" x14ac:dyDescent="0.2">
      <c r="A2119" s="2935" t="s">
        <v>628</v>
      </c>
      <c r="B2119" s="3001">
        <f>SUM(K2117:K2123)</f>
        <v>331</v>
      </c>
      <c r="C2119" s="2596">
        <v>45217</v>
      </c>
      <c r="D2119" s="2597">
        <v>160</v>
      </c>
      <c r="E2119" s="2598" t="s">
        <v>836</v>
      </c>
      <c r="F2119" s="3056" t="s">
        <v>1467</v>
      </c>
      <c r="G2119" s="2599">
        <v>4.763888888888889E-2</v>
      </c>
      <c r="H2119" s="2600">
        <v>13.55</v>
      </c>
      <c r="I2119" s="2601">
        <f t="shared" si="506"/>
        <v>3.5157851578515786E-3</v>
      </c>
      <c r="J2119" s="2602">
        <v>148</v>
      </c>
      <c r="K2119" s="2603">
        <v>93</v>
      </c>
      <c r="L2119" s="2816">
        <v>234</v>
      </c>
      <c r="M2119" s="2840">
        <v>40</v>
      </c>
      <c r="N2119" s="2604">
        <f t="shared" si="507"/>
        <v>1.0609065374235831</v>
      </c>
      <c r="O2119" s="2605" t="s">
        <v>821</v>
      </c>
      <c r="P2119" s="2606">
        <f>IFERROR(VLOOKUP(F2119,Trainingsarten!$A$9:$N$84,12,FALSE),"")</f>
        <v>255.10000000000002</v>
      </c>
      <c r="Q2119" s="2607" t="s">
        <v>437</v>
      </c>
      <c r="R2119" s="2608">
        <f>IFERROR(VLOOKUP(F2119,Trainingsarten!$A$9:$N$84,14,FALSE),"")</f>
        <v>278.29999999999995</v>
      </c>
      <c r="S2119" s="2609">
        <f t="shared" si="508"/>
        <v>1.5810810810810811</v>
      </c>
      <c r="T2119" s="2597">
        <f t="shared" si="509"/>
        <v>43.770139512752756</v>
      </c>
      <c r="U2119" s="2597">
        <f t="shared" si="510"/>
        <v>36.093447450874585</v>
      </c>
      <c r="V2119" s="2597">
        <f t="shared" si="511"/>
        <v>-0.85968001032376407</v>
      </c>
      <c r="W2119" s="3284">
        <f t="shared" si="512"/>
        <v>1.2126893551059821</v>
      </c>
      <c r="X2119" s="3300"/>
      <c r="Y2119" s="3316"/>
      <c r="AA2119" s="3301"/>
      <c r="AB2119" s="3409"/>
    </row>
    <row r="2120" spans="1:28" x14ac:dyDescent="0.2">
      <c r="A2120" s="2935" t="s">
        <v>761</v>
      </c>
      <c r="B2120" s="3002">
        <f>AVERAGE(W2117:W2123)</f>
        <v>1.1568236405822483</v>
      </c>
      <c r="C2120" s="2596">
        <v>45218</v>
      </c>
      <c r="D2120" s="2597">
        <v>161</v>
      </c>
      <c r="E2120" s="2598" t="s">
        <v>836</v>
      </c>
      <c r="F2120" s="3057" t="s">
        <v>1466</v>
      </c>
      <c r="G2120" s="2599">
        <v>2.7615740740740743E-2</v>
      </c>
      <c r="H2120" s="2600">
        <v>6.84</v>
      </c>
      <c r="I2120" s="2601">
        <f t="shared" si="506"/>
        <v>4.0373889971843189E-3</v>
      </c>
      <c r="J2120" s="2602">
        <v>127</v>
      </c>
      <c r="K2120" s="2603">
        <v>36</v>
      </c>
      <c r="L2120" s="2816">
        <v>201</v>
      </c>
      <c r="M2120" s="2840">
        <v>21</v>
      </c>
      <c r="N2120" s="2604">
        <f t="shared" si="507"/>
        <v>1.0464912280701755</v>
      </c>
      <c r="O2120" s="2605" t="s">
        <v>976</v>
      </c>
      <c r="P2120" s="2606">
        <f>IFERROR(VLOOKUP(F2120,Trainingsarten!$A$9:$N$84,12,FALSE),"")</f>
        <v>194.60000000000002</v>
      </c>
      <c r="Q2120" s="2607" t="s">
        <v>437</v>
      </c>
      <c r="R2120" s="2608">
        <f>IFERROR(VLOOKUP(F2120,Trainingsarten!$A$9:$N$84,14,FALSE),"")</f>
        <v>212.96</v>
      </c>
      <c r="S2120" s="2609">
        <f t="shared" si="508"/>
        <v>1.5826771653543308</v>
      </c>
      <c r="T2120" s="2597">
        <f t="shared" si="509"/>
        <v>42.660119582359506</v>
      </c>
      <c r="U2120" s="2597">
        <f t="shared" si="510"/>
        <v>36.091222511568049</v>
      </c>
      <c r="V2120" s="2597">
        <f t="shared" si="511"/>
        <v>-7.6766920618781711</v>
      </c>
      <c r="W2120" s="3284">
        <f t="shared" si="512"/>
        <v>1.1820081619204221</v>
      </c>
      <c r="X2120" s="3300"/>
      <c r="Y2120" s="3316"/>
      <c r="AA2120" s="3301"/>
      <c r="AB2120" s="3409"/>
    </row>
    <row r="2121" spans="1:28" x14ac:dyDescent="0.2">
      <c r="A2121" s="2935" t="s">
        <v>979</v>
      </c>
      <c r="B2121" s="3130">
        <f>IFERROR(AVERAGE(N2117:N2123),"")</f>
        <v>1.0626484630867201</v>
      </c>
      <c r="C2121" s="2596">
        <v>45219</v>
      </c>
      <c r="D2121" s="2597">
        <v>162</v>
      </c>
      <c r="E2121" s="2598" t="s">
        <v>836</v>
      </c>
      <c r="F2121" s="3056" t="s">
        <v>943</v>
      </c>
      <c r="G2121" s="2599">
        <v>3.2893518518518523E-2</v>
      </c>
      <c r="H2121" s="2891">
        <v>8.35</v>
      </c>
      <c r="I2121" s="2601">
        <f t="shared" si="506"/>
        <v>3.939343535151919E-3</v>
      </c>
      <c r="J2121" s="2602">
        <v>128</v>
      </c>
      <c r="K2121" s="2603">
        <v>47</v>
      </c>
      <c r="L2121" s="2816">
        <v>210</v>
      </c>
      <c r="M2121" s="2840">
        <v>18</v>
      </c>
      <c r="N2121" s="2604">
        <f t="shared" si="507"/>
        <v>1.0667977477880064</v>
      </c>
      <c r="O2121" s="2605" t="s">
        <v>1462</v>
      </c>
      <c r="P2121" s="2606">
        <f>IFERROR(VLOOKUP(F2121,Trainingsarten!$A$9:$N$84,12,FALSE),"")</f>
        <v>194.60000000000002</v>
      </c>
      <c r="Q2121" s="2607" t="s">
        <v>437</v>
      </c>
      <c r="R2121" s="2608">
        <f>IFERROR(VLOOKUP(F2121,Trainingsarten!$A$9:$N$84,14,FALSE),"")</f>
        <v>212.96</v>
      </c>
      <c r="S2121" s="2609">
        <f t="shared" si="508"/>
        <v>1.640625</v>
      </c>
      <c r="T2121" s="2597">
        <f t="shared" si="509"/>
        <v>43.280102499165288</v>
      </c>
      <c r="U2121" s="2597">
        <f t="shared" si="510"/>
        <v>36.350955308911665</v>
      </c>
      <c r="V2121" s="2597">
        <f t="shared" si="511"/>
        <v>-6.5688970707914578</v>
      </c>
      <c r="W2121" s="3284">
        <f t="shared" si="512"/>
        <v>1.1906180217650264</v>
      </c>
      <c r="X2121" s="3300"/>
      <c r="Y2121" s="3316"/>
      <c r="AA2121" s="3301"/>
      <c r="AB2121" s="3409"/>
    </row>
    <row r="2122" spans="1:28" x14ac:dyDescent="0.2">
      <c r="A2122" s="2935" t="s">
        <v>980</v>
      </c>
      <c r="B2122" s="3002">
        <f>IFERROR(AVERAGE(S2117:S2123),"")</f>
        <v>1.6155204151903901</v>
      </c>
      <c r="C2122" s="2886">
        <v>45220</v>
      </c>
      <c r="D2122" s="2887"/>
      <c r="E2122" s="2888"/>
      <c r="F2122" s="3056"/>
      <c r="G2122" s="2890"/>
      <c r="H2122" s="2891" t="str">
        <f>IFERROR(VLOOKUP(F2122,Trainingsarten!$A$9:$K$84,10,FALSE),"")</f>
        <v/>
      </c>
      <c r="I2122" s="2892" t="str">
        <f t="shared" si="506"/>
        <v/>
      </c>
      <c r="J2122" s="2893"/>
      <c r="K2122" s="2894" t="str">
        <f>IFERROR(VLOOKUP(F2122,Trainingsarten!$A$9:$K$84,11,FALSE),"0")</f>
        <v>0</v>
      </c>
      <c r="L2122" s="2816"/>
      <c r="M2122" s="2893"/>
      <c r="N2122" s="2895" t="str">
        <f t="shared" si="507"/>
        <v/>
      </c>
      <c r="O2122" s="2896"/>
      <c r="P2122" s="2897" t="str">
        <f>IFERROR(VLOOKUP(F2122,Trainingsarten!$A$9:$N$84,12,FALSE),"")</f>
        <v/>
      </c>
      <c r="Q2122" s="2898" t="s">
        <v>437</v>
      </c>
      <c r="R2122" s="2899" t="str">
        <f>IFERROR(VLOOKUP(F2122,Trainingsarten!$A$9:$N$84,14,FALSE),"")</f>
        <v/>
      </c>
      <c r="S2122" s="2845" t="str">
        <f t="shared" si="508"/>
        <v/>
      </c>
      <c r="T2122" s="2887">
        <f t="shared" si="509"/>
        <v>37.097230713570248</v>
      </c>
      <c r="U2122" s="2887">
        <f t="shared" si="510"/>
        <v>35.485456372985198</v>
      </c>
      <c r="V2122" s="2887">
        <f t="shared" si="511"/>
        <v>-6.929147190253623</v>
      </c>
      <c r="W2122" s="3284">
        <f t="shared" si="512"/>
        <v>1.0454207020375841</v>
      </c>
      <c r="X2122" s="3300"/>
      <c r="Y2122" s="3316"/>
      <c r="AA2122" s="3301"/>
      <c r="AB2122" s="3409"/>
    </row>
    <row r="2123" spans="1:28" ht="16" thickBot="1" x14ac:dyDescent="0.25">
      <c r="A2123" s="2936" t="s">
        <v>183</v>
      </c>
      <c r="B2123" s="3003">
        <f>IFERROR(SUM(M2117:M2123),"")</f>
        <v>175</v>
      </c>
      <c r="C2123" s="2576">
        <v>45221</v>
      </c>
      <c r="D2123" s="1788">
        <v>163</v>
      </c>
      <c r="E2123" s="1789" t="s">
        <v>835</v>
      </c>
      <c r="F2123" s="3057" t="s">
        <v>811</v>
      </c>
      <c r="G2123" s="2577">
        <v>7.885416666666667E-2</v>
      </c>
      <c r="H2123" s="2578">
        <v>19.54</v>
      </c>
      <c r="I2123" s="2579">
        <f t="shared" si="506"/>
        <v>4.0355254179460934E-3</v>
      </c>
      <c r="J2123" s="2580">
        <v>131</v>
      </c>
      <c r="K2123" s="2581">
        <v>110</v>
      </c>
      <c r="L2123" s="2821">
        <v>205</v>
      </c>
      <c r="M2123" s="2580">
        <v>78</v>
      </c>
      <c r="N2123" s="2582">
        <f t="shared" si="507"/>
        <v>1.0668242716815106</v>
      </c>
      <c r="O2123" s="2583" t="s">
        <v>953</v>
      </c>
      <c r="P2123" s="2584">
        <f>IFERROR(VLOOKUP(F2123,Trainingsarten!$A$9:$N$84,12,FALSE),"")</f>
        <v>194.60000000000002</v>
      </c>
      <c r="Q2123" s="945" t="s">
        <v>437</v>
      </c>
      <c r="R2123" s="946">
        <f>IFERROR(VLOOKUP(F2123,Trainingsarten!$A$9:$N$84,14,FALSE),"")</f>
        <v>212.96</v>
      </c>
      <c r="S2123" s="2390">
        <f t="shared" si="508"/>
        <v>1.5648854961832062</v>
      </c>
      <c r="T2123" s="1788">
        <f t="shared" si="509"/>
        <v>47.511912040203072</v>
      </c>
      <c r="U2123" s="1788">
        <f t="shared" si="510"/>
        <v>37.259612173628405</v>
      </c>
      <c r="V2123" s="1788">
        <f t="shared" si="511"/>
        <v>-1.6117743405850504</v>
      </c>
      <c r="W2123" s="3293">
        <f t="shared" si="512"/>
        <v>1.2751585233576594</v>
      </c>
      <c r="X2123" s="3300"/>
      <c r="Y2123" s="3316"/>
      <c r="AA2123" s="3301"/>
      <c r="AB2123" s="3409"/>
    </row>
    <row r="2124" spans="1:28" ht="16" thickBot="1" x14ac:dyDescent="0.25">
      <c r="A2124" s="3439">
        <f>WEEKNUM(C2124,1)</f>
        <v>43</v>
      </c>
      <c r="B2124" s="3440"/>
      <c r="C2124" s="2585">
        <v>45222</v>
      </c>
      <c r="D2124" s="2586">
        <v>164</v>
      </c>
      <c r="E2124" s="2587" t="s">
        <v>835</v>
      </c>
      <c r="F2124" s="3056" t="s">
        <v>1466</v>
      </c>
      <c r="G2124" s="2588">
        <v>2.7060185185185187E-2</v>
      </c>
      <c r="H2124" s="2589">
        <v>6.31</v>
      </c>
      <c r="I2124" s="2590">
        <f t="shared" si="506"/>
        <v>4.2884604096965432E-3</v>
      </c>
      <c r="J2124" s="2591">
        <v>117</v>
      </c>
      <c r="K2124" s="2592">
        <v>32</v>
      </c>
      <c r="L2124" s="2815">
        <v>191</v>
      </c>
      <c r="M2124" s="2591">
        <v>11</v>
      </c>
      <c r="N2124" s="2593">
        <f t="shared" si="507"/>
        <v>1.0562670009697948</v>
      </c>
      <c r="O2124" s="2594" t="s">
        <v>976</v>
      </c>
      <c r="P2124" s="1919">
        <f>IFERROR(VLOOKUP(F2124,Trainingsarten!$A$9:$N$84,12,FALSE),"")</f>
        <v>194.60000000000002</v>
      </c>
      <c r="Q2124" s="1069" t="s">
        <v>437</v>
      </c>
      <c r="R2124" s="2462">
        <f>IFERROR(VLOOKUP(F2124,Trainingsarten!$A$9:$N$84,14,FALSE),"")</f>
        <v>212.96</v>
      </c>
      <c r="S2124" s="2595">
        <f t="shared" si="508"/>
        <v>1.6324786324786325</v>
      </c>
      <c r="T2124" s="2586">
        <f t="shared" si="509"/>
        <v>45.295924605888345</v>
      </c>
      <c r="U2124" s="2586">
        <f t="shared" si="510"/>
        <v>37.134383312351538</v>
      </c>
      <c r="V2124" s="2586">
        <f t="shared" si="511"/>
        <v>-10.252299866574667</v>
      </c>
      <c r="W2124" s="3283">
        <f t="shared" si="512"/>
        <v>1.2197839459157556</v>
      </c>
      <c r="X2124" s="3300"/>
      <c r="Y2124" s="3316"/>
      <c r="AA2124" s="3301"/>
      <c r="AB2124" s="3409"/>
    </row>
    <row r="2125" spans="1:28" x14ac:dyDescent="0.2">
      <c r="A2125" s="2934" t="s">
        <v>626</v>
      </c>
      <c r="B2125" s="3000">
        <f>SUM(H2124:H2130)</f>
        <v>18.32</v>
      </c>
      <c r="C2125" s="2596">
        <v>45223</v>
      </c>
      <c r="D2125" s="2597"/>
      <c r="E2125" s="2598"/>
      <c r="F2125" s="3056"/>
      <c r="G2125" s="2599"/>
      <c r="H2125" s="2600" t="str">
        <f>IFERROR(VLOOKUP(F2125,Trainingsarten!$A$9:$K$84,10,FALSE),"")</f>
        <v/>
      </c>
      <c r="I2125" s="2601" t="str">
        <f t="shared" si="506"/>
        <v/>
      </c>
      <c r="J2125" s="2602"/>
      <c r="K2125" s="2603" t="str">
        <f>IFERROR(VLOOKUP(F2125,Trainingsarten!$A$9:$K$84,11,FALSE),"0")</f>
        <v>0</v>
      </c>
      <c r="L2125" s="2816"/>
      <c r="M2125" s="2840"/>
      <c r="N2125" s="2604" t="str">
        <f t="shared" si="507"/>
        <v/>
      </c>
      <c r="O2125" s="2605"/>
      <c r="P2125" s="2606" t="str">
        <f>IFERROR(VLOOKUP(F2125,Trainingsarten!$A$9:$N$84,12,FALSE),"")</f>
        <v/>
      </c>
      <c r="Q2125" s="2607" t="s">
        <v>437</v>
      </c>
      <c r="R2125" s="2608" t="str">
        <f>IFERROR(VLOOKUP(F2125,Trainingsarten!$A$9:$N$84,14,FALSE),"")</f>
        <v/>
      </c>
      <c r="S2125" s="2609" t="str">
        <f t="shared" si="508"/>
        <v/>
      </c>
      <c r="T2125" s="2597">
        <f t="shared" si="509"/>
        <v>38.825078233618584</v>
      </c>
      <c r="U2125" s="2597">
        <f t="shared" si="510"/>
        <v>36.250231328724119</v>
      </c>
      <c r="V2125" s="2597">
        <f t="shared" si="511"/>
        <v>-8.161541293536807</v>
      </c>
      <c r="W2125" s="3284">
        <f t="shared" si="512"/>
        <v>1.0710298061699319</v>
      </c>
      <c r="X2125" s="3300"/>
      <c r="Y2125" s="3316"/>
      <c r="AA2125" s="3301"/>
      <c r="AB2125" s="3409"/>
    </row>
    <row r="2126" spans="1:28" ht="16" thickBot="1" x14ac:dyDescent="0.25">
      <c r="A2126" s="2935" t="s">
        <v>628</v>
      </c>
      <c r="B2126" s="3001">
        <f>SUM(K2124:K2130)</f>
        <v>112</v>
      </c>
      <c r="C2126" s="2596">
        <v>45224</v>
      </c>
      <c r="D2126" s="2597">
        <v>165</v>
      </c>
      <c r="E2126" s="2598" t="s">
        <v>836</v>
      </c>
      <c r="F2126" s="3056" t="s">
        <v>900</v>
      </c>
      <c r="G2126" s="2599">
        <v>4.3611111111111107E-2</v>
      </c>
      <c r="H2126" s="2600">
        <v>12.01</v>
      </c>
      <c r="I2126" s="2601">
        <f t="shared" si="506"/>
        <v>3.6312332315662872E-3</v>
      </c>
      <c r="J2126" s="2602">
        <v>143</v>
      </c>
      <c r="K2126" s="2603">
        <v>80</v>
      </c>
      <c r="L2126" s="2816">
        <v>229</v>
      </c>
      <c r="M2126" s="2840">
        <v>35</v>
      </c>
      <c r="N2126" s="2604">
        <f t="shared" si="507"/>
        <v>1.0723302720369841</v>
      </c>
      <c r="O2126" s="2605" t="s">
        <v>821</v>
      </c>
      <c r="P2126" s="2606">
        <f>IFERROR(VLOOKUP(F2126,Trainingsarten!$A$9:$N$84,12,FALSE),"")</f>
        <v>230.89999999999998</v>
      </c>
      <c r="Q2126" s="2607" t="s">
        <v>437</v>
      </c>
      <c r="R2126" s="2608">
        <f>IFERROR(VLOOKUP(F2126,Trainingsarten!$A$9:$N$84,14,FALSE),"")</f>
        <v>254.10000000000002</v>
      </c>
      <c r="S2126" s="2609">
        <f t="shared" si="508"/>
        <v>1.6013986013986015</v>
      </c>
      <c r="T2126" s="2597">
        <f t="shared" si="509"/>
        <v>44.707209914530218</v>
      </c>
      <c r="U2126" s="2597">
        <f t="shared" si="510"/>
        <v>37.29189248756402</v>
      </c>
      <c r="V2126" s="2597">
        <f t="shared" si="511"/>
        <v>-2.5748469048944642</v>
      </c>
      <c r="W2126" s="3284">
        <f t="shared" si="512"/>
        <v>1.1988452967207024</v>
      </c>
      <c r="X2126" s="3300"/>
      <c r="Y2126" s="3316"/>
      <c r="AA2126" s="3301"/>
      <c r="AB2126" s="3409"/>
    </row>
    <row r="2127" spans="1:28" x14ac:dyDescent="0.2">
      <c r="A2127" s="2935" t="s">
        <v>761</v>
      </c>
      <c r="B2127" s="3002">
        <f>AVERAGE(W2124:W2130)</f>
        <v>0.9986744076680748</v>
      </c>
      <c r="C2127" s="2596">
        <v>45225</v>
      </c>
      <c r="D2127" s="2597"/>
      <c r="E2127" s="3085"/>
      <c r="F2127" s="3190"/>
      <c r="G2127" s="3088"/>
      <c r="H2127" s="2600" t="str">
        <f>IFERROR(VLOOKUP(F2127,Trainingsarten!$A$9:$K$84,10,FALSE),"")</f>
        <v/>
      </c>
      <c r="I2127" s="2601" t="str">
        <f t="shared" si="506"/>
        <v/>
      </c>
      <c r="J2127" s="2602"/>
      <c r="K2127" s="2603" t="str">
        <f>IFERROR(VLOOKUP(F2127,Trainingsarten!$A$9:$K$84,11,FALSE),"0")</f>
        <v>0</v>
      </c>
      <c r="L2127" s="2816"/>
      <c r="M2127" s="2840"/>
      <c r="N2127" s="2604" t="str">
        <f t="shared" si="507"/>
        <v/>
      </c>
      <c r="O2127" s="2605"/>
      <c r="P2127" s="2606" t="str">
        <f>IFERROR(VLOOKUP(F2127,Trainingsarten!$A$9:$N$84,12,FALSE),"")</f>
        <v/>
      </c>
      <c r="Q2127" s="2607" t="s">
        <v>437</v>
      </c>
      <c r="R2127" s="2608" t="str">
        <f>IFERROR(VLOOKUP(F2127,Trainingsarten!$A$9:$N$84,14,FALSE),"")</f>
        <v/>
      </c>
      <c r="S2127" s="2609" t="str">
        <f t="shared" si="508"/>
        <v/>
      </c>
      <c r="T2127" s="2597">
        <f t="shared" si="509"/>
        <v>38.320465641025898</v>
      </c>
      <c r="U2127" s="2597">
        <f t="shared" si="510"/>
        <v>36.403990285479161</v>
      </c>
      <c r="V2127" s="2597">
        <f t="shared" si="511"/>
        <v>-7.4153174269661974</v>
      </c>
      <c r="W2127" s="3284">
        <f t="shared" si="512"/>
        <v>1.0526446507791531</v>
      </c>
      <c r="X2127" s="3300"/>
      <c r="Y2127" s="3316"/>
      <c r="AA2127" s="3301"/>
      <c r="AB2127" s="3409"/>
    </row>
    <row r="2128" spans="1:28" x14ac:dyDescent="0.2">
      <c r="A2128" s="2935" t="s">
        <v>979</v>
      </c>
      <c r="B2128" s="3130">
        <f>IFERROR(AVERAGE(N2124:N2130),"")</f>
        <v>1.0642986365033895</v>
      </c>
      <c r="C2128" s="2596">
        <v>45226</v>
      </c>
      <c r="D2128" s="2597"/>
      <c r="E2128" s="3085"/>
      <c r="F2128" s="3191"/>
      <c r="G2128" s="3088"/>
      <c r="H2128" s="2600" t="str">
        <f>IFERROR(VLOOKUP(F2128,Trainingsarten!$A$9:$K$84,10,FALSE),"")</f>
        <v/>
      </c>
      <c r="I2128" s="2601" t="str">
        <f t="shared" si="506"/>
        <v/>
      </c>
      <c r="J2128" s="2602"/>
      <c r="K2128" s="2603" t="str">
        <f>IFERROR(VLOOKUP(F2128,Trainingsarten!$A$9:$K$84,11,FALSE),"0")</f>
        <v>0</v>
      </c>
      <c r="L2128" s="2816"/>
      <c r="M2128" s="2840"/>
      <c r="N2128" s="2604" t="str">
        <f t="shared" si="507"/>
        <v/>
      </c>
      <c r="O2128" s="2605"/>
      <c r="P2128" s="2606" t="str">
        <f>IFERROR(VLOOKUP(F2128,Trainingsarten!$A$9:$N$84,12,FALSE),"")</f>
        <v/>
      </c>
      <c r="Q2128" s="2607" t="s">
        <v>437</v>
      </c>
      <c r="R2128" s="2608" t="str">
        <f>IFERROR(VLOOKUP(F2128,Trainingsarten!$A$9:$N$84,14,FALSE),"")</f>
        <v/>
      </c>
      <c r="S2128" s="2609" t="str">
        <f t="shared" si="508"/>
        <v/>
      </c>
      <c r="T2128" s="2597">
        <f t="shared" si="509"/>
        <v>32.846113406593624</v>
      </c>
      <c r="U2128" s="2597">
        <f t="shared" si="510"/>
        <v>35.537228612015369</v>
      </c>
      <c r="V2128" s="2597">
        <f t="shared" si="511"/>
        <v>-1.9164753555467371</v>
      </c>
      <c r="W2128" s="3284">
        <f t="shared" si="512"/>
        <v>0.92427335190364668</v>
      </c>
      <c r="X2128" s="3300"/>
      <c r="Y2128" s="3316"/>
      <c r="AA2128" s="3301"/>
      <c r="AB2128" s="3409"/>
    </row>
    <row r="2129" spans="1:28" x14ac:dyDescent="0.2">
      <c r="A2129" s="2935" t="s">
        <v>980</v>
      </c>
      <c r="B2129" s="3002">
        <f>IFERROR(AVERAGE(S2124:S2130),"")</f>
        <v>1.6169386169386168</v>
      </c>
      <c r="C2129" s="2886">
        <v>45227</v>
      </c>
      <c r="D2129" s="2887"/>
      <c r="E2129" s="3085"/>
      <c r="F2129" s="3191"/>
      <c r="G2129" s="3088"/>
      <c r="H2129" s="2891" t="str">
        <f>IFERROR(VLOOKUP(F2129,Trainingsarten!$A$9:$K$84,10,FALSE),"")</f>
        <v/>
      </c>
      <c r="I2129" s="2892" t="str">
        <f t="shared" si="506"/>
        <v/>
      </c>
      <c r="J2129" s="2893"/>
      <c r="K2129" s="2894" t="str">
        <f>IFERROR(VLOOKUP(F2129,Trainingsarten!$A$9:$K$84,11,FALSE),"0")</f>
        <v>0</v>
      </c>
      <c r="L2129" s="2816"/>
      <c r="M2129" s="2893"/>
      <c r="N2129" s="2895" t="str">
        <f t="shared" si="507"/>
        <v/>
      </c>
      <c r="O2129" s="2896"/>
      <c r="P2129" s="2897" t="str">
        <f>IFERROR(VLOOKUP(F2129,Trainingsarten!$A$9:$N$84,12,FALSE),"")</f>
        <v/>
      </c>
      <c r="Q2129" s="2898" t="s">
        <v>437</v>
      </c>
      <c r="R2129" s="2899" t="str">
        <f>IFERROR(VLOOKUP(F2129,Trainingsarten!$A$9:$N$84,14,FALSE),"")</f>
        <v/>
      </c>
      <c r="S2129" s="2845" t="str">
        <f t="shared" si="508"/>
        <v/>
      </c>
      <c r="T2129" s="2887">
        <f t="shared" si="509"/>
        <v>28.153811491365964</v>
      </c>
      <c r="U2129" s="2887">
        <f t="shared" si="510"/>
        <v>34.691104121253098</v>
      </c>
      <c r="V2129" s="2887">
        <f t="shared" si="511"/>
        <v>2.6911152054217453</v>
      </c>
      <c r="W2129" s="3284">
        <f t="shared" si="512"/>
        <v>0.81155708947637273</v>
      </c>
      <c r="X2129" s="3300"/>
      <c r="Y2129" s="3316"/>
      <c r="AA2129" s="3301"/>
      <c r="AB2129" s="3409"/>
    </row>
    <row r="2130" spans="1:28" ht="16" thickBot="1" x14ac:dyDescent="0.25">
      <c r="A2130" s="2936" t="s">
        <v>183</v>
      </c>
      <c r="B2130" s="3003">
        <f>IFERROR(SUM(M2124:M2130),"")</f>
        <v>46</v>
      </c>
      <c r="C2130" s="2576">
        <v>45228</v>
      </c>
      <c r="D2130" s="1788"/>
      <c r="E2130" s="3188"/>
      <c r="F2130" s="3191"/>
      <c r="G2130" s="3189"/>
      <c r="H2130" s="2578"/>
      <c r="I2130" s="2579" t="str">
        <f t="shared" si="506"/>
        <v/>
      </c>
      <c r="J2130" s="2580"/>
      <c r="K2130" s="2894" t="str">
        <f>IFERROR(VLOOKUP(F2130,Trainingsarten!$A$9:$K$84,11,FALSE),"0")</f>
        <v>0</v>
      </c>
      <c r="L2130" s="2821"/>
      <c r="M2130" s="2580"/>
      <c r="N2130" s="2582" t="str">
        <f t="shared" si="507"/>
        <v/>
      </c>
      <c r="O2130" s="2583"/>
      <c r="P2130" s="2584"/>
      <c r="Q2130" s="945" t="s">
        <v>437</v>
      </c>
      <c r="R2130" s="946"/>
      <c r="S2130" s="2390" t="str">
        <f t="shared" si="508"/>
        <v/>
      </c>
      <c r="T2130" s="1788">
        <f t="shared" si="509"/>
        <v>24.131838421170826</v>
      </c>
      <c r="U2130" s="1788">
        <f t="shared" si="510"/>
        <v>33.865125451699456</v>
      </c>
      <c r="V2130" s="1788">
        <f t="shared" si="511"/>
        <v>6.5372926298871334</v>
      </c>
      <c r="W2130" s="3293">
        <f t="shared" si="512"/>
        <v>0.71258671271096141</v>
      </c>
      <c r="X2130" s="3300"/>
      <c r="Y2130" s="3316"/>
      <c r="AA2130" s="3301"/>
      <c r="AB2130" s="3409"/>
    </row>
    <row r="2131" spans="1:28" ht="16" thickBot="1" x14ac:dyDescent="0.25">
      <c r="A2131" s="3439">
        <f>WEEKNUM(C2131,1)</f>
        <v>44</v>
      </c>
      <c r="B2131" s="3440"/>
      <c r="C2131" s="2585">
        <v>45229</v>
      </c>
      <c r="D2131" s="2586"/>
      <c r="E2131" s="3084"/>
      <c r="F2131" s="3191"/>
      <c r="G2131" s="3087"/>
      <c r="H2131" s="2589" t="str">
        <f>IFERROR(VLOOKUP(F2131,Trainingsarten!$A$9:$K$84,10,FALSE),"")</f>
        <v/>
      </c>
      <c r="I2131" s="2590" t="str">
        <f t="shared" si="506"/>
        <v/>
      </c>
      <c r="J2131" s="2591"/>
      <c r="K2131" s="2592" t="str">
        <f>IFERROR(VLOOKUP(F2131,Trainingsarten!$A$9:$K$84,11,FALSE),"0")</f>
        <v>0</v>
      </c>
      <c r="L2131" s="2815"/>
      <c r="M2131" s="2591"/>
      <c r="N2131" s="2593" t="str">
        <f t="shared" si="507"/>
        <v/>
      </c>
      <c r="O2131" s="2594"/>
      <c r="P2131" s="1919" t="str">
        <f>IFERROR(VLOOKUP(F2131,Trainingsarten!$A$9:$N$84,12,FALSE),"")</f>
        <v/>
      </c>
      <c r="Q2131" s="1069" t="s">
        <v>437</v>
      </c>
      <c r="R2131" s="2462" t="str">
        <f>IFERROR(VLOOKUP(F2131,Trainingsarten!$A$9:$N$84,14,FALSE),"")</f>
        <v/>
      </c>
      <c r="S2131" s="2595" t="str">
        <f t="shared" si="508"/>
        <v/>
      </c>
      <c r="T2131" s="2586">
        <f t="shared" si="509"/>
        <v>20.684432932432138</v>
      </c>
      <c r="U2131" s="2586">
        <f t="shared" si="510"/>
        <v>33.058812940944705</v>
      </c>
      <c r="V2131" s="2586">
        <f t="shared" si="511"/>
        <v>9.7332870305286292</v>
      </c>
      <c r="W2131" s="3283">
        <f t="shared" si="512"/>
        <v>0.6256858940876735</v>
      </c>
      <c r="X2131" s="3300"/>
      <c r="Y2131" s="3321" t="str">
        <f t="shared" ref="Y2131:Y2188" si="513">IFERROR(X2131/K2131,"")</f>
        <v/>
      </c>
      <c r="AA2131" s="3312"/>
      <c r="AB2131" s="3409"/>
    </row>
    <row r="2132" spans="1:28" ht="16" thickBot="1" x14ac:dyDescent="0.25">
      <c r="A2132" s="2934" t="s">
        <v>626</v>
      </c>
      <c r="B2132" s="3000">
        <f>SUM(H2131:H2137)</f>
        <v>0</v>
      </c>
      <c r="C2132" s="2596">
        <v>45230</v>
      </c>
      <c r="D2132" s="2597"/>
      <c r="E2132" s="3085"/>
      <c r="F2132" s="3191"/>
      <c r="G2132" s="3088"/>
      <c r="H2132" s="2600" t="str">
        <f>IFERROR(VLOOKUP(F2132,Trainingsarten!$A$9:$K$84,10,FALSE),"")</f>
        <v/>
      </c>
      <c r="I2132" s="2601" t="str">
        <f t="shared" si="506"/>
        <v/>
      </c>
      <c r="J2132" s="2602"/>
      <c r="K2132" s="2603" t="str">
        <f>IFERROR(VLOOKUP(F2132,Trainingsarten!$A$9:$K$84,11,FALSE),"0")</f>
        <v>0</v>
      </c>
      <c r="L2132" s="2816"/>
      <c r="M2132" s="2840"/>
      <c r="N2132" s="2604" t="str">
        <f t="shared" si="507"/>
        <v/>
      </c>
      <c r="O2132" s="2605"/>
      <c r="P2132" s="2606" t="str">
        <f>IFERROR(VLOOKUP(F2132,Trainingsarten!$A$9:$N$84,12,FALSE),"")</f>
        <v/>
      </c>
      <c r="Q2132" s="2607" t="s">
        <v>437</v>
      </c>
      <c r="R2132" s="2608" t="str">
        <f>IFERROR(VLOOKUP(F2132,Trainingsarten!$A$9:$N$84,14,FALSE),"")</f>
        <v/>
      </c>
      <c r="S2132" s="2609" t="str">
        <f t="shared" si="508"/>
        <v/>
      </c>
      <c r="T2132" s="2597">
        <f t="shared" si="509"/>
        <v>17.72951394208469</v>
      </c>
      <c r="U2132" s="2597">
        <f t="shared" si="510"/>
        <v>32.271698347112689</v>
      </c>
      <c r="V2132" s="2597">
        <f t="shared" si="511"/>
        <v>12.374380008512567</v>
      </c>
      <c r="W2132" s="3284">
        <f t="shared" si="512"/>
        <v>0.54938273627210354</v>
      </c>
      <c r="X2132" s="3300"/>
      <c r="Y2132" s="3321" t="str">
        <f t="shared" si="513"/>
        <v/>
      </c>
      <c r="AA2132" s="3312"/>
      <c r="AB2132" s="3409"/>
    </row>
    <row r="2133" spans="1:28" ht="16" thickBot="1" x14ac:dyDescent="0.25">
      <c r="A2133" s="2935" t="s">
        <v>628</v>
      </c>
      <c r="B2133" s="3001">
        <f>SUM(K2131:K2137)</f>
        <v>0</v>
      </c>
      <c r="C2133" s="2596">
        <v>45231</v>
      </c>
      <c r="D2133" s="2597"/>
      <c r="E2133" s="3085"/>
      <c r="F2133" s="3192"/>
      <c r="G2133" s="3088"/>
      <c r="H2133" s="2600"/>
      <c r="I2133" s="2601" t="str">
        <f t="shared" si="506"/>
        <v/>
      </c>
      <c r="J2133" s="2602"/>
      <c r="K2133" s="2603" t="str">
        <f>IFERROR(VLOOKUP(F2133,Trainingsarten!$A$9:$K$84,11,FALSE),"0")</f>
        <v>0</v>
      </c>
      <c r="L2133" s="2816"/>
      <c r="M2133" s="2840"/>
      <c r="N2133" s="2604" t="str">
        <f t="shared" si="507"/>
        <v/>
      </c>
      <c r="O2133" s="2605"/>
      <c r="P2133" s="2606" t="str">
        <f>IFERROR(VLOOKUP(F2133,Trainingsarten!$A$9:$N$84,12,FALSE),"")</f>
        <v/>
      </c>
      <c r="Q2133" s="2607" t="s">
        <v>437</v>
      </c>
      <c r="R2133" s="2608" t="str">
        <f>IFERROR(VLOOKUP(F2133,Trainingsarten!$A$9:$N$84,14,FALSE),"")</f>
        <v/>
      </c>
      <c r="S2133" s="2609" t="str">
        <f t="shared" si="508"/>
        <v/>
      </c>
      <c r="T2133" s="2597">
        <f t="shared" si="509"/>
        <v>15.196726236072593</v>
      </c>
      <c r="U2133" s="2597">
        <f t="shared" si="510"/>
        <v>31.503324576943339</v>
      </c>
      <c r="V2133" s="2597">
        <f t="shared" si="511"/>
        <v>14.542184405027999</v>
      </c>
      <c r="W2133" s="3284">
        <f t="shared" si="512"/>
        <v>0.48238484160477391</v>
      </c>
      <c r="X2133" s="3300"/>
      <c r="Y2133" s="3321" t="str">
        <f t="shared" si="513"/>
        <v/>
      </c>
      <c r="AA2133" s="3312"/>
      <c r="AB2133" s="3409"/>
    </row>
    <row r="2134" spans="1:28" x14ac:dyDescent="0.2">
      <c r="A2134" s="2935" t="s">
        <v>761</v>
      </c>
      <c r="B2134" s="3002">
        <f>AVERAGE(W2131:W2137)</f>
        <v>0.43802737918417461</v>
      </c>
      <c r="C2134" s="2596">
        <v>45232</v>
      </c>
      <c r="D2134" s="2597"/>
      <c r="E2134" s="2598"/>
      <c r="F2134" s="2774"/>
      <c r="G2134" s="2599"/>
      <c r="H2134" s="2600" t="str">
        <f>IFERROR(VLOOKUP(F2134,Trainingsarten!$A$9:$K$84,10,FALSE),"")</f>
        <v/>
      </c>
      <c r="I2134" s="2601" t="str">
        <f t="shared" si="506"/>
        <v/>
      </c>
      <c r="J2134" s="2602"/>
      <c r="K2134" s="2603" t="str">
        <f>IFERROR(VLOOKUP(F2134,Trainingsarten!$A$9:$K$84,11,FALSE),"0")</f>
        <v>0</v>
      </c>
      <c r="L2134" s="2816"/>
      <c r="M2134" s="2840"/>
      <c r="N2134" s="2604" t="str">
        <f t="shared" si="507"/>
        <v/>
      </c>
      <c r="O2134" s="2605"/>
      <c r="P2134" s="2606" t="str">
        <f>IFERROR(VLOOKUP(F2134,Trainingsarten!$A$9:$N$84,12,FALSE),"")</f>
        <v/>
      </c>
      <c r="Q2134" s="2607" t="s">
        <v>437</v>
      </c>
      <c r="R2134" s="2608" t="str">
        <f>IFERROR(VLOOKUP(F2134,Trainingsarten!$A$9:$N$84,14,FALSE),"")</f>
        <v/>
      </c>
      <c r="S2134" s="2609" t="str">
        <f t="shared" si="508"/>
        <v/>
      </c>
      <c r="T2134" s="2597">
        <f t="shared" si="509"/>
        <v>13.02576534520508</v>
      </c>
      <c r="U2134" s="2597">
        <f t="shared" si="510"/>
        <v>30.753245420349451</v>
      </c>
      <c r="V2134" s="2597">
        <f t="shared" si="511"/>
        <v>16.306598340870746</v>
      </c>
      <c r="W2134" s="3284">
        <f t="shared" si="512"/>
        <v>0.42355742189687462</v>
      </c>
      <c r="X2134" s="3300"/>
      <c r="Y2134" s="3321" t="str">
        <f t="shared" si="513"/>
        <v/>
      </c>
      <c r="AA2134" s="3312"/>
      <c r="AB2134" s="3409"/>
    </row>
    <row r="2135" spans="1:28" x14ac:dyDescent="0.2">
      <c r="A2135" s="2935" t="s">
        <v>979</v>
      </c>
      <c r="B2135" s="3130" t="str">
        <f>IFERROR(AVERAGE(N2131:N2137),"")</f>
        <v/>
      </c>
      <c r="C2135" s="2596">
        <v>45233</v>
      </c>
      <c r="D2135" s="2597"/>
      <c r="E2135" s="2598"/>
      <c r="F2135" s="2775"/>
      <c r="G2135" s="2599"/>
      <c r="H2135" s="2600" t="str">
        <f>IFERROR(VLOOKUP(F2135,Trainingsarten!$A$9:$K$84,10,FALSE),"")</f>
        <v/>
      </c>
      <c r="I2135" s="2601" t="str">
        <f t="shared" si="506"/>
        <v/>
      </c>
      <c r="J2135" s="2602"/>
      <c r="K2135" s="2603" t="str">
        <f>IFERROR(VLOOKUP(F2135,Trainingsarten!$A$9:$K$84,11,FALSE),"0")</f>
        <v>0</v>
      </c>
      <c r="L2135" s="2816"/>
      <c r="M2135" s="2840"/>
      <c r="N2135" s="2604" t="str">
        <f t="shared" si="507"/>
        <v/>
      </c>
      <c r="O2135" s="2605"/>
      <c r="P2135" s="2606" t="str">
        <f>IFERROR(VLOOKUP(F2135,Trainingsarten!$A$9:$N$84,12,FALSE),"")</f>
        <v/>
      </c>
      <c r="Q2135" s="2607" t="s">
        <v>437</v>
      </c>
      <c r="R2135" s="2608" t="str">
        <f>IFERROR(VLOOKUP(F2135,Trainingsarten!$A$9:$N$84,14,FALSE),"")</f>
        <v/>
      </c>
      <c r="S2135" s="2609" t="str">
        <f t="shared" si="508"/>
        <v/>
      </c>
      <c r="T2135" s="2597">
        <f t="shared" si="509"/>
        <v>11.164941724461498</v>
      </c>
      <c r="U2135" s="2597">
        <f t="shared" si="510"/>
        <v>30.021025291293512</v>
      </c>
      <c r="V2135" s="2597">
        <f t="shared" si="511"/>
        <v>17.727480075144371</v>
      </c>
      <c r="W2135" s="3284">
        <f t="shared" si="512"/>
        <v>0.37190407776310946</v>
      </c>
      <c r="X2135" s="3300"/>
      <c r="Y2135" s="3321" t="str">
        <f t="shared" si="513"/>
        <v/>
      </c>
      <c r="AA2135" s="3312"/>
      <c r="AB2135" s="3409"/>
    </row>
    <row r="2136" spans="1:28" x14ac:dyDescent="0.2">
      <c r="A2136" s="2935" t="s">
        <v>980</v>
      </c>
      <c r="B2136" s="3002" t="str">
        <f>IFERROR(AVERAGE(S2131:S2137),"")</f>
        <v/>
      </c>
      <c r="C2136" s="2886">
        <v>45234</v>
      </c>
      <c r="D2136" s="2887"/>
      <c r="E2136" s="2888"/>
      <c r="F2136" s="2889"/>
      <c r="G2136" s="2890"/>
      <c r="H2136" s="2891" t="str">
        <f>IFERROR(VLOOKUP(F2136,Trainingsarten!$A$9:$K$84,10,FALSE),"")</f>
        <v/>
      </c>
      <c r="I2136" s="2892" t="str">
        <f t="shared" si="506"/>
        <v/>
      </c>
      <c r="J2136" s="2893"/>
      <c r="K2136" s="2894" t="str">
        <f>IFERROR(VLOOKUP(F2136,Trainingsarten!$A$9:$K$84,11,FALSE),"0")</f>
        <v>0</v>
      </c>
      <c r="L2136" s="2816"/>
      <c r="M2136" s="2893"/>
      <c r="N2136" s="2895" t="str">
        <f t="shared" si="507"/>
        <v/>
      </c>
      <c r="O2136" s="2896"/>
      <c r="P2136" s="2897" t="str">
        <f>IFERROR(VLOOKUP(F2136,Trainingsarten!$A$9:$N$84,12,FALSE),"")</f>
        <v/>
      </c>
      <c r="Q2136" s="2898" t="s">
        <v>437</v>
      </c>
      <c r="R2136" s="2899" t="str">
        <f>IFERROR(VLOOKUP(F2136,Trainingsarten!$A$9:$N$84,14,FALSE),"")</f>
        <v/>
      </c>
      <c r="S2136" s="2845" t="str">
        <f t="shared" si="508"/>
        <v/>
      </c>
      <c r="T2136" s="2887">
        <f t="shared" si="509"/>
        <v>9.5699500495384271</v>
      </c>
      <c r="U2136" s="2887">
        <f t="shared" si="510"/>
        <v>29.306238974834141</v>
      </c>
      <c r="V2136" s="2887">
        <f t="shared" si="511"/>
        <v>18.856083566832012</v>
      </c>
      <c r="W2136" s="3284">
        <f t="shared" si="512"/>
        <v>0.32654992193834004</v>
      </c>
      <c r="X2136" s="3300"/>
      <c r="Y2136" s="3321" t="str">
        <f t="shared" si="513"/>
        <v/>
      </c>
      <c r="AA2136" s="3312"/>
      <c r="AB2136" s="3409"/>
    </row>
    <row r="2137" spans="1:28" ht="16" thickBot="1" x14ac:dyDescent="0.25">
      <c r="A2137" s="2936" t="s">
        <v>183</v>
      </c>
      <c r="B2137" s="3003">
        <f>IFERROR(SUM(M2131:M2137),"")</f>
        <v>0</v>
      </c>
      <c r="C2137" s="2576">
        <v>45235</v>
      </c>
      <c r="D2137" s="1788"/>
      <c r="E2137" s="1789"/>
      <c r="F2137" s="2763"/>
      <c r="G2137" s="2577"/>
      <c r="H2137" s="2578" t="str">
        <f>IFERROR(VLOOKUP(F2137,Trainingsarten!$A$9:$K$84,10,FALSE),"")</f>
        <v/>
      </c>
      <c r="I2137" s="2579" t="str">
        <f t="shared" si="506"/>
        <v/>
      </c>
      <c r="J2137" s="2580"/>
      <c r="K2137" s="2581" t="str">
        <f>IFERROR(VLOOKUP(F2137,Trainingsarten!$A$9:$K$84,11,FALSE),"0")</f>
        <v>0</v>
      </c>
      <c r="L2137" s="2821"/>
      <c r="M2137" s="2580"/>
      <c r="N2137" s="2582" t="str">
        <f t="shared" si="507"/>
        <v/>
      </c>
      <c r="O2137" s="2583"/>
      <c r="P2137" s="2584" t="str">
        <f>IFERROR(VLOOKUP(F2137,Trainingsarten!$A$9:$N$84,12,FALSE),"")</f>
        <v/>
      </c>
      <c r="Q2137" s="945" t="s">
        <v>437</v>
      </c>
      <c r="R2137" s="946" t="str">
        <f>IFERROR(VLOOKUP(F2137,Trainingsarten!$A$9:$N$84,14,FALSE),"")</f>
        <v/>
      </c>
      <c r="S2137" s="2390" t="str">
        <f t="shared" si="508"/>
        <v/>
      </c>
      <c r="T2137" s="1788">
        <f t="shared" si="509"/>
        <v>8.2028143281757941</v>
      </c>
      <c r="U2137" s="1788">
        <f t="shared" si="510"/>
        <v>28.608471380195233</v>
      </c>
      <c r="V2137" s="1788">
        <f t="shared" si="511"/>
        <v>19.736288925295714</v>
      </c>
      <c r="W2137" s="3293">
        <f t="shared" si="512"/>
        <v>0.28672676072634734</v>
      </c>
      <c r="X2137" s="3324"/>
      <c r="Y2137" s="3326" t="str">
        <f t="shared" si="513"/>
        <v/>
      </c>
      <c r="Z2137" s="3327"/>
      <c r="AA2137" s="3327"/>
      <c r="AB2137" s="2846"/>
    </row>
    <row r="2138" spans="1:28" ht="16" thickBot="1" x14ac:dyDescent="0.25">
      <c r="A2138" s="3439">
        <f>WEEKNUM(C2138,1)</f>
        <v>45</v>
      </c>
      <c r="B2138" s="3440"/>
      <c r="C2138" s="2585">
        <v>45236</v>
      </c>
      <c r="D2138" s="2586"/>
      <c r="E2138" s="2587"/>
      <c r="F2138" s="2761"/>
      <c r="G2138" s="2588"/>
      <c r="H2138" s="2589" t="str">
        <f>IFERROR(VLOOKUP(F2138,Trainingsarten!$A$9:$K$84,10,FALSE),"")</f>
        <v/>
      </c>
      <c r="I2138" s="2590" t="str">
        <f t="shared" si="506"/>
        <v/>
      </c>
      <c r="J2138" s="2591"/>
      <c r="K2138" s="2592" t="str">
        <f>IFERROR(VLOOKUP(F2138,Trainingsarten!$A$9:$K$84,11,FALSE),"0")</f>
        <v>0</v>
      </c>
      <c r="L2138" s="2815"/>
      <c r="M2138" s="2591"/>
      <c r="N2138" s="2593" t="str">
        <f t="shared" si="507"/>
        <v/>
      </c>
      <c r="O2138" s="2594"/>
      <c r="P2138" s="1919" t="str">
        <f>IFERROR(VLOOKUP(F2138,Trainingsarten!$A$9:$N$84,12,FALSE),"")</f>
        <v/>
      </c>
      <c r="Q2138" s="1069" t="s">
        <v>437</v>
      </c>
      <c r="R2138" s="2462" t="str">
        <f>IFERROR(VLOOKUP(F2138,Trainingsarten!$A$9:$N$84,14,FALSE),"")</f>
        <v/>
      </c>
      <c r="S2138" s="2595" t="str">
        <f t="shared" si="508"/>
        <v/>
      </c>
      <c r="T2138" s="2586">
        <f t="shared" si="509"/>
        <v>7.0309837098649659</v>
      </c>
      <c r="U2138" s="2586">
        <f t="shared" si="510"/>
        <v>27.927317299714396</v>
      </c>
      <c r="V2138" s="2586">
        <f t="shared" si="511"/>
        <v>20.405657052019439</v>
      </c>
      <c r="W2138" s="3283">
        <f t="shared" si="512"/>
        <v>0.25176008258898785</v>
      </c>
      <c r="X2138" s="3310"/>
      <c r="Y2138" s="3323" t="str">
        <f t="shared" si="513"/>
        <v/>
      </c>
      <c r="Z2138" s="2586">
        <f>T2138</f>
        <v>7.0309837098649659</v>
      </c>
      <c r="AA2138" s="2068">
        <f>U2138</f>
        <v>27.927317299714396</v>
      </c>
      <c r="AB2138" s="2595"/>
    </row>
    <row r="2139" spans="1:28" x14ac:dyDescent="0.2">
      <c r="A2139" s="2934" t="s">
        <v>626</v>
      </c>
      <c r="B2139" s="3000">
        <f>SUM(H2138:H2144)</f>
        <v>11.92</v>
      </c>
      <c r="C2139" s="2596">
        <v>45237</v>
      </c>
      <c r="D2139" s="2597">
        <v>166</v>
      </c>
      <c r="E2139" s="2598" t="s">
        <v>836</v>
      </c>
      <c r="F2139" s="2759" t="s">
        <v>1466</v>
      </c>
      <c r="G2139" s="2599">
        <v>2.417824074074074E-2</v>
      </c>
      <c r="H2139" s="2600">
        <v>5.85</v>
      </c>
      <c r="I2139" s="2601">
        <f t="shared" si="506"/>
        <v>4.1330326052548272E-3</v>
      </c>
      <c r="J2139" s="2602">
        <v>125</v>
      </c>
      <c r="K2139" s="2603">
        <v>31</v>
      </c>
      <c r="L2139" s="2816">
        <v>197</v>
      </c>
      <c r="M2139" s="2840">
        <v>13</v>
      </c>
      <c r="N2139" s="2604">
        <f t="shared" si="507"/>
        <v>1.0499630054853935</v>
      </c>
      <c r="O2139" s="2605" t="s">
        <v>976</v>
      </c>
      <c r="P2139" s="2606">
        <f>IFERROR(VLOOKUP(F2139,Trainingsarten!$A$9:$N$84,12,FALSE),"")</f>
        <v>194.60000000000002</v>
      </c>
      <c r="Q2139" s="2607" t="s">
        <v>437</v>
      </c>
      <c r="R2139" s="2608">
        <f>IFERROR(VLOOKUP(F2139,Trainingsarten!$A$9:$N$84,14,FALSE),"")</f>
        <v>212.96</v>
      </c>
      <c r="S2139" s="2609">
        <f t="shared" si="508"/>
        <v>1.5760000000000001</v>
      </c>
      <c r="T2139" s="2597">
        <f>T2138+(K2139-T2138)/7</f>
        <v>10.45512889416997</v>
      </c>
      <c r="U2139" s="2597">
        <f t="shared" si="510"/>
        <v>28.000476411625957</v>
      </c>
      <c r="V2139" s="2597">
        <f t="shared" si="511"/>
        <v>20.89633358984943</v>
      </c>
      <c r="W2139" s="3284">
        <f t="shared" si="512"/>
        <v>0.3733911073680497</v>
      </c>
      <c r="X2139" s="3311">
        <v>21</v>
      </c>
      <c r="Y2139" s="3321">
        <f t="shared" si="513"/>
        <v>0.67741935483870963</v>
      </c>
      <c r="Z2139" s="3312">
        <f>Z2138+(X2139-Z2138)/7</f>
        <v>9.0265574655985414</v>
      </c>
      <c r="AA2139" s="3329">
        <f>AA2138+(X2139-AA2138)/42</f>
        <v>27.76238117353072</v>
      </c>
      <c r="AB2139" s="3325">
        <f>Z2139/AA2139</f>
        <v>0.32513628457074367</v>
      </c>
    </row>
    <row r="2140" spans="1:28" x14ac:dyDescent="0.2">
      <c r="A2140" s="2935" t="s">
        <v>628</v>
      </c>
      <c r="B2140" s="3001">
        <f>SUM(K2138:K2144)</f>
        <v>62</v>
      </c>
      <c r="C2140" s="2596">
        <v>45238</v>
      </c>
      <c r="D2140" s="2597"/>
      <c r="E2140" s="2598"/>
      <c r="F2140" s="2759"/>
      <c r="G2140" s="2599"/>
      <c r="H2140" s="2600" t="str">
        <f>IFERROR(VLOOKUP(F2140,Trainingsarten!$A$9:$K$84,10,FALSE),"")</f>
        <v/>
      </c>
      <c r="I2140" s="2601" t="str">
        <f t="shared" si="506"/>
        <v/>
      </c>
      <c r="J2140" s="2602"/>
      <c r="K2140" s="2603" t="str">
        <f>IFERROR(VLOOKUP(F2140,Trainingsarten!$A$9:$K$84,11,FALSE),"0")</f>
        <v>0</v>
      </c>
      <c r="L2140" s="2816"/>
      <c r="M2140" s="2840"/>
      <c r="N2140" s="2604" t="str">
        <f t="shared" si="507"/>
        <v/>
      </c>
      <c r="O2140" s="2605"/>
      <c r="P2140" s="2606" t="str">
        <f>IFERROR(VLOOKUP(F2140,Trainingsarten!$A$9:$N$84,12,FALSE),"")</f>
        <v/>
      </c>
      <c r="Q2140" s="2607" t="s">
        <v>437</v>
      </c>
      <c r="R2140" s="2608" t="str">
        <f>IFERROR(VLOOKUP(F2140,Trainingsarten!$A$9:$N$84,14,FALSE),"")</f>
        <v/>
      </c>
      <c r="S2140" s="2609" t="str">
        <f t="shared" si="508"/>
        <v/>
      </c>
      <c r="T2140" s="2597">
        <f t="shared" si="509"/>
        <v>8.9615390521456888</v>
      </c>
      <c r="U2140" s="2597">
        <f t="shared" si="510"/>
        <v>27.333798401825341</v>
      </c>
      <c r="V2140" s="2597">
        <f t="shared" si="511"/>
        <v>17.545347517455987</v>
      </c>
      <c r="W2140" s="3284">
        <f t="shared" si="512"/>
        <v>0.32785560646950701</v>
      </c>
      <c r="X2140" s="3311"/>
      <c r="Y2140" s="3321" t="str">
        <f t="shared" si="513"/>
        <v/>
      </c>
      <c r="Z2140" s="3312">
        <f t="shared" ref="Z2140:Z2202" si="514">Z2139+(X2140-Z2139)/7</f>
        <v>7.737049256227321</v>
      </c>
      <c r="AA2140" s="3329">
        <f t="shared" ref="AA2140:AA2202" si="515">AA2139+(X2140-AA2139)/42</f>
        <v>27.101372097970465</v>
      </c>
      <c r="AB2140" s="3325">
        <f t="shared" ref="AB2140:AB2202" si="516">Z2140/AA2140</f>
        <v>0.28548551815967738</v>
      </c>
    </row>
    <row r="2141" spans="1:28" x14ac:dyDescent="0.2">
      <c r="A2141" s="2935" t="s">
        <v>761</v>
      </c>
      <c r="B2141" s="3002">
        <f>AVERAGE(W2138:W2144)</f>
        <v>0.29687099007824408</v>
      </c>
      <c r="C2141" s="2596">
        <v>45239</v>
      </c>
      <c r="D2141" s="2597"/>
      <c r="E2141" s="2598"/>
      <c r="F2141" s="2759"/>
      <c r="G2141" s="2599"/>
      <c r="H2141" s="2600" t="str">
        <f>IFERROR(VLOOKUP(F2141,Trainingsarten!$A$9:$K$84,10,FALSE),"")</f>
        <v/>
      </c>
      <c r="I2141" s="2601" t="str">
        <f t="shared" si="506"/>
        <v/>
      </c>
      <c r="J2141" s="2602"/>
      <c r="K2141" s="2603" t="str">
        <f>IFERROR(VLOOKUP(F2141,Trainingsarten!$A$9:$K$84,11,FALSE),"0")</f>
        <v>0</v>
      </c>
      <c r="L2141" s="2816"/>
      <c r="M2141" s="2840"/>
      <c r="N2141" s="2604" t="str">
        <f t="shared" si="507"/>
        <v/>
      </c>
      <c r="O2141" s="2605"/>
      <c r="P2141" s="2606" t="str">
        <f>IFERROR(VLOOKUP(F2141,Trainingsarten!$A$9:$N$84,12,FALSE),"")</f>
        <v/>
      </c>
      <c r="Q2141" s="2607" t="s">
        <v>437</v>
      </c>
      <c r="R2141" s="2608" t="str">
        <f>IFERROR(VLOOKUP(F2141,Trainingsarten!$A$9:$N$84,14,FALSE),"")</f>
        <v/>
      </c>
      <c r="S2141" s="2609" t="str">
        <f t="shared" si="508"/>
        <v/>
      </c>
      <c r="T2141" s="2597">
        <f t="shared" si="509"/>
        <v>7.6813191875534477</v>
      </c>
      <c r="U2141" s="2597">
        <f t="shared" si="510"/>
        <v>26.682993677972355</v>
      </c>
      <c r="V2141" s="2597">
        <f t="shared" si="511"/>
        <v>18.372259349679652</v>
      </c>
      <c r="W2141" s="3284">
        <f t="shared" si="512"/>
        <v>0.28787321543664035</v>
      </c>
      <c r="X2141" s="3311"/>
      <c r="Y2141" s="3321" t="str">
        <f t="shared" si="513"/>
        <v/>
      </c>
      <c r="Z2141" s="3312">
        <f t="shared" si="514"/>
        <v>6.6317565053377034</v>
      </c>
      <c r="AA2141" s="3329">
        <f t="shared" si="515"/>
        <v>26.456101333733073</v>
      </c>
      <c r="AB2141" s="3325">
        <f t="shared" si="516"/>
        <v>0.2506702110670338</v>
      </c>
    </row>
    <row r="2142" spans="1:28" x14ac:dyDescent="0.2">
      <c r="A2142" s="2935" t="s">
        <v>979</v>
      </c>
      <c r="B2142" s="3130">
        <f>IFERROR(AVERAGE(N2138:N2144),"")</f>
        <v>1.095602860533643</v>
      </c>
      <c r="C2142" s="2596">
        <v>45240</v>
      </c>
      <c r="D2142" s="2597"/>
      <c r="E2142" s="2598"/>
      <c r="F2142" s="2775"/>
      <c r="G2142" s="2599"/>
      <c r="H2142" s="2600" t="str">
        <f>IFERROR(VLOOKUP(F2142,Trainingsarten!$A$9:$K$84,10,FALSE),"")</f>
        <v/>
      </c>
      <c r="I2142" s="2601" t="str">
        <f t="shared" si="506"/>
        <v/>
      </c>
      <c r="J2142" s="2602"/>
      <c r="K2142" s="2603" t="str">
        <f>IFERROR(VLOOKUP(F2142,Trainingsarten!$A$9:$K$84,11,FALSE),"0")</f>
        <v>0</v>
      </c>
      <c r="L2142" s="2816"/>
      <c r="M2142" s="2840"/>
      <c r="N2142" s="2604" t="str">
        <f t="shared" si="507"/>
        <v/>
      </c>
      <c r="O2142" s="2605"/>
      <c r="P2142" s="2606" t="str">
        <f>IFERROR(VLOOKUP(F2142,Trainingsarten!$A$9:$N$84,12,FALSE),"")</f>
        <v/>
      </c>
      <c r="Q2142" s="2607" t="s">
        <v>437</v>
      </c>
      <c r="R2142" s="2608" t="str">
        <f>IFERROR(VLOOKUP(F2142,Trainingsarten!$A$9:$N$84,14,FALSE),"")</f>
        <v/>
      </c>
      <c r="S2142" s="2609" t="str">
        <f t="shared" si="508"/>
        <v/>
      </c>
      <c r="T2142" s="2597">
        <f t="shared" si="509"/>
        <v>6.5839878750458123</v>
      </c>
      <c r="U2142" s="2597">
        <f t="shared" si="510"/>
        <v>26.047684304687298</v>
      </c>
      <c r="V2142" s="2597">
        <f t="shared" si="511"/>
        <v>19.001674490418907</v>
      </c>
      <c r="W2142" s="3284">
        <f t="shared" si="512"/>
        <v>0.25276672574924519</v>
      </c>
      <c r="X2142" s="3311"/>
      <c r="Y2142" s="3321" t="str">
        <f t="shared" si="513"/>
        <v/>
      </c>
      <c r="Z2142" s="3312">
        <f t="shared" si="514"/>
        <v>5.6843627188608883</v>
      </c>
      <c r="AA2142" s="3329">
        <f t="shared" si="515"/>
        <v>25.82619415912038</v>
      </c>
      <c r="AB2142" s="3325">
        <f t="shared" si="516"/>
        <v>0.22010067313202966</v>
      </c>
    </row>
    <row r="2143" spans="1:28" x14ac:dyDescent="0.2">
      <c r="A2143" s="2935" t="s">
        <v>980</v>
      </c>
      <c r="B2143" s="3002">
        <f>IFERROR(AVERAGE(S2138:S2144),"")</f>
        <v>1.5515658914728683</v>
      </c>
      <c r="C2143" s="2886">
        <v>45241</v>
      </c>
      <c r="D2143" s="2887"/>
      <c r="E2143" s="2888"/>
      <c r="F2143" s="2889"/>
      <c r="G2143" s="2890"/>
      <c r="H2143" s="2600" t="str">
        <f>IFERROR(VLOOKUP(F2143,Trainingsarten!$A$9:$K$84,10,FALSE),"")</f>
        <v/>
      </c>
      <c r="I2143" s="2892" t="str">
        <f t="shared" si="506"/>
        <v/>
      </c>
      <c r="J2143" s="2893"/>
      <c r="K2143" s="2894" t="str">
        <f>IFERROR(VLOOKUP(F2143,Trainingsarten!$A$9:$K$84,11,FALSE),"0")</f>
        <v>0</v>
      </c>
      <c r="L2143" s="2816"/>
      <c r="M2143" s="2893"/>
      <c r="N2143" s="2895" t="str">
        <f t="shared" si="507"/>
        <v/>
      </c>
      <c r="O2143" s="2896"/>
      <c r="P2143" s="2897" t="str">
        <f>IFERROR(VLOOKUP(F2143,Trainingsarten!$A$9:$N$84,12,FALSE),"")</f>
        <v/>
      </c>
      <c r="Q2143" s="2898" t="s">
        <v>437</v>
      </c>
      <c r="R2143" s="2899" t="str">
        <f>IFERROR(VLOOKUP(F2143,Trainingsarten!$A$9:$N$84,14,FALSE),"")</f>
        <v/>
      </c>
      <c r="S2143" s="2845" t="str">
        <f t="shared" si="508"/>
        <v/>
      </c>
      <c r="T2143" s="2887">
        <f t="shared" si="509"/>
        <v>5.6434181786106965</v>
      </c>
      <c r="U2143" s="2887">
        <f t="shared" si="510"/>
        <v>25.427501345051887</v>
      </c>
      <c r="V2143" s="2887">
        <f t="shared" si="511"/>
        <v>19.463696429641487</v>
      </c>
      <c r="W2143" s="3284">
        <f t="shared" si="512"/>
        <v>0.22194151529202016</v>
      </c>
      <c r="X2143" s="3311"/>
      <c r="Y2143" s="3321" t="str">
        <f t="shared" si="513"/>
        <v/>
      </c>
      <c r="Z2143" s="3312">
        <f t="shared" si="514"/>
        <v>4.8723109018807618</v>
      </c>
      <c r="AA2143" s="3329">
        <f t="shared" si="515"/>
        <v>25.211284774379418</v>
      </c>
      <c r="AB2143" s="3325">
        <f t="shared" si="516"/>
        <v>0.19325912762812361</v>
      </c>
    </row>
    <row r="2144" spans="1:28" ht="16" thickBot="1" x14ac:dyDescent="0.25">
      <c r="A2144" s="2936" t="s">
        <v>183</v>
      </c>
      <c r="B2144" s="3003">
        <f>IFERROR(SUM(M2138:M2144),"")</f>
        <v>32</v>
      </c>
      <c r="C2144" s="2576">
        <v>45242</v>
      </c>
      <c r="D2144" s="1788">
        <v>167</v>
      </c>
      <c r="E2144" s="1789" t="s">
        <v>835</v>
      </c>
      <c r="F2144" s="2763" t="s">
        <v>1466</v>
      </c>
      <c r="G2144" s="2577">
        <v>2.7268518518518515E-2</v>
      </c>
      <c r="H2144" s="2600">
        <v>6.07</v>
      </c>
      <c r="I2144" s="2579">
        <f t="shared" si="506"/>
        <v>4.4923424247971192E-3</v>
      </c>
      <c r="J2144" s="2580">
        <v>129</v>
      </c>
      <c r="K2144" s="2894">
        <v>31</v>
      </c>
      <c r="L2144" s="2821">
        <v>197</v>
      </c>
      <c r="M2144" s="2580">
        <v>19</v>
      </c>
      <c r="N2144" s="2582">
        <f t="shared" si="507"/>
        <v>1.1412427155818925</v>
      </c>
      <c r="O2144" s="2583" t="s">
        <v>976</v>
      </c>
      <c r="P2144" s="2584">
        <f>IFERROR(VLOOKUP(F2144,Trainingsarten!$A$9:$N$84,12,FALSE),"")</f>
        <v>194.60000000000002</v>
      </c>
      <c r="Q2144" s="945" t="s">
        <v>437</v>
      </c>
      <c r="R2144" s="946">
        <f>IFERROR(VLOOKUP(F2144,Trainingsarten!$A$9:$N$84,14,FALSE),"")</f>
        <v>212.96</v>
      </c>
      <c r="S2144" s="2390">
        <f t="shared" si="508"/>
        <v>1.5271317829457365</v>
      </c>
      <c r="T2144" s="1788">
        <f t="shared" si="509"/>
        <v>9.2657870102377409</v>
      </c>
      <c r="U2144" s="1788">
        <f t="shared" si="510"/>
        <v>25.560179884455412</v>
      </c>
      <c r="V2144" s="1788">
        <f t="shared" si="511"/>
        <v>19.784083166441192</v>
      </c>
      <c r="W2144" s="3293">
        <f t="shared" si="512"/>
        <v>0.36250867764325828</v>
      </c>
      <c r="X2144" s="3313">
        <v>11</v>
      </c>
      <c r="Y2144" s="3322">
        <f t="shared" si="513"/>
        <v>0.35483870967741937</v>
      </c>
      <c r="Z2144" s="3314">
        <f t="shared" si="514"/>
        <v>5.7476950587549389</v>
      </c>
      <c r="AA2144" s="3330">
        <f t="shared" si="515"/>
        <v>24.872920851179909</v>
      </c>
      <c r="AB2144" s="2846">
        <f t="shared" si="516"/>
        <v>0.23108243270441164</v>
      </c>
    </row>
    <row r="2145" spans="1:28" ht="16" thickBot="1" x14ac:dyDescent="0.25">
      <c r="A2145" s="3439">
        <f>WEEKNUM(C2145,1)</f>
        <v>46</v>
      </c>
      <c r="B2145" s="3440"/>
      <c r="C2145" s="2585">
        <v>45243</v>
      </c>
      <c r="D2145" s="2586"/>
      <c r="E2145" s="2587"/>
      <c r="F2145" s="2761"/>
      <c r="G2145" s="2588"/>
      <c r="H2145" s="2589" t="str">
        <f>IFERROR(VLOOKUP(F2145,Trainingsarten!$A$9:$K$84,10,FALSE),"")</f>
        <v/>
      </c>
      <c r="I2145" s="2590" t="str">
        <f t="shared" si="506"/>
        <v/>
      </c>
      <c r="J2145" s="2591"/>
      <c r="K2145" s="2592" t="str">
        <f>IFERROR(VLOOKUP(F2145,Trainingsarten!$A$9:$K$84,11,FALSE),"0")</f>
        <v>0</v>
      </c>
      <c r="L2145" s="2815"/>
      <c r="M2145" s="2591"/>
      <c r="N2145" s="2593" t="str">
        <f t="shared" si="507"/>
        <v/>
      </c>
      <c r="O2145" s="2594"/>
      <c r="P2145" s="1919" t="str">
        <f>IFERROR(VLOOKUP(F2145,Trainingsarten!$A$9:$N$84,12,FALSE),"")</f>
        <v/>
      </c>
      <c r="Q2145" s="1069" t="s">
        <v>437</v>
      </c>
      <c r="R2145" s="2462" t="str">
        <f>IFERROR(VLOOKUP(F2145,Trainingsarten!$A$9:$N$84,14,FALSE),"")</f>
        <v/>
      </c>
      <c r="S2145" s="2595" t="str">
        <f t="shared" si="508"/>
        <v/>
      </c>
      <c r="T2145" s="2586">
        <f t="shared" si="509"/>
        <v>7.9421031516323488</v>
      </c>
      <c r="U2145" s="2586">
        <f t="shared" si="510"/>
        <v>24.95160417292076</v>
      </c>
      <c r="V2145" s="2586">
        <f t="shared" si="511"/>
        <v>16.294392874217671</v>
      </c>
      <c r="W2145" s="3283">
        <f t="shared" si="512"/>
        <v>0.31830030232090967</v>
      </c>
      <c r="X2145" s="3298"/>
      <c r="Y2145" s="3323" t="str">
        <f t="shared" si="513"/>
        <v/>
      </c>
      <c r="Z2145" s="2586">
        <f t="shared" si="514"/>
        <v>4.9265957646470904</v>
      </c>
      <c r="AA2145" s="2586">
        <f t="shared" si="515"/>
        <v>24.280708449961342</v>
      </c>
      <c r="AB2145" s="2449">
        <f t="shared" si="516"/>
        <v>0.20290164822826387</v>
      </c>
    </row>
    <row r="2146" spans="1:28" x14ac:dyDescent="0.2">
      <c r="A2146" s="2934" t="s">
        <v>626</v>
      </c>
      <c r="B2146" s="3000">
        <f>SUM(H2145:H2151)</f>
        <v>0</v>
      </c>
      <c r="C2146" s="2596">
        <v>45244</v>
      </c>
      <c r="D2146" s="2597"/>
      <c r="E2146" s="2598"/>
      <c r="F2146" s="2759"/>
      <c r="G2146" s="2599"/>
      <c r="H2146" s="2600" t="str">
        <f>IFERROR(VLOOKUP(F2146,Trainingsarten!$A$9:$K$84,10,FALSE),"")</f>
        <v/>
      </c>
      <c r="I2146" s="2601" t="str">
        <f t="shared" si="506"/>
        <v/>
      </c>
      <c r="J2146" s="2602"/>
      <c r="K2146" s="2603" t="str">
        <f>IFERROR(VLOOKUP(F2146,Trainingsarten!$A$9:$K$84,11,FALSE),"0")</f>
        <v>0</v>
      </c>
      <c r="L2146" s="2816"/>
      <c r="M2146" s="2840"/>
      <c r="N2146" s="2604" t="str">
        <f t="shared" si="507"/>
        <v/>
      </c>
      <c r="O2146" s="2605"/>
      <c r="P2146" s="2606" t="str">
        <f>IFERROR(VLOOKUP(F2146,Trainingsarten!$A$9:$N$84,12,FALSE),"")</f>
        <v/>
      </c>
      <c r="Q2146" s="2607" t="s">
        <v>437</v>
      </c>
      <c r="R2146" s="2608" t="str">
        <f>IFERROR(VLOOKUP(F2146,Trainingsarten!$A$9:$N$84,14,FALSE),"")</f>
        <v/>
      </c>
      <c r="S2146" s="2609" t="str">
        <f t="shared" si="508"/>
        <v/>
      </c>
      <c r="T2146" s="2597">
        <f t="shared" si="509"/>
        <v>6.8075169871134413</v>
      </c>
      <c r="U2146" s="2597">
        <f t="shared" si="510"/>
        <v>24.357518359279791</v>
      </c>
      <c r="V2146" s="2597">
        <f t="shared" si="511"/>
        <v>17.009501021288411</v>
      </c>
      <c r="W2146" s="3284">
        <f t="shared" si="512"/>
        <v>0.27948319228177432</v>
      </c>
      <c r="X2146" s="3300"/>
      <c r="Y2146" s="3321" t="str">
        <f t="shared" si="513"/>
        <v/>
      </c>
      <c r="Z2146" s="3312">
        <f t="shared" si="514"/>
        <v>4.2227963696975062</v>
      </c>
      <c r="AA2146" s="3312">
        <f t="shared" si="515"/>
        <v>23.70259634400988</v>
      </c>
      <c r="AB2146" s="3325">
        <f t="shared" si="516"/>
        <v>0.17815754478579268</v>
      </c>
    </row>
    <row r="2147" spans="1:28" x14ac:dyDescent="0.2">
      <c r="A2147" s="2935" t="s">
        <v>628</v>
      </c>
      <c r="B2147" s="3001">
        <f>SUM(K2145:K2151)</f>
        <v>0</v>
      </c>
      <c r="C2147" s="2596">
        <v>45245</v>
      </c>
      <c r="D2147" s="2597"/>
      <c r="E2147" s="2598"/>
      <c r="F2147" s="2759"/>
      <c r="G2147" s="2599"/>
      <c r="H2147" s="2600" t="str">
        <f>IFERROR(VLOOKUP(F2147,Trainingsarten!$A$9:$K$84,10,FALSE),"")</f>
        <v/>
      </c>
      <c r="I2147" s="2601" t="str">
        <f t="shared" si="506"/>
        <v/>
      </c>
      <c r="J2147" s="2602"/>
      <c r="K2147" s="2603" t="str">
        <f>IFERROR(VLOOKUP(F2147,Trainingsarten!$A$9:$K$84,11,FALSE),"0")</f>
        <v>0</v>
      </c>
      <c r="L2147" s="2816"/>
      <c r="M2147" s="2840"/>
      <c r="N2147" s="2604" t="str">
        <f t="shared" si="507"/>
        <v/>
      </c>
      <c r="O2147" s="2605"/>
      <c r="P2147" s="2606" t="str">
        <f>IFERROR(VLOOKUP(F2147,Trainingsarten!$A$9:$N$84,12,FALSE),"")</f>
        <v/>
      </c>
      <c r="Q2147" s="2607" t="s">
        <v>437</v>
      </c>
      <c r="R2147" s="2608" t="str">
        <f>IFERROR(VLOOKUP(F2147,Trainingsarten!$A$9:$N$84,14,FALSE),"")</f>
        <v/>
      </c>
      <c r="S2147" s="2609" t="str">
        <f t="shared" si="508"/>
        <v/>
      </c>
      <c r="T2147" s="2597">
        <f t="shared" si="509"/>
        <v>5.83501456038295</v>
      </c>
      <c r="U2147" s="2597">
        <f t="shared" si="510"/>
        <v>23.777577445963605</v>
      </c>
      <c r="V2147" s="2597">
        <f t="shared" si="511"/>
        <v>17.550001372166349</v>
      </c>
      <c r="W2147" s="3284">
        <f t="shared" si="512"/>
        <v>0.24539987614985062</v>
      </c>
      <c r="X2147" s="3300"/>
      <c r="Y2147" s="3321" t="str">
        <f t="shared" si="513"/>
        <v/>
      </c>
      <c r="Z2147" s="3312">
        <f t="shared" si="514"/>
        <v>3.6195397454550053</v>
      </c>
      <c r="AA2147" s="3312">
        <f t="shared" si="515"/>
        <v>23.138248812009646</v>
      </c>
      <c r="AB2147" s="3325">
        <f t="shared" si="516"/>
        <v>0.15643101493386674</v>
      </c>
    </row>
    <row r="2148" spans="1:28" x14ac:dyDescent="0.2">
      <c r="A2148" s="2935" t="s">
        <v>761</v>
      </c>
      <c r="B2148" s="3002">
        <f>AVERAGE(W2145:W2151)</f>
        <v>0.22283425043880217</v>
      </c>
      <c r="C2148" s="2596">
        <v>45246</v>
      </c>
      <c r="D2148" s="2597"/>
      <c r="E2148" s="2598"/>
      <c r="F2148" s="2759"/>
      <c r="G2148" s="2599"/>
      <c r="H2148" s="2600" t="str">
        <f>IFERROR(VLOOKUP(F2148,Trainingsarten!$A$9:$K$84,10,FALSE),"")</f>
        <v/>
      </c>
      <c r="I2148" s="2601" t="str">
        <f t="shared" si="506"/>
        <v/>
      </c>
      <c r="J2148" s="2602"/>
      <c r="K2148" s="2603" t="str">
        <f>IFERROR(VLOOKUP(F2148,Trainingsarten!$A$9:$K$84,11,FALSE),"0")</f>
        <v>0</v>
      </c>
      <c r="L2148" s="2816"/>
      <c r="M2148" s="2840"/>
      <c r="N2148" s="2604" t="str">
        <f t="shared" si="507"/>
        <v/>
      </c>
      <c r="O2148" s="2605"/>
      <c r="P2148" s="2606" t="str">
        <f>IFERROR(VLOOKUP(F2148,Trainingsarten!$A$9:$N$84,12,FALSE),"")</f>
        <v/>
      </c>
      <c r="Q2148" s="2607" t="s">
        <v>437</v>
      </c>
      <c r="R2148" s="2608" t="str">
        <f>IFERROR(VLOOKUP(F2148,Trainingsarten!$A$9:$N$84,14,FALSE),"")</f>
        <v/>
      </c>
      <c r="S2148" s="2609" t="str">
        <f t="shared" si="508"/>
        <v/>
      </c>
      <c r="T2148" s="2597">
        <f t="shared" si="509"/>
        <v>5.0014410517568146</v>
      </c>
      <c r="U2148" s="2597">
        <f t="shared" si="510"/>
        <v>23.211444649631137</v>
      </c>
      <c r="V2148" s="2597">
        <f t="shared" si="511"/>
        <v>17.942562885580656</v>
      </c>
      <c r="W2148" s="3284">
        <f t="shared" si="512"/>
        <v>0.21547306198523472</v>
      </c>
      <c r="X2148" s="3300"/>
      <c r="Y2148" s="3321" t="str">
        <f t="shared" si="513"/>
        <v/>
      </c>
      <c r="Z2148" s="3312">
        <f t="shared" si="514"/>
        <v>3.1024626389614332</v>
      </c>
      <c r="AA2148" s="3312">
        <f t="shared" si="515"/>
        <v>22.587338126009417</v>
      </c>
      <c r="AB2148" s="3325">
        <f t="shared" si="516"/>
        <v>0.13735406189315127</v>
      </c>
    </row>
    <row r="2149" spans="1:28" x14ac:dyDescent="0.2">
      <c r="A2149" s="2935" t="s">
        <v>979</v>
      </c>
      <c r="B2149" s="3130" t="str">
        <f>IFERROR(AVERAGE(N2145:N2151),"")</f>
        <v/>
      </c>
      <c r="C2149" s="2596">
        <v>45247</v>
      </c>
      <c r="D2149" s="2597"/>
      <c r="E2149" s="2598"/>
      <c r="F2149" s="2775"/>
      <c r="G2149" s="2599"/>
      <c r="H2149" s="2600" t="str">
        <f>IFERROR(VLOOKUP(F2149,Trainingsarten!$A$9:$K$84,10,FALSE),"")</f>
        <v/>
      </c>
      <c r="I2149" s="2601" t="str">
        <f t="shared" si="506"/>
        <v/>
      </c>
      <c r="J2149" s="2602"/>
      <c r="K2149" s="2603" t="str">
        <f>IFERROR(VLOOKUP(F2149,Trainingsarten!$A$9:$K$84,11,FALSE),"0")</f>
        <v>0</v>
      </c>
      <c r="L2149" s="2816"/>
      <c r="M2149" s="2840"/>
      <c r="N2149" s="2604" t="str">
        <f t="shared" si="507"/>
        <v/>
      </c>
      <c r="O2149" s="2605"/>
      <c r="P2149" s="2606" t="str">
        <f>IFERROR(VLOOKUP(F2149,Trainingsarten!$A$9:$N$84,12,FALSE),"")</f>
        <v/>
      </c>
      <c r="Q2149" s="2607" t="s">
        <v>437</v>
      </c>
      <c r="R2149" s="2608" t="str">
        <f>IFERROR(VLOOKUP(F2149,Trainingsarten!$A$9:$N$84,14,FALSE),"")</f>
        <v/>
      </c>
      <c r="S2149" s="2609" t="str">
        <f t="shared" si="508"/>
        <v/>
      </c>
      <c r="T2149" s="2597">
        <f t="shared" si="509"/>
        <v>4.2869494729344124</v>
      </c>
      <c r="U2149" s="2597">
        <f t="shared" si="510"/>
        <v>22.658791205592301</v>
      </c>
      <c r="V2149" s="2597">
        <f t="shared" si="511"/>
        <v>18.210003597874323</v>
      </c>
      <c r="W2149" s="3284">
        <f t="shared" si="512"/>
        <v>0.18919585930410851</v>
      </c>
      <c r="X2149" s="3300"/>
      <c r="Y2149" s="3321" t="str">
        <f t="shared" si="513"/>
        <v/>
      </c>
      <c r="Z2149" s="3312">
        <f t="shared" si="514"/>
        <v>2.6592536905383715</v>
      </c>
      <c r="AA2149" s="3312">
        <f t="shared" si="515"/>
        <v>22.049544361104431</v>
      </c>
      <c r="AB2149" s="3325">
        <f t="shared" si="516"/>
        <v>0.12060356654032796</v>
      </c>
    </row>
    <row r="2150" spans="1:28" x14ac:dyDescent="0.2">
      <c r="A2150" s="2935" t="s">
        <v>980</v>
      </c>
      <c r="B2150" s="3002" t="str">
        <f>IFERROR(AVERAGE(S2145:S2151),"")</f>
        <v/>
      </c>
      <c r="C2150" s="2886">
        <v>45248</v>
      </c>
      <c r="D2150" s="2887"/>
      <c r="E2150" s="2888"/>
      <c r="F2150" s="2889"/>
      <c r="G2150" s="2890"/>
      <c r="H2150" s="2891" t="str">
        <f>IFERROR(VLOOKUP(F2150,Trainingsarten!$A$9:$K$84,10,FALSE),"")</f>
        <v/>
      </c>
      <c r="I2150" s="2892" t="str">
        <f t="shared" ref="I2150:I2193" si="517">IFERROR(G2150/H2150,"")</f>
        <v/>
      </c>
      <c r="J2150" s="2893"/>
      <c r="K2150" s="2894" t="str">
        <f>IFERROR(VLOOKUP(F2150,Trainingsarten!$A$9:$K$84,11,FALSE),"0")</f>
        <v>0</v>
      </c>
      <c r="L2150" s="2816"/>
      <c r="M2150" s="2893"/>
      <c r="N2150" s="2895" t="str">
        <f t="shared" ref="N2150:N2193" si="518">IFERROR((L2150/67)/(1/(I2150*24)/3.6),"")</f>
        <v/>
      </c>
      <c r="O2150" s="2896"/>
      <c r="P2150" s="2897" t="str">
        <f>IFERROR(VLOOKUP(F2150,Trainingsarten!$A$9:$N$84,12,FALSE),"")</f>
        <v/>
      </c>
      <c r="Q2150" s="2898" t="s">
        <v>437</v>
      </c>
      <c r="R2150" s="2899" t="str">
        <f>IFERROR(VLOOKUP(F2150,Trainingsarten!$A$9:$N$84,14,FALSE),"")</f>
        <v/>
      </c>
      <c r="S2150" s="2845" t="str">
        <f t="shared" ref="S2150:S2193" si="519">IFERROR(L2150/J2150,"")</f>
        <v/>
      </c>
      <c r="T2150" s="2887">
        <f t="shared" ref="T2150:T2193" si="520">T2149+(K2150-T2149)/7</f>
        <v>3.6745281196580679</v>
      </c>
      <c r="U2150" s="2887">
        <f t="shared" ref="U2150:U2193" si="521">U2149+(K2150-U2149)/42</f>
        <v>22.119296176887723</v>
      </c>
      <c r="V2150" s="2887">
        <f t="shared" ref="V2150:V2193" si="522">U2149-T2149</f>
        <v>18.371841732657888</v>
      </c>
      <c r="W2150" s="3284">
        <f t="shared" ref="W2150:W2193" si="523">T2150/U2150</f>
        <v>0.16612319353531479</v>
      </c>
      <c r="X2150" s="3300"/>
      <c r="Y2150" s="3321" t="str">
        <f t="shared" si="513"/>
        <v/>
      </c>
      <c r="Z2150" s="3312">
        <f t="shared" si="514"/>
        <v>2.279360306175747</v>
      </c>
      <c r="AA2150" s="3312">
        <f t="shared" si="515"/>
        <v>21.524555209649563</v>
      </c>
      <c r="AB2150" s="3325">
        <f t="shared" si="516"/>
        <v>0.10589581452321481</v>
      </c>
    </row>
    <row r="2151" spans="1:28" ht="16" thickBot="1" x14ac:dyDescent="0.25">
      <c r="A2151" s="2936" t="s">
        <v>183</v>
      </c>
      <c r="B2151" s="3003">
        <f>IFERROR(SUM(M2145:M2151),"")</f>
        <v>0</v>
      </c>
      <c r="C2151" s="2576">
        <v>45249</v>
      </c>
      <c r="D2151" s="1788"/>
      <c r="E2151" s="1789"/>
      <c r="F2151" s="2763"/>
      <c r="G2151" s="2577"/>
      <c r="H2151" s="2578" t="str">
        <f>IFERROR(VLOOKUP(F2151,Trainingsarten!$A$9:$K$84,10,FALSE),"")</f>
        <v/>
      </c>
      <c r="I2151" s="2579" t="str">
        <f t="shared" si="517"/>
        <v/>
      </c>
      <c r="J2151" s="2580"/>
      <c r="K2151" s="2581" t="str">
        <f>IFERROR(VLOOKUP(F2151,Trainingsarten!$A$9:$K$84,11,FALSE),"0")</f>
        <v>0</v>
      </c>
      <c r="L2151" s="2821"/>
      <c r="M2151" s="2580"/>
      <c r="N2151" s="2582" t="str">
        <f t="shared" si="518"/>
        <v/>
      </c>
      <c r="O2151" s="2583"/>
      <c r="P2151" s="2584" t="str">
        <f>IFERROR(VLOOKUP(F2151,Trainingsarten!$A$9:$N$84,12,FALSE),"")</f>
        <v/>
      </c>
      <c r="Q2151" s="945" t="s">
        <v>437</v>
      </c>
      <c r="R2151" s="946" t="str">
        <f>IFERROR(VLOOKUP(F2151,Trainingsarten!$A$9:$N$84,14,FALSE),"")</f>
        <v/>
      </c>
      <c r="S2151" s="2390" t="str">
        <f t="shared" si="519"/>
        <v/>
      </c>
      <c r="T2151" s="1788">
        <f t="shared" si="520"/>
        <v>3.1495955311354868</v>
      </c>
      <c r="U2151" s="1788">
        <f t="shared" si="521"/>
        <v>21.592646267914205</v>
      </c>
      <c r="V2151" s="1788">
        <f t="shared" si="522"/>
        <v>18.444768057229656</v>
      </c>
      <c r="W2151" s="3293">
        <f t="shared" si="523"/>
        <v>0.14586426749442277</v>
      </c>
      <c r="X2151" s="3324"/>
      <c r="Y2151" s="3322" t="str">
        <f t="shared" si="513"/>
        <v/>
      </c>
      <c r="Z2151" s="3314">
        <f t="shared" si="514"/>
        <v>1.9537374052934975</v>
      </c>
      <c r="AA2151" s="3314">
        <f t="shared" si="515"/>
        <v>21.012065799896003</v>
      </c>
      <c r="AB2151" s="2846">
        <f t="shared" si="516"/>
        <v>9.2981690800871528E-2</v>
      </c>
    </row>
    <row r="2152" spans="1:28" ht="16" thickBot="1" x14ac:dyDescent="0.25">
      <c r="A2152" s="3439">
        <f>WEEKNUM(C2152,1)</f>
        <v>47</v>
      </c>
      <c r="B2152" s="3440"/>
      <c r="C2152" s="2585">
        <v>45250</v>
      </c>
      <c r="D2152" s="2586"/>
      <c r="E2152" s="2587"/>
      <c r="F2152" s="2761"/>
      <c r="G2152" s="2588"/>
      <c r="H2152" s="2589" t="str">
        <f>IFERROR(VLOOKUP(F2152,Trainingsarten!$A$9:$K$84,10,FALSE),"")</f>
        <v/>
      </c>
      <c r="I2152" s="2590" t="str">
        <f t="shared" si="517"/>
        <v/>
      </c>
      <c r="J2152" s="2591"/>
      <c r="K2152" s="2592" t="str">
        <f>IFERROR(VLOOKUP(F2152,Trainingsarten!$A$9:$K$84,11,FALSE),"0")</f>
        <v>0</v>
      </c>
      <c r="L2152" s="2815"/>
      <c r="M2152" s="2591"/>
      <c r="N2152" s="2593" t="str">
        <f t="shared" si="518"/>
        <v/>
      </c>
      <c r="O2152" s="2594"/>
      <c r="P2152" s="1919" t="str">
        <f>IFERROR(VLOOKUP(F2152,Trainingsarten!$A$9:$N$84,12,FALSE),"")</f>
        <v/>
      </c>
      <c r="Q2152" s="1069" t="s">
        <v>437</v>
      </c>
      <c r="R2152" s="2462" t="str">
        <f>IFERROR(VLOOKUP(F2152,Trainingsarten!$A$9:$N$84,14,FALSE),"")</f>
        <v/>
      </c>
      <c r="S2152" s="2595" t="str">
        <f t="shared" si="519"/>
        <v/>
      </c>
      <c r="T2152" s="2586">
        <f t="shared" si="520"/>
        <v>2.6996533124018458</v>
      </c>
      <c r="U2152" s="2586">
        <f t="shared" si="521"/>
        <v>21.078535642487676</v>
      </c>
      <c r="V2152" s="2586">
        <f t="shared" si="522"/>
        <v>18.443050736778719</v>
      </c>
      <c r="W2152" s="3283">
        <f t="shared" si="523"/>
        <v>0.12807594219022486</v>
      </c>
      <c r="X2152" s="3310"/>
      <c r="Y2152" s="3315" t="str">
        <f t="shared" si="513"/>
        <v/>
      </c>
      <c r="Z2152" s="1111">
        <f t="shared" si="514"/>
        <v>1.6746320616801407</v>
      </c>
      <c r="AA2152" s="1111">
        <f t="shared" si="515"/>
        <v>20.511778518946098</v>
      </c>
      <c r="AB2152" s="2449">
        <f t="shared" si="516"/>
        <v>8.1642460215399393E-2</v>
      </c>
    </row>
    <row r="2153" spans="1:28" x14ac:dyDescent="0.2">
      <c r="A2153" s="2934" t="s">
        <v>626</v>
      </c>
      <c r="B2153" s="3000">
        <f>SUM(H2152:H2158)</f>
        <v>0</v>
      </c>
      <c r="C2153" s="2596">
        <v>45251</v>
      </c>
      <c r="D2153" s="2597"/>
      <c r="E2153" s="2598"/>
      <c r="F2153" s="2759"/>
      <c r="G2153" s="2599"/>
      <c r="H2153" s="2600" t="str">
        <f>IFERROR(VLOOKUP(F2153,Trainingsarten!$A$9:$K$84,10,FALSE),"")</f>
        <v/>
      </c>
      <c r="I2153" s="2601" t="str">
        <f t="shared" si="517"/>
        <v/>
      </c>
      <c r="J2153" s="2602"/>
      <c r="K2153" s="2603" t="str">
        <f>IFERROR(VLOOKUP(F2153,Trainingsarten!$A$9:$K$84,11,FALSE),"0")</f>
        <v>0</v>
      </c>
      <c r="L2153" s="2816"/>
      <c r="M2153" s="2840"/>
      <c r="N2153" s="2604" t="str">
        <f t="shared" si="518"/>
        <v/>
      </c>
      <c r="O2153" s="2605"/>
      <c r="P2153" s="2606" t="str">
        <f>IFERROR(VLOOKUP(F2153,Trainingsarten!$A$9:$N$84,12,FALSE),"")</f>
        <v/>
      </c>
      <c r="Q2153" s="2607" t="s">
        <v>437</v>
      </c>
      <c r="R2153" s="2608" t="str">
        <f>IFERROR(VLOOKUP(F2153,Trainingsarten!$A$9:$N$84,14,FALSE),"")</f>
        <v/>
      </c>
      <c r="S2153" s="2609" t="str">
        <f t="shared" si="519"/>
        <v/>
      </c>
      <c r="T2153" s="2597">
        <f t="shared" si="520"/>
        <v>2.3139885534872966</v>
      </c>
      <c r="U2153" s="2597">
        <f t="shared" si="521"/>
        <v>20.576665746237971</v>
      </c>
      <c r="V2153" s="2597">
        <f t="shared" si="522"/>
        <v>18.37888233008583</v>
      </c>
      <c r="W2153" s="3284">
        <f t="shared" si="523"/>
        <v>0.11245692484995354</v>
      </c>
      <c r="X2153" s="3311"/>
      <c r="Y2153" s="3321" t="str">
        <f t="shared" si="513"/>
        <v/>
      </c>
      <c r="Z2153" s="2597">
        <f t="shared" si="514"/>
        <v>1.4353989100115492</v>
      </c>
      <c r="AA2153" s="2597">
        <f t="shared" si="515"/>
        <v>20.023402839923573</v>
      </c>
      <c r="AB2153" s="3325">
        <f t="shared" si="516"/>
        <v>7.1686062628155564E-2</v>
      </c>
    </row>
    <row r="2154" spans="1:28" x14ac:dyDescent="0.2">
      <c r="A2154" s="2935" t="s">
        <v>628</v>
      </c>
      <c r="B2154" s="3001">
        <f>SUM(K2152:K2158)</f>
        <v>0</v>
      </c>
      <c r="C2154" s="2596">
        <v>45252</v>
      </c>
      <c r="D2154" s="2597"/>
      <c r="E2154" s="2598"/>
      <c r="F2154" s="2759"/>
      <c r="G2154" s="2599"/>
      <c r="H2154" s="2600" t="str">
        <f>IFERROR(VLOOKUP(F2154,Trainingsarten!$A$9:$K$84,10,FALSE),"")</f>
        <v/>
      </c>
      <c r="I2154" s="2601" t="str">
        <f t="shared" si="517"/>
        <v/>
      </c>
      <c r="J2154" s="2602"/>
      <c r="K2154" s="2603" t="str">
        <f>IFERROR(VLOOKUP(F2154,Trainingsarten!$A$9:$K$84,11,FALSE),"0")</f>
        <v>0</v>
      </c>
      <c r="L2154" s="2816"/>
      <c r="M2154" s="2840"/>
      <c r="N2154" s="2604" t="str">
        <f t="shared" si="518"/>
        <v/>
      </c>
      <c r="O2154" s="2605"/>
      <c r="P2154" s="2606" t="str">
        <f>IFERROR(VLOOKUP(F2154,Trainingsarten!$A$9:$N$84,12,FALSE),"")</f>
        <v/>
      </c>
      <c r="Q2154" s="2607" t="s">
        <v>437</v>
      </c>
      <c r="R2154" s="2608" t="str">
        <f>IFERROR(VLOOKUP(F2154,Trainingsarten!$A$9:$N$84,14,FALSE),"")</f>
        <v/>
      </c>
      <c r="S2154" s="2609" t="str">
        <f t="shared" si="519"/>
        <v/>
      </c>
      <c r="T2154" s="2597">
        <f t="shared" si="520"/>
        <v>1.9834187601319684</v>
      </c>
      <c r="U2154" s="2597">
        <f t="shared" si="521"/>
        <v>20.086745133232306</v>
      </c>
      <c r="V2154" s="2597">
        <f t="shared" si="522"/>
        <v>18.262677192750676</v>
      </c>
      <c r="W2154" s="3284">
        <f t="shared" si="523"/>
        <v>9.8742665721910414E-2</v>
      </c>
      <c r="X2154" s="3311"/>
      <c r="Y2154" s="3321" t="str">
        <f t="shared" si="513"/>
        <v/>
      </c>
      <c r="Z2154" s="2597">
        <f t="shared" si="514"/>
        <v>1.2303419228670422</v>
      </c>
      <c r="AA2154" s="2597">
        <f t="shared" si="515"/>
        <v>19.546655153258726</v>
      </c>
      <c r="AB2154" s="3325">
        <f t="shared" si="516"/>
        <v>6.2943859868624399E-2</v>
      </c>
    </row>
    <row r="2155" spans="1:28" x14ac:dyDescent="0.2">
      <c r="A2155" s="2935" t="s">
        <v>761</v>
      </c>
      <c r="B2155" s="3002">
        <f>AVERAGE(W2152:W2158)</f>
        <v>8.966283214028635E-2</v>
      </c>
      <c r="C2155" s="2596">
        <v>45253</v>
      </c>
      <c r="D2155" s="2597"/>
      <c r="E2155" s="2598"/>
      <c r="F2155" s="2759"/>
      <c r="G2155" s="2599"/>
      <c r="H2155" s="2600" t="str">
        <f>IFERROR(VLOOKUP(F2155,Trainingsarten!$A$9:$K$84,10,FALSE),"")</f>
        <v/>
      </c>
      <c r="I2155" s="2601" t="str">
        <f t="shared" si="517"/>
        <v/>
      </c>
      <c r="J2155" s="2602"/>
      <c r="K2155" s="2603" t="str">
        <f>IFERROR(VLOOKUP(F2155,Trainingsarten!$A$9:$K$84,11,FALSE),"0")</f>
        <v>0</v>
      </c>
      <c r="L2155" s="2816"/>
      <c r="M2155" s="2840"/>
      <c r="N2155" s="2604" t="str">
        <f t="shared" si="518"/>
        <v/>
      </c>
      <c r="O2155" s="2605"/>
      <c r="P2155" s="2606" t="str">
        <f>IFERROR(VLOOKUP(F2155,Trainingsarten!$A$9:$N$84,12,FALSE),"")</f>
        <v/>
      </c>
      <c r="Q2155" s="2607" t="s">
        <v>437</v>
      </c>
      <c r="R2155" s="2608" t="str">
        <f>IFERROR(VLOOKUP(F2155,Trainingsarten!$A$9:$N$84,14,FALSE),"")</f>
        <v/>
      </c>
      <c r="S2155" s="2609" t="str">
        <f t="shared" si="519"/>
        <v/>
      </c>
      <c r="T2155" s="2597">
        <f t="shared" si="520"/>
        <v>1.7000732229702586</v>
      </c>
      <c r="U2155" s="2597">
        <f t="shared" si="521"/>
        <v>19.608489296726773</v>
      </c>
      <c r="V2155" s="2597">
        <f t="shared" si="522"/>
        <v>18.103326373100337</v>
      </c>
      <c r="W2155" s="3284">
        <f t="shared" si="523"/>
        <v>8.6700877219238415E-2</v>
      </c>
      <c r="X2155" s="3311"/>
      <c r="Y2155" s="3321" t="str">
        <f t="shared" si="513"/>
        <v/>
      </c>
      <c r="Z2155" s="2597">
        <f t="shared" si="514"/>
        <v>1.0545787910288933</v>
      </c>
      <c r="AA2155" s="2597">
        <f t="shared" si="515"/>
        <v>19.081258601990662</v>
      </c>
      <c r="AB2155" s="3325">
        <f t="shared" si="516"/>
        <v>5.5267779396840931E-2</v>
      </c>
    </row>
    <row r="2156" spans="1:28" x14ac:dyDescent="0.2">
      <c r="A2156" s="2935" t="s">
        <v>979</v>
      </c>
      <c r="B2156" s="3130" t="str">
        <f>IFERROR(AVERAGE(N2152:N2158),"")</f>
        <v/>
      </c>
      <c r="C2156" s="2596">
        <v>45254</v>
      </c>
      <c r="D2156" s="2597"/>
      <c r="E2156" s="2598"/>
      <c r="F2156" s="2775"/>
      <c r="G2156" s="2599"/>
      <c r="H2156" s="2600" t="str">
        <f>IFERROR(VLOOKUP(F2156,Trainingsarten!$A$9:$K$84,10,FALSE),"")</f>
        <v/>
      </c>
      <c r="I2156" s="2601" t="str">
        <f t="shared" si="517"/>
        <v/>
      </c>
      <c r="J2156" s="2602"/>
      <c r="K2156" s="2603" t="str">
        <f>IFERROR(VLOOKUP(F2156,Trainingsarten!$A$9:$K$84,11,FALSE),"0")</f>
        <v>0</v>
      </c>
      <c r="L2156" s="2816"/>
      <c r="M2156" s="2840"/>
      <c r="N2156" s="2604" t="str">
        <f t="shared" si="518"/>
        <v/>
      </c>
      <c r="O2156" s="2605"/>
      <c r="P2156" s="2606" t="str">
        <f>IFERROR(VLOOKUP(F2156,Trainingsarten!$A$9:$N$84,12,FALSE),"")</f>
        <v/>
      </c>
      <c r="Q2156" s="2607" t="s">
        <v>437</v>
      </c>
      <c r="R2156" s="2608" t="str">
        <f>IFERROR(VLOOKUP(F2156,Trainingsarten!$A$9:$N$84,14,FALSE),"")</f>
        <v/>
      </c>
      <c r="S2156" s="2609" t="str">
        <f t="shared" si="519"/>
        <v/>
      </c>
      <c r="T2156" s="2597">
        <f t="shared" si="520"/>
        <v>1.457205619688793</v>
      </c>
      <c r="U2156" s="2597">
        <f t="shared" si="521"/>
        <v>19.141620503947564</v>
      </c>
      <c r="V2156" s="2597">
        <f t="shared" si="522"/>
        <v>17.908416073756516</v>
      </c>
      <c r="W2156" s="3284">
        <f t="shared" si="523"/>
        <v>7.6127599509575192E-2</v>
      </c>
      <c r="X2156" s="3311"/>
      <c r="Y2156" s="3321" t="str">
        <f t="shared" si="513"/>
        <v/>
      </c>
      <c r="Z2156" s="2597">
        <f t="shared" si="514"/>
        <v>0.90392467802476562</v>
      </c>
      <c r="AA2156" s="2597">
        <f t="shared" si="515"/>
        <v>18.626942920990885</v>
      </c>
      <c r="AB2156" s="3325">
        <f t="shared" si="516"/>
        <v>4.8527806299665202E-2</v>
      </c>
    </row>
    <row r="2157" spans="1:28" x14ac:dyDescent="0.2">
      <c r="A2157" s="2935" t="s">
        <v>980</v>
      </c>
      <c r="B2157" s="3002" t="str">
        <f>IFERROR(AVERAGE(S2152:S2158),"")</f>
        <v/>
      </c>
      <c r="C2157" s="2886">
        <v>45255</v>
      </c>
      <c r="D2157" s="2887"/>
      <c r="E2157" s="2888"/>
      <c r="F2157" s="2889"/>
      <c r="G2157" s="2890"/>
      <c r="H2157" s="2891" t="str">
        <f>IFERROR(VLOOKUP(F2157,Trainingsarten!$A$9:$K$84,10,FALSE),"")</f>
        <v/>
      </c>
      <c r="I2157" s="2892" t="str">
        <f t="shared" si="517"/>
        <v/>
      </c>
      <c r="J2157" s="2893"/>
      <c r="K2157" s="2894" t="str">
        <f>IFERROR(VLOOKUP(F2157,Trainingsarten!$A$9:$K$84,11,FALSE),"0")</f>
        <v>0</v>
      </c>
      <c r="L2157" s="2816"/>
      <c r="M2157" s="2893"/>
      <c r="N2157" s="2895" t="str">
        <f t="shared" si="518"/>
        <v/>
      </c>
      <c r="O2157" s="2896"/>
      <c r="P2157" s="2897" t="str">
        <f>IFERROR(VLOOKUP(F2157,Trainingsarten!$A$9:$N$84,12,FALSE),"")</f>
        <v/>
      </c>
      <c r="Q2157" s="2898" t="s">
        <v>437</v>
      </c>
      <c r="R2157" s="2899" t="str">
        <f>IFERROR(VLOOKUP(F2157,Trainingsarten!$A$9:$N$84,14,FALSE),"")</f>
        <v/>
      </c>
      <c r="S2157" s="2845" t="str">
        <f t="shared" si="519"/>
        <v/>
      </c>
      <c r="T2157" s="2887">
        <f t="shared" si="520"/>
        <v>1.2490333883046798</v>
      </c>
      <c r="U2157" s="2887">
        <f t="shared" si="521"/>
        <v>18.685867634805955</v>
      </c>
      <c r="V2157" s="2887">
        <f t="shared" si="522"/>
        <v>17.684414884258771</v>
      </c>
      <c r="W2157" s="3284">
        <f t="shared" si="523"/>
        <v>6.6843745910846519E-2</v>
      </c>
      <c r="X2157" s="3311"/>
      <c r="Y2157" s="3321" t="str">
        <f t="shared" si="513"/>
        <v/>
      </c>
      <c r="Z2157" s="2597">
        <f t="shared" si="514"/>
        <v>0.77479258116408478</v>
      </c>
      <c r="AA2157" s="2597">
        <f t="shared" si="515"/>
        <v>18.183444280014911</v>
      </c>
      <c r="AB2157" s="3325">
        <f t="shared" si="516"/>
        <v>4.2609781141169444E-2</v>
      </c>
    </row>
    <row r="2158" spans="1:28" ht="16" thickBot="1" x14ac:dyDescent="0.25">
      <c r="A2158" s="2936" t="s">
        <v>183</v>
      </c>
      <c r="B2158" s="3003">
        <f>IFERROR(SUM(M2152:M2158),"")</f>
        <v>0</v>
      </c>
      <c r="C2158" s="2576">
        <v>45256</v>
      </c>
      <c r="D2158" s="1788"/>
      <c r="E2158" s="1789"/>
      <c r="F2158" s="2763"/>
      <c r="G2158" s="2577"/>
      <c r="H2158" s="2578" t="str">
        <f>IFERROR(VLOOKUP(F2158,Trainingsarten!$A$9:$K$84,10,FALSE),"")</f>
        <v/>
      </c>
      <c r="I2158" s="2579" t="str">
        <f t="shared" si="517"/>
        <v/>
      </c>
      <c r="J2158" s="2580"/>
      <c r="K2158" s="2581" t="str">
        <f>IFERROR(VLOOKUP(F2158,Trainingsarten!$A$9:$K$84,11,FALSE),"0")</f>
        <v>0</v>
      </c>
      <c r="L2158" s="2821"/>
      <c r="M2158" s="2580"/>
      <c r="N2158" s="2582" t="str">
        <f t="shared" si="518"/>
        <v/>
      </c>
      <c r="O2158" s="2583"/>
      <c r="P2158" s="2584" t="str">
        <f>IFERROR(VLOOKUP(F2158,Trainingsarten!$A$9:$N$84,12,FALSE),"")</f>
        <v/>
      </c>
      <c r="Q2158" s="945" t="s">
        <v>437</v>
      </c>
      <c r="R2158" s="946" t="str">
        <f>IFERROR(VLOOKUP(F2158,Trainingsarten!$A$9:$N$84,14,FALSE),"")</f>
        <v/>
      </c>
      <c r="S2158" s="2390" t="str">
        <f t="shared" si="519"/>
        <v/>
      </c>
      <c r="T2158" s="1788">
        <f t="shared" si="520"/>
        <v>1.070600047118297</v>
      </c>
      <c r="U2158" s="1788">
        <f t="shared" si="521"/>
        <v>18.240966024453432</v>
      </c>
      <c r="V2158" s="1788">
        <f t="shared" si="522"/>
        <v>17.436834246501277</v>
      </c>
      <c r="W2158" s="3293">
        <f t="shared" si="523"/>
        <v>5.8692069580255482E-2</v>
      </c>
      <c r="X2158" s="3313"/>
      <c r="Y2158" s="3326" t="str">
        <f t="shared" si="513"/>
        <v/>
      </c>
      <c r="Z2158" s="3327">
        <f t="shared" si="514"/>
        <v>0.66410792671207264</v>
      </c>
      <c r="AA2158" s="3327">
        <f t="shared" si="515"/>
        <v>17.750505130490748</v>
      </c>
      <c r="AB2158" s="3328">
        <f t="shared" si="516"/>
        <v>3.7413466367856092E-2</v>
      </c>
    </row>
    <row r="2159" spans="1:28" ht="16" thickBot="1" x14ac:dyDescent="0.25">
      <c r="A2159" s="3439">
        <f>WEEKNUM(C2159,1)</f>
        <v>48</v>
      </c>
      <c r="B2159" s="3440"/>
      <c r="C2159" s="2585">
        <v>45257</v>
      </c>
      <c r="D2159" s="2586"/>
      <c r="E2159" s="2587"/>
      <c r="F2159" s="2761"/>
      <c r="G2159" s="2588"/>
      <c r="H2159" s="2589" t="str">
        <f>IFERROR(VLOOKUP(F2159,Trainingsarten!$A$9:$K$84,10,FALSE),"")</f>
        <v/>
      </c>
      <c r="I2159" s="2590" t="str">
        <f t="shared" si="517"/>
        <v/>
      </c>
      <c r="J2159" s="2591"/>
      <c r="K2159" s="2592" t="str">
        <f>IFERROR(VLOOKUP(F2159,Trainingsarten!$A$9:$K$84,11,FALSE),"0")</f>
        <v>0</v>
      </c>
      <c r="L2159" s="2815"/>
      <c r="M2159" s="2591"/>
      <c r="N2159" s="2593" t="str">
        <f t="shared" si="518"/>
        <v/>
      </c>
      <c r="O2159" s="2594"/>
      <c r="P2159" s="1919" t="str">
        <f>IFERROR(VLOOKUP(F2159,Trainingsarten!$A$9:$N$84,12,FALSE),"")</f>
        <v/>
      </c>
      <c r="Q2159" s="1069" t="s">
        <v>437</v>
      </c>
      <c r="R2159" s="2462" t="str">
        <f>IFERROR(VLOOKUP(F2159,Trainingsarten!$A$9:$N$84,14,FALSE),"")</f>
        <v/>
      </c>
      <c r="S2159" s="2595" t="str">
        <f t="shared" si="519"/>
        <v/>
      </c>
      <c r="T2159" s="2586">
        <f t="shared" si="520"/>
        <v>0.9176571832442546</v>
      </c>
      <c r="U2159" s="2586">
        <f t="shared" si="521"/>
        <v>17.806657309585493</v>
      </c>
      <c r="V2159" s="2586">
        <f t="shared" si="522"/>
        <v>17.170365977335134</v>
      </c>
      <c r="W2159" s="3283">
        <f t="shared" si="523"/>
        <v>5.1534500119248719E-2</v>
      </c>
      <c r="X2159" s="3298"/>
      <c r="Y2159" s="3323" t="str">
        <f t="shared" si="513"/>
        <v/>
      </c>
      <c r="Z2159" s="2586">
        <f t="shared" si="514"/>
        <v>0.5692353657532051</v>
      </c>
      <c r="AA2159" s="2586">
        <f t="shared" si="515"/>
        <v>17.327874055955252</v>
      </c>
      <c r="AB2159" s="2595">
        <f t="shared" si="516"/>
        <v>3.2850848518117551E-2</v>
      </c>
    </row>
    <row r="2160" spans="1:28" x14ac:dyDescent="0.2">
      <c r="A2160" s="2934" t="s">
        <v>626</v>
      </c>
      <c r="B2160" s="3000">
        <f>SUM(H2159:H2165)</f>
        <v>0</v>
      </c>
      <c r="C2160" s="2596">
        <v>45258</v>
      </c>
      <c r="D2160" s="2597"/>
      <c r="E2160" s="2598"/>
      <c r="F2160" s="2759"/>
      <c r="G2160" s="2599"/>
      <c r="H2160" s="2600" t="str">
        <f>IFERROR(VLOOKUP(F2160,Trainingsarten!$A$9:$K$84,10,FALSE),"")</f>
        <v/>
      </c>
      <c r="I2160" s="2601" t="str">
        <f t="shared" si="517"/>
        <v/>
      </c>
      <c r="J2160" s="2602"/>
      <c r="K2160" s="2603" t="str">
        <f>IFERROR(VLOOKUP(F2160,Trainingsarten!$A$9:$K$84,11,FALSE),"0")</f>
        <v>0</v>
      </c>
      <c r="L2160" s="2816"/>
      <c r="M2160" s="2840"/>
      <c r="N2160" s="2604" t="str">
        <f t="shared" si="518"/>
        <v/>
      </c>
      <c r="O2160" s="2605"/>
      <c r="P2160" s="2606" t="str">
        <f>IFERROR(VLOOKUP(F2160,Trainingsarten!$A$9:$N$84,12,FALSE),"")</f>
        <v/>
      </c>
      <c r="Q2160" s="2607" t="s">
        <v>437</v>
      </c>
      <c r="R2160" s="2608" t="str">
        <f>IFERROR(VLOOKUP(F2160,Trainingsarten!$A$9:$N$84,14,FALSE),"")</f>
        <v/>
      </c>
      <c r="S2160" s="2609" t="str">
        <f t="shared" si="519"/>
        <v/>
      </c>
      <c r="T2160" s="2597">
        <f t="shared" si="520"/>
        <v>0.78656329992364682</v>
      </c>
      <c r="U2160" s="2597">
        <f t="shared" si="521"/>
        <v>17.382689278404886</v>
      </c>
      <c r="V2160" s="2597">
        <f t="shared" si="522"/>
        <v>16.889000126341237</v>
      </c>
      <c r="W2160" s="3284">
        <f t="shared" si="523"/>
        <v>4.5249804982754972E-2</v>
      </c>
      <c r="X2160" s="3300"/>
      <c r="Y2160" s="3321" t="str">
        <f t="shared" si="513"/>
        <v/>
      </c>
      <c r="Z2160" s="3312">
        <f t="shared" si="514"/>
        <v>0.48791602778846155</v>
      </c>
      <c r="AA2160" s="3312">
        <f t="shared" si="515"/>
        <v>16.915305626051556</v>
      </c>
      <c r="AB2160" s="3325">
        <f t="shared" si="516"/>
        <v>2.8844647479322728E-2</v>
      </c>
    </row>
    <row r="2161" spans="1:28" x14ac:dyDescent="0.2">
      <c r="A2161" s="2935" t="s">
        <v>628</v>
      </c>
      <c r="B2161" s="3001">
        <f>SUM(K2159:K2165)</f>
        <v>0</v>
      </c>
      <c r="C2161" s="2596">
        <v>45259</v>
      </c>
      <c r="D2161" s="2597"/>
      <c r="E2161" s="2598"/>
      <c r="F2161" s="2759"/>
      <c r="G2161" s="2599"/>
      <c r="H2161" s="2600" t="str">
        <f>IFERROR(VLOOKUP(F2161,Trainingsarten!$A$9:$K$84,10,FALSE),"")</f>
        <v/>
      </c>
      <c r="I2161" s="2601" t="str">
        <f t="shared" si="517"/>
        <v/>
      </c>
      <c r="J2161" s="2602"/>
      <c r="K2161" s="2603" t="str">
        <f>IFERROR(VLOOKUP(F2161,Trainingsarten!$A$9:$K$84,11,FALSE),"0")</f>
        <v>0</v>
      </c>
      <c r="L2161" s="2816"/>
      <c r="M2161" s="2840"/>
      <c r="N2161" s="2604" t="str">
        <f t="shared" si="518"/>
        <v/>
      </c>
      <c r="O2161" s="2605"/>
      <c r="P2161" s="2606" t="str">
        <f>IFERROR(VLOOKUP(F2161,Trainingsarten!$A$9:$N$84,12,FALSE),"")</f>
        <v/>
      </c>
      <c r="Q2161" s="2607" t="s">
        <v>437</v>
      </c>
      <c r="R2161" s="2608" t="str">
        <f>IFERROR(VLOOKUP(F2161,Trainingsarten!$A$9:$N$84,14,FALSE),"")</f>
        <v/>
      </c>
      <c r="S2161" s="2609" t="str">
        <f t="shared" si="519"/>
        <v/>
      </c>
      <c r="T2161" s="2597">
        <f t="shared" si="520"/>
        <v>0.67419711422026873</v>
      </c>
      <c r="U2161" s="2597">
        <f t="shared" si="521"/>
        <v>16.96881572415715</v>
      </c>
      <c r="V2161" s="2597">
        <f t="shared" si="522"/>
        <v>16.59612597848124</v>
      </c>
      <c r="W2161" s="3284">
        <f t="shared" si="523"/>
        <v>3.9731536082419E-2</v>
      </c>
      <c r="X2161" s="3300"/>
      <c r="Y2161" s="3321" t="str">
        <f t="shared" si="513"/>
        <v/>
      </c>
      <c r="Z2161" s="3312">
        <f t="shared" si="514"/>
        <v>0.4182137381043956</v>
      </c>
      <c r="AA2161" s="3312">
        <f t="shared" si="515"/>
        <v>16.512560254002707</v>
      </c>
      <c r="AB2161" s="3325">
        <f t="shared" si="516"/>
        <v>2.5327007542819958E-2</v>
      </c>
    </row>
    <row r="2162" spans="1:28" x14ac:dyDescent="0.2">
      <c r="A2162" s="2935" t="s">
        <v>761</v>
      </c>
      <c r="B2162" s="3002">
        <f>AVERAGE(W2159:W2165)</f>
        <v>3.607804209445381E-2</v>
      </c>
      <c r="C2162" s="2596">
        <v>45260</v>
      </c>
      <c r="D2162" s="2597"/>
      <c r="E2162" s="2598"/>
      <c r="F2162" s="2759"/>
      <c r="G2162" s="2599"/>
      <c r="H2162" s="2600" t="str">
        <f>IFERROR(VLOOKUP(F2162,Trainingsarten!$A$9:$K$84,10,FALSE),"")</f>
        <v/>
      </c>
      <c r="I2162" s="2601" t="str">
        <f t="shared" si="517"/>
        <v/>
      </c>
      <c r="J2162" s="2602"/>
      <c r="K2162" s="2603" t="str">
        <f>IFERROR(VLOOKUP(F2162,Trainingsarten!$A$9:$K$84,11,FALSE),"0")</f>
        <v>0</v>
      </c>
      <c r="L2162" s="2816"/>
      <c r="M2162" s="2840"/>
      <c r="N2162" s="2604" t="str">
        <f t="shared" si="518"/>
        <v/>
      </c>
      <c r="O2162" s="2605"/>
      <c r="P2162" s="2606" t="str">
        <f>IFERROR(VLOOKUP(F2162,Trainingsarten!$A$9:$N$84,12,FALSE),"")</f>
        <v/>
      </c>
      <c r="Q2162" s="2607" t="s">
        <v>437</v>
      </c>
      <c r="R2162" s="2608" t="str">
        <f>IFERROR(VLOOKUP(F2162,Trainingsarten!$A$9:$N$84,14,FALSE),"")</f>
        <v/>
      </c>
      <c r="S2162" s="2609" t="str">
        <f t="shared" si="519"/>
        <v/>
      </c>
      <c r="T2162" s="2597">
        <f t="shared" si="520"/>
        <v>0.57788324076023034</v>
      </c>
      <c r="U2162" s="2597">
        <f t="shared" si="521"/>
        <v>16.564796302153407</v>
      </c>
      <c r="V2162" s="2597">
        <f t="shared" si="522"/>
        <v>16.294618609936879</v>
      </c>
      <c r="W2162" s="3284">
        <f t="shared" si="523"/>
        <v>3.4886226804075222E-2</v>
      </c>
      <c r="X2162" s="3300"/>
      <c r="Y2162" s="3321" t="str">
        <f t="shared" si="513"/>
        <v/>
      </c>
      <c r="Z2162" s="3312">
        <f t="shared" si="514"/>
        <v>0.35846891837519623</v>
      </c>
      <c r="AA2162" s="3312">
        <f t="shared" si="515"/>
        <v>16.119404057478832</v>
      </c>
      <c r="AB2162" s="3325">
        <f t="shared" si="516"/>
        <v>2.2238348086378503E-2</v>
      </c>
    </row>
    <row r="2163" spans="1:28" x14ac:dyDescent="0.2">
      <c r="A2163" s="2935" t="s">
        <v>979</v>
      </c>
      <c r="B2163" s="3130" t="str">
        <f>IFERROR(AVERAGE(N2159:N2165),"")</f>
        <v/>
      </c>
      <c r="C2163" s="2596">
        <v>45261</v>
      </c>
      <c r="D2163" s="2597"/>
      <c r="E2163" s="2598"/>
      <c r="F2163" s="2775"/>
      <c r="G2163" s="2599"/>
      <c r="H2163" s="2600" t="str">
        <f>IFERROR(VLOOKUP(F2163,Trainingsarten!$A$9:$K$84,10,FALSE),"")</f>
        <v/>
      </c>
      <c r="I2163" s="2601" t="str">
        <f t="shared" si="517"/>
        <v/>
      </c>
      <c r="J2163" s="2602"/>
      <c r="K2163" s="2603" t="str">
        <f>IFERROR(VLOOKUP(F2163,Trainingsarten!$A$9:$K$84,11,FALSE),"0")</f>
        <v>0</v>
      </c>
      <c r="L2163" s="2816"/>
      <c r="M2163" s="2840"/>
      <c r="N2163" s="2604" t="str">
        <f t="shared" si="518"/>
        <v/>
      </c>
      <c r="O2163" s="2605"/>
      <c r="P2163" s="2606" t="str">
        <f>IFERROR(VLOOKUP(F2163,Trainingsarten!$A$9:$N$84,12,FALSE),"")</f>
        <v/>
      </c>
      <c r="Q2163" s="2607" t="s">
        <v>437</v>
      </c>
      <c r="R2163" s="2608" t="str">
        <f>IFERROR(VLOOKUP(F2163,Trainingsarten!$A$9:$N$84,14,FALSE),"")</f>
        <v/>
      </c>
      <c r="S2163" s="2609" t="str">
        <f t="shared" si="519"/>
        <v/>
      </c>
      <c r="T2163" s="2597">
        <f t="shared" si="520"/>
        <v>0.49532849208019747</v>
      </c>
      <c r="U2163" s="2597">
        <f t="shared" si="521"/>
        <v>16.170396390197375</v>
      </c>
      <c r="V2163" s="2597">
        <f t="shared" si="522"/>
        <v>15.986913061393178</v>
      </c>
      <c r="W2163" s="3284">
        <f t="shared" si="523"/>
        <v>3.0631808901139219E-2</v>
      </c>
      <c r="X2163" s="3300"/>
      <c r="Y2163" s="3321" t="str">
        <f t="shared" si="513"/>
        <v/>
      </c>
      <c r="Z2163" s="3312">
        <f t="shared" si="514"/>
        <v>0.30725907289302534</v>
      </c>
      <c r="AA2163" s="3312">
        <f t="shared" si="515"/>
        <v>15.735608722776956</v>
      </c>
      <c r="AB2163" s="3325">
        <f t="shared" si="516"/>
        <v>1.9526354417307951E-2</v>
      </c>
    </row>
    <row r="2164" spans="1:28" x14ac:dyDescent="0.2">
      <c r="A2164" s="2935" t="s">
        <v>980</v>
      </c>
      <c r="B2164" s="3002" t="str">
        <f>IFERROR(AVERAGE(S2159:S2165),"")</f>
        <v/>
      </c>
      <c r="C2164" s="2886">
        <v>45262</v>
      </c>
      <c r="D2164" s="2887"/>
      <c r="E2164" s="2888"/>
      <c r="F2164" s="2889"/>
      <c r="G2164" s="2890"/>
      <c r="H2164" s="2891" t="str">
        <f>IFERROR(VLOOKUP(F2164,Trainingsarten!$A$9:$K$84,10,FALSE),"")</f>
        <v/>
      </c>
      <c r="I2164" s="2892" t="str">
        <f t="shared" si="517"/>
        <v/>
      </c>
      <c r="J2164" s="2893"/>
      <c r="K2164" s="2894" t="str">
        <f>IFERROR(VLOOKUP(F2164,Trainingsarten!$A$9:$K$84,11,FALSE),"0")</f>
        <v>0</v>
      </c>
      <c r="L2164" s="2816"/>
      <c r="M2164" s="2893"/>
      <c r="N2164" s="2895" t="str">
        <f t="shared" si="518"/>
        <v/>
      </c>
      <c r="O2164" s="2896"/>
      <c r="P2164" s="2897" t="str">
        <f>IFERROR(VLOOKUP(F2164,Trainingsarten!$A$9:$N$84,12,FALSE),"")</f>
        <v/>
      </c>
      <c r="Q2164" s="2898" t="s">
        <v>437</v>
      </c>
      <c r="R2164" s="2899" t="str">
        <f>IFERROR(VLOOKUP(F2164,Trainingsarten!$A$9:$N$84,14,FALSE),"")</f>
        <v/>
      </c>
      <c r="S2164" s="2845" t="str">
        <f t="shared" si="519"/>
        <v/>
      </c>
      <c r="T2164" s="2887">
        <f t="shared" si="520"/>
        <v>0.42456727892588353</v>
      </c>
      <c r="U2164" s="2887">
        <f t="shared" si="521"/>
        <v>15.785386952335532</v>
      </c>
      <c r="V2164" s="2887">
        <f t="shared" si="522"/>
        <v>15.675067898117177</v>
      </c>
      <c r="W2164" s="3284">
        <f t="shared" si="523"/>
        <v>2.6896222449780779E-2</v>
      </c>
      <c r="X2164" s="3300"/>
      <c r="Y2164" s="3321" t="str">
        <f t="shared" si="513"/>
        <v/>
      </c>
      <c r="Z2164" s="3312">
        <f t="shared" si="514"/>
        <v>0.26336491962259317</v>
      </c>
      <c r="AA2164" s="3312">
        <f t="shared" si="515"/>
        <v>15.360951372234647</v>
      </c>
      <c r="AB2164" s="3325">
        <f t="shared" si="516"/>
        <v>1.7145091683489912E-2</v>
      </c>
    </row>
    <row r="2165" spans="1:28" ht="16" thickBot="1" x14ac:dyDescent="0.25">
      <c r="A2165" s="2936" t="s">
        <v>183</v>
      </c>
      <c r="B2165" s="3003">
        <f>IFERROR(SUM(M2159:M2165),"")</f>
        <v>0</v>
      </c>
      <c r="C2165" s="2576">
        <v>45263</v>
      </c>
      <c r="D2165" s="1788"/>
      <c r="E2165" s="1789"/>
      <c r="F2165" s="2763"/>
      <c r="G2165" s="2577"/>
      <c r="H2165" s="2578" t="str">
        <f>IFERROR(VLOOKUP(F2165,Trainingsarten!$A$9:$K$84,10,FALSE),"")</f>
        <v/>
      </c>
      <c r="I2165" s="2579" t="str">
        <f t="shared" si="517"/>
        <v/>
      </c>
      <c r="J2165" s="2580"/>
      <c r="K2165" s="2581" t="str">
        <f>IFERROR(VLOOKUP(F2165,Trainingsarten!$A$9:$K$84,11,FALSE),"0")</f>
        <v>0</v>
      </c>
      <c r="L2165" s="2821"/>
      <c r="M2165" s="2580"/>
      <c r="N2165" s="2582" t="str">
        <f t="shared" si="518"/>
        <v/>
      </c>
      <c r="O2165" s="2583"/>
      <c r="P2165" s="2584" t="str">
        <f>IFERROR(VLOOKUP(F2165,Trainingsarten!$A$9:$N$84,12,FALSE),"")</f>
        <v/>
      </c>
      <c r="Q2165" s="945" t="s">
        <v>437</v>
      </c>
      <c r="R2165" s="946" t="str">
        <f>IFERROR(VLOOKUP(F2165,Trainingsarten!$A$9:$N$84,14,FALSE),"")</f>
        <v/>
      </c>
      <c r="S2165" s="2390" t="str">
        <f t="shared" si="519"/>
        <v/>
      </c>
      <c r="T2165" s="1788">
        <f t="shared" si="520"/>
        <v>0.36391481050790014</v>
      </c>
      <c r="U2165" s="1788">
        <f t="shared" si="521"/>
        <v>15.409544405851353</v>
      </c>
      <c r="V2165" s="1788">
        <f t="shared" si="522"/>
        <v>15.360819673409649</v>
      </c>
      <c r="W2165" s="3293">
        <f t="shared" si="523"/>
        <v>2.361619532175873E-2</v>
      </c>
      <c r="X2165" s="3324"/>
      <c r="Y2165" s="3322" t="str">
        <f t="shared" si="513"/>
        <v/>
      </c>
      <c r="Z2165" s="3314">
        <f t="shared" si="514"/>
        <v>0.22574135967650844</v>
      </c>
      <c r="AA2165" s="3314">
        <f t="shared" si="515"/>
        <v>14.995214434800488</v>
      </c>
      <c r="AB2165" s="2846">
        <f t="shared" si="516"/>
        <v>1.5054226844039922E-2</v>
      </c>
    </row>
    <row r="2166" spans="1:28" ht="16" thickBot="1" x14ac:dyDescent="0.25">
      <c r="A2166" s="3439">
        <f>WEEKNUM(C2166,1)</f>
        <v>49</v>
      </c>
      <c r="B2166" s="3440"/>
      <c r="C2166" s="2585">
        <v>45264</v>
      </c>
      <c r="D2166" s="2586"/>
      <c r="E2166" s="2587"/>
      <c r="F2166" s="2761"/>
      <c r="G2166" s="2588"/>
      <c r="H2166" s="2589" t="str">
        <f>IFERROR(VLOOKUP(F2166,Trainingsarten!$A$9:$K$84,10,FALSE),"")</f>
        <v/>
      </c>
      <c r="I2166" s="2590" t="str">
        <f t="shared" si="517"/>
        <v/>
      </c>
      <c r="J2166" s="2591"/>
      <c r="K2166" s="2592" t="str">
        <f>IFERROR(VLOOKUP(F2166,Trainingsarten!$A$9:$K$84,11,FALSE),"0")</f>
        <v>0</v>
      </c>
      <c r="L2166" s="2815"/>
      <c r="M2166" s="2591"/>
      <c r="N2166" s="2593" t="str">
        <f t="shared" si="518"/>
        <v/>
      </c>
      <c r="O2166" s="2594"/>
      <c r="P2166" s="1919" t="str">
        <f>IFERROR(VLOOKUP(F2166,Trainingsarten!$A$9:$N$84,12,FALSE),"")</f>
        <v/>
      </c>
      <c r="Q2166" s="1069" t="s">
        <v>437</v>
      </c>
      <c r="R2166" s="2462" t="str">
        <f>IFERROR(VLOOKUP(F2166,Trainingsarten!$A$9:$N$84,14,FALSE),"")</f>
        <v/>
      </c>
      <c r="S2166" s="2595" t="str">
        <f t="shared" si="519"/>
        <v/>
      </c>
      <c r="T2166" s="2586">
        <f t="shared" si="520"/>
        <v>0.311926980435343</v>
      </c>
      <c r="U2166" s="2586">
        <f t="shared" si="521"/>
        <v>15.04265049142632</v>
      </c>
      <c r="V2166" s="2586">
        <f t="shared" si="522"/>
        <v>15.045629595343453</v>
      </c>
      <c r="W2166" s="3283">
        <f t="shared" si="523"/>
        <v>2.0736171502032059E-2</v>
      </c>
      <c r="X2166" s="3310"/>
      <c r="Y2166" s="3315" t="str">
        <f t="shared" si="513"/>
        <v/>
      </c>
      <c r="Z2166" s="1111">
        <f t="shared" si="514"/>
        <v>0.1934925940084358</v>
      </c>
      <c r="AA2166" s="1111">
        <f t="shared" si="515"/>
        <v>14.638185519686191</v>
      </c>
      <c r="AB2166" s="2449">
        <f t="shared" si="516"/>
        <v>1.3218345521596028E-2</v>
      </c>
    </row>
    <row r="2167" spans="1:28" x14ac:dyDescent="0.2">
      <c r="A2167" s="2934" t="s">
        <v>626</v>
      </c>
      <c r="B2167" s="3000">
        <f>SUM(H2166:H2172)</f>
        <v>0</v>
      </c>
      <c r="C2167" s="2596">
        <v>45265</v>
      </c>
      <c r="D2167" s="2597"/>
      <c r="E2167" s="2598"/>
      <c r="F2167" s="2759"/>
      <c r="G2167" s="2599"/>
      <c r="H2167" s="2600" t="str">
        <f>IFERROR(VLOOKUP(F2167,Trainingsarten!$A$9:$K$84,10,FALSE),"")</f>
        <v/>
      </c>
      <c r="I2167" s="2601" t="str">
        <f t="shared" si="517"/>
        <v/>
      </c>
      <c r="J2167" s="2602"/>
      <c r="K2167" s="2603" t="str">
        <f>IFERROR(VLOOKUP(F2167,Trainingsarten!$A$9:$K$84,11,FALSE),"0")</f>
        <v>0</v>
      </c>
      <c r="L2167" s="2816"/>
      <c r="M2167" s="2840"/>
      <c r="N2167" s="2604" t="str">
        <f t="shared" si="518"/>
        <v/>
      </c>
      <c r="O2167" s="2605"/>
      <c r="P2167" s="2606" t="str">
        <f>IFERROR(VLOOKUP(F2167,Trainingsarten!$A$9:$N$84,12,FALSE),"")</f>
        <v/>
      </c>
      <c r="Q2167" s="2607" t="s">
        <v>437</v>
      </c>
      <c r="R2167" s="2608" t="str">
        <f>IFERROR(VLOOKUP(F2167,Trainingsarten!$A$9:$N$84,14,FALSE),"")</f>
        <v/>
      </c>
      <c r="S2167" s="2609" t="str">
        <f t="shared" si="519"/>
        <v/>
      </c>
      <c r="T2167" s="2597">
        <f t="shared" si="520"/>
        <v>0.26736598323029398</v>
      </c>
      <c r="U2167" s="2597">
        <f t="shared" si="521"/>
        <v>14.68449214639236</v>
      </c>
      <c r="V2167" s="2597">
        <f t="shared" si="522"/>
        <v>14.730723510990977</v>
      </c>
      <c r="W2167" s="3284">
        <f t="shared" si="523"/>
        <v>1.820737009934522E-2</v>
      </c>
      <c r="X2167" s="3311"/>
      <c r="Y2167" s="3321" t="str">
        <f t="shared" si="513"/>
        <v/>
      </c>
      <c r="Z2167" s="2597">
        <f t="shared" si="514"/>
        <v>0.16585079486437354</v>
      </c>
      <c r="AA2167" s="2597">
        <f t="shared" si="515"/>
        <v>14.289657293026996</v>
      </c>
      <c r="AB2167" s="3325">
        <f t="shared" si="516"/>
        <v>1.160635216530383E-2</v>
      </c>
    </row>
    <row r="2168" spans="1:28" x14ac:dyDescent="0.2">
      <c r="A2168" s="2935" t="s">
        <v>628</v>
      </c>
      <c r="B2168" s="3001">
        <f>SUM(K2166:K2172)</f>
        <v>0</v>
      </c>
      <c r="C2168" s="2596">
        <v>45266</v>
      </c>
      <c r="D2168" s="2597"/>
      <c r="E2168" s="2598"/>
      <c r="F2168" s="2759"/>
      <c r="G2168" s="2599"/>
      <c r="H2168" s="2600" t="str">
        <f>IFERROR(VLOOKUP(F2168,Trainingsarten!$A$9:$K$84,10,FALSE),"")</f>
        <v/>
      </c>
      <c r="I2168" s="2601" t="str">
        <f t="shared" si="517"/>
        <v/>
      </c>
      <c r="J2168" s="2602"/>
      <c r="K2168" s="2603" t="str">
        <f>IFERROR(VLOOKUP(F2168,Trainingsarten!$A$9:$K$84,11,FALSE),"0")</f>
        <v>0</v>
      </c>
      <c r="L2168" s="2816"/>
      <c r="M2168" s="2840"/>
      <c r="N2168" s="2604" t="str">
        <f t="shared" si="518"/>
        <v/>
      </c>
      <c r="O2168" s="2605"/>
      <c r="P2168" s="2606" t="str">
        <f>IFERROR(VLOOKUP(F2168,Trainingsarten!$A$9:$N$84,12,FALSE),"")</f>
        <v/>
      </c>
      <c r="Q2168" s="2607" t="s">
        <v>437</v>
      </c>
      <c r="R2168" s="2608" t="str">
        <f>IFERROR(VLOOKUP(F2168,Trainingsarten!$A$9:$N$84,14,FALSE),"")</f>
        <v/>
      </c>
      <c r="S2168" s="2609" t="str">
        <f t="shared" si="519"/>
        <v/>
      </c>
      <c r="T2168" s="2597">
        <f t="shared" si="520"/>
        <v>0.22917084276882341</v>
      </c>
      <c r="U2168" s="2597">
        <f t="shared" si="521"/>
        <v>14.334861381002066</v>
      </c>
      <c r="V2168" s="2597">
        <f t="shared" si="522"/>
        <v>14.417126163162067</v>
      </c>
      <c r="W2168" s="3284">
        <f t="shared" si="523"/>
        <v>1.5986959111620194E-2</v>
      </c>
      <c r="X2168" s="3311"/>
      <c r="Y2168" s="3321" t="str">
        <f t="shared" si="513"/>
        <v/>
      </c>
      <c r="Z2168" s="2597">
        <f t="shared" si="514"/>
        <v>0.14215782416946304</v>
      </c>
      <c r="AA2168" s="2597">
        <f t="shared" si="515"/>
        <v>13.949427357478735</v>
      </c>
      <c r="AB2168" s="3325">
        <f t="shared" si="516"/>
        <v>1.0190943364657023E-2</v>
      </c>
    </row>
    <row r="2169" spans="1:28" x14ac:dyDescent="0.2">
      <c r="A2169" s="2935" t="s">
        <v>761</v>
      </c>
      <c r="B2169" s="3002">
        <f>AVERAGE(W2166:W2172)</f>
        <v>1.4516886097604631E-2</v>
      </c>
      <c r="C2169" s="2596">
        <v>45267</v>
      </c>
      <c r="D2169" s="2597"/>
      <c r="E2169" s="2598"/>
      <c r="F2169" s="2759"/>
      <c r="G2169" s="2599"/>
      <c r="H2169" s="2600" t="str">
        <f>IFERROR(VLOOKUP(F2169,Trainingsarten!$A$9:$K$84,10,FALSE),"")</f>
        <v/>
      </c>
      <c r="I2169" s="2601" t="str">
        <f t="shared" si="517"/>
        <v/>
      </c>
      <c r="J2169" s="2602"/>
      <c r="K2169" s="2603" t="str">
        <f>IFERROR(VLOOKUP(F2169,Trainingsarten!$A$9:$K$84,11,FALSE),"0")</f>
        <v>0</v>
      </c>
      <c r="L2169" s="2816"/>
      <c r="M2169" s="2840"/>
      <c r="N2169" s="2604" t="str">
        <f t="shared" si="518"/>
        <v/>
      </c>
      <c r="O2169" s="2605"/>
      <c r="P2169" s="2606" t="str">
        <f>IFERROR(VLOOKUP(F2169,Trainingsarten!$A$9:$N$84,12,FALSE),"")</f>
        <v/>
      </c>
      <c r="Q2169" s="2607" t="s">
        <v>437</v>
      </c>
      <c r="R2169" s="2608" t="str">
        <f>IFERROR(VLOOKUP(F2169,Trainingsarten!$A$9:$N$84,14,FALSE),"")</f>
        <v/>
      </c>
      <c r="S2169" s="2609" t="str">
        <f t="shared" si="519"/>
        <v/>
      </c>
      <c r="T2169" s="2597">
        <f t="shared" si="520"/>
        <v>0.19643215094470579</v>
      </c>
      <c r="U2169" s="2597">
        <f t="shared" si="521"/>
        <v>13.993555157644874</v>
      </c>
      <c r="V2169" s="2597">
        <f t="shared" si="522"/>
        <v>14.105690538233242</v>
      </c>
      <c r="W2169" s="3284">
        <f t="shared" si="523"/>
        <v>1.4037329951666512E-2</v>
      </c>
      <c r="X2169" s="3311"/>
      <c r="Y2169" s="3321" t="str">
        <f t="shared" si="513"/>
        <v/>
      </c>
      <c r="Z2169" s="2597">
        <f t="shared" si="514"/>
        <v>0.12184956357382547</v>
      </c>
      <c r="AA2169" s="2597">
        <f t="shared" si="515"/>
        <v>13.617298134681622</v>
      </c>
      <c r="AB2169" s="3325">
        <f t="shared" si="516"/>
        <v>8.9481453933573842E-3</v>
      </c>
    </row>
    <row r="2170" spans="1:28" x14ac:dyDescent="0.2">
      <c r="A2170" s="2935" t="s">
        <v>979</v>
      </c>
      <c r="B2170" s="3130" t="str">
        <f>IFERROR(AVERAGE(N2166:N2172),"")</f>
        <v/>
      </c>
      <c r="C2170" s="2596">
        <v>45268</v>
      </c>
      <c r="D2170" s="2597"/>
      <c r="E2170" s="2598"/>
      <c r="F2170" s="2775"/>
      <c r="G2170" s="2599"/>
      <c r="H2170" s="2600" t="str">
        <f>IFERROR(VLOOKUP(F2170,Trainingsarten!$A$9:$K$84,10,FALSE),"")</f>
        <v/>
      </c>
      <c r="I2170" s="2601" t="str">
        <f t="shared" si="517"/>
        <v/>
      </c>
      <c r="J2170" s="2602"/>
      <c r="K2170" s="2603" t="str">
        <f>IFERROR(VLOOKUP(F2170,Trainingsarten!$A$9:$K$84,11,FALSE),"0")</f>
        <v>0</v>
      </c>
      <c r="L2170" s="2816"/>
      <c r="M2170" s="2840"/>
      <c r="N2170" s="2604" t="str">
        <f t="shared" si="518"/>
        <v/>
      </c>
      <c r="O2170" s="2605"/>
      <c r="P2170" s="2606" t="str">
        <f>IFERROR(VLOOKUP(F2170,Trainingsarten!$A$9:$N$84,12,FALSE),"")</f>
        <v/>
      </c>
      <c r="Q2170" s="2607" t="s">
        <v>437</v>
      </c>
      <c r="R2170" s="2608" t="str">
        <f>IFERROR(VLOOKUP(F2170,Trainingsarten!$A$9:$N$84,14,FALSE),"")</f>
        <v/>
      </c>
      <c r="S2170" s="2609" t="str">
        <f t="shared" si="519"/>
        <v/>
      </c>
      <c r="T2170" s="2597">
        <f t="shared" si="520"/>
        <v>0.16837041509546211</v>
      </c>
      <c r="U2170" s="2597">
        <f t="shared" si="521"/>
        <v>13.660375272939044</v>
      </c>
      <c r="V2170" s="2597">
        <f t="shared" si="522"/>
        <v>13.797123006700168</v>
      </c>
      <c r="W2170" s="3284">
        <f t="shared" si="523"/>
        <v>1.2325460445365718E-2</v>
      </c>
      <c r="X2170" s="3311"/>
      <c r="Y2170" s="3321" t="str">
        <f t="shared" si="513"/>
        <v/>
      </c>
      <c r="Z2170" s="2597">
        <f t="shared" si="514"/>
        <v>0.10444248306327897</v>
      </c>
      <c r="AA2170" s="2597">
        <f t="shared" si="515"/>
        <v>13.293076750522536</v>
      </c>
      <c r="AB2170" s="3325">
        <f t="shared" si="516"/>
        <v>7.8569081502650202E-3</v>
      </c>
    </row>
    <row r="2171" spans="1:28" x14ac:dyDescent="0.2">
      <c r="A2171" s="2935" t="s">
        <v>980</v>
      </c>
      <c r="B2171" s="3002" t="str">
        <f>IFERROR(AVERAGE(S2166:S2172),"")</f>
        <v/>
      </c>
      <c r="C2171" s="2886">
        <v>45269</v>
      </c>
      <c r="D2171" s="2887"/>
      <c r="E2171" s="2888"/>
      <c r="F2171" s="2889"/>
      <c r="G2171" s="2890"/>
      <c r="H2171" s="2891" t="str">
        <f>IFERROR(VLOOKUP(F2171,Trainingsarten!$A$9:$K$84,10,FALSE),"")</f>
        <v/>
      </c>
      <c r="I2171" s="2892" t="str">
        <f t="shared" si="517"/>
        <v/>
      </c>
      <c r="J2171" s="2893"/>
      <c r="K2171" s="2894" t="str">
        <f>IFERROR(VLOOKUP(F2171,Trainingsarten!$A$9:$K$84,11,FALSE),"0")</f>
        <v>0</v>
      </c>
      <c r="L2171" s="2816"/>
      <c r="M2171" s="2893"/>
      <c r="N2171" s="2895" t="str">
        <f t="shared" si="518"/>
        <v/>
      </c>
      <c r="O2171" s="2896"/>
      <c r="P2171" s="2897" t="str">
        <f>IFERROR(VLOOKUP(F2171,Trainingsarten!$A$9:$N$84,12,FALSE),"")</f>
        <v/>
      </c>
      <c r="Q2171" s="2898" t="s">
        <v>437</v>
      </c>
      <c r="R2171" s="2899" t="str">
        <f>IFERROR(VLOOKUP(F2171,Trainingsarten!$A$9:$N$84,14,FALSE),"")</f>
        <v/>
      </c>
      <c r="S2171" s="2845" t="str">
        <f t="shared" si="519"/>
        <v/>
      </c>
      <c r="T2171" s="2887">
        <f t="shared" si="520"/>
        <v>0.14431749865325325</v>
      </c>
      <c r="U2171" s="2887">
        <f t="shared" si="521"/>
        <v>13.335128242630972</v>
      </c>
      <c r="V2171" s="2887">
        <f t="shared" si="522"/>
        <v>13.492004857843582</v>
      </c>
      <c r="W2171" s="3284">
        <f t="shared" si="523"/>
        <v>1.0822355513004044E-2</v>
      </c>
      <c r="X2171" s="3311"/>
      <c r="Y2171" s="3321" t="str">
        <f t="shared" si="513"/>
        <v/>
      </c>
      <c r="Z2171" s="2597">
        <f t="shared" si="514"/>
        <v>8.9522128339953405E-2</v>
      </c>
      <c r="AA2171" s="2597">
        <f t="shared" si="515"/>
        <v>12.976574923129142</v>
      </c>
      <c r="AB2171" s="3325">
        <f t="shared" si="516"/>
        <v>6.8987486197448966E-3</v>
      </c>
    </row>
    <row r="2172" spans="1:28" ht="16" thickBot="1" x14ac:dyDescent="0.25">
      <c r="A2172" s="2936" t="s">
        <v>183</v>
      </c>
      <c r="B2172" s="3003">
        <f>IFERROR(SUM(M2166:M2172),"")</f>
        <v>0</v>
      </c>
      <c r="C2172" s="2576">
        <v>45270</v>
      </c>
      <c r="D2172" s="1788"/>
      <c r="E2172" s="1789"/>
      <c r="F2172" s="2763"/>
      <c r="G2172" s="2577"/>
      <c r="H2172" s="2578" t="str">
        <f>IFERROR(VLOOKUP(F2172,Trainingsarten!$A$9:$K$84,10,FALSE),"")</f>
        <v/>
      </c>
      <c r="I2172" s="2579" t="str">
        <f t="shared" si="517"/>
        <v/>
      </c>
      <c r="J2172" s="2580"/>
      <c r="K2172" s="2581" t="str">
        <f>IFERROR(VLOOKUP(F2172,Trainingsarten!$A$9:$K$84,11,FALSE),"0")</f>
        <v>0</v>
      </c>
      <c r="L2172" s="2821"/>
      <c r="M2172" s="2580"/>
      <c r="N2172" s="2582" t="str">
        <f t="shared" si="518"/>
        <v/>
      </c>
      <c r="O2172" s="2583"/>
      <c r="P2172" s="2584" t="str">
        <f>IFERROR(VLOOKUP(F2172,Trainingsarten!$A$9:$N$84,12,FALSE),"")</f>
        <v/>
      </c>
      <c r="Q2172" s="945" t="s">
        <v>437</v>
      </c>
      <c r="R2172" s="946" t="str">
        <f>IFERROR(VLOOKUP(F2172,Trainingsarten!$A$9:$N$84,14,FALSE),"")</f>
        <v/>
      </c>
      <c r="S2172" s="2390" t="str">
        <f t="shared" si="519"/>
        <v/>
      </c>
      <c r="T2172" s="1788">
        <f t="shared" si="520"/>
        <v>0.12370071313135993</v>
      </c>
      <c r="U2172" s="1788">
        <f t="shared" si="521"/>
        <v>13.017625189234996</v>
      </c>
      <c r="V2172" s="1788">
        <f t="shared" si="522"/>
        <v>13.190810743977719</v>
      </c>
      <c r="W2172" s="3293">
        <f t="shared" si="523"/>
        <v>9.5025560601986747E-3</v>
      </c>
      <c r="X2172" s="3313"/>
      <c r="Y2172" s="3326" t="str">
        <f t="shared" si="513"/>
        <v/>
      </c>
      <c r="Z2172" s="3327">
        <f t="shared" si="514"/>
        <v>7.6733252862817208E-2</v>
      </c>
      <c r="AA2172" s="3327">
        <f t="shared" si="515"/>
        <v>12.66760885353083</v>
      </c>
      <c r="AB2172" s="3328">
        <f t="shared" si="516"/>
        <v>6.057437812458934E-3</v>
      </c>
    </row>
    <row r="2173" spans="1:28" ht="16" thickBot="1" x14ac:dyDescent="0.25">
      <c r="A2173" s="3439">
        <f>WEEKNUM(C2173,1)</f>
        <v>50</v>
      </c>
      <c r="B2173" s="3440"/>
      <c r="C2173" s="2585">
        <v>45271</v>
      </c>
      <c r="D2173" s="2586"/>
      <c r="E2173" s="2587"/>
      <c r="F2173" s="2761"/>
      <c r="G2173" s="2588"/>
      <c r="H2173" s="2589" t="str">
        <f>IFERROR(VLOOKUP(F2173,Trainingsarten!$A$9:$K$84,10,FALSE),"")</f>
        <v/>
      </c>
      <c r="I2173" s="2590" t="str">
        <f t="shared" si="517"/>
        <v/>
      </c>
      <c r="J2173" s="2591"/>
      <c r="K2173" s="2592" t="str">
        <f>IFERROR(VLOOKUP(F2173,Trainingsarten!$A$9:$K$84,11,FALSE),"0")</f>
        <v>0</v>
      </c>
      <c r="L2173" s="2815"/>
      <c r="M2173" s="2591"/>
      <c r="N2173" s="2593" t="str">
        <f t="shared" si="518"/>
        <v/>
      </c>
      <c r="O2173" s="2594"/>
      <c r="P2173" s="1919" t="str">
        <f>IFERROR(VLOOKUP(F2173,Trainingsarten!$A$9:$N$84,12,FALSE),"")</f>
        <v/>
      </c>
      <c r="Q2173" s="1069" t="s">
        <v>437</v>
      </c>
      <c r="R2173" s="2462" t="str">
        <f>IFERROR(VLOOKUP(F2173,Trainingsarten!$A$9:$N$84,14,FALSE),"")</f>
        <v/>
      </c>
      <c r="S2173" s="2595" t="str">
        <f t="shared" si="519"/>
        <v/>
      </c>
      <c r="T2173" s="2586">
        <f t="shared" si="520"/>
        <v>0.1060291826840228</v>
      </c>
      <c r="U2173" s="2586">
        <f t="shared" si="521"/>
        <v>12.707681732348449</v>
      </c>
      <c r="V2173" s="2586">
        <f t="shared" si="522"/>
        <v>12.893924476103637</v>
      </c>
      <c r="W2173" s="3283">
        <f t="shared" si="523"/>
        <v>8.3437077601744448E-3</v>
      </c>
      <c r="X2173" s="3298"/>
      <c r="Y2173" s="3323" t="str">
        <f t="shared" si="513"/>
        <v/>
      </c>
      <c r="Z2173" s="2586">
        <f t="shared" si="514"/>
        <v>6.5771359596700468E-2</v>
      </c>
      <c r="AA2173" s="2586">
        <f t="shared" si="515"/>
        <v>12.365999118922952</v>
      </c>
      <c r="AB2173" s="2595">
        <f t="shared" si="516"/>
        <v>5.318725884110284E-3</v>
      </c>
    </row>
    <row r="2174" spans="1:28" x14ac:dyDescent="0.2">
      <c r="A2174" s="2934" t="s">
        <v>626</v>
      </c>
      <c r="B2174" s="3000">
        <f>SUM(H2173:H2179)</f>
        <v>3.99</v>
      </c>
      <c r="C2174" s="2596">
        <v>45272</v>
      </c>
      <c r="D2174" s="2597">
        <v>168</v>
      </c>
      <c r="E2174" s="2598" t="s">
        <v>836</v>
      </c>
      <c r="F2174" s="2759" t="s">
        <v>944</v>
      </c>
      <c r="G2174" s="2599">
        <v>1.7326388888888888E-2</v>
      </c>
      <c r="H2174" s="2600">
        <v>3.99</v>
      </c>
      <c r="I2174" s="2601">
        <f t="shared" si="517"/>
        <v>4.3424533556112501E-3</v>
      </c>
      <c r="J2174" s="2602">
        <v>129</v>
      </c>
      <c r="K2174" s="2603">
        <v>20</v>
      </c>
      <c r="L2174" s="2816">
        <v>190</v>
      </c>
      <c r="M2174" s="2840">
        <v>12</v>
      </c>
      <c r="N2174" s="2604">
        <f t="shared" si="518"/>
        <v>1.0639658848614073</v>
      </c>
      <c r="O2174" s="2605" t="s">
        <v>1462</v>
      </c>
      <c r="P2174" s="2606">
        <f>IFERROR(VLOOKUP(F2174,Trainingsarten!$A$9:$N$84,12,FALSE),"")</f>
        <v>194.60000000000002</v>
      </c>
      <c r="Q2174" s="2607" t="s">
        <v>437</v>
      </c>
      <c r="R2174" s="2608">
        <f>IFERROR(VLOOKUP(F2174,Trainingsarten!$A$9:$N$84,14,FALSE),"")</f>
        <v>212.96</v>
      </c>
      <c r="S2174" s="2609">
        <f t="shared" si="519"/>
        <v>1.4728682170542635</v>
      </c>
      <c r="T2174" s="2597">
        <f t="shared" si="520"/>
        <v>2.9480250137291626</v>
      </c>
      <c r="U2174" s="2597">
        <f t="shared" si="521"/>
        <v>12.881308357768724</v>
      </c>
      <c r="V2174" s="2597">
        <f t="shared" si="522"/>
        <v>12.601652549664427</v>
      </c>
      <c r="W2174" s="3284">
        <f t="shared" si="523"/>
        <v>0.22886068183836367</v>
      </c>
      <c r="X2174" s="3300">
        <v>14</v>
      </c>
      <c r="Y2174" s="3321">
        <f t="shared" si="513"/>
        <v>0.7</v>
      </c>
      <c r="Z2174" s="3312">
        <f t="shared" si="514"/>
        <v>2.0563754510828862</v>
      </c>
      <c r="AA2174" s="3312">
        <f t="shared" si="515"/>
        <v>12.404903901805739</v>
      </c>
      <c r="AB2174" s="3325">
        <f t="shared" si="516"/>
        <v>0.16577117141419748</v>
      </c>
    </row>
    <row r="2175" spans="1:28" x14ac:dyDescent="0.2">
      <c r="A2175" s="2935" t="s">
        <v>628</v>
      </c>
      <c r="B2175" s="3001">
        <f>SUM(K2173:K2179)</f>
        <v>20</v>
      </c>
      <c r="C2175" s="2596">
        <v>45273</v>
      </c>
      <c r="D2175" s="2597"/>
      <c r="E2175" s="2598"/>
      <c r="F2175" s="2759"/>
      <c r="G2175" s="2599"/>
      <c r="H2175" s="2600" t="str">
        <f>IFERROR(VLOOKUP(F2175,Trainingsarten!$A$9:$K$84,10,FALSE),"")</f>
        <v/>
      </c>
      <c r="I2175" s="2601" t="str">
        <f t="shared" si="517"/>
        <v/>
      </c>
      <c r="J2175" s="2602"/>
      <c r="K2175" s="2603" t="str">
        <f>IFERROR(VLOOKUP(F2175,Trainingsarten!$A$9:$K$84,11,FALSE),"0")</f>
        <v>0</v>
      </c>
      <c r="L2175" s="2816"/>
      <c r="M2175" s="2840"/>
      <c r="N2175" s="2604" t="str">
        <f t="shared" si="518"/>
        <v/>
      </c>
      <c r="O2175" s="2605"/>
      <c r="P2175" s="2606" t="str">
        <f>IFERROR(VLOOKUP(F2175,Trainingsarten!$A$9:$N$84,12,FALSE),"")</f>
        <v/>
      </c>
      <c r="Q2175" s="2607" t="s">
        <v>437</v>
      </c>
      <c r="R2175" s="2608" t="str">
        <f>IFERROR(VLOOKUP(F2175,Trainingsarten!$A$9:$N$84,14,FALSE),"")</f>
        <v/>
      </c>
      <c r="S2175" s="2609" t="str">
        <f t="shared" si="519"/>
        <v/>
      </c>
      <c r="T2175" s="2597">
        <f t="shared" si="520"/>
        <v>2.5268785831964249</v>
      </c>
      <c r="U2175" s="2597">
        <f t="shared" si="521"/>
        <v>12.574610539726612</v>
      </c>
      <c r="V2175" s="2597">
        <f t="shared" si="522"/>
        <v>9.9332833440395607</v>
      </c>
      <c r="W2175" s="3284">
        <f t="shared" si="523"/>
        <v>0.20095084258978271</v>
      </c>
      <c r="X2175" s="3300"/>
      <c r="Y2175" s="3321" t="str">
        <f t="shared" si="513"/>
        <v/>
      </c>
      <c r="Z2175" s="3312">
        <f t="shared" si="514"/>
        <v>1.7626075294996166</v>
      </c>
      <c r="AA2175" s="3312">
        <f t="shared" si="515"/>
        <v>12.10954904700084</v>
      </c>
      <c r="AB2175" s="3325">
        <f t="shared" si="516"/>
        <v>0.14555517490027095</v>
      </c>
    </row>
    <row r="2176" spans="1:28" x14ac:dyDescent="0.2">
      <c r="A2176" s="2935" t="s">
        <v>761</v>
      </c>
      <c r="B2176" s="3002">
        <f>AVERAGE(W2173:W2179)</f>
        <v>0.14642919462960244</v>
      </c>
      <c r="C2176" s="2596">
        <v>45274</v>
      </c>
      <c r="D2176" s="2597"/>
      <c r="E2176" s="2598"/>
      <c r="F2176" s="2759"/>
      <c r="G2176" s="2599"/>
      <c r="H2176" s="2600" t="str">
        <f>IFERROR(VLOOKUP(F2176,Trainingsarten!$A$9:$K$84,10,FALSE),"")</f>
        <v/>
      </c>
      <c r="I2176" s="2601" t="str">
        <f t="shared" si="517"/>
        <v/>
      </c>
      <c r="J2176" s="2602"/>
      <c r="K2176" s="2603" t="str">
        <f>IFERROR(VLOOKUP(F2176,Trainingsarten!$A$9:$K$84,11,FALSE),"0")</f>
        <v>0</v>
      </c>
      <c r="L2176" s="2816"/>
      <c r="M2176" s="2840"/>
      <c r="N2176" s="2604" t="str">
        <f t="shared" si="518"/>
        <v/>
      </c>
      <c r="O2176" s="2605"/>
      <c r="P2176" s="2606" t="str">
        <f>IFERROR(VLOOKUP(F2176,Trainingsarten!$A$9:$N$84,12,FALSE),"")</f>
        <v/>
      </c>
      <c r="Q2176" s="2607" t="s">
        <v>437</v>
      </c>
      <c r="R2176" s="2608" t="str">
        <f>IFERROR(VLOOKUP(F2176,Trainingsarten!$A$9:$N$84,14,FALSE),"")</f>
        <v/>
      </c>
      <c r="S2176" s="2609" t="str">
        <f t="shared" si="519"/>
        <v/>
      </c>
      <c r="T2176" s="2597">
        <f t="shared" si="520"/>
        <v>2.1658959284540784</v>
      </c>
      <c r="U2176" s="2597">
        <f t="shared" si="521"/>
        <v>12.275215050685501</v>
      </c>
      <c r="V2176" s="2597">
        <f t="shared" si="522"/>
        <v>10.047731956530187</v>
      </c>
      <c r="W2176" s="3284">
        <f t="shared" si="523"/>
        <v>0.17644464227395554</v>
      </c>
      <c r="X2176" s="3300"/>
      <c r="Y2176" s="3321" t="str">
        <f t="shared" si="513"/>
        <v/>
      </c>
      <c r="Z2176" s="3312">
        <f t="shared" si="514"/>
        <v>1.5108064538568142</v>
      </c>
      <c r="AA2176" s="3312">
        <f t="shared" si="515"/>
        <v>11.821226450643676</v>
      </c>
      <c r="AB2176" s="3325">
        <f t="shared" si="516"/>
        <v>0.12780454381487205</v>
      </c>
    </row>
    <row r="2177" spans="1:28" x14ac:dyDescent="0.2">
      <c r="A2177" s="2935" t="s">
        <v>979</v>
      </c>
      <c r="B2177" s="3130">
        <f>IFERROR(AVERAGE(N2173:N2179),"")</f>
        <v>1.0639658848614073</v>
      </c>
      <c r="C2177" s="2596">
        <v>45275</v>
      </c>
      <c r="D2177" s="2597"/>
      <c r="E2177" s="2598"/>
      <c r="F2177" s="2775"/>
      <c r="G2177" s="2599"/>
      <c r="H2177" s="2600" t="str">
        <f>IFERROR(VLOOKUP(F2177,Trainingsarten!$A$9:$K$84,10,FALSE),"")</f>
        <v/>
      </c>
      <c r="I2177" s="2601" t="str">
        <f t="shared" si="517"/>
        <v/>
      </c>
      <c r="J2177" s="2602"/>
      <c r="K2177" s="2603" t="str">
        <f>IFERROR(VLOOKUP(F2177,Trainingsarten!$A$9:$K$84,11,FALSE),"0")</f>
        <v>0</v>
      </c>
      <c r="L2177" s="2816"/>
      <c r="M2177" s="2840"/>
      <c r="N2177" s="2604" t="str">
        <f t="shared" si="518"/>
        <v/>
      </c>
      <c r="O2177" s="2605"/>
      <c r="P2177" s="2606" t="str">
        <f>IFERROR(VLOOKUP(F2177,Trainingsarten!$A$9:$N$84,12,FALSE),"")</f>
        <v/>
      </c>
      <c r="Q2177" s="2607" t="s">
        <v>437</v>
      </c>
      <c r="R2177" s="2608" t="str">
        <f>IFERROR(VLOOKUP(F2177,Trainingsarten!$A$9:$N$84,14,FALSE),"")</f>
        <v/>
      </c>
      <c r="S2177" s="2609" t="str">
        <f t="shared" si="519"/>
        <v/>
      </c>
      <c r="T2177" s="2597">
        <f t="shared" si="520"/>
        <v>1.8564822243892101</v>
      </c>
      <c r="U2177" s="2597">
        <f t="shared" si="521"/>
        <v>11.982948025669179</v>
      </c>
      <c r="V2177" s="2597">
        <f t="shared" si="522"/>
        <v>10.109319122231422</v>
      </c>
      <c r="W2177" s="3284">
        <f t="shared" si="523"/>
        <v>0.15492700297225367</v>
      </c>
      <c r="X2177" s="3300"/>
      <c r="Y2177" s="3321" t="str">
        <f t="shared" si="513"/>
        <v/>
      </c>
      <c r="Z2177" s="3312">
        <f t="shared" si="514"/>
        <v>1.2949769604486978</v>
      </c>
      <c r="AA2177" s="3312">
        <f t="shared" si="515"/>
        <v>11.539768678009303</v>
      </c>
      <c r="AB2177" s="3325">
        <f t="shared" si="516"/>
        <v>0.11221862383744863</v>
      </c>
    </row>
    <row r="2178" spans="1:28" x14ac:dyDescent="0.2">
      <c r="A2178" s="2935" t="s">
        <v>980</v>
      </c>
      <c r="B2178" s="3002">
        <f>IFERROR(AVERAGE(S2173:S2179),"")</f>
        <v>1.4728682170542635</v>
      </c>
      <c r="C2178" s="2886">
        <v>45276</v>
      </c>
      <c r="D2178" s="2887"/>
      <c r="E2178" s="2888"/>
      <c r="F2178" s="2889"/>
      <c r="G2178" s="2890"/>
      <c r="H2178" s="2891" t="str">
        <f>IFERROR(VLOOKUP(F2178,Trainingsarten!$A$9:$K$84,10,FALSE),"")</f>
        <v/>
      </c>
      <c r="I2178" s="2892" t="str">
        <f t="shared" si="517"/>
        <v/>
      </c>
      <c r="J2178" s="2893"/>
      <c r="K2178" s="2894" t="str">
        <f>IFERROR(VLOOKUP(F2178,Trainingsarten!$A$9:$K$84,11,FALSE),"0")</f>
        <v>0</v>
      </c>
      <c r="L2178" s="2816"/>
      <c r="M2178" s="2893"/>
      <c r="N2178" s="2895" t="str">
        <f t="shared" si="518"/>
        <v/>
      </c>
      <c r="O2178" s="2896"/>
      <c r="P2178" s="2897" t="str">
        <f>IFERROR(VLOOKUP(F2178,Trainingsarten!$A$9:$N$84,12,FALSE),"")</f>
        <v/>
      </c>
      <c r="Q2178" s="2898" t="s">
        <v>437</v>
      </c>
      <c r="R2178" s="2899" t="str">
        <f>IFERROR(VLOOKUP(F2178,Trainingsarten!$A$9:$N$84,14,FALSE),"")</f>
        <v/>
      </c>
      <c r="S2178" s="2845" t="str">
        <f t="shared" si="519"/>
        <v/>
      </c>
      <c r="T2178" s="2887">
        <f t="shared" si="520"/>
        <v>1.5912704780478943</v>
      </c>
      <c r="U2178" s="2887">
        <f t="shared" si="521"/>
        <v>11.697639739343723</v>
      </c>
      <c r="V2178" s="2887">
        <f t="shared" si="522"/>
        <v>10.12646580127997</v>
      </c>
      <c r="W2178" s="3284">
        <f t="shared" si="523"/>
        <v>0.13603346602441785</v>
      </c>
      <c r="X2178" s="3300"/>
      <c r="Y2178" s="3321" t="str">
        <f t="shared" si="513"/>
        <v/>
      </c>
      <c r="Z2178" s="3312">
        <f t="shared" si="514"/>
        <v>1.1099802518131696</v>
      </c>
      <c r="AA2178" s="3312">
        <f t="shared" si="515"/>
        <v>11.265012280913844</v>
      </c>
      <c r="AB2178" s="3325">
        <f t="shared" si="516"/>
        <v>9.8533425808491476E-2</v>
      </c>
    </row>
    <row r="2179" spans="1:28" ht="16" thickBot="1" x14ac:dyDescent="0.25">
      <c r="A2179" s="2936" t="s">
        <v>183</v>
      </c>
      <c r="B2179" s="3003">
        <f>IFERROR(SUM(M2173:M2179),"")</f>
        <v>12</v>
      </c>
      <c r="C2179" s="2576">
        <v>45277</v>
      </c>
      <c r="D2179" s="1788"/>
      <c r="E2179" s="1789"/>
      <c r="F2179" s="2763"/>
      <c r="G2179" s="2577"/>
      <c r="H2179" s="2578" t="str">
        <f>IFERROR(VLOOKUP(F2179,Trainingsarten!$A$9:$K$84,10,FALSE),"")</f>
        <v/>
      </c>
      <c r="I2179" s="2579" t="str">
        <f t="shared" si="517"/>
        <v/>
      </c>
      <c r="J2179" s="2580"/>
      <c r="K2179" s="2581" t="str">
        <f>IFERROR(VLOOKUP(F2179,Trainingsarten!$A$9:$K$84,11,FALSE),"0")</f>
        <v>0</v>
      </c>
      <c r="L2179" s="2821"/>
      <c r="M2179" s="2580"/>
      <c r="N2179" s="2582" t="str">
        <f t="shared" si="518"/>
        <v/>
      </c>
      <c r="O2179" s="2583"/>
      <c r="P2179" s="2584" t="str">
        <f>IFERROR(VLOOKUP(F2179,Trainingsarten!$A$9:$N$84,12,FALSE),"")</f>
        <v/>
      </c>
      <c r="Q2179" s="945" t="s">
        <v>437</v>
      </c>
      <c r="R2179" s="946" t="str">
        <f>IFERROR(VLOOKUP(F2179,Trainingsarten!$A$9:$N$84,14,FALSE),"")</f>
        <v/>
      </c>
      <c r="S2179" s="2390" t="str">
        <f t="shared" si="519"/>
        <v/>
      </c>
      <c r="T2179" s="1788">
        <f t="shared" si="520"/>
        <v>1.3639461240410522</v>
      </c>
      <c r="U2179" s="1788">
        <f t="shared" si="521"/>
        <v>11.419124507454587</v>
      </c>
      <c r="V2179" s="1788">
        <f t="shared" si="522"/>
        <v>10.106369261295828</v>
      </c>
      <c r="W2179" s="3293">
        <f t="shared" si="523"/>
        <v>0.11944401894826932</v>
      </c>
      <c r="X2179" s="3324"/>
      <c r="Y2179" s="3322" t="str">
        <f t="shared" si="513"/>
        <v/>
      </c>
      <c r="Z2179" s="3314">
        <f t="shared" si="514"/>
        <v>0.95141164441128823</v>
      </c>
      <c r="AA2179" s="3314">
        <f t="shared" si="515"/>
        <v>10.996797702796847</v>
      </c>
      <c r="AB2179" s="2846">
        <f t="shared" si="516"/>
        <v>8.6517154368431548E-2</v>
      </c>
    </row>
    <row r="2180" spans="1:28" ht="16" thickBot="1" x14ac:dyDescent="0.25">
      <c r="A2180" s="3439">
        <f>WEEKNUM(C2180,1)</f>
        <v>51</v>
      </c>
      <c r="B2180" s="3440"/>
      <c r="C2180" s="2585">
        <v>45278</v>
      </c>
      <c r="D2180" s="2586"/>
      <c r="E2180" s="2587"/>
      <c r="F2180" s="2761"/>
      <c r="G2180" s="2588"/>
      <c r="H2180" s="2589" t="str">
        <f>IFERROR(VLOOKUP(F2180,Trainingsarten!$A$9:$K$84,10,FALSE),"")</f>
        <v/>
      </c>
      <c r="I2180" s="2590" t="str">
        <f t="shared" si="517"/>
        <v/>
      </c>
      <c r="J2180" s="2591"/>
      <c r="K2180" s="2592" t="str">
        <f>IFERROR(VLOOKUP(F2180,Trainingsarten!$A$9:$K$84,11,FALSE),"0")</f>
        <v>0</v>
      </c>
      <c r="L2180" s="2815"/>
      <c r="M2180" s="2591"/>
      <c r="N2180" s="2593" t="str">
        <f t="shared" si="518"/>
        <v/>
      </c>
      <c r="O2180" s="2594"/>
      <c r="P2180" s="1919" t="str">
        <f>IFERROR(VLOOKUP(F2180,Trainingsarten!$A$9:$N$84,12,FALSE),"")</f>
        <v/>
      </c>
      <c r="Q2180" s="1069" t="s">
        <v>437</v>
      </c>
      <c r="R2180" s="2462" t="str">
        <f>IFERROR(VLOOKUP(F2180,Trainingsarten!$A$9:$N$84,14,FALSE),"")</f>
        <v/>
      </c>
      <c r="S2180" s="2595" t="str">
        <f t="shared" si="519"/>
        <v/>
      </c>
      <c r="T2180" s="2586">
        <f t="shared" si="520"/>
        <v>1.1690966777494733</v>
      </c>
      <c r="U2180" s="2586">
        <f t="shared" si="521"/>
        <v>11.14724059061043</v>
      </c>
      <c r="V2180" s="2586">
        <f t="shared" si="522"/>
        <v>10.055178383413535</v>
      </c>
      <c r="W2180" s="3283">
        <f t="shared" si="523"/>
        <v>0.10487767517409013</v>
      </c>
      <c r="X2180" s="3310"/>
      <c r="Y2180" s="3315" t="str">
        <f t="shared" si="513"/>
        <v/>
      </c>
      <c r="Z2180" s="1111">
        <f t="shared" si="514"/>
        <v>0.81549569520967569</v>
      </c>
      <c r="AA2180" s="1111">
        <f t="shared" si="515"/>
        <v>10.734969186063589</v>
      </c>
      <c r="AB2180" s="2449">
        <f t="shared" si="516"/>
        <v>7.5966281884476489E-2</v>
      </c>
    </row>
    <row r="2181" spans="1:28" x14ac:dyDescent="0.2">
      <c r="A2181" s="2934" t="s">
        <v>626</v>
      </c>
      <c r="B2181" s="3000">
        <f>SUM(H2180:H2186)</f>
        <v>0</v>
      </c>
      <c r="C2181" s="2596">
        <v>45279</v>
      </c>
      <c r="D2181" s="2597"/>
      <c r="E2181" s="2598"/>
      <c r="F2181" s="2759"/>
      <c r="G2181" s="2599"/>
      <c r="H2181" s="2600" t="str">
        <f>IFERROR(VLOOKUP(F2181,Trainingsarten!$A$9:$K$84,10,FALSE),"")</f>
        <v/>
      </c>
      <c r="I2181" s="2601" t="str">
        <f t="shared" si="517"/>
        <v/>
      </c>
      <c r="J2181" s="2602"/>
      <c r="K2181" s="2603" t="str">
        <f>IFERROR(VLOOKUP(F2181,Trainingsarten!$A$9:$K$84,11,FALSE),"0")</f>
        <v>0</v>
      </c>
      <c r="L2181" s="2816"/>
      <c r="M2181" s="2840"/>
      <c r="N2181" s="2604" t="str">
        <f t="shared" si="518"/>
        <v/>
      </c>
      <c r="O2181" s="2605"/>
      <c r="P2181" s="2606" t="str">
        <f>IFERROR(VLOOKUP(F2181,Trainingsarten!$A$9:$N$84,12,FALSE),"")</f>
        <v/>
      </c>
      <c r="Q2181" s="2607" t="s">
        <v>437</v>
      </c>
      <c r="R2181" s="2608" t="str">
        <f>IFERROR(VLOOKUP(F2181,Trainingsarten!$A$9:$N$84,14,FALSE),"")</f>
        <v/>
      </c>
      <c r="S2181" s="2609" t="str">
        <f t="shared" si="519"/>
        <v/>
      </c>
      <c r="T2181" s="2597">
        <f t="shared" si="520"/>
        <v>1.0020828666424058</v>
      </c>
      <c r="U2181" s="2597">
        <f t="shared" si="521"/>
        <v>10.881830100357801</v>
      </c>
      <c r="V2181" s="2597">
        <f t="shared" si="522"/>
        <v>9.9781439128609559</v>
      </c>
      <c r="W2181" s="3284">
        <f t="shared" si="523"/>
        <v>9.2087714787005975E-2</v>
      </c>
      <c r="X2181" s="3311"/>
      <c r="Y2181" s="3321" t="str">
        <f t="shared" si="513"/>
        <v/>
      </c>
      <c r="Z2181" s="2597">
        <f t="shared" si="514"/>
        <v>0.69899631017972197</v>
      </c>
      <c r="AA2181" s="2597">
        <f t="shared" si="515"/>
        <v>10.479374681633503</v>
      </c>
      <c r="AB2181" s="3325">
        <f t="shared" si="516"/>
        <v>6.6702101166857403E-2</v>
      </c>
    </row>
    <row r="2182" spans="1:28" x14ac:dyDescent="0.2">
      <c r="A2182" s="2935" t="s">
        <v>628</v>
      </c>
      <c r="B2182" s="3001">
        <f>SUM(K2180:K2186)</f>
        <v>0</v>
      </c>
      <c r="C2182" s="2596">
        <v>45280</v>
      </c>
      <c r="D2182" s="2597"/>
      <c r="E2182" s="2598"/>
      <c r="F2182" s="2759"/>
      <c r="G2182" s="2599"/>
      <c r="H2182" s="2600" t="str">
        <f>IFERROR(VLOOKUP(F2182,Trainingsarten!$A$9:$K$84,10,FALSE),"")</f>
        <v/>
      </c>
      <c r="I2182" s="2601" t="str">
        <f t="shared" si="517"/>
        <v/>
      </c>
      <c r="J2182" s="2602"/>
      <c r="K2182" s="2603" t="str">
        <f>IFERROR(VLOOKUP(F2182,Trainingsarten!$A$9:$K$84,11,FALSE),"0")</f>
        <v>0</v>
      </c>
      <c r="L2182" s="2816"/>
      <c r="M2182" s="2840"/>
      <c r="N2182" s="2604" t="str">
        <f t="shared" si="518"/>
        <v/>
      </c>
      <c r="O2182" s="2605"/>
      <c r="P2182" s="2606" t="str">
        <f>IFERROR(VLOOKUP(F2182,Trainingsarten!$A$9:$N$84,12,FALSE),"")</f>
        <v/>
      </c>
      <c r="Q2182" s="2607" t="s">
        <v>437</v>
      </c>
      <c r="R2182" s="2608" t="str">
        <f>IFERROR(VLOOKUP(F2182,Trainingsarten!$A$9:$N$84,14,FALSE),"")</f>
        <v/>
      </c>
      <c r="S2182" s="2609" t="str">
        <f t="shared" si="519"/>
        <v/>
      </c>
      <c r="T2182" s="2597">
        <f t="shared" si="520"/>
        <v>0.85892817140777633</v>
      </c>
      <c r="U2182" s="2597">
        <f t="shared" si="521"/>
        <v>10.622738907492138</v>
      </c>
      <c r="V2182" s="2597">
        <f t="shared" si="522"/>
        <v>9.8797472337153955</v>
      </c>
      <c r="W2182" s="3284">
        <f t="shared" si="523"/>
        <v>8.0857505666639393E-2</v>
      </c>
      <c r="X2182" s="3311"/>
      <c r="Y2182" s="3321" t="str">
        <f t="shared" si="513"/>
        <v/>
      </c>
      <c r="Z2182" s="2597">
        <f t="shared" si="514"/>
        <v>0.59913969443976167</v>
      </c>
      <c r="AA2182" s="2597">
        <f t="shared" si="515"/>
        <v>10.22986576064223</v>
      </c>
      <c r="AB2182" s="3325">
        <f t="shared" si="516"/>
        <v>5.8567698585533318E-2</v>
      </c>
    </row>
    <row r="2183" spans="1:28" x14ac:dyDescent="0.2">
      <c r="A2183" s="2935" t="s">
        <v>761</v>
      </c>
      <c r="B2183" s="3002">
        <f>AVERAGE(W2180:W2186)</f>
        <v>7.342229323935931E-2</v>
      </c>
      <c r="C2183" s="2596">
        <v>45281</v>
      </c>
      <c r="D2183" s="2597"/>
      <c r="E2183" s="2598"/>
      <c r="F2183" s="2759"/>
      <c r="G2183" s="2599"/>
      <c r="H2183" s="2600" t="str">
        <f>IFERROR(VLOOKUP(F2183,Trainingsarten!$A$9:$K$84,10,FALSE),"")</f>
        <v/>
      </c>
      <c r="I2183" s="2601" t="str">
        <f t="shared" si="517"/>
        <v/>
      </c>
      <c r="J2183" s="2602"/>
      <c r="K2183" s="2603" t="str">
        <f>IFERROR(VLOOKUP(F2183,Trainingsarten!$A$9:$K$84,11,FALSE),"0")</f>
        <v>0</v>
      </c>
      <c r="L2183" s="2816"/>
      <c r="M2183" s="2840"/>
      <c r="N2183" s="2604" t="str">
        <f t="shared" si="518"/>
        <v/>
      </c>
      <c r="O2183" s="2605"/>
      <c r="P2183" s="2606" t="str">
        <f>IFERROR(VLOOKUP(F2183,Trainingsarten!$A$9:$N$84,12,FALSE),"")</f>
        <v/>
      </c>
      <c r="Q2183" s="2607" t="s">
        <v>437</v>
      </c>
      <c r="R2183" s="2608" t="str">
        <f>IFERROR(VLOOKUP(F2183,Trainingsarten!$A$9:$N$84,14,FALSE),"")</f>
        <v/>
      </c>
      <c r="S2183" s="2609" t="str">
        <f t="shared" si="519"/>
        <v/>
      </c>
      <c r="T2183" s="2597">
        <f t="shared" si="520"/>
        <v>0.73622414692095117</v>
      </c>
      <c r="U2183" s="2597">
        <f t="shared" si="521"/>
        <v>10.36981655255185</v>
      </c>
      <c r="V2183" s="2597">
        <f t="shared" si="522"/>
        <v>9.7638107360843627</v>
      </c>
      <c r="W2183" s="3284">
        <f t="shared" si="523"/>
        <v>7.0996834243878496E-2</v>
      </c>
      <c r="X2183" s="3311"/>
      <c r="Y2183" s="3321" t="str">
        <f t="shared" si="513"/>
        <v/>
      </c>
      <c r="Z2183" s="2597">
        <f t="shared" si="514"/>
        <v>0.51354830951979569</v>
      </c>
      <c r="AA2183" s="2597">
        <f t="shared" si="515"/>
        <v>9.986297528245986</v>
      </c>
      <c r="AB2183" s="3325">
        <f t="shared" si="516"/>
        <v>5.1425296319004866E-2</v>
      </c>
    </row>
    <row r="2184" spans="1:28" x14ac:dyDescent="0.2">
      <c r="A2184" s="2935" t="s">
        <v>979</v>
      </c>
      <c r="B2184" s="3130" t="str">
        <f>IFERROR(AVERAGE(N2180:N2186),"")</f>
        <v/>
      </c>
      <c r="C2184" s="2596">
        <v>45282</v>
      </c>
      <c r="D2184" s="2597"/>
      <c r="E2184" s="2598"/>
      <c r="F2184" s="2775"/>
      <c r="G2184" s="2599"/>
      <c r="H2184" s="2600" t="str">
        <f>IFERROR(VLOOKUP(F2184,Trainingsarten!$A$9:$K$84,10,FALSE),"")</f>
        <v/>
      </c>
      <c r="I2184" s="2601" t="str">
        <f t="shared" si="517"/>
        <v/>
      </c>
      <c r="J2184" s="2602"/>
      <c r="K2184" s="2603" t="str">
        <f>IFERROR(VLOOKUP(F2184,Trainingsarten!$A$9:$K$84,11,FALSE),"0")</f>
        <v>0</v>
      </c>
      <c r="L2184" s="2816"/>
      <c r="M2184" s="2840"/>
      <c r="N2184" s="2604" t="str">
        <f t="shared" si="518"/>
        <v/>
      </c>
      <c r="O2184" s="2605"/>
      <c r="P2184" s="2606" t="str">
        <f>IFERROR(VLOOKUP(F2184,Trainingsarten!$A$9:$N$84,12,FALSE),"")</f>
        <v/>
      </c>
      <c r="Q2184" s="2607" t="s">
        <v>437</v>
      </c>
      <c r="R2184" s="2608" t="str">
        <f>IFERROR(VLOOKUP(F2184,Trainingsarten!$A$9:$N$84,14,FALSE),"")</f>
        <v/>
      </c>
      <c r="S2184" s="2609" t="str">
        <f t="shared" si="519"/>
        <v/>
      </c>
      <c r="T2184" s="2597">
        <f t="shared" si="520"/>
        <v>0.63104926878938672</v>
      </c>
      <c r="U2184" s="2597">
        <f t="shared" si="521"/>
        <v>10.122916158443472</v>
      </c>
      <c r="V2184" s="2597">
        <f t="shared" si="522"/>
        <v>9.6335924056308979</v>
      </c>
      <c r="W2184" s="3284">
        <f t="shared" si="523"/>
        <v>6.233868372633234E-2</v>
      </c>
      <c r="X2184" s="3311"/>
      <c r="Y2184" s="3321" t="str">
        <f t="shared" si="513"/>
        <v/>
      </c>
      <c r="Z2184" s="2597">
        <f t="shared" si="514"/>
        <v>0.44018426530268201</v>
      </c>
      <c r="AA2184" s="2597">
        <f t="shared" si="515"/>
        <v>9.7485285394782242</v>
      </c>
      <c r="AB2184" s="3325">
        <f t="shared" si="516"/>
        <v>4.5153918719126225E-2</v>
      </c>
    </row>
    <row r="2185" spans="1:28" x14ac:dyDescent="0.2">
      <c r="A2185" s="2935" t="s">
        <v>980</v>
      </c>
      <c r="B2185" s="3002" t="str">
        <f>IFERROR(AVERAGE(S2180:S2186),"")</f>
        <v/>
      </c>
      <c r="C2185" s="2886">
        <v>45283</v>
      </c>
      <c r="D2185" s="2887"/>
      <c r="E2185" s="2888"/>
      <c r="F2185" s="2889"/>
      <c r="G2185" s="2890"/>
      <c r="H2185" s="2891" t="str">
        <f>IFERROR(VLOOKUP(F2185,Trainingsarten!$A$9:$K$84,10,FALSE),"")</f>
        <v/>
      </c>
      <c r="I2185" s="2892" t="str">
        <f t="shared" si="517"/>
        <v/>
      </c>
      <c r="J2185" s="2893"/>
      <c r="K2185" s="2894" t="str">
        <f>IFERROR(VLOOKUP(F2185,Trainingsarten!$A$9:$K$84,11,FALSE),"0")</f>
        <v>0</v>
      </c>
      <c r="L2185" s="2816"/>
      <c r="M2185" s="2893"/>
      <c r="N2185" s="2895" t="str">
        <f t="shared" si="518"/>
        <v/>
      </c>
      <c r="O2185" s="2896"/>
      <c r="P2185" s="2897" t="str">
        <f>IFERROR(VLOOKUP(F2185,Trainingsarten!$A$9:$N$84,12,FALSE),"")</f>
        <v/>
      </c>
      <c r="Q2185" s="2898" t="s">
        <v>437</v>
      </c>
      <c r="R2185" s="2899" t="str">
        <f>IFERROR(VLOOKUP(F2185,Trainingsarten!$A$9:$N$84,14,FALSE),"")</f>
        <v/>
      </c>
      <c r="S2185" s="2845" t="str">
        <f t="shared" si="519"/>
        <v/>
      </c>
      <c r="T2185" s="2887">
        <f t="shared" si="520"/>
        <v>0.54089937324804571</v>
      </c>
      <c r="U2185" s="2887">
        <f t="shared" si="521"/>
        <v>9.8818943451471988</v>
      </c>
      <c r="V2185" s="2887">
        <f t="shared" si="522"/>
        <v>9.4918668896540854</v>
      </c>
      <c r="W2185" s="3284">
        <f t="shared" si="523"/>
        <v>5.4736405223121072E-2</v>
      </c>
      <c r="X2185" s="3311"/>
      <c r="Y2185" s="3321" t="str">
        <f t="shared" si="513"/>
        <v/>
      </c>
      <c r="Z2185" s="2597">
        <f t="shared" si="514"/>
        <v>0.37730079883087031</v>
      </c>
      <c r="AA2185" s="2597">
        <f t="shared" si="515"/>
        <v>9.5164207171096944</v>
      </c>
      <c r="AB2185" s="3325">
        <f t="shared" si="516"/>
        <v>3.9647343265574252E-2</v>
      </c>
    </row>
    <row r="2186" spans="1:28" ht="16" thickBot="1" x14ac:dyDescent="0.25">
      <c r="A2186" s="2936" t="s">
        <v>183</v>
      </c>
      <c r="B2186" s="3003">
        <f>IFERROR(SUM(M2180:M2186),"")</f>
        <v>0</v>
      </c>
      <c r="C2186" s="2576">
        <v>45284</v>
      </c>
      <c r="D2186" s="1788"/>
      <c r="E2186" s="1789"/>
      <c r="F2186" s="2763"/>
      <c r="G2186" s="2577"/>
      <c r="H2186" s="2578" t="str">
        <f>IFERROR(VLOOKUP(F2186,Trainingsarten!$A$9:$K$84,10,FALSE),"")</f>
        <v/>
      </c>
      <c r="I2186" s="2579" t="str">
        <f t="shared" si="517"/>
        <v/>
      </c>
      <c r="J2186" s="2580"/>
      <c r="K2186" s="2581" t="str">
        <f>IFERROR(VLOOKUP(F2186,Trainingsarten!$A$9:$K$84,11,FALSE),"0")</f>
        <v>0</v>
      </c>
      <c r="L2186" s="2821"/>
      <c r="M2186" s="2580"/>
      <c r="N2186" s="2582" t="str">
        <f t="shared" si="518"/>
        <v/>
      </c>
      <c r="O2186" s="2583"/>
      <c r="P2186" s="2584" t="str">
        <f>IFERROR(VLOOKUP(F2186,Trainingsarten!$A$9:$N$84,12,FALSE),"")</f>
        <v/>
      </c>
      <c r="Q2186" s="945" t="s">
        <v>437</v>
      </c>
      <c r="R2186" s="946" t="str">
        <f>IFERROR(VLOOKUP(F2186,Trainingsarten!$A$9:$N$84,14,FALSE),"")</f>
        <v/>
      </c>
      <c r="S2186" s="2390" t="str">
        <f t="shared" si="519"/>
        <v/>
      </c>
      <c r="T2186" s="1788">
        <f t="shared" si="520"/>
        <v>0.46362803421261062</v>
      </c>
      <c r="U2186" s="1788">
        <f t="shared" si="521"/>
        <v>9.6466111464532176</v>
      </c>
      <c r="V2186" s="1788">
        <f t="shared" si="522"/>
        <v>9.3409949718991534</v>
      </c>
      <c r="W2186" s="3293">
        <f t="shared" si="523"/>
        <v>4.8061233854447771E-2</v>
      </c>
      <c r="X2186" s="3313"/>
      <c r="Y2186" s="3326" t="str">
        <f t="shared" si="513"/>
        <v/>
      </c>
      <c r="Z2186" s="3327">
        <f t="shared" si="514"/>
        <v>0.32340068471217454</v>
      </c>
      <c r="AA2186" s="3327">
        <f t="shared" si="515"/>
        <v>9.2898392714642259</v>
      </c>
      <c r="AB2186" s="3328">
        <f t="shared" si="516"/>
        <v>3.4812301403918847E-2</v>
      </c>
    </row>
    <row r="2187" spans="1:28" ht="16" thickBot="1" x14ac:dyDescent="0.25">
      <c r="A2187" s="3439">
        <f>WEEKNUM(C2187,1)</f>
        <v>52</v>
      </c>
      <c r="B2187" s="3440"/>
      <c r="C2187" s="2585">
        <v>45285</v>
      </c>
      <c r="D2187" s="2586"/>
      <c r="E2187" s="2587"/>
      <c r="F2187" s="2761"/>
      <c r="G2187" s="2588"/>
      <c r="H2187" s="2589" t="str">
        <f>IFERROR(VLOOKUP(F2187,Trainingsarten!$A$9:$K$84,10,FALSE),"")</f>
        <v/>
      </c>
      <c r="I2187" s="2590" t="str">
        <f t="shared" si="517"/>
        <v/>
      </c>
      <c r="J2187" s="2591"/>
      <c r="K2187" s="2592" t="str">
        <f>IFERROR(VLOOKUP(F2187,Trainingsarten!$A$9:$K$84,11,FALSE),"0")</f>
        <v>0</v>
      </c>
      <c r="L2187" s="2815"/>
      <c r="M2187" s="2591"/>
      <c r="N2187" s="2593" t="str">
        <f t="shared" si="518"/>
        <v/>
      </c>
      <c r="O2187" s="2594"/>
      <c r="P2187" s="1919" t="str">
        <f>IFERROR(VLOOKUP(F2187,Trainingsarten!$A$9:$N$84,12,FALSE),"")</f>
        <v/>
      </c>
      <c r="Q2187" s="2461" t="s">
        <v>437</v>
      </c>
      <c r="R2187" s="3089" t="str">
        <f>IFERROR(VLOOKUP(F2187,Trainingsarten!$A$9:$N$84,14,FALSE),"")</f>
        <v/>
      </c>
      <c r="S2187" s="2595" t="str">
        <f t="shared" si="519"/>
        <v/>
      </c>
      <c r="T2187" s="2586">
        <f t="shared" si="520"/>
        <v>0.39739545789652342</v>
      </c>
      <c r="U2187" s="2586">
        <f t="shared" si="521"/>
        <v>9.4169299286805224</v>
      </c>
      <c r="V2187" s="2586">
        <f t="shared" si="522"/>
        <v>9.1829831122406063</v>
      </c>
      <c r="W2187" s="3283">
        <f t="shared" si="523"/>
        <v>4.220010777463707E-2</v>
      </c>
      <c r="X2187" s="3298"/>
      <c r="Y2187" s="3323" t="str">
        <f t="shared" si="513"/>
        <v/>
      </c>
      <c r="Z2187" s="2586">
        <f t="shared" si="514"/>
        <v>0.27720058689614963</v>
      </c>
      <c r="AA2187" s="2586">
        <f t="shared" si="515"/>
        <v>9.0686526221436488</v>
      </c>
      <c r="AB2187" s="2595">
        <f t="shared" si="516"/>
        <v>3.0566898793684849E-2</v>
      </c>
    </row>
    <row r="2188" spans="1:28" x14ac:dyDescent="0.2">
      <c r="A2188" s="2934" t="s">
        <v>626</v>
      </c>
      <c r="B2188" s="3000">
        <f>SUM(H2187:H2193)</f>
        <v>18.09</v>
      </c>
      <c r="C2188" s="2937">
        <v>45286</v>
      </c>
      <c r="D2188" s="3090"/>
      <c r="E2188" s="3091"/>
      <c r="F2188" s="2759"/>
      <c r="G2188" s="3092"/>
      <c r="H2188" s="3093" t="str">
        <f>IFERROR(VLOOKUP(F2188,Trainingsarten!$A$9:$K$84,10,FALSE),"")</f>
        <v/>
      </c>
      <c r="I2188" s="3094" t="str">
        <f t="shared" si="517"/>
        <v/>
      </c>
      <c r="J2188" s="3095"/>
      <c r="K2188" s="3096" t="str">
        <f>IFERROR(VLOOKUP(F2188,Trainingsarten!$A$9:$K$84,11,FALSE),"0")</f>
        <v>0</v>
      </c>
      <c r="L2188" s="2816"/>
      <c r="M2188" s="3095"/>
      <c r="N2188" s="3097" t="str">
        <f t="shared" si="518"/>
        <v/>
      </c>
      <c r="O2188" s="3098"/>
      <c r="P2188" s="2897" t="str">
        <f>IFERROR(VLOOKUP(F2188,Trainingsarten!$A$9:$N$84,12,FALSE),"")</f>
        <v/>
      </c>
      <c r="Q2188" s="2898" t="s">
        <v>437</v>
      </c>
      <c r="R2188" s="3099" t="str">
        <f>IFERROR(VLOOKUP(F2188,Trainingsarten!$A$9:$N$84,14,FALSE),"")</f>
        <v/>
      </c>
      <c r="S2188" s="3100" t="str">
        <f t="shared" si="519"/>
        <v/>
      </c>
      <c r="T2188" s="3090">
        <f t="shared" si="520"/>
        <v>0.34062467819702008</v>
      </c>
      <c r="U2188" s="3090">
        <f t="shared" si="521"/>
        <v>9.1927173113309859</v>
      </c>
      <c r="V2188" s="3090">
        <f t="shared" si="522"/>
        <v>9.0195344707839986</v>
      </c>
      <c r="W2188" s="3284">
        <f t="shared" si="523"/>
        <v>3.7053753167974011E-2</v>
      </c>
      <c r="X2188" s="3300"/>
      <c r="Y2188" s="3321" t="str">
        <f t="shared" si="513"/>
        <v/>
      </c>
      <c r="Z2188" s="3312">
        <f t="shared" si="514"/>
        <v>0.23760050305384253</v>
      </c>
      <c r="AA2188" s="3312">
        <f t="shared" si="515"/>
        <v>8.8527323216164184</v>
      </c>
      <c r="AB2188" s="3325">
        <f t="shared" si="516"/>
        <v>2.6839228209089135E-2</v>
      </c>
    </row>
    <row r="2189" spans="1:28" x14ac:dyDescent="0.2">
      <c r="A2189" s="2935" t="s">
        <v>628</v>
      </c>
      <c r="B2189" s="3001">
        <f>SUM(K2187:K2193)</f>
        <v>95</v>
      </c>
      <c r="C2189" s="3252">
        <v>45287</v>
      </c>
      <c r="D2189" s="3090">
        <v>169</v>
      </c>
      <c r="E2189" s="3091" t="s">
        <v>836</v>
      </c>
      <c r="F2189" s="2759" t="s">
        <v>944</v>
      </c>
      <c r="G2189" s="3092">
        <v>2.162037037037037E-2</v>
      </c>
      <c r="H2189" s="3093">
        <v>5.37</v>
      </c>
      <c r="I2189" s="3094">
        <f t="shared" si="517"/>
        <v>4.026139733774743E-3</v>
      </c>
      <c r="J2189" s="3095">
        <v>139</v>
      </c>
      <c r="K2189" s="3096">
        <v>30</v>
      </c>
      <c r="L2189" s="2816">
        <v>207</v>
      </c>
      <c r="M2189" s="3095">
        <v>16</v>
      </c>
      <c r="N2189" s="3097">
        <f t="shared" si="518"/>
        <v>1.0747269240390227</v>
      </c>
      <c r="O2189" s="3098" t="s">
        <v>1460</v>
      </c>
      <c r="P2189" s="2897">
        <f>IFERROR(VLOOKUP(F2189,Trainingsarten!$A$9:$N$84,12,FALSE),"")</f>
        <v>194.60000000000002</v>
      </c>
      <c r="Q2189" s="2898" t="s">
        <v>437</v>
      </c>
      <c r="R2189" s="3099">
        <f>IFERROR(VLOOKUP(F2189,Trainingsarten!$A$9:$N$84,14,FALSE),"")</f>
        <v>212.96</v>
      </c>
      <c r="S2189" s="3100">
        <f t="shared" si="519"/>
        <v>1.4892086330935252</v>
      </c>
      <c r="T2189" s="3090">
        <f>T2188+(K2189-T2188)/7</f>
        <v>4.5776782955974458</v>
      </c>
      <c r="U2189" s="3090">
        <f>U2188+(K2189-U2188)/42</f>
        <v>9.6881288039183442</v>
      </c>
      <c r="V2189" s="3090">
        <f t="shared" si="522"/>
        <v>8.8520926331339655</v>
      </c>
      <c r="W2189" s="3284">
        <f>T2189/U2189</f>
        <v>0.47250386408426082</v>
      </c>
      <c r="X2189" s="3300">
        <v>25</v>
      </c>
      <c r="Y2189" s="3321">
        <f>IFERROR(X2189/K2189,"")</f>
        <v>0.83333333333333337</v>
      </c>
      <c r="Z2189" s="3312">
        <f t="shared" si="514"/>
        <v>3.7750861454747224</v>
      </c>
      <c r="AA2189" s="3312">
        <f t="shared" si="515"/>
        <v>9.2371910758636471</v>
      </c>
      <c r="AB2189" s="3325">
        <f t="shared" si="516"/>
        <v>0.4086833448036869</v>
      </c>
    </row>
    <row r="2190" spans="1:28" x14ac:dyDescent="0.2">
      <c r="A2190" s="2935" t="s">
        <v>761</v>
      </c>
      <c r="B2190" s="3002">
        <f>AVERAGE(W2187:W2193)</f>
        <v>0.47413029490650432</v>
      </c>
      <c r="C2190" s="3252">
        <v>45288</v>
      </c>
      <c r="D2190" s="3090"/>
      <c r="E2190" s="3091"/>
      <c r="F2190" s="2759"/>
      <c r="G2190" s="3092"/>
      <c r="H2190" s="3093" t="str">
        <f>IFERROR(VLOOKUP(F2190,Trainingsarten!$A$9:$K$84,10,FALSE),"")</f>
        <v/>
      </c>
      <c r="I2190" s="3094" t="str">
        <f t="shared" si="517"/>
        <v/>
      </c>
      <c r="J2190" s="3095"/>
      <c r="K2190" s="3096" t="str">
        <f>IFERROR(VLOOKUP(F2190,Trainingsarten!$A$9:$K$84,11,FALSE),"0")</f>
        <v>0</v>
      </c>
      <c r="L2190" s="2816"/>
      <c r="M2190" s="3095"/>
      <c r="N2190" s="3097" t="str">
        <f t="shared" si="518"/>
        <v/>
      </c>
      <c r="O2190" s="3098"/>
      <c r="P2190" s="2897" t="str">
        <f>IFERROR(VLOOKUP(F2190,Trainingsarten!$A$9:$N$84,12,FALSE),"")</f>
        <v/>
      </c>
      <c r="Q2190" s="2898" t="s">
        <v>437</v>
      </c>
      <c r="R2190" s="3099" t="str">
        <f>IFERROR(VLOOKUP(F2190,Trainingsarten!$A$9:$N$84,14,FALSE),"")</f>
        <v/>
      </c>
      <c r="S2190" s="3100" t="str">
        <f t="shared" si="519"/>
        <v/>
      </c>
      <c r="T2190" s="3090">
        <f t="shared" si="520"/>
        <v>3.9237242533692394</v>
      </c>
      <c r="U2190" s="3090">
        <f t="shared" si="521"/>
        <v>9.4574590704917174</v>
      </c>
      <c r="V2190" s="3090">
        <f t="shared" si="522"/>
        <v>5.1104505083208984</v>
      </c>
      <c r="W2190" s="3284">
        <f t="shared" si="523"/>
        <v>0.41488144163496071</v>
      </c>
      <c r="X2190" s="3300"/>
      <c r="Y2190" s="3321" t="str">
        <f t="shared" ref="Y2190:Y2253" si="524">IFERROR(X2190/K2190,"")</f>
        <v/>
      </c>
      <c r="Z2190" s="3312">
        <f t="shared" si="514"/>
        <v>3.2357881246926192</v>
      </c>
      <c r="AA2190" s="3312">
        <f t="shared" si="515"/>
        <v>9.0172579550097502</v>
      </c>
      <c r="AB2190" s="3325">
        <f t="shared" si="516"/>
        <v>0.35884391251055436</v>
      </c>
    </row>
    <row r="2191" spans="1:28" x14ac:dyDescent="0.2">
      <c r="A2191" s="2935" t="s">
        <v>979</v>
      </c>
      <c r="B2191" s="3130">
        <f>IFERROR(AVERAGE(N2187:N2193),"")</f>
        <v>1.0652275417413284</v>
      </c>
      <c r="C2191" s="3252">
        <v>45289</v>
      </c>
      <c r="D2191" s="3090">
        <v>170</v>
      </c>
      <c r="E2191" s="3091" t="s">
        <v>835</v>
      </c>
      <c r="F2191" s="2775" t="s">
        <v>944</v>
      </c>
      <c r="G2191" s="3092">
        <v>2.2141203703703705E-2</v>
      </c>
      <c r="H2191" s="3093">
        <v>4.8600000000000003</v>
      </c>
      <c r="I2191" s="3094">
        <f t="shared" si="517"/>
        <v>4.5558032312147537E-3</v>
      </c>
      <c r="J2191" s="3095">
        <v>122</v>
      </c>
      <c r="K2191" s="3096">
        <v>24</v>
      </c>
      <c r="L2191" s="2816">
        <v>179</v>
      </c>
      <c r="M2191" s="3095">
        <v>17</v>
      </c>
      <c r="N2191" s="3097">
        <f t="shared" si="518"/>
        <v>1.0516153798906702</v>
      </c>
      <c r="O2191" s="3098" t="s">
        <v>1462</v>
      </c>
      <c r="P2191" s="2897">
        <f>IFERROR(VLOOKUP(F2191,Trainingsarten!$A$9:$N$84,12,FALSE),"")</f>
        <v>194.60000000000002</v>
      </c>
      <c r="Q2191" s="2898" t="s">
        <v>437</v>
      </c>
      <c r="R2191" s="3099">
        <f>IFERROR(VLOOKUP(F2191,Trainingsarten!$A$9:$N$84,14,FALSE),"")</f>
        <v>212.96</v>
      </c>
      <c r="S2191" s="3100">
        <f t="shared" si="519"/>
        <v>1.4672131147540983</v>
      </c>
      <c r="T2191" s="3090">
        <f t="shared" si="520"/>
        <v>6.7917636457450623</v>
      </c>
      <c r="U2191" s="3090">
        <f t="shared" si="521"/>
        <v>9.8037100450038199</v>
      </c>
      <c r="V2191" s="3090">
        <f t="shared" si="522"/>
        <v>5.5337348171224781</v>
      </c>
      <c r="W2191" s="3284">
        <f t="shared" si="523"/>
        <v>0.69277483876691048</v>
      </c>
      <c r="X2191" s="3300">
        <v>17</v>
      </c>
      <c r="Y2191" s="3321">
        <f t="shared" si="524"/>
        <v>0.70833333333333337</v>
      </c>
      <c r="Z2191" s="3312">
        <f t="shared" si="514"/>
        <v>5.2021041068793883</v>
      </c>
      <c r="AA2191" s="3312">
        <f t="shared" si="515"/>
        <v>9.2073232417952315</v>
      </c>
      <c r="AB2191" s="3325">
        <f t="shared" si="516"/>
        <v>0.56499635890540201</v>
      </c>
    </row>
    <row r="2192" spans="1:28" x14ac:dyDescent="0.2">
      <c r="A2192" s="2935" t="s">
        <v>980</v>
      </c>
      <c r="B2192" s="3002">
        <f>IFERROR(AVERAGE(S2187:S2193),"")</f>
        <v>1.4459055706254669</v>
      </c>
      <c r="C2192" s="3252">
        <v>45290</v>
      </c>
      <c r="D2192" s="3090"/>
      <c r="E2192" s="3091"/>
      <c r="F2192" s="2889"/>
      <c r="G2192" s="3092"/>
      <c r="H2192" s="3093" t="str">
        <f>IFERROR(VLOOKUP(F2192,Trainingsarten!$A$9:$K$84,10,FALSE),"")</f>
        <v/>
      </c>
      <c r="I2192" s="3094" t="str">
        <f t="shared" si="517"/>
        <v/>
      </c>
      <c r="J2192" s="3095"/>
      <c r="K2192" s="3096" t="str">
        <f>IFERROR(VLOOKUP(F2192,Trainingsarten!$A$9:$K$84,11,FALSE),"0")</f>
        <v>0</v>
      </c>
      <c r="L2192" s="2816"/>
      <c r="M2192" s="3095"/>
      <c r="N2192" s="3097" t="str">
        <f t="shared" si="518"/>
        <v/>
      </c>
      <c r="O2192" s="3098"/>
      <c r="P2192" s="2897" t="str">
        <f>IFERROR(VLOOKUP(F2192,Trainingsarten!$A$9:$N$84,12,FALSE),"")</f>
        <v/>
      </c>
      <c r="Q2192" s="2898" t="s">
        <v>437</v>
      </c>
      <c r="R2192" s="3099" t="str">
        <f>IFERROR(VLOOKUP(F2192,Trainingsarten!$A$9:$N$84,14,FALSE),"")</f>
        <v/>
      </c>
      <c r="S2192" s="3100" t="str">
        <f t="shared" si="519"/>
        <v/>
      </c>
      <c r="T2192" s="3090">
        <f t="shared" si="520"/>
        <v>5.8215116963529105</v>
      </c>
      <c r="U2192" s="3090">
        <f t="shared" si="521"/>
        <v>9.5702883772656335</v>
      </c>
      <c r="V2192" s="3090">
        <f t="shared" si="522"/>
        <v>3.0119463992587576</v>
      </c>
      <c r="W2192" s="3284">
        <f t="shared" si="523"/>
        <v>0.60829010233192149</v>
      </c>
      <c r="X2192" s="3300"/>
      <c r="Y2192" s="3321" t="str">
        <f t="shared" si="524"/>
        <v/>
      </c>
      <c r="Z2192" s="3312">
        <f t="shared" si="514"/>
        <v>4.4589463773251898</v>
      </c>
      <c r="AA2192" s="3312">
        <f t="shared" si="515"/>
        <v>8.9881012598477259</v>
      </c>
      <c r="AB2192" s="3325">
        <f t="shared" si="516"/>
        <v>0.49609436391693834</v>
      </c>
    </row>
    <row r="2193" spans="1:28" ht="16" thickBot="1" x14ac:dyDescent="0.25">
      <c r="A2193" s="2936" t="s">
        <v>183</v>
      </c>
      <c r="B2193" s="3003">
        <f>IFERROR(SUM(M2187:M2193),"")</f>
        <v>49</v>
      </c>
      <c r="C2193" s="3027">
        <v>45291</v>
      </c>
      <c r="D2193" s="1788">
        <v>171</v>
      </c>
      <c r="E2193" s="1789" t="s">
        <v>836</v>
      </c>
      <c r="F2193" s="2763" t="s">
        <v>1466</v>
      </c>
      <c r="G2193" s="2577">
        <v>3.394675925925926E-2</v>
      </c>
      <c r="H2193" s="2578">
        <v>7.86</v>
      </c>
      <c r="I2193" s="2579">
        <f t="shared" si="517"/>
        <v>4.3189261144095745E-3</v>
      </c>
      <c r="J2193" s="2580">
        <v>139</v>
      </c>
      <c r="K2193" s="2581">
        <v>41</v>
      </c>
      <c r="L2193" s="3101">
        <v>192</v>
      </c>
      <c r="M2193" s="2580">
        <v>16</v>
      </c>
      <c r="N2193" s="2582">
        <f t="shared" si="518"/>
        <v>1.0693403212942918</v>
      </c>
      <c r="O2193" s="2583" t="s">
        <v>1462</v>
      </c>
      <c r="P2193" s="3102">
        <f>IFERROR(VLOOKUP(F2193,Trainingsarten!$A$9:$N$84,12,FALSE),"")</f>
        <v>194.60000000000002</v>
      </c>
      <c r="Q2193" s="3103" t="s">
        <v>437</v>
      </c>
      <c r="R2193" s="3104">
        <f>IFERROR(VLOOKUP(F2193,Trainingsarten!$A$9:$N$84,14,FALSE),"")</f>
        <v>212.96</v>
      </c>
      <c r="S2193" s="2390">
        <f t="shared" si="519"/>
        <v>1.3812949640287771</v>
      </c>
      <c r="T2193" s="1788">
        <f t="shared" si="520"/>
        <v>10.847010025445352</v>
      </c>
      <c r="U2193" s="1788">
        <f t="shared" si="521"/>
        <v>10.318614844473595</v>
      </c>
      <c r="V2193" s="1788">
        <f t="shared" si="522"/>
        <v>3.748776680912723</v>
      </c>
      <c r="W2193" s="3293">
        <f t="shared" si="523"/>
        <v>1.0512079565848658</v>
      </c>
      <c r="X2193" s="3309">
        <v>31</v>
      </c>
      <c r="Y2193" s="3322">
        <f t="shared" si="524"/>
        <v>0.75609756097560976</v>
      </c>
      <c r="Z2193" s="3314">
        <f t="shared" si="514"/>
        <v>8.2505254662787344</v>
      </c>
      <c r="AA2193" s="3314">
        <f t="shared" si="515"/>
        <v>9.5121940869942083</v>
      </c>
      <c r="AB2193" s="2846">
        <f t="shared" si="516"/>
        <v>0.86736302800628062</v>
      </c>
    </row>
    <row r="2194" spans="1:28" ht="16" thickBot="1" x14ac:dyDescent="0.25">
      <c r="A2194" s="3439">
        <f>WEEKNUM(C2194,1)</f>
        <v>1</v>
      </c>
      <c r="B2194" s="3440"/>
      <c r="C2194" s="3028">
        <v>45292</v>
      </c>
      <c r="D2194" s="2586"/>
      <c r="E2194" s="3084"/>
      <c r="F2194" s="2761"/>
      <c r="G2194" s="3087"/>
      <c r="H2194" s="2589" t="str">
        <f>IFERROR(VLOOKUP(F2194,Trainingsarten!$A$9:$K$84,10,FALSE),"")</f>
        <v/>
      </c>
      <c r="I2194" s="2590" t="str">
        <f t="shared" ref="I2194:I2257" si="525">IFERROR(G2194/H2194,"")</f>
        <v/>
      </c>
      <c r="J2194" s="2591"/>
      <c r="K2194" s="2592" t="str">
        <f>IFERROR(VLOOKUP(F2194,Trainingsarten!$A$9:$K$84,11,FALSE),"0")</f>
        <v>0</v>
      </c>
      <c r="L2194" s="2815"/>
      <c r="M2194" s="2591"/>
      <c r="N2194" s="2593" t="str">
        <f t="shared" ref="N2194:N2257" si="526">IFERROR((L2194/67)/(1/(I2194*24)/3.6),"")</f>
        <v/>
      </c>
      <c r="O2194" s="2594"/>
      <c r="P2194" s="1919" t="str">
        <f>IFERROR(VLOOKUP(F2194,Trainingsarten!$A$9:$N$84,12,FALSE),"")</f>
        <v/>
      </c>
      <c r="Q2194" s="2461" t="s">
        <v>437</v>
      </c>
      <c r="R2194" s="3089" t="str">
        <f>IFERROR(VLOOKUP(F2194,Trainingsarten!$A$9:$N$84,14,FALSE),"")</f>
        <v/>
      </c>
      <c r="S2194" s="2595" t="str">
        <f t="shared" ref="S2194:S2257" si="527">IFERROR(L2194/J2194,"")</f>
        <v/>
      </c>
      <c r="T2194" s="2586">
        <f t="shared" ref="T2194:T2257" si="528">T2193+(K2194-T2193)/7</f>
        <v>9.2974371646674445</v>
      </c>
      <c r="U2194" s="2586">
        <f t="shared" ref="U2194:U2257" si="529">U2193+(K2194-U2193)/42</f>
        <v>10.072933538652796</v>
      </c>
      <c r="V2194" s="2586">
        <f t="shared" ref="V2194:V2257" si="530">U2193-T2193</f>
        <v>-0.52839518097175642</v>
      </c>
      <c r="W2194" s="3283">
        <f t="shared" ref="W2194:W2257" si="531">T2194/U2194</f>
        <v>0.92301186431841875</v>
      </c>
      <c r="X2194" s="3298"/>
      <c r="Y2194" s="3315" t="str">
        <f t="shared" si="524"/>
        <v/>
      </c>
      <c r="Z2194" s="1111">
        <f t="shared" si="514"/>
        <v>7.0718789710960586</v>
      </c>
      <c r="AA2194" s="1111">
        <f t="shared" si="515"/>
        <v>9.2857132753991074</v>
      </c>
      <c r="AB2194" s="2449">
        <f t="shared" si="516"/>
        <v>0.7615870489811245</v>
      </c>
    </row>
    <row r="2195" spans="1:28" x14ac:dyDescent="0.2">
      <c r="A2195" s="2934" t="s">
        <v>626</v>
      </c>
      <c r="B2195" s="3004">
        <f>SUM(H2194:H2200)</f>
        <v>14.05</v>
      </c>
      <c r="C2195" s="3252">
        <v>45293</v>
      </c>
      <c r="D2195" s="3090"/>
      <c r="E2195" s="3085"/>
      <c r="F2195" s="2759"/>
      <c r="G2195" s="3088"/>
      <c r="H2195" s="3093" t="str">
        <f>IFERROR(VLOOKUP(F2195,Trainingsarten!$A$9:$K$84,10,FALSE),"")</f>
        <v/>
      </c>
      <c r="I2195" s="3094" t="str">
        <f t="shared" si="525"/>
        <v/>
      </c>
      <c r="J2195" s="3095"/>
      <c r="K2195" s="3096" t="str">
        <f>IFERROR(VLOOKUP(F2195,Trainingsarten!$A$9:$K$84,11,FALSE),"0")</f>
        <v>0</v>
      </c>
      <c r="L2195" s="2816"/>
      <c r="M2195" s="3095"/>
      <c r="N2195" s="3097" t="str">
        <f t="shared" si="526"/>
        <v/>
      </c>
      <c r="O2195" s="3098"/>
      <c r="P2195" s="2897" t="str">
        <f>IFERROR(VLOOKUP(F2195,Trainingsarten!$A$9:$N$84,12,FALSE),"")</f>
        <v/>
      </c>
      <c r="Q2195" s="2898" t="s">
        <v>437</v>
      </c>
      <c r="R2195" s="3099" t="str">
        <f>IFERROR(VLOOKUP(F2195,Trainingsarten!$A$9:$N$84,14,FALSE),"")</f>
        <v/>
      </c>
      <c r="S2195" s="3100" t="str">
        <f t="shared" si="527"/>
        <v/>
      </c>
      <c r="T2195" s="3090">
        <f t="shared" si="528"/>
        <v>7.9692318554292383</v>
      </c>
      <c r="U2195" s="3090">
        <f t="shared" si="529"/>
        <v>9.8331017877324918</v>
      </c>
      <c r="V2195" s="3090">
        <f t="shared" si="530"/>
        <v>0.77549637398535154</v>
      </c>
      <c r="W2195" s="3284">
        <f t="shared" si="531"/>
        <v>0.81044944184056278</v>
      </c>
      <c r="X2195" s="3300"/>
      <c r="Y2195" s="3321" t="str">
        <f t="shared" si="524"/>
        <v/>
      </c>
      <c r="Z2195" s="2597">
        <f t="shared" si="514"/>
        <v>6.061610546653764</v>
      </c>
      <c r="AA2195" s="2597">
        <f t="shared" si="515"/>
        <v>9.0646248640800806</v>
      </c>
      <c r="AB2195" s="3325">
        <f t="shared" si="516"/>
        <v>0.66871057959318247</v>
      </c>
    </row>
    <row r="2196" spans="1:28" x14ac:dyDescent="0.2">
      <c r="A2196" s="2935" t="s">
        <v>628</v>
      </c>
      <c r="B2196" s="3005">
        <f>SUM(K2194:K2200)</f>
        <v>82</v>
      </c>
      <c r="C2196" s="3252">
        <v>45294</v>
      </c>
      <c r="D2196" s="3090">
        <v>1</v>
      </c>
      <c r="E2196" s="3085" t="s">
        <v>836</v>
      </c>
      <c r="F2196" s="2759" t="s">
        <v>943</v>
      </c>
      <c r="G2196" s="3088">
        <v>3.1319444444444448E-2</v>
      </c>
      <c r="H2196" s="3093">
        <v>8.1</v>
      </c>
      <c r="I2196" s="3094">
        <f t="shared" si="525"/>
        <v>3.8665980795610433E-3</v>
      </c>
      <c r="J2196" s="3095">
        <v>139</v>
      </c>
      <c r="K2196" s="3096">
        <v>48</v>
      </c>
      <c r="L2196" s="2816">
        <v>219</v>
      </c>
      <c r="M2196" s="3095">
        <v>32</v>
      </c>
      <c r="N2196" s="3097">
        <f t="shared" si="526"/>
        <v>1.0919734660033167</v>
      </c>
      <c r="O2196" s="3098" t="s">
        <v>1462</v>
      </c>
      <c r="P2196" s="2897">
        <f>IFERROR(VLOOKUP(F2196,Trainingsarten!$A$9:$N$84,12,FALSE),"")</f>
        <v>194.60000000000002</v>
      </c>
      <c r="Q2196" s="2898" t="s">
        <v>437</v>
      </c>
      <c r="R2196" s="3099">
        <f>IFERROR(VLOOKUP(F2196,Trainingsarten!$A$9:$N$84,14,FALSE),"")</f>
        <v>212.96</v>
      </c>
      <c r="S2196" s="3100">
        <f t="shared" si="527"/>
        <v>1.5755395683453237</v>
      </c>
      <c r="T2196" s="3090">
        <f t="shared" si="528"/>
        <v>13.687913018939348</v>
      </c>
      <c r="U2196" s="3090">
        <f t="shared" si="529"/>
        <v>10.741837459453146</v>
      </c>
      <c r="V2196" s="3090">
        <f t="shared" si="530"/>
        <v>1.8638699323032535</v>
      </c>
      <c r="W2196" s="3284">
        <f>T2196/U2196</f>
        <v>1.2742617890660377</v>
      </c>
      <c r="X2196" s="3300">
        <v>47</v>
      </c>
      <c r="Y2196" s="3321">
        <f t="shared" si="524"/>
        <v>0.97916666666666663</v>
      </c>
      <c r="Z2196" s="2597">
        <f t="shared" si="514"/>
        <v>11.909951897131798</v>
      </c>
      <c r="AA2196" s="2597">
        <f t="shared" si="515"/>
        <v>9.9678480816019839</v>
      </c>
      <c r="AB2196" s="3325">
        <f t="shared" si="516"/>
        <v>1.194836819304502</v>
      </c>
    </row>
    <row r="2197" spans="1:28" x14ac:dyDescent="0.2">
      <c r="A2197" s="2935" t="s">
        <v>761</v>
      </c>
      <c r="B2197" s="3006">
        <f>AVERAGE(W2194:W2200)</f>
        <v>1.0645821531714126</v>
      </c>
      <c r="C2197" s="3252">
        <v>45295</v>
      </c>
      <c r="D2197" s="3090"/>
      <c r="E2197" s="3085"/>
      <c r="F2197" s="2759"/>
      <c r="G2197" s="3088"/>
      <c r="H2197" s="3093" t="str">
        <f>IFERROR(VLOOKUP(F2197,Trainingsarten!$A$9:$K$84,10,FALSE),"")</f>
        <v/>
      </c>
      <c r="I2197" s="3094" t="str">
        <f t="shared" si="525"/>
        <v/>
      </c>
      <c r="J2197" s="3095"/>
      <c r="K2197" s="3096" t="str">
        <f>IFERROR(VLOOKUP(F2197,Trainingsarten!$A$9:$K$84,11,FALSE),"0")</f>
        <v>0</v>
      </c>
      <c r="L2197" s="2816"/>
      <c r="M2197" s="3095"/>
      <c r="N2197" s="3097" t="str">
        <f t="shared" si="526"/>
        <v/>
      </c>
      <c r="O2197" s="3098"/>
      <c r="P2197" s="2897" t="str">
        <f>IFERROR(VLOOKUP(F2197,Trainingsarten!$A$9:$N$84,12,FALSE),"")</f>
        <v/>
      </c>
      <c r="Q2197" s="2898" t="s">
        <v>437</v>
      </c>
      <c r="R2197" s="3099" t="str">
        <f>IFERROR(VLOOKUP(F2197,Trainingsarten!$A$9:$N$84,14,FALSE),"")</f>
        <v/>
      </c>
      <c r="S2197" s="3100" t="str">
        <f t="shared" si="527"/>
        <v/>
      </c>
      <c r="T2197" s="3090">
        <f t="shared" si="528"/>
        <v>11.732496873376585</v>
      </c>
      <c r="U2197" s="3090">
        <f t="shared" si="529"/>
        <v>10.486079424704261</v>
      </c>
      <c r="V2197" s="3090">
        <f t="shared" si="530"/>
        <v>-2.9460755594862018</v>
      </c>
      <c r="W2197" s="3284">
        <f t="shared" si="531"/>
        <v>1.1188640099116431</v>
      </c>
      <c r="X2197" s="3300"/>
      <c r="Y2197" s="3321" t="str">
        <f t="shared" si="524"/>
        <v/>
      </c>
      <c r="Z2197" s="2597">
        <f t="shared" si="514"/>
        <v>10.20853019754154</v>
      </c>
      <c r="AA2197" s="2597">
        <f t="shared" si="515"/>
        <v>9.7305183653733653</v>
      </c>
      <c r="AB2197" s="3325">
        <f t="shared" si="516"/>
        <v>1.0491250120722457</v>
      </c>
    </row>
    <row r="2198" spans="1:28" x14ac:dyDescent="0.2">
      <c r="A2198" s="2935" t="s">
        <v>979</v>
      </c>
      <c r="B2198" s="3131">
        <f>IFERROR(AVERAGE(N2194:N2200),"")</f>
        <v>1.0737805370904581</v>
      </c>
      <c r="C2198" s="3252">
        <v>45296</v>
      </c>
      <c r="D2198" s="3090"/>
      <c r="E2198" s="3085"/>
      <c r="F2198" s="2775"/>
      <c r="G2198" s="3088"/>
      <c r="H2198" s="3093" t="str">
        <f>IFERROR(VLOOKUP(F2198,Trainingsarten!$A$9:$K$84,10,FALSE),"")</f>
        <v/>
      </c>
      <c r="I2198" s="3094" t="str">
        <f t="shared" si="525"/>
        <v/>
      </c>
      <c r="J2198" s="3095"/>
      <c r="K2198" s="3096" t="str">
        <f>IFERROR(VLOOKUP(F2198,Trainingsarten!$A$9:$K$84,11,FALSE),"0")</f>
        <v>0</v>
      </c>
      <c r="L2198" s="2816"/>
      <c r="M2198" s="3095"/>
      <c r="N2198" s="3097" t="str">
        <f t="shared" si="526"/>
        <v/>
      </c>
      <c r="O2198" s="3098"/>
      <c r="P2198" s="2897" t="str">
        <f>IFERROR(VLOOKUP(F2198,Trainingsarten!$A$9:$N$84,12,FALSE),"")</f>
        <v/>
      </c>
      <c r="Q2198" s="2898" t="s">
        <v>437</v>
      </c>
      <c r="R2198" s="3099" t="str">
        <f>IFERROR(VLOOKUP(F2198,Trainingsarten!$A$9:$N$84,14,FALSE),"")</f>
        <v/>
      </c>
      <c r="S2198" s="3100" t="str">
        <f t="shared" si="527"/>
        <v/>
      </c>
      <c r="T2198" s="3090">
        <f t="shared" si="528"/>
        <v>10.056425891465643</v>
      </c>
      <c r="U2198" s="3090">
        <f t="shared" si="529"/>
        <v>10.236410866973207</v>
      </c>
      <c r="V2198" s="3090">
        <f t="shared" si="530"/>
        <v>-1.2464174486723234</v>
      </c>
      <c r="W2198" s="3284">
        <f t="shared" si="531"/>
        <v>0.98241717943461337</v>
      </c>
      <c r="X2198" s="3300"/>
      <c r="Y2198" s="3321" t="str">
        <f t="shared" si="524"/>
        <v/>
      </c>
      <c r="Z2198" s="2597">
        <f t="shared" si="514"/>
        <v>8.750168740749892</v>
      </c>
      <c r="AA2198" s="2597">
        <f t="shared" si="515"/>
        <v>9.498839356673999</v>
      </c>
      <c r="AB2198" s="3325">
        <f t="shared" si="516"/>
        <v>0.92118293742928903</v>
      </c>
    </row>
    <row r="2199" spans="1:28" x14ac:dyDescent="0.2">
      <c r="A2199" s="2935" t="s">
        <v>980</v>
      </c>
      <c r="B2199" s="3006">
        <f>IFERROR(AVERAGE(S2194:S2200),"")</f>
        <v>1.5320445933329672</v>
      </c>
      <c r="C2199" s="3252">
        <v>45297</v>
      </c>
      <c r="D2199" s="3090">
        <v>2</v>
      </c>
      <c r="E2199" s="3085" t="s">
        <v>835</v>
      </c>
      <c r="F2199" s="2889" t="s">
        <v>943</v>
      </c>
      <c r="G2199" s="3088">
        <v>2.4976851851851851E-2</v>
      </c>
      <c r="H2199" s="3093">
        <v>5.95</v>
      </c>
      <c r="I2199" s="3094">
        <f t="shared" si="525"/>
        <v>4.1977902272019915E-3</v>
      </c>
      <c r="J2199" s="3095">
        <v>131</v>
      </c>
      <c r="K2199" s="3096">
        <v>34</v>
      </c>
      <c r="L2199" s="2816">
        <v>195</v>
      </c>
      <c r="M2199" s="3095">
        <v>14</v>
      </c>
      <c r="N2199" s="3097">
        <f t="shared" si="526"/>
        <v>1.0555876081775994</v>
      </c>
      <c r="O2199" s="3098" t="s">
        <v>976</v>
      </c>
      <c r="P2199" s="2897">
        <f>IFERROR(VLOOKUP(F2199,Trainingsarten!$A$9:$N$84,12,FALSE),"")</f>
        <v>194.60000000000002</v>
      </c>
      <c r="Q2199" s="2898" t="s">
        <v>437</v>
      </c>
      <c r="R2199" s="3099">
        <f>IFERROR(VLOOKUP(F2199,Trainingsarten!$A$9:$N$84,14,FALSE),"")</f>
        <v>212.96</v>
      </c>
      <c r="S2199" s="3100">
        <f t="shared" si="527"/>
        <v>1.4885496183206106</v>
      </c>
      <c r="T2199" s="3090">
        <f t="shared" si="528"/>
        <v>13.476936478399123</v>
      </c>
      <c r="U2199" s="3090">
        <f t="shared" si="529"/>
        <v>10.80221060823575</v>
      </c>
      <c r="V2199" s="3090">
        <f t="shared" si="530"/>
        <v>0.17998497550756376</v>
      </c>
      <c r="W2199" s="3284">
        <f t="shared" si="531"/>
        <v>1.2476091206853648</v>
      </c>
      <c r="X2199" s="3300">
        <v>33</v>
      </c>
      <c r="Y2199" s="3321">
        <f t="shared" si="524"/>
        <v>0.97058823529411764</v>
      </c>
      <c r="Z2199" s="2597">
        <f t="shared" si="514"/>
        <v>12.214430349214194</v>
      </c>
      <c r="AA2199" s="2597">
        <f t="shared" si="515"/>
        <v>10.058390800562714</v>
      </c>
      <c r="AB2199" s="3325">
        <f t="shared" si="516"/>
        <v>1.2143523344241964</v>
      </c>
    </row>
    <row r="2200" spans="1:28" ht="16" thickBot="1" x14ac:dyDescent="0.25">
      <c r="A2200" s="2936" t="s">
        <v>183</v>
      </c>
      <c r="B2200" s="3003">
        <f>IFERROR(SUM(M2194:M2200),"")</f>
        <v>46</v>
      </c>
      <c r="C2200" s="3027">
        <v>45298</v>
      </c>
      <c r="D2200" s="1788"/>
      <c r="E2200" s="3198"/>
      <c r="F2200" s="2763"/>
      <c r="G2200" s="3189"/>
      <c r="H2200" s="2578" t="str">
        <f>IFERROR(VLOOKUP(F2200,Trainingsarten!$A$9:$K$84,10,FALSE),"")</f>
        <v/>
      </c>
      <c r="I2200" s="2579" t="str">
        <f t="shared" si="525"/>
        <v/>
      </c>
      <c r="J2200" s="2580"/>
      <c r="K2200" s="2581" t="str">
        <f>IFERROR(VLOOKUP(F2200,Trainingsarten!$A$9:$K$84,11,FALSE),"0")</f>
        <v>0</v>
      </c>
      <c r="L2200" s="3101"/>
      <c r="M2200" s="2580"/>
      <c r="N2200" s="2582" t="str">
        <f t="shared" si="526"/>
        <v/>
      </c>
      <c r="O2200" s="2583"/>
      <c r="P2200" s="3102" t="str">
        <f>IFERROR(VLOOKUP(F2200,Trainingsarten!$A$9:$N$84,12,FALSE),"")</f>
        <v/>
      </c>
      <c r="Q2200" s="3103" t="s">
        <v>437</v>
      </c>
      <c r="R2200" s="3104" t="str">
        <f>IFERROR(VLOOKUP(F2200,Trainingsarten!$A$9:$N$84,14,FALSE),"")</f>
        <v/>
      </c>
      <c r="S2200" s="2390" t="str">
        <f t="shared" si="527"/>
        <v/>
      </c>
      <c r="T2200" s="1788">
        <f t="shared" si="528"/>
        <v>11.55165983862782</v>
      </c>
      <c r="U2200" s="1788">
        <f t="shared" si="529"/>
        <v>10.545015117563471</v>
      </c>
      <c r="V2200" s="1788">
        <f t="shared" si="530"/>
        <v>-2.6747258701633729</v>
      </c>
      <c r="W2200" s="3293">
        <f t="shared" si="531"/>
        <v>1.0954616669432471</v>
      </c>
      <c r="X2200" s="3307"/>
      <c r="Y2200" s="3326" t="str">
        <f t="shared" si="524"/>
        <v/>
      </c>
      <c r="Z2200" s="3327">
        <f t="shared" si="514"/>
        <v>10.46951172789788</v>
      </c>
      <c r="AA2200" s="3327">
        <f t="shared" si="515"/>
        <v>9.8189053053112207</v>
      </c>
      <c r="AB2200" s="3328">
        <f t="shared" si="516"/>
        <v>1.0662605863236847</v>
      </c>
    </row>
    <row r="2201" spans="1:28" ht="16" thickBot="1" x14ac:dyDescent="0.25">
      <c r="A2201" s="3439">
        <f>WEEKNUM(C2201,1)</f>
        <v>2</v>
      </c>
      <c r="B2201" s="3440"/>
      <c r="C2201" s="3028">
        <v>45299</v>
      </c>
      <c r="D2201" s="2586">
        <v>3</v>
      </c>
      <c r="E2201" s="3084" t="s">
        <v>836</v>
      </c>
      <c r="F2201" s="2761" t="s">
        <v>1466</v>
      </c>
      <c r="G2201" s="3087">
        <v>2.8877314814814817E-2</v>
      </c>
      <c r="H2201" s="2589">
        <v>6.95</v>
      </c>
      <c r="I2201" s="2590">
        <f t="shared" si="525"/>
        <v>4.1550093258726356E-3</v>
      </c>
      <c r="J2201" s="2591">
        <v>124</v>
      </c>
      <c r="K2201" s="2592">
        <v>39</v>
      </c>
      <c r="L2201" s="2815">
        <v>196</v>
      </c>
      <c r="M2201" s="2591">
        <v>21</v>
      </c>
      <c r="N2201" s="2593">
        <f t="shared" si="526"/>
        <v>1.0501879093739936</v>
      </c>
      <c r="O2201" s="2594" t="s">
        <v>976</v>
      </c>
      <c r="P2201" s="1919">
        <f>IFERROR(VLOOKUP(F2201,Trainingsarten!$A$9:$N$84,12,FALSE),"")</f>
        <v>194.60000000000002</v>
      </c>
      <c r="Q2201" s="2461" t="s">
        <v>437</v>
      </c>
      <c r="R2201" s="3089">
        <f>IFERROR(VLOOKUP(F2201,Trainingsarten!$A$9:$N$84,14,FALSE),"")</f>
        <v>212.96</v>
      </c>
      <c r="S2201" s="2595">
        <f t="shared" si="527"/>
        <v>1.5806451612903225</v>
      </c>
      <c r="T2201" s="2586">
        <f t="shared" si="528"/>
        <v>15.472851290252418</v>
      </c>
      <c r="U2201" s="2586">
        <f t="shared" si="529"/>
        <v>11.222514757621484</v>
      </c>
      <c r="V2201" s="2586">
        <f t="shared" si="530"/>
        <v>-1.0066447210643492</v>
      </c>
      <c r="W2201" s="3283">
        <f t="shared" si="531"/>
        <v>1.3787329867171194</v>
      </c>
      <c r="X2201" s="3308">
        <v>37</v>
      </c>
      <c r="Y2201" s="3323">
        <f t="shared" si="524"/>
        <v>0.94871794871794868</v>
      </c>
      <c r="Z2201" s="2586">
        <f t="shared" si="514"/>
        <v>14.259581481055324</v>
      </c>
      <c r="AA2201" s="2586">
        <f t="shared" si="515"/>
        <v>10.466074226613335</v>
      </c>
      <c r="AB2201" s="2595">
        <f t="shared" si="516"/>
        <v>1.3624575148526834</v>
      </c>
    </row>
    <row r="2202" spans="1:28" x14ac:dyDescent="0.2">
      <c r="A2202" s="2934" t="s">
        <v>626</v>
      </c>
      <c r="B2202" s="3004">
        <f>SUM(H2201:H2207)</f>
        <v>18.599999999999998</v>
      </c>
      <c r="C2202" s="3252">
        <v>45300</v>
      </c>
      <c r="D2202" s="3090"/>
      <c r="E2202" s="3085"/>
      <c r="F2202" s="2759"/>
      <c r="G2202" s="3088"/>
      <c r="H2202" s="3093" t="str">
        <f>IFERROR(VLOOKUP(F2202,Trainingsarten!$A$9:$K$84,10,FALSE),"")</f>
        <v/>
      </c>
      <c r="I2202" s="3094" t="str">
        <f t="shared" si="525"/>
        <v/>
      </c>
      <c r="J2202" s="3095"/>
      <c r="K2202" s="3096" t="str">
        <f>IFERROR(VLOOKUP(F2202,Trainingsarten!$A$9:$K$84,11,FALSE),"0")</f>
        <v>0</v>
      </c>
      <c r="L2202" s="2816"/>
      <c r="M2202" s="3095"/>
      <c r="N2202" s="3097" t="str">
        <f t="shared" si="526"/>
        <v/>
      </c>
      <c r="O2202" s="3098"/>
      <c r="P2202" s="2897" t="str">
        <f>IFERROR(VLOOKUP(F2202,Trainingsarten!$A$9:$N$84,12,FALSE),"")</f>
        <v/>
      </c>
      <c r="Q2202" s="2898" t="s">
        <v>437</v>
      </c>
      <c r="R2202" s="3099" t="str">
        <f>IFERROR(VLOOKUP(F2202,Trainingsarten!$A$9:$N$84,14,FALSE),"")</f>
        <v/>
      </c>
      <c r="S2202" s="3100" t="str">
        <f t="shared" si="527"/>
        <v/>
      </c>
      <c r="T2202" s="3090">
        <f t="shared" si="528"/>
        <v>13.262443963073501</v>
      </c>
      <c r="U2202" s="3090">
        <f t="shared" si="529"/>
        <v>10.955312025297163</v>
      </c>
      <c r="V2202" s="3090">
        <f t="shared" si="530"/>
        <v>-4.2503365326309339</v>
      </c>
      <c r="W2202" s="3284">
        <f t="shared" si="531"/>
        <v>1.2105948176052757</v>
      </c>
      <c r="X2202" s="3300"/>
      <c r="Y2202" s="3321" t="str">
        <f t="shared" si="524"/>
        <v/>
      </c>
      <c r="Z2202" s="3312">
        <f t="shared" si="514"/>
        <v>12.222498412333135</v>
      </c>
      <c r="AA2202" s="3312">
        <f t="shared" si="515"/>
        <v>10.216881983122541</v>
      </c>
      <c r="AB2202" s="3325">
        <f t="shared" si="516"/>
        <v>1.1963041593828438</v>
      </c>
    </row>
    <row r="2203" spans="1:28" x14ac:dyDescent="0.2">
      <c r="A2203" s="2935" t="s">
        <v>628</v>
      </c>
      <c r="B2203" s="3005">
        <f>SUM(K2201:K2207)</f>
        <v>105</v>
      </c>
      <c r="C2203" s="3252">
        <v>45301</v>
      </c>
      <c r="D2203" s="3090">
        <v>4</v>
      </c>
      <c r="E2203" s="3085" t="s">
        <v>836</v>
      </c>
      <c r="F2203" s="2759" t="s">
        <v>1466</v>
      </c>
      <c r="G2203" s="3088">
        <v>2.4560185185185185E-2</v>
      </c>
      <c r="H2203" s="3093">
        <v>5.93</v>
      </c>
      <c r="I2203" s="3094">
        <f t="shared" si="525"/>
        <v>4.1416838423583785E-3</v>
      </c>
      <c r="J2203" s="3095">
        <v>141</v>
      </c>
      <c r="K2203" s="3096">
        <v>34</v>
      </c>
      <c r="L2203" s="2816">
        <v>198</v>
      </c>
      <c r="M2203" s="3095">
        <v>18</v>
      </c>
      <c r="N2203" s="3097">
        <f t="shared" si="526"/>
        <v>1.0575016989252726</v>
      </c>
      <c r="O2203" s="3098" t="s">
        <v>1500</v>
      </c>
      <c r="P2203" s="2897">
        <f>IFERROR(VLOOKUP(F2203,Trainingsarten!$A$9:$N$84,12,FALSE),"")</f>
        <v>194.60000000000002</v>
      </c>
      <c r="Q2203" s="2898" t="s">
        <v>437</v>
      </c>
      <c r="R2203" s="3099">
        <f>IFERROR(VLOOKUP(F2203,Trainingsarten!$A$9:$N$84,14,FALSE),"")</f>
        <v>212.96</v>
      </c>
      <c r="S2203" s="3100">
        <f>IFERROR(L2203/J2203,"")</f>
        <v>1.4042553191489362</v>
      </c>
      <c r="T2203" s="3090">
        <f t="shared" si="528"/>
        <v>16.224951968348716</v>
      </c>
      <c r="U2203" s="3090">
        <f t="shared" si="529"/>
        <v>11.503995072313897</v>
      </c>
      <c r="V2203" s="3090">
        <f t="shared" si="530"/>
        <v>-2.3071319377763384</v>
      </c>
      <c r="W2203" s="3284">
        <f t="shared" si="531"/>
        <v>1.4103754275240012</v>
      </c>
      <c r="X2203" s="3300">
        <v>32</v>
      </c>
      <c r="Y2203" s="3321">
        <f t="shared" si="524"/>
        <v>0.94117647058823528</v>
      </c>
      <c r="Z2203" s="3312">
        <f>Z2202+(X2203-Z2202)/7</f>
        <v>15.047855781999829</v>
      </c>
      <c r="AA2203" s="3312">
        <f>AA2202+(X2203-AA2202)/42</f>
        <v>10.735527650191052</v>
      </c>
      <c r="AB2203" s="3325">
        <f>Z2203/AA2203</f>
        <v>1.4016875809296652</v>
      </c>
    </row>
    <row r="2204" spans="1:28" x14ac:dyDescent="0.2">
      <c r="A2204" s="2935" t="s">
        <v>761</v>
      </c>
      <c r="B2204" s="3006">
        <f>AVERAGE(W2201:W2207)</f>
        <v>1.2099098310839742</v>
      </c>
      <c r="C2204" s="3252">
        <v>45302</v>
      </c>
      <c r="D2204" s="3090"/>
      <c r="E2204" s="3085"/>
      <c r="F2204" s="2759"/>
      <c r="G2204" s="3088"/>
      <c r="H2204" s="3093" t="str">
        <f>IFERROR(VLOOKUP(F2204,Trainingsarten!$A$9:$K$84,10,FALSE),"")</f>
        <v/>
      </c>
      <c r="I2204" s="3094" t="str">
        <f t="shared" si="525"/>
        <v/>
      </c>
      <c r="J2204" s="3095"/>
      <c r="K2204" s="3096" t="str">
        <f>IFERROR(VLOOKUP(F2204,Trainingsarten!$A$9:$K$84,11,FALSE),"0")</f>
        <v>0</v>
      </c>
      <c r="L2204" s="2816"/>
      <c r="M2204" s="3095"/>
      <c r="N2204" s="3097" t="str">
        <f t="shared" si="526"/>
        <v/>
      </c>
      <c r="O2204" s="3098"/>
      <c r="P2204" s="2897" t="str">
        <f>IFERROR(VLOOKUP(F2204,Trainingsarten!$A$9:$N$84,12,FALSE),"")</f>
        <v/>
      </c>
      <c r="Q2204" s="2898" t="s">
        <v>437</v>
      </c>
      <c r="R2204" s="3099" t="str">
        <f>IFERROR(VLOOKUP(F2204,Trainingsarten!$A$9:$N$84,14,FALSE),"")</f>
        <v/>
      </c>
      <c r="S2204" s="3100" t="str">
        <f t="shared" si="527"/>
        <v/>
      </c>
      <c r="T2204" s="3090">
        <f t="shared" si="528"/>
        <v>13.907101687156043</v>
      </c>
      <c r="U2204" s="3090">
        <f t="shared" si="529"/>
        <v>11.230090427734995</v>
      </c>
      <c r="V2204" s="3090">
        <f t="shared" si="530"/>
        <v>-4.7209568960348189</v>
      </c>
      <c r="W2204" s="3284">
        <f t="shared" si="531"/>
        <v>1.2383784241674158</v>
      </c>
      <c r="X2204" s="3300"/>
      <c r="Y2204" s="3321" t="str">
        <f t="shared" si="524"/>
        <v/>
      </c>
      <c r="Z2204" s="3312">
        <f t="shared" ref="Z2204:Z2267" si="532">Z2203+(X2204-Z2203)/7</f>
        <v>12.898162098856996</v>
      </c>
      <c r="AA2204" s="3312">
        <f t="shared" ref="AA2204:AA2267" si="533">AA2203+(X2204-AA2203)/42</f>
        <v>10.479919848996028</v>
      </c>
      <c r="AB2204" s="3325">
        <f t="shared" ref="AB2204:AB2267" si="534">Z2204/AA2204</f>
        <v>1.2307500710601937</v>
      </c>
    </row>
    <row r="2205" spans="1:28" x14ac:dyDescent="0.2">
      <c r="A2205" s="2935" t="s">
        <v>979</v>
      </c>
      <c r="B2205" s="3131">
        <f>IFERROR(AVERAGE(N2201:N2207),"")</f>
        <v>1.0628074361449837</v>
      </c>
      <c r="C2205" s="3252">
        <v>45303</v>
      </c>
      <c r="D2205" s="3090"/>
      <c r="E2205" s="3085"/>
      <c r="F2205" s="2775"/>
      <c r="G2205" s="3088"/>
      <c r="H2205" s="3093" t="str">
        <f>IFERROR(VLOOKUP(F2205,Trainingsarten!$A$9:$K$84,10,FALSE),"")</f>
        <v/>
      </c>
      <c r="I2205" s="3094" t="str">
        <f t="shared" si="525"/>
        <v/>
      </c>
      <c r="J2205" s="3095"/>
      <c r="K2205" s="3096" t="str">
        <f>IFERROR(VLOOKUP(F2205,Trainingsarten!$A$9:$K$84,11,FALSE),"0")</f>
        <v>0</v>
      </c>
      <c r="L2205" s="2816"/>
      <c r="M2205" s="3095"/>
      <c r="N2205" s="3097" t="str">
        <f t="shared" si="526"/>
        <v/>
      </c>
      <c r="O2205" s="3098"/>
      <c r="P2205" s="2897" t="str">
        <f>IFERROR(VLOOKUP(F2205,Trainingsarten!$A$9:$N$84,12,FALSE),"")</f>
        <v/>
      </c>
      <c r="Q2205" s="2898" t="s">
        <v>437</v>
      </c>
      <c r="R2205" s="3099" t="str">
        <f>IFERROR(VLOOKUP(F2205,Trainingsarten!$A$9:$N$84,14,FALSE),"")</f>
        <v/>
      </c>
      <c r="S2205" s="3100" t="str">
        <f t="shared" si="527"/>
        <v/>
      </c>
      <c r="T2205" s="3090">
        <f t="shared" si="528"/>
        <v>11.92037287470518</v>
      </c>
      <c r="U2205" s="3090">
        <f t="shared" si="529"/>
        <v>10.962707322312733</v>
      </c>
      <c r="V2205" s="3090">
        <f t="shared" si="530"/>
        <v>-2.6770112594210485</v>
      </c>
      <c r="W2205" s="3284">
        <f t="shared" si="531"/>
        <v>1.087356665122609</v>
      </c>
      <c r="X2205" s="3300"/>
      <c r="Y2205" s="3321" t="str">
        <f t="shared" si="524"/>
        <v/>
      </c>
      <c r="Z2205" s="3312">
        <f t="shared" si="532"/>
        <v>11.055567513305997</v>
      </c>
      <c r="AA2205" s="3312">
        <f t="shared" si="533"/>
        <v>10.230397947829456</v>
      </c>
      <c r="AB2205" s="3325">
        <f t="shared" si="534"/>
        <v>1.0806585989796824</v>
      </c>
    </row>
    <row r="2206" spans="1:28" x14ac:dyDescent="0.2">
      <c r="A2206" s="2935" t="s">
        <v>980</v>
      </c>
      <c r="B2206" s="3006">
        <f>IFERROR(AVERAGE(S2201:S2207),"")</f>
        <v>1.4565052883515477</v>
      </c>
      <c r="C2206" s="3252">
        <v>45304</v>
      </c>
      <c r="D2206" s="3090"/>
      <c r="E2206" s="3085"/>
      <c r="F2206" s="2889"/>
      <c r="G2206" s="3088"/>
      <c r="H2206" s="3093"/>
      <c r="I2206" s="3094" t="str">
        <f t="shared" si="525"/>
        <v/>
      </c>
      <c r="J2206" s="3095"/>
      <c r="K2206" s="3096" t="str">
        <f>IFERROR(VLOOKUP(F2206,Trainingsarten!$A$9:$K$84,11,FALSE),"0")</f>
        <v>0</v>
      </c>
      <c r="L2206" s="2816"/>
      <c r="M2206" s="3095"/>
      <c r="N2206" s="3097" t="str">
        <f t="shared" si="526"/>
        <v/>
      </c>
      <c r="O2206" s="3098"/>
      <c r="P2206" s="2897" t="str">
        <f>IFERROR(VLOOKUP(F2206,Trainingsarten!$A$9:$N$84,12,FALSE),"")</f>
        <v/>
      </c>
      <c r="Q2206" s="2898" t="s">
        <v>437</v>
      </c>
      <c r="R2206" s="3099" t="str">
        <f>IFERROR(VLOOKUP(F2206,Trainingsarten!$A$9:$N$84,14,FALSE),"")</f>
        <v/>
      </c>
      <c r="S2206" s="3100" t="str">
        <f t="shared" si="527"/>
        <v/>
      </c>
      <c r="T2206" s="3090">
        <f t="shared" si="528"/>
        <v>10.217462464033011</v>
      </c>
      <c r="U2206" s="3090">
        <f t="shared" si="529"/>
        <v>10.701690481305286</v>
      </c>
      <c r="V2206" s="3090">
        <f t="shared" si="530"/>
        <v>-0.95766555239244688</v>
      </c>
      <c r="W2206" s="3284">
        <f t="shared" si="531"/>
        <v>0.95475219376619325</v>
      </c>
      <c r="X2206" s="3300"/>
      <c r="Y2206" s="3321" t="str">
        <f t="shared" si="524"/>
        <v/>
      </c>
      <c r="Z2206" s="3312">
        <f t="shared" si="532"/>
        <v>9.4762007256908536</v>
      </c>
      <c r="AA2206" s="3312">
        <f t="shared" si="533"/>
        <v>9.9868170443097064</v>
      </c>
      <c r="AB2206" s="3325">
        <f t="shared" si="534"/>
        <v>0.94887096495776979</v>
      </c>
    </row>
    <row r="2207" spans="1:28" ht="16" thickBot="1" x14ac:dyDescent="0.25">
      <c r="A2207" s="2936" t="s">
        <v>183</v>
      </c>
      <c r="B2207" s="3003">
        <f>IFERROR(SUM(M2201:M2207),"")</f>
        <v>57</v>
      </c>
      <c r="C2207" s="3027">
        <v>45305</v>
      </c>
      <c r="D2207" s="1788">
        <v>5</v>
      </c>
      <c r="E2207" s="1789" t="s">
        <v>835</v>
      </c>
      <c r="F2207" s="2763" t="s">
        <v>943</v>
      </c>
      <c r="G2207" s="2577">
        <v>2.6631944444444444E-2</v>
      </c>
      <c r="H2207" s="2578">
        <v>5.72</v>
      </c>
      <c r="I2207" s="2579">
        <f t="shared" si="525"/>
        <v>4.6559343434343439E-3</v>
      </c>
      <c r="J2207" s="2580">
        <v>130</v>
      </c>
      <c r="K2207" s="2581">
        <v>32</v>
      </c>
      <c r="L2207" s="3101">
        <v>180</v>
      </c>
      <c r="M2207" s="2580">
        <v>18</v>
      </c>
      <c r="N2207" s="2582">
        <f t="shared" si="526"/>
        <v>1.0807327001356855</v>
      </c>
      <c r="O2207" s="2583" t="s">
        <v>1501</v>
      </c>
      <c r="P2207" s="3102">
        <f>IFERROR(VLOOKUP(F2207,Trainingsarten!$A$9:$N$84,12,FALSE),"")</f>
        <v>194.60000000000002</v>
      </c>
      <c r="Q2207" s="3103" t="s">
        <v>437</v>
      </c>
      <c r="R2207" s="3104">
        <f>IFERROR(VLOOKUP(F2207,Trainingsarten!$A$9:$N$84,14,FALSE),"")</f>
        <v>212.96</v>
      </c>
      <c r="S2207" s="2390">
        <f t="shared" si="527"/>
        <v>1.3846153846153846</v>
      </c>
      <c r="T2207" s="1788">
        <f t="shared" si="528"/>
        <v>13.329253540599723</v>
      </c>
      <c r="U2207" s="1788">
        <f t="shared" si="529"/>
        <v>11.208793088893255</v>
      </c>
      <c r="V2207" s="1788">
        <f t="shared" si="530"/>
        <v>0.48422801727227593</v>
      </c>
      <c r="W2207" s="3293">
        <f t="shared" si="531"/>
        <v>1.1891783026852036</v>
      </c>
      <c r="X2207" s="3309">
        <v>26</v>
      </c>
      <c r="Y2207" s="3322">
        <f t="shared" si="524"/>
        <v>0.8125</v>
      </c>
      <c r="Z2207" s="3314">
        <f t="shared" si="532"/>
        <v>11.836743479163589</v>
      </c>
      <c r="AA2207" s="3314">
        <f t="shared" si="533"/>
        <v>10.368083305159475</v>
      </c>
      <c r="AB2207" s="2846">
        <f t="shared" si="534"/>
        <v>1.1416520422123986</v>
      </c>
    </row>
    <row r="2208" spans="1:28" ht="16" thickBot="1" x14ac:dyDescent="0.25">
      <c r="A2208" s="3439">
        <f>WEEKNUM(C2208,1)</f>
        <v>3</v>
      </c>
      <c r="B2208" s="3440"/>
      <c r="C2208" s="3028">
        <v>45306</v>
      </c>
      <c r="D2208" s="2586">
        <v>6</v>
      </c>
      <c r="E2208" s="2587" t="s">
        <v>836</v>
      </c>
      <c r="F2208" s="2761" t="s">
        <v>944</v>
      </c>
      <c r="G2208" s="2588">
        <v>2.3136574074074077E-2</v>
      </c>
      <c r="H2208" s="2589">
        <v>5.34</v>
      </c>
      <c r="I2208" s="2590">
        <f t="shared" si="525"/>
        <v>4.3326917741711756E-3</v>
      </c>
      <c r="J2208" s="2591">
        <v>121</v>
      </c>
      <c r="K2208" s="2592">
        <v>30</v>
      </c>
      <c r="L2208" s="2815">
        <v>190</v>
      </c>
      <c r="M2208" s="2591">
        <v>20</v>
      </c>
      <c r="N2208" s="2593">
        <f t="shared" si="526"/>
        <v>1.0615741517133437</v>
      </c>
      <c r="O2208" s="2594" t="s">
        <v>1501</v>
      </c>
      <c r="P2208" s="1919">
        <f>IFERROR(VLOOKUP(F2208,Trainingsarten!$A$9:$N$84,12,FALSE),"")</f>
        <v>194.60000000000002</v>
      </c>
      <c r="Q2208" s="2461" t="s">
        <v>437</v>
      </c>
      <c r="R2208" s="3089">
        <f>IFERROR(VLOOKUP(F2208,Trainingsarten!$A$9:$N$84,14,FALSE),"")</f>
        <v>212.96</v>
      </c>
      <c r="S2208" s="2595">
        <f t="shared" si="527"/>
        <v>1.5702479338842976</v>
      </c>
      <c r="T2208" s="2586">
        <f t="shared" si="528"/>
        <v>15.710788749085477</v>
      </c>
      <c r="U2208" s="2586">
        <f t="shared" si="529"/>
        <v>11.65620277725294</v>
      </c>
      <c r="V2208" s="2586">
        <f t="shared" si="530"/>
        <v>-2.1204604517064674</v>
      </c>
      <c r="W2208" s="3283">
        <f t="shared" si="531"/>
        <v>1.347847926920511</v>
      </c>
      <c r="X2208" s="3298">
        <v>27</v>
      </c>
      <c r="Y2208" s="3315">
        <f t="shared" si="524"/>
        <v>0.9</v>
      </c>
      <c r="Z2208" s="1111">
        <f t="shared" si="532"/>
        <v>14.00292298214022</v>
      </c>
      <c r="AA2208" s="1111">
        <f t="shared" si="533"/>
        <v>10.764081321703298</v>
      </c>
      <c r="AB2208" s="2449">
        <f t="shared" si="534"/>
        <v>1.3008934588692247</v>
      </c>
    </row>
    <row r="2209" spans="1:28" x14ac:dyDescent="0.2">
      <c r="A2209" s="2934" t="s">
        <v>626</v>
      </c>
      <c r="B2209" s="3004">
        <f>SUM(H2208:H2214)</f>
        <v>20.790711356530842</v>
      </c>
      <c r="C2209" s="3252">
        <v>45307</v>
      </c>
      <c r="D2209" s="3090"/>
      <c r="E2209" s="3091"/>
      <c r="F2209" s="2759"/>
      <c r="G2209" s="3092"/>
      <c r="H2209" s="3093" t="str">
        <f>IFERROR(VLOOKUP(F2209,Trainingsarten!$A$9:$K$84,10,FALSE),"")</f>
        <v/>
      </c>
      <c r="I2209" s="3094" t="str">
        <f t="shared" si="525"/>
        <v/>
      </c>
      <c r="J2209" s="3095"/>
      <c r="K2209" s="3096" t="str">
        <f>IFERROR(VLOOKUP(F2209,Trainingsarten!$A$9:$K$84,11,FALSE),"0")</f>
        <v>0</v>
      </c>
      <c r="L2209" s="2816"/>
      <c r="M2209" s="3095"/>
      <c r="N2209" s="3097" t="str">
        <f t="shared" si="526"/>
        <v/>
      </c>
      <c r="O2209" s="3098"/>
      <c r="P2209" s="2897" t="str">
        <f>IFERROR(VLOOKUP(F2209,Trainingsarten!$A$9:$N$84,12,FALSE),"")</f>
        <v/>
      </c>
      <c r="Q2209" s="2898" t="s">
        <v>437</v>
      </c>
      <c r="R2209" s="3099" t="str">
        <f>IFERROR(VLOOKUP(F2209,Trainingsarten!$A$9:$N$84,14,FALSE),"")</f>
        <v/>
      </c>
      <c r="S2209" s="3100" t="str">
        <f t="shared" si="527"/>
        <v/>
      </c>
      <c r="T2209" s="3090">
        <f t="shared" si="528"/>
        <v>13.46639035635898</v>
      </c>
      <c r="U2209" s="3090">
        <f t="shared" si="529"/>
        <v>11.378674139699298</v>
      </c>
      <c r="V2209" s="3090">
        <f t="shared" si="530"/>
        <v>-4.0545859718325374</v>
      </c>
      <c r="W2209" s="3284">
        <f t="shared" si="531"/>
        <v>1.1834762285155707</v>
      </c>
      <c r="X2209" s="3300"/>
      <c r="Y2209" s="3316" t="str">
        <f t="shared" si="524"/>
        <v/>
      </c>
      <c r="Z2209" s="2597">
        <f t="shared" si="532"/>
        <v>12.002505413263044</v>
      </c>
      <c r="AA2209" s="2597">
        <f t="shared" si="533"/>
        <v>10.507793671186553</v>
      </c>
      <c r="AB2209" s="3325">
        <f t="shared" si="534"/>
        <v>1.1422479151046849</v>
      </c>
    </row>
    <row r="2210" spans="1:28" x14ac:dyDescent="0.2">
      <c r="A2210" s="2935" t="s">
        <v>628</v>
      </c>
      <c r="B2210" s="3005">
        <f>SUM(K2208:K2214)</f>
        <v>119</v>
      </c>
      <c r="C2210" s="3252">
        <v>45308</v>
      </c>
      <c r="D2210" s="3090">
        <v>7</v>
      </c>
      <c r="E2210" s="3091" t="s">
        <v>836</v>
      </c>
      <c r="F2210" s="2759" t="s">
        <v>944</v>
      </c>
      <c r="G2210" s="3092">
        <v>2.3182870370370371E-2</v>
      </c>
      <c r="H2210" s="3093">
        <v>5.48</v>
      </c>
      <c r="I2210" s="3094">
        <f t="shared" si="525"/>
        <v>4.2304507975128407E-3</v>
      </c>
      <c r="J2210" s="3095">
        <v>130</v>
      </c>
      <c r="K2210" s="3096">
        <v>32</v>
      </c>
      <c r="L2210" s="2816">
        <v>198</v>
      </c>
      <c r="M2210" s="3095">
        <v>25</v>
      </c>
      <c r="N2210" s="3097">
        <f t="shared" si="526"/>
        <v>1.0801666848240548</v>
      </c>
      <c r="O2210" s="3098" t="s">
        <v>1465</v>
      </c>
      <c r="P2210" s="2897">
        <f>IFERROR(VLOOKUP(F2210,Trainingsarten!$A$9:$N$84,12,FALSE),"")</f>
        <v>194.60000000000002</v>
      </c>
      <c r="Q2210" s="2898" t="s">
        <v>437</v>
      </c>
      <c r="R2210" s="3099">
        <f>IFERROR(VLOOKUP(F2210,Trainingsarten!$A$9:$N$84,14,FALSE),"")</f>
        <v>212.96</v>
      </c>
      <c r="S2210" s="3100">
        <f t="shared" si="527"/>
        <v>1.523076923076923</v>
      </c>
      <c r="T2210" s="3090">
        <f t="shared" si="528"/>
        <v>16.114048876879124</v>
      </c>
      <c r="U2210" s="3090">
        <f t="shared" si="529"/>
        <v>11.869658088754075</v>
      </c>
      <c r="V2210" s="3090">
        <f t="shared" si="530"/>
        <v>-2.0877162166596825</v>
      </c>
      <c r="W2210" s="3284">
        <f t="shared" si="531"/>
        <v>1.3575832392464955</v>
      </c>
      <c r="X2210" s="3300">
        <v>36</v>
      </c>
      <c r="Y2210" s="3316">
        <f t="shared" si="524"/>
        <v>1.125</v>
      </c>
      <c r="Z2210" s="2597">
        <f t="shared" si="532"/>
        <v>15.430718925654038</v>
      </c>
      <c r="AA2210" s="2597">
        <f t="shared" si="533"/>
        <v>11.11475096472973</v>
      </c>
      <c r="AB2210" s="3325">
        <f t="shared" si="534"/>
        <v>1.3883099112719757</v>
      </c>
    </row>
    <row r="2211" spans="1:28" x14ac:dyDescent="0.2">
      <c r="A2211" s="2935" t="s">
        <v>761</v>
      </c>
      <c r="B2211" s="3006">
        <f>AVERAGE(W2208:W2214)</f>
        <v>1.3145185773502566</v>
      </c>
      <c r="C2211" s="3252">
        <v>45309</v>
      </c>
      <c r="D2211" s="3090">
        <v>8</v>
      </c>
      <c r="E2211" s="3091" t="s">
        <v>836</v>
      </c>
      <c r="F2211" s="2759" t="s">
        <v>627</v>
      </c>
      <c r="G2211" s="3092">
        <v>1.3356481481481483E-2</v>
      </c>
      <c r="H2211" s="3093">
        <v>3.19</v>
      </c>
      <c r="I2211" s="3094">
        <f t="shared" si="525"/>
        <v>4.1869847904330666E-3</v>
      </c>
      <c r="J2211" s="3095">
        <v>146</v>
      </c>
      <c r="K2211" s="3096">
        <v>25</v>
      </c>
      <c r="L2211" s="2816">
        <v>193</v>
      </c>
      <c r="M2211" s="3095">
        <v>0</v>
      </c>
      <c r="N2211" s="3097">
        <f t="shared" si="526"/>
        <v>1.0420717727974547</v>
      </c>
      <c r="O2211" s="3098" t="s">
        <v>1500</v>
      </c>
      <c r="P2211" s="2897">
        <f>IFERROR(VLOOKUP(F2211,Trainingsarten!$A$9:$N$84,12,FALSE),"")</f>
        <v>279.53100000000006</v>
      </c>
      <c r="Q2211" s="2898" t="s">
        <v>437</v>
      </c>
      <c r="R2211" s="3099">
        <f>IFERROR(VLOOKUP(F2211,Trainingsarten!$A$9:$N$84,14,FALSE),"")</f>
        <v>306.15300000000002</v>
      </c>
      <c r="S2211" s="3100">
        <f t="shared" si="527"/>
        <v>1.321917808219178</v>
      </c>
      <c r="T2211" s="3090">
        <f t="shared" si="528"/>
        <v>17.383470465896391</v>
      </c>
      <c r="U2211" s="3090">
        <f t="shared" si="529"/>
        <v>12.182285277117074</v>
      </c>
      <c r="V2211" s="3090">
        <f t="shared" si="530"/>
        <v>-4.2443907881250489</v>
      </c>
      <c r="W2211" s="3284">
        <f t="shared" si="531"/>
        <v>1.4269465925698772</v>
      </c>
      <c r="X2211" s="3300">
        <v>26</v>
      </c>
      <c r="Y2211" s="3316">
        <f t="shared" si="524"/>
        <v>1.04</v>
      </c>
      <c r="Z2211" s="2597">
        <f t="shared" si="532"/>
        <v>16.940616221989174</v>
      </c>
      <c r="AA2211" s="2597">
        <f t="shared" si="533"/>
        <v>11.469161656045689</v>
      </c>
      <c r="AB2211" s="3325">
        <f t="shared" si="534"/>
        <v>1.4770579341393573</v>
      </c>
    </row>
    <row r="2212" spans="1:28" x14ac:dyDescent="0.2">
      <c r="A2212" s="2935" t="s">
        <v>979</v>
      </c>
      <c r="B2212" s="3131">
        <f>IFERROR(AVERAGE(N2208:N2214),"")</f>
        <v>1.0612708697782844</v>
      </c>
      <c r="C2212" s="3252">
        <v>45310</v>
      </c>
      <c r="D2212" s="3090"/>
      <c r="E2212" s="3091"/>
      <c r="F2212" s="2775"/>
      <c r="G2212" s="3092"/>
      <c r="H2212" s="3093" t="str">
        <f>IFERROR(VLOOKUP(F2212,Trainingsarten!$A$9:$K$84,10,FALSE),"")</f>
        <v/>
      </c>
      <c r="I2212" s="3094" t="str">
        <f t="shared" si="525"/>
        <v/>
      </c>
      <c r="J2212" s="3095"/>
      <c r="K2212" s="3096" t="str">
        <f>IFERROR(VLOOKUP(F2212,Trainingsarten!$A$9:$K$84,11,FALSE),"0")</f>
        <v>0</v>
      </c>
      <c r="L2212" s="2816"/>
      <c r="M2212" s="3095"/>
      <c r="N2212" s="3097" t="str">
        <f t="shared" si="526"/>
        <v/>
      </c>
      <c r="O2212" s="3098"/>
      <c r="P2212" s="2897" t="str">
        <f>IFERROR(VLOOKUP(F2212,Trainingsarten!$A$9:$N$84,12,FALSE),"")</f>
        <v/>
      </c>
      <c r="Q2212" s="2898" t="s">
        <v>437</v>
      </c>
      <c r="R2212" s="3099" t="str">
        <f>IFERROR(VLOOKUP(F2212,Trainingsarten!$A$9:$N$84,14,FALSE),"")</f>
        <v/>
      </c>
      <c r="S2212" s="3100" t="str">
        <f t="shared" si="527"/>
        <v/>
      </c>
      <c r="T2212" s="3090">
        <f t="shared" si="528"/>
        <v>14.900117542196906</v>
      </c>
      <c r="U2212" s="3090">
        <f t="shared" si="529"/>
        <v>11.892230865757144</v>
      </c>
      <c r="V2212" s="3090">
        <f t="shared" si="530"/>
        <v>-5.2011851887793163</v>
      </c>
      <c r="W2212" s="3284">
        <f t="shared" si="531"/>
        <v>1.2529287154272091</v>
      </c>
      <c r="X2212" s="3300"/>
      <c r="Y2212" s="3316" t="str">
        <f t="shared" si="524"/>
        <v/>
      </c>
      <c r="Z2212" s="2597">
        <f t="shared" si="532"/>
        <v>14.520528190276435</v>
      </c>
      <c r="AA2212" s="2597">
        <f t="shared" si="533"/>
        <v>11.196086378520791</v>
      </c>
      <c r="AB2212" s="3325">
        <f t="shared" si="534"/>
        <v>1.2969289177808991</v>
      </c>
    </row>
    <row r="2213" spans="1:28" x14ac:dyDescent="0.2">
      <c r="A2213" s="2935" t="s">
        <v>980</v>
      </c>
      <c r="B2213" s="3006">
        <f>IFERROR(AVERAGE(S2208:S2214),"")</f>
        <v>1.4717475550601329</v>
      </c>
      <c r="C2213" s="3252">
        <v>45311</v>
      </c>
      <c r="D2213" s="3090">
        <v>9</v>
      </c>
      <c r="E2213" s="3091"/>
      <c r="F2213" s="2889" t="s">
        <v>1466</v>
      </c>
      <c r="G2213" s="3092"/>
      <c r="H2213" s="3093">
        <f>IFERROR(VLOOKUP(F2213,Trainingsarten!$A$9:$K$84,10,FALSE),"")</f>
        <v>6.7807113565308406</v>
      </c>
      <c r="I2213" s="3094">
        <f t="shared" si="525"/>
        <v>0</v>
      </c>
      <c r="J2213" s="3095"/>
      <c r="K2213" s="3096">
        <v>32</v>
      </c>
      <c r="L2213" s="2816"/>
      <c r="M2213" s="3095"/>
      <c r="N2213" s="3097" t="str">
        <f t="shared" si="526"/>
        <v/>
      </c>
      <c r="O2213" s="3098" t="s">
        <v>1501</v>
      </c>
      <c r="P2213" s="2897">
        <f>IFERROR(VLOOKUP(F2213,Trainingsarten!$A$9:$N$84,12,FALSE),"")</f>
        <v>194.60000000000002</v>
      </c>
      <c r="Q2213" s="2898" t="s">
        <v>437</v>
      </c>
      <c r="R2213" s="3099">
        <f>IFERROR(VLOOKUP(F2213,Trainingsarten!$A$9:$N$84,14,FALSE),"")</f>
        <v>212.96</v>
      </c>
      <c r="S2213" s="3100" t="str">
        <f t="shared" si="527"/>
        <v/>
      </c>
      <c r="T2213" s="3090">
        <f t="shared" si="528"/>
        <v>17.342957893311635</v>
      </c>
      <c r="U2213" s="3090">
        <f t="shared" si="529"/>
        <v>12.370987273715308</v>
      </c>
      <c r="V2213" s="3090">
        <f t="shared" si="530"/>
        <v>-3.007886676439762</v>
      </c>
      <c r="W2213" s="3284">
        <f t="shared" si="531"/>
        <v>1.4019057258397067</v>
      </c>
      <c r="X2213" s="3300">
        <v>27</v>
      </c>
      <c r="Y2213" s="3316">
        <f t="shared" si="524"/>
        <v>0.84375</v>
      </c>
      <c r="Z2213" s="2597">
        <f t="shared" si="532"/>
        <v>16.303309877379803</v>
      </c>
      <c r="AA2213" s="2597">
        <f t="shared" si="533"/>
        <v>11.572370036175057</v>
      </c>
      <c r="AB2213" s="3325">
        <f t="shared" si="534"/>
        <v>1.4088133914155785</v>
      </c>
    </row>
    <row r="2214" spans="1:28" ht="16" thickBot="1" x14ac:dyDescent="0.25">
      <c r="A2214" s="2936" t="s">
        <v>183</v>
      </c>
      <c r="B2214" s="3003">
        <f>IFERROR(SUM(M2208:M2214),"")</f>
        <v>45</v>
      </c>
      <c r="C2214" s="3027">
        <v>45312</v>
      </c>
      <c r="D2214" s="1788"/>
      <c r="E2214" s="1789"/>
      <c r="F2214" s="2763"/>
      <c r="G2214" s="2577"/>
      <c r="H2214" s="2578" t="str">
        <f>IFERROR(VLOOKUP(F2214,Trainingsarten!$A$9:$K$84,10,FALSE),"")</f>
        <v/>
      </c>
      <c r="I2214" s="2579" t="str">
        <f t="shared" si="525"/>
        <v/>
      </c>
      <c r="J2214" s="2580"/>
      <c r="K2214" s="2581" t="str">
        <f>IFERROR(VLOOKUP(F2214,Trainingsarten!$A$9:$K$84,11,FALSE),"0")</f>
        <v>0</v>
      </c>
      <c r="L2214" s="3101"/>
      <c r="M2214" s="2580"/>
      <c r="N2214" s="2582" t="str">
        <f t="shared" si="526"/>
        <v/>
      </c>
      <c r="O2214" s="2583"/>
      <c r="P2214" s="3102" t="str">
        <f>IFERROR(VLOOKUP(F2214,Trainingsarten!$A$9:$N$84,12,FALSE),"")</f>
        <v/>
      </c>
      <c r="Q2214" s="3103" t="s">
        <v>437</v>
      </c>
      <c r="R2214" s="3104" t="str">
        <f>IFERROR(VLOOKUP(F2214,Trainingsarten!$A$9:$N$84,14,FALSE),"")</f>
        <v/>
      </c>
      <c r="S2214" s="2390" t="str">
        <f t="shared" si="527"/>
        <v/>
      </c>
      <c r="T2214" s="1788">
        <f t="shared" si="528"/>
        <v>14.865392479981402</v>
      </c>
      <c r="U2214" s="1788">
        <f t="shared" si="529"/>
        <v>12.076439957674467</v>
      </c>
      <c r="V2214" s="1788">
        <f t="shared" si="530"/>
        <v>-4.9719706195963269</v>
      </c>
      <c r="W2214" s="3293">
        <f t="shared" si="531"/>
        <v>1.2309416129324258</v>
      </c>
      <c r="X2214" s="3307"/>
      <c r="Y2214" s="3326" t="str">
        <f t="shared" si="524"/>
        <v/>
      </c>
      <c r="Z2214" s="3327">
        <f t="shared" si="532"/>
        <v>13.974265609182687</v>
      </c>
      <c r="AA2214" s="3327">
        <f t="shared" si="533"/>
        <v>11.296837416266127</v>
      </c>
      <c r="AB2214" s="3328">
        <f t="shared" si="534"/>
        <v>1.2370068802673371</v>
      </c>
    </row>
    <row r="2215" spans="1:28" ht="16" thickBot="1" x14ac:dyDescent="0.25">
      <c r="A2215" s="3439">
        <f>WEEKNUM(C2215,1)</f>
        <v>4</v>
      </c>
      <c r="B2215" s="3440"/>
      <c r="C2215" s="3028">
        <v>45313</v>
      </c>
      <c r="D2215" s="2586"/>
      <c r="E2215" s="2587"/>
      <c r="F2215" s="2761" t="s">
        <v>944</v>
      </c>
      <c r="G2215" s="2588"/>
      <c r="H2215" s="2589">
        <f>IFERROR(VLOOKUP(F2215,Trainingsarten!$A$9:$K$84,10,FALSE),"")</f>
        <v>5.0855335173981304</v>
      </c>
      <c r="I2215" s="2590">
        <f t="shared" si="525"/>
        <v>0</v>
      </c>
      <c r="J2215" s="2591"/>
      <c r="K2215" s="2592">
        <f>IFERROR(VLOOKUP(F2215,Trainingsarten!$A$9:$K$84,11,FALSE),"0")</f>
        <v>36.125</v>
      </c>
      <c r="L2215" s="2815"/>
      <c r="M2215" s="2591"/>
      <c r="N2215" s="2593" t="str">
        <f t="shared" si="526"/>
        <v/>
      </c>
      <c r="O2215" s="2594" t="s">
        <v>1462</v>
      </c>
      <c r="P2215" s="1919">
        <f>IFERROR(VLOOKUP(F2215,Trainingsarten!$A$9:$N$84,12,FALSE),"")</f>
        <v>194.60000000000002</v>
      </c>
      <c r="Q2215" s="2461" t="s">
        <v>437</v>
      </c>
      <c r="R2215" s="3089">
        <f>IFERROR(VLOOKUP(F2215,Trainingsarten!$A$9:$N$84,14,FALSE),"")</f>
        <v>212.96</v>
      </c>
      <c r="S2215" s="2595" t="str">
        <f t="shared" si="527"/>
        <v/>
      </c>
      <c r="T2215" s="2586">
        <f t="shared" si="528"/>
        <v>17.902479268555489</v>
      </c>
      <c r="U2215" s="2586">
        <f t="shared" si="529"/>
        <v>12.649024720586979</v>
      </c>
      <c r="V2215" s="2586">
        <f t="shared" si="530"/>
        <v>-2.7889525223069356</v>
      </c>
      <c r="W2215" s="3283">
        <f t="shared" si="531"/>
        <v>1.415324870020866</v>
      </c>
      <c r="X2215" s="3308">
        <v>21</v>
      </c>
      <c r="Y2215" s="3323">
        <f t="shared" si="524"/>
        <v>0.58131487889273359</v>
      </c>
      <c r="Z2215" s="2586">
        <f t="shared" si="532"/>
        <v>14.977941950728018</v>
      </c>
      <c r="AA2215" s="2586">
        <f t="shared" si="533"/>
        <v>11.527865096831219</v>
      </c>
      <c r="AB2215" s="2595">
        <f t="shared" si="534"/>
        <v>1.2992815083206652</v>
      </c>
    </row>
    <row r="2216" spans="1:28" x14ac:dyDescent="0.2">
      <c r="A2216" s="2934" t="s">
        <v>626</v>
      </c>
      <c r="B2216" s="3004">
        <f>SUM(H2215:H2221)</f>
        <v>30.636313948776817</v>
      </c>
      <c r="C2216" s="3252">
        <v>45314</v>
      </c>
      <c r="D2216" s="3090"/>
      <c r="E2216" s="3091"/>
      <c r="F2216" s="2759" t="s">
        <v>627</v>
      </c>
      <c r="G2216" s="3092"/>
      <c r="H2216" s="3093">
        <f>IFERROR(VLOOKUP(F2216,Trainingsarten!$A$9:$K$84,10,FALSE),"")</f>
        <v>10.232623456990277</v>
      </c>
      <c r="I2216" s="3094">
        <f t="shared" si="525"/>
        <v>0</v>
      </c>
      <c r="J2216" s="3095"/>
      <c r="K2216" s="3096">
        <f>IFERROR(VLOOKUP(F2216,Trainingsarten!$A$9:$K$84,11,FALSE),"0")</f>
        <v>72.052680000000009</v>
      </c>
      <c r="L2216" s="2816"/>
      <c r="M2216" s="3095"/>
      <c r="N2216" s="3097" t="str">
        <f t="shared" si="526"/>
        <v/>
      </c>
      <c r="O2216" s="3098" t="s">
        <v>1500</v>
      </c>
      <c r="P2216" s="2897">
        <f>IFERROR(VLOOKUP(F2216,Trainingsarten!$A$9:$N$84,12,FALSE),"")</f>
        <v>279.53100000000006</v>
      </c>
      <c r="Q2216" s="2898" t="s">
        <v>437</v>
      </c>
      <c r="R2216" s="3099">
        <f>IFERROR(VLOOKUP(F2216,Trainingsarten!$A$9:$N$84,14,FALSE),"")</f>
        <v>306.15300000000002</v>
      </c>
      <c r="S2216" s="3100" t="str">
        <f t="shared" si="527"/>
        <v/>
      </c>
      <c r="T2216" s="3090">
        <f t="shared" si="528"/>
        <v>25.638222230190422</v>
      </c>
      <c r="U2216" s="3090">
        <f t="shared" si="529"/>
        <v>14.063397465334909</v>
      </c>
      <c r="V2216" s="3090">
        <f t="shared" si="530"/>
        <v>-5.2534545479685093</v>
      </c>
      <c r="W2216" s="3284">
        <f t="shared" si="531"/>
        <v>1.8230461233415669</v>
      </c>
      <c r="X2216" s="3300">
        <v>49</v>
      </c>
      <c r="Y2216" s="3321">
        <f t="shared" si="524"/>
        <v>0.68005797980033489</v>
      </c>
      <c r="Z2216" s="3312">
        <f t="shared" si="532"/>
        <v>19.838235957766873</v>
      </c>
      <c r="AA2216" s="3312">
        <f t="shared" si="533"/>
        <v>12.420058785001904</v>
      </c>
      <c r="AB2216" s="3325">
        <f t="shared" si="534"/>
        <v>1.5972739180367601</v>
      </c>
    </row>
    <row r="2217" spans="1:28" x14ac:dyDescent="0.2">
      <c r="A2217" s="2935" t="s">
        <v>628</v>
      </c>
      <c r="B2217" s="3005">
        <f>SUM(K2215:K2221)</f>
        <v>216.35536000000002</v>
      </c>
      <c r="C2217" s="3252">
        <v>45315</v>
      </c>
      <c r="D2217" s="3090"/>
      <c r="E2217" s="3091"/>
      <c r="F2217" s="2759"/>
      <c r="G2217" s="3092"/>
      <c r="H2217" s="3093" t="str">
        <f>IFERROR(VLOOKUP(F2217,Trainingsarten!$A$9:$K$84,10,FALSE),"")</f>
        <v/>
      </c>
      <c r="I2217" s="3094" t="str">
        <f t="shared" si="525"/>
        <v/>
      </c>
      <c r="J2217" s="3095"/>
      <c r="K2217" s="3096" t="str">
        <f>IFERROR(VLOOKUP(F2217,Trainingsarten!$A$9:$K$84,11,FALSE),"0")</f>
        <v>0</v>
      </c>
      <c r="L2217" s="2816"/>
      <c r="M2217" s="3095"/>
      <c r="N2217" s="3097" t="str">
        <f t="shared" si="526"/>
        <v/>
      </c>
      <c r="O2217" s="3098"/>
      <c r="P2217" s="2897" t="str">
        <f>IFERROR(VLOOKUP(F2217,Trainingsarten!$A$9:$N$84,12,FALSE),"")</f>
        <v/>
      </c>
      <c r="Q2217" s="2898" t="s">
        <v>437</v>
      </c>
      <c r="R2217" s="3099" t="str">
        <f>IFERROR(VLOOKUP(F2217,Trainingsarten!$A$9:$N$84,14,FALSE),"")</f>
        <v/>
      </c>
      <c r="S2217" s="3100" t="str">
        <f t="shared" si="527"/>
        <v/>
      </c>
      <c r="T2217" s="3090">
        <f t="shared" si="528"/>
        <v>21.975619054448934</v>
      </c>
      <c r="U2217" s="3090">
        <f t="shared" si="529"/>
        <v>13.72855466854122</v>
      </c>
      <c r="V2217" s="3090">
        <f t="shared" si="530"/>
        <v>-11.574824764855514</v>
      </c>
      <c r="W2217" s="3284">
        <f t="shared" si="531"/>
        <v>1.6007234253730833</v>
      </c>
      <c r="X2217" s="3300"/>
      <c r="Y2217" s="3321" t="str">
        <f t="shared" si="524"/>
        <v/>
      </c>
      <c r="Z2217" s="3312">
        <f t="shared" si="532"/>
        <v>17.004202249514464</v>
      </c>
      <c r="AA2217" s="3312">
        <f t="shared" si="533"/>
        <v>12.124343099644717</v>
      </c>
      <c r="AB2217" s="3325">
        <f t="shared" si="534"/>
        <v>1.4024844158371552</v>
      </c>
    </row>
    <row r="2218" spans="1:28" x14ac:dyDescent="0.2">
      <c r="A2218" s="2935" t="s">
        <v>761</v>
      </c>
      <c r="B2218" s="3006">
        <f>AVERAGE(W2215:W2221)</f>
        <v>1.6321824866896606</v>
      </c>
      <c r="C2218" s="3252">
        <v>45316</v>
      </c>
      <c r="D2218" s="3090"/>
      <c r="E2218" s="3091"/>
      <c r="F2218" s="2759" t="s">
        <v>944</v>
      </c>
      <c r="G2218" s="3092"/>
      <c r="H2218" s="3093">
        <f>IFERROR(VLOOKUP(F2218,Trainingsarten!$A$9:$K$84,10,FALSE),"")</f>
        <v>5.0855335173981304</v>
      </c>
      <c r="I2218" s="3094">
        <f t="shared" si="525"/>
        <v>0</v>
      </c>
      <c r="J2218" s="3095"/>
      <c r="K2218" s="3096">
        <f>IFERROR(VLOOKUP(F2218,Trainingsarten!$A$9:$K$84,11,FALSE),"0")</f>
        <v>36.125</v>
      </c>
      <c r="L2218" s="2816"/>
      <c r="M2218" s="3095"/>
      <c r="N2218" s="3097" t="str">
        <f t="shared" si="526"/>
        <v/>
      </c>
      <c r="O2218" s="3098" t="s">
        <v>976</v>
      </c>
      <c r="P2218" s="2897">
        <f>IFERROR(VLOOKUP(F2218,Trainingsarten!$A$9:$N$84,12,FALSE),"")</f>
        <v>194.60000000000002</v>
      </c>
      <c r="Q2218" s="2898" t="s">
        <v>437</v>
      </c>
      <c r="R2218" s="3099">
        <f>IFERROR(VLOOKUP(F2218,Trainingsarten!$A$9:$N$84,14,FALSE),"")</f>
        <v>212.96</v>
      </c>
      <c r="S2218" s="3100" t="str">
        <f t="shared" si="527"/>
        <v/>
      </c>
      <c r="T2218" s="3090">
        <f t="shared" si="528"/>
        <v>23.996959189527658</v>
      </c>
      <c r="U2218" s="3090">
        <f t="shared" si="529"/>
        <v>14.261803366909286</v>
      </c>
      <c r="V2218" s="3090">
        <f t="shared" si="530"/>
        <v>-8.2470643859077146</v>
      </c>
      <c r="W2218" s="3284">
        <f t="shared" si="531"/>
        <v>1.6826034248379982</v>
      </c>
      <c r="X2218" s="3300">
        <v>12</v>
      </c>
      <c r="Y2218" s="3321">
        <f t="shared" si="524"/>
        <v>0.33217993079584773</v>
      </c>
      <c r="Z2218" s="3312">
        <f t="shared" si="532"/>
        <v>16.28931621386954</v>
      </c>
      <c r="AA2218" s="3312">
        <f t="shared" si="533"/>
        <v>12.121382549653177</v>
      </c>
      <c r="AB2218" s="3325">
        <f t="shared" si="534"/>
        <v>1.3438496926520662</v>
      </c>
    </row>
    <row r="2219" spans="1:28" x14ac:dyDescent="0.2">
      <c r="A2219" s="2935" t="s">
        <v>979</v>
      </c>
      <c r="B2219" s="3131" t="str">
        <f>IFERROR(AVERAGE(N2215:N2221),"")</f>
        <v/>
      </c>
      <c r="C2219" s="3252">
        <v>45317</v>
      </c>
      <c r="D2219" s="3090"/>
      <c r="E2219" s="3091"/>
      <c r="F2219" s="2775"/>
      <c r="G2219" s="3092"/>
      <c r="H2219" s="3093" t="str">
        <f>IFERROR(VLOOKUP(F2219,Trainingsarten!$A$9:$K$84,10,FALSE),"")</f>
        <v/>
      </c>
      <c r="I2219" s="3094" t="str">
        <f t="shared" si="525"/>
        <v/>
      </c>
      <c r="J2219" s="3095"/>
      <c r="K2219" s="3096" t="str">
        <f>IFERROR(VLOOKUP(F2219,Trainingsarten!$A$9:$K$84,11,FALSE),"0")</f>
        <v>0</v>
      </c>
      <c r="L2219" s="2816"/>
      <c r="M2219" s="3095"/>
      <c r="N2219" s="3097" t="str">
        <f t="shared" si="526"/>
        <v/>
      </c>
      <c r="O2219" s="3098"/>
      <c r="P2219" s="2897" t="str">
        <f>IFERROR(VLOOKUP(F2219,Trainingsarten!$A$9:$N$84,12,FALSE),"")</f>
        <v/>
      </c>
      <c r="Q2219" s="2898" t="s">
        <v>437</v>
      </c>
      <c r="R2219" s="3099" t="str">
        <f>IFERROR(VLOOKUP(F2219,Trainingsarten!$A$9:$N$84,14,FALSE),"")</f>
        <v/>
      </c>
      <c r="S2219" s="3100" t="str">
        <f t="shared" si="527"/>
        <v/>
      </c>
      <c r="T2219" s="3090">
        <f t="shared" si="528"/>
        <v>20.568822162452278</v>
      </c>
      <c r="U2219" s="3090">
        <f t="shared" si="529"/>
        <v>13.922236620078111</v>
      </c>
      <c r="V2219" s="3090">
        <f t="shared" si="530"/>
        <v>-9.7351558226183723</v>
      </c>
      <c r="W2219" s="3284">
        <f t="shared" si="531"/>
        <v>1.4774078852236083</v>
      </c>
      <c r="X2219" s="3300"/>
      <c r="Y2219" s="3321" t="str">
        <f t="shared" si="524"/>
        <v/>
      </c>
      <c r="Z2219" s="3312">
        <f t="shared" si="532"/>
        <v>13.962271040459605</v>
      </c>
      <c r="AA2219" s="3312">
        <f t="shared" si="533"/>
        <v>11.832778203232863</v>
      </c>
      <c r="AB2219" s="3325">
        <f t="shared" si="534"/>
        <v>1.179965583792058</v>
      </c>
    </row>
    <row r="2220" spans="1:28" x14ac:dyDescent="0.2">
      <c r="A2220" s="2935" t="s">
        <v>980</v>
      </c>
      <c r="B2220" s="3006" t="str">
        <f>IFERROR(AVERAGE(S2215:S2221),"")</f>
        <v/>
      </c>
      <c r="C2220" s="2937">
        <v>45318</v>
      </c>
      <c r="D2220" s="3090"/>
      <c r="E2220" s="3091"/>
      <c r="F2220" s="2889" t="s">
        <v>627</v>
      </c>
      <c r="G2220" s="3092"/>
      <c r="H2220" s="3093">
        <f>IFERROR(VLOOKUP(F2220,Trainingsarten!$A$9:$K$84,10,FALSE),"")</f>
        <v>10.232623456990277</v>
      </c>
      <c r="I2220" s="3094">
        <f t="shared" si="525"/>
        <v>0</v>
      </c>
      <c r="J2220" s="3095"/>
      <c r="K2220" s="3096">
        <f>IFERROR(VLOOKUP(F2220,Trainingsarten!$A$9:$K$84,11,FALSE),"0")</f>
        <v>72.052680000000009</v>
      </c>
      <c r="L2220" s="2816"/>
      <c r="M2220" s="3095"/>
      <c r="N2220" s="3097" t="str">
        <f t="shared" si="526"/>
        <v/>
      </c>
      <c r="O2220" s="3098" t="s">
        <v>1500</v>
      </c>
      <c r="P2220" s="2897">
        <f>IFERROR(VLOOKUP(F2220,Trainingsarten!$A$9:$N$84,12,FALSE),"")</f>
        <v>279.53100000000006</v>
      </c>
      <c r="Q2220" s="2898" t="s">
        <v>437</v>
      </c>
      <c r="R2220" s="3099">
        <f>IFERROR(VLOOKUP(F2220,Trainingsarten!$A$9:$N$84,14,FALSE),"")</f>
        <v>306.15300000000002</v>
      </c>
      <c r="S2220" s="3100" t="str">
        <f t="shared" si="527"/>
        <v/>
      </c>
      <c r="T2220" s="3090">
        <f t="shared" si="528"/>
        <v>27.923658996387669</v>
      </c>
      <c r="U2220" s="3090">
        <f t="shared" si="529"/>
        <v>15.306294795790537</v>
      </c>
      <c r="V2220" s="3090">
        <f t="shared" si="530"/>
        <v>-6.6465855423741669</v>
      </c>
      <c r="W2220" s="3284">
        <f t="shared" si="531"/>
        <v>1.8243251792110458</v>
      </c>
      <c r="X2220" s="3300">
        <v>76</v>
      </c>
      <c r="Y2220" s="3321">
        <f t="shared" si="524"/>
        <v>1.054783805404601</v>
      </c>
      <c r="Z2220" s="3312">
        <f t="shared" si="532"/>
        <v>22.824803748965376</v>
      </c>
      <c r="AA2220" s="3312">
        <f t="shared" si="533"/>
        <v>13.360569198393986</v>
      </c>
      <c r="AB2220" s="3325">
        <f t="shared" si="534"/>
        <v>1.7083706098172107</v>
      </c>
    </row>
    <row r="2221" spans="1:28" ht="16" thickBot="1" x14ac:dyDescent="0.25">
      <c r="A2221" s="2936" t="s">
        <v>183</v>
      </c>
      <c r="B2221" s="3003">
        <f>IFERROR(SUM(M2215:M2221),"")</f>
        <v>0</v>
      </c>
      <c r="C2221" s="2576">
        <v>45319</v>
      </c>
      <c r="D2221" s="1788"/>
      <c r="E2221" s="1789"/>
      <c r="F2221" s="2763"/>
      <c r="G2221" s="2577"/>
      <c r="H2221" s="2578" t="str">
        <f>IFERROR(VLOOKUP(F2221,Trainingsarten!$A$9:$K$84,10,FALSE),"")</f>
        <v/>
      </c>
      <c r="I2221" s="2579" t="str">
        <f t="shared" si="525"/>
        <v/>
      </c>
      <c r="J2221" s="2580"/>
      <c r="K2221" s="2581" t="str">
        <f>IFERROR(VLOOKUP(F2221,Trainingsarten!$A$9:$K$84,11,FALSE),"0")</f>
        <v>0</v>
      </c>
      <c r="L2221" s="3101"/>
      <c r="M2221" s="2580"/>
      <c r="N2221" s="2582" t="str">
        <f t="shared" si="526"/>
        <v/>
      </c>
      <c r="O2221" s="2583"/>
      <c r="P2221" s="3102" t="str">
        <f>IFERROR(VLOOKUP(F2221,Trainingsarten!$A$9:$N$84,12,FALSE),"")</f>
        <v/>
      </c>
      <c r="Q2221" s="3103" t="s">
        <v>437</v>
      </c>
      <c r="R2221" s="3104" t="str">
        <f>IFERROR(VLOOKUP(F2221,Trainingsarten!$A$9:$N$84,14,FALSE),"")</f>
        <v/>
      </c>
      <c r="S2221" s="2390" t="str">
        <f t="shared" si="527"/>
        <v/>
      </c>
      <c r="T2221" s="1788">
        <f t="shared" si="528"/>
        <v>23.934564854046574</v>
      </c>
      <c r="U2221" s="1788">
        <f t="shared" si="529"/>
        <v>14.941859205414572</v>
      </c>
      <c r="V2221" s="1788">
        <f t="shared" si="530"/>
        <v>-12.617364200597132</v>
      </c>
      <c r="W2221" s="3293">
        <f t="shared" si="531"/>
        <v>1.601846498819455</v>
      </c>
      <c r="X2221" s="3309"/>
      <c r="Y2221" s="3322" t="str">
        <f t="shared" si="524"/>
        <v/>
      </c>
      <c r="Z2221" s="3314">
        <f t="shared" si="532"/>
        <v>19.564117499113181</v>
      </c>
      <c r="AA2221" s="3314">
        <f t="shared" si="533"/>
        <v>13.042460407956034</v>
      </c>
      <c r="AB2221" s="2846">
        <f t="shared" si="534"/>
        <v>1.5000327305712096</v>
      </c>
    </row>
    <row r="2222" spans="1:28" ht="16" thickBot="1" x14ac:dyDescent="0.25">
      <c r="A2222" s="3439">
        <f>WEEKNUM(C2222,1)</f>
        <v>5</v>
      </c>
      <c r="B2222" s="3440"/>
      <c r="C2222" s="2585">
        <v>45320</v>
      </c>
      <c r="D2222" s="2586"/>
      <c r="E2222" s="2587"/>
      <c r="F2222" s="2761" t="s">
        <v>923</v>
      </c>
      <c r="G2222" s="2588"/>
      <c r="H2222" s="2589">
        <f>IFERROR(VLOOKUP(F2222,Trainingsarten!$A$9:$K$84,10,FALSE),"")</f>
        <v>9.3343054014628528</v>
      </c>
      <c r="I2222" s="2590">
        <f t="shared" si="525"/>
        <v>0</v>
      </c>
      <c r="J2222" s="2591"/>
      <c r="K2222" s="2592">
        <f>IFERROR(VLOOKUP(F2222,Trainingsarten!$A$9:$K$84,11,FALSE),"0")</f>
        <v>72.139959115646775</v>
      </c>
      <c r="L2222" s="2815"/>
      <c r="M2222" s="2591"/>
      <c r="N2222" s="2593" t="str">
        <f t="shared" si="526"/>
        <v/>
      </c>
      <c r="O2222" s="2594"/>
      <c r="P2222" s="1919">
        <f>IFERROR(VLOOKUP(F2222,Trainingsarten!$A$9:$N$84,12,FALSE),"")</f>
        <v>230.89999999999998</v>
      </c>
      <c r="Q2222" s="2461" t="s">
        <v>437</v>
      </c>
      <c r="R2222" s="3089">
        <f>IFERROR(VLOOKUP(F2222,Trainingsarten!$A$9:$N$84,14,FALSE),"")</f>
        <v>254.10000000000002</v>
      </c>
      <c r="S2222" s="2595" t="str">
        <f t="shared" si="527"/>
        <v/>
      </c>
      <c r="T2222" s="2586">
        <f t="shared" si="528"/>
        <v>30.821049748560888</v>
      </c>
      <c r="U2222" s="2586">
        <f t="shared" si="529"/>
        <v>16.303718727086768</v>
      </c>
      <c r="V2222" s="2586">
        <f t="shared" si="530"/>
        <v>-8.9927056486320023</v>
      </c>
      <c r="W2222" s="3283">
        <f t="shared" si="531"/>
        <v>1.8904306596847278</v>
      </c>
      <c r="X2222" s="3298">
        <v>50</v>
      </c>
      <c r="Y2222" s="3315">
        <f t="shared" si="524"/>
        <v>0.69309714911046105</v>
      </c>
      <c r="Z2222" s="1111">
        <f t="shared" si="532"/>
        <v>23.912100713525582</v>
      </c>
      <c r="AA2222" s="1111">
        <f t="shared" si="533"/>
        <v>13.922401826814223</v>
      </c>
      <c r="AB2222" s="2449">
        <f t="shared" si="534"/>
        <v>1.7175269763778425</v>
      </c>
    </row>
    <row r="2223" spans="1:28" x14ac:dyDescent="0.2">
      <c r="A2223" s="2934" t="s">
        <v>626</v>
      </c>
      <c r="B2223" s="3004">
        <f>SUM(H2222:H2228)</f>
        <v>42.10537243625911</v>
      </c>
      <c r="C2223" s="2937">
        <v>45321</v>
      </c>
      <c r="D2223" s="3090"/>
      <c r="E2223" s="3091"/>
      <c r="F2223" s="2759" t="s">
        <v>944</v>
      </c>
      <c r="G2223" s="3092"/>
      <c r="H2223" s="3093">
        <f>IFERROR(VLOOKUP(F2223,Trainingsarten!$A$9:$K$84,10,FALSE),"")</f>
        <v>5.0855335173981304</v>
      </c>
      <c r="I2223" s="3094">
        <f t="shared" si="525"/>
        <v>0</v>
      </c>
      <c r="J2223" s="3095"/>
      <c r="K2223" s="3096">
        <f>IFERROR(VLOOKUP(F2223,Trainingsarten!$A$9:$K$84,11,FALSE),"0")</f>
        <v>36.125</v>
      </c>
      <c r="L2223" s="2816"/>
      <c r="M2223" s="3095"/>
      <c r="N2223" s="3097" t="str">
        <f t="shared" si="526"/>
        <v/>
      </c>
      <c r="O2223" s="3098"/>
      <c r="P2223" s="2897">
        <f>IFERROR(VLOOKUP(F2223,Trainingsarten!$A$9:$N$84,12,FALSE),"")</f>
        <v>194.60000000000002</v>
      </c>
      <c r="Q2223" s="2898" t="s">
        <v>437</v>
      </c>
      <c r="R2223" s="3099">
        <f>IFERROR(VLOOKUP(F2223,Trainingsarten!$A$9:$N$84,14,FALSE),"")</f>
        <v>212.96</v>
      </c>
      <c r="S2223" s="3100" t="str">
        <f t="shared" si="527"/>
        <v/>
      </c>
      <c r="T2223" s="3090">
        <f t="shared" si="528"/>
        <v>31.578756927337903</v>
      </c>
      <c r="U2223" s="3090">
        <f t="shared" si="529"/>
        <v>16.775653995489463</v>
      </c>
      <c r="V2223" s="3090">
        <f t="shared" si="530"/>
        <v>-14.517331021474121</v>
      </c>
      <c r="W2223" s="3284">
        <f t="shared" si="531"/>
        <v>1.8824158471454293</v>
      </c>
      <c r="X2223" s="3300">
        <v>20</v>
      </c>
      <c r="Y2223" s="3316">
        <f t="shared" si="524"/>
        <v>0.55363321799307963</v>
      </c>
      <c r="Z2223" s="2597">
        <f t="shared" si="532"/>
        <v>23.353229183021927</v>
      </c>
      <c r="AA2223" s="2597">
        <f t="shared" si="533"/>
        <v>14.067106545223409</v>
      </c>
      <c r="AB2223" s="3325">
        <f t="shared" si="534"/>
        <v>1.6601302554967632</v>
      </c>
    </row>
    <row r="2224" spans="1:28" x14ac:dyDescent="0.2">
      <c r="A2224" s="2935" t="s">
        <v>628</v>
      </c>
      <c r="B2224" s="3005">
        <f>SUM(K2222:K2228)</f>
        <v>144.38995911564677</v>
      </c>
      <c r="C2224" s="2937">
        <v>45322</v>
      </c>
      <c r="D2224" s="3090"/>
      <c r="E2224" s="3091"/>
      <c r="F2224" s="2759"/>
      <c r="G2224" s="3092"/>
      <c r="H2224" s="3093">
        <v>9</v>
      </c>
      <c r="I2224" s="3094">
        <f t="shared" si="525"/>
        <v>0</v>
      </c>
      <c r="J2224" s="3095"/>
      <c r="K2224" s="3096" t="str">
        <f>IFERROR(VLOOKUP(F2224,Trainingsarten!$A$9:$K$84,11,FALSE),"0")</f>
        <v>0</v>
      </c>
      <c r="L2224" s="2816"/>
      <c r="M2224" s="3095"/>
      <c r="N2224" s="3097" t="str">
        <f t="shared" si="526"/>
        <v/>
      </c>
      <c r="O2224" s="3098"/>
      <c r="P2224" s="2897" t="str">
        <f>IFERROR(VLOOKUP(F2224,Trainingsarten!$A$9:$N$84,12,FALSE),"")</f>
        <v/>
      </c>
      <c r="Q2224" s="2898" t="s">
        <v>437</v>
      </c>
      <c r="R2224" s="3099" t="str">
        <f>IFERROR(VLOOKUP(F2224,Trainingsarten!$A$9:$N$84,14,FALSE),"")</f>
        <v/>
      </c>
      <c r="S2224" s="3100" t="str">
        <f t="shared" si="527"/>
        <v/>
      </c>
      <c r="T2224" s="3090">
        <f t="shared" si="528"/>
        <v>27.067505937718202</v>
      </c>
      <c r="U2224" s="3090">
        <f t="shared" si="529"/>
        <v>16.376233662263523</v>
      </c>
      <c r="V2224" s="3090">
        <f t="shared" si="530"/>
        <v>-14.803102931848439</v>
      </c>
      <c r="W2224" s="3284">
        <f t="shared" si="531"/>
        <v>1.6528529389569624</v>
      </c>
      <c r="X2224" s="3300">
        <v>52</v>
      </c>
      <c r="Y2224" s="3316" t="str">
        <f t="shared" si="524"/>
        <v/>
      </c>
      <c r="Z2224" s="2597">
        <f t="shared" si="532"/>
        <v>27.445625014018795</v>
      </c>
      <c r="AA2224" s="2597">
        <f t="shared" si="533"/>
        <v>14.970270675099041</v>
      </c>
      <c r="AB2224" s="3325">
        <f t="shared" si="534"/>
        <v>1.8333419354715321</v>
      </c>
    </row>
    <row r="2225" spans="1:31" x14ac:dyDescent="0.2">
      <c r="A2225" s="2935" t="s">
        <v>761</v>
      </c>
      <c r="B2225" s="3006">
        <f>AVERAGE(W2222:W2228)</f>
        <v>1.558078653127738</v>
      </c>
      <c r="C2225" s="2937">
        <v>45323</v>
      </c>
      <c r="D2225" s="3090"/>
      <c r="E2225" s="3091"/>
      <c r="F2225" s="2759"/>
      <c r="G2225" s="3092"/>
      <c r="H2225" s="3093" t="str">
        <f>IFERROR(VLOOKUP(F2225,Trainingsarten!$A$9:$K$84,10,FALSE),"")</f>
        <v/>
      </c>
      <c r="I2225" s="3094" t="str">
        <f t="shared" si="525"/>
        <v/>
      </c>
      <c r="J2225" s="3095"/>
      <c r="K2225" s="3096" t="str">
        <f>IFERROR(VLOOKUP(F2225,Trainingsarten!$A$9:$K$84,11,FALSE),"0")</f>
        <v>0</v>
      </c>
      <c r="L2225" s="2816"/>
      <c r="M2225" s="3095"/>
      <c r="N2225" s="3097" t="str">
        <f t="shared" si="526"/>
        <v/>
      </c>
      <c r="O2225" s="3098"/>
      <c r="P2225" s="2897" t="str">
        <f>IFERROR(VLOOKUP(F2225,Trainingsarten!$A$9:$N$84,12,FALSE),"")</f>
        <v/>
      </c>
      <c r="Q2225" s="2898" t="s">
        <v>437</v>
      </c>
      <c r="R2225" s="3099" t="str">
        <f>IFERROR(VLOOKUP(F2225,Trainingsarten!$A$9:$N$84,14,FALSE),"")</f>
        <v/>
      </c>
      <c r="S2225" s="3100" t="str">
        <f t="shared" si="527"/>
        <v/>
      </c>
      <c r="T2225" s="3090">
        <f t="shared" si="528"/>
        <v>23.200719375187031</v>
      </c>
      <c r="U2225" s="3090">
        <f t="shared" si="529"/>
        <v>15.986323336971534</v>
      </c>
      <c r="V2225" s="3090">
        <f t="shared" si="530"/>
        <v>-10.691272275454679</v>
      </c>
      <c r="W2225" s="3284">
        <f t="shared" si="531"/>
        <v>1.4512855073768451</v>
      </c>
      <c r="X2225" s="3300"/>
      <c r="Y2225" s="3316" t="str">
        <f t="shared" si="524"/>
        <v/>
      </c>
      <c r="Z2225" s="2597">
        <f t="shared" si="532"/>
        <v>23.524821440587537</v>
      </c>
      <c r="AA2225" s="2597">
        <f t="shared" si="533"/>
        <v>14.613835659025254</v>
      </c>
      <c r="AB2225" s="3325">
        <f t="shared" si="534"/>
        <v>1.6097636506579305</v>
      </c>
    </row>
    <row r="2226" spans="1:31" x14ac:dyDescent="0.2">
      <c r="A2226" s="2935" t="s">
        <v>979</v>
      </c>
      <c r="B2226" s="3131" t="str">
        <f>IFERROR(AVERAGE(N2222:N2228),"")</f>
        <v/>
      </c>
      <c r="C2226" s="2937">
        <v>45324</v>
      </c>
      <c r="D2226" s="3090"/>
      <c r="E2226" s="3091"/>
      <c r="F2226" s="2759" t="s">
        <v>944</v>
      </c>
      <c r="G2226" s="3092"/>
      <c r="H2226" s="3093">
        <f>IFERROR(VLOOKUP(F2226,Trainingsarten!$A$9:$K$84,10,FALSE),"")</f>
        <v>5.0855335173981304</v>
      </c>
      <c r="I2226" s="3094">
        <f t="shared" si="525"/>
        <v>0</v>
      </c>
      <c r="J2226" s="3095"/>
      <c r="K2226" s="3096">
        <f>IFERROR(VLOOKUP(F2226,Trainingsarten!$A$9:$K$84,11,FALSE),"0")</f>
        <v>36.125</v>
      </c>
      <c r="L2226" s="2816"/>
      <c r="M2226" s="3095"/>
      <c r="N2226" s="3097" t="str">
        <f t="shared" si="526"/>
        <v/>
      </c>
      <c r="O2226" s="3098"/>
      <c r="P2226" s="2897">
        <f>IFERROR(VLOOKUP(F2226,Trainingsarten!$A$9:$N$84,12,FALSE),"")</f>
        <v>194.60000000000002</v>
      </c>
      <c r="Q2226" s="2898" t="s">
        <v>437</v>
      </c>
      <c r="R2226" s="3099">
        <f>IFERROR(VLOOKUP(F2226,Trainingsarten!$A$9:$N$84,14,FALSE),"")</f>
        <v>212.96</v>
      </c>
      <c r="S2226" s="3100" t="str">
        <f t="shared" si="527"/>
        <v/>
      </c>
      <c r="T2226" s="3090">
        <f t="shared" si="528"/>
        <v>25.047045178731739</v>
      </c>
      <c r="U2226" s="3090">
        <f t="shared" si="529"/>
        <v>16.465815638472211</v>
      </c>
      <c r="V2226" s="3090">
        <f t="shared" si="530"/>
        <v>-7.2143960382154972</v>
      </c>
      <c r="W2226" s="3284">
        <f t="shared" si="531"/>
        <v>1.5211542342433115</v>
      </c>
      <c r="X2226" s="3300">
        <v>23</v>
      </c>
      <c r="Y2226" s="3316">
        <f t="shared" si="524"/>
        <v>0.63667820069204151</v>
      </c>
      <c r="Z2226" s="2597">
        <f t="shared" si="532"/>
        <v>23.449846949075031</v>
      </c>
      <c r="AA2226" s="2597">
        <f t="shared" si="533"/>
        <v>14.813506238572272</v>
      </c>
      <c r="AB2226" s="3325">
        <f t="shared" si="534"/>
        <v>1.5830044941024801</v>
      </c>
    </row>
    <row r="2227" spans="1:31" x14ac:dyDescent="0.2">
      <c r="A2227" s="2935" t="s">
        <v>980</v>
      </c>
      <c r="B2227" s="3006" t="str">
        <f>IFERROR(AVERAGE(S2222:S2228),"")</f>
        <v/>
      </c>
      <c r="C2227" s="2937">
        <v>45325</v>
      </c>
      <c r="D2227" s="3090"/>
      <c r="E2227" s="3091"/>
      <c r="F2227" s="2889"/>
      <c r="G2227" s="3092"/>
      <c r="H2227" s="3093">
        <v>13.6</v>
      </c>
      <c r="I2227" s="3094">
        <f t="shared" si="525"/>
        <v>0</v>
      </c>
      <c r="J2227" s="3095"/>
      <c r="K2227" s="3096" t="str">
        <f>IFERROR(VLOOKUP(F2227,Trainingsarten!$A$9:$K$84,11,FALSE),"0")</f>
        <v>0</v>
      </c>
      <c r="L2227" s="2816"/>
      <c r="M2227" s="3095"/>
      <c r="N2227" s="3097" t="str">
        <f t="shared" si="526"/>
        <v/>
      </c>
      <c r="O2227" s="3098"/>
      <c r="P2227" s="2897" t="str">
        <f>IFERROR(VLOOKUP(F2227,Trainingsarten!$A$9:$N$84,12,FALSE),"")</f>
        <v/>
      </c>
      <c r="Q2227" s="2898" t="s">
        <v>437</v>
      </c>
      <c r="R2227" s="3099" t="str">
        <f>IFERROR(VLOOKUP(F2227,Trainingsarten!$A$9:$N$84,14,FALSE),"")</f>
        <v/>
      </c>
      <c r="S2227" s="3100" t="str">
        <f t="shared" si="527"/>
        <v/>
      </c>
      <c r="T2227" s="3090">
        <f t="shared" si="528"/>
        <v>21.468895867484349</v>
      </c>
      <c r="U2227" s="3090">
        <f t="shared" si="529"/>
        <v>16.073772408984777</v>
      </c>
      <c r="V2227" s="3090">
        <f t="shared" si="530"/>
        <v>-8.5812295402595282</v>
      </c>
      <c r="W2227" s="3284">
        <f t="shared" si="531"/>
        <v>1.3356476203112004</v>
      </c>
      <c r="X2227" s="3300">
        <v>65</v>
      </c>
      <c r="Y2227" s="3316" t="str">
        <f t="shared" si="524"/>
        <v/>
      </c>
      <c r="Z2227" s="2597">
        <f t="shared" si="532"/>
        <v>29.385583099207167</v>
      </c>
      <c r="AA2227" s="2597">
        <f t="shared" si="533"/>
        <v>16.008422756701503</v>
      </c>
      <c r="AB2227" s="3325">
        <f t="shared" si="534"/>
        <v>1.8356326257629392</v>
      </c>
    </row>
    <row r="2228" spans="1:31" ht="16" thickBot="1" x14ac:dyDescent="0.25">
      <c r="A2228" s="2936" t="s">
        <v>183</v>
      </c>
      <c r="B2228" s="3003">
        <f>IFERROR(SUM(M2222:M2228),"")</f>
        <v>0</v>
      </c>
      <c r="C2228" s="2576">
        <v>45326</v>
      </c>
      <c r="D2228" s="1788"/>
      <c r="E2228" s="1789"/>
      <c r="F2228" s="2763"/>
      <c r="G2228" s="2577"/>
      <c r="H2228" s="2578" t="str">
        <f>IFERROR(VLOOKUP(F2228,Trainingsarten!$A$9:$K$84,10,FALSE),"")</f>
        <v/>
      </c>
      <c r="I2228" s="2579" t="str">
        <f t="shared" si="525"/>
        <v/>
      </c>
      <c r="J2228" s="2580"/>
      <c r="K2228" s="2581" t="str">
        <f>IFERROR(VLOOKUP(F2228,Trainingsarten!$A$9:$K$84,11,FALSE),"0")</f>
        <v>0</v>
      </c>
      <c r="L2228" s="3101"/>
      <c r="M2228" s="2580"/>
      <c r="N2228" s="2582" t="str">
        <f t="shared" si="526"/>
        <v/>
      </c>
      <c r="O2228" s="2583"/>
      <c r="P2228" s="3102" t="str">
        <f>IFERROR(VLOOKUP(F2228,Trainingsarten!$A$9:$N$84,12,FALSE),"")</f>
        <v/>
      </c>
      <c r="Q2228" s="3103" t="s">
        <v>437</v>
      </c>
      <c r="R2228" s="3104" t="str">
        <f>IFERROR(VLOOKUP(F2228,Trainingsarten!$A$9:$N$84,14,FALSE),"")</f>
        <v/>
      </c>
      <c r="S2228" s="2390" t="str">
        <f t="shared" si="527"/>
        <v/>
      </c>
      <c r="T2228" s="1788">
        <f t="shared" si="528"/>
        <v>18.401910743558012</v>
      </c>
      <c r="U2228" s="1788">
        <f t="shared" si="529"/>
        <v>15.691063542104187</v>
      </c>
      <c r="V2228" s="1788">
        <f t="shared" si="530"/>
        <v>-5.3951234584995724</v>
      </c>
      <c r="W2228" s="3293">
        <f t="shared" si="531"/>
        <v>1.1727637641756881</v>
      </c>
      <c r="X2228" s="3307"/>
      <c r="Y2228" s="3326" t="str">
        <f t="shared" si="524"/>
        <v/>
      </c>
      <c r="Z2228" s="3327">
        <f t="shared" si="532"/>
        <v>25.187642656463286</v>
      </c>
      <c r="AA2228" s="3327">
        <f t="shared" si="533"/>
        <v>15.627269833922895</v>
      </c>
      <c r="AB2228" s="3328">
        <f t="shared" si="534"/>
        <v>1.6117749884747758</v>
      </c>
    </row>
    <row r="2229" spans="1:31" ht="16" thickBot="1" x14ac:dyDescent="0.25">
      <c r="A2229" s="3439">
        <f>WEEKNUM(C2229,1)</f>
        <v>6</v>
      </c>
      <c r="B2229" s="3440"/>
      <c r="C2229" s="2585">
        <v>45327</v>
      </c>
      <c r="D2229" s="2586"/>
      <c r="E2229" s="2587"/>
      <c r="F2229" s="2759" t="s">
        <v>944</v>
      </c>
      <c r="G2229" s="2588"/>
      <c r="H2229" s="2589">
        <f>IFERROR(VLOOKUP(F2229,Trainingsarten!$A$9:$K$84,10,FALSE),"")</f>
        <v>5.0855335173981304</v>
      </c>
      <c r="I2229" s="2590">
        <f t="shared" si="525"/>
        <v>0</v>
      </c>
      <c r="J2229" s="2591"/>
      <c r="K2229" s="2592">
        <f>IFERROR(VLOOKUP(F2229,Trainingsarten!$A$9:$K$84,11,FALSE),"0")</f>
        <v>36.125</v>
      </c>
      <c r="L2229" s="2815"/>
      <c r="M2229" s="2591"/>
      <c r="N2229" s="2593" t="str">
        <f t="shared" si="526"/>
        <v/>
      </c>
      <c r="O2229" s="2594"/>
      <c r="P2229" s="1919">
        <f>IFERROR(VLOOKUP(F2229,Trainingsarten!$A$9:$N$84,12,FALSE),"")</f>
        <v>194.60000000000002</v>
      </c>
      <c r="Q2229" s="2461" t="s">
        <v>437</v>
      </c>
      <c r="R2229" s="3089">
        <f>IFERROR(VLOOKUP(F2229,Trainingsarten!$A$9:$N$84,14,FALSE),"")</f>
        <v>212.96</v>
      </c>
      <c r="S2229" s="2595" t="str">
        <f t="shared" si="527"/>
        <v/>
      </c>
      <c r="T2229" s="2586">
        <f t="shared" si="528"/>
        <v>20.933780637335438</v>
      </c>
      <c r="U2229" s="2586">
        <f t="shared" si="529"/>
        <v>16.177585838720756</v>
      </c>
      <c r="V2229" s="2586">
        <f t="shared" si="530"/>
        <v>-2.7108472014538254</v>
      </c>
      <c r="W2229" s="3283">
        <f t="shared" si="531"/>
        <v>1.2939990457186026</v>
      </c>
      <c r="X2229" s="3308">
        <v>26</v>
      </c>
      <c r="Y2229" s="3323">
        <f t="shared" si="524"/>
        <v>0.7197231833910035</v>
      </c>
      <c r="Z2229" s="2586">
        <f t="shared" si="532"/>
        <v>25.30369370553996</v>
      </c>
      <c r="AA2229" s="2586">
        <f t="shared" si="533"/>
        <v>15.874239599781873</v>
      </c>
      <c r="AB2229" s="2595">
        <f t="shared" si="534"/>
        <v>1.5940098136031446</v>
      </c>
    </row>
    <row r="2230" spans="1:31" x14ac:dyDescent="0.2">
      <c r="A2230" s="2934" t="s">
        <v>626</v>
      </c>
      <c r="B2230" s="3004">
        <f>SUM(H2229:H2235)</f>
        <v>37.756600552194385</v>
      </c>
      <c r="C2230" s="2937">
        <v>45328</v>
      </c>
      <c r="D2230" s="3090"/>
      <c r="E2230" s="3091"/>
      <c r="F2230" s="2759" t="s">
        <v>944</v>
      </c>
      <c r="G2230" s="3092"/>
      <c r="H2230" s="3093">
        <f>IFERROR(VLOOKUP(F2230,Trainingsarten!$A$9:$K$84,10,FALSE),"")</f>
        <v>5.0855335173981304</v>
      </c>
      <c r="I2230" s="3094">
        <f t="shared" si="525"/>
        <v>0</v>
      </c>
      <c r="J2230" s="3095"/>
      <c r="K2230" s="3096">
        <f>IFERROR(VLOOKUP(F2230,Trainingsarten!$A$9:$K$84,11,FALSE),"0")</f>
        <v>36.125</v>
      </c>
      <c r="L2230" s="2816"/>
      <c r="M2230" s="3095"/>
      <c r="N2230" s="3097" t="str">
        <f t="shared" si="526"/>
        <v/>
      </c>
      <c r="O2230" s="3098"/>
      <c r="P2230" s="2897">
        <f>IFERROR(VLOOKUP(F2230,Trainingsarten!$A$9:$N$84,12,FALSE),"")</f>
        <v>194.60000000000002</v>
      </c>
      <c r="Q2230" s="2898" t="s">
        <v>437</v>
      </c>
      <c r="R2230" s="3099">
        <f>IFERROR(VLOOKUP(F2230,Trainingsarten!$A$9:$N$84,14,FALSE),"")</f>
        <v>212.96</v>
      </c>
      <c r="S2230" s="3100" t="str">
        <f t="shared" si="527"/>
        <v/>
      </c>
      <c r="T2230" s="3090">
        <f t="shared" si="528"/>
        <v>23.103954832001804</v>
      </c>
      <c r="U2230" s="3090">
        <f t="shared" si="529"/>
        <v>16.652524271132165</v>
      </c>
      <c r="V2230" s="3090">
        <f t="shared" si="530"/>
        <v>-4.7561947986146826</v>
      </c>
      <c r="W2230" s="3284">
        <f t="shared" si="531"/>
        <v>1.3874145718588418</v>
      </c>
      <c r="X2230" s="3300">
        <v>23</v>
      </c>
      <c r="Y2230" s="3321">
        <f t="shared" si="524"/>
        <v>0.63667820069204151</v>
      </c>
      <c r="Z2230" s="3312">
        <f t="shared" si="532"/>
        <v>24.974594604748535</v>
      </c>
      <c r="AA2230" s="3312">
        <f t="shared" si="533"/>
        <v>16.043900561691828</v>
      </c>
      <c r="AB2230" s="3325">
        <f t="shared" si="534"/>
        <v>1.5566410742024051</v>
      </c>
    </row>
    <row r="2231" spans="1:31" ht="16" thickBot="1" x14ac:dyDescent="0.25">
      <c r="A2231" s="2935" t="s">
        <v>628</v>
      </c>
      <c r="B2231" s="3005">
        <f>SUM(K2229:K2235)</f>
        <v>108.375</v>
      </c>
      <c r="C2231" s="2937">
        <v>45329</v>
      </c>
      <c r="D2231" s="3090"/>
      <c r="E2231" s="3091"/>
      <c r="F2231" s="2759"/>
      <c r="G2231" s="3092"/>
      <c r="H2231" s="3093">
        <v>8</v>
      </c>
      <c r="I2231" s="3094">
        <f t="shared" si="525"/>
        <v>0</v>
      </c>
      <c r="J2231" s="3095"/>
      <c r="K2231" s="3096" t="str">
        <f>IFERROR(VLOOKUP(F2231,Trainingsarten!$A$9:$K$84,11,FALSE),"0")</f>
        <v>0</v>
      </c>
      <c r="L2231" s="2816"/>
      <c r="M2231" s="3095"/>
      <c r="N2231" s="3097" t="str">
        <f t="shared" si="526"/>
        <v/>
      </c>
      <c r="O2231" s="3098"/>
      <c r="P2231" s="2897" t="str">
        <f>IFERROR(VLOOKUP(F2231,Trainingsarten!$A$9:$N$84,12,FALSE),"")</f>
        <v/>
      </c>
      <c r="Q2231" s="2898" t="s">
        <v>437</v>
      </c>
      <c r="R2231" s="3099" t="str">
        <f>IFERROR(VLOOKUP(F2231,Trainingsarten!$A$9:$N$84,14,FALSE),"")</f>
        <v/>
      </c>
      <c r="S2231" s="3100" t="str">
        <f t="shared" si="527"/>
        <v/>
      </c>
      <c r="T2231" s="3090">
        <f t="shared" si="528"/>
        <v>19.803389856001548</v>
      </c>
      <c r="U2231" s="3090">
        <f t="shared" si="529"/>
        <v>16.256035598009969</v>
      </c>
      <c r="V2231" s="3090">
        <f t="shared" si="530"/>
        <v>-6.451430560869639</v>
      </c>
      <c r="W2231" s="3284">
        <f t="shared" si="531"/>
        <v>1.218217672851666</v>
      </c>
      <c r="X2231" s="3300">
        <v>44</v>
      </c>
      <c r="Y2231" s="3321" t="str">
        <f t="shared" si="524"/>
        <v/>
      </c>
      <c r="Z2231" s="3312">
        <f t="shared" si="532"/>
        <v>27.69250966121303</v>
      </c>
      <c r="AA2231" s="3312">
        <f t="shared" si="533"/>
        <v>16.70952197688964</v>
      </c>
      <c r="AB2231" s="3325">
        <f t="shared" si="534"/>
        <v>1.6572891612048255</v>
      </c>
    </row>
    <row r="2232" spans="1:31" x14ac:dyDescent="0.2">
      <c r="A2232" s="2935" t="s">
        <v>761</v>
      </c>
      <c r="B2232" s="3006">
        <f>AVERAGE(W2229:W2235)</f>
        <v>1.1660663324783884</v>
      </c>
      <c r="C2232" s="2937">
        <v>45330</v>
      </c>
      <c r="D2232" s="3090"/>
      <c r="E2232" s="3091"/>
      <c r="F2232" s="2759"/>
      <c r="G2232" s="3092"/>
      <c r="H2232" s="3093" t="str">
        <f>IFERROR(VLOOKUP(F2232,Trainingsarten!$A$9:$K$84,10,FALSE),"")</f>
        <v/>
      </c>
      <c r="I2232" s="3094" t="str">
        <f t="shared" si="525"/>
        <v/>
      </c>
      <c r="J2232" s="3095"/>
      <c r="K2232" s="3096" t="str">
        <f>IFERROR(VLOOKUP(F2232,Trainingsarten!$A$9:$K$84,11,FALSE),"0")</f>
        <v>0</v>
      </c>
      <c r="L2232" s="2816"/>
      <c r="M2232" s="3095"/>
      <c r="N2232" s="3097" t="str">
        <f t="shared" si="526"/>
        <v/>
      </c>
      <c r="O2232" s="3098"/>
      <c r="P2232" s="2897" t="str">
        <f>IFERROR(VLOOKUP(F2232,Trainingsarten!$A$9:$N$84,12,FALSE),"")</f>
        <v/>
      </c>
      <c r="Q2232" s="2898" t="s">
        <v>437</v>
      </c>
      <c r="R2232" s="3099" t="str">
        <f>IFERROR(VLOOKUP(F2232,Trainingsarten!$A$9:$N$84,14,FALSE),"")</f>
        <v/>
      </c>
      <c r="S2232" s="3100" t="str">
        <f t="shared" si="527"/>
        <v/>
      </c>
      <c r="T2232" s="3090">
        <f t="shared" si="528"/>
        <v>16.97433416228704</v>
      </c>
      <c r="U2232" s="3090">
        <f t="shared" si="529"/>
        <v>15.868987131390684</v>
      </c>
      <c r="V2232" s="3090">
        <f t="shared" si="530"/>
        <v>-3.5473542579915787</v>
      </c>
      <c r="W2232" s="3284">
        <f t="shared" si="531"/>
        <v>1.069654542016097</v>
      </c>
      <c r="X2232" s="3300"/>
      <c r="Y2232" s="3321" t="str">
        <f t="shared" si="524"/>
        <v/>
      </c>
      <c r="Z2232" s="3312">
        <f t="shared" si="532"/>
        <v>23.736436852468312</v>
      </c>
      <c r="AA2232" s="3312">
        <f t="shared" si="533"/>
        <v>16.311676215535126</v>
      </c>
      <c r="AB2232" s="3325">
        <f t="shared" si="534"/>
        <v>1.455180726911554</v>
      </c>
      <c r="AC2232" s="3645"/>
      <c r="AD2232" s="3645"/>
      <c r="AE2232" s="3434" t="s">
        <v>1488</v>
      </c>
    </row>
    <row r="2233" spans="1:31" x14ac:dyDescent="0.2">
      <c r="A2233" s="2935" t="s">
        <v>979</v>
      </c>
      <c r="B2233" s="3131" t="str">
        <f>IFERROR(AVERAGE(N2229:N2235),"")</f>
        <v/>
      </c>
      <c r="C2233" s="2937">
        <v>45331</v>
      </c>
      <c r="D2233" s="3090"/>
      <c r="E2233" s="3091"/>
      <c r="F2233" s="2759" t="s">
        <v>944</v>
      </c>
      <c r="G2233" s="3092"/>
      <c r="H2233" s="3093">
        <f>IFERROR(VLOOKUP(F2233,Trainingsarten!$A$9:$K$84,10,FALSE),"")</f>
        <v>5.0855335173981304</v>
      </c>
      <c r="I2233" s="3094">
        <f t="shared" si="525"/>
        <v>0</v>
      </c>
      <c r="J2233" s="3095"/>
      <c r="K2233" s="3096">
        <f>IFERROR(VLOOKUP(F2233,Trainingsarten!$A$9:$K$84,11,FALSE),"0")</f>
        <v>36.125</v>
      </c>
      <c r="L2233" s="2816"/>
      <c r="M2233" s="3095"/>
      <c r="N2233" s="3097" t="str">
        <f t="shared" si="526"/>
        <v/>
      </c>
      <c r="O2233" s="3098"/>
      <c r="P2233" s="2897">
        <f>IFERROR(VLOOKUP(F2233,Trainingsarten!$A$9:$N$84,12,FALSE),"")</f>
        <v>194.60000000000002</v>
      </c>
      <c r="Q2233" s="2898" t="s">
        <v>437</v>
      </c>
      <c r="R2233" s="3099">
        <f>IFERROR(VLOOKUP(F2233,Trainingsarten!$A$9:$N$84,14,FALSE),"")</f>
        <v>212.96</v>
      </c>
      <c r="S2233" s="3100" t="str">
        <f t="shared" si="527"/>
        <v/>
      </c>
      <c r="T2233" s="3090">
        <f t="shared" si="528"/>
        <v>19.710143567674606</v>
      </c>
      <c r="U2233" s="3090">
        <f t="shared" si="529"/>
        <v>16.351273152071858</v>
      </c>
      <c r="V2233" s="3090">
        <f t="shared" si="530"/>
        <v>-1.1053470308963558</v>
      </c>
      <c r="W2233" s="3284">
        <f t="shared" si="531"/>
        <v>1.2054195036902768</v>
      </c>
      <c r="X2233" s="3300">
        <v>23</v>
      </c>
      <c r="Y2233" s="3321">
        <f t="shared" si="524"/>
        <v>0.63667820069204151</v>
      </c>
      <c r="Z2233" s="3312">
        <f t="shared" si="532"/>
        <v>23.631231587829983</v>
      </c>
      <c r="AA2233" s="3312">
        <f t="shared" si="533"/>
        <v>16.470922019927148</v>
      </c>
      <c r="AB2233" s="3325">
        <f t="shared" si="534"/>
        <v>1.4347242710055952</v>
      </c>
      <c r="AC2233" s="3645"/>
      <c r="AD2233" s="3645"/>
      <c r="AE2233" s="3435"/>
    </row>
    <row r="2234" spans="1:31" x14ac:dyDescent="0.2">
      <c r="A2234" s="2935" t="s">
        <v>980</v>
      </c>
      <c r="B2234" s="3006" t="str">
        <f>IFERROR(AVERAGE(S2229:S2235),"")</f>
        <v/>
      </c>
      <c r="C2234" s="2937">
        <v>45332</v>
      </c>
      <c r="D2234" s="3090"/>
      <c r="E2234" s="3091"/>
      <c r="F2234" s="2889"/>
      <c r="G2234" s="3092"/>
      <c r="H2234" s="3093">
        <v>14.5</v>
      </c>
      <c r="I2234" s="3094">
        <f t="shared" si="525"/>
        <v>0</v>
      </c>
      <c r="J2234" s="3095"/>
      <c r="K2234" s="3096" t="str">
        <f>IFERROR(VLOOKUP(F2234,Trainingsarten!$A$9:$K$84,11,FALSE),"0")</f>
        <v>0</v>
      </c>
      <c r="L2234" s="2816"/>
      <c r="M2234" s="3095"/>
      <c r="N2234" s="3097" t="str">
        <f t="shared" si="526"/>
        <v/>
      </c>
      <c r="O2234" s="3098"/>
      <c r="P2234" s="2897" t="str">
        <f>IFERROR(VLOOKUP(F2234,Trainingsarten!$A$9:$N$84,12,FALSE),"")</f>
        <v/>
      </c>
      <c r="Q2234" s="2898" t="s">
        <v>437</v>
      </c>
      <c r="R2234" s="3099" t="str">
        <f>IFERROR(VLOOKUP(F2234,Trainingsarten!$A$9:$N$84,14,FALSE),"")</f>
        <v/>
      </c>
      <c r="S2234" s="3100" t="str">
        <f t="shared" si="527"/>
        <v/>
      </c>
      <c r="T2234" s="3090">
        <f t="shared" si="528"/>
        <v>16.894408772292518</v>
      </c>
      <c r="U2234" s="3090">
        <f t="shared" si="529"/>
        <v>15.961957124641575</v>
      </c>
      <c r="V2234" s="3090">
        <f t="shared" si="530"/>
        <v>-3.3588704156027482</v>
      </c>
      <c r="W2234" s="3284">
        <f t="shared" si="531"/>
        <v>1.0584171251914625</v>
      </c>
      <c r="X2234" s="3300">
        <v>69</v>
      </c>
      <c r="Y2234" s="3321" t="str">
        <f t="shared" si="524"/>
        <v/>
      </c>
      <c r="Z2234" s="3312">
        <f t="shared" si="532"/>
        <v>30.112484218139986</v>
      </c>
      <c r="AA2234" s="3312">
        <f t="shared" si="533"/>
        <v>17.721614352786027</v>
      </c>
      <c r="AB2234" s="3325">
        <f t="shared" si="534"/>
        <v>1.6991953226544501</v>
      </c>
      <c r="AC2234" s="3645"/>
      <c r="AD2234" s="3645"/>
      <c r="AE2234" s="3435"/>
    </row>
    <row r="2235" spans="1:31" ht="16" thickBot="1" x14ac:dyDescent="0.25">
      <c r="A2235" s="2936" t="s">
        <v>183</v>
      </c>
      <c r="B2235" s="3003">
        <f>IFERROR(SUM(M2229:M2235),"")</f>
        <v>0</v>
      </c>
      <c r="C2235" s="2576">
        <v>45333</v>
      </c>
      <c r="D2235" s="1788"/>
      <c r="E2235" s="1789"/>
      <c r="F2235" s="2763"/>
      <c r="G2235" s="2577"/>
      <c r="H2235" s="2578" t="str">
        <f>IFERROR(VLOOKUP(F2235,Trainingsarten!$A$9:$K$84,10,FALSE),"")</f>
        <v/>
      </c>
      <c r="I2235" s="2579" t="str">
        <f t="shared" si="525"/>
        <v/>
      </c>
      <c r="J2235" s="2580"/>
      <c r="K2235" s="2581" t="str">
        <f>IFERROR(VLOOKUP(F2235,Trainingsarten!$A$9:$K$84,11,FALSE),"0")</f>
        <v>0</v>
      </c>
      <c r="L2235" s="3101"/>
      <c r="M2235" s="2580"/>
      <c r="N2235" s="2582" t="str">
        <f t="shared" si="526"/>
        <v/>
      </c>
      <c r="O2235" s="2583"/>
      <c r="P2235" s="3102" t="str">
        <f>IFERROR(VLOOKUP(F2235,Trainingsarten!$A$9:$N$84,12,FALSE),"")</f>
        <v/>
      </c>
      <c r="Q2235" s="3103" t="s">
        <v>437</v>
      </c>
      <c r="R2235" s="3104" t="str">
        <f>IFERROR(VLOOKUP(F2235,Trainingsarten!$A$9:$N$84,14,FALSE),"")</f>
        <v/>
      </c>
      <c r="S2235" s="2390" t="str">
        <f t="shared" si="527"/>
        <v/>
      </c>
      <c r="T2235" s="1788">
        <f t="shared" si="528"/>
        <v>14.48092180482216</v>
      </c>
      <c r="U2235" s="1788">
        <f t="shared" si="529"/>
        <v>15.581910526435824</v>
      </c>
      <c r="V2235" s="1788">
        <f t="shared" si="530"/>
        <v>-0.93245164765094302</v>
      </c>
      <c r="W2235" s="3293">
        <f t="shared" si="531"/>
        <v>0.92934186602177193</v>
      </c>
      <c r="X2235" s="3309"/>
      <c r="Y2235" s="3322" t="str">
        <f t="shared" si="524"/>
        <v/>
      </c>
      <c r="Z2235" s="3314">
        <f t="shared" si="532"/>
        <v>25.810700758405702</v>
      </c>
      <c r="AA2235" s="3314">
        <f t="shared" si="533"/>
        <v>17.299671153910168</v>
      </c>
      <c r="AB2235" s="2846">
        <f t="shared" si="534"/>
        <v>1.4919763808673221</v>
      </c>
      <c r="AC2235" s="3645"/>
      <c r="AD2235" s="3645"/>
      <c r="AE2235" s="3435"/>
    </row>
    <row r="2236" spans="1:31" ht="16" thickBot="1" x14ac:dyDescent="0.25">
      <c r="A2236" s="3439">
        <f>WEEKNUM(C2236,1)</f>
        <v>7</v>
      </c>
      <c r="B2236" s="3440"/>
      <c r="C2236" s="2585">
        <v>45334</v>
      </c>
      <c r="D2236" s="2586"/>
      <c r="E2236" s="2587"/>
      <c r="F2236" s="2761"/>
      <c r="G2236" s="2588"/>
      <c r="H2236" s="2589">
        <v>8.4</v>
      </c>
      <c r="I2236" s="2590">
        <f t="shared" si="525"/>
        <v>0</v>
      </c>
      <c r="J2236" s="2591"/>
      <c r="K2236" s="2592" t="str">
        <f>IFERROR(VLOOKUP(F2236,Trainingsarten!$A$9:$K$84,11,FALSE),"0")</f>
        <v>0</v>
      </c>
      <c r="L2236" s="2815"/>
      <c r="M2236" s="2591"/>
      <c r="N2236" s="2593" t="str">
        <f t="shared" si="526"/>
        <v/>
      </c>
      <c r="O2236" s="2594"/>
      <c r="P2236" s="1919" t="str">
        <f>IFERROR(VLOOKUP(F2236,Trainingsarten!$A$9:$N$84,12,FALSE),"")</f>
        <v/>
      </c>
      <c r="Q2236" s="2461" t="s">
        <v>437</v>
      </c>
      <c r="R2236" s="3089" t="str">
        <f>IFERROR(VLOOKUP(F2236,Trainingsarten!$A$9:$N$84,14,FALSE),"")</f>
        <v/>
      </c>
      <c r="S2236" s="2595" t="str">
        <f t="shared" si="527"/>
        <v/>
      </c>
      <c r="T2236" s="2586">
        <f t="shared" si="528"/>
        <v>12.412218689847565</v>
      </c>
      <c r="U2236" s="2586">
        <f t="shared" si="529"/>
        <v>15.210912656758779</v>
      </c>
      <c r="V2236" s="2586">
        <f t="shared" si="530"/>
        <v>1.100988721613664</v>
      </c>
      <c r="W2236" s="3283">
        <f t="shared" si="531"/>
        <v>0.81600749211667789</v>
      </c>
      <c r="X2236" s="3298">
        <v>52</v>
      </c>
      <c r="Y2236" s="3315" t="str">
        <f t="shared" si="524"/>
        <v/>
      </c>
      <c r="Z2236" s="1111">
        <f t="shared" si="532"/>
        <v>29.552029221490603</v>
      </c>
      <c r="AA2236" s="1111">
        <f t="shared" si="533"/>
        <v>18.125869459769451</v>
      </c>
      <c r="AB2236" s="2449">
        <f t="shared" si="534"/>
        <v>1.6303785750571373</v>
      </c>
      <c r="AC2236" s="3645"/>
      <c r="AD2236" s="3645"/>
      <c r="AE2236" s="3435"/>
    </row>
    <row r="2237" spans="1:31" ht="16" thickBot="1" x14ac:dyDescent="0.25">
      <c r="A2237" s="2934" t="s">
        <v>626</v>
      </c>
      <c r="B2237" s="3004">
        <f>SUM(H2236:H2242)</f>
        <v>42.471067034796263</v>
      </c>
      <c r="C2237" s="2937">
        <v>45335</v>
      </c>
      <c r="D2237" s="3090"/>
      <c r="E2237" s="3091"/>
      <c r="F2237" s="2759" t="s">
        <v>944</v>
      </c>
      <c r="G2237" s="3092"/>
      <c r="H2237" s="3093">
        <f>IFERROR(VLOOKUP(F2237,Trainingsarten!$A$9:$K$84,10,FALSE),"")</f>
        <v>5.0855335173981304</v>
      </c>
      <c r="I2237" s="3094">
        <f t="shared" si="525"/>
        <v>0</v>
      </c>
      <c r="J2237" s="3095"/>
      <c r="K2237" s="3096">
        <f>IFERROR(VLOOKUP(F2237,Trainingsarten!$A$9:$K$84,11,FALSE),"0")</f>
        <v>36.125</v>
      </c>
      <c r="L2237" s="2816"/>
      <c r="M2237" s="3095"/>
      <c r="N2237" s="3097" t="str">
        <f t="shared" si="526"/>
        <v/>
      </c>
      <c r="O2237" s="3098"/>
      <c r="P2237" s="2897">
        <f>IFERROR(VLOOKUP(F2237,Trainingsarten!$A$9:$N$84,12,FALSE),"")</f>
        <v>194.60000000000002</v>
      </c>
      <c r="Q2237" s="2898" t="s">
        <v>437</v>
      </c>
      <c r="R2237" s="3099">
        <f>IFERROR(VLOOKUP(F2237,Trainingsarten!$A$9:$N$84,14,FALSE),"")</f>
        <v>212.96</v>
      </c>
      <c r="S2237" s="3100" t="str">
        <f t="shared" si="527"/>
        <v/>
      </c>
      <c r="T2237" s="3090">
        <f t="shared" si="528"/>
        <v>15.799758877012199</v>
      </c>
      <c r="U2237" s="3090">
        <f t="shared" si="529"/>
        <v>15.708867117312142</v>
      </c>
      <c r="V2237" s="3090">
        <f t="shared" si="530"/>
        <v>2.7986939669112143</v>
      </c>
      <c r="W2237" s="3284">
        <f t="shared" si="531"/>
        <v>1.0057860162048151</v>
      </c>
      <c r="X2237" s="3300">
        <v>20</v>
      </c>
      <c r="Y2237" s="3316">
        <f t="shared" si="524"/>
        <v>0.55363321799307963</v>
      </c>
      <c r="Z2237" s="2597">
        <f t="shared" si="532"/>
        <v>28.187453618420516</v>
      </c>
      <c r="AA2237" s="2597">
        <f t="shared" si="533"/>
        <v>18.170491615489226</v>
      </c>
      <c r="AB2237" s="3325">
        <f t="shared" si="534"/>
        <v>1.5512763338991029</v>
      </c>
      <c r="AC2237" s="3645"/>
      <c r="AD2237" s="3645"/>
      <c r="AE2237" s="3436"/>
    </row>
    <row r="2238" spans="1:31" x14ac:dyDescent="0.2">
      <c r="A2238" s="2935" t="s">
        <v>628</v>
      </c>
      <c r="B2238" s="3005">
        <f>SUM(K2236:K2242)</f>
        <v>72.25</v>
      </c>
      <c r="C2238" s="2937">
        <v>45336</v>
      </c>
      <c r="D2238" s="3090"/>
      <c r="E2238" s="3091"/>
      <c r="F2238" s="2759"/>
      <c r="G2238" s="3092"/>
      <c r="H2238" s="3093">
        <v>8.6</v>
      </c>
      <c r="I2238" s="3094">
        <f t="shared" si="525"/>
        <v>0</v>
      </c>
      <c r="J2238" s="3095"/>
      <c r="K2238" s="3096" t="str">
        <f>IFERROR(VLOOKUP(F2238,Trainingsarten!$A$9:$K$84,11,FALSE),"0")</f>
        <v>0</v>
      </c>
      <c r="L2238" s="2816"/>
      <c r="M2238" s="3095"/>
      <c r="N2238" s="3097" t="str">
        <f t="shared" si="526"/>
        <v/>
      </c>
      <c r="O2238" s="3098"/>
      <c r="P2238" s="2897" t="str">
        <f>IFERROR(VLOOKUP(F2238,Trainingsarten!$A$9:$N$84,12,FALSE),"")</f>
        <v/>
      </c>
      <c r="Q2238" s="2898" t="s">
        <v>437</v>
      </c>
      <c r="R2238" s="3099" t="str">
        <f>IFERROR(VLOOKUP(F2238,Trainingsarten!$A$9:$N$84,14,FALSE),"")</f>
        <v/>
      </c>
      <c r="S2238" s="3100" t="str">
        <f t="shared" si="527"/>
        <v/>
      </c>
      <c r="T2238" s="3090">
        <f t="shared" si="528"/>
        <v>13.542650466010457</v>
      </c>
      <c r="U2238" s="3090">
        <f t="shared" si="529"/>
        <v>15.334846471661853</v>
      </c>
      <c r="V2238" s="3090">
        <f t="shared" si="530"/>
        <v>-9.0891759700056696E-2</v>
      </c>
      <c r="W2238" s="3284">
        <f t="shared" si="531"/>
        <v>0.88312918496032555</v>
      </c>
      <c r="X2238" s="3300">
        <v>52</v>
      </c>
      <c r="Y2238" s="3316" t="str">
        <f t="shared" si="524"/>
        <v/>
      </c>
      <c r="Z2238" s="2597">
        <f t="shared" si="532"/>
        <v>31.589245958646156</v>
      </c>
      <c r="AA2238" s="2597">
        <f t="shared" si="533"/>
        <v>18.975956100834722</v>
      </c>
      <c r="AB2238" s="3325">
        <f t="shared" si="534"/>
        <v>1.6646985158896208</v>
      </c>
    </row>
    <row r="2239" spans="1:31" x14ac:dyDescent="0.2">
      <c r="A2239" s="2935" t="s">
        <v>761</v>
      </c>
      <c r="B2239" s="3006">
        <f>AVERAGE(W2236:W2242)</f>
        <v>0.86674640949580362</v>
      </c>
      <c r="C2239" s="2937">
        <v>45337</v>
      </c>
      <c r="D2239" s="3090"/>
      <c r="E2239" s="3091"/>
      <c r="F2239" s="2759"/>
      <c r="G2239" s="3092"/>
      <c r="H2239" s="3093" t="str">
        <f>IFERROR(VLOOKUP(F2239,Trainingsarten!$A$9:$K$84,10,FALSE),"")</f>
        <v/>
      </c>
      <c r="I2239" s="3094" t="str">
        <f t="shared" si="525"/>
        <v/>
      </c>
      <c r="J2239" s="3095"/>
      <c r="K2239" s="3096" t="str">
        <f>IFERROR(VLOOKUP(F2239,Trainingsarten!$A$9:$K$84,11,FALSE),"0")</f>
        <v>0</v>
      </c>
      <c r="L2239" s="2816"/>
      <c r="M2239" s="3095"/>
      <c r="N2239" s="3097" t="str">
        <f t="shared" si="526"/>
        <v/>
      </c>
      <c r="O2239" s="3098"/>
      <c r="P2239" s="2897" t="str">
        <f>IFERROR(VLOOKUP(F2239,Trainingsarten!$A$9:$N$84,12,FALSE),"")</f>
        <v/>
      </c>
      <c r="Q2239" s="2898" t="s">
        <v>437</v>
      </c>
      <c r="R2239" s="3099" t="str">
        <f>IFERROR(VLOOKUP(F2239,Trainingsarten!$A$9:$N$84,14,FALSE),"")</f>
        <v/>
      </c>
      <c r="S2239" s="3100" t="str">
        <f t="shared" si="527"/>
        <v/>
      </c>
      <c r="T2239" s="3090">
        <f t="shared" si="528"/>
        <v>11.607986113723248</v>
      </c>
      <c r="U2239" s="3090">
        <f t="shared" si="529"/>
        <v>14.969731079479429</v>
      </c>
      <c r="V2239" s="3090">
        <f t="shared" si="530"/>
        <v>1.7921960056513964</v>
      </c>
      <c r="W2239" s="3284">
        <f t="shared" si="531"/>
        <v>0.77543050386760293</v>
      </c>
      <c r="X2239" s="3300"/>
      <c r="Y2239" s="3316" t="str">
        <f t="shared" si="524"/>
        <v/>
      </c>
      <c r="Z2239" s="2597">
        <f t="shared" si="532"/>
        <v>27.076496535982422</v>
      </c>
      <c r="AA2239" s="2597">
        <f t="shared" si="533"/>
        <v>18.524147622243419</v>
      </c>
      <c r="AB2239" s="3325">
        <f t="shared" si="534"/>
        <v>1.4616865017567404</v>
      </c>
    </row>
    <row r="2240" spans="1:31" x14ac:dyDescent="0.2">
      <c r="A2240" s="2935" t="s">
        <v>979</v>
      </c>
      <c r="B2240" s="3131" t="str">
        <f>IFERROR(AVERAGE(N2236:N2242),"")</f>
        <v/>
      </c>
      <c r="C2240" s="2937">
        <v>45338</v>
      </c>
      <c r="D2240" s="3090"/>
      <c r="E2240" s="3091"/>
      <c r="F2240" s="2759" t="s">
        <v>944</v>
      </c>
      <c r="G2240" s="3092"/>
      <c r="H2240" s="3093">
        <f>IFERROR(VLOOKUP(F2240,Trainingsarten!$A$9:$K$84,10,FALSE),"")</f>
        <v>5.0855335173981304</v>
      </c>
      <c r="I2240" s="3094">
        <f t="shared" si="525"/>
        <v>0</v>
      </c>
      <c r="J2240" s="3095"/>
      <c r="K2240" s="3096">
        <f>IFERROR(VLOOKUP(F2240,Trainingsarten!$A$9:$K$84,11,FALSE),"0")</f>
        <v>36.125</v>
      </c>
      <c r="L2240" s="2816"/>
      <c r="M2240" s="3095"/>
      <c r="N2240" s="3097" t="str">
        <f t="shared" si="526"/>
        <v/>
      </c>
      <c r="O2240" s="3098"/>
      <c r="P2240" s="2897">
        <f>IFERROR(VLOOKUP(F2240,Trainingsarten!$A$9:$N$84,12,FALSE),"")</f>
        <v>194.60000000000002</v>
      </c>
      <c r="Q2240" s="2898" t="s">
        <v>437</v>
      </c>
      <c r="R2240" s="3099">
        <f>IFERROR(VLOOKUP(F2240,Trainingsarten!$A$9:$N$84,14,FALSE),"")</f>
        <v>212.96</v>
      </c>
      <c r="S2240" s="3100" t="str">
        <f t="shared" si="527"/>
        <v/>
      </c>
      <c r="T2240" s="3090">
        <f t="shared" si="528"/>
        <v>15.110416668905641</v>
      </c>
      <c r="U2240" s="3090">
        <f t="shared" si="529"/>
        <v>15.473427958539443</v>
      </c>
      <c r="V2240" s="3090">
        <f t="shared" si="530"/>
        <v>3.3617449657561806</v>
      </c>
      <c r="W2240" s="3284">
        <f t="shared" si="531"/>
        <v>0.97653969820995845</v>
      </c>
      <c r="X2240" s="3300">
        <v>23</v>
      </c>
      <c r="Y2240" s="3316">
        <f t="shared" si="524"/>
        <v>0.63667820069204151</v>
      </c>
      <c r="Z2240" s="2597">
        <f t="shared" si="532"/>
        <v>26.494139887984932</v>
      </c>
      <c r="AA2240" s="2597">
        <f t="shared" si="533"/>
        <v>18.630715535999528</v>
      </c>
      <c r="AB2240" s="3325">
        <f t="shared" si="534"/>
        <v>1.4220677588464685</v>
      </c>
    </row>
    <row r="2241" spans="1:31" x14ac:dyDescent="0.2">
      <c r="A2241" s="2935" t="s">
        <v>980</v>
      </c>
      <c r="B2241" s="3006" t="str">
        <f>IFERROR(AVERAGE(S2236:S2242),"")</f>
        <v/>
      </c>
      <c r="C2241" s="2937">
        <v>45339</v>
      </c>
      <c r="D2241" s="3090"/>
      <c r="E2241" s="3091"/>
      <c r="F2241" s="2889"/>
      <c r="G2241" s="3092"/>
      <c r="H2241" s="3093">
        <v>15.3</v>
      </c>
      <c r="I2241" s="3094">
        <f t="shared" si="525"/>
        <v>0</v>
      </c>
      <c r="J2241" s="3095"/>
      <c r="K2241" s="3096" t="str">
        <f>IFERROR(VLOOKUP(F2241,Trainingsarten!$A$9:$K$84,11,FALSE),"0")</f>
        <v>0</v>
      </c>
      <c r="L2241" s="2816"/>
      <c r="M2241" s="3095"/>
      <c r="N2241" s="3097" t="str">
        <f t="shared" si="526"/>
        <v/>
      </c>
      <c r="O2241" s="3098"/>
      <c r="P2241" s="2897" t="str">
        <f>IFERROR(VLOOKUP(F2241,Trainingsarten!$A$9:$N$84,12,FALSE),"")</f>
        <v/>
      </c>
      <c r="Q2241" s="2898" t="s">
        <v>437</v>
      </c>
      <c r="R2241" s="3099" t="str">
        <f>IFERROR(VLOOKUP(F2241,Trainingsarten!$A$9:$N$84,14,FALSE),"")</f>
        <v/>
      </c>
      <c r="S2241" s="3100" t="str">
        <f t="shared" si="527"/>
        <v/>
      </c>
      <c r="T2241" s="3090">
        <f t="shared" si="528"/>
        <v>12.951785716204835</v>
      </c>
      <c r="U2241" s="3090">
        <f t="shared" si="529"/>
        <v>15.105013007145645</v>
      </c>
      <c r="V2241" s="3090">
        <f t="shared" si="530"/>
        <v>0.36301128963380158</v>
      </c>
      <c r="W2241" s="3284">
        <f t="shared" si="531"/>
        <v>0.85744949111118307</v>
      </c>
      <c r="X2241" s="3300">
        <v>73</v>
      </c>
      <c r="Y2241" s="3316" t="str">
        <f t="shared" si="524"/>
        <v/>
      </c>
      <c r="Z2241" s="2597">
        <f t="shared" si="532"/>
        <v>33.137834189701373</v>
      </c>
      <c r="AA2241" s="2597">
        <f t="shared" si="533"/>
        <v>19.92522230895192</v>
      </c>
      <c r="AB2241" s="3325">
        <f t="shared" si="534"/>
        <v>1.6631098853443329</v>
      </c>
    </row>
    <row r="2242" spans="1:31" ht="16" thickBot="1" x14ac:dyDescent="0.25">
      <c r="A2242" s="2936" t="s">
        <v>183</v>
      </c>
      <c r="B2242" s="3003">
        <f>IFERROR(SUM(M2236:M2242),"")</f>
        <v>0</v>
      </c>
      <c r="C2242" s="2576">
        <v>45340</v>
      </c>
      <c r="D2242" s="1788"/>
      <c r="E2242" s="1789"/>
      <c r="F2242" s="2763"/>
      <c r="G2242" s="2577"/>
      <c r="H2242" s="2578" t="str">
        <f>IFERROR(VLOOKUP(F2242,Trainingsarten!$A$9:$K$84,10,FALSE),"")</f>
        <v/>
      </c>
      <c r="I2242" s="2579" t="str">
        <f t="shared" si="525"/>
        <v/>
      </c>
      <c r="J2242" s="2580"/>
      <c r="K2242" s="2581" t="str">
        <f>IFERROR(VLOOKUP(F2242,Trainingsarten!$A$9:$K$84,11,FALSE),"0")</f>
        <v>0</v>
      </c>
      <c r="L2242" s="3101"/>
      <c r="M2242" s="2580"/>
      <c r="N2242" s="2582" t="str">
        <f t="shared" si="526"/>
        <v/>
      </c>
      <c r="O2242" s="2583"/>
      <c r="P2242" s="3102" t="str">
        <f>IFERROR(VLOOKUP(F2242,Trainingsarten!$A$9:$N$84,12,FALSE),"")</f>
        <v/>
      </c>
      <c r="Q2242" s="3103" t="s">
        <v>437</v>
      </c>
      <c r="R2242" s="3104" t="str">
        <f>IFERROR(VLOOKUP(F2242,Trainingsarten!$A$9:$N$84,14,FALSE),"")</f>
        <v/>
      </c>
      <c r="S2242" s="2390" t="str">
        <f t="shared" si="527"/>
        <v/>
      </c>
      <c r="T2242" s="1788">
        <f t="shared" si="528"/>
        <v>11.101530613889858</v>
      </c>
      <c r="U2242" s="1788">
        <f t="shared" si="529"/>
        <v>14.745369840308845</v>
      </c>
      <c r="V2242" s="1788">
        <f t="shared" si="530"/>
        <v>2.1532272909408103</v>
      </c>
      <c r="W2242" s="3293">
        <f t="shared" si="531"/>
        <v>0.75288248000006319</v>
      </c>
      <c r="X2242" s="3336"/>
      <c r="Y2242" s="3326" t="str">
        <f t="shared" si="524"/>
        <v/>
      </c>
      <c r="Z2242" s="3327">
        <f t="shared" si="532"/>
        <v>28.403857876886889</v>
      </c>
      <c r="AA2242" s="3327">
        <f t="shared" si="533"/>
        <v>19.450812253976874</v>
      </c>
      <c r="AB2242" s="3328">
        <f t="shared" si="534"/>
        <v>1.4602916066438045</v>
      </c>
      <c r="AE2242" s="367" t="s">
        <v>1502</v>
      </c>
    </row>
    <row r="2243" spans="1:31" ht="16" thickBot="1" x14ac:dyDescent="0.25">
      <c r="A2243" s="3439">
        <f>WEEKNUM(C2243,1)</f>
        <v>8</v>
      </c>
      <c r="B2243" s="3440"/>
      <c r="C2243" s="2585">
        <v>45341</v>
      </c>
      <c r="D2243" s="2586"/>
      <c r="E2243" s="2587"/>
      <c r="F2243" s="2759" t="s">
        <v>944</v>
      </c>
      <c r="G2243" s="2588"/>
      <c r="H2243" s="2589">
        <f>IFERROR(VLOOKUP(F2243,Trainingsarten!$A$9:$K$84,10,FALSE),"")</f>
        <v>5.0855335173981304</v>
      </c>
      <c r="I2243" s="2590">
        <f t="shared" si="525"/>
        <v>0</v>
      </c>
      <c r="J2243" s="2591"/>
      <c r="K2243" s="2592">
        <f>IFERROR(VLOOKUP(F2243,Trainingsarten!$A$9:$K$84,11,FALSE),"0")</f>
        <v>36.125</v>
      </c>
      <c r="L2243" s="2815"/>
      <c r="M2243" s="2591"/>
      <c r="N2243" s="2593" t="str">
        <f t="shared" si="526"/>
        <v/>
      </c>
      <c r="O2243" s="2594"/>
      <c r="P2243" s="1919">
        <f>IFERROR(VLOOKUP(F2243,Trainingsarten!$A$9:$N$84,12,FALSE),"")</f>
        <v>194.60000000000002</v>
      </c>
      <c r="Q2243" s="2461" t="s">
        <v>437</v>
      </c>
      <c r="R2243" s="3089">
        <f>IFERROR(VLOOKUP(F2243,Trainingsarten!$A$9:$N$84,14,FALSE),"")</f>
        <v>212.96</v>
      </c>
      <c r="S2243" s="2595" t="str">
        <f t="shared" si="527"/>
        <v/>
      </c>
      <c r="T2243" s="2586">
        <f t="shared" si="528"/>
        <v>14.676311954762737</v>
      </c>
      <c r="U2243" s="2586">
        <f t="shared" si="529"/>
        <v>15.254408653634824</v>
      </c>
      <c r="V2243" s="2586">
        <f t="shared" si="530"/>
        <v>3.6438392264189865</v>
      </c>
      <c r="W2243" s="3283">
        <f t="shared" si="531"/>
        <v>0.96210297547428436</v>
      </c>
      <c r="X2243" s="3308">
        <v>20</v>
      </c>
      <c r="Y2243" s="3337">
        <f t="shared" si="524"/>
        <v>0.55363321799307963</v>
      </c>
      <c r="Z2243" s="2586">
        <f t="shared" si="532"/>
        <v>27.203306751617333</v>
      </c>
      <c r="AA2243" s="2586">
        <f t="shared" si="533"/>
        <v>19.463888152691709</v>
      </c>
      <c r="AB2243" s="2595">
        <f t="shared" si="534"/>
        <v>1.3976296276576847</v>
      </c>
    </row>
    <row r="2244" spans="1:31" x14ac:dyDescent="0.2">
      <c r="A2244" s="2934" t="s">
        <v>626</v>
      </c>
      <c r="B2244" s="3004">
        <f>SUM(H2243:H2249)</f>
        <v>30.156600552194391</v>
      </c>
      <c r="C2244" s="2937">
        <v>45342</v>
      </c>
      <c r="D2244" s="3090"/>
      <c r="E2244" s="3091"/>
      <c r="F2244" s="2759" t="s">
        <v>944</v>
      </c>
      <c r="G2244" s="3092"/>
      <c r="H2244" s="3093">
        <f>IFERROR(VLOOKUP(F2244,Trainingsarten!$A$9:$K$84,10,FALSE),"")</f>
        <v>5.0855335173981304</v>
      </c>
      <c r="I2244" s="3094">
        <f t="shared" si="525"/>
        <v>0</v>
      </c>
      <c r="J2244" s="3095"/>
      <c r="K2244" s="3096">
        <f>IFERROR(VLOOKUP(F2244,Trainingsarten!$A$9:$K$84,11,FALSE),"0")</f>
        <v>36.125</v>
      </c>
      <c r="L2244" s="2816"/>
      <c r="M2244" s="3095"/>
      <c r="N2244" s="3097" t="str">
        <f t="shared" si="526"/>
        <v/>
      </c>
      <c r="O2244" s="3098"/>
      <c r="P2244" s="2897">
        <f>IFERROR(VLOOKUP(F2244,Trainingsarten!$A$9:$N$84,12,FALSE),"")</f>
        <v>194.60000000000002</v>
      </c>
      <c r="Q2244" s="2898" t="s">
        <v>437</v>
      </c>
      <c r="R2244" s="3099">
        <f>IFERROR(VLOOKUP(F2244,Trainingsarten!$A$9:$N$84,14,FALSE),"")</f>
        <v>212.96</v>
      </c>
      <c r="S2244" s="3100" t="str">
        <f t="shared" si="527"/>
        <v/>
      </c>
      <c r="T2244" s="3090">
        <f t="shared" si="528"/>
        <v>17.74041024693949</v>
      </c>
      <c r="U2244" s="3090">
        <f t="shared" si="529"/>
        <v>15.751327495214948</v>
      </c>
      <c r="V2244" s="3090">
        <f t="shared" si="530"/>
        <v>0.5780966988720877</v>
      </c>
      <c r="W2244" s="3284">
        <f t="shared" si="531"/>
        <v>1.1262803247744546</v>
      </c>
      <c r="X2244" s="3300">
        <v>23</v>
      </c>
      <c r="Y2244" s="3316">
        <f t="shared" si="524"/>
        <v>0.63667820069204151</v>
      </c>
      <c r="Z2244" s="3338">
        <f t="shared" si="532"/>
        <v>26.602834358529144</v>
      </c>
      <c r="AA2244" s="3338">
        <f t="shared" si="533"/>
        <v>19.548081291913334</v>
      </c>
      <c r="AB2244" s="3339">
        <f t="shared" si="534"/>
        <v>1.3608923536415938</v>
      </c>
    </row>
    <row r="2245" spans="1:31" x14ac:dyDescent="0.2">
      <c r="A2245" s="2935" t="s">
        <v>628</v>
      </c>
      <c r="B2245" s="3005">
        <f>SUM(K2243:K2249)</f>
        <v>108.375</v>
      </c>
      <c r="C2245" s="2937">
        <v>45343</v>
      </c>
      <c r="D2245" s="3090"/>
      <c r="E2245" s="3091"/>
      <c r="F2245" s="2759"/>
      <c r="G2245" s="3092"/>
      <c r="H2245" s="3093">
        <v>6.9</v>
      </c>
      <c r="I2245" s="3094">
        <f t="shared" si="525"/>
        <v>0</v>
      </c>
      <c r="J2245" s="3095"/>
      <c r="K2245" s="3096" t="str">
        <f>IFERROR(VLOOKUP(F2245,Trainingsarten!$A$9:$K$84,11,FALSE),"0")</f>
        <v>0</v>
      </c>
      <c r="L2245" s="2816"/>
      <c r="M2245" s="3095"/>
      <c r="N2245" s="3097" t="str">
        <f t="shared" si="526"/>
        <v/>
      </c>
      <c r="O2245" s="3098"/>
      <c r="P2245" s="2897" t="str">
        <f>IFERROR(VLOOKUP(F2245,Trainingsarten!$A$9:$N$84,12,FALSE),"")</f>
        <v/>
      </c>
      <c r="Q2245" s="2898" t="s">
        <v>437</v>
      </c>
      <c r="R2245" s="3099" t="str">
        <f>IFERROR(VLOOKUP(F2245,Trainingsarten!$A$9:$N$84,14,FALSE),"")</f>
        <v/>
      </c>
      <c r="S2245" s="3100" t="str">
        <f t="shared" si="527"/>
        <v/>
      </c>
      <c r="T2245" s="3090">
        <f t="shared" si="528"/>
        <v>15.206065925948135</v>
      </c>
      <c r="U2245" s="3090">
        <f t="shared" si="529"/>
        <v>15.376295888186021</v>
      </c>
      <c r="V2245" s="3090">
        <f t="shared" si="530"/>
        <v>-1.989082751724542</v>
      </c>
      <c r="W2245" s="3284">
        <f t="shared" si="531"/>
        <v>0.98892906565561878</v>
      </c>
      <c r="X2245" s="3300">
        <v>42</v>
      </c>
      <c r="Y2245" s="3316" t="str">
        <f t="shared" si="524"/>
        <v/>
      </c>
      <c r="Z2245" s="3338">
        <f t="shared" si="532"/>
        <v>28.802429450167839</v>
      </c>
      <c r="AA2245" s="3338">
        <f t="shared" si="533"/>
        <v>20.082650784963018</v>
      </c>
      <c r="AB2245" s="3339">
        <f t="shared" si="534"/>
        <v>1.4341946070054554</v>
      </c>
    </row>
    <row r="2246" spans="1:31" x14ac:dyDescent="0.2">
      <c r="A2246" s="2935" t="s">
        <v>761</v>
      </c>
      <c r="B2246" s="3006">
        <f>AVERAGE(W2243:W2249)</f>
        <v>0.96208767418306729</v>
      </c>
      <c r="C2246" s="2937">
        <v>45344</v>
      </c>
      <c r="D2246" s="3090"/>
      <c r="E2246" s="3091"/>
      <c r="F2246" s="2759"/>
      <c r="G2246" s="3092"/>
      <c r="H2246" s="3093" t="str">
        <f>IFERROR(VLOOKUP(F2246,Trainingsarten!$A$9:$K$84,10,FALSE),"")</f>
        <v/>
      </c>
      <c r="I2246" s="3094" t="str">
        <f t="shared" si="525"/>
        <v/>
      </c>
      <c r="J2246" s="3095"/>
      <c r="K2246" s="3096" t="str">
        <f>IFERROR(VLOOKUP(F2246,Trainingsarten!$A$9:$K$84,11,FALSE),"0")</f>
        <v>0</v>
      </c>
      <c r="L2246" s="2816"/>
      <c r="M2246" s="3095"/>
      <c r="N2246" s="3097" t="str">
        <f t="shared" si="526"/>
        <v/>
      </c>
      <c r="O2246" s="3098"/>
      <c r="P2246" s="2897" t="str">
        <f>IFERROR(VLOOKUP(F2246,Trainingsarten!$A$9:$N$84,12,FALSE),"")</f>
        <v/>
      </c>
      <c r="Q2246" s="2898" t="s">
        <v>437</v>
      </c>
      <c r="R2246" s="3099" t="str">
        <f>IFERROR(VLOOKUP(F2246,Trainingsarten!$A$9:$N$84,14,FALSE),"")</f>
        <v/>
      </c>
      <c r="S2246" s="3100" t="str">
        <f t="shared" si="527"/>
        <v/>
      </c>
      <c r="T2246" s="3090">
        <f t="shared" si="528"/>
        <v>13.033770793669831</v>
      </c>
      <c r="U2246" s="3090">
        <f t="shared" si="529"/>
        <v>15.010193605133974</v>
      </c>
      <c r="V2246" s="3090">
        <f t="shared" si="530"/>
        <v>0.17022996223788667</v>
      </c>
      <c r="W2246" s="3284">
        <f t="shared" si="531"/>
        <v>0.8683279600878604</v>
      </c>
      <c r="X2246" s="3300"/>
      <c r="Y2246" s="3316" t="str">
        <f t="shared" si="524"/>
        <v/>
      </c>
      <c r="Z2246" s="3338">
        <f t="shared" si="532"/>
        <v>24.687796671572436</v>
      </c>
      <c r="AA2246" s="3338">
        <f t="shared" si="533"/>
        <v>19.604492432940088</v>
      </c>
      <c r="AB2246" s="3339">
        <f t="shared" si="534"/>
        <v>1.2592928256633269</v>
      </c>
    </row>
    <row r="2247" spans="1:31" x14ac:dyDescent="0.2">
      <c r="A2247" s="2935" t="s">
        <v>979</v>
      </c>
      <c r="B2247" s="3131" t="str">
        <f>IFERROR(AVERAGE(N2243:N2249),"")</f>
        <v/>
      </c>
      <c r="C2247" s="2937">
        <v>45345</v>
      </c>
      <c r="D2247" s="3090"/>
      <c r="E2247" s="3091"/>
      <c r="F2247" s="2759" t="s">
        <v>944</v>
      </c>
      <c r="G2247" s="3092"/>
      <c r="H2247" s="3093">
        <f>IFERROR(VLOOKUP(F2247,Trainingsarten!$A$9:$K$84,10,FALSE),"")</f>
        <v>5.0855335173981304</v>
      </c>
      <c r="I2247" s="3094">
        <f t="shared" si="525"/>
        <v>0</v>
      </c>
      <c r="J2247" s="3095"/>
      <c r="K2247" s="3096">
        <f>IFERROR(VLOOKUP(F2247,Trainingsarten!$A$9:$K$84,11,FALSE),"0")</f>
        <v>36.125</v>
      </c>
      <c r="L2247" s="2816"/>
      <c r="M2247" s="3095"/>
      <c r="N2247" s="3097" t="str">
        <f t="shared" si="526"/>
        <v/>
      </c>
      <c r="O2247" s="3098"/>
      <c r="P2247" s="2897">
        <f>IFERROR(VLOOKUP(F2247,Trainingsarten!$A$9:$N$84,12,FALSE),"")</f>
        <v>194.60000000000002</v>
      </c>
      <c r="Q2247" s="2898" t="s">
        <v>437</v>
      </c>
      <c r="R2247" s="3099">
        <f>IFERROR(VLOOKUP(F2247,Trainingsarten!$A$9:$N$84,14,FALSE),"")</f>
        <v>212.96</v>
      </c>
      <c r="S2247" s="3100" t="str">
        <f t="shared" si="527"/>
        <v/>
      </c>
      <c r="T2247" s="3090">
        <f t="shared" si="528"/>
        <v>16.332517823145569</v>
      </c>
      <c r="U2247" s="3090">
        <f t="shared" si="529"/>
        <v>15.512927090726022</v>
      </c>
      <c r="V2247" s="3090">
        <f t="shared" si="530"/>
        <v>1.9764228114641433</v>
      </c>
      <c r="W2247" s="3284">
        <f t="shared" si="531"/>
        <v>1.0528327586164907</v>
      </c>
      <c r="X2247" s="3300">
        <v>23</v>
      </c>
      <c r="Y2247" s="3316">
        <f t="shared" si="524"/>
        <v>0.63667820069204151</v>
      </c>
      <c r="Z2247" s="3338">
        <f t="shared" si="532"/>
        <v>24.446682861347803</v>
      </c>
      <c r="AA2247" s="3338">
        <f t="shared" si="533"/>
        <v>19.685337851203418</v>
      </c>
      <c r="AB2247" s="3339">
        <f t="shared" si="534"/>
        <v>1.2418726590386313</v>
      </c>
    </row>
    <row r="2248" spans="1:31" x14ac:dyDescent="0.2">
      <c r="A2248" s="2935" t="s">
        <v>980</v>
      </c>
      <c r="B2248" s="3006" t="str">
        <f>IFERROR(AVERAGE(S2243:S2249),"")</f>
        <v/>
      </c>
      <c r="C2248" s="2937">
        <v>45346</v>
      </c>
      <c r="D2248" s="3090"/>
      <c r="E2248" s="3091"/>
      <c r="F2248" s="2889"/>
      <c r="G2248" s="3092"/>
      <c r="H2248" s="3093">
        <v>8</v>
      </c>
      <c r="I2248" s="3094">
        <f t="shared" si="525"/>
        <v>0</v>
      </c>
      <c r="J2248" s="3095"/>
      <c r="K2248" s="3096" t="str">
        <f>IFERROR(VLOOKUP(F2248,Trainingsarten!$A$9:$K$84,11,FALSE),"0")</f>
        <v>0</v>
      </c>
      <c r="L2248" s="2816"/>
      <c r="M2248" s="3095"/>
      <c r="N2248" s="3097" t="str">
        <f t="shared" si="526"/>
        <v/>
      </c>
      <c r="O2248" s="3098"/>
      <c r="P2248" s="2897" t="str">
        <f>IFERROR(VLOOKUP(F2248,Trainingsarten!$A$9:$N$84,12,FALSE),"")</f>
        <v/>
      </c>
      <c r="Q2248" s="2898" t="s">
        <v>437</v>
      </c>
      <c r="R2248" s="3099" t="str">
        <f>IFERROR(VLOOKUP(F2248,Trainingsarten!$A$9:$N$84,14,FALSE),"")</f>
        <v/>
      </c>
      <c r="S2248" s="3100" t="str">
        <f t="shared" si="527"/>
        <v/>
      </c>
      <c r="T2248" s="3090">
        <f t="shared" si="528"/>
        <v>13.999300991267631</v>
      </c>
      <c r="U2248" s="3090">
        <f t="shared" si="529"/>
        <v>15.143571683803973</v>
      </c>
      <c r="V2248" s="3090">
        <f t="shared" si="530"/>
        <v>-0.81959073241954705</v>
      </c>
      <c r="W2248" s="3284">
        <f t="shared" si="531"/>
        <v>0.92443851976082114</v>
      </c>
      <c r="X2248" s="3300">
        <v>51</v>
      </c>
      <c r="Y2248" s="3316" t="str">
        <f t="shared" si="524"/>
        <v/>
      </c>
      <c r="Z2248" s="3338">
        <f t="shared" si="532"/>
        <v>28.24001388115526</v>
      </c>
      <c r="AA2248" s="3338">
        <f t="shared" si="533"/>
        <v>20.430925045222384</v>
      </c>
      <c r="AB2248" s="3339">
        <f t="shared" si="534"/>
        <v>1.3822190536477432</v>
      </c>
    </row>
    <row r="2249" spans="1:31" ht="16" thickBot="1" x14ac:dyDescent="0.25">
      <c r="A2249" s="2936" t="s">
        <v>183</v>
      </c>
      <c r="B2249" s="3003">
        <f>IFERROR(SUM(M2243:M2249),"")</f>
        <v>0</v>
      </c>
      <c r="C2249" s="2576">
        <v>45347</v>
      </c>
      <c r="D2249" s="1788"/>
      <c r="E2249" s="1789"/>
      <c r="F2249" s="2763"/>
      <c r="G2249" s="2577"/>
      <c r="H2249" s="2578" t="str">
        <f>IFERROR(VLOOKUP(F2249,Trainingsarten!$A$9:$K$84,10,FALSE),"")</f>
        <v/>
      </c>
      <c r="I2249" s="2579" t="str">
        <f t="shared" si="525"/>
        <v/>
      </c>
      <c r="J2249" s="2580"/>
      <c r="K2249" s="2581" t="str">
        <f>IFERROR(VLOOKUP(F2249,Trainingsarten!$A$9:$K$84,11,FALSE),"0")</f>
        <v>0</v>
      </c>
      <c r="L2249" s="3101"/>
      <c r="M2249" s="2580"/>
      <c r="N2249" s="2582" t="str">
        <f t="shared" si="526"/>
        <v/>
      </c>
      <c r="O2249" s="2583"/>
      <c r="P2249" s="3102" t="str">
        <f>IFERROR(VLOOKUP(F2249,Trainingsarten!$A$9:$N$84,12,FALSE),"")</f>
        <v/>
      </c>
      <c r="Q2249" s="3103" t="s">
        <v>437</v>
      </c>
      <c r="R2249" s="3104" t="str">
        <f>IFERROR(VLOOKUP(F2249,Trainingsarten!$A$9:$N$84,14,FALSE),"")</f>
        <v/>
      </c>
      <c r="S2249" s="2390" t="str">
        <f t="shared" si="527"/>
        <v/>
      </c>
      <c r="T2249" s="1788">
        <f t="shared" si="528"/>
        <v>11.99940084965797</v>
      </c>
      <c r="U2249" s="1788">
        <f t="shared" si="529"/>
        <v>14.783010453237212</v>
      </c>
      <c r="V2249" s="1788">
        <f t="shared" si="530"/>
        <v>1.1442706925363417</v>
      </c>
      <c r="W2249" s="3293">
        <f t="shared" si="531"/>
        <v>0.81170211491194055</v>
      </c>
      <c r="X2249" s="3309"/>
      <c r="Y2249" s="3340" t="str">
        <f t="shared" si="524"/>
        <v/>
      </c>
      <c r="Z2249" s="3314">
        <f t="shared" si="532"/>
        <v>24.205726183847368</v>
      </c>
      <c r="AA2249" s="3314">
        <f t="shared" si="533"/>
        <v>19.944474448907567</v>
      </c>
      <c r="AB2249" s="2846">
        <f t="shared" si="534"/>
        <v>1.2136557544224087</v>
      </c>
    </row>
    <row r="2250" spans="1:31" ht="16" thickBot="1" x14ac:dyDescent="0.25">
      <c r="A2250" s="3439">
        <f>WEEKNUM(C2250,1)</f>
        <v>9</v>
      </c>
      <c r="B2250" s="3440"/>
      <c r="C2250" s="2585">
        <v>45348</v>
      </c>
      <c r="D2250" s="2586"/>
      <c r="E2250" s="2587"/>
      <c r="F2250" s="2761"/>
      <c r="G2250" s="2588"/>
      <c r="H2250" s="2589">
        <v>9</v>
      </c>
      <c r="I2250" s="2590">
        <f t="shared" si="525"/>
        <v>0</v>
      </c>
      <c r="J2250" s="2591"/>
      <c r="K2250" s="2592" t="str">
        <f>IFERROR(VLOOKUP(F2250,Trainingsarten!$A$9:$K$84,11,FALSE),"0")</f>
        <v>0</v>
      </c>
      <c r="L2250" s="2815"/>
      <c r="M2250" s="2591"/>
      <c r="N2250" s="2593" t="str">
        <f t="shared" si="526"/>
        <v/>
      </c>
      <c r="O2250" s="2594"/>
      <c r="P2250" s="1919" t="str">
        <f>IFERROR(VLOOKUP(F2250,Trainingsarten!$A$9:$N$84,12,FALSE),"")</f>
        <v/>
      </c>
      <c r="Q2250" s="2461" t="s">
        <v>437</v>
      </c>
      <c r="R2250" s="3089" t="str">
        <f>IFERROR(VLOOKUP(F2250,Trainingsarten!$A$9:$N$84,14,FALSE),"")</f>
        <v/>
      </c>
      <c r="S2250" s="2595" t="str">
        <f t="shared" si="527"/>
        <v/>
      </c>
      <c r="T2250" s="2586">
        <f t="shared" si="528"/>
        <v>10.28520072827826</v>
      </c>
      <c r="U2250" s="2586">
        <f t="shared" si="529"/>
        <v>14.431034013874422</v>
      </c>
      <c r="V2250" s="2586">
        <f t="shared" si="530"/>
        <v>2.7836096035792419</v>
      </c>
      <c r="W2250" s="3283">
        <f t="shared" si="531"/>
        <v>0.71271405211780148</v>
      </c>
      <c r="X2250" s="3298">
        <v>57</v>
      </c>
      <c r="Y2250" s="3315" t="str">
        <f t="shared" si="524"/>
        <v/>
      </c>
      <c r="Z2250" s="1111">
        <f t="shared" si="532"/>
        <v>28.890622443297744</v>
      </c>
      <c r="AA2250" s="1111">
        <f t="shared" si="533"/>
        <v>20.826748866790719</v>
      </c>
      <c r="AB2250" s="2449">
        <f t="shared" si="534"/>
        <v>1.3871883042372144</v>
      </c>
    </row>
    <row r="2251" spans="1:31" x14ac:dyDescent="0.2">
      <c r="A2251" s="2934" t="s">
        <v>626</v>
      </c>
      <c r="B2251" s="3004">
        <f>SUM(H2250:H2256)</f>
        <v>44.871067034796255</v>
      </c>
      <c r="C2251" s="2937">
        <v>45349</v>
      </c>
      <c r="D2251" s="3090"/>
      <c r="E2251" s="3091"/>
      <c r="F2251" s="2759" t="s">
        <v>944</v>
      </c>
      <c r="G2251" s="3092"/>
      <c r="H2251" s="3093">
        <f>IFERROR(VLOOKUP(F2251,Trainingsarten!$A$9:$K$84,10,FALSE),"")</f>
        <v>5.0855335173981304</v>
      </c>
      <c r="I2251" s="3094">
        <f t="shared" si="525"/>
        <v>0</v>
      </c>
      <c r="J2251" s="3095"/>
      <c r="K2251" s="3096">
        <f>IFERROR(VLOOKUP(F2251,Trainingsarten!$A$9:$K$84,11,FALSE),"0")</f>
        <v>36.125</v>
      </c>
      <c r="L2251" s="2816"/>
      <c r="M2251" s="3095"/>
      <c r="N2251" s="3097" t="str">
        <f t="shared" si="526"/>
        <v/>
      </c>
      <c r="O2251" s="3098"/>
      <c r="P2251" s="2897">
        <f>IFERROR(VLOOKUP(F2251,Trainingsarten!$A$9:$N$84,12,FALSE),"")</f>
        <v>194.60000000000002</v>
      </c>
      <c r="Q2251" s="2898" t="s">
        <v>437</v>
      </c>
      <c r="R2251" s="3099">
        <f>IFERROR(VLOOKUP(F2251,Trainingsarten!$A$9:$N$84,14,FALSE),"")</f>
        <v>212.96</v>
      </c>
      <c r="S2251" s="3100" t="str">
        <f t="shared" si="527"/>
        <v/>
      </c>
      <c r="T2251" s="3090">
        <f t="shared" si="528"/>
        <v>13.976600624238509</v>
      </c>
      <c r="U2251" s="3090">
        <f t="shared" si="529"/>
        <v>14.947557013544078</v>
      </c>
      <c r="V2251" s="3090">
        <f t="shared" si="530"/>
        <v>4.1458332855961615</v>
      </c>
      <c r="W2251" s="3284">
        <f t="shared" si="531"/>
        <v>0.93504246958711856</v>
      </c>
      <c r="X2251" s="3300">
        <v>20</v>
      </c>
      <c r="Y2251" s="3316">
        <f t="shared" si="524"/>
        <v>0.55363321799307963</v>
      </c>
      <c r="Z2251" s="2597">
        <f t="shared" si="532"/>
        <v>27.620533522826637</v>
      </c>
      <c r="AA2251" s="2597">
        <f t="shared" si="533"/>
        <v>20.807064369962369</v>
      </c>
      <c r="AB2251" s="3325">
        <f t="shared" si="534"/>
        <v>1.3274594162692346</v>
      </c>
    </row>
    <row r="2252" spans="1:31" x14ac:dyDescent="0.2">
      <c r="A2252" s="2935" t="s">
        <v>628</v>
      </c>
      <c r="B2252" s="3005">
        <f>SUM(K2250:K2256)</f>
        <v>72.25</v>
      </c>
      <c r="C2252" s="2937">
        <v>45350</v>
      </c>
      <c r="D2252" s="3090"/>
      <c r="E2252" s="3091"/>
      <c r="F2252" s="2759"/>
      <c r="G2252" s="3092"/>
      <c r="H2252" s="3093">
        <v>9.5</v>
      </c>
      <c r="I2252" s="3094">
        <f t="shared" si="525"/>
        <v>0</v>
      </c>
      <c r="J2252" s="3095"/>
      <c r="K2252" s="3096" t="str">
        <f>IFERROR(VLOOKUP(F2252,Trainingsarten!$A$9:$K$84,11,FALSE),"0")</f>
        <v>0</v>
      </c>
      <c r="L2252" s="2816"/>
      <c r="M2252" s="3095"/>
      <c r="N2252" s="3097" t="str">
        <f t="shared" si="526"/>
        <v/>
      </c>
      <c r="O2252" s="3098"/>
      <c r="P2252" s="2897" t="str">
        <f>IFERROR(VLOOKUP(F2252,Trainingsarten!$A$9:$N$84,12,FALSE),"")</f>
        <v/>
      </c>
      <c r="Q2252" s="2898" t="s">
        <v>437</v>
      </c>
      <c r="R2252" s="3099" t="str">
        <f>IFERROR(VLOOKUP(F2252,Trainingsarten!$A$9:$N$84,14,FALSE),"")</f>
        <v/>
      </c>
      <c r="S2252" s="3100" t="str">
        <f t="shared" si="527"/>
        <v/>
      </c>
      <c r="T2252" s="3090">
        <f t="shared" si="528"/>
        <v>11.979943392204436</v>
      </c>
      <c r="U2252" s="3090">
        <f t="shared" si="529"/>
        <v>14.591662798935886</v>
      </c>
      <c r="V2252" s="3090">
        <f t="shared" si="530"/>
        <v>0.97095638930556838</v>
      </c>
      <c r="W2252" s="3284">
        <f t="shared" si="531"/>
        <v>0.82101290012527484</v>
      </c>
      <c r="X2252" s="3300">
        <v>55</v>
      </c>
      <c r="Y2252" s="3316" t="str">
        <f t="shared" si="524"/>
        <v/>
      </c>
      <c r="Z2252" s="2597">
        <f t="shared" si="532"/>
        <v>31.531885876708547</v>
      </c>
      <c r="AA2252" s="2597">
        <f t="shared" si="533"/>
        <v>21.621181884963264</v>
      </c>
      <c r="AB2252" s="3325">
        <f t="shared" si="534"/>
        <v>1.4583793820557891</v>
      </c>
    </row>
    <row r="2253" spans="1:31" x14ac:dyDescent="0.2">
      <c r="A2253" s="2935" t="s">
        <v>761</v>
      </c>
      <c r="B2253" s="3006">
        <f>AVERAGE(W2250:W2256)</f>
        <v>0.81351829855860591</v>
      </c>
      <c r="C2253" s="2937">
        <v>45351</v>
      </c>
      <c r="D2253" s="3090"/>
      <c r="E2253" s="3091"/>
      <c r="F2253" s="2759"/>
      <c r="G2253" s="3092"/>
      <c r="H2253" s="3093" t="str">
        <f>IFERROR(VLOOKUP(F2253,Trainingsarten!$A$9:$K$84,10,FALSE),"")</f>
        <v/>
      </c>
      <c r="I2253" s="3094" t="str">
        <f t="shared" si="525"/>
        <v/>
      </c>
      <c r="J2253" s="3095"/>
      <c r="K2253" s="3096" t="str">
        <f>IFERROR(VLOOKUP(F2253,Trainingsarten!$A$9:$K$84,11,FALSE),"0")</f>
        <v>0</v>
      </c>
      <c r="L2253" s="2816"/>
      <c r="M2253" s="3095"/>
      <c r="N2253" s="3097" t="str">
        <f t="shared" si="526"/>
        <v/>
      </c>
      <c r="O2253" s="3098"/>
      <c r="P2253" s="2897" t="str">
        <f>IFERROR(VLOOKUP(F2253,Trainingsarten!$A$9:$N$84,12,FALSE),"")</f>
        <v/>
      </c>
      <c r="Q2253" s="2898" t="s">
        <v>437</v>
      </c>
      <c r="R2253" s="3099" t="str">
        <f>IFERROR(VLOOKUP(F2253,Trainingsarten!$A$9:$N$84,14,FALSE),"")</f>
        <v/>
      </c>
      <c r="S2253" s="3100" t="str">
        <f t="shared" si="527"/>
        <v/>
      </c>
      <c r="T2253" s="3090">
        <f t="shared" si="528"/>
        <v>10.268522907603803</v>
      </c>
      <c r="U2253" s="3090">
        <f t="shared" si="529"/>
        <v>14.244242256104078</v>
      </c>
      <c r="V2253" s="3090">
        <f t="shared" si="530"/>
        <v>2.6117194067314493</v>
      </c>
      <c r="W2253" s="3284">
        <f t="shared" si="531"/>
        <v>0.72088937571975353</v>
      </c>
      <c r="X2253" s="3300"/>
      <c r="Y2253" s="3316" t="str">
        <f t="shared" si="524"/>
        <v/>
      </c>
      <c r="Z2253" s="2597">
        <f t="shared" si="532"/>
        <v>27.027330751464469</v>
      </c>
      <c r="AA2253" s="2597">
        <f t="shared" si="533"/>
        <v>21.106391840083187</v>
      </c>
      <c r="AB2253" s="3325">
        <f t="shared" si="534"/>
        <v>1.2805282379026441</v>
      </c>
    </row>
    <row r="2254" spans="1:31" x14ac:dyDescent="0.2">
      <c r="A2254" s="2935" t="s">
        <v>979</v>
      </c>
      <c r="B2254" s="3131" t="str">
        <f>IFERROR(AVERAGE(N2250:N2256),"")</f>
        <v/>
      </c>
      <c r="C2254" s="2937">
        <v>45352</v>
      </c>
      <c r="D2254" s="3090"/>
      <c r="E2254" s="3091"/>
      <c r="F2254" s="2759" t="s">
        <v>944</v>
      </c>
      <c r="G2254" s="3092"/>
      <c r="H2254" s="3093">
        <f>IFERROR(VLOOKUP(F2254,Trainingsarten!$A$9:$K$84,10,FALSE),"")</f>
        <v>5.0855335173981304</v>
      </c>
      <c r="I2254" s="3094">
        <f t="shared" si="525"/>
        <v>0</v>
      </c>
      <c r="J2254" s="3095"/>
      <c r="K2254" s="3096">
        <f>IFERROR(VLOOKUP(F2254,Trainingsarten!$A$9:$K$84,11,FALSE),"0")</f>
        <v>36.125</v>
      </c>
      <c r="L2254" s="2816"/>
      <c r="M2254" s="3095"/>
      <c r="N2254" s="3097" t="str">
        <f t="shared" si="526"/>
        <v/>
      </c>
      <c r="O2254" s="3098"/>
      <c r="P2254" s="2897">
        <f>IFERROR(VLOOKUP(F2254,Trainingsarten!$A$9:$N$84,12,FALSE),"")</f>
        <v>194.60000000000002</v>
      </c>
      <c r="Q2254" s="2898" t="s">
        <v>437</v>
      </c>
      <c r="R2254" s="3099">
        <f>IFERROR(VLOOKUP(F2254,Trainingsarten!$A$9:$N$84,14,FALSE),"")</f>
        <v>212.96</v>
      </c>
      <c r="S2254" s="3100" t="str">
        <f t="shared" si="527"/>
        <v/>
      </c>
      <c r="T2254" s="3090">
        <f t="shared" si="528"/>
        <v>13.962305349374688</v>
      </c>
      <c r="U2254" s="3090">
        <f t="shared" si="529"/>
        <v>14.765212678577791</v>
      </c>
      <c r="V2254" s="3090">
        <f t="shared" si="530"/>
        <v>3.9757193485002755</v>
      </c>
      <c r="W2254" s="3284">
        <f t="shared" si="531"/>
        <v>0.94562168885193187</v>
      </c>
      <c r="X2254" s="3300">
        <v>23</v>
      </c>
      <c r="Y2254" s="3316">
        <f t="shared" ref="Y2254:Y2317" si="535">IFERROR(X2254/K2254,"")</f>
        <v>0.63667820069204151</v>
      </c>
      <c r="Z2254" s="2597">
        <f t="shared" si="532"/>
        <v>26.451997786969546</v>
      </c>
      <c r="AA2254" s="2597">
        <f t="shared" si="533"/>
        <v>21.151477748652635</v>
      </c>
      <c r="AB2254" s="3325">
        <f t="shared" si="534"/>
        <v>1.2505980953815181</v>
      </c>
    </row>
    <row r="2255" spans="1:31" x14ac:dyDescent="0.2">
      <c r="A2255" s="2935" t="s">
        <v>980</v>
      </c>
      <c r="B2255" s="3006" t="str">
        <f>IFERROR(AVERAGE(S2250:S2256),"")</f>
        <v/>
      </c>
      <c r="C2255" s="2937">
        <v>45353</v>
      </c>
      <c r="D2255" s="3090"/>
      <c r="E2255" s="3091"/>
      <c r="F2255" s="2889"/>
      <c r="G2255" s="3092"/>
      <c r="H2255" s="3093">
        <v>16.2</v>
      </c>
      <c r="I2255" s="3094">
        <f t="shared" si="525"/>
        <v>0</v>
      </c>
      <c r="J2255" s="3095"/>
      <c r="K2255" s="3096" t="str">
        <f>IFERROR(VLOOKUP(F2255,Trainingsarten!$A$9:$K$84,11,FALSE),"0")</f>
        <v>0</v>
      </c>
      <c r="L2255" s="2816"/>
      <c r="M2255" s="3095"/>
      <c r="N2255" s="3097" t="str">
        <f t="shared" si="526"/>
        <v/>
      </c>
      <c r="O2255" s="3098"/>
      <c r="P2255" s="2897" t="str">
        <f>IFERROR(VLOOKUP(F2255,Trainingsarten!$A$9:$N$84,12,FALSE),"")</f>
        <v/>
      </c>
      <c r="Q2255" s="2898" t="s">
        <v>437</v>
      </c>
      <c r="R2255" s="3099" t="str">
        <f>IFERROR(VLOOKUP(F2255,Trainingsarten!$A$9:$N$84,14,FALSE),"")</f>
        <v/>
      </c>
      <c r="S2255" s="3100" t="str">
        <f t="shared" si="527"/>
        <v/>
      </c>
      <c r="T2255" s="3090">
        <f t="shared" si="528"/>
        <v>11.967690299464019</v>
      </c>
      <c r="U2255" s="3090">
        <f t="shared" si="529"/>
        <v>14.413659995754511</v>
      </c>
      <c r="V2255" s="3090">
        <f t="shared" si="530"/>
        <v>0.80290732920310326</v>
      </c>
      <c r="W2255" s="3284">
        <f t="shared" si="531"/>
        <v>0.83030197069925726</v>
      </c>
      <c r="X2255" s="3300">
        <v>77</v>
      </c>
      <c r="Y2255" s="3316" t="str">
        <f t="shared" si="535"/>
        <v/>
      </c>
      <c r="Z2255" s="2597">
        <f t="shared" si="532"/>
        <v>33.673140960259609</v>
      </c>
      <c r="AA2255" s="2597">
        <f t="shared" si="533"/>
        <v>22.481204468922812</v>
      </c>
      <c r="AB2255" s="3325">
        <f t="shared" si="534"/>
        <v>1.4978352697609294</v>
      </c>
    </row>
    <row r="2256" spans="1:31" ht="16" thickBot="1" x14ac:dyDescent="0.25">
      <c r="A2256" s="2936" t="s">
        <v>183</v>
      </c>
      <c r="B2256" s="3003">
        <f>IFERROR(SUM(M2250:M2256),"")</f>
        <v>0</v>
      </c>
      <c r="C2256" s="2576">
        <v>45354</v>
      </c>
      <c r="D2256" s="1788"/>
      <c r="E2256" s="1789"/>
      <c r="F2256" s="2763"/>
      <c r="G2256" s="2577"/>
      <c r="H2256" s="2578" t="str">
        <f>IFERROR(VLOOKUP(F2256,Trainingsarten!$A$9:$K$84,10,FALSE),"")</f>
        <v/>
      </c>
      <c r="I2256" s="2579" t="str">
        <f t="shared" si="525"/>
        <v/>
      </c>
      <c r="J2256" s="2580"/>
      <c r="K2256" s="2581" t="str">
        <f>IFERROR(VLOOKUP(F2256,Trainingsarten!$A$9:$K$84,11,FALSE),"0")</f>
        <v>0</v>
      </c>
      <c r="L2256" s="3101"/>
      <c r="M2256" s="2580"/>
      <c r="N2256" s="2582" t="str">
        <f t="shared" si="526"/>
        <v/>
      </c>
      <c r="O2256" s="2583"/>
      <c r="P2256" s="3102" t="str">
        <f>IFERROR(VLOOKUP(F2256,Trainingsarten!$A$9:$N$84,12,FALSE),"")</f>
        <v/>
      </c>
      <c r="Q2256" s="3103" t="s">
        <v>437</v>
      </c>
      <c r="R2256" s="3104" t="str">
        <f>IFERROR(VLOOKUP(F2256,Trainingsarten!$A$9:$N$84,14,FALSE),"")</f>
        <v/>
      </c>
      <c r="S2256" s="2390" t="str">
        <f t="shared" si="527"/>
        <v/>
      </c>
      <c r="T2256" s="1788">
        <f t="shared" si="528"/>
        <v>10.258020256683444</v>
      </c>
      <c r="U2256" s="1788">
        <f t="shared" si="529"/>
        <v>14.070477614903213</v>
      </c>
      <c r="V2256" s="1788">
        <f t="shared" si="530"/>
        <v>2.4459696962904918</v>
      </c>
      <c r="W2256" s="3293">
        <f t="shared" si="531"/>
        <v>0.72904563280910395</v>
      </c>
      <c r="X2256" s="3336"/>
      <c r="Y2256" s="3326" t="str">
        <f t="shared" si="535"/>
        <v/>
      </c>
      <c r="Z2256" s="3327">
        <f t="shared" si="532"/>
        <v>28.862692251651094</v>
      </c>
      <c r="AA2256" s="3327">
        <f t="shared" si="533"/>
        <v>21.945937695853221</v>
      </c>
      <c r="AB2256" s="3328">
        <f t="shared" si="534"/>
        <v>1.3151724319852063</v>
      </c>
    </row>
    <row r="2257" spans="1:31" ht="16" thickBot="1" x14ac:dyDescent="0.25">
      <c r="A2257" s="3439">
        <f>WEEKNUM(C2257,1)</f>
        <v>10</v>
      </c>
      <c r="B2257" s="3440"/>
      <c r="C2257" s="2585">
        <v>45355</v>
      </c>
      <c r="D2257" s="2586"/>
      <c r="E2257" s="2587"/>
      <c r="F2257" s="2759" t="s">
        <v>944</v>
      </c>
      <c r="G2257" s="2588"/>
      <c r="H2257" s="2589">
        <f>IFERROR(VLOOKUP(F2257,Trainingsarten!$A$9:$K$84,10,FALSE),"")</f>
        <v>5.0855335173981304</v>
      </c>
      <c r="I2257" s="2590">
        <f t="shared" si="525"/>
        <v>0</v>
      </c>
      <c r="J2257" s="2591"/>
      <c r="K2257" s="2592">
        <f>IFERROR(VLOOKUP(F2257,Trainingsarten!$A$9:$K$84,11,FALSE),"0")</f>
        <v>36.125</v>
      </c>
      <c r="L2257" s="2815"/>
      <c r="M2257" s="2591"/>
      <c r="N2257" s="2593" t="str">
        <f t="shared" si="526"/>
        <v/>
      </c>
      <c r="O2257" s="2594"/>
      <c r="P2257" s="1919">
        <f>IFERROR(VLOOKUP(F2257,Trainingsarten!$A$9:$N$84,12,FALSE),"")</f>
        <v>194.60000000000002</v>
      </c>
      <c r="Q2257" s="2461" t="s">
        <v>437</v>
      </c>
      <c r="R2257" s="3089">
        <f>IFERROR(VLOOKUP(F2257,Trainingsarten!$A$9:$N$84,14,FALSE),"")</f>
        <v>212.96</v>
      </c>
      <c r="S2257" s="2595" t="str">
        <f t="shared" si="527"/>
        <v/>
      </c>
      <c r="T2257" s="2586">
        <f t="shared" si="528"/>
        <v>13.953303077157237</v>
      </c>
      <c r="U2257" s="2586">
        <f t="shared" si="529"/>
        <v>14.595585290738851</v>
      </c>
      <c r="V2257" s="2586">
        <f t="shared" si="530"/>
        <v>3.8124573582197687</v>
      </c>
      <c r="W2257" s="3283">
        <f t="shared" si="531"/>
        <v>0.95599476137560901</v>
      </c>
      <c r="X2257" s="3308">
        <v>26</v>
      </c>
      <c r="Y2257" s="3337">
        <f t="shared" si="535"/>
        <v>0.7197231833910035</v>
      </c>
      <c r="Z2257" s="2586">
        <f t="shared" si="532"/>
        <v>28.453736215700939</v>
      </c>
      <c r="AA2257" s="2586">
        <f t="shared" si="533"/>
        <v>22.042462988809095</v>
      </c>
      <c r="AB2257" s="2595">
        <f t="shared" si="534"/>
        <v>1.2908601107846629</v>
      </c>
    </row>
    <row r="2258" spans="1:31" x14ac:dyDescent="0.2">
      <c r="A2258" s="2934" t="s">
        <v>626</v>
      </c>
      <c r="B2258" s="3004">
        <f>SUM(H2257:H2263)</f>
        <v>40.756600552194385</v>
      </c>
      <c r="C2258" s="2937">
        <v>45356</v>
      </c>
      <c r="D2258" s="3090"/>
      <c r="E2258" s="3091"/>
      <c r="F2258" s="2759" t="s">
        <v>944</v>
      </c>
      <c r="G2258" s="3092"/>
      <c r="H2258" s="3093">
        <f>IFERROR(VLOOKUP(F2258,Trainingsarten!$A$9:$K$84,10,FALSE),"")</f>
        <v>5.0855335173981304</v>
      </c>
      <c r="I2258" s="3094">
        <f t="shared" ref="I2258:I2321" si="536">IFERROR(G2258/H2258,"")</f>
        <v>0</v>
      </c>
      <c r="J2258" s="3095"/>
      <c r="K2258" s="3096">
        <f>IFERROR(VLOOKUP(F2258,Trainingsarten!$A$9:$K$84,11,FALSE),"0")</f>
        <v>36.125</v>
      </c>
      <c r="L2258" s="2816"/>
      <c r="M2258" s="3095"/>
      <c r="N2258" s="3097" t="str">
        <f t="shared" ref="N2258:N2321" si="537">IFERROR((L2258/67)/(1/(I2258*24)/3.6),"")</f>
        <v/>
      </c>
      <c r="O2258" s="3098"/>
      <c r="P2258" s="2897">
        <f>IFERROR(VLOOKUP(F2258,Trainingsarten!$A$9:$N$84,12,FALSE),"")</f>
        <v>194.60000000000002</v>
      </c>
      <c r="Q2258" s="2898" t="s">
        <v>437</v>
      </c>
      <c r="R2258" s="3099">
        <f>IFERROR(VLOOKUP(F2258,Trainingsarten!$A$9:$N$84,14,FALSE),"")</f>
        <v>212.96</v>
      </c>
      <c r="S2258" s="3100" t="str">
        <f t="shared" ref="S2258:S2321" si="538">IFERROR(L2258/J2258,"")</f>
        <v/>
      </c>
      <c r="T2258" s="3090">
        <f t="shared" ref="T2258:T2321" si="539">T2257+(K2258-T2257)/7</f>
        <v>17.120688351849061</v>
      </c>
      <c r="U2258" s="3090">
        <f t="shared" ref="U2258:U2321" si="540">U2257+(K2258-U2257)/42</f>
        <v>15.108190402864118</v>
      </c>
      <c r="V2258" s="3090">
        <f t="shared" ref="V2258:V2321" si="541">U2257-T2257</f>
        <v>0.64228221358161441</v>
      </c>
      <c r="W2258" s="3284">
        <f t="shared" ref="W2258:W2321" si="542">T2258/U2258</f>
        <v>1.1332057576268979</v>
      </c>
      <c r="X2258" s="3300">
        <v>23</v>
      </c>
      <c r="Y2258" s="3316">
        <f t="shared" si="535"/>
        <v>0.63667820069204151</v>
      </c>
      <c r="Z2258" s="3338">
        <f t="shared" si="532"/>
        <v>27.674631042029375</v>
      </c>
      <c r="AA2258" s="3338">
        <f t="shared" si="533"/>
        <v>22.065261489075546</v>
      </c>
      <c r="AB2258" s="3339">
        <f t="shared" si="534"/>
        <v>1.2542172253762329</v>
      </c>
    </row>
    <row r="2259" spans="1:31" x14ac:dyDescent="0.2">
      <c r="A2259" s="2935" t="s">
        <v>628</v>
      </c>
      <c r="B2259" s="3005">
        <f>SUM(K2257:K2263)</f>
        <v>108.375</v>
      </c>
      <c r="C2259" s="2937">
        <v>45357</v>
      </c>
      <c r="D2259" s="3090"/>
      <c r="E2259" s="3091"/>
      <c r="F2259" s="2759"/>
      <c r="G2259" s="3092"/>
      <c r="H2259" s="3093">
        <v>8.5</v>
      </c>
      <c r="I2259" s="3094">
        <f t="shared" si="536"/>
        <v>0</v>
      </c>
      <c r="J2259" s="3095"/>
      <c r="K2259" s="3096" t="str">
        <f>IFERROR(VLOOKUP(F2259,Trainingsarten!$A$9:$K$84,11,FALSE),"0")</f>
        <v>0</v>
      </c>
      <c r="L2259" s="2816"/>
      <c r="M2259" s="3095"/>
      <c r="N2259" s="3097" t="str">
        <f t="shared" si="537"/>
        <v/>
      </c>
      <c r="O2259" s="3098"/>
      <c r="P2259" s="2897" t="str">
        <f>IFERROR(VLOOKUP(F2259,Trainingsarten!$A$9:$N$84,12,FALSE),"")</f>
        <v/>
      </c>
      <c r="Q2259" s="2898" t="s">
        <v>437</v>
      </c>
      <c r="R2259" s="3099" t="str">
        <f>IFERROR(VLOOKUP(F2259,Trainingsarten!$A$9:$N$84,14,FALSE),"")</f>
        <v/>
      </c>
      <c r="S2259" s="3100" t="str">
        <f t="shared" si="538"/>
        <v/>
      </c>
      <c r="T2259" s="3090">
        <f t="shared" si="539"/>
        <v>14.674875730156337</v>
      </c>
      <c r="U2259" s="3090">
        <f t="shared" si="540"/>
        <v>14.748471583748305</v>
      </c>
      <c r="V2259" s="3090">
        <f t="shared" si="541"/>
        <v>-2.0124979489849437</v>
      </c>
      <c r="W2259" s="3284">
        <f t="shared" si="542"/>
        <v>0.99500993352605671</v>
      </c>
      <c r="X2259" s="3300">
        <v>46</v>
      </c>
      <c r="Y2259" s="3316" t="str">
        <f t="shared" si="535"/>
        <v/>
      </c>
      <c r="Z2259" s="3338">
        <f t="shared" si="532"/>
        <v>30.292540893168034</v>
      </c>
      <c r="AA2259" s="3338">
        <f t="shared" si="533"/>
        <v>22.635136215526128</v>
      </c>
      <c r="AB2259" s="3339">
        <f t="shared" si="534"/>
        <v>1.3382972651337286</v>
      </c>
    </row>
    <row r="2260" spans="1:31" x14ac:dyDescent="0.2">
      <c r="A2260" s="2935" t="s">
        <v>761</v>
      </c>
      <c r="B2260" s="3006">
        <f>AVERAGE(W2257:W2263)</f>
        <v>0.96991605128019198</v>
      </c>
      <c r="C2260" s="2937">
        <v>45358</v>
      </c>
      <c r="D2260" s="3090"/>
      <c r="E2260" s="3091"/>
      <c r="F2260" s="2759"/>
      <c r="G2260" s="3092"/>
      <c r="H2260" s="3093" t="str">
        <f>IFERROR(VLOOKUP(F2260,Trainingsarten!$A$9:$K$84,10,FALSE),"")</f>
        <v/>
      </c>
      <c r="I2260" s="3094" t="str">
        <f t="shared" si="536"/>
        <v/>
      </c>
      <c r="J2260" s="3095"/>
      <c r="K2260" s="3096" t="str">
        <f>IFERROR(VLOOKUP(F2260,Trainingsarten!$A$9:$K$84,11,FALSE),"0")</f>
        <v>0</v>
      </c>
      <c r="L2260" s="2816"/>
      <c r="M2260" s="3095"/>
      <c r="N2260" s="3097" t="str">
        <f t="shared" si="537"/>
        <v/>
      </c>
      <c r="O2260" s="3098"/>
      <c r="P2260" s="2897" t="str">
        <f>IFERROR(VLOOKUP(F2260,Trainingsarten!$A$9:$N$84,12,FALSE),"")</f>
        <v/>
      </c>
      <c r="Q2260" s="2898" t="s">
        <v>437</v>
      </c>
      <c r="R2260" s="3099" t="str">
        <f>IFERROR(VLOOKUP(F2260,Trainingsarten!$A$9:$N$84,14,FALSE),"")</f>
        <v/>
      </c>
      <c r="S2260" s="3100" t="str">
        <f t="shared" si="538"/>
        <v/>
      </c>
      <c r="T2260" s="3090">
        <f t="shared" si="539"/>
        <v>12.578464911562575</v>
      </c>
      <c r="U2260" s="3090">
        <f t="shared" si="540"/>
        <v>14.397317498420964</v>
      </c>
      <c r="V2260" s="3090">
        <f t="shared" si="541"/>
        <v>7.3595853591967852E-2</v>
      </c>
      <c r="W2260" s="3284">
        <f t="shared" si="542"/>
        <v>0.87366725870580597</v>
      </c>
      <c r="X2260" s="3300"/>
      <c r="Y2260" s="3316" t="str">
        <f t="shared" si="535"/>
        <v/>
      </c>
      <c r="Z2260" s="3338">
        <f t="shared" si="532"/>
        <v>25.965035051286886</v>
      </c>
      <c r="AA2260" s="3338">
        <f t="shared" si="533"/>
        <v>22.096204400870743</v>
      </c>
      <c r="AB2260" s="3339">
        <f t="shared" si="534"/>
        <v>1.1750902815808351</v>
      </c>
    </row>
    <row r="2261" spans="1:31" x14ac:dyDescent="0.2">
      <c r="A2261" s="2935" t="s">
        <v>979</v>
      </c>
      <c r="B2261" s="3131" t="str">
        <f>IFERROR(AVERAGE(N2257:N2263),"")</f>
        <v/>
      </c>
      <c r="C2261" s="2937">
        <v>45359</v>
      </c>
      <c r="D2261" s="3090"/>
      <c r="E2261" s="3091"/>
      <c r="F2261" s="2759" t="s">
        <v>944</v>
      </c>
      <c r="G2261" s="3092"/>
      <c r="H2261" s="3093">
        <f>IFERROR(VLOOKUP(F2261,Trainingsarten!$A$9:$K$84,10,FALSE),"")</f>
        <v>5.0855335173981304</v>
      </c>
      <c r="I2261" s="3094">
        <f t="shared" si="536"/>
        <v>0</v>
      </c>
      <c r="J2261" s="3095"/>
      <c r="K2261" s="3096">
        <f>IFERROR(VLOOKUP(F2261,Trainingsarten!$A$9:$K$84,11,FALSE),"0")</f>
        <v>36.125</v>
      </c>
      <c r="L2261" s="2816"/>
      <c r="M2261" s="3095"/>
      <c r="N2261" s="3097" t="str">
        <f t="shared" si="537"/>
        <v/>
      </c>
      <c r="O2261" s="3098"/>
      <c r="P2261" s="2897">
        <f>IFERROR(VLOOKUP(F2261,Trainingsarten!$A$9:$N$84,12,FALSE),"")</f>
        <v>194.60000000000002</v>
      </c>
      <c r="Q2261" s="2898" t="s">
        <v>437</v>
      </c>
      <c r="R2261" s="3099">
        <f>IFERROR(VLOOKUP(F2261,Trainingsarten!$A$9:$N$84,14,FALSE),"")</f>
        <v>212.96</v>
      </c>
      <c r="S2261" s="3100" t="str">
        <f t="shared" si="538"/>
        <v/>
      </c>
      <c r="T2261" s="3090">
        <f t="shared" si="539"/>
        <v>15.942255638482207</v>
      </c>
      <c r="U2261" s="3090">
        <f t="shared" si="540"/>
        <v>14.914643272268084</v>
      </c>
      <c r="V2261" s="3090">
        <f t="shared" si="541"/>
        <v>1.8188525868583891</v>
      </c>
      <c r="W2261" s="3284">
        <f t="shared" si="542"/>
        <v>1.0688995604826057</v>
      </c>
      <c r="X2261" s="3300">
        <v>23</v>
      </c>
      <c r="Y2261" s="3316">
        <f t="shared" si="535"/>
        <v>0.63667820069204151</v>
      </c>
      <c r="Z2261" s="3338">
        <f t="shared" si="532"/>
        <v>25.541458615388759</v>
      </c>
      <c r="AA2261" s="3338">
        <f t="shared" si="533"/>
        <v>22.117723343707155</v>
      </c>
      <c r="AB2261" s="3339">
        <f t="shared" si="534"/>
        <v>1.1547960076395345</v>
      </c>
    </row>
    <row r="2262" spans="1:31" x14ac:dyDescent="0.2">
      <c r="A2262" s="2935" t="s">
        <v>980</v>
      </c>
      <c r="B2262" s="3006" t="str">
        <f>IFERROR(AVERAGE(S2257:S2263),"")</f>
        <v/>
      </c>
      <c r="C2262" s="2937">
        <v>45360</v>
      </c>
      <c r="D2262" s="3090"/>
      <c r="E2262" s="3091"/>
      <c r="F2262" s="2889"/>
      <c r="G2262" s="3092"/>
      <c r="H2262" s="3093">
        <v>17</v>
      </c>
      <c r="I2262" s="3094">
        <f t="shared" si="536"/>
        <v>0</v>
      </c>
      <c r="J2262" s="3095"/>
      <c r="K2262" s="3096" t="str">
        <f>IFERROR(VLOOKUP(F2262,Trainingsarten!$A$9:$K$84,11,FALSE),"0")</f>
        <v>0</v>
      </c>
      <c r="L2262" s="2816"/>
      <c r="M2262" s="3095"/>
      <c r="N2262" s="3097" t="str">
        <f t="shared" si="537"/>
        <v/>
      </c>
      <c r="O2262" s="3098"/>
      <c r="P2262" s="2897" t="str">
        <f>IFERROR(VLOOKUP(F2262,Trainingsarten!$A$9:$N$84,12,FALSE),"")</f>
        <v/>
      </c>
      <c r="Q2262" s="2898" t="s">
        <v>437</v>
      </c>
      <c r="R2262" s="3099" t="str">
        <f>IFERROR(VLOOKUP(F2262,Trainingsarten!$A$9:$N$84,14,FALSE),"")</f>
        <v/>
      </c>
      <c r="S2262" s="3100" t="str">
        <f t="shared" si="538"/>
        <v/>
      </c>
      <c r="T2262" s="3090">
        <f t="shared" si="539"/>
        <v>13.664790547270464</v>
      </c>
      <c r="U2262" s="3090">
        <f t="shared" si="540"/>
        <v>14.559532718166462</v>
      </c>
      <c r="V2262" s="3090">
        <f t="shared" si="541"/>
        <v>-1.0276123662141234</v>
      </c>
      <c r="W2262" s="3284">
        <f t="shared" si="542"/>
        <v>0.93854595554570264</v>
      </c>
      <c r="X2262" s="3300">
        <v>82</v>
      </c>
      <c r="Y2262" s="3316" t="str">
        <f t="shared" si="535"/>
        <v/>
      </c>
      <c r="Z2262" s="3338">
        <f t="shared" si="532"/>
        <v>33.60696452747608</v>
      </c>
      <c r="AA2262" s="3338">
        <f t="shared" si="533"/>
        <v>23.54349183552365</v>
      </c>
      <c r="AB2262" s="3339">
        <f t="shared" si="534"/>
        <v>1.4274418069442076</v>
      </c>
    </row>
    <row r="2263" spans="1:31" ht="16" thickBot="1" x14ac:dyDescent="0.25">
      <c r="A2263" s="2936" t="s">
        <v>183</v>
      </c>
      <c r="B2263" s="3003">
        <f>IFERROR(SUM(M2257:M2263),"")</f>
        <v>0</v>
      </c>
      <c r="C2263" s="2576">
        <v>45361</v>
      </c>
      <c r="D2263" s="1788"/>
      <c r="E2263" s="1789"/>
      <c r="F2263" s="2763"/>
      <c r="G2263" s="2577"/>
      <c r="H2263" s="2578" t="str">
        <f>IFERROR(VLOOKUP(F2263,Trainingsarten!$A$9:$K$84,10,FALSE),"")</f>
        <v/>
      </c>
      <c r="I2263" s="2579" t="str">
        <f t="shared" si="536"/>
        <v/>
      </c>
      <c r="J2263" s="2580"/>
      <c r="K2263" s="2581" t="str">
        <f>IFERROR(VLOOKUP(F2263,Trainingsarten!$A$9:$K$84,11,FALSE),"0")</f>
        <v>0</v>
      </c>
      <c r="L2263" s="3101"/>
      <c r="M2263" s="2580"/>
      <c r="N2263" s="2582" t="str">
        <f t="shared" si="537"/>
        <v/>
      </c>
      <c r="O2263" s="2583"/>
      <c r="P2263" s="3102" t="str">
        <f>IFERROR(VLOOKUP(F2263,Trainingsarten!$A$9:$N$84,12,FALSE),"")</f>
        <v/>
      </c>
      <c r="Q2263" s="3103" t="s">
        <v>437</v>
      </c>
      <c r="R2263" s="3104" t="str">
        <f>IFERROR(VLOOKUP(F2263,Trainingsarten!$A$9:$N$84,14,FALSE),"")</f>
        <v/>
      </c>
      <c r="S2263" s="2390" t="str">
        <f t="shared" si="538"/>
        <v/>
      </c>
      <c r="T2263" s="1788">
        <f t="shared" si="539"/>
        <v>11.712677611946111</v>
      </c>
      <c r="U2263" s="1788">
        <f t="shared" si="540"/>
        <v>14.212877177257736</v>
      </c>
      <c r="V2263" s="1788">
        <f t="shared" si="541"/>
        <v>0.89474217089599861</v>
      </c>
      <c r="W2263" s="3293">
        <f t="shared" si="542"/>
        <v>0.82408913169866571</v>
      </c>
      <c r="X2263" s="3309"/>
      <c r="Y2263" s="3340" t="str">
        <f t="shared" si="535"/>
        <v/>
      </c>
      <c r="Z2263" s="3314">
        <f t="shared" si="532"/>
        <v>28.805969594979498</v>
      </c>
      <c r="AA2263" s="3314">
        <f t="shared" si="533"/>
        <v>22.982932506106419</v>
      </c>
      <c r="AB2263" s="2846">
        <f t="shared" si="534"/>
        <v>1.2533635378046704</v>
      </c>
    </row>
    <row r="2264" spans="1:31" ht="16" thickBot="1" x14ac:dyDescent="0.25">
      <c r="A2264" s="3439">
        <f>WEEKNUM(C2264,1)</f>
        <v>11</v>
      </c>
      <c r="B2264" s="3440"/>
      <c r="C2264" s="2585">
        <v>45362</v>
      </c>
      <c r="D2264" s="2586"/>
      <c r="E2264" s="2587"/>
      <c r="F2264" s="2761"/>
      <c r="G2264" s="2588"/>
      <c r="H2264" s="2589">
        <v>9</v>
      </c>
      <c r="I2264" s="2590">
        <f t="shared" si="536"/>
        <v>0</v>
      </c>
      <c r="J2264" s="2591"/>
      <c r="K2264" s="2592" t="str">
        <f>IFERROR(VLOOKUP(F2264,Trainingsarten!$A$9:$K$84,11,FALSE),"0")</f>
        <v>0</v>
      </c>
      <c r="L2264" s="2815"/>
      <c r="M2264" s="2591"/>
      <c r="N2264" s="2593" t="str">
        <f t="shared" si="537"/>
        <v/>
      </c>
      <c r="O2264" s="2594"/>
      <c r="P2264" s="1919" t="str">
        <f>IFERROR(VLOOKUP(F2264,Trainingsarten!$A$9:$N$84,12,FALSE),"")</f>
        <v/>
      </c>
      <c r="Q2264" s="2461" t="s">
        <v>437</v>
      </c>
      <c r="R2264" s="3089" t="str">
        <f>IFERROR(VLOOKUP(F2264,Trainingsarten!$A$9:$N$84,14,FALSE),"")</f>
        <v/>
      </c>
      <c r="S2264" s="2595" t="str">
        <f t="shared" si="538"/>
        <v/>
      </c>
      <c r="T2264" s="2586">
        <f t="shared" si="539"/>
        <v>10.039437953096666</v>
      </c>
      <c r="U2264" s="2586">
        <f t="shared" si="540"/>
        <v>13.874475339703981</v>
      </c>
      <c r="V2264" s="2586">
        <f t="shared" si="541"/>
        <v>2.5001995653116253</v>
      </c>
      <c r="W2264" s="3283">
        <f t="shared" si="542"/>
        <v>0.72359045710126746</v>
      </c>
      <c r="X2264" s="3298">
        <v>57</v>
      </c>
      <c r="Y2264" s="3315" t="str">
        <f t="shared" si="535"/>
        <v/>
      </c>
      <c r="Z2264" s="1111">
        <f t="shared" si="532"/>
        <v>32.833688224268144</v>
      </c>
      <c r="AA2264" s="1111">
        <f t="shared" si="533"/>
        <v>23.792862684532455</v>
      </c>
      <c r="AB2264" s="2449">
        <f t="shared" si="534"/>
        <v>1.3799805706277226</v>
      </c>
    </row>
    <row r="2265" spans="1:31" x14ac:dyDescent="0.2">
      <c r="A2265" s="2934" t="s">
        <v>626</v>
      </c>
      <c r="B2265" s="3004">
        <f>SUM(H2264:H2270)</f>
        <v>45.77106703479626</v>
      </c>
      <c r="C2265" s="2937">
        <v>45363</v>
      </c>
      <c r="D2265" s="3090"/>
      <c r="E2265" s="3091"/>
      <c r="F2265" s="2759" t="s">
        <v>944</v>
      </c>
      <c r="G2265" s="3092"/>
      <c r="H2265" s="3093">
        <f>IFERROR(VLOOKUP(F2265,Trainingsarten!$A$9:$K$84,10,FALSE),"")</f>
        <v>5.0855335173981304</v>
      </c>
      <c r="I2265" s="3094">
        <f t="shared" si="536"/>
        <v>0</v>
      </c>
      <c r="J2265" s="3095"/>
      <c r="K2265" s="3096">
        <f>IFERROR(VLOOKUP(F2265,Trainingsarten!$A$9:$K$84,11,FALSE),"0")</f>
        <v>36.125</v>
      </c>
      <c r="L2265" s="2816"/>
      <c r="M2265" s="3095"/>
      <c r="N2265" s="3097" t="str">
        <f t="shared" si="537"/>
        <v/>
      </c>
      <c r="O2265" s="3098"/>
      <c r="P2265" s="2897">
        <f>IFERROR(VLOOKUP(F2265,Trainingsarten!$A$9:$N$84,12,FALSE),"")</f>
        <v>194.60000000000002</v>
      </c>
      <c r="Q2265" s="2898" t="s">
        <v>437</v>
      </c>
      <c r="R2265" s="3099">
        <f>IFERROR(VLOOKUP(F2265,Trainingsarten!$A$9:$N$84,14,FALSE),"")</f>
        <v>212.96</v>
      </c>
      <c r="S2265" s="3100" t="str">
        <f t="shared" si="538"/>
        <v/>
      </c>
      <c r="T2265" s="3090">
        <f t="shared" si="539"/>
        <v>13.76594681694</v>
      </c>
      <c r="U2265" s="3090">
        <f t="shared" si="540"/>
        <v>14.404249736377695</v>
      </c>
      <c r="V2265" s="3090">
        <f t="shared" si="541"/>
        <v>3.8350373866073149</v>
      </c>
      <c r="W2265" s="3284">
        <f t="shared" si="542"/>
        <v>0.95568648620235519</v>
      </c>
      <c r="X2265" s="3300">
        <v>20</v>
      </c>
      <c r="Y2265" s="3316">
        <f t="shared" si="535"/>
        <v>0.55363321799307963</v>
      </c>
      <c r="Z2265" s="2597">
        <f t="shared" si="532"/>
        <v>31.000304192229837</v>
      </c>
      <c r="AA2265" s="2597">
        <f t="shared" si="533"/>
        <v>23.702556430138824</v>
      </c>
      <c r="AB2265" s="3325">
        <f t="shared" si="534"/>
        <v>1.3078886357089994</v>
      </c>
    </row>
    <row r="2266" spans="1:31" x14ac:dyDescent="0.2">
      <c r="A2266" s="2935" t="s">
        <v>628</v>
      </c>
      <c r="B2266" s="3005">
        <f>SUM(K2264:K2270)</f>
        <v>72.25</v>
      </c>
      <c r="C2266" s="2937">
        <v>45364</v>
      </c>
      <c r="D2266" s="3090"/>
      <c r="E2266" s="3091"/>
      <c r="F2266" s="2759"/>
      <c r="G2266" s="3092"/>
      <c r="H2266" s="3093">
        <v>8.6999999999999993</v>
      </c>
      <c r="I2266" s="3094">
        <f t="shared" si="536"/>
        <v>0</v>
      </c>
      <c r="J2266" s="3095"/>
      <c r="K2266" s="3096" t="str">
        <f>IFERROR(VLOOKUP(F2266,Trainingsarten!$A$9:$K$84,11,FALSE),"0")</f>
        <v>0</v>
      </c>
      <c r="L2266" s="2816"/>
      <c r="M2266" s="3095"/>
      <c r="N2266" s="3097" t="str">
        <f t="shared" si="537"/>
        <v/>
      </c>
      <c r="O2266" s="3098"/>
      <c r="P2266" s="2897" t="str">
        <f>IFERROR(VLOOKUP(F2266,Trainingsarten!$A$9:$N$84,12,FALSE),"")</f>
        <v/>
      </c>
      <c r="Q2266" s="2898" t="s">
        <v>437</v>
      </c>
      <c r="R2266" s="3099" t="str">
        <f>IFERROR(VLOOKUP(F2266,Trainingsarten!$A$9:$N$84,14,FALSE),"")</f>
        <v/>
      </c>
      <c r="S2266" s="3100" t="str">
        <f t="shared" si="538"/>
        <v/>
      </c>
      <c r="T2266" s="3090">
        <f t="shared" si="539"/>
        <v>11.79938298594857</v>
      </c>
      <c r="U2266" s="3090">
        <f t="shared" si="540"/>
        <v>14.061291409321083</v>
      </c>
      <c r="V2266" s="3090">
        <f t="shared" si="541"/>
        <v>0.63830291943769524</v>
      </c>
      <c r="W2266" s="3284">
        <f t="shared" si="542"/>
        <v>0.83913935373865323</v>
      </c>
      <c r="X2266" s="3300">
        <v>54</v>
      </c>
      <c r="Y2266" s="3316" t="str">
        <f t="shared" si="535"/>
        <v/>
      </c>
      <c r="Z2266" s="2597">
        <f t="shared" si="532"/>
        <v>34.285975021911291</v>
      </c>
      <c r="AA2266" s="2597">
        <f t="shared" si="533"/>
        <v>24.423924134183139</v>
      </c>
      <c r="AB2266" s="3325">
        <f t="shared" si="534"/>
        <v>1.4037865018555908</v>
      </c>
    </row>
    <row r="2267" spans="1:31" x14ac:dyDescent="0.2">
      <c r="A2267" s="2935" t="s">
        <v>761</v>
      </c>
      <c r="B2267" s="3006">
        <f>AVERAGE(W2264:W2270)</f>
        <v>0.83204745885894682</v>
      </c>
      <c r="C2267" s="2937">
        <v>45365</v>
      </c>
      <c r="D2267" s="3090"/>
      <c r="E2267" s="3091"/>
      <c r="F2267" s="2759"/>
      <c r="G2267" s="3092"/>
      <c r="H2267" s="3093" t="str">
        <f>IFERROR(VLOOKUP(F2267,Trainingsarten!$A$9:$K$84,10,FALSE),"")</f>
        <v/>
      </c>
      <c r="I2267" s="3094" t="str">
        <f t="shared" si="536"/>
        <v/>
      </c>
      <c r="J2267" s="3095"/>
      <c r="K2267" s="3096" t="str">
        <f>IFERROR(VLOOKUP(F2267,Trainingsarten!$A$9:$K$84,11,FALSE),"0")</f>
        <v>0</v>
      </c>
      <c r="L2267" s="2816"/>
      <c r="M2267" s="3095"/>
      <c r="N2267" s="3097" t="str">
        <f t="shared" si="537"/>
        <v/>
      </c>
      <c r="O2267" s="3098"/>
      <c r="P2267" s="2897" t="str">
        <f>IFERROR(VLOOKUP(F2267,Trainingsarten!$A$9:$N$84,12,FALSE),"")</f>
        <v/>
      </c>
      <c r="Q2267" s="2898" t="s">
        <v>437</v>
      </c>
      <c r="R2267" s="3099" t="str">
        <f>IFERROR(VLOOKUP(F2267,Trainingsarten!$A$9:$N$84,14,FALSE),"")</f>
        <v/>
      </c>
      <c r="S2267" s="3100" t="str">
        <f t="shared" si="538"/>
        <v/>
      </c>
      <c r="T2267" s="3090">
        <f t="shared" si="539"/>
        <v>10.113756845098775</v>
      </c>
      <c r="U2267" s="3090">
        <f t="shared" si="540"/>
        <v>13.7264987567182</v>
      </c>
      <c r="V2267" s="3090">
        <f t="shared" si="541"/>
        <v>2.2619084233725122</v>
      </c>
      <c r="W2267" s="3284">
        <f t="shared" si="542"/>
        <v>0.73680528620954922</v>
      </c>
      <c r="X2267" s="3300"/>
      <c r="Y2267" s="3316" t="str">
        <f t="shared" si="535"/>
        <v/>
      </c>
      <c r="Z2267" s="2597">
        <f t="shared" si="532"/>
        <v>29.387978590209677</v>
      </c>
      <c r="AA2267" s="2597">
        <f t="shared" si="533"/>
        <v>23.842402130988301</v>
      </c>
      <c r="AB2267" s="3325">
        <f t="shared" si="534"/>
        <v>1.2325930260195432</v>
      </c>
    </row>
    <row r="2268" spans="1:31" x14ac:dyDescent="0.2">
      <c r="A2268" s="2935" t="s">
        <v>979</v>
      </c>
      <c r="B2268" s="3131" t="str">
        <f>IFERROR(AVERAGE(N2264:N2270),"")</f>
        <v/>
      </c>
      <c r="C2268" s="2937">
        <v>45366</v>
      </c>
      <c r="D2268" s="3090"/>
      <c r="E2268" s="3091"/>
      <c r="F2268" s="2759" t="s">
        <v>944</v>
      </c>
      <c r="G2268" s="3092"/>
      <c r="H2268" s="3093">
        <f>IFERROR(VLOOKUP(F2268,Trainingsarten!$A$9:$K$84,10,FALSE),"")</f>
        <v>5.0855335173981304</v>
      </c>
      <c r="I2268" s="3094">
        <f t="shared" si="536"/>
        <v>0</v>
      </c>
      <c r="J2268" s="3095"/>
      <c r="K2268" s="3096">
        <f>IFERROR(VLOOKUP(F2268,Trainingsarten!$A$9:$K$84,11,FALSE),"0")</f>
        <v>36.125</v>
      </c>
      <c r="L2268" s="2816"/>
      <c r="M2268" s="3095"/>
      <c r="N2268" s="3097" t="str">
        <f t="shared" si="537"/>
        <v/>
      </c>
      <c r="O2268" s="3098"/>
      <c r="P2268" s="2897">
        <f>IFERROR(VLOOKUP(F2268,Trainingsarten!$A$9:$N$84,12,FALSE),"")</f>
        <v>194.60000000000002</v>
      </c>
      <c r="Q2268" s="2898" t="s">
        <v>437</v>
      </c>
      <c r="R2268" s="3099">
        <f>IFERROR(VLOOKUP(F2268,Trainingsarten!$A$9:$N$84,14,FALSE),"")</f>
        <v>212.96</v>
      </c>
      <c r="S2268" s="3100" t="str">
        <f t="shared" si="538"/>
        <v/>
      </c>
      <c r="T2268" s="3090">
        <f t="shared" si="539"/>
        <v>13.829648724370379</v>
      </c>
      <c r="U2268" s="3090">
        <f t="shared" si="540"/>
        <v>14.259796405367767</v>
      </c>
      <c r="V2268" s="3090">
        <f t="shared" si="541"/>
        <v>3.612741911619425</v>
      </c>
      <c r="W2268" s="3284">
        <f t="shared" si="542"/>
        <v>0.96983493531257792</v>
      </c>
      <c r="X2268" s="3300">
        <v>23</v>
      </c>
      <c r="Y2268" s="3316">
        <f t="shared" si="535"/>
        <v>0.63667820069204151</v>
      </c>
      <c r="Z2268" s="2597">
        <f t="shared" ref="Z2268:Z2331" si="543">Z2267+(X2268-Z2267)/7</f>
        <v>28.475410220179722</v>
      </c>
      <c r="AA2268" s="2597">
        <f t="shared" ref="AA2268:AA2331" si="544">AA2267+(X2268-AA2267)/42</f>
        <v>23.822344937393343</v>
      </c>
      <c r="AB2268" s="3325">
        <f t="shared" ref="AB2268:AB2331" si="545">Z2268/AA2268</f>
        <v>1.1953235626054</v>
      </c>
    </row>
    <row r="2269" spans="1:31" x14ac:dyDescent="0.2">
      <c r="A2269" s="2935" t="s">
        <v>980</v>
      </c>
      <c r="B2269" s="3006" t="str">
        <f>IFERROR(AVERAGE(S2264:S2270),"")</f>
        <v/>
      </c>
      <c r="C2269" s="2937">
        <v>45367</v>
      </c>
      <c r="D2269" s="3090"/>
      <c r="E2269" s="3091"/>
      <c r="F2269" s="2889"/>
      <c r="G2269" s="3092"/>
      <c r="H2269" s="3093">
        <v>17.899999999999999</v>
      </c>
      <c r="I2269" s="3094">
        <f t="shared" si="536"/>
        <v>0</v>
      </c>
      <c r="J2269" s="3095"/>
      <c r="K2269" s="3096" t="str">
        <f>IFERROR(VLOOKUP(F2269,Trainingsarten!$A$9:$K$84,11,FALSE),"0")</f>
        <v>0</v>
      </c>
      <c r="L2269" s="2816"/>
      <c r="M2269" s="3095"/>
      <c r="N2269" s="3097" t="str">
        <f t="shared" si="537"/>
        <v/>
      </c>
      <c r="O2269" s="3098"/>
      <c r="P2269" s="2897" t="str">
        <f>IFERROR(VLOOKUP(F2269,Trainingsarten!$A$9:$N$84,12,FALSE),"")</f>
        <v/>
      </c>
      <c r="Q2269" s="2898" t="s">
        <v>437</v>
      </c>
      <c r="R2269" s="3099" t="str">
        <f>IFERROR(VLOOKUP(F2269,Trainingsarten!$A$9:$N$84,14,FALSE),"")</f>
        <v/>
      </c>
      <c r="S2269" s="3100" t="str">
        <f t="shared" si="538"/>
        <v/>
      </c>
      <c r="T2269" s="3090">
        <f t="shared" si="539"/>
        <v>11.853984620888896</v>
      </c>
      <c r="U2269" s="3090">
        <f t="shared" si="540"/>
        <v>13.920277443335202</v>
      </c>
      <c r="V2269" s="3090">
        <f t="shared" si="541"/>
        <v>0.43014768099738809</v>
      </c>
      <c r="W2269" s="3284">
        <f t="shared" si="542"/>
        <v>0.85156238222567815</v>
      </c>
      <c r="X2269" s="3300">
        <v>85</v>
      </c>
      <c r="Y2269" s="3316" t="str">
        <f t="shared" si="535"/>
        <v/>
      </c>
      <c r="Z2269" s="2597">
        <f t="shared" si="543"/>
        <v>36.550351617296904</v>
      </c>
      <c r="AA2269" s="2597">
        <f t="shared" si="544"/>
        <v>25.278955772217312</v>
      </c>
      <c r="AB2269" s="3325">
        <f t="shared" si="545"/>
        <v>1.4458805951734508</v>
      </c>
    </row>
    <row r="2270" spans="1:31" ht="16" thickBot="1" x14ac:dyDescent="0.25">
      <c r="A2270" s="2936" t="s">
        <v>183</v>
      </c>
      <c r="B2270" s="3003">
        <f>IFERROR(SUM(M2264:M2270),"")</f>
        <v>0</v>
      </c>
      <c r="C2270" s="2576">
        <v>45368</v>
      </c>
      <c r="D2270" s="1788"/>
      <c r="E2270" s="1789"/>
      <c r="F2270" s="2763"/>
      <c r="G2270" s="2577"/>
      <c r="H2270" s="2578" t="str">
        <f>IFERROR(VLOOKUP(F2270,Trainingsarten!$A$9:$K$84,10,FALSE),"")</f>
        <v/>
      </c>
      <c r="I2270" s="2579" t="str">
        <f t="shared" si="536"/>
        <v/>
      </c>
      <c r="J2270" s="2580"/>
      <c r="K2270" s="2581" t="str">
        <f>IFERROR(VLOOKUP(F2270,Trainingsarten!$A$9:$K$84,11,FALSE),"0")</f>
        <v>0</v>
      </c>
      <c r="L2270" s="3101"/>
      <c r="M2270" s="2580"/>
      <c r="N2270" s="2582" t="str">
        <f t="shared" si="537"/>
        <v/>
      </c>
      <c r="O2270" s="2583"/>
      <c r="P2270" s="3102" t="str">
        <f>IFERROR(VLOOKUP(F2270,Trainingsarten!$A$9:$N$84,12,FALSE),"")</f>
        <v/>
      </c>
      <c r="Q2270" s="3103" t="s">
        <v>437</v>
      </c>
      <c r="R2270" s="3104" t="str">
        <f>IFERROR(VLOOKUP(F2270,Trainingsarten!$A$9:$N$84,14,FALSE),"")</f>
        <v/>
      </c>
      <c r="S2270" s="2390" t="str">
        <f t="shared" si="538"/>
        <v/>
      </c>
      <c r="T2270" s="1788">
        <f t="shared" si="539"/>
        <v>10.160558246476198</v>
      </c>
      <c r="U2270" s="1788">
        <f t="shared" si="540"/>
        <v>13.588842266112936</v>
      </c>
      <c r="V2270" s="1788">
        <f t="shared" si="541"/>
        <v>2.0662928224463055</v>
      </c>
      <c r="W2270" s="3293">
        <f t="shared" si="542"/>
        <v>0.74771331122254669</v>
      </c>
      <c r="X2270" s="3336"/>
      <c r="Y2270" s="3326" t="str">
        <f t="shared" si="535"/>
        <v/>
      </c>
      <c r="Z2270" s="3327">
        <f t="shared" si="543"/>
        <v>31.328872814825917</v>
      </c>
      <c r="AA2270" s="3327">
        <f t="shared" si="544"/>
        <v>24.677075872878806</v>
      </c>
      <c r="AB2270" s="3328">
        <f t="shared" si="545"/>
        <v>1.2695536933230298</v>
      </c>
      <c r="AE2270" s="367" t="s">
        <v>1503</v>
      </c>
    </row>
    <row r="2271" spans="1:31" ht="16" thickBot="1" x14ac:dyDescent="0.25">
      <c r="A2271" s="3439">
        <f>WEEKNUM(C2271,1)</f>
        <v>12</v>
      </c>
      <c r="B2271" s="3440"/>
      <c r="C2271" s="2585">
        <v>45369</v>
      </c>
      <c r="D2271" s="2586"/>
      <c r="E2271" s="2587"/>
      <c r="F2271" s="2759" t="s">
        <v>944</v>
      </c>
      <c r="G2271" s="2588"/>
      <c r="H2271" s="2589">
        <f>IFERROR(VLOOKUP(F2271,Trainingsarten!$A$9:$K$84,10,FALSE),"")</f>
        <v>5.0855335173981304</v>
      </c>
      <c r="I2271" s="2590">
        <f t="shared" si="536"/>
        <v>0</v>
      </c>
      <c r="J2271" s="2591"/>
      <c r="K2271" s="2592">
        <f>IFERROR(VLOOKUP(F2271,Trainingsarten!$A$9:$K$84,11,FALSE),"0")</f>
        <v>36.125</v>
      </c>
      <c r="L2271" s="2815"/>
      <c r="M2271" s="2591"/>
      <c r="N2271" s="2593" t="str">
        <f t="shared" si="537"/>
        <v/>
      </c>
      <c r="O2271" s="2594"/>
      <c r="P2271" s="1919">
        <f>IFERROR(VLOOKUP(F2271,Trainingsarten!$A$9:$N$84,12,FALSE),"")</f>
        <v>194.60000000000002</v>
      </c>
      <c r="Q2271" s="2461" t="s">
        <v>437</v>
      </c>
      <c r="R2271" s="3089">
        <f>IFERROR(VLOOKUP(F2271,Trainingsarten!$A$9:$N$84,14,FALSE),"")</f>
        <v>212.96</v>
      </c>
      <c r="S2271" s="2595" t="str">
        <f t="shared" si="538"/>
        <v/>
      </c>
      <c r="T2271" s="2586">
        <f t="shared" si="539"/>
        <v>13.869764211265313</v>
      </c>
      <c r="U2271" s="2586">
        <f t="shared" si="540"/>
        <v>14.125417450253105</v>
      </c>
      <c r="V2271" s="2586">
        <f t="shared" si="541"/>
        <v>3.4282840196367381</v>
      </c>
      <c r="W2271" s="3283">
        <f t="shared" si="542"/>
        <v>0.98190119053910074</v>
      </c>
      <c r="X2271" s="3308">
        <v>20</v>
      </c>
      <c r="Y2271" s="3337">
        <f t="shared" si="535"/>
        <v>0.55363321799307963</v>
      </c>
      <c r="Z2271" s="2586">
        <f t="shared" si="543"/>
        <v>29.71046241270793</v>
      </c>
      <c r="AA2271" s="2586">
        <f t="shared" si="544"/>
        <v>24.565716923524548</v>
      </c>
      <c r="AB2271" s="2595">
        <f t="shared" si="545"/>
        <v>1.2094278585558675</v>
      </c>
    </row>
    <row r="2272" spans="1:31" x14ac:dyDescent="0.2">
      <c r="A2272" s="2934" t="s">
        <v>626</v>
      </c>
      <c r="B2272" s="3004">
        <f>SUM(H2271:H2277)</f>
        <v>32.256600552194392</v>
      </c>
      <c r="C2272" s="2937">
        <v>45370</v>
      </c>
      <c r="D2272" s="3090"/>
      <c r="E2272" s="3091"/>
      <c r="F2272" s="2759" t="s">
        <v>944</v>
      </c>
      <c r="G2272" s="3092"/>
      <c r="H2272" s="3093">
        <f>IFERROR(VLOOKUP(F2272,Trainingsarten!$A$9:$K$84,10,FALSE),"")</f>
        <v>5.0855335173981304</v>
      </c>
      <c r="I2272" s="3094">
        <f t="shared" si="536"/>
        <v>0</v>
      </c>
      <c r="J2272" s="3095"/>
      <c r="K2272" s="3096">
        <f>IFERROR(VLOOKUP(F2272,Trainingsarten!$A$9:$K$84,11,FALSE),"0")</f>
        <v>36.125</v>
      </c>
      <c r="L2272" s="2816"/>
      <c r="M2272" s="3095"/>
      <c r="N2272" s="3097" t="str">
        <f t="shared" si="537"/>
        <v/>
      </c>
      <c r="O2272" s="3098"/>
      <c r="P2272" s="2897">
        <f>IFERROR(VLOOKUP(F2272,Trainingsarten!$A$9:$N$84,12,FALSE),"")</f>
        <v>194.60000000000002</v>
      </c>
      <c r="Q2272" s="2898" t="s">
        <v>437</v>
      </c>
      <c r="R2272" s="3099">
        <f>IFERROR(VLOOKUP(F2272,Trainingsarten!$A$9:$N$84,14,FALSE),"")</f>
        <v>212.96</v>
      </c>
      <c r="S2272" s="3100" t="str">
        <f t="shared" si="538"/>
        <v/>
      </c>
      <c r="T2272" s="3090">
        <f t="shared" si="539"/>
        <v>17.049083609655984</v>
      </c>
      <c r="U2272" s="3090">
        <f t="shared" si="540"/>
        <v>14.649217034770889</v>
      </c>
      <c r="V2272" s="3090">
        <f t="shared" si="541"/>
        <v>0.25565323898779191</v>
      </c>
      <c r="W2272" s="3284">
        <f t="shared" si="542"/>
        <v>1.163822173511994</v>
      </c>
      <c r="X2272" s="3300">
        <v>23</v>
      </c>
      <c r="Y2272" s="3316">
        <f t="shared" si="535"/>
        <v>0.63667820069204151</v>
      </c>
      <c r="Z2272" s="3338">
        <f t="shared" si="543"/>
        <v>28.751824925178227</v>
      </c>
      <c r="AA2272" s="3338">
        <f t="shared" si="544"/>
        <v>24.528437949154917</v>
      </c>
      <c r="AB2272" s="3339">
        <f t="shared" si="545"/>
        <v>1.1721832831254066</v>
      </c>
    </row>
    <row r="2273" spans="1:31" x14ac:dyDescent="0.2">
      <c r="A2273" s="2935" t="s">
        <v>628</v>
      </c>
      <c r="B2273" s="3005">
        <f>SUM(K2271:K2277)</f>
        <v>108.375</v>
      </c>
      <c r="C2273" s="2937">
        <v>45371</v>
      </c>
      <c r="D2273" s="3090"/>
      <c r="E2273" s="3091"/>
      <c r="F2273" s="2759"/>
      <c r="G2273" s="3092"/>
      <c r="H2273" s="3093">
        <v>6.7</v>
      </c>
      <c r="I2273" s="3094">
        <f t="shared" si="536"/>
        <v>0</v>
      </c>
      <c r="J2273" s="3095"/>
      <c r="K2273" s="3096" t="str">
        <f>IFERROR(VLOOKUP(F2273,Trainingsarten!$A$9:$K$84,11,FALSE),"0")</f>
        <v>0</v>
      </c>
      <c r="L2273" s="2816"/>
      <c r="M2273" s="3095"/>
      <c r="N2273" s="3097" t="str">
        <f t="shared" si="537"/>
        <v/>
      </c>
      <c r="O2273" s="3098"/>
      <c r="P2273" s="2897" t="str">
        <f>IFERROR(VLOOKUP(F2273,Trainingsarten!$A$9:$N$84,12,FALSE),"")</f>
        <v/>
      </c>
      <c r="Q2273" s="2898" t="s">
        <v>437</v>
      </c>
      <c r="R2273" s="3099" t="str">
        <f>IFERROR(VLOOKUP(F2273,Trainingsarten!$A$9:$N$84,14,FALSE),"")</f>
        <v/>
      </c>
      <c r="S2273" s="3100" t="str">
        <f t="shared" si="538"/>
        <v/>
      </c>
      <c r="T2273" s="3090">
        <f t="shared" si="539"/>
        <v>14.613500236847987</v>
      </c>
      <c r="U2273" s="3090">
        <f t="shared" si="540"/>
        <v>14.30042615299063</v>
      </c>
      <c r="V2273" s="3090">
        <f t="shared" si="541"/>
        <v>-2.3998665748850954</v>
      </c>
      <c r="W2273" s="3284">
        <f t="shared" si="542"/>
        <v>1.0218926401568729</v>
      </c>
      <c r="X2273" s="3300">
        <v>42</v>
      </c>
      <c r="Y2273" s="3316" t="str">
        <f t="shared" si="535"/>
        <v/>
      </c>
      <c r="Z2273" s="3338">
        <f t="shared" si="543"/>
        <v>30.644421364438479</v>
      </c>
      <c r="AA2273" s="3338">
        <f t="shared" si="544"/>
        <v>24.944427521794086</v>
      </c>
      <c r="AB2273" s="3339">
        <f t="shared" si="545"/>
        <v>1.2285077032801925</v>
      </c>
    </row>
    <row r="2274" spans="1:31" x14ac:dyDescent="0.2">
      <c r="A2274" s="2935" t="s">
        <v>761</v>
      </c>
      <c r="B2274" s="3006">
        <f>AVERAGE(W2271:W2277)</f>
        <v>0.99594642455652871</v>
      </c>
      <c r="C2274" s="2937">
        <v>45372</v>
      </c>
      <c r="D2274" s="3090"/>
      <c r="E2274" s="3091"/>
      <c r="F2274" s="2759"/>
      <c r="G2274" s="3092"/>
      <c r="H2274" s="3093" t="str">
        <f>IFERROR(VLOOKUP(F2274,Trainingsarten!$A$9:$K$84,10,FALSE),"")</f>
        <v/>
      </c>
      <c r="I2274" s="3094" t="str">
        <f t="shared" si="536"/>
        <v/>
      </c>
      <c r="J2274" s="3095"/>
      <c r="K2274" s="3096" t="str">
        <f>IFERROR(VLOOKUP(F2274,Trainingsarten!$A$9:$K$84,11,FALSE),"0")</f>
        <v>0</v>
      </c>
      <c r="L2274" s="2816"/>
      <c r="M2274" s="3095"/>
      <c r="N2274" s="3097" t="str">
        <f t="shared" si="537"/>
        <v/>
      </c>
      <c r="O2274" s="3098"/>
      <c r="P2274" s="2897" t="str">
        <f>IFERROR(VLOOKUP(F2274,Trainingsarten!$A$9:$N$84,12,FALSE),"")</f>
        <v/>
      </c>
      <c r="Q2274" s="2898" t="s">
        <v>437</v>
      </c>
      <c r="R2274" s="3099" t="str">
        <f>IFERROR(VLOOKUP(F2274,Trainingsarten!$A$9:$N$84,14,FALSE),"")</f>
        <v/>
      </c>
      <c r="S2274" s="3100" t="str">
        <f t="shared" si="538"/>
        <v/>
      </c>
      <c r="T2274" s="3090">
        <f t="shared" si="539"/>
        <v>12.525857345869703</v>
      </c>
      <c r="U2274" s="3090">
        <f t="shared" si="540"/>
        <v>13.959939816014662</v>
      </c>
      <c r="V2274" s="3090">
        <f t="shared" si="541"/>
        <v>-0.31307408385735691</v>
      </c>
      <c r="W2274" s="3284">
        <f t="shared" si="542"/>
        <v>0.89727158647920535</v>
      </c>
      <c r="X2274" s="3300"/>
      <c r="Y2274" s="3316" t="str">
        <f t="shared" si="535"/>
        <v/>
      </c>
      <c r="Z2274" s="3338">
        <f t="shared" si="543"/>
        <v>26.266646883804412</v>
      </c>
      <c r="AA2274" s="3338">
        <f t="shared" si="544"/>
        <v>24.350512580798988</v>
      </c>
      <c r="AB2274" s="3339">
        <f t="shared" si="545"/>
        <v>1.0786896906850474</v>
      </c>
    </row>
    <row r="2275" spans="1:31" x14ac:dyDescent="0.2">
      <c r="A2275" s="2935" t="s">
        <v>979</v>
      </c>
      <c r="B2275" s="3131" t="str">
        <f>IFERROR(AVERAGE(N2271:N2277),"")</f>
        <v/>
      </c>
      <c r="C2275" s="2937">
        <v>45373</v>
      </c>
      <c r="D2275" s="3090"/>
      <c r="E2275" s="3091"/>
      <c r="F2275" s="2759" t="s">
        <v>944</v>
      </c>
      <c r="G2275" s="3092"/>
      <c r="H2275" s="3093">
        <f>IFERROR(VLOOKUP(F2275,Trainingsarten!$A$9:$K$84,10,FALSE),"")</f>
        <v>5.0855335173981304</v>
      </c>
      <c r="I2275" s="3094">
        <f t="shared" si="536"/>
        <v>0</v>
      </c>
      <c r="J2275" s="3095"/>
      <c r="K2275" s="3096">
        <f>IFERROR(VLOOKUP(F2275,Trainingsarten!$A$9:$K$84,11,FALSE),"0")</f>
        <v>36.125</v>
      </c>
      <c r="L2275" s="2816"/>
      <c r="M2275" s="3095"/>
      <c r="N2275" s="3097" t="str">
        <f t="shared" si="537"/>
        <v/>
      </c>
      <c r="O2275" s="3098"/>
      <c r="P2275" s="2897">
        <f>IFERROR(VLOOKUP(F2275,Trainingsarten!$A$9:$N$84,12,FALSE),"")</f>
        <v>194.60000000000002</v>
      </c>
      <c r="Q2275" s="2898" t="s">
        <v>437</v>
      </c>
      <c r="R2275" s="3099">
        <f>IFERROR(VLOOKUP(F2275,Trainingsarten!$A$9:$N$84,14,FALSE),"")</f>
        <v>212.96</v>
      </c>
      <c r="S2275" s="3100" t="str">
        <f t="shared" si="538"/>
        <v/>
      </c>
      <c r="T2275" s="3090">
        <f t="shared" si="539"/>
        <v>15.897163439316888</v>
      </c>
      <c r="U2275" s="3090">
        <f t="shared" si="540"/>
        <v>14.487679344204789</v>
      </c>
      <c r="V2275" s="3090">
        <f t="shared" si="541"/>
        <v>1.4340824701449595</v>
      </c>
      <c r="W2275" s="3284">
        <f t="shared" si="542"/>
        <v>1.0972884657111013</v>
      </c>
      <c r="X2275" s="3300">
        <v>23</v>
      </c>
      <c r="Y2275" s="3316">
        <f t="shared" si="535"/>
        <v>0.63667820069204151</v>
      </c>
      <c r="Z2275" s="3338">
        <f t="shared" si="543"/>
        <v>25.799983043260927</v>
      </c>
      <c r="AA2275" s="3338">
        <f t="shared" si="544"/>
        <v>24.318357519351395</v>
      </c>
      <c r="AB2275" s="3339">
        <f t="shared" si="545"/>
        <v>1.060926216860268</v>
      </c>
    </row>
    <row r="2276" spans="1:31" x14ac:dyDescent="0.2">
      <c r="A2276" s="2935" t="s">
        <v>980</v>
      </c>
      <c r="B2276" s="3006" t="str">
        <f>IFERROR(AVERAGE(S2271:S2277),"")</f>
        <v/>
      </c>
      <c r="C2276" s="2937">
        <v>45374</v>
      </c>
      <c r="D2276" s="3090"/>
      <c r="E2276" s="3091"/>
      <c r="F2276" s="2889"/>
      <c r="G2276" s="3092"/>
      <c r="H2276" s="3093">
        <v>10.3</v>
      </c>
      <c r="I2276" s="3094">
        <f t="shared" si="536"/>
        <v>0</v>
      </c>
      <c r="J2276" s="3095"/>
      <c r="K2276" s="3096" t="str">
        <f>IFERROR(VLOOKUP(F2276,Trainingsarten!$A$9:$K$84,11,FALSE),"0")</f>
        <v>0</v>
      </c>
      <c r="L2276" s="2816"/>
      <c r="M2276" s="3095"/>
      <c r="N2276" s="3097" t="str">
        <f t="shared" si="537"/>
        <v/>
      </c>
      <c r="O2276" s="3098"/>
      <c r="P2276" s="2897" t="str">
        <f>IFERROR(VLOOKUP(F2276,Trainingsarten!$A$9:$N$84,12,FALSE),"")</f>
        <v/>
      </c>
      <c r="Q2276" s="2898" t="s">
        <v>437</v>
      </c>
      <c r="R2276" s="3099" t="str">
        <f>IFERROR(VLOOKUP(F2276,Trainingsarten!$A$9:$N$84,14,FALSE),"")</f>
        <v/>
      </c>
      <c r="S2276" s="3100" t="str">
        <f t="shared" si="538"/>
        <v/>
      </c>
      <c r="T2276" s="3090">
        <f t="shared" si="539"/>
        <v>13.626140090843046</v>
      </c>
      <c r="U2276" s="3090">
        <f t="shared" si="540"/>
        <v>14.142734597914199</v>
      </c>
      <c r="V2276" s="3090">
        <f t="shared" si="541"/>
        <v>-1.4094840951120986</v>
      </c>
      <c r="W2276" s="3284">
        <f t="shared" si="542"/>
        <v>0.96347279916096695</v>
      </c>
      <c r="X2276" s="3300">
        <v>68</v>
      </c>
      <c r="Y2276" s="3316" t="str">
        <f t="shared" si="535"/>
        <v/>
      </c>
      <c r="Z2276" s="3338">
        <f t="shared" si="543"/>
        <v>31.828556894223652</v>
      </c>
      <c r="AA2276" s="3338">
        <f t="shared" si="544"/>
        <v>25.358396626033503</v>
      </c>
      <c r="AB2276" s="3339">
        <f t="shared" si="545"/>
        <v>1.2551486343402223</v>
      </c>
    </row>
    <row r="2277" spans="1:31" ht="16" thickBot="1" x14ac:dyDescent="0.25">
      <c r="A2277" s="2936" t="s">
        <v>183</v>
      </c>
      <c r="B2277" s="3003">
        <f>IFERROR(SUM(M2271:M2277),"")</f>
        <v>0</v>
      </c>
      <c r="C2277" s="2576">
        <v>45375</v>
      </c>
      <c r="D2277" s="1788"/>
      <c r="E2277" s="1789"/>
      <c r="F2277" s="2763"/>
      <c r="G2277" s="2577"/>
      <c r="H2277" s="2578" t="str">
        <f>IFERROR(VLOOKUP(F2277,Trainingsarten!$A$9:$K$84,10,FALSE),"")</f>
        <v/>
      </c>
      <c r="I2277" s="2579" t="str">
        <f t="shared" si="536"/>
        <v/>
      </c>
      <c r="J2277" s="2580"/>
      <c r="K2277" s="2581" t="str">
        <f>IFERROR(VLOOKUP(F2277,Trainingsarten!$A$9:$K$84,11,FALSE),"0")</f>
        <v>0</v>
      </c>
      <c r="L2277" s="3101"/>
      <c r="M2277" s="2580"/>
      <c r="N2277" s="2582" t="str">
        <f t="shared" si="537"/>
        <v/>
      </c>
      <c r="O2277" s="2583"/>
      <c r="P2277" s="3102" t="str">
        <f>IFERROR(VLOOKUP(F2277,Trainingsarten!$A$9:$N$84,12,FALSE),"")</f>
        <v/>
      </c>
      <c r="Q2277" s="3103" t="s">
        <v>437</v>
      </c>
      <c r="R2277" s="3104" t="str">
        <f>IFERROR(VLOOKUP(F2277,Trainingsarten!$A$9:$N$84,14,FALSE),"")</f>
        <v/>
      </c>
      <c r="S2277" s="2390" t="str">
        <f t="shared" si="538"/>
        <v/>
      </c>
      <c r="T2277" s="1788">
        <f t="shared" si="539"/>
        <v>11.679548649294039</v>
      </c>
      <c r="U2277" s="1788">
        <f t="shared" si="540"/>
        <v>13.806002821773385</v>
      </c>
      <c r="V2277" s="1788">
        <f t="shared" si="541"/>
        <v>0.51659450707115262</v>
      </c>
      <c r="W2277" s="3293">
        <f t="shared" si="542"/>
        <v>0.84597611633645875</v>
      </c>
      <c r="X2277" s="3309"/>
      <c r="Y2277" s="3340" t="str">
        <f t="shared" si="535"/>
        <v/>
      </c>
      <c r="Z2277" s="3314">
        <f t="shared" si="543"/>
        <v>27.281620195048845</v>
      </c>
      <c r="AA2277" s="3314">
        <f t="shared" si="544"/>
        <v>24.754625277794609</v>
      </c>
      <c r="AB2277" s="2846">
        <f t="shared" si="545"/>
        <v>1.1020817277133659</v>
      </c>
    </row>
    <row r="2278" spans="1:31" ht="16" thickBot="1" x14ac:dyDescent="0.25">
      <c r="A2278" s="3439">
        <f>WEEKNUM(C2278,1)</f>
        <v>13</v>
      </c>
      <c r="B2278" s="3440"/>
      <c r="C2278" s="2585">
        <v>45376</v>
      </c>
      <c r="D2278" s="2586"/>
      <c r="E2278" s="2587"/>
      <c r="F2278" s="2761"/>
      <c r="G2278" s="2588"/>
      <c r="H2278" s="2589">
        <v>8.1</v>
      </c>
      <c r="I2278" s="2590">
        <f t="shared" si="536"/>
        <v>0</v>
      </c>
      <c r="J2278" s="2591"/>
      <c r="K2278" s="2592" t="str">
        <f>IFERROR(VLOOKUP(F2278,Trainingsarten!$A$9:$K$84,11,FALSE),"0")</f>
        <v>0</v>
      </c>
      <c r="L2278" s="2815"/>
      <c r="M2278" s="2591"/>
      <c r="N2278" s="2593" t="str">
        <f t="shared" si="537"/>
        <v/>
      </c>
      <c r="O2278" s="2594"/>
      <c r="P2278" s="1919" t="str">
        <f>IFERROR(VLOOKUP(F2278,Trainingsarten!$A$9:$N$84,12,FALSE),"")</f>
        <v/>
      </c>
      <c r="Q2278" s="2461" t="s">
        <v>437</v>
      </c>
      <c r="R2278" s="3089" t="str">
        <f>IFERROR(VLOOKUP(F2278,Trainingsarten!$A$9:$N$84,14,FALSE),"")</f>
        <v/>
      </c>
      <c r="S2278" s="2595" t="str">
        <f t="shared" si="538"/>
        <v/>
      </c>
      <c r="T2278" s="2586">
        <f t="shared" si="539"/>
        <v>10.011041699394891</v>
      </c>
      <c r="U2278" s="2586">
        <f t="shared" si="540"/>
        <v>13.477288468874018</v>
      </c>
      <c r="V2278" s="2586">
        <f t="shared" si="541"/>
        <v>2.1264541724793453</v>
      </c>
      <c r="W2278" s="3283">
        <f t="shared" si="542"/>
        <v>0.74280829727103703</v>
      </c>
      <c r="X2278" s="3298">
        <v>46</v>
      </c>
      <c r="Y2278" s="3315" t="str">
        <f t="shared" si="535"/>
        <v/>
      </c>
      <c r="Z2278" s="1111">
        <f t="shared" si="543"/>
        <v>29.955674452899011</v>
      </c>
      <c r="AA2278" s="1111">
        <f t="shared" si="544"/>
        <v>25.260467533085215</v>
      </c>
      <c r="AB2278" s="2449">
        <f t="shared" si="545"/>
        <v>1.1858717347042049</v>
      </c>
    </row>
    <row r="2279" spans="1:31" x14ac:dyDescent="0.2">
      <c r="A2279" s="2934" t="s">
        <v>626</v>
      </c>
      <c r="B2279" s="3004">
        <f>SUM(H2278:H2284)</f>
        <v>46.671067034796259</v>
      </c>
      <c r="C2279" s="2937">
        <v>45377</v>
      </c>
      <c r="D2279" s="3090"/>
      <c r="E2279" s="3091"/>
      <c r="F2279" s="2759" t="s">
        <v>944</v>
      </c>
      <c r="G2279" s="3092"/>
      <c r="H2279" s="3093">
        <f>IFERROR(VLOOKUP(F2279,Trainingsarten!$A$9:$K$84,10,FALSE),"")</f>
        <v>5.0855335173981304</v>
      </c>
      <c r="I2279" s="3094">
        <f t="shared" si="536"/>
        <v>0</v>
      </c>
      <c r="J2279" s="3095"/>
      <c r="K2279" s="3096">
        <f>IFERROR(VLOOKUP(F2279,Trainingsarten!$A$9:$K$84,11,FALSE),"0")</f>
        <v>36.125</v>
      </c>
      <c r="L2279" s="2816"/>
      <c r="M2279" s="3095"/>
      <c r="N2279" s="3097" t="str">
        <f t="shared" si="537"/>
        <v/>
      </c>
      <c r="O2279" s="3098"/>
      <c r="P2279" s="2897">
        <f>IFERROR(VLOOKUP(F2279,Trainingsarten!$A$9:$N$84,12,FALSE),"")</f>
        <v>194.60000000000002</v>
      </c>
      <c r="Q2279" s="2898" t="s">
        <v>437</v>
      </c>
      <c r="R2279" s="3099">
        <f>IFERROR(VLOOKUP(F2279,Trainingsarten!$A$9:$N$84,14,FALSE),"")</f>
        <v>212.96</v>
      </c>
      <c r="S2279" s="3100" t="str">
        <f t="shared" si="538"/>
        <v/>
      </c>
      <c r="T2279" s="3090">
        <f t="shared" si="539"/>
        <v>13.741607170909907</v>
      </c>
      <c r="U2279" s="3090">
        <f t="shared" si="540"/>
        <v>14.01651969580559</v>
      </c>
      <c r="V2279" s="3090">
        <f t="shared" si="541"/>
        <v>3.4662467694791275</v>
      </c>
      <c r="W2279" s="3284">
        <f t="shared" si="542"/>
        <v>0.98038653454195557</v>
      </c>
      <c r="X2279" s="3300">
        <v>20</v>
      </c>
      <c r="Y2279" s="3316">
        <f t="shared" si="535"/>
        <v>0.55363321799307963</v>
      </c>
      <c r="Z2279" s="2597">
        <f t="shared" si="543"/>
        <v>28.533435245342009</v>
      </c>
      <c r="AA2279" s="2597">
        <f t="shared" si="544"/>
        <v>25.135218306106996</v>
      </c>
      <c r="AB2279" s="3325">
        <f t="shared" si="545"/>
        <v>1.1351974308657333</v>
      </c>
    </row>
    <row r="2280" spans="1:31" x14ac:dyDescent="0.2">
      <c r="A2280" s="2935" t="s">
        <v>628</v>
      </c>
      <c r="B2280" s="3005">
        <f>SUM(K2278:K2284)</f>
        <v>72.25</v>
      </c>
      <c r="C2280" s="2937">
        <v>45378</v>
      </c>
      <c r="D2280" s="3090"/>
      <c r="E2280" s="3091"/>
      <c r="F2280" s="2759"/>
      <c r="G2280" s="3092"/>
      <c r="H2280" s="3093">
        <v>9.5</v>
      </c>
      <c r="I2280" s="3094">
        <f t="shared" si="536"/>
        <v>0</v>
      </c>
      <c r="J2280" s="3095"/>
      <c r="K2280" s="3096" t="str">
        <f>IFERROR(VLOOKUP(F2280,Trainingsarten!$A$9:$K$84,11,FALSE),"0")</f>
        <v>0</v>
      </c>
      <c r="L2280" s="2816"/>
      <c r="M2280" s="3095"/>
      <c r="N2280" s="3097" t="str">
        <f t="shared" si="537"/>
        <v/>
      </c>
      <c r="O2280" s="3098"/>
      <c r="P2280" s="2897" t="str">
        <f>IFERROR(VLOOKUP(F2280,Trainingsarten!$A$9:$N$84,12,FALSE),"")</f>
        <v/>
      </c>
      <c r="Q2280" s="2898" t="s">
        <v>437</v>
      </c>
      <c r="R2280" s="3099" t="str">
        <f>IFERROR(VLOOKUP(F2280,Trainingsarten!$A$9:$N$84,14,FALSE),"")</f>
        <v/>
      </c>
      <c r="S2280" s="3100" t="str">
        <f t="shared" si="538"/>
        <v/>
      </c>
      <c r="T2280" s="3090">
        <f t="shared" si="539"/>
        <v>11.778520432208492</v>
      </c>
      <c r="U2280" s="3090">
        <f t="shared" si="540"/>
        <v>13.682793036381646</v>
      </c>
      <c r="V2280" s="3090">
        <f t="shared" si="541"/>
        <v>0.27491252489568296</v>
      </c>
      <c r="W2280" s="3284">
        <f t="shared" si="542"/>
        <v>0.86082720106122934</v>
      </c>
      <c r="X2280" s="3300">
        <v>59</v>
      </c>
      <c r="Y2280" s="3316" t="str">
        <f t="shared" si="535"/>
        <v/>
      </c>
      <c r="Z2280" s="2597">
        <f t="shared" si="543"/>
        <v>32.885801638864578</v>
      </c>
      <c r="AA2280" s="2597">
        <f t="shared" si="544"/>
        <v>25.941522632152068</v>
      </c>
      <c r="AB2280" s="3325">
        <f t="shared" si="545"/>
        <v>1.2676897229658266</v>
      </c>
    </row>
    <row r="2281" spans="1:31" ht="16" thickBot="1" x14ac:dyDescent="0.25">
      <c r="A2281" s="2935" t="s">
        <v>761</v>
      </c>
      <c r="B2281" s="3006">
        <f>AVERAGE(W2278:W2284)</f>
        <v>0.85324706405574091</v>
      </c>
      <c r="C2281" s="2937">
        <v>45379</v>
      </c>
      <c r="D2281" s="3090"/>
      <c r="E2281" s="3091"/>
      <c r="F2281" s="2759"/>
      <c r="G2281" s="3092"/>
      <c r="H2281" s="3093" t="str">
        <f>IFERROR(VLOOKUP(F2281,Trainingsarten!$A$9:$K$84,10,FALSE),"")</f>
        <v/>
      </c>
      <c r="I2281" s="3094" t="str">
        <f t="shared" si="536"/>
        <v/>
      </c>
      <c r="J2281" s="3095"/>
      <c r="K2281" s="3096" t="str">
        <f>IFERROR(VLOOKUP(F2281,Trainingsarten!$A$9:$K$84,11,FALSE),"0")</f>
        <v>0</v>
      </c>
      <c r="L2281" s="2816"/>
      <c r="M2281" s="3095"/>
      <c r="N2281" s="3097" t="str">
        <f t="shared" si="537"/>
        <v/>
      </c>
      <c r="O2281" s="3098"/>
      <c r="P2281" s="2897" t="str">
        <f>IFERROR(VLOOKUP(F2281,Trainingsarten!$A$9:$N$84,12,FALSE),"")</f>
        <v/>
      </c>
      <c r="Q2281" s="2898" t="s">
        <v>437</v>
      </c>
      <c r="R2281" s="3099" t="str">
        <f>IFERROR(VLOOKUP(F2281,Trainingsarten!$A$9:$N$84,14,FALSE),"")</f>
        <v/>
      </c>
      <c r="S2281" s="3100" t="str">
        <f t="shared" si="538"/>
        <v/>
      </c>
      <c r="T2281" s="3090">
        <f t="shared" si="539"/>
        <v>10.095874656178706</v>
      </c>
      <c r="U2281" s="3090">
        <f t="shared" si="540"/>
        <v>13.35701224980113</v>
      </c>
      <c r="V2281" s="3090">
        <f t="shared" si="541"/>
        <v>1.9042726041731548</v>
      </c>
      <c r="W2281" s="3284">
        <f t="shared" si="542"/>
        <v>0.75584827410254274</v>
      </c>
      <c r="X2281" s="3300"/>
      <c r="Y2281" s="3316" t="str">
        <f t="shared" si="535"/>
        <v/>
      </c>
      <c r="Z2281" s="2597">
        <f t="shared" si="543"/>
        <v>28.187829976169638</v>
      </c>
      <c r="AA2281" s="2597">
        <f t="shared" si="544"/>
        <v>25.323867331386545</v>
      </c>
      <c r="AB2281" s="3325">
        <f t="shared" si="545"/>
        <v>1.1130934152870673</v>
      </c>
    </row>
    <row r="2282" spans="1:31" x14ac:dyDescent="0.2">
      <c r="A2282" s="2935" t="s">
        <v>979</v>
      </c>
      <c r="B2282" s="3131" t="str">
        <f>IFERROR(AVERAGE(N2278:N2284),"")</f>
        <v/>
      </c>
      <c r="C2282" s="3252">
        <v>45380</v>
      </c>
      <c r="D2282" s="3090"/>
      <c r="E2282" s="3091"/>
      <c r="F2282" s="2759" t="s">
        <v>944</v>
      </c>
      <c r="G2282" s="3092"/>
      <c r="H2282" s="3093">
        <f>IFERROR(VLOOKUP(F2282,Trainingsarten!$A$9:$K$84,10,FALSE),"")</f>
        <v>5.0855335173981304</v>
      </c>
      <c r="I2282" s="3094">
        <f t="shared" si="536"/>
        <v>0</v>
      </c>
      <c r="J2282" s="3095"/>
      <c r="K2282" s="3096">
        <f>IFERROR(VLOOKUP(F2282,Trainingsarten!$A$9:$K$84,11,FALSE),"0")</f>
        <v>36.125</v>
      </c>
      <c r="L2282" s="2816"/>
      <c r="M2282" s="3095"/>
      <c r="N2282" s="3097" t="str">
        <f t="shared" si="537"/>
        <v/>
      </c>
      <c r="O2282" s="3098"/>
      <c r="P2282" s="2897">
        <f>IFERROR(VLOOKUP(F2282,Trainingsarten!$A$9:$N$84,12,FALSE),"")</f>
        <v>194.60000000000002</v>
      </c>
      <c r="Q2282" s="2898" t="s">
        <v>437</v>
      </c>
      <c r="R2282" s="3099">
        <f>IFERROR(VLOOKUP(F2282,Trainingsarten!$A$9:$N$84,14,FALSE),"")</f>
        <v>212.96</v>
      </c>
      <c r="S2282" s="3100" t="str">
        <f t="shared" si="538"/>
        <v/>
      </c>
      <c r="T2282" s="3090">
        <f t="shared" si="539"/>
        <v>13.814321133867463</v>
      </c>
      <c r="U2282" s="3090">
        <f t="shared" si="540"/>
        <v>13.899107196234436</v>
      </c>
      <c r="V2282" s="3090">
        <f t="shared" si="541"/>
        <v>3.2611375936224238</v>
      </c>
      <c r="W2282" s="3284">
        <f t="shared" si="542"/>
        <v>0.99389989147001156</v>
      </c>
      <c r="X2282" s="3300">
        <v>23</v>
      </c>
      <c r="Y2282" s="3316">
        <f t="shared" si="535"/>
        <v>0.63667820069204151</v>
      </c>
      <c r="Z2282" s="2597">
        <f t="shared" si="543"/>
        <v>27.446711408145404</v>
      </c>
      <c r="AA2282" s="2597">
        <f t="shared" si="544"/>
        <v>25.268537156829723</v>
      </c>
      <c r="AB2282" s="3325">
        <f t="shared" si="545"/>
        <v>1.086201042735351</v>
      </c>
      <c r="AC2282" s="3645"/>
      <c r="AD2282" s="3645"/>
      <c r="AE2282" s="3434" t="s">
        <v>1487</v>
      </c>
    </row>
    <row r="2283" spans="1:31" x14ac:dyDescent="0.2">
      <c r="A2283" s="2935" t="s">
        <v>980</v>
      </c>
      <c r="B2283" s="3006" t="str">
        <f>IFERROR(AVERAGE(S2278:S2284),"")</f>
        <v/>
      </c>
      <c r="C2283" s="3252">
        <v>45381</v>
      </c>
      <c r="D2283" s="3090"/>
      <c r="E2283" s="3091"/>
      <c r="F2283" s="2889"/>
      <c r="G2283" s="3092"/>
      <c r="H2283" s="3093">
        <v>18.899999999999999</v>
      </c>
      <c r="I2283" s="3094">
        <f t="shared" si="536"/>
        <v>0</v>
      </c>
      <c r="J2283" s="3095"/>
      <c r="K2283" s="3096" t="str">
        <f>IFERROR(VLOOKUP(F2283,Trainingsarten!$A$9:$K$84,11,FALSE),"0")</f>
        <v>0</v>
      </c>
      <c r="L2283" s="2816"/>
      <c r="M2283" s="3095"/>
      <c r="N2283" s="3097" t="str">
        <f t="shared" si="537"/>
        <v/>
      </c>
      <c r="O2283" s="3098"/>
      <c r="P2283" s="2897" t="str">
        <f>IFERROR(VLOOKUP(F2283,Trainingsarten!$A$9:$N$84,12,FALSE),"")</f>
        <v/>
      </c>
      <c r="Q2283" s="2898" t="s">
        <v>437</v>
      </c>
      <c r="R2283" s="3099" t="str">
        <f>IFERROR(VLOOKUP(F2283,Trainingsarten!$A$9:$N$84,14,FALSE),"")</f>
        <v/>
      </c>
      <c r="S2283" s="3100" t="str">
        <f t="shared" si="538"/>
        <v/>
      </c>
      <c r="T2283" s="3090">
        <f t="shared" si="539"/>
        <v>11.84084668617211</v>
      </c>
      <c r="U2283" s="3090">
        <f t="shared" si="540"/>
        <v>13.568176072514568</v>
      </c>
      <c r="V2283" s="3090">
        <f t="shared" si="541"/>
        <v>8.4786062366973169E-2</v>
      </c>
      <c r="W2283" s="3284">
        <f t="shared" si="542"/>
        <v>0.87269258763220525</v>
      </c>
      <c r="X2283" s="3300">
        <v>91</v>
      </c>
      <c r="Y2283" s="3316" t="str">
        <f t="shared" si="535"/>
        <v/>
      </c>
      <c r="Z2283" s="2597">
        <f t="shared" si="543"/>
        <v>36.525752635553204</v>
      </c>
      <c r="AA2283" s="2597">
        <f t="shared" si="544"/>
        <v>26.833571986429014</v>
      </c>
      <c r="AB2283" s="3325">
        <f t="shared" si="545"/>
        <v>1.3611960664061413</v>
      </c>
      <c r="AC2283" s="3645"/>
      <c r="AD2283" s="3645"/>
      <c r="AE2283" s="3435"/>
    </row>
    <row r="2284" spans="1:31" ht="16" thickBot="1" x14ac:dyDescent="0.25">
      <c r="A2284" s="2936" t="s">
        <v>183</v>
      </c>
      <c r="B2284" s="3003">
        <f>IFERROR(SUM(M2278:M2284),"")</f>
        <v>0</v>
      </c>
      <c r="C2284" s="3027">
        <v>45382</v>
      </c>
      <c r="D2284" s="1788"/>
      <c r="E2284" s="1789"/>
      <c r="F2284" s="2763"/>
      <c r="G2284" s="2577"/>
      <c r="H2284" s="2578" t="str">
        <f>IFERROR(VLOOKUP(F2284,Trainingsarten!$A$9:$K$84,10,FALSE),"")</f>
        <v/>
      </c>
      <c r="I2284" s="2579" t="str">
        <f t="shared" si="536"/>
        <v/>
      </c>
      <c r="J2284" s="2580"/>
      <c r="K2284" s="2581" t="str">
        <f>IFERROR(VLOOKUP(F2284,Trainingsarten!$A$9:$K$84,11,FALSE),"0")</f>
        <v>0</v>
      </c>
      <c r="L2284" s="3101"/>
      <c r="M2284" s="2580"/>
      <c r="N2284" s="2582" t="str">
        <f t="shared" si="537"/>
        <v/>
      </c>
      <c r="O2284" s="2583"/>
      <c r="P2284" s="3102" t="str">
        <f>IFERROR(VLOOKUP(F2284,Trainingsarten!$A$9:$N$84,12,FALSE),"")</f>
        <v/>
      </c>
      <c r="Q2284" s="3103" t="s">
        <v>437</v>
      </c>
      <c r="R2284" s="3104" t="str">
        <f>IFERROR(VLOOKUP(F2284,Trainingsarten!$A$9:$N$84,14,FALSE),"")</f>
        <v/>
      </c>
      <c r="S2284" s="2390" t="str">
        <f t="shared" si="538"/>
        <v/>
      </c>
      <c r="T2284" s="1788">
        <f t="shared" si="539"/>
        <v>10.149297159576095</v>
      </c>
      <c r="U2284" s="1788">
        <f t="shared" si="540"/>
        <v>13.245124261264221</v>
      </c>
      <c r="V2284" s="1788">
        <f t="shared" si="541"/>
        <v>1.7273293863424577</v>
      </c>
      <c r="W2284" s="3293">
        <f t="shared" si="542"/>
        <v>0.76626666231120466</v>
      </c>
      <c r="X2284" s="3336"/>
      <c r="Y2284" s="3326" t="str">
        <f t="shared" si="535"/>
        <v/>
      </c>
      <c r="Z2284" s="3327">
        <f t="shared" si="543"/>
        <v>31.307787973331315</v>
      </c>
      <c r="AA2284" s="3327">
        <f t="shared" si="544"/>
        <v>26.194677415323561</v>
      </c>
      <c r="AB2284" s="3328">
        <f t="shared" si="545"/>
        <v>1.1951965461127094</v>
      </c>
      <c r="AC2284" s="3645"/>
      <c r="AD2284" s="3645"/>
      <c r="AE2284" s="3435"/>
    </row>
    <row r="2285" spans="1:31" ht="16" thickBot="1" x14ac:dyDescent="0.25">
      <c r="A2285" s="3439">
        <f>WEEKNUM(C2285,1)</f>
        <v>14</v>
      </c>
      <c r="B2285" s="3440"/>
      <c r="C2285" s="3028">
        <v>45383</v>
      </c>
      <c r="D2285" s="2586"/>
      <c r="E2285" s="2587"/>
      <c r="F2285" s="2759" t="s">
        <v>944</v>
      </c>
      <c r="G2285" s="2588"/>
      <c r="H2285" s="2589">
        <f>IFERROR(VLOOKUP(F2285,Trainingsarten!$A$9:$K$84,10,FALSE),"")</f>
        <v>5.0855335173981304</v>
      </c>
      <c r="I2285" s="2590">
        <f t="shared" si="536"/>
        <v>0</v>
      </c>
      <c r="J2285" s="2591"/>
      <c r="K2285" s="2592">
        <f>IFERROR(VLOOKUP(F2285,Trainingsarten!$A$9:$K$84,11,FALSE),"0")</f>
        <v>36.125</v>
      </c>
      <c r="L2285" s="2815"/>
      <c r="M2285" s="2591"/>
      <c r="N2285" s="2593" t="str">
        <f t="shared" si="537"/>
        <v/>
      </c>
      <c r="O2285" s="2594"/>
      <c r="P2285" s="1919">
        <f>IFERROR(VLOOKUP(F2285,Trainingsarten!$A$9:$N$84,12,FALSE),"")</f>
        <v>194.60000000000002</v>
      </c>
      <c r="Q2285" s="2461" t="s">
        <v>437</v>
      </c>
      <c r="R2285" s="3089">
        <f>IFERROR(VLOOKUP(F2285,Trainingsarten!$A$9:$N$84,14,FALSE),"")</f>
        <v>212.96</v>
      </c>
      <c r="S2285" s="2595" t="str">
        <f t="shared" si="538"/>
        <v/>
      </c>
      <c r="T2285" s="2586">
        <f t="shared" si="539"/>
        <v>13.860111851065225</v>
      </c>
      <c r="U2285" s="2586">
        <f t="shared" si="540"/>
        <v>13.789883207424598</v>
      </c>
      <c r="V2285" s="2586">
        <f t="shared" si="541"/>
        <v>3.0958271016881262</v>
      </c>
      <c r="W2285" s="3283">
        <f t="shared" si="542"/>
        <v>1.005092765659017</v>
      </c>
      <c r="X2285" s="3308">
        <v>26</v>
      </c>
      <c r="Y2285" s="3337">
        <f t="shared" si="535"/>
        <v>0.7197231833910035</v>
      </c>
      <c r="Z2285" s="2586">
        <f t="shared" si="543"/>
        <v>30.549532548569697</v>
      </c>
      <c r="AA2285" s="2586">
        <f t="shared" si="544"/>
        <v>26.190042238768239</v>
      </c>
      <c r="AB2285" s="2595">
        <f t="shared" si="545"/>
        <v>1.1664560243949607</v>
      </c>
      <c r="AC2285" s="3645"/>
      <c r="AD2285" s="3645"/>
      <c r="AE2285" s="3436"/>
    </row>
    <row r="2286" spans="1:31" x14ac:dyDescent="0.2">
      <c r="A2286" s="2934" t="s">
        <v>626</v>
      </c>
      <c r="B2286" s="3004">
        <f>SUM(H2285:H2291)</f>
        <v>48.156600552194391</v>
      </c>
      <c r="C2286" s="2937">
        <v>45384</v>
      </c>
      <c r="D2286" s="3090"/>
      <c r="E2286" s="3091"/>
      <c r="F2286" s="2759" t="s">
        <v>944</v>
      </c>
      <c r="G2286" s="3092"/>
      <c r="H2286" s="3093">
        <f>IFERROR(VLOOKUP(F2286,Trainingsarten!$A$9:$K$84,10,FALSE),"")</f>
        <v>5.0855335173981304</v>
      </c>
      <c r="I2286" s="3094">
        <f t="shared" si="536"/>
        <v>0</v>
      </c>
      <c r="J2286" s="3095"/>
      <c r="K2286" s="3096">
        <f>IFERROR(VLOOKUP(F2286,Trainingsarten!$A$9:$K$84,11,FALSE),"0")</f>
        <v>36.125</v>
      </c>
      <c r="L2286" s="2816"/>
      <c r="M2286" s="3095"/>
      <c r="N2286" s="3097" t="str">
        <f t="shared" si="537"/>
        <v/>
      </c>
      <c r="O2286" s="3098"/>
      <c r="P2286" s="2897">
        <f>IFERROR(VLOOKUP(F2286,Trainingsarten!$A$9:$N$84,12,FALSE),"")</f>
        <v>194.60000000000002</v>
      </c>
      <c r="Q2286" s="2898" t="s">
        <v>437</v>
      </c>
      <c r="R2286" s="3099">
        <f>IFERROR(VLOOKUP(F2286,Trainingsarten!$A$9:$N$84,14,FALSE),"")</f>
        <v>212.96</v>
      </c>
      <c r="S2286" s="3100" t="str">
        <f t="shared" si="538"/>
        <v/>
      </c>
      <c r="T2286" s="3090">
        <f t="shared" si="539"/>
        <v>17.040810158055908</v>
      </c>
      <c r="U2286" s="3090">
        <f t="shared" si="540"/>
        <v>14.321671702485917</v>
      </c>
      <c r="V2286" s="3090">
        <f t="shared" si="541"/>
        <v>-7.0228643640627197E-2</v>
      </c>
      <c r="W2286" s="3284">
        <f t="shared" si="542"/>
        <v>1.1898618060835742</v>
      </c>
      <c r="X2286" s="3300">
        <v>23</v>
      </c>
      <c r="Y2286" s="3316">
        <f t="shared" si="535"/>
        <v>0.63667820069204151</v>
      </c>
      <c r="Z2286" s="3338">
        <f t="shared" si="543"/>
        <v>29.471027898774025</v>
      </c>
      <c r="AA2286" s="3338">
        <f t="shared" si="544"/>
        <v>26.114088852130902</v>
      </c>
      <c r="AB2286" s="3339">
        <f t="shared" si="545"/>
        <v>1.1285489631919208</v>
      </c>
    </row>
    <row r="2287" spans="1:31" x14ac:dyDescent="0.2">
      <c r="A2287" s="2935" t="s">
        <v>628</v>
      </c>
      <c r="B2287" s="3005">
        <f>SUM(K2285:K2291)</f>
        <v>148.375</v>
      </c>
      <c r="C2287" s="2937">
        <v>45385</v>
      </c>
      <c r="D2287" s="3090"/>
      <c r="E2287" s="3091"/>
      <c r="F2287" s="2759"/>
      <c r="G2287" s="3092"/>
      <c r="H2287" s="3093">
        <v>8.3000000000000007</v>
      </c>
      <c r="I2287" s="3094">
        <f t="shared" si="536"/>
        <v>0</v>
      </c>
      <c r="J2287" s="3095"/>
      <c r="K2287" s="3096" t="str">
        <f>IFERROR(VLOOKUP(F2287,Trainingsarten!$A$9:$K$84,11,FALSE),"0")</f>
        <v>0</v>
      </c>
      <c r="L2287" s="2816"/>
      <c r="M2287" s="3095"/>
      <c r="N2287" s="3097" t="str">
        <f t="shared" si="537"/>
        <v/>
      </c>
      <c r="O2287" s="3098"/>
      <c r="P2287" s="2897" t="str">
        <f>IFERROR(VLOOKUP(F2287,Trainingsarten!$A$9:$N$84,12,FALSE),"")</f>
        <v/>
      </c>
      <c r="Q2287" s="2898" t="s">
        <v>437</v>
      </c>
      <c r="R2287" s="3099" t="str">
        <f>IFERROR(VLOOKUP(F2287,Trainingsarten!$A$9:$N$84,14,FALSE),"")</f>
        <v/>
      </c>
      <c r="S2287" s="3100" t="str">
        <f t="shared" si="538"/>
        <v/>
      </c>
      <c r="T2287" s="3090">
        <f t="shared" si="539"/>
        <v>14.606408706905064</v>
      </c>
      <c r="U2287" s="3090">
        <f t="shared" si="540"/>
        <v>13.980679519093394</v>
      </c>
      <c r="V2287" s="3090">
        <f t="shared" si="541"/>
        <v>-2.7191384555699916</v>
      </c>
      <c r="W2287" s="3284">
        <f t="shared" si="542"/>
        <v>1.0447567077806992</v>
      </c>
      <c r="X2287" s="3300">
        <v>43</v>
      </c>
      <c r="Y2287" s="3316" t="str">
        <f t="shared" si="535"/>
        <v/>
      </c>
      <c r="Z2287" s="3338">
        <f t="shared" si="543"/>
        <v>31.403738198949164</v>
      </c>
      <c r="AA2287" s="3338">
        <f t="shared" si="544"/>
        <v>26.516134355651594</v>
      </c>
      <c r="AB2287" s="3339">
        <f t="shared" si="545"/>
        <v>1.1843256553818085</v>
      </c>
    </row>
    <row r="2288" spans="1:31" x14ac:dyDescent="0.2">
      <c r="A2288" s="2935" t="s">
        <v>761</v>
      </c>
      <c r="B2288" s="3006">
        <f>AVERAGE(W2285:W2291)</f>
        <v>1.0661949253937519</v>
      </c>
      <c r="C2288" s="2937">
        <v>45386</v>
      </c>
      <c r="D2288" s="3090"/>
      <c r="E2288" s="3091"/>
      <c r="F2288" s="2759"/>
      <c r="G2288" s="3092"/>
      <c r="H2288" s="3093" t="str">
        <f>IFERROR(VLOOKUP(F2288,Trainingsarten!$A$9:$K$84,10,FALSE),"")</f>
        <v/>
      </c>
      <c r="I2288" s="3094" t="str">
        <f t="shared" si="536"/>
        <v/>
      </c>
      <c r="J2288" s="3095"/>
      <c r="K2288" s="3096" t="str">
        <f>IFERROR(VLOOKUP(F2288,Trainingsarten!$A$9:$K$84,11,FALSE),"0")</f>
        <v>0</v>
      </c>
      <c r="L2288" s="2816"/>
      <c r="M2288" s="3095"/>
      <c r="N2288" s="3097" t="str">
        <f t="shared" si="537"/>
        <v/>
      </c>
      <c r="O2288" s="3098"/>
      <c r="P2288" s="2897" t="str">
        <f>IFERROR(VLOOKUP(F2288,Trainingsarten!$A$9:$N$84,12,FALSE),"")</f>
        <v/>
      </c>
      <c r="Q2288" s="2898" t="s">
        <v>437</v>
      </c>
      <c r="R2288" s="3099" t="str">
        <f>IFERROR(VLOOKUP(F2288,Trainingsarten!$A$9:$N$84,14,FALSE),"")</f>
        <v/>
      </c>
      <c r="S2288" s="3100" t="str">
        <f t="shared" si="538"/>
        <v/>
      </c>
      <c r="T2288" s="3090">
        <f t="shared" si="539"/>
        <v>12.519778891632912</v>
      </c>
      <c r="U2288" s="3090">
        <f t="shared" si="540"/>
        <v>13.647806197210219</v>
      </c>
      <c r="V2288" s="3090">
        <f t="shared" si="541"/>
        <v>-0.62572918781166997</v>
      </c>
      <c r="W2288" s="3284">
        <f t="shared" si="542"/>
        <v>0.91734735317329685</v>
      </c>
      <c r="X2288" s="3300"/>
      <c r="Y2288" s="3316" t="str">
        <f t="shared" si="535"/>
        <v/>
      </c>
      <c r="Z2288" s="3338">
        <f t="shared" si="543"/>
        <v>26.91748988481357</v>
      </c>
      <c r="AA2288" s="3338">
        <f t="shared" si="544"/>
        <v>25.884797823374175</v>
      </c>
      <c r="AB2288" s="3339">
        <f t="shared" si="545"/>
        <v>1.0398956974084173</v>
      </c>
    </row>
    <row r="2289" spans="1:31" x14ac:dyDescent="0.2">
      <c r="A2289" s="2935" t="s">
        <v>979</v>
      </c>
      <c r="B2289" s="3131" t="str">
        <f>IFERROR(AVERAGE(N2285:N2291),"")</f>
        <v/>
      </c>
      <c r="C2289" s="2937">
        <v>45387</v>
      </c>
      <c r="D2289" s="3090"/>
      <c r="E2289" s="3091"/>
      <c r="F2289" s="2759" t="s">
        <v>944</v>
      </c>
      <c r="G2289" s="3092"/>
      <c r="H2289" s="3093">
        <f>IFERROR(VLOOKUP(F2289,Trainingsarten!$A$9:$K$84,10,FALSE),"")</f>
        <v>5.0855335173981304</v>
      </c>
      <c r="I2289" s="3094">
        <f t="shared" si="536"/>
        <v>0</v>
      </c>
      <c r="J2289" s="3095"/>
      <c r="K2289" s="3096">
        <f>IFERROR(VLOOKUP(F2289,Trainingsarten!$A$9:$K$84,11,FALSE),"0")</f>
        <v>36.125</v>
      </c>
      <c r="L2289" s="2816"/>
      <c r="M2289" s="3095"/>
      <c r="N2289" s="3097" t="str">
        <f t="shared" si="537"/>
        <v/>
      </c>
      <c r="O2289" s="3098"/>
      <c r="P2289" s="2897">
        <f>IFERROR(VLOOKUP(F2289,Trainingsarten!$A$9:$N$84,12,FALSE),"")</f>
        <v>194.60000000000002</v>
      </c>
      <c r="Q2289" s="2898" t="s">
        <v>437</v>
      </c>
      <c r="R2289" s="3099">
        <f>IFERROR(VLOOKUP(F2289,Trainingsarten!$A$9:$N$84,14,FALSE),"")</f>
        <v>212.96</v>
      </c>
      <c r="S2289" s="3100" t="str">
        <f t="shared" si="538"/>
        <v/>
      </c>
      <c r="T2289" s="3090">
        <f t="shared" si="539"/>
        <v>15.891953335685354</v>
      </c>
      <c r="U2289" s="3090">
        <f t="shared" si="540"/>
        <v>14.182977478229024</v>
      </c>
      <c r="V2289" s="3090">
        <f t="shared" si="541"/>
        <v>1.1280273055773069</v>
      </c>
      <c r="W2289" s="3284">
        <f t="shared" si="542"/>
        <v>1.1204948580140963</v>
      </c>
      <c r="X2289" s="3300">
        <v>23</v>
      </c>
      <c r="Y2289" s="3316">
        <f t="shared" si="535"/>
        <v>0.63667820069204151</v>
      </c>
      <c r="Z2289" s="3338">
        <f t="shared" si="543"/>
        <v>26.357848472697345</v>
      </c>
      <c r="AA2289" s="3338">
        <f t="shared" si="544"/>
        <v>25.816112160912883</v>
      </c>
      <c r="AB2289" s="3339">
        <f t="shared" si="545"/>
        <v>1.0209844266405335</v>
      </c>
    </row>
    <row r="2290" spans="1:31" x14ac:dyDescent="0.2">
      <c r="A2290" s="2935" t="s">
        <v>980</v>
      </c>
      <c r="B2290" s="3006" t="str">
        <f>IFERROR(AVERAGE(S2285:S2291),"")</f>
        <v/>
      </c>
      <c r="C2290" s="2937">
        <v>45388</v>
      </c>
      <c r="D2290" s="3090"/>
      <c r="E2290" s="3091"/>
      <c r="F2290" s="2889"/>
      <c r="G2290" s="3092"/>
      <c r="H2290" s="3093">
        <v>19.600000000000001</v>
      </c>
      <c r="I2290" s="3094">
        <f t="shared" si="536"/>
        <v>0</v>
      </c>
      <c r="J2290" s="3095"/>
      <c r="K2290" s="3096" t="str">
        <f>IFERROR(VLOOKUP(F2290,Trainingsarten!$A$9:$K$84,11,FALSE),"0")</f>
        <v>0</v>
      </c>
      <c r="L2290" s="2816"/>
      <c r="M2290" s="3095"/>
      <c r="N2290" s="3097" t="str">
        <f t="shared" si="537"/>
        <v/>
      </c>
      <c r="O2290" s="3098"/>
      <c r="P2290" s="2897" t="str">
        <f>IFERROR(VLOOKUP(F2290,Trainingsarten!$A$9:$N$84,12,FALSE),"")</f>
        <v/>
      </c>
      <c r="Q2290" s="2898" t="s">
        <v>437</v>
      </c>
      <c r="R2290" s="3099" t="str">
        <f>IFERROR(VLOOKUP(F2290,Trainingsarten!$A$9:$N$84,14,FALSE),"")</f>
        <v/>
      </c>
      <c r="S2290" s="3100" t="str">
        <f t="shared" si="538"/>
        <v/>
      </c>
      <c r="T2290" s="3090">
        <f t="shared" si="539"/>
        <v>13.621674287730304</v>
      </c>
      <c r="U2290" s="3090">
        <f t="shared" si="540"/>
        <v>13.84528753827119</v>
      </c>
      <c r="V2290" s="3090">
        <f t="shared" si="541"/>
        <v>-1.7089758574563305</v>
      </c>
      <c r="W2290" s="3284">
        <f t="shared" si="542"/>
        <v>0.98384914362213327</v>
      </c>
      <c r="X2290" s="3300">
        <v>95</v>
      </c>
      <c r="Y2290" s="3316" t="str">
        <f t="shared" si="535"/>
        <v/>
      </c>
      <c r="Z2290" s="3338">
        <f t="shared" si="543"/>
        <v>36.16387011945487</v>
      </c>
      <c r="AA2290" s="3338">
        <f t="shared" si="544"/>
        <v>27.463347585653054</v>
      </c>
      <c r="AB2290" s="3339">
        <f t="shared" si="545"/>
        <v>1.3168048799100878</v>
      </c>
    </row>
    <row r="2291" spans="1:31" ht="16" thickBot="1" x14ac:dyDescent="0.25">
      <c r="A2291" s="2936" t="s">
        <v>183</v>
      </c>
      <c r="B2291" s="3003">
        <f>IFERROR(SUM(M2285:M2291),"")</f>
        <v>0</v>
      </c>
      <c r="C2291" s="2576">
        <v>45389</v>
      </c>
      <c r="D2291" s="1788"/>
      <c r="E2291" s="1789"/>
      <c r="F2291" s="3276" t="s">
        <v>690</v>
      </c>
      <c r="G2291" s="2577"/>
      <c r="H2291" s="2578">
        <v>5</v>
      </c>
      <c r="I2291" s="2579">
        <f t="shared" si="536"/>
        <v>0</v>
      </c>
      <c r="J2291" s="2580"/>
      <c r="K2291" s="2581">
        <v>40</v>
      </c>
      <c r="L2291" s="3101"/>
      <c r="M2291" s="2580"/>
      <c r="N2291" s="2582" t="str">
        <f t="shared" si="537"/>
        <v/>
      </c>
      <c r="O2291" s="2583"/>
      <c r="P2291" s="3102" t="str">
        <f>IFERROR(VLOOKUP(F2291,Trainingsarten!$A$9:$N$84,12,FALSE),"")</f>
        <v/>
      </c>
      <c r="Q2291" s="3103" t="s">
        <v>437</v>
      </c>
      <c r="R2291" s="3104" t="str">
        <f>IFERROR(VLOOKUP(F2291,Trainingsarten!$A$9:$N$84,14,FALSE),"")</f>
        <v/>
      </c>
      <c r="S2291" s="2390" t="str">
        <f t="shared" si="538"/>
        <v/>
      </c>
      <c r="T2291" s="1788">
        <f t="shared" si="539"/>
        <v>17.390006532340262</v>
      </c>
      <c r="U2291" s="1788">
        <f t="shared" si="540"/>
        <v>14.468018787359972</v>
      </c>
      <c r="V2291" s="1788">
        <f t="shared" si="541"/>
        <v>0.2236132505408861</v>
      </c>
      <c r="W2291" s="3293">
        <f t="shared" si="542"/>
        <v>1.2019618434234474</v>
      </c>
      <c r="X2291" s="3309"/>
      <c r="Y2291" s="3340">
        <f t="shared" si="535"/>
        <v>0</v>
      </c>
      <c r="Z2291" s="3314">
        <f t="shared" si="543"/>
        <v>30.997602959532745</v>
      </c>
      <c r="AA2291" s="3314">
        <f t="shared" si="544"/>
        <v>26.809458357423217</v>
      </c>
      <c r="AB2291" s="2846">
        <f t="shared" si="545"/>
        <v>1.156218918945443</v>
      </c>
      <c r="AE2291" s="367" t="s">
        <v>1491</v>
      </c>
    </row>
    <row r="2292" spans="1:31" ht="16" thickBot="1" x14ac:dyDescent="0.25">
      <c r="A2292" s="3439">
        <f>WEEKNUM(C2292,1)</f>
        <v>15</v>
      </c>
      <c r="B2292" s="3440"/>
      <c r="C2292" s="2585">
        <v>45390</v>
      </c>
      <c r="D2292" s="2586"/>
      <c r="E2292" s="3084"/>
      <c r="F2292" s="2759" t="s">
        <v>944</v>
      </c>
      <c r="G2292" s="3087"/>
      <c r="H2292" s="2589">
        <v>4.8</v>
      </c>
      <c r="I2292" s="2590">
        <f t="shared" si="536"/>
        <v>0</v>
      </c>
      <c r="J2292" s="2591"/>
      <c r="K2292" s="2592">
        <f>IFERROR(VLOOKUP(F2292,Trainingsarten!$A$9:$K$84,11,FALSE),"0")</f>
        <v>36.125</v>
      </c>
      <c r="L2292" s="2815"/>
      <c r="M2292" s="2591"/>
      <c r="N2292" s="2593" t="str">
        <f t="shared" si="537"/>
        <v/>
      </c>
      <c r="O2292" s="2594"/>
      <c r="P2292" s="1919">
        <f>IFERROR(VLOOKUP(F2292,Trainingsarten!$A$9:$N$84,12,FALSE),"")</f>
        <v>194.60000000000002</v>
      </c>
      <c r="Q2292" s="2461" t="s">
        <v>437</v>
      </c>
      <c r="R2292" s="3089">
        <f>IFERROR(VLOOKUP(F2292,Trainingsarten!$A$9:$N$84,14,FALSE),"")</f>
        <v>212.96</v>
      </c>
      <c r="S2292" s="2595" t="str">
        <f t="shared" si="538"/>
        <v/>
      </c>
      <c r="T2292" s="2586">
        <f t="shared" si="539"/>
        <v>20.066434170577367</v>
      </c>
      <c r="U2292" s="2586">
        <f t="shared" si="540"/>
        <v>14.983661197184734</v>
      </c>
      <c r="V2292" s="2586">
        <f t="shared" si="541"/>
        <v>-2.9219877449802905</v>
      </c>
      <c r="W2292" s="3283">
        <f t="shared" si="542"/>
        <v>1.3392210292600335</v>
      </c>
      <c r="X2292" s="3298">
        <v>20</v>
      </c>
      <c r="Y2292" s="3315">
        <f t="shared" si="535"/>
        <v>0.55363321799307963</v>
      </c>
      <c r="Z2292" s="1111">
        <f t="shared" si="543"/>
        <v>29.426516822456637</v>
      </c>
      <c r="AA2292" s="1111">
        <f t="shared" si="544"/>
        <v>26.647328396532188</v>
      </c>
      <c r="AB2292" s="2449">
        <f t="shared" si="545"/>
        <v>1.104295199299834</v>
      </c>
    </row>
    <row r="2293" spans="1:31" x14ac:dyDescent="0.2">
      <c r="A2293" s="2934" t="s">
        <v>626</v>
      </c>
      <c r="B2293" s="3004">
        <f>SUM(H2292:H2298)</f>
        <v>35.9</v>
      </c>
      <c r="C2293" s="2937">
        <v>45391</v>
      </c>
      <c r="D2293" s="3090"/>
      <c r="E2293" s="3085"/>
      <c r="F2293" s="2759" t="s">
        <v>944</v>
      </c>
      <c r="G2293" s="3088"/>
      <c r="H2293" s="3093">
        <v>4.9000000000000004</v>
      </c>
      <c r="I2293" s="3094">
        <f t="shared" si="536"/>
        <v>0</v>
      </c>
      <c r="J2293" s="3095"/>
      <c r="K2293" s="3096">
        <f>IFERROR(VLOOKUP(F2293,Trainingsarten!$A$9:$K$84,11,FALSE),"0")</f>
        <v>36.125</v>
      </c>
      <c r="L2293" s="2816"/>
      <c r="M2293" s="3095"/>
      <c r="N2293" s="3097" t="str">
        <f t="shared" si="537"/>
        <v/>
      </c>
      <c r="O2293" s="3098"/>
      <c r="P2293" s="2897">
        <f>IFERROR(VLOOKUP(F2293,Trainingsarten!$A$9:$N$84,12,FALSE),"")</f>
        <v>194.60000000000002</v>
      </c>
      <c r="Q2293" s="2898" t="s">
        <v>437</v>
      </c>
      <c r="R2293" s="3099">
        <f>IFERROR(VLOOKUP(F2293,Trainingsarten!$A$9:$N$84,14,FALSE),"")</f>
        <v>212.96</v>
      </c>
      <c r="S2293" s="3100" t="str">
        <f t="shared" si="538"/>
        <v/>
      </c>
      <c r="T2293" s="3090">
        <f t="shared" si="539"/>
        <v>22.360515003352027</v>
      </c>
      <c r="U2293" s="3090">
        <f t="shared" si="540"/>
        <v>15.487026406775573</v>
      </c>
      <c r="V2293" s="3090">
        <f t="shared" si="541"/>
        <v>-5.0827729733926326</v>
      </c>
      <c r="W2293" s="3284">
        <f t="shared" si="542"/>
        <v>1.443822359182477</v>
      </c>
      <c r="X2293" s="3300">
        <v>23</v>
      </c>
      <c r="Y2293" s="3316">
        <f t="shared" si="535"/>
        <v>0.63667820069204151</v>
      </c>
      <c r="Z2293" s="2597">
        <f t="shared" si="543"/>
        <v>28.508442990677118</v>
      </c>
      <c r="AA2293" s="2597">
        <f t="shared" si="544"/>
        <v>26.560487244233801</v>
      </c>
      <c r="AB2293" s="3325">
        <f t="shared" si="545"/>
        <v>1.0733403618891144</v>
      </c>
    </row>
    <row r="2294" spans="1:31" x14ac:dyDescent="0.2">
      <c r="A2294" s="2935" t="s">
        <v>628</v>
      </c>
      <c r="B2294" s="3005">
        <f>SUM(K2292:K2298)</f>
        <v>108.375</v>
      </c>
      <c r="C2294" s="2937">
        <v>45392</v>
      </c>
      <c r="D2294" s="3090"/>
      <c r="E2294" s="3085"/>
      <c r="F2294" s="2759"/>
      <c r="G2294" s="3088"/>
      <c r="H2294" s="3093">
        <v>7.7</v>
      </c>
      <c r="I2294" s="3094">
        <f t="shared" si="536"/>
        <v>0</v>
      </c>
      <c r="J2294" s="3095"/>
      <c r="K2294" s="3096" t="str">
        <f>IFERROR(VLOOKUP(F2294,Trainingsarten!$A$9:$K$84,11,FALSE),"0")</f>
        <v>0</v>
      </c>
      <c r="L2294" s="2816"/>
      <c r="M2294" s="3095"/>
      <c r="N2294" s="3097" t="str">
        <f t="shared" si="537"/>
        <v/>
      </c>
      <c r="O2294" s="3098"/>
      <c r="P2294" s="2897" t="str">
        <f>IFERROR(VLOOKUP(F2294,Trainingsarten!$A$9:$N$84,12,FALSE),"")</f>
        <v/>
      </c>
      <c r="Q2294" s="2898" t="s">
        <v>437</v>
      </c>
      <c r="R2294" s="3099" t="str">
        <f>IFERROR(VLOOKUP(F2294,Trainingsarten!$A$9:$N$84,14,FALSE),"")</f>
        <v/>
      </c>
      <c r="S2294" s="3100" t="str">
        <f t="shared" si="538"/>
        <v/>
      </c>
      <c r="T2294" s="3090">
        <f t="shared" si="539"/>
        <v>19.16615571715888</v>
      </c>
      <c r="U2294" s="3090">
        <f t="shared" si="540"/>
        <v>15.118287682804727</v>
      </c>
      <c r="V2294" s="3090">
        <f t="shared" si="541"/>
        <v>-6.8734885965764541</v>
      </c>
      <c r="W2294" s="3284">
        <f t="shared" si="542"/>
        <v>1.2677464617211991</v>
      </c>
      <c r="X2294" s="3300">
        <v>39</v>
      </c>
      <c r="Y2294" s="3316" t="str">
        <f t="shared" si="535"/>
        <v/>
      </c>
      <c r="Z2294" s="2597">
        <f t="shared" si="543"/>
        <v>30.007236849151816</v>
      </c>
      <c r="AA2294" s="2597">
        <f t="shared" si="544"/>
        <v>26.856666119371091</v>
      </c>
      <c r="AB2294" s="3325">
        <f t="shared" si="545"/>
        <v>1.1173105669846448</v>
      </c>
    </row>
    <row r="2295" spans="1:31" x14ac:dyDescent="0.2">
      <c r="A2295" s="2935" t="s">
        <v>761</v>
      </c>
      <c r="B2295" s="3006">
        <f>AVERAGE(W2292:W2298)</f>
        <v>1.21466382029192</v>
      </c>
      <c r="C2295" s="2937">
        <v>45393</v>
      </c>
      <c r="D2295" s="3090"/>
      <c r="E2295" s="3085"/>
      <c r="F2295" s="2759"/>
      <c r="G2295" s="3088"/>
      <c r="H2295" s="3093"/>
      <c r="I2295" s="3094" t="str">
        <f t="shared" si="536"/>
        <v/>
      </c>
      <c r="J2295" s="3095"/>
      <c r="K2295" s="3096" t="str">
        <f>IFERROR(VLOOKUP(F2295,Trainingsarten!$A$9:$K$84,11,FALSE),"0")</f>
        <v>0</v>
      </c>
      <c r="L2295" s="2816"/>
      <c r="M2295" s="3095"/>
      <c r="N2295" s="3097" t="str">
        <f t="shared" si="537"/>
        <v/>
      </c>
      <c r="O2295" s="3098"/>
      <c r="P2295" s="2897" t="str">
        <f>IFERROR(VLOOKUP(F2295,Trainingsarten!$A$9:$N$84,12,FALSE),"")</f>
        <v/>
      </c>
      <c r="Q2295" s="2898" t="s">
        <v>437</v>
      </c>
      <c r="R2295" s="3099" t="str">
        <f>IFERROR(VLOOKUP(F2295,Trainingsarten!$A$9:$N$84,14,FALSE),"")</f>
        <v/>
      </c>
      <c r="S2295" s="3100" t="str">
        <f t="shared" si="538"/>
        <v/>
      </c>
      <c r="T2295" s="3090">
        <f t="shared" si="539"/>
        <v>16.428133471850469</v>
      </c>
      <c r="U2295" s="3090">
        <f t="shared" si="540"/>
        <v>14.758328452261757</v>
      </c>
      <c r="V2295" s="3090">
        <f t="shared" si="541"/>
        <v>-4.0478680343541527</v>
      </c>
      <c r="W2295" s="3284">
        <f t="shared" si="542"/>
        <v>1.1131432346820285</v>
      </c>
      <c r="X2295" s="3300"/>
      <c r="Y2295" s="3316" t="str">
        <f t="shared" si="535"/>
        <v/>
      </c>
      <c r="Z2295" s="2597">
        <f t="shared" si="543"/>
        <v>25.720488727844412</v>
      </c>
      <c r="AA2295" s="2597">
        <f t="shared" si="544"/>
        <v>26.217221687957494</v>
      </c>
      <c r="AB2295" s="3325">
        <f t="shared" si="545"/>
        <v>0.98105318076700521</v>
      </c>
    </row>
    <row r="2296" spans="1:31" x14ac:dyDescent="0.2">
      <c r="A2296" s="2935" t="s">
        <v>979</v>
      </c>
      <c r="B2296" s="3131" t="str">
        <f>IFERROR(AVERAGE(N2292:N2298),"")</f>
        <v/>
      </c>
      <c r="C2296" s="2937">
        <v>45394</v>
      </c>
      <c r="D2296" s="3090"/>
      <c r="E2296" s="3085"/>
      <c r="F2296" s="2759" t="s">
        <v>944</v>
      </c>
      <c r="G2296" s="3088"/>
      <c r="H2296" s="3093">
        <v>4.9000000000000004</v>
      </c>
      <c r="I2296" s="3094">
        <f t="shared" si="536"/>
        <v>0</v>
      </c>
      <c r="J2296" s="3095"/>
      <c r="K2296" s="3096">
        <f>IFERROR(VLOOKUP(F2296,Trainingsarten!$A$9:$K$84,11,FALSE),"0")</f>
        <v>36.125</v>
      </c>
      <c r="L2296" s="2816"/>
      <c r="M2296" s="3095"/>
      <c r="N2296" s="3097" t="str">
        <f t="shared" si="537"/>
        <v/>
      </c>
      <c r="O2296" s="3098"/>
      <c r="P2296" s="2897">
        <f>IFERROR(VLOOKUP(F2296,Trainingsarten!$A$9:$N$84,12,FALSE),"")</f>
        <v>194.60000000000002</v>
      </c>
      <c r="Q2296" s="2898" t="s">
        <v>437</v>
      </c>
      <c r="R2296" s="3099">
        <f>IFERROR(VLOOKUP(F2296,Trainingsarten!$A$9:$N$84,14,FALSE),"")</f>
        <v>212.96</v>
      </c>
      <c r="S2296" s="3100" t="str">
        <f t="shared" si="538"/>
        <v/>
      </c>
      <c r="T2296" s="3090">
        <f t="shared" si="539"/>
        <v>19.241971547300402</v>
      </c>
      <c r="U2296" s="3090">
        <f t="shared" si="540"/>
        <v>15.267058727207907</v>
      </c>
      <c r="V2296" s="3090">
        <f t="shared" si="541"/>
        <v>-1.6698050195887113</v>
      </c>
      <c r="W2296" s="3284">
        <f t="shared" si="542"/>
        <v>1.260358782337601</v>
      </c>
      <c r="X2296" s="3300">
        <v>23</v>
      </c>
      <c r="Y2296" s="3316">
        <f t="shared" si="535"/>
        <v>0.63667820069204151</v>
      </c>
      <c r="Z2296" s="2597">
        <f t="shared" si="543"/>
        <v>25.331847481009497</v>
      </c>
      <c r="AA2296" s="2597">
        <f t="shared" si="544"/>
        <v>26.140621171577553</v>
      </c>
      <c r="AB2296" s="3325">
        <f t="shared" si="545"/>
        <v>0.96906065524382301</v>
      </c>
    </row>
    <row r="2297" spans="1:31" x14ac:dyDescent="0.2">
      <c r="A2297" s="2935" t="s">
        <v>980</v>
      </c>
      <c r="B2297" s="3006" t="str">
        <f>IFERROR(AVERAGE(S2292:S2298),"")</f>
        <v/>
      </c>
      <c r="C2297" s="2937">
        <v>45395</v>
      </c>
      <c r="D2297" s="3090"/>
      <c r="E2297" s="3085"/>
      <c r="F2297" s="2889"/>
      <c r="G2297" s="3088"/>
      <c r="H2297" s="3093">
        <v>13.6</v>
      </c>
      <c r="I2297" s="3094">
        <f t="shared" si="536"/>
        <v>0</v>
      </c>
      <c r="J2297" s="3095"/>
      <c r="K2297" s="3096" t="str">
        <f>IFERROR(VLOOKUP(F2297,Trainingsarten!$A$9:$K$84,11,FALSE),"0")</f>
        <v>0</v>
      </c>
      <c r="L2297" s="2816"/>
      <c r="M2297" s="3095"/>
      <c r="N2297" s="3097" t="str">
        <f t="shared" si="537"/>
        <v/>
      </c>
      <c r="O2297" s="3098"/>
      <c r="P2297" s="2897" t="str">
        <f>IFERROR(VLOOKUP(F2297,Trainingsarten!$A$9:$N$84,12,FALSE),"")</f>
        <v/>
      </c>
      <c r="Q2297" s="2898" t="s">
        <v>437</v>
      </c>
      <c r="R2297" s="3099" t="str">
        <f>IFERROR(VLOOKUP(F2297,Trainingsarten!$A$9:$N$84,14,FALSE),"")</f>
        <v/>
      </c>
      <c r="S2297" s="3100" t="str">
        <f t="shared" si="538"/>
        <v/>
      </c>
      <c r="T2297" s="3090">
        <f t="shared" si="539"/>
        <v>16.493118469114631</v>
      </c>
      <c r="U2297" s="3090">
        <f t="shared" si="540"/>
        <v>14.903557328941051</v>
      </c>
      <c r="V2297" s="3090">
        <f t="shared" si="541"/>
        <v>-3.974912820092495</v>
      </c>
      <c r="W2297" s="3284">
        <f t="shared" si="542"/>
        <v>1.1066564918086252</v>
      </c>
      <c r="X2297" s="3300">
        <v>65</v>
      </c>
      <c r="Y2297" s="3316" t="str">
        <f t="shared" si="535"/>
        <v/>
      </c>
      <c r="Z2297" s="2597">
        <f t="shared" si="543"/>
        <v>30.998726412293856</v>
      </c>
      <c r="AA2297" s="2597">
        <f t="shared" si="544"/>
        <v>27.065844477016181</v>
      </c>
      <c r="AB2297" s="3325">
        <f t="shared" si="545"/>
        <v>1.1453079337176197</v>
      </c>
    </row>
    <row r="2298" spans="1:31" ht="16" thickBot="1" x14ac:dyDescent="0.25">
      <c r="A2298" s="2936" t="s">
        <v>183</v>
      </c>
      <c r="B2298" s="3003">
        <f>IFERROR(SUM(M2292:M2298),"")</f>
        <v>0</v>
      </c>
      <c r="C2298" s="2576">
        <v>45396</v>
      </c>
      <c r="D2298" s="1788"/>
      <c r="E2298" s="3250"/>
      <c r="F2298" s="2763"/>
      <c r="G2298" s="3251"/>
      <c r="H2298" s="2578"/>
      <c r="I2298" s="2579" t="str">
        <f t="shared" si="536"/>
        <v/>
      </c>
      <c r="J2298" s="2580"/>
      <c r="K2298" s="2581" t="str">
        <f>IFERROR(VLOOKUP(F2298,Trainingsarten!$A$9:$K$84,11,FALSE),"0")</f>
        <v>0</v>
      </c>
      <c r="L2298" s="3101"/>
      <c r="M2298" s="2580"/>
      <c r="N2298" s="2582" t="str">
        <f t="shared" si="537"/>
        <v/>
      </c>
      <c r="O2298" s="2583"/>
      <c r="P2298" s="3102" t="str">
        <f>IFERROR(VLOOKUP(F2298,Trainingsarten!$A$9:$N$84,12,FALSE),"")</f>
        <v/>
      </c>
      <c r="Q2298" s="3103" t="s">
        <v>437</v>
      </c>
      <c r="R2298" s="3104" t="str">
        <f>IFERROR(VLOOKUP(F2298,Trainingsarten!$A$9:$N$84,14,FALSE),"")</f>
        <v/>
      </c>
      <c r="S2298" s="2390" t="str">
        <f t="shared" si="538"/>
        <v/>
      </c>
      <c r="T2298" s="1788">
        <f t="shared" si="539"/>
        <v>14.136958687812541</v>
      </c>
      <c r="U2298" s="1788">
        <f t="shared" si="540"/>
        <v>14.548710725871027</v>
      </c>
      <c r="V2298" s="1788">
        <f t="shared" si="541"/>
        <v>-1.5895611401735792</v>
      </c>
      <c r="W2298" s="3293">
        <f t="shared" si="542"/>
        <v>0.97169838305147593</v>
      </c>
      <c r="X2298" s="3336"/>
      <c r="Y2298" s="3326" t="str">
        <f t="shared" si="535"/>
        <v/>
      </c>
      <c r="Z2298" s="3327">
        <f t="shared" si="543"/>
        <v>26.570336924823305</v>
      </c>
      <c r="AA2298" s="3327">
        <f t="shared" si="544"/>
        <v>26.421419608515798</v>
      </c>
      <c r="AB2298" s="3328">
        <f t="shared" si="545"/>
        <v>1.0056362344837637</v>
      </c>
    </row>
    <row r="2299" spans="1:31" ht="16" thickBot="1" x14ac:dyDescent="0.25">
      <c r="A2299" s="3439">
        <f>WEEKNUM(C2299,1)</f>
        <v>16</v>
      </c>
      <c r="B2299" s="3440"/>
      <c r="C2299" s="2585">
        <v>45397</v>
      </c>
      <c r="D2299" s="2586"/>
      <c r="E2299" s="3084"/>
      <c r="F2299" s="2759" t="s">
        <v>944</v>
      </c>
      <c r="G2299" s="3087"/>
      <c r="H2299" s="2589">
        <v>5</v>
      </c>
      <c r="I2299" s="2590">
        <f t="shared" si="536"/>
        <v>0</v>
      </c>
      <c r="J2299" s="2591"/>
      <c r="K2299" s="2592">
        <f>IFERROR(VLOOKUP(F2299,Trainingsarten!$A$9:$K$84,11,FALSE),"0")</f>
        <v>36.125</v>
      </c>
      <c r="L2299" s="2815"/>
      <c r="M2299" s="2591"/>
      <c r="N2299" s="2593" t="str">
        <f t="shared" si="537"/>
        <v/>
      </c>
      <c r="O2299" s="2594"/>
      <c r="P2299" s="1919">
        <f>IFERROR(VLOOKUP(F2299,Trainingsarten!$A$9:$N$84,12,FALSE),"")</f>
        <v>194.60000000000002</v>
      </c>
      <c r="Q2299" s="2461" t="s">
        <v>437</v>
      </c>
      <c r="R2299" s="3089">
        <f>IFERROR(VLOOKUP(F2299,Trainingsarten!$A$9:$N$84,14,FALSE),"")</f>
        <v>212.96</v>
      </c>
      <c r="S2299" s="2595" t="str">
        <f t="shared" si="538"/>
        <v/>
      </c>
      <c r="T2299" s="2586">
        <f t="shared" si="539"/>
        <v>17.278107446696463</v>
      </c>
      <c r="U2299" s="2586">
        <f t="shared" si="540"/>
        <v>15.062431899064574</v>
      </c>
      <c r="V2299" s="2586">
        <f t="shared" si="541"/>
        <v>0.41175203805848604</v>
      </c>
      <c r="W2299" s="3283">
        <f t="shared" si="542"/>
        <v>1.147099456613609</v>
      </c>
      <c r="X2299" s="3308">
        <v>24</v>
      </c>
      <c r="Y2299" s="3337">
        <f t="shared" si="535"/>
        <v>0.66435986159169547</v>
      </c>
      <c r="Z2299" s="2586">
        <f t="shared" si="543"/>
        <v>26.203145935562834</v>
      </c>
      <c r="AA2299" s="2586">
        <f t="shared" si="544"/>
        <v>26.363766760693995</v>
      </c>
      <c r="AB2299" s="2595">
        <f t="shared" si="545"/>
        <v>0.99390751607730676</v>
      </c>
    </row>
    <row r="2300" spans="1:31" x14ac:dyDescent="0.2">
      <c r="A2300" s="2934" t="s">
        <v>626</v>
      </c>
      <c r="B2300" s="3004">
        <f>SUM(H2299:H2305)</f>
        <v>26.6</v>
      </c>
      <c r="C2300" s="2937">
        <v>45398</v>
      </c>
      <c r="D2300" s="3090"/>
      <c r="E2300" s="3085"/>
      <c r="F2300" s="2759"/>
      <c r="G2300" s="3088"/>
      <c r="H2300" s="3093">
        <v>3.3</v>
      </c>
      <c r="I2300" s="3094">
        <f t="shared" si="536"/>
        <v>0</v>
      </c>
      <c r="J2300" s="3095"/>
      <c r="K2300" s="3096" t="str">
        <f>IFERROR(VLOOKUP(F2300,Trainingsarten!$A$9:$K$84,11,FALSE),"0")</f>
        <v>0</v>
      </c>
      <c r="L2300" s="2816"/>
      <c r="M2300" s="3095"/>
      <c r="N2300" s="3097" t="str">
        <f t="shared" si="537"/>
        <v/>
      </c>
      <c r="O2300" s="3098"/>
      <c r="P2300" s="2897" t="str">
        <f>IFERROR(VLOOKUP(F2300,Trainingsarten!$A$9:$N$84,12,FALSE),"")</f>
        <v/>
      </c>
      <c r="Q2300" s="2898" t="s">
        <v>437</v>
      </c>
      <c r="R2300" s="3099" t="str">
        <f>IFERROR(VLOOKUP(F2300,Trainingsarten!$A$9:$N$84,14,FALSE),"")</f>
        <v/>
      </c>
      <c r="S2300" s="3100" t="str">
        <f t="shared" si="538"/>
        <v/>
      </c>
      <c r="T2300" s="3090">
        <f t="shared" si="539"/>
        <v>14.809806382882684</v>
      </c>
      <c r="U2300" s="3090">
        <f t="shared" si="540"/>
        <v>14.703802568134465</v>
      </c>
      <c r="V2300" s="3090">
        <f t="shared" si="541"/>
        <v>-2.2156755476318892</v>
      </c>
      <c r="W2300" s="3284">
        <f t="shared" si="542"/>
        <v>1.0072092789778031</v>
      </c>
      <c r="X2300" s="3300">
        <v>13</v>
      </c>
      <c r="Y2300" s="3316" t="str">
        <f t="shared" si="535"/>
        <v/>
      </c>
      <c r="Z2300" s="3338">
        <f t="shared" si="543"/>
        <v>24.316982230482427</v>
      </c>
      <c r="AA2300" s="3338">
        <f t="shared" si="544"/>
        <v>26.045581837820329</v>
      </c>
      <c r="AB2300" s="3339">
        <f t="shared" si="545"/>
        <v>0.93363175305118995</v>
      </c>
    </row>
    <row r="2301" spans="1:31" x14ac:dyDescent="0.2">
      <c r="A2301" s="2935" t="s">
        <v>628</v>
      </c>
      <c r="B2301" s="3005">
        <f>SUM(K2299:K2305)</f>
        <v>152.25</v>
      </c>
      <c r="C2301" s="2937">
        <v>45399</v>
      </c>
      <c r="D2301" s="3090"/>
      <c r="E2301" s="3085"/>
      <c r="F2301" s="2759" t="s">
        <v>944</v>
      </c>
      <c r="G2301" s="3088"/>
      <c r="H2301" s="3093">
        <v>5</v>
      </c>
      <c r="I2301" s="3094">
        <f t="shared" si="536"/>
        <v>0</v>
      </c>
      <c r="J2301" s="3095"/>
      <c r="K2301" s="3096">
        <f>IFERROR(VLOOKUP(F2301,Trainingsarten!$A$9:$K$84,11,FALSE),"0")</f>
        <v>36.125</v>
      </c>
      <c r="L2301" s="2816"/>
      <c r="M2301" s="3095"/>
      <c r="N2301" s="3097" t="str">
        <f t="shared" si="537"/>
        <v/>
      </c>
      <c r="O2301" s="3098"/>
      <c r="P2301" s="2897">
        <f>IFERROR(VLOOKUP(F2301,Trainingsarten!$A$9:$N$84,12,FALSE),"")</f>
        <v>194.60000000000002</v>
      </c>
      <c r="Q2301" s="2898" t="s">
        <v>437</v>
      </c>
      <c r="R2301" s="3099">
        <f>IFERROR(VLOOKUP(F2301,Trainingsarten!$A$9:$N$84,14,FALSE),"")</f>
        <v>212.96</v>
      </c>
      <c r="S2301" s="3100" t="str">
        <f t="shared" si="538"/>
        <v/>
      </c>
      <c r="T2301" s="3090">
        <f t="shared" si="539"/>
        <v>17.854834042470873</v>
      </c>
      <c r="U2301" s="3090">
        <f t="shared" si="540"/>
        <v>15.213831078416979</v>
      </c>
      <c r="V2301" s="3090">
        <f t="shared" si="541"/>
        <v>-0.10600381474821852</v>
      </c>
      <c r="W2301" s="3284">
        <f t="shared" si="542"/>
        <v>1.1735922365932234</v>
      </c>
      <c r="X2301" s="3300">
        <v>24</v>
      </c>
      <c r="Y2301" s="3316">
        <f t="shared" si="535"/>
        <v>0.66435986159169547</v>
      </c>
      <c r="Z2301" s="3338">
        <f t="shared" si="543"/>
        <v>24.271699054699223</v>
      </c>
      <c r="AA2301" s="3338">
        <f t="shared" si="544"/>
        <v>25.996877508348415</v>
      </c>
      <c r="AB2301" s="3339">
        <f t="shared" si="545"/>
        <v>0.93363901287394291</v>
      </c>
    </row>
    <row r="2302" spans="1:31" x14ac:dyDescent="0.2">
      <c r="A2302" s="2935" t="s">
        <v>761</v>
      </c>
      <c r="B2302" s="3006">
        <f>AVERAGE(W2299:W2305)</f>
        <v>1.0568107226414756</v>
      </c>
      <c r="C2302" s="2937">
        <v>45400</v>
      </c>
      <c r="D2302" s="3090"/>
      <c r="E2302" s="3085"/>
      <c r="F2302" s="2759"/>
      <c r="G2302" s="3088"/>
      <c r="H2302" s="3093"/>
      <c r="I2302" s="3094" t="str">
        <f t="shared" si="536"/>
        <v/>
      </c>
      <c r="J2302" s="3095"/>
      <c r="K2302" s="3096" t="str">
        <f>IFERROR(VLOOKUP(F2302,Trainingsarten!$A$9:$K$84,11,FALSE),"0")</f>
        <v>0</v>
      </c>
      <c r="L2302" s="2816"/>
      <c r="M2302" s="3095"/>
      <c r="N2302" s="3097" t="str">
        <f t="shared" si="537"/>
        <v/>
      </c>
      <c r="O2302" s="3098"/>
      <c r="P2302" s="2897" t="str">
        <f>IFERROR(VLOOKUP(F2302,Trainingsarten!$A$9:$N$84,12,FALSE),"")</f>
        <v/>
      </c>
      <c r="Q2302" s="2898" t="s">
        <v>437</v>
      </c>
      <c r="R2302" s="3099" t="str">
        <f>IFERROR(VLOOKUP(F2302,Trainingsarten!$A$9:$N$84,14,FALSE),"")</f>
        <v/>
      </c>
      <c r="S2302" s="3100" t="str">
        <f t="shared" si="538"/>
        <v/>
      </c>
      <c r="T2302" s="3090">
        <f t="shared" si="539"/>
        <v>15.304143464975034</v>
      </c>
      <c r="U2302" s="3090">
        <f t="shared" si="540"/>
        <v>14.851597005121336</v>
      </c>
      <c r="V2302" s="3090">
        <f t="shared" si="541"/>
        <v>-2.6410029640538948</v>
      </c>
      <c r="W2302" s="3284">
        <f t="shared" si="542"/>
        <v>1.0304712321306351</v>
      </c>
      <c r="X2302" s="3300"/>
      <c r="Y2302" s="3316" t="str">
        <f t="shared" si="535"/>
        <v/>
      </c>
      <c r="Z2302" s="3338">
        <f t="shared" si="543"/>
        <v>20.804313475456478</v>
      </c>
      <c r="AA2302" s="3338">
        <f t="shared" si="544"/>
        <v>25.377904234340122</v>
      </c>
      <c r="AB2302" s="3339">
        <f t="shared" si="545"/>
        <v>0.81978059666980352</v>
      </c>
    </row>
    <row r="2303" spans="1:31" x14ac:dyDescent="0.2">
      <c r="A2303" s="2935" t="s">
        <v>979</v>
      </c>
      <c r="B2303" s="3131" t="str">
        <f>IFERROR(AVERAGE(N2299:N2305),"")</f>
        <v/>
      </c>
      <c r="C2303" s="2937">
        <v>45401</v>
      </c>
      <c r="D2303" s="3090"/>
      <c r="E2303" s="3085"/>
      <c r="F2303" s="2775"/>
      <c r="G2303" s="3088"/>
      <c r="H2303" s="3093">
        <v>3.3</v>
      </c>
      <c r="I2303" s="3094">
        <f t="shared" si="536"/>
        <v>0</v>
      </c>
      <c r="J2303" s="3095"/>
      <c r="K2303" s="3096" t="str">
        <f>IFERROR(VLOOKUP(F2303,Trainingsarten!$A$9:$K$84,11,FALSE),"0")</f>
        <v>0</v>
      </c>
      <c r="L2303" s="2816"/>
      <c r="M2303" s="3095"/>
      <c r="N2303" s="3097" t="str">
        <f t="shared" si="537"/>
        <v/>
      </c>
      <c r="O2303" s="3098"/>
      <c r="P2303" s="2897" t="str">
        <f>IFERROR(VLOOKUP(F2303,Trainingsarten!$A$9:$N$84,12,FALSE),"")</f>
        <v/>
      </c>
      <c r="Q2303" s="2898" t="s">
        <v>437</v>
      </c>
      <c r="R2303" s="3099" t="str">
        <f>IFERROR(VLOOKUP(F2303,Trainingsarten!$A$9:$N$84,14,FALSE),"")</f>
        <v/>
      </c>
      <c r="S2303" s="3100" t="str">
        <f t="shared" si="538"/>
        <v/>
      </c>
      <c r="T2303" s="3090">
        <f t="shared" si="539"/>
        <v>13.117837255692887</v>
      </c>
      <c r="U2303" s="3090">
        <f t="shared" si="540"/>
        <v>14.497987552618447</v>
      </c>
      <c r="V2303" s="3090">
        <f t="shared" si="541"/>
        <v>-0.45254645985369812</v>
      </c>
      <c r="W2303" s="3284">
        <f t="shared" si="542"/>
        <v>0.90480400870006994</v>
      </c>
      <c r="X2303" s="3300">
        <v>15</v>
      </c>
      <c r="Y2303" s="3316" t="str">
        <f t="shared" si="535"/>
        <v/>
      </c>
      <c r="Z2303" s="3338">
        <f t="shared" si="543"/>
        <v>19.975125836105551</v>
      </c>
      <c r="AA2303" s="3338">
        <f t="shared" si="544"/>
        <v>25.130811276379642</v>
      </c>
      <c r="AB2303" s="3339">
        <f t="shared" si="545"/>
        <v>0.79484604044120533</v>
      </c>
    </row>
    <row r="2304" spans="1:31" x14ac:dyDescent="0.2">
      <c r="A2304" s="2935" t="s">
        <v>980</v>
      </c>
      <c r="B2304" s="3006" t="str">
        <f>IFERROR(AVERAGE(S2299:S2305),"")</f>
        <v/>
      </c>
      <c r="C2304" s="2937">
        <v>45402</v>
      </c>
      <c r="D2304" s="3090"/>
      <c r="E2304" s="3085"/>
      <c r="F2304" s="2889"/>
      <c r="G2304" s="3088"/>
      <c r="H2304" s="3093"/>
      <c r="I2304" s="3094" t="str">
        <f t="shared" si="536"/>
        <v/>
      </c>
      <c r="J2304" s="3095"/>
      <c r="K2304" s="3096" t="str">
        <f>IFERROR(VLOOKUP(F2304,Trainingsarten!$A$9:$K$84,11,FALSE),"0")</f>
        <v>0</v>
      </c>
      <c r="L2304" s="2816"/>
      <c r="M2304" s="3095"/>
      <c r="N2304" s="3097" t="str">
        <f t="shared" si="537"/>
        <v/>
      </c>
      <c r="O2304" s="3098"/>
      <c r="P2304" s="2897" t="str">
        <f>IFERROR(VLOOKUP(F2304,Trainingsarten!$A$9:$N$84,12,FALSE),"")</f>
        <v/>
      </c>
      <c r="Q2304" s="2898" t="s">
        <v>437</v>
      </c>
      <c r="R2304" s="3099" t="str">
        <f>IFERROR(VLOOKUP(F2304,Trainingsarten!$A$9:$N$84,14,FALSE),"")</f>
        <v/>
      </c>
      <c r="S2304" s="3100" t="str">
        <f t="shared" si="538"/>
        <v/>
      </c>
      <c r="T2304" s="3090">
        <f t="shared" si="539"/>
        <v>11.243860504879617</v>
      </c>
      <c r="U2304" s="3090">
        <f t="shared" si="540"/>
        <v>14.152797372794199</v>
      </c>
      <c r="V2304" s="3090">
        <f t="shared" si="541"/>
        <v>1.3801502969255601</v>
      </c>
      <c r="W2304" s="3284">
        <f t="shared" si="542"/>
        <v>0.79446205641957357</v>
      </c>
      <c r="X2304" s="3300"/>
      <c r="Y2304" s="3316" t="str">
        <f t="shared" si="535"/>
        <v/>
      </c>
      <c r="Z2304" s="3338">
        <f t="shared" si="543"/>
        <v>17.121536430947614</v>
      </c>
      <c r="AA2304" s="3338">
        <f t="shared" si="544"/>
        <v>24.532458626942031</v>
      </c>
      <c r="AB2304" s="3339">
        <f t="shared" si="545"/>
        <v>0.69791359648496076</v>
      </c>
    </row>
    <row r="2305" spans="1:31" ht="16" thickBot="1" x14ac:dyDescent="0.25">
      <c r="A2305" s="2936" t="s">
        <v>183</v>
      </c>
      <c r="B2305" s="3003">
        <f>IFERROR(SUM(M2299:M2305),"")</f>
        <v>0</v>
      </c>
      <c r="C2305" s="2576">
        <v>45403</v>
      </c>
      <c r="D2305" s="1788"/>
      <c r="E2305" s="1789"/>
      <c r="F2305" s="3276" t="s">
        <v>690</v>
      </c>
      <c r="G2305" s="2577"/>
      <c r="H2305" s="2578">
        <v>10</v>
      </c>
      <c r="I2305" s="2579">
        <f t="shared" si="536"/>
        <v>0</v>
      </c>
      <c r="J2305" s="2580"/>
      <c r="K2305" s="2581">
        <v>80</v>
      </c>
      <c r="L2305" s="3101"/>
      <c r="M2305" s="2580"/>
      <c r="N2305" s="2582" t="str">
        <f t="shared" si="537"/>
        <v/>
      </c>
      <c r="O2305" s="2583"/>
      <c r="P2305" s="3102" t="str">
        <f>IFERROR(VLOOKUP(F2305,Trainingsarten!$A$9:$N$84,12,FALSE),"")</f>
        <v/>
      </c>
      <c r="Q2305" s="3103" t="s">
        <v>437</v>
      </c>
      <c r="R2305" s="3104" t="str">
        <f>IFERROR(VLOOKUP(F2305,Trainingsarten!$A$9:$N$84,14,FALSE),"")</f>
        <v/>
      </c>
      <c r="S2305" s="2390" t="str">
        <f t="shared" si="538"/>
        <v/>
      </c>
      <c r="T2305" s="1788">
        <f t="shared" si="539"/>
        <v>21.066166147039674</v>
      </c>
      <c r="U2305" s="1788">
        <f t="shared" si="540"/>
        <v>15.720587911537194</v>
      </c>
      <c r="V2305" s="1788">
        <f t="shared" si="541"/>
        <v>2.9089368679145817</v>
      </c>
      <c r="W2305" s="3293">
        <f t="shared" si="542"/>
        <v>1.340036789055415</v>
      </c>
      <c r="X2305" s="3309"/>
      <c r="Y2305" s="3340">
        <f t="shared" si="535"/>
        <v>0</v>
      </c>
      <c r="Z2305" s="3314">
        <f t="shared" si="543"/>
        <v>14.675602655097954</v>
      </c>
      <c r="AA2305" s="3314">
        <f t="shared" si="544"/>
        <v>23.948352469157697</v>
      </c>
      <c r="AB2305" s="2846">
        <f t="shared" si="545"/>
        <v>0.61280218227947769</v>
      </c>
      <c r="AE2305" s="367" t="s">
        <v>1494</v>
      </c>
    </row>
    <row r="2306" spans="1:31" ht="16" thickBot="1" x14ac:dyDescent="0.25">
      <c r="A2306" s="3439">
        <f>WEEKNUM(C2306,1)</f>
        <v>17</v>
      </c>
      <c r="B2306" s="3440"/>
      <c r="C2306" s="2585">
        <v>45404</v>
      </c>
      <c r="D2306" s="2586"/>
      <c r="E2306" s="2587"/>
      <c r="F2306" s="3144"/>
      <c r="G2306" s="2588"/>
      <c r="H2306" s="2589" t="str">
        <f>IFERROR(VLOOKUP(F2306,Trainingsarten!$A$9:$K$84,10,FALSE),"")</f>
        <v/>
      </c>
      <c r="I2306" s="2590" t="str">
        <f t="shared" si="536"/>
        <v/>
      </c>
      <c r="J2306" s="2591"/>
      <c r="K2306" s="2592" t="str">
        <f>IFERROR(VLOOKUP(F2306,Trainingsarten!$A$9:$K$84,11,FALSE),"0")</f>
        <v>0</v>
      </c>
      <c r="L2306" s="2815"/>
      <c r="M2306" s="2591"/>
      <c r="N2306" s="2593" t="str">
        <f t="shared" si="537"/>
        <v/>
      </c>
      <c r="O2306" s="2594"/>
      <c r="P2306" s="1919" t="str">
        <f>IFERROR(VLOOKUP(F2306,Trainingsarten!$A$9:$N$84,12,FALSE),"")</f>
        <v/>
      </c>
      <c r="Q2306" s="2461" t="s">
        <v>437</v>
      </c>
      <c r="R2306" s="3089" t="str">
        <f>IFERROR(VLOOKUP(F2306,Trainingsarten!$A$9:$N$84,14,FALSE),"")</f>
        <v/>
      </c>
      <c r="S2306" s="2595" t="str">
        <f t="shared" si="538"/>
        <v/>
      </c>
      <c r="T2306" s="2586">
        <f t="shared" si="539"/>
        <v>18.05671384031972</v>
      </c>
      <c r="U2306" s="2586">
        <f t="shared" si="540"/>
        <v>15.346288199357737</v>
      </c>
      <c r="V2306" s="2586">
        <f t="shared" si="541"/>
        <v>-5.3455782355024795</v>
      </c>
      <c r="W2306" s="3283">
        <f t="shared" si="542"/>
        <v>1.1766176684389009</v>
      </c>
      <c r="X2306" s="3298"/>
      <c r="Y2306" s="3315" t="str">
        <f t="shared" si="535"/>
        <v/>
      </c>
      <c r="Z2306" s="1111">
        <f t="shared" si="543"/>
        <v>12.579087990083961</v>
      </c>
      <c r="AA2306" s="1111">
        <f t="shared" si="544"/>
        <v>23.378153600844421</v>
      </c>
      <c r="AB2306" s="2449">
        <f t="shared" si="545"/>
        <v>0.53807020883076084</v>
      </c>
    </row>
    <row r="2307" spans="1:31" x14ac:dyDescent="0.2">
      <c r="A2307" s="2934" t="s">
        <v>626</v>
      </c>
      <c r="B2307" s="3004">
        <f>SUM(H2306:H2312)</f>
        <v>0</v>
      </c>
      <c r="C2307" s="2937">
        <v>45405</v>
      </c>
      <c r="D2307" s="3090"/>
      <c r="E2307" s="3091"/>
      <c r="F2307" s="3145"/>
      <c r="G2307" s="3092"/>
      <c r="H2307" s="3093" t="str">
        <f>IFERROR(VLOOKUP(F2307,Trainingsarten!$A$9:$K$84,10,FALSE),"")</f>
        <v/>
      </c>
      <c r="I2307" s="3094" t="str">
        <f t="shared" si="536"/>
        <v/>
      </c>
      <c r="J2307" s="3095"/>
      <c r="K2307" s="3096" t="str">
        <f>IFERROR(VLOOKUP(F2307,Trainingsarten!$A$9:$K$84,11,FALSE),"0")</f>
        <v>0</v>
      </c>
      <c r="L2307" s="2816"/>
      <c r="M2307" s="3095"/>
      <c r="N2307" s="3097" t="str">
        <f t="shared" si="537"/>
        <v/>
      </c>
      <c r="O2307" s="3098"/>
      <c r="P2307" s="2897" t="str">
        <f>IFERROR(VLOOKUP(F2307,Trainingsarten!$A$9:$N$84,12,FALSE),"")</f>
        <v/>
      </c>
      <c r="Q2307" s="2898" t="s">
        <v>437</v>
      </c>
      <c r="R2307" s="3099" t="str">
        <f>IFERROR(VLOOKUP(F2307,Trainingsarten!$A$9:$N$84,14,FALSE),"")</f>
        <v/>
      </c>
      <c r="S2307" s="3100" t="str">
        <f t="shared" si="538"/>
        <v/>
      </c>
      <c r="T2307" s="3090">
        <f t="shared" si="539"/>
        <v>15.477183291702616</v>
      </c>
      <c r="U2307" s="3090">
        <f t="shared" si="540"/>
        <v>14.980900385087315</v>
      </c>
      <c r="V2307" s="3090">
        <f t="shared" si="541"/>
        <v>-2.7104256409619829</v>
      </c>
      <c r="W2307" s="3284">
        <f t="shared" si="542"/>
        <v>1.0331277088731812</v>
      </c>
      <c r="X2307" s="3300"/>
      <c r="Y2307" s="3316" t="str">
        <f t="shared" si="535"/>
        <v/>
      </c>
      <c r="Z2307" s="2597">
        <f t="shared" si="543"/>
        <v>10.782075420071967</v>
      </c>
      <c r="AA2307" s="2597">
        <f t="shared" si="544"/>
        <v>22.821530896062409</v>
      </c>
      <c r="AB2307" s="3325">
        <f t="shared" si="545"/>
        <v>0.47245189068066812</v>
      </c>
    </row>
    <row r="2308" spans="1:31" x14ac:dyDescent="0.2">
      <c r="A2308" s="2935" t="s">
        <v>628</v>
      </c>
      <c r="B2308" s="3005">
        <f>SUM(K2306:K2312)</f>
        <v>0</v>
      </c>
      <c r="C2308" s="2937">
        <v>45406</v>
      </c>
      <c r="D2308" s="3090"/>
      <c r="E2308" s="3091"/>
      <c r="F2308" s="3145"/>
      <c r="G2308" s="3092"/>
      <c r="H2308" s="3093" t="str">
        <f>IFERROR(VLOOKUP(F2308,Trainingsarten!$A$9:$K$84,10,FALSE),"")</f>
        <v/>
      </c>
      <c r="I2308" s="3094" t="str">
        <f t="shared" si="536"/>
        <v/>
      </c>
      <c r="J2308" s="3095"/>
      <c r="K2308" s="3096" t="str">
        <f>IFERROR(VLOOKUP(F2308,Trainingsarten!$A$9:$K$84,11,FALSE),"0")</f>
        <v>0</v>
      </c>
      <c r="L2308" s="2816"/>
      <c r="M2308" s="3095"/>
      <c r="N2308" s="3097" t="str">
        <f t="shared" si="537"/>
        <v/>
      </c>
      <c r="O2308" s="3098"/>
      <c r="P2308" s="2897" t="str">
        <f>IFERROR(VLOOKUP(F2308,Trainingsarten!$A$9:$N$84,12,FALSE),"")</f>
        <v/>
      </c>
      <c r="Q2308" s="2898" t="s">
        <v>437</v>
      </c>
      <c r="R2308" s="3099" t="str">
        <f>IFERROR(VLOOKUP(F2308,Trainingsarten!$A$9:$N$84,14,FALSE),"")</f>
        <v/>
      </c>
      <c r="S2308" s="3100" t="str">
        <f t="shared" si="538"/>
        <v/>
      </c>
      <c r="T2308" s="3090">
        <f t="shared" si="539"/>
        <v>13.266157107173671</v>
      </c>
      <c r="U2308" s="3090">
        <f t="shared" si="540"/>
        <v>14.624212280680474</v>
      </c>
      <c r="V2308" s="3090">
        <f t="shared" si="541"/>
        <v>-0.49628290661530094</v>
      </c>
      <c r="W2308" s="3284">
        <f t="shared" si="542"/>
        <v>0.90713652486425667</v>
      </c>
      <c r="X2308" s="3300"/>
      <c r="Y2308" s="3316" t="str">
        <f t="shared" si="535"/>
        <v/>
      </c>
      <c r="Z2308" s="2597">
        <f t="shared" si="543"/>
        <v>9.2417789314902574</v>
      </c>
      <c r="AA2308" s="2597">
        <f t="shared" si="544"/>
        <v>22.278161112822829</v>
      </c>
      <c r="AB2308" s="3325">
        <f t="shared" si="545"/>
        <v>0.41483580645131829</v>
      </c>
    </row>
    <row r="2309" spans="1:31" x14ac:dyDescent="0.2">
      <c r="A2309" s="2935" t="s">
        <v>761</v>
      </c>
      <c r="B2309" s="3006">
        <f>AVERAGE(W2306:W2312)</f>
        <v>0.82372122893962385</v>
      </c>
      <c r="C2309" s="2937">
        <v>45407</v>
      </c>
      <c r="D2309" s="3090"/>
      <c r="E2309" s="3091"/>
      <c r="F2309" s="3145"/>
      <c r="G2309" s="3092"/>
      <c r="H2309" s="3093" t="str">
        <f>IFERROR(VLOOKUP(F2309,Trainingsarten!$A$9:$K$84,10,FALSE),"")</f>
        <v/>
      </c>
      <c r="I2309" s="3094" t="str">
        <f t="shared" si="536"/>
        <v/>
      </c>
      <c r="J2309" s="3095"/>
      <c r="K2309" s="3096" t="str">
        <f>IFERROR(VLOOKUP(F2309,Trainingsarten!$A$9:$K$84,11,FALSE),"0")</f>
        <v>0</v>
      </c>
      <c r="L2309" s="2816"/>
      <c r="M2309" s="3095"/>
      <c r="N2309" s="3097" t="str">
        <f t="shared" si="537"/>
        <v/>
      </c>
      <c r="O2309" s="3098"/>
      <c r="P2309" s="2897" t="str">
        <f>IFERROR(VLOOKUP(F2309,Trainingsarten!$A$9:$N$84,12,FALSE),"")</f>
        <v/>
      </c>
      <c r="Q2309" s="2898" t="s">
        <v>437</v>
      </c>
      <c r="R2309" s="3099" t="str">
        <f>IFERROR(VLOOKUP(F2309,Trainingsarten!$A$9:$N$84,14,FALSE),"")</f>
        <v/>
      </c>
      <c r="S2309" s="3100" t="str">
        <f t="shared" si="538"/>
        <v/>
      </c>
      <c r="T2309" s="3090">
        <f t="shared" si="539"/>
        <v>11.37099180614886</v>
      </c>
      <c r="U2309" s="3090">
        <f t="shared" si="540"/>
        <v>14.276016750188083</v>
      </c>
      <c r="V2309" s="3090">
        <f t="shared" si="541"/>
        <v>1.3580551735068038</v>
      </c>
      <c r="W2309" s="3284">
        <f t="shared" si="542"/>
        <v>0.79651011939300576</v>
      </c>
      <c r="X2309" s="3300"/>
      <c r="Y2309" s="3316" t="str">
        <f t="shared" si="535"/>
        <v/>
      </c>
      <c r="Z2309" s="2597">
        <f t="shared" si="543"/>
        <v>7.9215247984202204</v>
      </c>
      <c r="AA2309" s="2597">
        <f t="shared" si="544"/>
        <v>21.747728705374666</v>
      </c>
      <c r="AB2309" s="3325">
        <f t="shared" si="545"/>
        <v>0.36424607395725511</v>
      </c>
    </row>
    <row r="2310" spans="1:31" x14ac:dyDescent="0.2">
      <c r="A2310" s="2935" t="s">
        <v>979</v>
      </c>
      <c r="B2310" s="3131" t="str">
        <f>IFERROR(AVERAGE(N2306:N2312),"")</f>
        <v/>
      </c>
      <c r="C2310" s="2937">
        <v>45408</v>
      </c>
      <c r="D2310" s="3090"/>
      <c r="E2310" s="3091"/>
      <c r="F2310" s="3145"/>
      <c r="G2310" s="3092"/>
      <c r="H2310" s="3093" t="str">
        <f>IFERROR(VLOOKUP(F2310,Trainingsarten!$A$9:$K$84,10,FALSE),"")</f>
        <v/>
      </c>
      <c r="I2310" s="3094" t="str">
        <f t="shared" si="536"/>
        <v/>
      </c>
      <c r="J2310" s="3095"/>
      <c r="K2310" s="3096" t="str">
        <f>IFERROR(VLOOKUP(F2310,Trainingsarten!$A$9:$K$84,11,FALSE),"0")</f>
        <v>0</v>
      </c>
      <c r="L2310" s="2816"/>
      <c r="M2310" s="3095"/>
      <c r="N2310" s="3097" t="str">
        <f t="shared" si="537"/>
        <v/>
      </c>
      <c r="O2310" s="3098"/>
      <c r="P2310" s="2897" t="str">
        <f>IFERROR(VLOOKUP(F2310,Trainingsarten!$A$9:$N$84,12,FALSE),"")</f>
        <v/>
      </c>
      <c r="Q2310" s="2898" t="s">
        <v>437</v>
      </c>
      <c r="R2310" s="3099" t="str">
        <f>IFERROR(VLOOKUP(F2310,Trainingsarten!$A$9:$N$84,14,FALSE),"")</f>
        <v/>
      </c>
      <c r="S2310" s="3100" t="str">
        <f t="shared" si="538"/>
        <v/>
      </c>
      <c r="T2310" s="3090">
        <f t="shared" si="539"/>
        <v>9.7465644052704512</v>
      </c>
      <c r="U2310" s="3090">
        <f t="shared" si="540"/>
        <v>13.936111589469318</v>
      </c>
      <c r="V2310" s="3090">
        <f t="shared" si="541"/>
        <v>2.9050249440392228</v>
      </c>
      <c r="W2310" s="3284">
        <f t="shared" si="542"/>
        <v>0.69937473897922464</v>
      </c>
      <c r="X2310" s="3300"/>
      <c r="Y2310" s="3316" t="str">
        <f t="shared" si="535"/>
        <v/>
      </c>
      <c r="Z2310" s="2597">
        <f t="shared" si="543"/>
        <v>6.7898783986459037</v>
      </c>
      <c r="AA2310" s="2597">
        <f t="shared" si="544"/>
        <v>21.229925640960982</v>
      </c>
      <c r="AB2310" s="3325">
        <f t="shared" si="545"/>
        <v>0.31982582103563867</v>
      </c>
    </row>
    <row r="2311" spans="1:31" x14ac:dyDescent="0.2">
      <c r="A2311" s="2935" t="s">
        <v>980</v>
      </c>
      <c r="B2311" s="3006" t="str">
        <f>IFERROR(AVERAGE(S2306:S2312),"")</f>
        <v/>
      </c>
      <c r="C2311" s="2937">
        <v>45409</v>
      </c>
      <c r="D2311" s="3090"/>
      <c r="E2311" s="3091"/>
      <c r="F2311" s="3145"/>
      <c r="G2311" s="3092"/>
      <c r="H2311" s="3093" t="str">
        <f>IFERROR(VLOOKUP(F2311,Trainingsarten!$A$9:$K$84,10,FALSE),"")</f>
        <v/>
      </c>
      <c r="I2311" s="3094" t="str">
        <f t="shared" si="536"/>
        <v/>
      </c>
      <c r="J2311" s="3095"/>
      <c r="K2311" s="3096" t="str">
        <f>IFERROR(VLOOKUP(F2311,Trainingsarten!$A$9:$K$84,11,FALSE),"0")</f>
        <v>0</v>
      </c>
      <c r="L2311" s="2816"/>
      <c r="M2311" s="3095"/>
      <c r="N2311" s="3097" t="str">
        <f t="shared" si="537"/>
        <v/>
      </c>
      <c r="O2311" s="3098"/>
      <c r="P2311" s="2897" t="str">
        <f>IFERROR(VLOOKUP(F2311,Trainingsarten!$A$9:$N$84,12,FALSE),"")</f>
        <v/>
      </c>
      <c r="Q2311" s="2898" t="s">
        <v>437</v>
      </c>
      <c r="R2311" s="3099" t="str">
        <f>IFERROR(VLOOKUP(F2311,Trainingsarten!$A$9:$N$84,14,FALSE),"")</f>
        <v/>
      </c>
      <c r="S2311" s="3100" t="str">
        <f t="shared" si="538"/>
        <v/>
      </c>
      <c r="T2311" s="3090">
        <f t="shared" si="539"/>
        <v>8.3541980616603873</v>
      </c>
      <c r="U2311" s="3090">
        <f t="shared" si="540"/>
        <v>13.604299408767668</v>
      </c>
      <c r="V2311" s="3090">
        <f t="shared" si="541"/>
        <v>4.189547184198867</v>
      </c>
      <c r="W2311" s="3284">
        <f t="shared" si="542"/>
        <v>0.61408513666468501</v>
      </c>
      <c r="X2311" s="3300"/>
      <c r="Y2311" s="3316" t="str">
        <f t="shared" si="535"/>
        <v/>
      </c>
      <c r="Z2311" s="2597">
        <f t="shared" si="543"/>
        <v>5.8198957702679177</v>
      </c>
      <c r="AA2311" s="2597">
        <f t="shared" si="544"/>
        <v>20.7244512209381</v>
      </c>
      <c r="AB2311" s="3325">
        <f t="shared" si="545"/>
        <v>0.28082267212885348</v>
      </c>
    </row>
    <row r="2312" spans="1:31" ht="16" thickBot="1" x14ac:dyDescent="0.25">
      <c r="A2312" s="2936" t="s">
        <v>183</v>
      </c>
      <c r="B2312" s="3003">
        <f>IFERROR(SUM(M2306:M2312),"")</f>
        <v>0</v>
      </c>
      <c r="C2312" s="2576">
        <v>45410</v>
      </c>
      <c r="D2312" s="1788"/>
      <c r="E2312" s="1789"/>
      <c r="F2312" s="3146"/>
      <c r="G2312" s="2577"/>
      <c r="H2312" s="2578"/>
      <c r="I2312" s="2579" t="str">
        <f t="shared" si="536"/>
        <v/>
      </c>
      <c r="J2312" s="2580"/>
      <c r="K2312" s="2581" t="str">
        <f>IFERROR(VLOOKUP(F2312,Trainingsarten!$A$9:$K$84,11,FALSE),"0")</f>
        <v>0</v>
      </c>
      <c r="L2312" s="3101"/>
      <c r="M2312" s="2580"/>
      <c r="N2312" s="2582" t="str">
        <f t="shared" si="537"/>
        <v/>
      </c>
      <c r="O2312" s="2583"/>
      <c r="P2312" s="3102" t="str">
        <f>IFERROR(VLOOKUP(F2312,Trainingsarten!$A$9:$N$84,12,FALSE),"")</f>
        <v/>
      </c>
      <c r="Q2312" s="3103" t="s">
        <v>437</v>
      </c>
      <c r="R2312" s="3104" t="str">
        <f>IFERROR(VLOOKUP(F2312,Trainingsarten!$A$9:$N$84,14,FALSE),"")</f>
        <v/>
      </c>
      <c r="S2312" s="2390" t="str">
        <f t="shared" si="538"/>
        <v/>
      </c>
      <c r="T2312" s="1788">
        <f t="shared" si="539"/>
        <v>7.1607411957089031</v>
      </c>
      <c r="U2312" s="1788">
        <f t="shared" si="540"/>
        <v>13.280387518082723</v>
      </c>
      <c r="V2312" s="1788">
        <f t="shared" si="541"/>
        <v>5.2501013471072806</v>
      </c>
      <c r="W2312" s="3293">
        <f t="shared" si="542"/>
        <v>0.53919670536411368</v>
      </c>
      <c r="X2312" s="3336"/>
      <c r="Y2312" s="3326" t="str">
        <f t="shared" si="535"/>
        <v/>
      </c>
      <c r="Z2312" s="3327">
        <f t="shared" si="543"/>
        <v>4.9884820888010726</v>
      </c>
      <c r="AA2312" s="3327">
        <f t="shared" si="544"/>
        <v>20.23101190615386</v>
      </c>
      <c r="AB2312" s="3328">
        <f t="shared" si="545"/>
        <v>0.24657600479606651</v>
      </c>
    </row>
    <row r="2313" spans="1:31" ht="16" thickBot="1" x14ac:dyDescent="0.25">
      <c r="A2313" s="3439">
        <f>WEEKNUM(C2313,1)</f>
        <v>18</v>
      </c>
      <c r="B2313" s="3440"/>
      <c r="C2313" s="2585">
        <v>45411</v>
      </c>
      <c r="D2313" s="2586"/>
      <c r="E2313" s="2587"/>
      <c r="F2313" s="2761" t="s">
        <v>944</v>
      </c>
      <c r="G2313" s="2588"/>
      <c r="H2313" s="2589">
        <f>IFERROR(VLOOKUP(F2313,Trainingsarten!$A$9:$K$84,10,FALSE),"")</f>
        <v>5.0855335173981304</v>
      </c>
      <c r="I2313" s="2590">
        <f t="shared" si="536"/>
        <v>0</v>
      </c>
      <c r="J2313" s="2591"/>
      <c r="K2313" s="2592">
        <f>IFERROR(VLOOKUP(F2313,Trainingsarten!$A$9:$K$84,11,FALSE),"0")</f>
        <v>36.125</v>
      </c>
      <c r="L2313" s="2815"/>
      <c r="M2313" s="2591"/>
      <c r="N2313" s="2593" t="str">
        <f t="shared" si="537"/>
        <v/>
      </c>
      <c r="O2313" s="2594"/>
      <c r="P2313" s="1919">
        <f>IFERROR(VLOOKUP(F2313,Trainingsarten!$A$9:$N$84,12,FALSE),"")</f>
        <v>194.60000000000002</v>
      </c>
      <c r="Q2313" s="2461" t="s">
        <v>437</v>
      </c>
      <c r="R2313" s="3089">
        <f>IFERROR(VLOOKUP(F2313,Trainingsarten!$A$9:$N$84,14,FALSE),"")</f>
        <v>212.96</v>
      </c>
      <c r="S2313" s="2595" t="str">
        <f t="shared" si="538"/>
        <v/>
      </c>
      <c r="T2313" s="2586">
        <f t="shared" si="539"/>
        <v>11.298492453464775</v>
      </c>
      <c r="U2313" s="2586">
        <f t="shared" si="540"/>
        <v>13.824306862890277</v>
      </c>
      <c r="V2313" s="2586">
        <f t="shared" si="541"/>
        <v>6.1196463223738196</v>
      </c>
      <c r="W2313" s="3283">
        <f t="shared" si="542"/>
        <v>0.81729178652668999</v>
      </c>
      <c r="X2313" s="3308"/>
      <c r="Y2313" s="3337">
        <f t="shared" si="535"/>
        <v>0</v>
      </c>
      <c r="Z2313" s="2586">
        <f t="shared" si="543"/>
        <v>4.2758417904009196</v>
      </c>
      <c r="AA2313" s="2586">
        <f t="shared" si="544"/>
        <v>19.749321146483531</v>
      </c>
      <c r="AB2313" s="2595">
        <f t="shared" si="545"/>
        <v>0.2165057603087413</v>
      </c>
    </row>
    <row r="2314" spans="1:31" x14ac:dyDescent="0.2">
      <c r="A2314" s="2934" t="s">
        <v>626</v>
      </c>
      <c r="B2314" s="3004">
        <f>SUM(H2313:H2319)</f>
        <v>27.122845426123362</v>
      </c>
      <c r="C2314" s="2937">
        <v>45412</v>
      </c>
      <c r="D2314" s="3090"/>
      <c r="E2314" s="3091"/>
      <c r="F2314" s="2759"/>
      <c r="G2314" s="3092"/>
      <c r="H2314" s="3093" t="str">
        <f>IFERROR(VLOOKUP(F2314,Trainingsarten!$A$9:$K$84,10,FALSE),"")</f>
        <v/>
      </c>
      <c r="I2314" s="3094" t="str">
        <f t="shared" si="536"/>
        <v/>
      </c>
      <c r="J2314" s="3095"/>
      <c r="K2314" s="3096" t="str">
        <f>IFERROR(VLOOKUP(F2314,Trainingsarten!$A$9:$K$84,11,FALSE),"0")</f>
        <v>0</v>
      </c>
      <c r="L2314" s="2816"/>
      <c r="M2314" s="3095"/>
      <c r="N2314" s="3097" t="str">
        <f t="shared" si="537"/>
        <v/>
      </c>
      <c r="O2314" s="3098"/>
      <c r="P2314" s="2897" t="str">
        <f>IFERROR(VLOOKUP(F2314,Trainingsarten!$A$9:$N$84,12,FALSE),"")</f>
        <v/>
      </c>
      <c r="Q2314" s="2898" t="s">
        <v>437</v>
      </c>
      <c r="R2314" s="3099" t="str">
        <f>IFERROR(VLOOKUP(F2314,Trainingsarten!$A$9:$N$84,14,FALSE),"")</f>
        <v/>
      </c>
      <c r="S2314" s="3100" t="str">
        <f t="shared" si="538"/>
        <v/>
      </c>
      <c r="T2314" s="3090">
        <f t="shared" si="539"/>
        <v>9.6844221029698065</v>
      </c>
      <c r="U2314" s="3090">
        <f t="shared" si="540"/>
        <v>13.495156699488128</v>
      </c>
      <c r="V2314" s="3090">
        <f t="shared" si="541"/>
        <v>2.5258144094255019</v>
      </c>
      <c r="W2314" s="3284">
        <f t="shared" si="542"/>
        <v>0.71762205646245947</v>
      </c>
      <c r="X2314" s="3300"/>
      <c r="Y2314" s="3316" t="str">
        <f t="shared" si="535"/>
        <v/>
      </c>
      <c r="Z2314" s="3338">
        <f t="shared" si="543"/>
        <v>3.665007248915074</v>
      </c>
      <c r="AA2314" s="3338">
        <f t="shared" si="544"/>
        <v>19.279099214424399</v>
      </c>
      <c r="AB2314" s="3339">
        <f t="shared" si="545"/>
        <v>0.19010261880767532</v>
      </c>
    </row>
    <row r="2315" spans="1:31" x14ac:dyDescent="0.2">
      <c r="A2315" s="2935" t="s">
        <v>628</v>
      </c>
      <c r="B2315" s="3005">
        <f>SUM(K2313:K2319)</f>
        <v>192.66666666666669</v>
      </c>
      <c r="C2315" s="2937">
        <v>45413</v>
      </c>
      <c r="D2315" s="3090"/>
      <c r="E2315" s="3091"/>
      <c r="F2315" s="2759" t="s">
        <v>1466</v>
      </c>
      <c r="G2315" s="3092"/>
      <c r="H2315" s="3093">
        <f>IFERROR(VLOOKUP(F2315,Trainingsarten!$A$9:$K$84,10,FALSE),"")</f>
        <v>6.7807113565308406</v>
      </c>
      <c r="I2315" s="3094">
        <f t="shared" si="536"/>
        <v>0</v>
      </c>
      <c r="J2315" s="3095"/>
      <c r="K2315" s="3096">
        <f>IFERROR(VLOOKUP(F2315,Trainingsarten!$A$9:$K$84,11,FALSE),"0")</f>
        <v>48.166666666666671</v>
      </c>
      <c r="L2315" s="2816"/>
      <c r="M2315" s="3095"/>
      <c r="N2315" s="3097" t="str">
        <f t="shared" si="537"/>
        <v/>
      </c>
      <c r="O2315" s="3098"/>
      <c r="P2315" s="2897">
        <f>IFERROR(VLOOKUP(F2315,Trainingsarten!$A$9:$N$84,12,FALSE),"")</f>
        <v>194.60000000000002</v>
      </c>
      <c r="Q2315" s="2898" t="s">
        <v>437</v>
      </c>
      <c r="R2315" s="3099">
        <f>IFERROR(VLOOKUP(F2315,Trainingsarten!$A$9:$N$84,14,FALSE),"")</f>
        <v>212.96</v>
      </c>
      <c r="S2315" s="3100" t="str">
        <f t="shared" si="538"/>
        <v/>
      </c>
      <c r="T2315" s="3090">
        <f t="shared" si="539"/>
        <v>15.181885612069358</v>
      </c>
      <c r="U2315" s="3090">
        <f t="shared" si="540"/>
        <v>14.320668841563807</v>
      </c>
      <c r="V2315" s="3090">
        <f t="shared" si="541"/>
        <v>3.810734596518321</v>
      </c>
      <c r="W2315" s="3284">
        <f t="shared" si="542"/>
        <v>1.060138027073567</v>
      </c>
      <c r="X2315" s="3300"/>
      <c r="Y2315" s="3316">
        <f t="shared" si="535"/>
        <v>0</v>
      </c>
      <c r="Z2315" s="3338">
        <f t="shared" si="543"/>
        <v>3.1414347847843489</v>
      </c>
      <c r="AA2315" s="3338">
        <f t="shared" si="544"/>
        <v>18.820073042652389</v>
      </c>
      <c r="AB2315" s="3339">
        <f t="shared" si="545"/>
        <v>0.16691937261161732</v>
      </c>
    </row>
    <row r="2316" spans="1:31" x14ac:dyDescent="0.2">
      <c r="A2316" s="2935" t="s">
        <v>761</v>
      </c>
      <c r="B2316" s="3006">
        <f>AVERAGE(W2313:W2319)</f>
        <v>1.0104380251145353</v>
      </c>
      <c r="C2316" s="2937">
        <v>45414</v>
      </c>
      <c r="D2316" s="3090"/>
      <c r="E2316" s="3091"/>
      <c r="F2316" s="2759"/>
      <c r="G2316" s="3092"/>
      <c r="H2316" s="3093" t="str">
        <f>IFERROR(VLOOKUP(F2316,Trainingsarten!$A$9:$K$84,10,FALSE),"")</f>
        <v/>
      </c>
      <c r="I2316" s="3094" t="str">
        <f t="shared" si="536"/>
        <v/>
      </c>
      <c r="J2316" s="3095"/>
      <c r="K2316" s="3096" t="str">
        <f>IFERROR(VLOOKUP(F2316,Trainingsarten!$A$9:$K$84,11,FALSE),"0")</f>
        <v>0</v>
      </c>
      <c r="L2316" s="2816"/>
      <c r="M2316" s="3095"/>
      <c r="N2316" s="3097" t="str">
        <f t="shared" si="537"/>
        <v/>
      </c>
      <c r="O2316" s="3098"/>
      <c r="P2316" s="2897" t="str">
        <f>IFERROR(VLOOKUP(F2316,Trainingsarten!$A$9:$N$84,12,FALSE),"")</f>
        <v/>
      </c>
      <c r="Q2316" s="2898" t="s">
        <v>437</v>
      </c>
      <c r="R2316" s="3099" t="str">
        <f>IFERROR(VLOOKUP(F2316,Trainingsarten!$A$9:$N$84,14,FALSE),"")</f>
        <v/>
      </c>
      <c r="S2316" s="3100" t="str">
        <f t="shared" si="538"/>
        <v/>
      </c>
      <c r="T2316" s="3090">
        <f t="shared" si="539"/>
        <v>13.013044810345164</v>
      </c>
      <c r="U2316" s="3090">
        <f t="shared" si="540"/>
        <v>13.979700535812288</v>
      </c>
      <c r="V2316" s="3090">
        <f t="shared" si="541"/>
        <v>-0.86121677050555157</v>
      </c>
      <c r="W2316" s="3284">
        <f t="shared" si="542"/>
        <v>0.93085290182069291</v>
      </c>
      <c r="X2316" s="3300"/>
      <c r="Y2316" s="3316" t="str">
        <f t="shared" si="535"/>
        <v/>
      </c>
      <c r="Z2316" s="3338">
        <f t="shared" si="543"/>
        <v>2.6926583869580134</v>
      </c>
      <c r="AA2316" s="3338">
        <f t="shared" si="544"/>
        <v>18.371976065446379</v>
      </c>
      <c r="AB2316" s="3339">
        <f t="shared" si="545"/>
        <v>0.14656335156142011</v>
      </c>
    </row>
    <row r="2317" spans="1:31" x14ac:dyDescent="0.2">
      <c r="A2317" s="2935" t="s">
        <v>979</v>
      </c>
      <c r="B2317" s="3131" t="str">
        <f>IFERROR(AVERAGE(N2313:N2319),"")</f>
        <v/>
      </c>
      <c r="C2317" s="2937">
        <v>45415</v>
      </c>
      <c r="D2317" s="3090"/>
      <c r="E2317" s="3091"/>
      <c r="F2317" s="2775" t="s">
        <v>944</v>
      </c>
      <c r="G2317" s="3092"/>
      <c r="H2317" s="3093">
        <f>IFERROR(VLOOKUP(F2317,Trainingsarten!$A$9:$K$84,10,FALSE),"")</f>
        <v>5.0855335173981304</v>
      </c>
      <c r="I2317" s="3094">
        <f t="shared" si="536"/>
        <v>0</v>
      </c>
      <c r="J2317" s="3095"/>
      <c r="K2317" s="3096">
        <f>IFERROR(VLOOKUP(F2317,Trainingsarten!$A$9:$K$84,11,FALSE),"0")</f>
        <v>36.125</v>
      </c>
      <c r="L2317" s="2816"/>
      <c r="M2317" s="3095"/>
      <c r="N2317" s="3097" t="str">
        <f t="shared" si="537"/>
        <v/>
      </c>
      <c r="O2317" s="3098"/>
      <c r="P2317" s="2897">
        <f>IFERROR(VLOOKUP(F2317,Trainingsarten!$A$9:$N$84,12,FALSE),"")</f>
        <v>194.60000000000002</v>
      </c>
      <c r="Q2317" s="2898" t="s">
        <v>437</v>
      </c>
      <c r="R2317" s="3099">
        <f>IFERROR(VLOOKUP(F2317,Trainingsarten!$A$9:$N$84,14,FALSE),"")</f>
        <v>212.96</v>
      </c>
      <c r="S2317" s="3100" t="str">
        <f t="shared" si="538"/>
        <v/>
      </c>
      <c r="T2317" s="3090">
        <f t="shared" si="539"/>
        <v>16.314752694581568</v>
      </c>
      <c r="U2317" s="3090">
        <f t="shared" si="540"/>
        <v>14.506969570673901</v>
      </c>
      <c r="V2317" s="3090">
        <f t="shared" si="541"/>
        <v>0.96665572546712397</v>
      </c>
      <c r="W2317" s="3284">
        <f t="shared" si="542"/>
        <v>1.1246148008445631</v>
      </c>
      <c r="X2317" s="3300"/>
      <c r="Y2317" s="3316">
        <f t="shared" si="535"/>
        <v>0</v>
      </c>
      <c r="Z2317" s="3338">
        <f t="shared" si="543"/>
        <v>2.3079929031068684</v>
      </c>
      <c r="AA2317" s="3338">
        <f t="shared" si="544"/>
        <v>17.934548063888133</v>
      </c>
      <c r="AB2317" s="3339">
        <f t="shared" si="545"/>
        <v>0.12868977210271032</v>
      </c>
    </row>
    <row r="2318" spans="1:31" x14ac:dyDescent="0.2">
      <c r="A2318" s="2935" t="s">
        <v>980</v>
      </c>
      <c r="B2318" s="3006" t="str">
        <f>IFERROR(AVERAGE(S2313:S2319),"")</f>
        <v/>
      </c>
      <c r="C2318" s="2937">
        <v>45416</v>
      </c>
      <c r="D2318" s="3090"/>
      <c r="E2318" s="3091"/>
      <c r="F2318" s="2889"/>
      <c r="G2318" s="3092"/>
      <c r="H2318" s="3093" t="str">
        <f>IFERROR(VLOOKUP(F2318,Trainingsarten!$A$9:$K$84,10,FALSE),"")</f>
        <v/>
      </c>
      <c r="I2318" s="3094" t="str">
        <f t="shared" si="536"/>
        <v/>
      </c>
      <c r="J2318" s="3095"/>
      <c r="K2318" s="3096" t="str">
        <f>IFERROR(VLOOKUP(F2318,Trainingsarten!$A$9:$K$84,11,FALSE),"0")</f>
        <v>0</v>
      </c>
      <c r="L2318" s="2816"/>
      <c r="M2318" s="3095"/>
      <c r="N2318" s="3097" t="str">
        <f t="shared" si="537"/>
        <v/>
      </c>
      <c r="O2318" s="3098"/>
      <c r="P2318" s="2897" t="str">
        <f>IFERROR(VLOOKUP(F2318,Trainingsarten!$A$9:$N$84,12,FALSE),"")</f>
        <v/>
      </c>
      <c r="Q2318" s="2898" t="s">
        <v>437</v>
      </c>
      <c r="R2318" s="3099" t="str">
        <f>IFERROR(VLOOKUP(F2318,Trainingsarten!$A$9:$N$84,14,FALSE),"")</f>
        <v/>
      </c>
      <c r="S2318" s="3100" t="str">
        <f t="shared" si="538"/>
        <v/>
      </c>
      <c r="T2318" s="3090">
        <f t="shared" si="539"/>
        <v>13.984073738212771</v>
      </c>
      <c r="U2318" s="3090">
        <f t="shared" si="540"/>
        <v>14.161565533276903</v>
      </c>
      <c r="V2318" s="3090">
        <f t="shared" si="541"/>
        <v>-1.8077831239076669</v>
      </c>
      <c r="W2318" s="3284">
        <f t="shared" si="542"/>
        <v>0.98746665440010428</v>
      </c>
      <c r="X2318" s="3300"/>
      <c r="Y2318" s="3316" t="str">
        <f t="shared" ref="Y2318:Y2381" si="546">IFERROR(X2318/K2318,"")</f>
        <v/>
      </c>
      <c r="Z2318" s="3338">
        <f t="shared" si="543"/>
        <v>1.9782796312344586</v>
      </c>
      <c r="AA2318" s="3338">
        <f t="shared" si="544"/>
        <v>17.50753501474794</v>
      </c>
      <c r="AB2318" s="3339">
        <f t="shared" si="545"/>
        <v>0.11299589745603832</v>
      </c>
    </row>
    <row r="2319" spans="1:31" ht="16" thickBot="1" x14ac:dyDescent="0.25">
      <c r="A2319" s="2936" t="s">
        <v>183</v>
      </c>
      <c r="B2319" s="3003">
        <f>IFERROR(SUM(M2313:M2319),"")</f>
        <v>0</v>
      </c>
      <c r="C2319" s="2576">
        <v>45417</v>
      </c>
      <c r="D2319" s="1788"/>
      <c r="E2319" s="1789"/>
      <c r="F2319" s="2763" t="s">
        <v>819</v>
      </c>
      <c r="G2319" s="2577"/>
      <c r="H2319" s="2578">
        <f>IFERROR(VLOOKUP(F2319,Trainingsarten!$A$9:$K$84,10,FALSE),"")</f>
        <v>10.171067034796261</v>
      </c>
      <c r="I2319" s="2579">
        <f t="shared" si="536"/>
        <v>0</v>
      </c>
      <c r="J2319" s="2580"/>
      <c r="K2319" s="2581">
        <f>IFERROR(VLOOKUP(F2319,Trainingsarten!$A$9:$K$84,11,FALSE),"0")</f>
        <v>72.25</v>
      </c>
      <c r="L2319" s="3101"/>
      <c r="M2319" s="2580"/>
      <c r="N2319" s="2582" t="str">
        <f t="shared" si="537"/>
        <v/>
      </c>
      <c r="O2319" s="2583"/>
      <c r="P2319" s="3102">
        <f>IFERROR(VLOOKUP(F2319,Trainingsarten!$A$9:$N$84,12,FALSE),"")</f>
        <v>194.60000000000002</v>
      </c>
      <c r="Q2319" s="3103" t="s">
        <v>437</v>
      </c>
      <c r="R2319" s="3104">
        <f>IFERROR(VLOOKUP(F2319,Trainingsarten!$A$9:$N$84,14,FALSE),"")</f>
        <v>212.96</v>
      </c>
      <c r="S2319" s="2390" t="str">
        <f t="shared" si="538"/>
        <v/>
      </c>
      <c r="T2319" s="1788">
        <f t="shared" si="539"/>
        <v>22.307777489896662</v>
      </c>
      <c r="U2319" s="1788">
        <f t="shared" si="540"/>
        <v>15.54462349677031</v>
      </c>
      <c r="V2319" s="1788">
        <f t="shared" si="541"/>
        <v>0.17749179506413171</v>
      </c>
      <c r="W2319" s="3293">
        <f t="shared" si="542"/>
        <v>1.4350799486736701</v>
      </c>
      <c r="X2319" s="3309"/>
      <c r="Y2319" s="3340">
        <f t="shared" si="546"/>
        <v>0</v>
      </c>
      <c r="Z2319" s="3314">
        <f t="shared" si="543"/>
        <v>1.6956682553438216</v>
      </c>
      <c r="AA2319" s="3314">
        <f t="shared" si="544"/>
        <v>17.090688942968228</v>
      </c>
      <c r="AB2319" s="2846">
        <f t="shared" si="545"/>
        <v>9.9215909961399493E-2</v>
      </c>
    </row>
    <row r="2320" spans="1:31" ht="16" thickBot="1" x14ac:dyDescent="0.25">
      <c r="A2320" s="3439">
        <f>WEEKNUM(C2320,1)</f>
        <v>19</v>
      </c>
      <c r="B2320" s="3440"/>
      <c r="C2320" s="2585">
        <v>45418</v>
      </c>
      <c r="D2320" s="2586"/>
      <c r="E2320" s="2587"/>
      <c r="F2320" s="2761" t="s">
        <v>944</v>
      </c>
      <c r="G2320" s="2588"/>
      <c r="H2320" s="2589">
        <f>IFERROR(VLOOKUP(F2320,Trainingsarten!$A$9:$K$84,10,FALSE),"")</f>
        <v>5.0855335173981304</v>
      </c>
      <c r="I2320" s="2590">
        <f t="shared" si="536"/>
        <v>0</v>
      </c>
      <c r="J2320" s="2591"/>
      <c r="K2320" s="2592">
        <f>IFERROR(VLOOKUP(F2320,Trainingsarten!$A$9:$K$84,11,FALSE),"0")</f>
        <v>36.125</v>
      </c>
      <c r="L2320" s="2815"/>
      <c r="M2320" s="2591"/>
      <c r="N2320" s="2593" t="str">
        <f t="shared" si="537"/>
        <v/>
      </c>
      <c r="O2320" s="2594"/>
      <c r="P2320" s="1919">
        <f>IFERROR(VLOOKUP(F2320,Trainingsarten!$A$9:$N$84,12,FALSE),"")</f>
        <v>194.60000000000002</v>
      </c>
      <c r="Q2320" s="2461" t="s">
        <v>437</v>
      </c>
      <c r="R2320" s="3089">
        <f>IFERROR(VLOOKUP(F2320,Trainingsarten!$A$9:$N$84,14,FALSE),"")</f>
        <v>212.96</v>
      </c>
      <c r="S2320" s="2595" t="str">
        <f t="shared" si="538"/>
        <v/>
      </c>
      <c r="T2320" s="2586">
        <f t="shared" si="539"/>
        <v>24.281666419911424</v>
      </c>
      <c r="U2320" s="2586">
        <f t="shared" si="540"/>
        <v>16.034632461132922</v>
      </c>
      <c r="V2320" s="2586">
        <f t="shared" si="541"/>
        <v>-6.7631539931263518</v>
      </c>
      <c r="W2320" s="3283">
        <f t="shared" si="542"/>
        <v>1.5143263482196343</v>
      </c>
      <c r="X2320" s="3298"/>
      <c r="Y2320" s="3315">
        <f t="shared" si="546"/>
        <v>0</v>
      </c>
      <c r="Z2320" s="1111">
        <f t="shared" si="543"/>
        <v>1.453429933151847</v>
      </c>
      <c r="AA2320" s="1111">
        <f t="shared" si="544"/>
        <v>16.683767777659462</v>
      </c>
      <c r="AB2320" s="2595">
        <f t="shared" si="545"/>
        <v>8.7116408746594667E-2</v>
      </c>
    </row>
    <row r="2321" spans="1:31" x14ac:dyDescent="0.2">
      <c r="A2321" s="2934" t="s">
        <v>626</v>
      </c>
      <c r="B2321" s="3004">
        <f>SUM(H2320:H2326)</f>
        <v>27.122845426123362</v>
      </c>
      <c r="C2321" s="2937">
        <v>45419</v>
      </c>
      <c r="D2321" s="3090"/>
      <c r="E2321" s="3091"/>
      <c r="F2321" s="2759"/>
      <c r="G2321" s="3092"/>
      <c r="H2321" s="3093" t="str">
        <f>IFERROR(VLOOKUP(F2321,Trainingsarten!$A$9:$K$84,10,FALSE),"")</f>
        <v/>
      </c>
      <c r="I2321" s="3094" t="str">
        <f t="shared" si="536"/>
        <v/>
      </c>
      <c r="J2321" s="3095"/>
      <c r="K2321" s="3096" t="str">
        <f>IFERROR(VLOOKUP(F2321,Trainingsarten!$A$9:$K$84,11,FALSE),"0")</f>
        <v>0</v>
      </c>
      <c r="L2321" s="2816"/>
      <c r="M2321" s="3095"/>
      <c r="N2321" s="3097" t="str">
        <f t="shared" si="537"/>
        <v/>
      </c>
      <c r="O2321" s="3098"/>
      <c r="P2321" s="2897" t="str">
        <f>IFERROR(VLOOKUP(F2321,Trainingsarten!$A$9:$N$84,12,FALSE),"")</f>
        <v/>
      </c>
      <c r="Q2321" s="2898" t="s">
        <v>437</v>
      </c>
      <c r="R2321" s="3099" t="str">
        <f>IFERROR(VLOOKUP(F2321,Trainingsarten!$A$9:$N$84,14,FALSE),"")</f>
        <v/>
      </c>
      <c r="S2321" s="3100" t="str">
        <f t="shared" si="538"/>
        <v/>
      </c>
      <c r="T2321" s="3090">
        <f t="shared" si="539"/>
        <v>20.812856931352648</v>
      </c>
      <c r="U2321" s="3090">
        <f t="shared" si="540"/>
        <v>15.652855497772615</v>
      </c>
      <c r="V2321" s="3090">
        <f t="shared" si="541"/>
        <v>-8.247033958778502</v>
      </c>
      <c r="W2321" s="3284">
        <f t="shared" si="542"/>
        <v>1.3296524033148007</v>
      </c>
      <c r="X2321" s="3300"/>
      <c r="Y2321" s="3316" t="str">
        <f t="shared" si="546"/>
        <v/>
      </c>
      <c r="Z2321" s="2597">
        <f t="shared" si="543"/>
        <v>1.2457970855587259</v>
      </c>
      <c r="AA2321" s="2597">
        <f t="shared" si="544"/>
        <v>16.286535211524711</v>
      </c>
      <c r="AB2321" s="3339">
        <f t="shared" si="545"/>
        <v>7.6492456460424588E-2</v>
      </c>
    </row>
    <row r="2322" spans="1:31" x14ac:dyDescent="0.2">
      <c r="A2322" s="2935" t="s">
        <v>628</v>
      </c>
      <c r="B2322" s="3005">
        <f>SUM(K2320:K2326)</f>
        <v>192.66666666666669</v>
      </c>
      <c r="C2322" s="2937">
        <v>45420</v>
      </c>
      <c r="D2322" s="3090"/>
      <c r="E2322" s="3091"/>
      <c r="F2322" s="2759" t="s">
        <v>1466</v>
      </c>
      <c r="G2322" s="3092"/>
      <c r="H2322" s="3093">
        <f>IFERROR(VLOOKUP(F2322,Trainingsarten!$A$9:$K$84,10,FALSE),"")</f>
        <v>6.7807113565308406</v>
      </c>
      <c r="I2322" s="3094">
        <f t="shared" ref="I2322:I2385" si="547">IFERROR(G2322/H2322,"")</f>
        <v>0</v>
      </c>
      <c r="J2322" s="3095"/>
      <c r="K2322" s="3096">
        <f>IFERROR(VLOOKUP(F2322,Trainingsarten!$A$9:$K$84,11,FALSE),"0")</f>
        <v>48.166666666666671</v>
      </c>
      <c r="L2322" s="2816"/>
      <c r="M2322" s="3095"/>
      <c r="N2322" s="3097" t="str">
        <f t="shared" ref="N2322:N2385" si="548">IFERROR((L2322/67)/(1/(I2322*24)/3.6),"")</f>
        <v/>
      </c>
      <c r="O2322" s="3098"/>
      <c r="P2322" s="2897">
        <f>IFERROR(VLOOKUP(F2322,Trainingsarten!$A$9:$N$84,12,FALSE),"")</f>
        <v>194.60000000000002</v>
      </c>
      <c r="Q2322" s="2898" t="s">
        <v>437</v>
      </c>
      <c r="R2322" s="3099">
        <f>IFERROR(VLOOKUP(F2322,Trainingsarten!$A$9:$N$84,14,FALSE),"")</f>
        <v>212.96</v>
      </c>
      <c r="S2322" s="3100" t="str">
        <f t="shared" ref="S2322:S2385" si="549">IFERROR(L2322/J2322,"")</f>
        <v/>
      </c>
      <c r="T2322" s="3090">
        <f t="shared" ref="T2322:T2385" si="550">T2321+(K2322-T2321)/7</f>
        <v>24.720544036397509</v>
      </c>
      <c r="U2322" s="3090">
        <f t="shared" ref="U2322:U2385" si="551">U2321+(K2322-U2321)/42</f>
        <v>16.426993858936758</v>
      </c>
      <c r="V2322" s="3090">
        <f t="shared" ref="V2322:V2385" si="552">U2321-T2321</f>
        <v>-5.1600014335800335</v>
      </c>
      <c r="W2322" s="3284">
        <f t="shared" ref="W2322:W2385" si="553">T2322/U2322</f>
        <v>1.5048732743604711</v>
      </c>
      <c r="X2322" s="3300"/>
      <c r="Y2322" s="3316">
        <f t="shared" si="546"/>
        <v>0</v>
      </c>
      <c r="Z2322" s="2597">
        <f t="shared" si="543"/>
        <v>1.0678260733360507</v>
      </c>
      <c r="AA2322" s="2597">
        <f t="shared" si="544"/>
        <v>15.898760563631265</v>
      </c>
      <c r="AB2322" s="3339">
        <f t="shared" si="545"/>
        <v>6.7164108111592319E-2</v>
      </c>
    </row>
    <row r="2323" spans="1:31" x14ac:dyDescent="0.2">
      <c r="A2323" s="2935" t="s">
        <v>761</v>
      </c>
      <c r="B2323" s="3006">
        <f>AVERAGE(W2320:W2326)</f>
        <v>1.4136167481942117</v>
      </c>
      <c r="C2323" s="2937">
        <v>45421</v>
      </c>
      <c r="D2323" s="3090"/>
      <c r="E2323" s="3091"/>
      <c r="F2323" s="2759"/>
      <c r="G2323" s="3092"/>
      <c r="H2323" s="3093" t="str">
        <f>IFERROR(VLOOKUP(F2323,Trainingsarten!$A$9:$K$84,10,FALSE),"")</f>
        <v/>
      </c>
      <c r="I2323" s="3094" t="str">
        <f t="shared" si="547"/>
        <v/>
      </c>
      <c r="J2323" s="3095"/>
      <c r="K2323" s="3096" t="str">
        <f>IFERROR(VLOOKUP(F2323,Trainingsarten!$A$9:$K$84,11,FALSE),"0")</f>
        <v>0</v>
      </c>
      <c r="L2323" s="2816"/>
      <c r="M2323" s="3095"/>
      <c r="N2323" s="3097" t="str">
        <f t="shared" si="548"/>
        <v/>
      </c>
      <c r="O2323" s="3098"/>
      <c r="P2323" s="2897" t="str">
        <f>IFERROR(VLOOKUP(F2323,Trainingsarten!$A$9:$N$84,12,FALSE),"")</f>
        <v/>
      </c>
      <c r="Q2323" s="2898" t="s">
        <v>437</v>
      </c>
      <c r="R2323" s="3099" t="str">
        <f>IFERROR(VLOOKUP(F2323,Trainingsarten!$A$9:$N$84,14,FALSE),"")</f>
        <v/>
      </c>
      <c r="S2323" s="3100" t="str">
        <f t="shared" si="549"/>
        <v/>
      </c>
      <c r="T2323" s="3090">
        <f t="shared" si="550"/>
        <v>21.189037745483578</v>
      </c>
      <c r="U2323" s="3090">
        <f t="shared" si="551"/>
        <v>16.035874957533501</v>
      </c>
      <c r="V2323" s="3090">
        <f t="shared" si="552"/>
        <v>-8.2935501774607516</v>
      </c>
      <c r="W2323" s="3284">
        <f t="shared" si="553"/>
        <v>1.3213521433409015</v>
      </c>
      <c r="X2323" s="3300"/>
      <c r="Y2323" s="3316" t="str">
        <f t="shared" si="546"/>
        <v/>
      </c>
      <c r="Z2323" s="2597">
        <f t="shared" si="543"/>
        <v>0.91527949143090059</v>
      </c>
      <c r="AA2323" s="2597">
        <f t="shared" si="544"/>
        <v>15.520218645449569</v>
      </c>
      <c r="AB2323" s="3339">
        <f t="shared" si="545"/>
        <v>5.8973363219934717E-2</v>
      </c>
    </row>
    <row r="2324" spans="1:31" x14ac:dyDescent="0.2">
      <c r="A2324" s="2935" t="s">
        <v>979</v>
      </c>
      <c r="B2324" s="3131" t="str">
        <f>IFERROR(AVERAGE(N2320:N2326),"")</f>
        <v/>
      </c>
      <c r="C2324" s="2937">
        <v>45422</v>
      </c>
      <c r="D2324" s="3090"/>
      <c r="E2324" s="3091"/>
      <c r="F2324" s="2775" t="s">
        <v>944</v>
      </c>
      <c r="G2324" s="3092"/>
      <c r="H2324" s="3093">
        <f>IFERROR(VLOOKUP(F2324,Trainingsarten!$A$9:$K$84,10,FALSE),"")</f>
        <v>5.0855335173981304</v>
      </c>
      <c r="I2324" s="3094">
        <f t="shared" si="547"/>
        <v>0</v>
      </c>
      <c r="J2324" s="3095"/>
      <c r="K2324" s="3096">
        <f>IFERROR(VLOOKUP(F2324,Trainingsarten!$A$9:$K$84,11,FALSE),"0")</f>
        <v>36.125</v>
      </c>
      <c r="L2324" s="2816"/>
      <c r="M2324" s="3095"/>
      <c r="N2324" s="3097" t="str">
        <f t="shared" si="548"/>
        <v/>
      </c>
      <c r="O2324" s="3098"/>
      <c r="P2324" s="2897">
        <f>IFERROR(VLOOKUP(F2324,Trainingsarten!$A$9:$N$84,12,FALSE),"")</f>
        <v>194.60000000000002</v>
      </c>
      <c r="Q2324" s="2898" t="s">
        <v>437</v>
      </c>
      <c r="R2324" s="3099">
        <f>IFERROR(VLOOKUP(F2324,Trainingsarten!$A$9:$N$84,14,FALSE),"")</f>
        <v>212.96</v>
      </c>
      <c r="S2324" s="3100" t="str">
        <f t="shared" si="549"/>
        <v/>
      </c>
      <c r="T2324" s="3090">
        <f t="shared" si="550"/>
        <v>23.322746638985922</v>
      </c>
      <c r="U2324" s="3090">
        <f t="shared" si="551"/>
        <v>16.514187458544608</v>
      </c>
      <c r="V2324" s="3090">
        <f t="shared" si="552"/>
        <v>-5.1531627879500768</v>
      </c>
      <c r="W2324" s="3284">
        <f t="shared" si="553"/>
        <v>1.4122854483475356</v>
      </c>
      <c r="X2324" s="3300"/>
      <c r="Y2324" s="3316">
        <f t="shared" si="546"/>
        <v>0</v>
      </c>
      <c r="Z2324" s="2597">
        <f t="shared" si="543"/>
        <v>0.78452527836934338</v>
      </c>
      <c r="AA2324" s="2597">
        <f t="shared" si="544"/>
        <v>15.150689630081722</v>
      </c>
      <c r="AB2324" s="3339">
        <f t="shared" si="545"/>
        <v>5.1781489656528047E-2</v>
      </c>
      <c r="AE2324" s="147"/>
    </row>
    <row r="2325" spans="1:31" x14ac:dyDescent="0.2">
      <c r="A2325" s="2935" t="s">
        <v>980</v>
      </c>
      <c r="B2325" s="3006" t="str">
        <f>IFERROR(AVERAGE(S2320:S2326),"")</f>
        <v/>
      </c>
      <c r="C2325" s="2937">
        <v>45423</v>
      </c>
      <c r="D2325" s="3090"/>
      <c r="E2325" s="3091"/>
      <c r="F2325" s="2889"/>
      <c r="G2325" s="3092"/>
      <c r="H2325" s="3093" t="str">
        <f>IFERROR(VLOOKUP(F2325,Trainingsarten!$A$9:$K$84,10,FALSE),"")</f>
        <v/>
      </c>
      <c r="I2325" s="3094" t="str">
        <f t="shared" si="547"/>
        <v/>
      </c>
      <c r="J2325" s="3095"/>
      <c r="K2325" s="3096" t="str">
        <f>IFERROR(VLOOKUP(F2325,Trainingsarten!$A$9:$K$84,11,FALSE),"0")</f>
        <v>0</v>
      </c>
      <c r="L2325" s="2816"/>
      <c r="M2325" s="3095"/>
      <c r="N2325" s="3097" t="str">
        <f t="shared" si="548"/>
        <v/>
      </c>
      <c r="O2325" s="3098"/>
      <c r="P2325" s="2897" t="str">
        <f>IFERROR(VLOOKUP(F2325,Trainingsarten!$A$9:$N$84,12,FALSE),"")</f>
        <v/>
      </c>
      <c r="Q2325" s="2898" t="s">
        <v>437</v>
      </c>
      <c r="R2325" s="3099" t="str">
        <f>IFERROR(VLOOKUP(F2325,Trainingsarten!$A$9:$N$84,14,FALSE),"")</f>
        <v/>
      </c>
      <c r="S2325" s="3100" t="str">
        <f t="shared" si="549"/>
        <v/>
      </c>
      <c r="T2325" s="3090">
        <f t="shared" si="550"/>
        <v>19.990925690559362</v>
      </c>
      <c r="U2325" s="3090">
        <f t="shared" si="551"/>
        <v>16.120992519055452</v>
      </c>
      <c r="V2325" s="3090">
        <f t="shared" si="552"/>
        <v>-6.8085591804413141</v>
      </c>
      <c r="W2325" s="3284">
        <f t="shared" si="553"/>
        <v>1.2400555156222264</v>
      </c>
      <c r="X2325" s="3300"/>
      <c r="Y2325" s="3316" t="str">
        <f t="shared" si="546"/>
        <v/>
      </c>
      <c r="Z2325" s="2597">
        <f t="shared" si="543"/>
        <v>0.67245023860229436</v>
      </c>
      <c r="AA2325" s="2597">
        <f t="shared" si="544"/>
        <v>14.789958924603585</v>
      </c>
      <c r="AB2325" s="3339">
        <f t="shared" si="545"/>
        <v>4.5466673844756333E-2</v>
      </c>
      <c r="AE2325" s="147"/>
    </row>
    <row r="2326" spans="1:31" ht="16" thickBot="1" x14ac:dyDescent="0.25">
      <c r="A2326" s="2936" t="s">
        <v>183</v>
      </c>
      <c r="B2326" s="3003">
        <f>IFERROR(SUM(M2320:M2326),"")</f>
        <v>0</v>
      </c>
      <c r="C2326" s="2576">
        <v>45424</v>
      </c>
      <c r="D2326" s="1788"/>
      <c r="E2326" s="1789"/>
      <c r="F2326" s="2763" t="s">
        <v>819</v>
      </c>
      <c r="G2326" s="2577"/>
      <c r="H2326" s="2578">
        <f>IFERROR(VLOOKUP(F2326,Trainingsarten!$A$9:$K$84,10,FALSE),"")</f>
        <v>10.171067034796261</v>
      </c>
      <c r="I2326" s="2579">
        <f t="shared" si="547"/>
        <v>0</v>
      </c>
      <c r="J2326" s="2580"/>
      <c r="K2326" s="2581">
        <f>IFERROR(VLOOKUP(F2326,Trainingsarten!$A$9:$K$84,11,FALSE),"0")</f>
        <v>72.25</v>
      </c>
      <c r="L2326" s="3101"/>
      <c r="M2326" s="2580"/>
      <c r="N2326" s="2582" t="str">
        <f t="shared" si="548"/>
        <v/>
      </c>
      <c r="O2326" s="2583"/>
      <c r="P2326" s="3102">
        <f>IFERROR(VLOOKUP(F2326,Trainingsarten!$A$9:$N$84,12,FALSE),"")</f>
        <v>194.60000000000002</v>
      </c>
      <c r="Q2326" s="3103" t="s">
        <v>437</v>
      </c>
      <c r="R2326" s="3104">
        <f>IFERROR(VLOOKUP(F2326,Trainingsarten!$A$9:$N$84,14,FALSE),"")</f>
        <v>212.96</v>
      </c>
      <c r="S2326" s="2390" t="str">
        <f t="shared" si="549"/>
        <v/>
      </c>
      <c r="T2326" s="1788">
        <f t="shared" si="550"/>
        <v>27.456507734765168</v>
      </c>
      <c r="U2326" s="1788">
        <f t="shared" si="551"/>
        <v>17.457397459077942</v>
      </c>
      <c r="V2326" s="1788">
        <f t="shared" si="552"/>
        <v>-3.8699331715039094</v>
      </c>
      <c r="W2326" s="3293">
        <f t="shared" si="553"/>
        <v>1.5727721041539118</v>
      </c>
      <c r="X2326" s="3336"/>
      <c r="Y2326" s="3326">
        <f t="shared" si="546"/>
        <v>0</v>
      </c>
      <c r="Z2326" s="3327">
        <f t="shared" si="543"/>
        <v>0.57638591880196655</v>
      </c>
      <c r="AA2326" s="3327">
        <f t="shared" si="544"/>
        <v>14.437817045446357</v>
      </c>
      <c r="AB2326" s="2846">
        <f t="shared" si="545"/>
        <v>3.992195752222507E-2</v>
      </c>
      <c r="AE2326" s="147"/>
    </row>
    <row r="2327" spans="1:31" ht="16" thickBot="1" x14ac:dyDescent="0.25">
      <c r="A2327" s="3439">
        <f>WEEKNUM(C2327,1)</f>
        <v>20</v>
      </c>
      <c r="B2327" s="3440"/>
      <c r="C2327" s="2585">
        <v>45425</v>
      </c>
      <c r="D2327" s="2586"/>
      <c r="E2327" s="2587"/>
      <c r="F2327" s="2761" t="s">
        <v>944</v>
      </c>
      <c r="G2327" s="2588"/>
      <c r="H2327" s="2589">
        <f>IFERROR(VLOOKUP(F2327,Trainingsarten!$A$9:$K$84,10,FALSE),"")</f>
        <v>5.0855335173981304</v>
      </c>
      <c r="I2327" s="2590">
        <f t="shared" si="547"/>
        <v>0</v>
      </c>
      <c r="J2327" s="2591"/>
      <c r="K2327" s="2592">
        <f>IFERROR(VLOOKUP(F2327,Trainingsarten!$A$9:$K$84,11,FALSE),"0")</f>
        <v>36.125</v>
      </c>
      <c r="L2327" s="2815"/>
      <c r="M2327" s="2591"/>
      <c r="N2327" s="2593" t="str">
        <f t="shared" si="548"/>
        <v/>
      </c>
      <c r="O2327" s="2594"/>
      <c r="P2327" s="1919">
        <f>IFERROR(VLOOKUP(F2327,Trainingsarten!$A$9:$N$84,12,FALSE),"")</f>
        <v>194.60000000000002</v>
      </c>
      <c r="Q2327" s="2461" t="s">
        <v>437</v>
      </c>
      <c r="R2327" s="3089">
        <f>IFERROR(VLOOKUP(F2327,Trainingsarten!$A$9:$N$84,14,FALSE),"")</f>
        <v>212.96</v>
      </c>
      <c r="S2327" s="2595" t="str">
        <f t="shared" si="549"/>
        <v/>
      </c>
      <c r="T2327" s="2586">
        <f t="shared" si="550"/>
        <v>28.694863772655857</v>
      </c>
      <c r="U2327" s="2586">
        <f t="shared" si="551"/>
        <v>17.901864186242754</v>
      </c>
      <c r="V2327" s="2586">
        <f t="shared" si="552"/>
        <v>-9.9991102756872259</v>
      </c>
      <c r="W2327" s="3283">
        <f t="shared" si="553"/>
        <v>1.602898082240358</v>
      </c>
      <c r="X2327" s="3308"/>
      <c r="Y2327" s="3337">
        <f t="shared" si="546"/>
        <v>0</v>
      </c>
      <c r="Z2327" s="2586">
        <f t="shared" si="543"/>
        <v>0.49404507325882846</v>
      </c>
      <c r="AA2327" s="2586">
        <f t="shared" si="544"/>
        <v>14.094059496745253</v>
      </c>
      <c r="AB2327" s="2595">
        <f t="shared" si="545"/>
        <v>3.5053426117075674E-2</v>
      </c>
    </row>
    <row r="2328" spans="1:31" x14ac:dyDescent="0.2">
      <c r="A2328" s="2934" t="s">
        <v>626</v>
      </c>
      <c r="B2328" s="3004">
        <f>SUM(H2327:H2333)</f>
        <v>27.122845426123362</v>
      </c>
      <c r="C2328" s="2937">
        <v>45426</v>
      </c>
      <c r="D2328" s="3090"/>
      <c r="E2328" s="3091"/>
      <c r="F2328" s="2759"/>
      <c r="G2328" s="3092"/>
      <c r="H2328" s="3093" t="str">
        <f>IFERROR(VLOOKUP(F2328,Trainingsarten!$A$9:$K$84,10,FALSE),"")</f>
        <v/>
      </c>
      <c r="I2328" s="3094" t="str">
        <f t="shared" si="547"/>
        <v/>
      </c>
      <c r="J2328" s="3095"/>
      <c r="K2328" s="3096" t="str">
        <f>IFERROR(VLOOKUP(F2328,Trainingsarten!$A$9:$K$84,11,FALSE),"0")</f>
        <v>0</v>
      </c>
      <c r="L2328" s="2816"/>
      <c r="M2328" s="3095"/>
      <c r="N2328" s="3097" t="str">
        <f t="shared" si="548"/>
        <v/>
      </c>
      <c r="O2328" s="3098"/>
      <c r="P2328" s="2897" t="str">
        <f>IFERROR(VLOOKUP(F2328,Trainingsarten!$A$9:$N$84,12,FALSE),"")</f>
        <v/>
      </c>
      <c r="Q2328" s="2898" t="s">
        <v>437</v>
      </c>
      <c r="R2328" s="3099" t="str">
        <f>IFERROR(VLOOKUP(F2328,Trainingsarten!$A$9:$N$84,14,FALSE),"")</f>
        <v/>
      </c>
      <c r="S2328" s="3100" t="str">
        <f t="shared" si="549"/>
        <v/>
      </c>
      <c r="T2328" s="3090">
        <f t="shared" si="550"/>
        <v>24.595597519419307</v>
      </c>
      <c r="U2328" s="3090">
        <f t="shared" si="551"/>
        <v>17.475629324665547</v>
      </c>
      <c r="V2328" s="3090">
        <f t="shared" si="552"/>
        <v>-10.792999586413103</v>
      </c>
      <c r="W2328" s="3284">
        <f t="shared" si="553"/>
        <v>1.4074227063573874</v>
      </c>
      <c r="X2328" s="3300"/>
      <c r="Y2328" s="3316" t="str">
        <f t="shared" si="546"/>
        <v/>
      </c>
      <c r="Z2328" s="3338">
        <f t="shared" si="543"/>
        <v>0.42346720565042439</v>
      </c>
      <c r="AA2328" s="3338">
        <f t="shared" si="544"/>
        <v>13.758486651584651</v>
      </c>
      <c r="AB2328" s="3339">
        <f t="shared" si="545"/>
        <v>3.0778618054017666E-2</v>
      </c>
    </row>
    <row r="2329" spans="1:31" x14ac:dyDescent="0.2">
      <c r="A2329" s="2935" t="s">
        <v>628</v>
      </c>
      <c r="B2329" s="3005">
        <f>SUM(K2327:K2333)</f>
        <v>192.66666666666669</v>
      </c>
      <c r="C2329" s="2937">
        <v>45427</v>
      </c>
      <c r="D2329" s="3090"/>
      <c r="E2329" s="3091"/>
      <c r="F2329" s="2759" t="s">
        <v>1466</v>
      </c>
      <c r="G2329" s="3092"/>
      <c r="H2329" s="3093">
        <f>IFERROR(VLOOKUP(F2329,Trainingsarten!$A$9:$K$84,10,FALSE),"")</f>
        <v>6.7807113565308406</v>
      </c>
      <c r="I2329" s="3094">
        <f t="shared" si="547"/>
        <v>0</v>
      </c>
      <c r="J2329" s="3095"/>
      <c r="K2329" s="3096">
        <f>IFERROR(VLOOKUP(F2329,Trainingsarten!$A$9:$K$84,11,FALSE),"0")</f>
        <v>48.166666666666671</v>
      </c>
      <c r="L2329" s="2816"/>
      <c r="M2329" s="3095"/>
      <c r="N2329" s="3097" t="str">
        <f t="shared" si="548"/>
        <v/>
      </c>
      <c r="O2329" s="3098"/>
      <c r="P2329" s="2897">
        <f>IFERROR(VLOOKUP(F2329,Trainingsarten!$A$9:$N$84,12,FALSE),"")</f>
        <v>194.60000000000002</v>
      </c>
      <c r="Q2329" s="2898" t="s">
        <v>437</v>
      </c>
      <c r="R2329" s="3099">
        <f>IFERROR(VLOOKUP(F2329,Trainingsarten!$A$9:$N$84,14,FALSE),"")</f>
        <v>212.96</v>
      </c>
      <c r="S2329" s="3100" t="str">
        <f t="shared" si="549"/>
        <v/>
      </c>
      <c r="T2329" s="3090">
        <f t="shared" si="550"/>
        <v>27.962893111883215</v>
      </c>
      <c r="U2329" s="3090">
        <f t="shared" si="551"/>
        <v>18.206368308998908</v>
      </c>
      <c r="V2329" s="3090">
        <f t="shared" si="552"/>
        <v>-7.1199681947537599</v>
      </c>
      <c r="W2329" s="3284">
        <f t="shared" si="553"/>
        <v>1.535885281309064</v>
      </c>
      <c r="X2329" s="3300"/>
      <c r="Y2329" s="3316">
        <f t="shared" si="546"/>
        <v>0</v>
      </c>
      <c r="Z2329" s="3338">
        <f t="shared" si="543"/>
        <v>0.36297189055750662</v>
      </c>
      <c r="AA2329" s="3338">
        <f t="shared" si="544"/>
        <v>13.430903636070731</v>
      </c>
      <c r="AB2329" s="3339">
        <f t="shared" si="545"/>
        <v>2.7025128047430146E-2</v>
      </c>
    </row>
    <row r="2330" spans="1:31" x14ac:dyDescent="0.2">
      <c r="A2330" s="2935" t="s">
        <v>761</v>
      </c>
      <c r="B2330" s="3006">
        <f>AVERAGE(W2327:W2333)</f>
        <v>1.4395880078834138</v>
      </c>
      <c r="C2330" s="2937">
        <v>45428</v>
      </c>
      <c r="D2330" s="3090"/>
      <c r="E2330" s="3091"/>
      <c r="F2330" s="2759"/>
      <c r="G2330" s="3092"/>
      <c r="H2330" s="3093" t="str">
        <f>IFERROR(VLOOKUP(F2330,Trainingsarten!$A$9:$K$84,10,FALSE),"")</f>
        <v/>
      </c>
      <c r="I2330" s="3094" t="str">
        <f t="shared" si="547"/>
        <v/>
      </c>
      <c r="J2330" s="3095"/>
      <c r="K2330" s="3096" t="str">
        <f>IFERROR(VLOOKUP(F2330,Trainingsarten!$A$9:$K$84,11,FALSE),"0")</f>
        <v>0</v>
      </c>
      <c r="L2330" s="2816"/>
      <c r="M2330" s="3095"/>
      <c r="N2330" s="3097" t="str">
        <f t="shared" si="548"/>
        <v/>
      </c>
      <c r="O2330" s="3098"/>
      <c r="P2330" s="2897" t="str">
        <f>IFERROR(VLOOKUP(F2330,Trainingsarten!$A$9:$N$84,12,FALSE),"")</f>
        <v/>
      </c>
      <c r="Q2330" s="2898" t="s">
        <v>437</v>
      </c>
      <c r="R2330" s="3099" t="str">
        <f>IFERROR(VLOOKUP(F2330,Trainingsarten!$A$9:$N$84,14,FALSE),"")</f>
        <v/>
      </c>
      <c r="S2330" s="3100" t="str">
        <f t="shared" si="549"/>
        <v/>
      </c>
      <c r="T2330" s="3090">
        <f t="shared" si="550"/>
        <v>23.9681940958999</v>
      </c>
      <c r="U2330" s="3090">
        <f t="shared" si="551"/>
        <v>17.772883349260837</v>
      </c>
      <c r="V2330" s="3090">
        <f t="shared" si="552"/>
        <v>-9.7565248028843072</v>
      </c>
      <c r="W2330" s="3284">
        <f t="shared" si="553"/>
        <v>1.348582198222593</v>
      </c>
      <c r="X2330" s="3300"/>
      <c r="Y2330" s="3316" t="str">
        <f t="shared" si="546"/>
        <v/>
      </c>
      <c r="Z2330" s="3338">
        <f t="shared" si="543"/>
        <v>0.31111876333500565</v>
      </c>
      <c r="AA2330" s="3338">
        <f t="shared" si="544"/>
        <v>13.111120216164284</v>
      </c>
      <c r="AB2330" s="3339">
        <f t="shared" si="545"/>
        <v>2.3729380724572809E-2</v>
      </c>
    </row>
    <row r="2331" spans="1:31" ht="16" thickBot="1" x14ac:dyDescent="0.25">
      <c r="A2331" s="2935" t="s">
        <v>979</v>
      </c>
      <c r="B2331" s="3131" t="str">
        <f>IFERROR(AVERAGE(N2327:N2333),"")</f>
        <v/>
      </c>
      <c r="C2331" s="2937">
        <v>45429</v>
      </c>
      <c r="D2331" s="3090"/>
      <c r="E2331" s="3091"/>
      <c r="F2331" s="2775" t="s">
        <v>944</v>
      </c>
      <c r="G2331" s="3092"/>
      <c r="H2331" s="3093">
        <f>IFERROR(VLOOKUP(F2331,Trainingsarten!$A$9:$K$84,10,FALSE),"")</f>
        <v>5.0855335173981304</v>
      </c>
      <c r="I2331" s="3094">
        <f t="shared" si="547"/>
        <v>0</v>
      </c>
      <c r="J2331" s="3095"/>
      <c r="K2331" s="3096">
        <f>IFERROR(VLOOKUP(F2331,Trainingsarten!$A$9:$K$84,11,FALSE),"0")</f>
        <v>36.125</v>
      </c>
      <c r="L2331" s="2816"/>
      <c r="M2331" s="3095"/>
      <c r="N2331" s="3097" t="str">
        <f t="shared" si="548"/>
        <v/>
      </c>
      <c r="O2331" s="3098"/>
      <c r="P2331" s="2897">
        <f>IFERROR(VLOOKUP(F2331,Trainingsarten!$A$9:$N$84,12,FALSE),"")</f>
        <v>194.60000000000002</v>
      </c>
      <c r="Q2331" s="2898" t="s">
        <v>437</v>
      </c>
      <c r="R2331" s="3099">
        <f>IFERROR(VLOOKUP(F2331,Trainingsarten!$A$9:$N$84,14,FALSE),"")</f>
        <v>212.96</v>
      </c>
      <c r="S2331" s="3100" t="str">
        <f t="shared" si="549"/>
        <v/>
      </c>
      <c r="T2331" s="3090">
        <f t="shared" si="550"/>
        <v>25.704880653628486</v>
      </c>
      <c r="U2331" s="3090">
        <f t="shared" si="551"/>
        <v>18.209838507611771</v>
      </c>
      <c r="V2331" s="3090">
        <f t="shared" si="552"/>
        <v>-6.1953107466390627</v>
      </c>
      <c r="W2331" s="3284">
        <f t="shared" si="553"/>
        <v>1.4115930046762228</v>
      </c>
      <c r="X2331" s="3300"/>
      <c r="Y2331" s="3316">
        <f t="shared" si="546"/>
        <v>0</v>
      </c>
      <c r="Z2331" s="3338">
        <f t="shared" si="543"/>
        <v>0.26667322571571911</v>
      </c>
      <c r="AA2331" s="3338">
        <f t="shared" si="544"/>
        <v>12.798950687207991</v>
      </c>
      <c r="AB2331" s="3339">
        <f t="shared" si="545"/>
        <v>2.0835553806941978E-2</v>
      </c>
    </row>
    <row r="2332" spans="1:31" x14ac:dyDescent="0.2">
      <c r="A2332" s="2935" t="s">
        <v>980</v>
      </c>
      <c r="B2332" s="3006" t="str">
        <f>IFERROR(AVERAGE(S2327:S2333),"")</f>
        <v/>
      </c>
      <c r="C2332" s="2937">
        <v>45430</v>
      </c>
      <c r="D2332" s="3090"/>
      <c r="E2332" s="3091"/>
      <c r="F2332" s="2889"/>
      <c r="G2332" s="3092"/>
      <c r="H2332" s="3093" t="str">
        <f>IFERROR(VLOOKUP(F2332,Trainingsarten!$A$9:$K$84,10,FALSE),"")</f>
        <v/>
      </c>
      <c r="I2332" s="3094" t="str">
        <f t="shared" si="547"/>
        <v/>
      </c>
      <c r="J2332" s="3095"/>
      <c r="K2332" s="3096" t="str">
        <f>IFERROR(VLOOKUP(F2332,Trainingsarten!$A$9:$K$84,11,FALSE),"0")</f>
        <v>0</v>
      </c>
      <c r="L2332" s="2816"/>
      <c r="M2332" s="3095"/>
      <c r="N2332" s="3097" t="str">
        <f t="shared" si="548"/>
        <v/>
      </c>
      <c r="O2332" s="3098"/>
      <c r="P2332" s="2897" t="str">
        <f>IFERROR(VLOOKUP(F2332,Trainingsarten!$A$9:$N$84,12,FALSE),"")</f>
        <v/>
      </c>
      <c r="Q2332" s="2898" t="s">
        <v>437</v>
      </c>
      <c r="R2332" s="3099" t="str">
        <f>IFERROR(VLOOKUP(F2332,Trainingsarten!$A$9:$N$84,14,FALSE),"")</f>
        <v/>
      </c>
      <c r="S2332" s="3100" t="str">
        <f t="shared" si="549"/>
        <v/>
      </c>
      <c r="T2332" s="3090">
        <f t="shared" si="550"/>
        <v>22.032754845967272</v>
      </c>
      <c r="U2332" s="3090">
        <f t="shared" si="551"/>
        <v>17.776270924097204</v>
      </c>
      <c r="V2332" s="3090">
        <f t="shared" si="552"/>
        <v>-7.4950421460167149</v>
      </c>
      <c r="W2332" s="3284">
        <f t="shared" si="553"/>
        <v>1.2394475163010736</v>
      </c>
      <c r="X2332" s="3300"/>
      <c r="Y2332" s="3316" t="str">
        <f t="shared" si="546"/>
        <v/>
      </c>
      <c r="Z2332" s="3338">
        <f t="shared" ref="Z2332:Z2395" si="554">Z2331+(X2332-Z2331)/7</f>
        <v>0.22857705061347353</v>
      </c>
      <c r="AA2332" s="3338">
        <f t="shared" ref="AA2332:AA2395" si="555">AA2331+(X2332-AA2331)/42</f>
        <v>12.494213766083991</v>
      </c>
      <c r="AB2332" s="3339">
        <f t="shared" ref="AB2332:AB2395" si="556">Z2332/AA2332</f>
        <v>1.8294632610973444E-2</v>
      </c>
      <c r="AC2332" s="3646"/>
      <c r="AD2332" s="3646"/>
      <c r="AE2332" s="3444" t="s">
        <v>1510</v>
      </c>
    </row>
    <row r="2333" spans="1:31" ht="16" thickBot="1" x14ac:dyDescent="0.25">
      <c r="A2333" s="2936" t="s">
        <v>183</v>
      </c>
      <c r="B2333" s="3003">
        <f>IFERROR(SUM(M2327:M2333),"")</f>
        <v>0</v>
      </c>
      <c r="C2333" s="2576">
        <v>45431</v>
      </c>
      <c r="D2333" s="1788"/>
      <c r="E2333" s="1789"/>
      <c r="F2333" s="2763" t="s">
        <v>819</v>
      </c>
      <c r="G2333" s="2577"/>
      <c r="H2333" s="2578">
        <f>IFERROR(VLOOKUP(F2333,Trainingsarten!$A$9:$K$84,10,FALSE),"")</f>
        <v>10.171067034796261</v>
      </c>
      <c r="I2333" s="2579">
        <f t="shared" si="547"/>
        <v>0</v>
      </c>
      <c r="J2333" s="2580"/>
      <c r="K2333" s="2581">
        <f>IFERROR(VLOOKUP(F2333,Trainingsarten!$A$9:$K$84,11,FALSE),"0")</f>
        <v>72.25</v>
      </c>
      <c r="L2333" s="3101"/>
      <c r="M2333" s="2580"/>
      <c r="N2333" s="2582" t="str">
        <f t="shared" si="548"/>
        <v/>
      </c>
      <c r="O2333" s="2583"/>
      <c r="P2333" s="3102">
        <f>IFERROR(VLOOKUP(F2333,Trainingsarten!$A$9:$N$84,12,FALSE),"")</f>
        <v>194.60000000000002</v>
      </c>
      <c r="Q2333" s="3103" t="s">
        <v>437</v>
      </c>
      <c r="R2333" s="3104">
        <f>IFERROR(VLOOKUP(F2333,Trainingsarten!$A$9:$N$84,14,FALSE),"")</f>
        <v>212.96</v>
      </c>
      <c r="S2333" s="2390" t="str">
        <f t="shared" si="549"/>
        <v/>
      </c>
      <c r="T2333" s="1788">
        <f t="shared" si="550"/>
        <v>29.206647010829091</v>
      </c>
      <c r="U2333" s="1788">
        <f t="shared" si="551"/>
        <v>19.073264473523462</v>
      </c>
      <c r="V2333" s="1788">
        <f t="shared" si="552"/>
        <v>-4.2564839218700676</v>
      </c>
      <c r="W2333" s="3293">
        <f t="shared" si="553"/>
        <v>1.5312872660771981</v>
      </c>
      <c r="X2333" s="3309"/>
      <c r="Y2333" s="3340">
        <f t="shared" si="546"/>
        <v>0</v>
      </c>
      <c r="Z2333" s="3314">
        <f t="shared" si="554"/>
        <v>0.19592318624012017</v>
      </c>
      <c r="AA2333" s="3314">
        <f t="shared" si="555"/>
        <v>12.196732485939135</v>
      </c>
      <c r="AB2333" s="2846">
        <f t="shared" si="556"/>
        <v>1.6063579853537659E-2</v>
      </c>
      <c r="AC2333" s="3646"/>
      <c r="AD2333" s="3646"/>
      <c r="AE2333" s="3445"/>
    </row>
    <row r="2334" spans="1:31" ht="16" thickBot="1" x14ac:dyDescent="0.25">
      <c r="A2334" s="3439">
        <f>WEEKNUM(C2334,1)</f>
        <v>21</v>
      </c>
      <c r="B2334" s="3440"/>
      <c r="C2334" s="2585">
        <v>45432</v>
      </c>
      <c r="D2334" s="2586"/>
      <c r="E2334" s="2587"/>
      <c r="F2334" s="2761" t="s">
        <v>944</v>
      </c>
      <c r="G2334" s="2588"/>
      <c r="H2334" s="2589">
        <f>IFERROR(VLOOKUP(F2334,Trainingsarten!$A$9:$K$84,10,FALSE),"")</f>
        <v>5.0855335173981304</v>
      </c>
      <c r="I2334" s="2590">
        <f t="shared" si="547"/>
        <v>0</v>
      </c>
      <c r="J2334" s="2591"/>
      <c r="K2334" s="2592">
        <f>IFERROR(VLOOKUP(F2334,Trainingsarten!$A$9:$K$84,11,FALSE),"0")</f>
        <v>36.125</v>
      </c>
      <c r="L2334" s="2815"/>
      <c r="M2334" s="2591"/>
      <c r="N2334" s="2593" t="str">
        <f t="shared" si="548"/>
        <v/>
      </c>
      <c r="O2334" s="2594"/>
      <c r="P2334" s="1919">
        <f>IFERROR(VLOOKUP(F2334,Trainingsarten!$A$9:$N$84,12,FALSE),"")</f>
        <v>194.60000000000002</v>
      </c>
      <c r="Q2334" s="2461" t="s">
        <v>437</v>
      </c>
      <c r="R2334" s="3089">
        <f>IFERROR(VLOOKUP(F2334,Trainingsarten!$A$9:$N$84,14,FALSE),"")</f>
        <v>212.96</v>
      </c>
      <c r="S2334" s="2595" t="str">
        <f t="shared" si="549"/>
        <v/>
      </c>
      <c r="T2334" s="2586">
        <f t="shared" si="550"/>
        <v>30.194983152139219</v>
      </c>
      <c r="U2334" s="2586">
        <f t="shared" si="551"/>
        <v>19.47925817653481</v>
      </c>
      <c r="V2334" s="2586">
        <f t="shared" si="552"/>
        <v>-10.133382537305629</v>
      </c>
      <c r="W2334" s="3283">
        <f t="shared" si="553"/>
        <v>1.5501094999866492</v>
      </c>
      <c r="X2334" s="3298"/>
      <c r="Y2334" s="3315">
        <f t="shared" si="546"/>
        <v>0</v>
      </c>
      <c r="Z2334" s="1111">
        <f t="shared" si="554"/>
        <v>0.16793415963438871</v>
      </c>
      <c r="AA2334" s="1111">
        <f t="shared" si="555"/>
        <v>11.906334093416774</v>
      </c>
      <c r="AB2334" s="2449">
        <f t="shared" si="556"/>
        <v>1.4104606700667212E-2</v>
      </c>
      <c r="AC2334" s="3646"/>
      <c r="AD2334" s="3646"/>
      <c r="AE2334" s="3446"/>
    </row>
    <row r="2335" spans="1:31" x14ac:dyDescent="0.2">
      <c r="A2335" s="2934" t="s">
        <v>626</v>
      </c>
      <c r="B2335" s="3004">
        <f>SUM(H2334:H2340)</f>
        <v>27.122845426123362</v>
      </c>
      <c r="C2335" s="2937">
        <v>45433</v>
      </c>
      <c r="D2335" s="3090"/>
      <c r="E2335" s="3091"/>
      <c r="F2335" s="2759"/>
      <c r="G2335" s="3092"/>
      <c r="H2335" s="3093" t="str">
        <f>IFERROR(VLOOKUP(F2335,Trainingsarten!$A$9:$K$84,10,FALSE),"")</f>
        <v/>
      </c>
      <c r="I2335" s="3094" t="str">
        <f t="shared" si="547"/>
        <v/>
      </c>
      <c r="J2335" s="3095"/>
      <c r="K2335" s="3096" t="str">
        <f>IFERROR(VLOOKUP(F2335,Trainingsarten!$A$9:$K$84,11,FALSE),"0")</f>
        <v>0</v>
      </c>
      <c r="L2335" s="2816"/>
      <c r="M2335" s="3095"/>
      <c r="N2335" s="3097" t="str">
        <f t="shared" si="548"/>
        <v/>
      </c>
      <c r="O2335" s="3098"/>
      <c r="P2335" s="2897" t="str">
        <f>IFERROR(VLOOKUP(F2335,Trainingsarten!$A$9:$N$84,12,FALSE),"")</f>
        <v/>
      </c>
      <c r="Q2335" s="2898" t="s">
        <v>437</v>
      </c>
      <c r="R2335" s="3099" t="str">
        <f>IFERROR(VLOOKUP(F2335,Trainingsarten!$A$9:$N$84,14,FALSE),"")</f>
        <v/>
      </c>
      <c r="S2335" s="3100" t="str">
        <f t="shared" si="549"/>
        <v/>
      </c>
      <c r="T2335" s="3090">
        <f t="shared" si="550"/>
        <v>25.881414130405044</v>
      </c>
      <c r="U2335" s="3090">
        <f t="shared" si="551"/>
        <v>19.015466315188743</v>
      </c>
      <c r="V2335" s="3090">
        <f t="shared" si="552"/>
        <v>-10.71572497560441</v>
      </c>
      <c r="W2335" s="3284">
        <f t="shared" si="553"/>
        <v>1.3610717560858381</v>
      </c>
      <c r="X2335" s="3300"/>
      <c r="Y2335" s="3316" t="str">
        <f t="shared" si="546"/>
        <v/>
      </c>
      <c r="Z2335" s="2597">
        <f t="shared" si="554"/>
        <v>0.14394356540090461</v>
      </c>
      <c r="AA2335" s="2597">
        <f t="shared" si="555"/>
        <v>11.622849948335423</v>
      </c>
      <c r="AB2335" s="3325">
        <f t="shared" si="556"/>
        <v>1.2384532712780966E-2</v>
      </c>
    </row>
    <row r="2336" spans="1:31" x14ac:dyDescent="0.2">
      <c r="A2336" s="2935" t="s">
        <v>628</v>
      </c>
      <c r="B2336" s="3005">
        <f>SUM(K2334:K2340)</f>
        <v>192.66666666666669</v>
      </c>
      <c r="C2336" s="2937">
        <v>45434</v>
      </c>
      <c r="D2336" s="3090"/>
      <c r="E2336" s="3091"/>
      <c r="F2336" s="2759" t="s">
        <v>1466</v>
      </c>
      <c r="G2336" s="3092"/>
      <c r="H2336" s="3093">
        <f>IFERROR(VLOOKUP(F2336,Trainingsarten!$A$9:$K$84,10,FALSE),"")</f>
        <v>6.7807113565308406</v>
      </c>
      <c r="I2336" s="3094">
        <f t="shared" si="547"/>
        <v>0</v>
      </c>
      <c r="J2336" s="3095"/>
      <c r="K2336" s="3096">
        <f>IFERROR(VLOOKUP(F2336,Trainingsarten!$A$9:$K$84,11,FALSE),"0")</f>
        <v>48.166666666666671</v>
      </c>
      <c r="L2336" s="2816"/>
      <c r="M2336" s="3095"/>
      <c r="N2336" s="3097" t="str">
        <f t="shared" si="548"/>
        <v/>
      </c>
      <c r="O2336" s="3098"/>
      <c r="P2336" s="2897">
        <f>IFERROR(VLOOKUP(F2336,Trainingsarten!$A$9:$N$84,12,FALSE),"")</f>
        <v>194.60000000000002</v>
      </c>
      <c r="Q2336" s="2898" t="s">
        <v>437</v>
      </c>
      <c r="R2336" s="3099">
        <f>IFERROR(VLOOKUP(F2336,Trainingsarten!$A$9:$N$84,14,FALSE),"")</f>
        <v>212.96</v>
      </c>
      <c r="S2336" s="3100" t="str">
        <f t="shared" si="549"/>
        <v/>
      </c>
      <c r="T2336" s="3090">
        <f t="shared" si="550"/>
        <v>29.065021635585278</v>
      </c>
      <c r="U2336" s="3090">
        <f t="shared" si="551"/>
        <v>19.709542514033455</v>
      </c>
      <c r="V2336" s="3090">
        <f t="shared" si="552"/>
        <v>-6.8659478152163018</v>
      </c>
      <c r="W2336" s="3284">
        <f t="shared" si="553"/>
        <v>1.4746674924032661</v>
      </c>
      <c r="X2336" s="3300"/>
      <c r="Y2336" s="3316">
        <f t="shared" si="546"/>
        <v>0</v>
      </c>
      <c r="Z2336" s="2597">
        <f t="shared" si="554"/>
        <v>0.12338019891506109</v>
      </c>
      <c r="AA2336" s="2597">
        <f t="shared" si="555"/>
        <v>11.346115425756008</v>
      </c>
      <c r="AB2336" s="3325">
        <f t="shared" si="556"/>
        <v>1.0874223845368654E-2</v>
      </c>
    </row>
    <row r="2337" spans="1:28" x14ac:dyDescent="0.2">
      <c r="A2337" s="2935" t="s">
        <v>761</v>
      </c>
      <c r="B2337" s="3006">
        <f>AVERAGE(W2334:W2340)</f>
        <v>1.381989942949025</v>
      </c>
      <c r="C2337" s="2937">
        <v>45435</v>
      </c>
      <c r="D2337" s="3090"/>
      <c r="E2337" s="3091"/>
      <c r="F2337" s="2759"/>
      <c r="G2337" s="3092"/>
      <c r="H2337" s="3093" t="str">
        <f>IFERROR(VLOOKUP(F2337,Trainingsarten!$A$9:$K$84,10,FALSE),"")</f>
        <v/>
      </c>
      <c r="I2337" s="3094" t="str">
        <f t="shared" si="547"/>
        <v/>
      </c>
      <c r="J2337" s="3095"/>
      <c r="K2337" s="3096" t="str">
        <f>IFERROR(VLOOKUP(F2337,Trainingsarten!$A$9:$K$84,11,FALSE),"0")</f>
        <v>0</v>
      </c>
      <c r="L2337" s="2816"/>
      <c r="M2337" s="3095"/>
      <c r="N2337" s="3097" t="str">
        <f t="shared" si="548"/>
        <v/>
      </c>
      <c r="O2337" s="3098"/>
      <c r="P2337" s="2897" t="str">
        <f>IFERROR(VLOOKUP(F2337,Trainingsarten!$A$9:$N$84,12,FALSE),"")</f>
        <v/>
      </c>
      <c r="Q2337" s="2898" t="s">
        <v>437</v>
      </c>
      <c r="R2337" s="3099" t="str">
        <f>IFERROR(VLOOKUP(F2337,Trainingsarten!$A$9:$N$84,14,FALSE),"")</f>
        <v/>
      </c>
      <c r="S2337" s="3100" t="str">
        <f t="shared" si="549"/>
        <v/>
      </c>
      <c r="T2337" s="3090">
        <f t="shared" si="550"/>
        <v>24.912875687644522</v>
      </c>
      <c r="U2337" s="3090">
        <f t="shared" si="551"/>
        <v>19.240267692270752</v>
      </c>
      <c r="V2337" s="3090">
        <f t="shared" si="552"/>
        <v>-9.3554791215518236</v>
      </c>
      <c r="W2337" s="3284">
        <f t="shared" si="553"/>
        <v>1.2948299933296969</v>
      </c>
      <c r="X2337" s="3300"/>
      <c r="Y2337" s="3316" t="str">
        <f t="shared" si="546"/>
        <v/>
      </c>
      <c r="Z2337" s="2597">
        <f t="shared" si="554"/>
        <v>0.10575445621290951</v>
      </c>
      <c r="AA2337" s="2597">
        <f t="shared" si="555"/>
        <v>11.075969820380864</v>
      </c>
      <c r="AB2337" s="3325">
        <f t="shared" si="556"/>
        <v>9.5480989861773547E-3</v>
      </c>
    </row>
    <row r="2338" spans="1:28" x14ac:dyDescent="0.2">
      <c r="A2338" s="2935" t="s">
        <v>979</v>
      </c>
      <c r="B2338" s="3131" t="str">
        <f>IFERROR(AVERAGE(N2334:N2340),"")</f>
        <v/>
      </c>
      <c r="C2338" s="2937">
        <v>45436</v>
      </c>
      <c r="D2338" s="3090"/>
      <c r="E2338" s="3091"/>
      <c r="F2338" s="2775" t="s">
        <v>944</v>
      </c>
      <c r="G2338" s="3092"/>
      <c r="H2338" s="3093">
        <f>IFERROR(VLOOKUP(F2338,Trainingsarten!$A$9:$K$84,10,FALSE),"")</f>
        <v>5.0855335173981304</v>
      </c>
      <c r="I2338" s="3094">
        <f t="shared" si="547"/>
        <v>0</v>
      </c>
      <c r="J2338" s="3095"/>
      <c r="K2338" s="3096">
        <f>IFERROR(VLOOKUP(F2338,Trainingsarten!$A$9:$K$84,11,FALSE),"0")</f>
        <v>36.125</v>
      </c>
      <c r="L2338" s="2816"/>
      <c r="M2338" s="3095"/>
      <c r="N2338" s="3097" t="str">
        <f t="shared" si="548"/>
        <v/>
      </c>
      <c r="O2338" s="3098"/>
      <c r="P2338" s="2897">
        <f>IFERROR(VLOOKUP(F2338,Trainingsarten!$A$9:$N$84,12,FALSE),"")</f>
        <v>194.60000000000002</v>
      </c>
      <c r="Q2338" s="2898" t="s">
        <v>437</v>
      </c>
      <c r="R2338" s="3099">
        <f>IFERROR(VLOOKUP(F2338,Trainingsarten!$A$9:$N$84,14,FALSE),"")</f>
        <v>212.96</v>
      </c>
      <c r="S2338" s="3100" t="str">
        <f t="shared" si="549"/>
        <v/>
      </c>
      <c r="T2338" s="3090">
        <f t="shared" si="550"/>
        <v>26.514607732266732</v>
      </c>
      <c r="U2338" s="3090">
        <f t="shared" si="551"/>
        <v>19.642285128169068</v>
      </c>
      <c r="V2338" s="3090">
        <f t="shared" si="552"/>
        <v>-5.6726079953737703</v>
      </c>
      <c r="W2338" s="3284">
        <f t="shared" si="553"/>
        <v>1.3498738847977543</v>
      </c>
      <c r="X2338" s="3300"/>
      <c r="Y2338" s="3316">
        <f t="shared" si="546"/>
        <v>0</v>
      </c>
      <c r="Z2338" s="2597">
        <f t="shared" si="554"/>
        <v>9.0646676753922434E-2</v>
      </c>
      <c r="AA2338" s="2597">
        <f t="shared" si="555"/>
        <v>10.81225625322894</v>
      </c>
      <c r="AB2338" s="3325">
        <f t="shared" si="556"/>
        <v>8.3836966707898711E-3</v>
      </c>
    </row>
    <row r="2339" spans="1:28" x14ac:dyDescent="0.2">
      <c r="A2339" s="2935" t="s">
        <v>980</v>
      </c>
      <c r="B2339" s="3006" t="str">
        <f>IFERROR(AVERAGE(S2334:S2340),"")</f>
        <v/>
      </c>
      <c r="C2339" s="2937">
        <v>45437</v>
      </c>
      <c r="D2339" s="3090"/>
      <c r="E2339" s="3091"/>
      <c r="F2339" s="2889"/>
      <c r="G2339" s="3092"/>
      <c r="H2339" s="3093" t="str">
        <f>IFERROR(VLOOKUP(F2339,Trainingsarten!$A$9:$K$84,10,FALSE),"")</f>
        <v/>
      </c>
      <c r="I2339" s="3094" t="str">
        <f t="shared" si="547"/>
        <v/>
      </c>
      <c r="J2339" s="3095"/>
      <c r="K2339" s="3096" t="str">
        <f>IFERROR(VLOOKUP(F2339,Trainingsarten!$A$9:$K$84,11,FALSE),"0")</f>
        <v>0</v>
      </c>
      <c r="L2339" s="2816"/>
      <c r="M2339" s="3095"/>
      <c r="N2339" s="3097" t="str">
        <f t="shared" si="548"/>
        <v/>
      </c>
      <c r="O2339" s="3098"/>
      <c r="P2339" s="2897" t="str">
        <f>IFERROR(VLOOKUP(F2339,Trainingsarten!$A$9:$N$84,12,FALSE),"")</f>
        <v/>
      </c>
      <c r="Q2339" s="2898" t="s">
        <v>437</v>
      </c>
      <c r="R2339" s="3099" t="str">
        <f>IFERROR(VLOOKUP(F2339,Trainingsarten!$A$9:$N$84,14,FALSE),"")</f>
        <v/>
      </c>
      <c r="S2339" s="3100" t="str">
        <f t="shared" si="549"/>
        <v/>
      </c>
      <c r="T2339" s="3090">
        <f t="shared" si="550"/>
        <v>22.726806627657201</v>
      </c>
      <c r="U2339" s="3090">
        <f t="shared" si="551"/>
        <v>19.174611672736471</v>
      </c>
      <c r="V2339" s="3090">
        <f t="shared" si="552"/>
        <v>-6.8723226040976648</v>
      </c>
      <c r="W2339" s="3284">
        <f t="shared" si="553"/>
        <v>1.1852551183590037</v>
      </c>
      <c r="X2339" s="3300"/>
      <c r="Y2339" s="3316" t="str">
        <f t="shared" si="546"/>
        <v/>
      </c>
      <c r="Z2339" s="2597">
        <f t="shared" si="554"/>
        <v>7.769715150336208E-2</v>
      </c>
      <c r="AA2339" s="2597">
        <f t="shared" si="555"/>
        <v>10.554821580533012</v>
      </c>
      <c r="AB2339" s="3325">
        <f t="shared" si="556"/>
        <v>7.3612946377667162E-3</v>
      </c>
    </row>
    <row r="2340" spans="1:28" ht="16" thickBot="1" x14ac:dyDescent="0.25">
      <c r="A2340" s="2936" t="s">
        <v>183</v>
      </c>
      <c r="B2340" s="3003">
        <f>IFERROR(SUM(M2334:M2340),"")</f>
        <v>0</v>
      </c>
      <c r="C2340" s="2576">
        <v>45438</v>
      </c>
      <c r="D2340" s="1788"/>
      <c r="E2340" s="1789"/>
      <c r="F2340" s="2763" t="s">
        <v>819</v>
      </c>
      <c r="G2340" s="2577"/>
      <c r="H2340" s="2578">
        <f>IFERROR(VLOOKUP(F2340,Trainingsarten!$A$9:$K$84,10,FALSE),"")</f>
        <v>10.171067034796261</v>
      </c>
      <c r="I2340" s="2579">
        <f t="shared" si="547"/>
        <v>0</v>
      </c>
      <c r="J2340" s="2580"/>
      <c r="K2340" s="2581">
        <f>IFERROR(VLOOKUP(F2340,Trainingsarten!$A$9:$K$84,11,FALSE),"0")</f>
        <v>72.25</v>
      </c>
      <c r="L2340" s="3101"/>
      <c r="M2340" s="2580"/>
      <c r="N2340" s="2582" t="str">
        <f t="shared" si="548"/>
        <v/>
      </c>
      <c r="O2340" s="2583"/>
      <c r="P2340" s="3102">
        <f>IFERROR(VLOOKUP(F2340,Trainingsarten!$A$9:$N$84,12,FALSE),"")</f>
        <v>194.60000000000002</v>
      </c>
      <c r="Q2340" s="3103" t="s">
        <v>437</v>
      </c>
      <c r="R2340" s="3104">
        <f>IFERROR(VLOOKUP(F2340,Trainingsarten!$A$9:$N$84,14,FALSE),"")</f>
        <v>212.96</v>
      </c>
      <c r="S2340" s="2390" t="str">
        <f t="shared" si="549"/>
        <v/>
      </c>
      <c r="T2340" s="1788">
        <f t="shared" si="550"/>
        <v>29.801548537991888</v>
      </c>
      <c r="U2340" s="1788">
        <f t="shared" si="551"/>
        <v>20.438311394814175</v>
      </c>
      <c r="V2340" s="1788">
        <f t="shared" si="552"/>
        <v>-3.5521949549207292</v>
      </c>
      <c r="W2340" s="3293">
        <f t="shared" si="553"/>
        <v>1.4581218556809665</v>
      </c>
      <c r="X2340" s="3336"/>
      <c r="Y2340" s="3326">
        <f t="shared" si="546"/>
        <v>0</v>
      </c>
      <c r="Z2340" s="3327">
        <f t="shared" si="554"/>
        <v>6.6597558431453208E-2</v>
      </c>
      <c r="AA2340" s="3327">
        <f t="shared" si="555"/>
        <v>10.303516304806037</v>
      </c>
      <c r="AB2340" s="3328">
        <f t="shared" si="556"/>
        <v>6.4635757795024817E-3</v>
      </c>
    </row>
    <row r="2341" spans="1:28" ht="16" thickBot="1" x14ac:dyDescent="0.25">
      <c r="A2341" s="3439">
        <f>WEEKNUM(C2341,1)</f>
        <v>22</v>
      </c>
      <c r="B2341" s="3440"/>
      <c r="C2341" s="2585">
        <v>45439</v>
      </c>
      <c r="D2341" s="2586"/>
      <c r="E2341" s="2587"/>
      <c r="F2341" s="2761" t="s">
        <v>944</v>
      </c>
      <c r="G2341" s="2588"/>
      <c r="H2341" s="2589">
        <f>IFERROR(VLOOKUP(F2341,Trainingsarten!$A$9:$K$84,10,FALSE),"")</f>
        <v>5.0855335173981304</v>
      </c>
      <c r="I2341" s="2590">
        <f t="shared" si="547"/>
        <v>0</v>
      </c>
      <c r="J2341" s="2591"/>
      <c r="K2341" s="2592">
        <f>IFERROR(VLOOKUP(F2341,Trainingsarten!$A$9:$K$84,11,FALSE),"0")</f>
        <v>36.125</v>
      </c>
      <c r="L2341" s="2815"/>
      <c r="M2341" s="2591"/>
      <c r="N2341" s="2593" t="str">
        <f t="shared" si="548"/>
        <v/>
      </c>
      <c r="O2341" s="2594"/>
      <c r="P2341" s="1919">
        <f>IFERROR(VLOOKUP(F2341,Trainingsarten!$A$9:$N$84,12,FALSE),"")</f>
        <v>194.60000000000002</v>
      </c>
      <c r="Q2341" s="2461" t="s">
        <v>437</v>
      </c>
      <c r="R2341" s="3089">
        <f>IFERROR(VLOOKUP(F2341,Trainingsarten!$A$9:$N$84,14,FALSE),"")</f>
        <v>212.96</v>
      </c>
      <c r="S2341" s="2595" t="str">
        <f t="shared" si="549"/>
        <v/>
      </c>
      <c r="T2341" s="2586">
        <f t="shared" si="550"/>
        <v>30.704898746850191</v>
      </c>
      <c r="U2341" s="2586">
        <f t="shared" si="551"/>
        <v>20.811803980651934</v>
      </c>
      <c r="V2341" s="2586">
        <f t="shared" si="552"/>
        <v>-9.3632371431777131</v>
      </c>
      <c r="W2341" s="3283">
        <f t="shared" si="553"/>
        <v>1.4753597898286737</v>
      </c>
      <c r="X2341" s="3308"/>
      <c r="Y2341" s="3337">
        <f t="shared" si="546"/>
        <v>0</v>
      </c>
      <c r="Z2341" s="2586">
        <f t="shared" si="554"/>
        <v>5.7083621512674182E-2</v>
      </c>
      <c r="AA2341" s="2586">
        <f t="shared" si="555"/>
        <v>10.05819448802494</v>
      </c>
      <c r="AB2341" s="2595">
        <f t="shared" si="556"/>
        <v>5.6753348307826672E-3</v>
      </c>
    </row>
    <row r="2342" spans="1:28" x14ac:dyDescent="0.2">
      <c r="A2342" s="2934" t="s">
        <v>626</v>
      </c>
      <c r="B2342" s="3004">
        <f>SUM(H2341:H2347)</f>
        <v>32.208378943521495</v>
      </c>
      <c r="C2342" s="2937">
        <v>45440</v>
      </c>
      <c r="D2342" s="3090"/>
      <c r="E2342" s="3091"/>
      <c r="F2342" s="2759" t="s">
        <v>944</v>
      </c>
      <c r="G2342" s="3092"/>
      <c r="H2342" s="3093">
        <f>IFERROR(VLOOKUP(F2342,Trainingsarten!$A$9:$K$84,10,FALSE),"")</f>
        <v>5.0855335173981304</v>
      </c>
      <c r="I2342" s="3094">
        <f t="shared" si="547"/>
        <v>0</v>
      </c>
      <c r="J2342" s="3095"/>
      <c r="K2342" s="3096">
        <f>IFERROR(VLOOKUP(F2342,Trainingsarten!$A$9:$K$84,11,FALSE),"0")</f>
        <v>36.125</v>
      </c>
      <c r="L2342" s="2816"/>
      <c r="M2342" s="3095"/>
      <c r="N2342" s="3097" t="str">
        <f t="shared" si="548"/>
        <v/>
      </c>
      <c r="O2342" s="3098"/>
      <c r="P2342" s="2897">
        <f>IFERROR(VLOOKUP(F2342,Trainingsarten!$A$9:$N$84,12,FALSE),"")</f>
        <v>194.60000000000002</v>
      </c>
      <c r="Q2342" s="2898" t="s">
        <v>437</v>
      </c>
      <c r="R2342" s="3099">
        <f>IFERROR(VLOOKUP(F2342,Trainingsarten!$A$9:$N$84,14,FALSE),"")</f>
        <v>212.96</v>
      </c>
      <c r="S2342" s="3100" t="str">
        <f t="shared" si="549"/>
        <v/>
      </c>
      <c r="T2342" s="3090">
        <f t="shared" si="550"/>
        <v>31.479198925871593</v>
      </c>
      <c r="U2342" s="3090">
        <f t="shared" si="551"/>
        <v>21.176403885874507</v>
      </c>
      <c r="V2342" s="3090">
        <f t="shared" si="552"/>
        <v>-9.8930947661982565</v>
      </c>
      <c r="W2342" s="3284">
        <f t="shared" si="553"/>
        <v>1.4865224093534339</v>
      </c>
      <c r="X2342" s="3300"/>
      <c r="Y2342" s="3316">
        <f t="shared" si="546"/>
        <v>0</v>
      </c>
      <c r="Z2342" s="3338">
        <f t="shared" si="554"/>
        <v>4.8928818439435015E-2</v>
      </c>
      <c r="AA2342" s="3338">
        <f t="shared" si="555"/>
        <v>9.8187136668814894</v>
      </c>
      <c r="AB2342" s="3339">
        <f t="shared" si="556"/>
        <v>4.9832208270286834E-3</v>
      </c>
    </row>
    <row r="2343" spans="1:28" x14ac:dyDescent="0.2">
      <c r="A2343" s="2935" t="s">
        <v>628</v>
      </c>
      <c r="B2343" s="3005">
        <f>SUM(K2341:K2347)</f>
        <v>228.79166666666669</v>
      </c>
      <c r="C2343" s="2937">
        <v>45441</v>
      </c>
      <c r="D2343" s="3090"/>
      <c r="E2343" s="3091"/>
      <c r="F2343" s="2759"/>
      <c r="G2343" s="3092"/>
      <c r="H2343" s="3093" t="str">
        <f>IFERROR(VLOOKUP(F2343,Trainingsarten!$A$9:$K$84,10,FALSE),"")</f>
        <v/>
      </c>
      <c r="I2343" s="3094" t="str">
        <f t="shared" si="547"/>
        <v/>
      </c>
      <c r="J2343" s="3095"/>
      <c r="K2343" s="3096" t="str">
        <f>IFERROR(VLOOKUP(F2343,Trainingsarten!$A$9:$K$84,11,FALSE),"0")</f>
        <v>0</v>
      </c>
      <c r="L2343" s="2816"/>
      <c r="M2343" s="3095"/>
      <c r="N2343" s="3097" t="str">
        <f t="shared" si="548"/>
        <v/>
      </c>
      <c r="O2343" s="3098"/>
      <c r="P2343" s="2897" t="str">
        <f>IFERROR(VLOOKUP(F2343,Trainingsarten!$A$9:$N$84,12,FALSE),"")</f>
        <v/>
      </c>
      <c r="Q2343" s="2898" t="s">
        <v>437</v>
      </c>
      <c r="R2343" s="3099" t="str">
        <f>IFERROR(VLOOKUP(F2343,Trainingsarten!$A$9:$N$84,14,FALSE),"")</f>
        <v/>
      </c>
      <c r="S2343" s="3100" t="str">
        <f t="shared" si="549"/>
        <v/>
      </c>
      <c r="T2343" s="3090">
        <f t="shared" si="550"/>
        <v>26.982170507889936</v>
      </c>
      <c r="U2343" s="3090">
        <f t="shared" si="551"/>
        <v>20.672203793353685</v>
      </c>
      <c r="V2343" s="3090">
        <f t="shared" si="552"/>
        <v>-10.302795039997086</v>
      </c>
      <c r="W2343" s="3284">
        <f t="shared" si="553"/>
        <v>1.3052391887005761</v>
      </c>
      <c r="X2343" s="3300"/>
      <c r="Y2343" s="3316" t="str">
        <f t="shared" si="546"/>
        <v/>
      </c>
      <c r="Z2343" s="3338">
        <f t="shared" si="554"/>
        <v>4.1938987233801441E-2</v>
      </c>
      <c r="AA2343" s="3338">
        <f t="shared" si="555"/>
        <v>9.5849347700509782</v>
      </c>
      <c r="AB2343" s="3339">
        <f t="shared" si="556"/>
        <v>4.3755109700739656E-3</v>
      </c>
    </row>
    <row r="2344" spans="1:28" x14ac:dyDescent="0.2">
      <c r="A2344" s="2935" t="s">
        <v>761</v>
      </c>
      <c r="B2344" s="3006">
        <f>AVERAGE(W2341:W2347)</f>
        <v>1.4035071302150879</v>
      </c>
      <c r="C2344" s="2937">
        <v>45442</v>
      </c>
      <c r="D2344" s="3090"/>
      <c r="E2344" s="3091"/>
      <c r="F2344" s="2759" t="s">
        <v>1466</v>
      </c>
      <c r="G2344" s="3092"/>
      <c r="H2344" s="3093">
        <f>IFERROR(VLOOKUP(F2344,Trainingsarten!$A$9:$K$84,10,FALSE),"")</f>
        <v>6.7807113565308406</v>
      </c>
      <c r="I2344" s="3094">
        <f t="shared" si="547"/>
        <v>0</v>
      </c>
      <c r="J2344" s="3095"/>
      <c r="K2344" s="3096">
        <f>IFERROR(VLOOKUP(F2344,Trainingsarten!$A$9:$K$84,11,FALSE),"0")</f>
        <v>48.166666666666671</v>
      </c>
      <c r="L2344" s="2816"/>
      <c r="M2344" s="3095"/>
      <c r="N2344" s="3097" t="str">
        <f t="shared" si="548"/>
        <v/>
      </c>
      <c r="O2344" s="3098"/>
      <c r="P2344" s="2897">
        <f>IFERROR(VLOOKUP(F2344,Trainingsarten!$A$9:$N$84,12,FALSE),"")</f>
        <v>194.60000000000002</v>
      </c>
      <c r="Q2344" s="2898" t="s">
        <v>437</v>
      </c>
      <c r="R2344" s="3099">
        <f>IFERROR(VLOOKUP(F2344,Trainingsarten!$A$9:$N$84,14,FALSE),"")</f>
        <v>212.96</v>
      </c>
      <c r="S2344" s="3100" t="str">
        <f t="shared" si="549"/>
        <v/>
      </c>
      <c r="T2344" s="3090">
        <f t="shared" si="550"/>
        <v>30.008527102000897</v>
      </c>
      <c r="U2344" s="3090">
        <f t="shared" si="551"/>
        <v>21.326833861765898</v>
      </c>
      <c r="V2344" s="3090">
        <f t="shared" si="552"/>
        <v>-6.3099667145362517</v>
      </c>
      <c r="W2344" s="3284">
        <f t="shared" si="553"/>
        <v>1.4070783922502099</v>
      </c>
      <c r="X2344" s="3300"/>
      <c r="Y2344" s="3316">
        <f t="shared" si="546"/>
        <v>0</v>
      </c>
      <c r="Z2344" s="3338">
        <f t="shared" si="554"/>
        <v>3.5947703343258378E-2</v>
      </c>
      <c r="AA2344" s="3338">
        <f t="shared" si="555"/>
        <v>9.3567220374307176</v>
      </c>
      <c r="AB2344" s="3339">
        <f t="shared" si="556"/>
        <v>3.8419120712844573E-3</v>
      </c>
    </row>
    <row r="2345" spans="1:28" x14ac:dyDescent="0.2">
      <c r="A2345" s="2935" t="s">
        <v>979</v>
      </c>
      <c r="B2345" s="3131" t="str">
        <f>IFERROR(AVERAGE(N2341:N2347),"")</f>
        <v/>
      </c>
      <c r="C2345" s="2937">
        <v>45443</v>
      </c>
      <c r="D2345" s="3090"/>
      <c r="E2345" s="3091"/>
      <c r="F2345" s="2775" t="s">
        <v>944</v>
      </c>
      <c r="G2345" s="3092"/>
      <c r="H2345" s="3093">
        <f>IFERROR(VLOOKUP(F2345,Trainingsarten!$A$9:$K$84,10,FALSE),"")</f>
        <v>5.0855335173981304</v>
      </c>
      <c r="I2345" s="3094">
        <f t="shared" si="547"/>
        <v>0</v>
      </c>
      <c r="J2345" s="3095"/>
      <c r="K2345" s="3096">
        <f>IFERROR(VLOOKUP(F2345,Trainingsarten!$A$9:$K$84,11,FALSE),"0")</f>
        <v>36.125</v>
      </c>
      <c r="L2345" s="2816"/>
      <c r="M2345" s="3095"/>
      <c r="N2345" s="3097" t="str">
        <f t="shared" si="548"/>
        <v/>
      </c>
      <c r="O2345" s="3098"/>
      <c r="P2345" s="2897">
        <f>IFERROR(VLOOKUP(F2345,Trainingsarten!$A$9:$N$84,12,FALSE),"")</f>
        <v>194.60000000000002</v>
      </c>
      <c r="Q2345" s="2898" t="s">
        <v>437</v>
      </c>
      <c r="R2345" s="3099">
        <f>IFERROR(VLOOKUP(F2345,Trainingsarten!$A$9:$N$84,14,FALSE),"")</f>
        <v>212.96</v>
      </c>
      <c r="S2345" s="3100" t="str">
        <f t="shared" si="549"/>
        <v/>
      </c>
      <c r="T2345" s="3090">
        <f t="shared" si="550"/>
        <v>30.882308944572198</v>
      </c>
      <c r="U2345" s="3090">
        <f t="shared" si="551"/>
        <v>21.679171150771474</v>
      </c>
      <c r="V2345" s="3090">
        <f t="shared" si="552"/>
        <v>-8.6816932402349991</v>
      </c>
      <c r="W2345" s="3284">
        <f t="shared" si="553"/>
        <v>1.4245152053921224</v>
      </c>
      <c r="X2345" s="3300"/>
      <c r="Y2345" s="3316">
        <f t="shared" si="546"/>
        <v>0</v>
      </c>
      <c r="Z2345" s="3338">
        <f t="shared" si="554"/>
        <v>3.0812317151364323E-2</v>
      </c>
      <c r="AA2345" s="3338">
        <f t="shared" si="555"/>
        <v>9.1339429413014148</v>
      </c>
      <c r="AB2345" s="3339">
        <f t="shared" si="556"/>
        <v>3.3733862089326944E-3</v>
      </c>
    </row>
    <row r="2346" spans="1:28" x14ac:dyDescent="0.2">
      <c r="A2346" s="2935" t="s">
        <v>980</v>
      </c>
      <c r="B2346" s="3006" t="str">
        <f>IFERROR(AVERAGE(S2341:S2347),"")</f>
        <v/>
      </c>
      <c r="C2346" s="2937">
        <v>45444</v>
      </c>
      <c r="D2346" s="3090"/>
      <c r="E2346" s="3091"/>
      <c r="F2346" s="2889"/>
      <c r="G2346" s="3092"/>
      <c r="H2346" s="3093" t="str">
        <f>IFERROR(VLOOKUP(F2346,Trainingsarten!$A$9:$K$84,10,FALSE),"")</f>
        <v/>
      </c>
      <c r="I2346" s="3094" t="str">
        <f t="shared" si="547"/>
        <v/>
      </c>
      <c r="J2346" s="3095"/>
      <c r="K2346" s="3096" t="str">
        <f>IFERROR(VLOOKUP(F2346,Trainingsarten!$A$9:$K$84,11,FALSE),"0")</f>
        <v>0</v>
      </c>
      <c r="L2346" s="2816"/>
      <c r="M2346" s="3095"/>
      <c r="N2346" s="3097" t="str">
        <f t="shared" si="548"/>
        <v/>
      </c>
      <c r="O2346" s="3098"/>
      <c r="P2346" s="2897" t="str">
        <f>IFERROR(VLOOKUP(F2346,Trainingsarten!$A$9:$N$84,12,FALSE),"")</f>
        <v/>
      </c>
      <c r="Q2346" s="2898" t="s">
        <v>437</v>
      </c>
      <c r="R2346" s="3099" t="str">
        <f>IFERROR(VLOOKUP(F2346,Trainingsarten!$A$9:$N$84,14,FALSE),"")</f>
        <v/>
      </c>
      <c r="S2346" s="3100" t="str">
        <f t="shared" si="549"/>
        <v/>
      </c>
      <c r="T2346" s="3090">
        <f t="shared" si="550"/>
        <v>26.470550523919027</v>
      </c>
      <c r="U2346" s="3090">
        <f t="shared" si="551"/>
        <v>21.16300040908644</v>
      </c>
      <c r="V2346" s="3090">
        <f t="shared" si="552"/>
        <v>-9.2031377938007246</v>
      </c>
      <c r="W2346" s="3284">
        <f t="shared" si="553"/>
        <v>1.2507938388808877</v>
      </c>
      <c r="X2346" s="3300"/>
      <c r="Y2346" s="3316" t="str">
        <f t="shared" si="546"/>
        <v/>
      </c>
      <c r="Z2346" s="3338">
        <f t="shared" si="554"/>
        <v>2.6410557558312276E-2</v>
      </c>
      <c r="AA2346" s="3338">
        <f t="shared" si="555"/>
        <v>8.9164681093656668</v>
      </c>
      <c r="AB2346" s="3339">
        <f t="shared" si="556"/>
        <v>2.9619976468677313E-3</v>
      </c>
    </row>
    <row r="2347" spans="1:28" ht="16" thickBot="1" x14ac:dyDescent="0.25">
      <c r="A2347" s="2936" t="s">
        <v>183</v>
      </c>
      <c r="B2347" s="3003">
        <f>IFERROR(SUM(M2341:M2347),"")</f>
        <v>0</v>
      </c>
      <c r="C2347" s="2576">
        <v>45445</v>
      </c>
      <c r="D2347" s="1788"/>
      <c r="E2347" s="1789"/>
      <c r="F2347" s="2763" t="s">
        <v>819</v>
      </c>
      <c r="G2347" s="2577"/>
      <c r="H2347" s="2578">
        <f>IFERROR(VLOOKUP(F2347,Trainingsarten!$A$9:$K$84,10,FALSE),"")</f>
        <v>10.171067034796261</v>
      </c>
      <c r="I2347" s="2579">
        <f t="shared" si="547"/>
        <v>0</v>
      </c>
      <c r="J2347" s="2580"/>
      <c r="K2347" s="2581">
        <f>IFERROR(VLOOKUP(F2347,Trainingsarten!$A$9:$K$84,11,FALSE),"0")</f>
        <v>72.25</v>
      </c>
      <c r="L2347" s="3101"/>
      <c r="M2347" s="2580"/>
      <c r="N2347" s="2582" t="str">
        <f t="shared" si="548"/>
        <v/>
      </c>
      <c r="O2347" s="2583"/>
      <c r="P2347" s="3102">
        <f>IFERROR(VLOOKUP(F2347,Trainingsarten!$A$9:$N$84,12,FALSE),"")</f>
        <v>194.60000000000002</v>
      </c>
      <c r="Q2347" s="3103" t="s">
        <v>437</v>
      </c>
      <c r="R2347" s="3104">
        <f>IFERROR(VLOOKUP(F2347,Trainingsarten!$A$9:$N$84,14,FALSE),"")</f>
        <v>212.96</v>
      </c>
      <c r="S2347" s="2390" t="str">
        <f t="shared" si="549"/>
        <v/>
      </c>
      <c r="T2347" s="1788">
        <f t="shared" si="550"/>
        <v>33.010471877644882</v>
      </c>
      <c r="U2347" s="1788">
        <f t="shared" si="551"/>
        <v>22.379357542203429</v>
      </c>
      <c r="V2347" s="1788">
        <f t="shared" si="552"/>
        <v>-5.307550114832587</v>
      </c>
      <c r="W2347" s="3293">
        <f t="shared" si="553"/>
        <v>1.4750410870997119</v>
      </c>
      <c r="X2347" s="3309"/>
      <c r="Y2347" s="3340">
        <f t="shared" si="546"/>
        <v>0</v>
      </c>
      <c r="Z2347" s="3314">
        <f t="shared" si="554"/>
        <v>2.2637620764267664E-2</v>
      </c>
      <c r="AA2347" s="3314">
        <f t="shared" si="555"/>
        <v>8.7041712496188648</v>
      </c>
      <c r="AB2347" s="2846">
        <f t="shared" si="556"/>
        <v>2.6007784216399593E-3</v>
      </c>
    </row>
    <row r="2348" spans="1:28" ht="16" thickBot="1" x14ac:dyDescent="0.25">
      <c r="A2348" s="3439">
        <f>WEEKNUM(C2348,1)</f>
        <v>23</v>
      </c>
      <c r="B2348" s="3440"/>
      <c r="C2348" s="2585">
        <v>45446</v>
      </c>
      <c r="D2348" s="2586"/>
      <c r="E2348" s="2587"/>
      <c r="F2348" s="2761" t="s">
        <v>944</v>
      </c>
      <c r="G2348" s="2588"/>
      <c r="H2348" s="2589">
        <f>IFERROR(VLOOKUP(F2348,Trainingsarten!$A$9:$K$84,10,FALSE),"")</f>
        <v>5.0855335173981304</v>
      </c>
      <c r="I2348" s="2590">
        <f t="shared" si="547"/>
        <v>0</v>
      </c>
      <c r="J2348" s="2591"/>
      <c r="K2348" s="2592">
        <f>IFERROR(VLOOKUP(F2348,Trainingsarten!$A$9:$K$84,11,FALSE),"0")</f>
        <v>36.125</v>
      </c>
      <c r="L2348" s="2815"/>
      <c r="M2348" s="2591"/>
      <c r="N2348" s="2593" t="str">
        <f t="shared" si="548"/>
        <v/>
      </c>
      <c r="O2348" s="2594"/>
      <c r="P2348" s="1919">
        <f>IFERROR(VLOOKUP(F2348,Trainingsarten!$A$9:$N$84,12,FALSE),"")</f>
        <v>194.60000000000002</v>
      </c>
      <c r="Q2348" s="2461" t="s">
        <v>437</v>
      </c>
      <c r="R2348" s="3089">
        <f>IFERROR(VLOOKUP(F2348,Trainingsarten!$A$9:$N$84,14,FALSE),"")</f>
        <v>212.96</v>
      </c>
      <c r="S2348" s="2595" t="str">
        <f t="shared" si="549"/>
        <v/>
      </c>
      <c r="T2348" s="2586">
        <f t="shared" si="550"/>
        <v>33.455404466552757</v>
      </c>
      <c r="U2348" s="2586">
        <f t="shared" si="551"/>
        <v>22.706634743579539</v>
      </c>
      <c r="V2348" s="2586">
        <f t="shared" si="552"/>
        <v>-10.631114335441453</v>
      </c>
      <c r="W2348" s="3283">
        <f t="shared" si="553"/>
        <v>1.4733757267140835</v>
      </c>
      <c r="X2348" s="3298"/>
      <c r="Y2348" s="3315">
        <f t="shared" si="546"/>
        <v>0</v>
      </c>
      <c r="Z2348" s="1111">
        <f t="shared" si="554"/>
        <v>1.9403674940800853E-2</v>
      </c>
      <c r="AA2348" s="1111">
        <f t="shared" si="555"/>
        <v>8.4969290770088914</v>
      </c>
      <c r="AB2348" s="2449">
        <f t="shared" si="556"/>
        <v>2.2836103214399642E-3</v>
      </c>
    </row>
    <row r="2349" spans="1:28" x14ac:dyDescent="0.2">
      <c r="A2349" s="2934" t="s">
        <v>626</v>
      </c>
      <c r="B2349" s="3004">
        <f>SUM(H2348:H2354)</f>
        <v>32.208378943521495</v>
      </c>
      <c r="C2349" s="2937">
        <v>45447</v>
      </c>
      <c r="D2349" s="3090"/>
      <c r="E2349" s="3091"/>
      <c r="F2349" s="2759" t="s">
        <v>944</v>
      </c>
      <c r="G2349" s="3092"/>
      <c r="H2349" s="3093">
        <f>IFERROR(VLOOKUP(F2349,Trainingsarten!$A$9:$K$84,10,FALSE),"")</f>
        <v>5.0855335173981304</v>
      </c>
      <c r="I2349" s="3094">
        <f t="shared" si="547"/>
        <v>0</v>
      </c>
      <c r="J2349" s="3095"/>
      <c r="K2349" s="3096">
        <f>IFERROR(VLOOKUP(F2349,Trainingsarten!$A$9:$K$84,11,FALSE),"0")</f>
        <v>36.125</v>
      </c>
      <c r="L2349" s="2816"/>
      <c r="M2349" s="3095"/>
      <c r="N2349" s="3097" t="str">
        <f t="shared" si="548"/>
        <v/>
      </c>
      <c r="O2349" s="3098"/>
      <c r="P2349" s="2897">
        <f>IFERROR(VLOOKUP(F2349,Trainingsarten!$A$9:$N$84,12,FALSE),"")</f>
        <v>194.60000000000002</v>
      </c>
      <c r="Q2349" s="2898" t="s">
        <v>437</v>
      </c>
      <c r="R2349" s="3099">
        <f>IFERROR(VLOOKUP(F2349,Trainingsarten!$A$9:$N$84,14,FALSE),"")</f>
        <v>212.96</v>
      </c>
      <c r="S2349" s="3100" t="str">
        <f t="shared" si="549"/>
        <v/>
      </c>
      <c r="T2349" s="3090">
        <f t="shared" si="550"/>
        <v>33.836775257045218</v>
      </c>
      <c r="U2349" s="3090">
        <f t="shared" si="551"/>
        <v>23.026119630637169</v>
      </c>
      <c r="V2349" s="3090">
        <f t="shared" si="552"/>
        <v>-10.748769722973218</v>
      </c>
      <c r="W2349" s="3284">
        <f t="shared" si="553"/>
        <v>1.4694953296439945</v>
      </c>
      <c r="X2349" s="3300"/>
      <c r="Y2349" s="3316">
        <f t="shared" si="546"/>
        <v>0</v>
      </c>
      <c r="Z2349" s="2597">
        <f t="shared" si="554"/>
        <v>1.6631721377829301E-2</v>
      </c>
      <c r="AA2349" s="2597">
        <f t="shared" si="555"/>
        <v>8.2946212418420124</v>
      </c>
      <c r="AB2349" s="3325">
        <f t="shared" si="556"/>
        <v>2.0051212578497245E-3</v>
      </c>
    </row>
    <row r="2350" spans="1:28" x14ac:dyDescent="0.2">
      <c r="A2350" s="2935" t="s">
        <v>628</v>
      </c>
      <c r="B2350" s="3005">
        <f>SUM(K2348:K2354)</f>
        <v>228.79166666666669</v>
      </c>
      <c r="C2350" s="2937">
        <v>45448</v>
      </c>
      <c r="D2350" s="3090"/>
      <c r="E2350" s="3091"/>
      <c r="F2350" s="2759"/>
      <c r="G2350" s="3092"/>
      <c r="H2350" s="3093" t="str">
        <f>IFERROR(VLOOKUP(F2350,Trainingsarten!$A$9:$K$84,10,FALSE),"")</f>
        <v/>
      </c>
      <c r="I2350" s="3094" t="str">
        <f t="shared" si="547"/>
        <v/>
      </c>
      <c r="J2350" s="3095"/>
      <c r="K2350" s="3096" t="str">
        <f>IFERROR(VLOOKUP(F2350,Trainingsarten!$A$9:$K$84,11,FALSE),"0")</f>
        <v>0</v>
      </c>
      <c r="L2350" s="2816"/>
      <c r="M2350" s="3095"/>
      <c r="N2350" s="3097" t="str">
        <f t="shared" si="548"/>
        <v/>
      </c>
      <c r="O2350" s="3098"/>
      <c r="P2350" s="2897" t="str">
        <f>IFERROR(VLOOKUP(F2350,Trainingsarten!$A$9:$N$84,12,FALSE),"")</f>
        <v/>
      </c>
      <c r="Q2350" s="2898" t="s">
        <v>437</v>
      </c>
      <c r="R2350" s="3099" t="str">
        <f>IFERROR(VLOOKUP(F2350,Trainingsarten!$A$9:$N$84,14,FALSE),"")</f>
        <v/>
      </c>
      <c r="S2350" s="3100" t="str">
        <f t="shared" si="549"/>
        <v/>
      </c>
      <c r="T2350" s="3090">
        <f t="shared" si="550"/>
        <v>29.002950220324472</v>
      </c>
      <c r="U2350" s="3090">
        <f t="shared" si="551"/>
        <v>22.47787868705057</v>
      </c>
      <c r="V2350" s="3090">
        <f t="shared" si="552"/>
        <v>-10.81065562640805</v>
      </c>
      <c r="W2350" s="3284">
        <f t="shared" si="553"/>
        <v>1.290288582126434</v>
      </c>
      <c r="X2350" s="3300"/>
      <c r="Y2350" s="3316" t="str">
        <f t="shared" si="546"/>
        <v/>
      </c>
      <c r="Z2350" s="2597">
        <f t="shared" si="554"/>
        <v>1.4255761180996543E-2</v>
      </c>
      <c r="AA2350" s="2597">
        <f t="shared" si="555"/>
        <v>8.0971302598933939</v>
      </c>
      <c r="AB2350" s="3325">
        <f t="shared" si="556"/>
        <v>1.7605942751851239E-3</v>
      </c>
    </row>
    <row r="2351" spans="1:28" x14ac:dyDescent="0.2">
      <c r="A2351" s="2935" t="s">
        <v>761</v>
      </c>
      <c r="B2351" s="3006">
        <f>AVERAGE(W2348:W2354)</f>
        <v>1.3750467964217596</v>
      </c>
      <c r="C2351" s="2937">
        <v>45449</v>
      </c>
      <c r="D2351" s="3090"/>
      <c r="E2351" s="3091"/>
      <c r="F2351" s="2759" t="s">
        <v>1466</v>
      </c>
      <c r="G2351" s="3092"/>
      <c r="H2351" s="3093">
        <f>IFERROR(VLOOKUP(F2351,Trainingsarten!$A$9:$K$84,10,FALSE),"")</f>
        <v>6.7807113565308406</v>
      </c>
      <c r="I2351" s="3094">
        <f t="shared" si="547"/>
        <v>0</v>
      </c>
      <c r="J2351" s="3095"/>
      <c r="K2351" s="3096">
        <f>IFERROR(VLOOKUP(F2351,Trainingsarten!$A$9:$K$84,11,FALSE),"0")</f>
        <v>48.166666666666671</v>
      </c>
      <c r="L2351" s="2816"/>
      <c r="M2351" s="3095"/>
      <c r="N2351" s="3097" t="str">
        <f t="shared" si="548"/>
        <v/>
      </c>
      <c r="O2351" s="3098"/>
      <c r="P2351" s="2897">
        <f>IFERROR(VLOOKUP(F2351,Trainingsarten!$A$9:$N$84,12,FALSE),"")</f>
        <v>194.60000000000002</v>
      </c>
      <c r="Q2351" s="2898" t="s">
        <v>437</v>
      </c>
      <c r="R2351" s="3099">
        <f>IFERROR(VLOOKUP(F2351,Trainingsarten!$A$9:$N$84,14,FALSE),"")</f>
        <v>212.96</v>
      </c>
      <c r="S2351" s="3100" t="str">
        <f t="shared" si="549"/>
        <v/>
      </c>
      <c r="T2351" s="3090">
        <f t="shared" si="550"/>
        <v>31.740623998373358</v>
      </c>
      <c r="U2351" s="3090">
        <f t="shared" si="551"/>
        <v>23.089516496089047</v>
      </c>
      <c r="V2351" s="3090">
        <f t="shared" si="552"/>
        <v>-6.525071533273902</v>
      </c>
      <c r="W2351" s="3284">
        <f t="shared" si="553"/>
        <v>1.3746768583807139</v>
      </c>
      <c r="X2351" s="3300"/>
      <c r="Y2351" s="3316">
        <f t="shared" si="546"/>
        <v>0</v>
      </c>
      <c r="Z2351" s="2597">
        <f t="shared" si="554"/>
        <v>1.2219223869425609E-2</v>
      </c>
      <c r="AA2351" s="2597">
        <f t="shared" si="555"/>
        <v>7.9043414441816466</v>
      </c>
      <c r="AB2351" s="3325">
        <f t="shared" si="556"/>
        <v>1.5458876562601089E-3</v>
      </c>
    </row>
    <row r="2352" spans="1:28" x14ac:dyDescent="0.2">
      <c r="A2352" s="2935" t="s">
        <v>979</v>
      </c>
      <c r="B2352" s="3131" t="str">
        <f>IFERROR(AVERAGE(N2348:N2354),"")</f>
        <v/>
      </c>
      <c r="C2352" s="2937">
        <v>45450</v>
      </c>
      <c r="D2352" s="3090"/>
      <c r="E2352" s="3091"/>
      <c r="F2352" s="2775" t="s">
        <v>944</v>
      </c>
      <c r="G2352" s="3092"/>
      <c r="H2352" s="3093">
        <f>IFERROR(VLOOKUP(F2352,Trainingsarten!$A$9:$K$84,10,FALSE),"")</f>
        <v>5.0855335173981304</v>
      </c>
      <c r="I2352" s="3094">
        <f t="shared" si="547"/>
        <v>0</v>
      </c>
      <c r="J2352" s="3095"/>
      <c r="K2352" s="3096">
        <f>IFERROR(VLOOKUP(F2352,Trainingsarten!$A$9:$K$84,11,FALSE),"0")</f>
        <v>36.125</v>
      </c>
      <c r="L2352" s="2816"/>
      <c r="M2352" s="3095"/>
      <c r="N2352" s="3097" t="str">
        <f t="shared" si="548"/>
        <v/>
      </c>
      <c r="O2352" s="3098"/>
      <c r="P2352" s="2897">
        <f>IFERROR(VLOOKUP(F2352,Trainingsarten!$A$9:$N$84,12,FALSE),"")</f>
        <v>194.60000000000002</v>
      </c>
      <c r="Q2352" s="2898" t="s">
        <v>437</v>
      </c>
      <c r="R2352" s="3099">
        <f>IFERROR(VLOOKUP(F2352,Trainingsarten!$A$9:$N$84,14,FALSE),"")</f>
        <v>212.96</v>
      </c>
      <c r="S2352" s="3100" t="str">
        <f t="shared" si="549"/>
        <v/>
      </c>
      <c r="T2352" s="3090">
        <f t="shared" si="550"/>
        <v>32.366963427177161</v>
      </c>
      <c r="U2352" s="3090">
        <f t="shared" si="551"/>
        <v>23.399885150944069</v>
      </c>
      <c r="V2352" s="3090">
        <f t="shared" si="552"/>
        <v>-8.6511075022843116</v>
      </c>
      <c r="W2352" s="3284">
        <f t="shared" si="553"/>
        <v>1.3832103541701064</v>
      </c>
      <c r="X2352" s="3300"/>
      <c r="Y2352" s="3316">
        <f t="shared" si="546"/>
        <v>0</v>
      </c>
      <c r="Z2352" s="2597">
        <f t="shared" si="554"/>
        <v>1.0473620459507666E-2</v>
      </c>
      <c r="AA2352" s="2597">
        <f t="shared" si="555"/>
        <v>7.7161428383677979</v>
      </c>
      <c r="AB2352" s="3325">
        <f t="shared" si="556"/>
        <v>1.3573647713503395E-3</v>
      </c>
    </row>
    <row r="2353" spans="1:28" x14ac:dyDescent="0.2">
      <c r="A2353" s="2935" t="s">
        <v>980</v>
      </c>
      <c r="B2353" s="3006" t="str">
        <f>IFERROR(AVERAGE(S2348:S2354),"")</f>
        <v/>
      </c>
      <c r="C2353" s="2937">
        <v>45451</v>
      </c>
      <c r="D2353" s="3090"/>
      <c r="E2353" s="3091"/>
      <c r="F2353" s="2889"/>
      <c r="G2353" s="3092"/>
      <c r="H2353" s="3093" t="str">
        <f>IFERROR(VLOOKUP(F2353,Trainingsarten!$A$9:$K$84,10,FALSE),"")</f>
        <v/>
      </c>
      <c r="I2353" s="3094" t="str">
        <f t="shared" si="547"/>
        <v/>
      </c>
      <c r="J2353" s="3095"/>
      <c r="K2353" s="3096" t="str">
        <f>IFERROR(VLOOKUP(F2353,Trainingsarten!$A$9:$K$84,11,FALSE),"0")</f>
        <v>0</v>
      </c>
      <c r="L2353" s="2816"/>
      <c r="M2353" s="3095"/>
      <c r="N2353" s="3097" t="str">
        <f t="shared" si="548"/>
        <v/>
      </c>
      <c r="O2353" s="3098"/>
      <c r="P2353" s="2897" t="str">
        <f>IFERROR(VLOOKUP(F2353,Trainingsarten!$A$9:$N$84,12,FALSE),"")</f>
        <v/>
      </c>
      <c r="Q2353" s="2898" t="s">
        <v>437</v>
      </c>
      <c r="R2353" s="3099" t="str">
        <f>IFERROR(VLOOKUP(F2353,Trainingsarten!$A$9:$N$84,14,FALSE),"")</f>
        <v/>
      </c>
      <c r="S2353" s="3100" t="str">
        <f t="shared" si="549"/>
        <v/>
      </c>
      <c r="T2353" s="3090">
        <f t="shared" si="550"/>
        <v>27.743111509008997</v>
      </c>
      <c r="U2353" s="3090">
        <f t="shared" si="551"/>
        <v>22.842745028302545</v>
      </c>
      <c r="V2353" s="3090">
        <f t="shared" si="552"/>
        <v>-8.9670782762330923</v>
      </c>
      <c r="W2353" s="3284">
        <f t="shared" si="553"/>
        <v>1.2145261646371668</v>
      </c>
      <c r="X2353" s="3300"/>
      <c r="Y2353" s="3316" t="str">
        <f t="shared" si="546"/>
        <v/>
      </c>
      <c r="Z2353" s="2597">
        <f t="shared" si="554"/>
        <v>8.9773889652922847E-3</v>
      </c>
      <c r="AA2353" s="2597">
        <f t="shared" si="555"/>
        <v>7.5324251517399929</v>
      </c>
      <c r="AB2353" s="3325">
        <f t="shared" si="556"/>
        <v>1.1918324821612737E-3</v>
      </c>
    </row>
    <row r="2354" spans="1:28" ht="16" thickBot="1" x14ac:dyDescent="0.25">
      <c r="A2354" s="2936" t="s">
        <v>183</v>
      </c>
      <c r="B2354" s="3003">
        <f>IFERROR(SUM(M2348:M2354),"")</f>
        <v>0</v>
      </c>
      <c r="C2354" s="2576">
        <v>45452</v>
      </c>
      <c r="D2354" s="1788"/>
      <c r="E2354" s="1789"/>
      <c r="F2354" s="2763" t="s">
        <v>819</v>
      </c>
      <c r="G2354" s="2577"/>
      <c r="H2354" s="2578">
        <f>IFERROR(VLOOKUP(F2354,Trainingsarten!$A$9:$K$84,10,FALSE),"")</f>
        <v>10.171067034796261</v>
      </c>
      <c r="I2354" s="2579">
        <f t="shared" si="547"/>
        <v>0</v>
      </c>
      <c r="J2354" s="2580"/>
      <c r="K2354" s="2581">
        <f>IFERROR(VLOOKUP(F2354,Trainingsarten!$A$9:$K$84,11,FALSE),"0")</f>
        <v>72.25</v>
      </c>
      <c r="L2354" s="3101"/>
      <c r="M2354" s="2580"/>
      <c r="N2354" s="2582" t="str">
        <f t="shared" si="548"/>
        <v/>
      </c>
      <c r="O2354" s="2583"/>
      <c r="P2354" s="3102">
        <f>IFERROR(VLOOKUP(F2354,Trainingsarten!$A$9:$N$84,12,FALSE),"")</f>
        <v>194.60000000000002</v>
      </c>
      <c r="Q2354" s="3103" t="s">
        <v>437</v>
      </c>
      <c r="R2354" s="3104">
        <f>IFERROR(VLOOKUP(F2354,Trainingsarten!$A$9:$N$84,14,FALSE),"")</f>
        <v>212.96</v>
      </c>
      <c r="S2354" s="2390" t="str">
        <f t="shared" si="549"/>
        <v/>
      </c>
      <c r="T2354" s="1788">
        <f t="shared" si="550"/>
        <v>34.101238436293428</v>
      </c>
      <c r="U2354" s="1788">
        <f t="shared" si="551"/>
        <v>24.019108241914388</v>
      </c>
      <c r="V2354" s="1788">
        <f t="shared" si="552"/>
        <v>-4.9003664807064524</v>
      </c>
      <c r="W2354" s="3293">
        <f t="shared" si="553"/>
        <v>1.4197545592798189</v>
      </c>
      <c r="X2354" s="3324"/>
      <c r="Y2354" s="3356">
        <f t="shared" si="546"/>
        <v>0</v>
      </c>
      <c r="Z2354" s="3357">
        <f t="shared" si="554"/>
        <v>7.6949048273933871E-3</v>
      </c>
      <c r="AA2354" s="3357">
        <f t="shared" si="555"/>
        <v>7.3530816957461838</v>
      </c>
      <c r="AB2354" s="3358">
        <f t="shared" si="556"/>
        <v>1.04648705750746E-3</v>
      </c>
    </row>
    <row r="2355" spans="1:28" ht="16" thickBot="1" x14ac:dyDescent="0.25">
      <c r="A2355" s="3439">
        <f>WEEKNUM(C2355,1)</f>
        <v>24</v>
      </c>
      <c r="B2355" s="3440"/>
      <c r="C2355" s="2585">
        <v>45453</v>
      </c>
      <c r="D2355" s="2586"/>
      <c r="E2355" s="2587"/>
      <c r="F2355" s="2761" t="s">
        <v>944</v>
      </c>
      <c r="G2355" s="2588"/>
      <c r="H2355" s="2589">
        <f>IFERROR(VLOOKUP(F2355,Trainingsarten!$A$9:$K$84,10,FALSE),"")</f>
        <v>5.0855335173981304</v>
      </c>
      <c r="I2355" s="2590">
        <f t="shared" si="547"/>
        <v>0</v>
      </c>
      <c r="J2355" s="2591"/>
      <c r="K2355" s="2592">
        <f>IFERROR(VLOOKUP(F2355,Trainingsarten!$A$9:$K$84,11,FALSE),"0")</f>
        <v>36.125</v>
      </c>
      <c r="L2355" s="2815"/>
      <c r="M2355" s="2591"/>
      <c r="N2355" s="2593" t="str">
        <f t="shared" si="548"/>
        <v/>
      </c>
      <c r="O2355" s="2594"/>
      <c r="P2355" s="1919">
        <f>IFERROR(VLOOKUP(F2355,Trainingsarten!$A$9:$N$84,12,FALSE),"")</f>
        <v>194.60000000000002</v>
      </c>
      <c r="Q2355" s="2461" t="s">
        <v>437</v>
      </c>
      <c r="R2355" s="3089">
        <f>IFERROR(VLOOKUP(F2355,Trainingsarten!$A$9:$N$84,14,FALSE),"")</f>
        <v>212.96</v>
      </c>
      <c r="S2355" s="2595" t="str">
        <f t="shared" si="549"/>
        <v/>
      </c>
      <c r="T2355" s="2586">
        <f t="shared" si="550"/>
        <v>34.390347231108656</v>
      </c>
      <c r="U2355" s="2586">
        <f t="shared" si="551"/>
        <v>24.307343759964045</v>
      </c>
      <c r="V2355" s="2586">
        <f t="shared" si="552"/>
        <v>-10.08213019437904</v>
      </c>
      <c r="W2355" s="3283">
        <f t="shared" si="553"/>
        <v>1.4148130528252967</v>
      </c>
      <c r="X2355" s="3308"/>
      <c r="Y2355" s="3337">
        <f t="shared" si="546"/>
        <v>0</v>
      </c>
      <c r="Z2355" s="2586">
        <f t="shared" si="554"/>
        <v>6.5956327091943323E-3</v>
      </c>
      <c r="AA2355" s="2586">
        <f t="shared" si="555"/>
        <v>7.1780083220379414</v>
      </c>
      <c r="AB2355" s="2595">
        <f t="shared" si="556"/>
        <v>9.1886668464069652E-4</v>
      </c>
    </row>
    <row r="2356" spans="1:28" x14ac:dyDescent="0.2">
      <c r="A2356" s="2934" t="s">
        <v>626</v>
      </c>
      <c r="B2356" s="3004">
        <f>SUM(H2355:H2361)</f>
        <v>32.208378943521495</v>
      </c>
      <c r="C2356" s="2937">
        <v>45454</v>
      </c>
      <c r="D2356" s="3090"/>
      <c r="E2356" s="3091"/>
      <c r="F2356" s="2759" t="s">
        <v>944</v>
      </c>
      <c r="G2356" s="3092"/>
      <c r="H2356" s="3093">
        <f>IFERROR(VLOOKUP(F2356,Trainingsarten!$A$9:$K$84,10,FALSE),"")</f>
        <v>5.0855335173981304</v>
      </c>
      <c r="I2356" s="3094">
        <f t="shared" si="547"/>
        <v>0</v>
      </c>
      <c r="J2356" s="3095"/>
      <c r="K2356" s="3096">
        <f>IFERROR(VLOOKUP(F2356,Trainingsarten!$A$9:$K$84,11,FALSE),"0")</f>
        <v>36.125</v>
      </c>
      <c r="L2356" s="2816"/>
      <c r="M2356" s="3095"/>
      <c r="N2356" s="3097" t="str">
        <f t="shared" si="548"/>
        <v/>
      </c>
      <c r="O2356" s="3098"/>
      <c r="P2356" s="2897">
        <f>IFERROR(VLOOKUP(F2356,Trainingsarten!$A$9:$N$84,12,FALSE),"")</f>
        <v>194.60000000000002</v>
      </c>
      <c r="Q2356" s="2898" t="s">
        <v>437</v>
      </c>
      <c r="R2356" s="3099">
        <f>IFERROR(VLOOKUP(F2356,Trainingsarten!$A$9:$N$84,14,FALSE),"")</f>
        <v>212.96</v>
      </c>
      <c r="S2356" s="3100" t="str">
        <f t="shared" si="549"/>
        <v/>
      </c>
      <c r="T2356" s="3090">
        <f t="shared" si="550"/>
        <v>34.638154769521705</v>
      </c>
      <c r="U2356" s="3090">
        <f t="shared" si="551"/>
        <v>24.588716527583948</v>
      </c>
      <c r="V2356" s="3090">
        <f t="shared" si="552"/>
        <v>-10.083003471144611</v>
      </c>
      <c r="W2356" s="3284">
        <f t="shared" si="553"/>
        <v>1.4087012118206399</v>
      </c>
      <c r="X2356" s="3300"/>
      <c r="Y2356" s="3316">
        <f t="shared" si="546"/>
        <v>0</v>
      </c>
      <c r="Z2356" s="3338">
        <f t="shared" si="554"/>
        <v>5.653399465023713E-3</v>
      </c>
      <c r="AA2356" s="3338">
        <f t="shared" si="555"/>
        <v>7.0071033619894187</v>
      </c>
      <c r="AB2356" s="3339">
        <f t="shared" si="556"/>
        <v>8.0680977187963597E-4</v>
      </c>
    </row>
    <row r="2357" spans="1:28" x14ac:dyDescent="0.2">
      <c r="A2357" s="2935" t="s">
        <v>628</v>
      </c>
      <c r="B2357" s="3005">
        <f>SUM(K2355:K2361)</f>
        <v>228.79166666666669</v>
      </c>
      <c r="C2357" s="2937">
        <v>45455</v>
      </c>
      <c r="D2357" s="3090"/>
      <c r="E2357" s="3091"/>
      <c r="F2357" s="2759"/>
      <c r="G2357" s="3092"/>
      <c r="H2357" s="3093" t="str">
        <f>IFERROR(VLOOKUP(F2357,Trainingsarten!$A$9:$K$84,10,FALSE),"")</f>
        <v/>
      </c>
      <c r="I2357" s="3094" t="str">
        <f t="shared" si="547"/>
        <v/>
      </c>
      <c r="J2357" s="3095"/>
      <c r="K2357" s="3096" t="str">
        <f>IFERROR(VLOOKUP(F2357,Trainingsarten!$A$9:$K$84,11,FALSE),"0")</f>
        <v>0</v>
      </c>
      <c r="L2357" s="2816"/>
      <c r="M2357" s="3095"/>
      <c r="N2357" s="3097" t="str">
        <f t="shared" si="548"/>
        <v/>
      </c>
      <c r="O2357" s="3098"/>
      <c r="P2357" s="2897" t="str">
        <f>IFERROR(VLOOKUP(F2357,Trainingsarten!$A$9:$N$84,12,FALSE),"")</f>
        <v/>
      </c>
      <c r="Q2357" s="2898" t="s">
        <v>437</v>
      </c>
      <c r="R2357" s="3099" t="str">
        <f>IFERROR(VLOOKUP(F2357,Trainingsarten!$A$9:$N$84,14,FALSE),"")</f>
        <v/>
      </c>
      <c r="S2357" s="3100" t="str">
        <f t="shared" si="549"/>
        <v/>
      </c>
      <c r="T2357" s="3090">
        <f t="shared" si="550"/>
        <v>29.689846945304318</v>
      </c>
      <c r="U2357" s="3090">
        <f t="shared" si="551"/>
        <v>24.003270895974808</v>
      </c>
      <c r="V2357" s="3090">
        <f t="shared" si="552"/>
        <v>-10.049438241937757</v>
      </c>
      <c r="W2357" s="3284">
        <f t="shared" si="553"/>
        <v>1.2369083811108057</v>
      </c>
      <c r="X2357" s="3300"/>
      <c r="Y2357" s="3316" t="str">
        <f t="shared" si="546"/>
        <v/>
      </c>
      <c r="Z2357" s="3338">
        <f t="shared" si="554"/>
        <v>4.8457709700203255E-3</v>
      </c>
      <c r="AA2357" s="3338">
        <f t="shared" si="555"/>
        <v>6.8402675676563369</v>
      </c>
      <c r="AB2357" s="3339">
        <f t="shared" si="556"/>
        <v>7.0841833628455841E-4</v>
      </c>
    </row>
    <row r="2358" spans="1:28" x14ac:dyDescent="0.2">
      <c r="A2358" s="2935" t="s">
        <v>761</v>
      </c>
      <c r="B2358" s="3006">
        <f>AVERAGE(W2355:W2361)</f>
        <v>1.3166629275664208</v>
      </c>
      <c r="C2358" s="2937">
        <v>45456</v>
      </c>
      <c r="D2358" s="3090"/>
      <c r="E2358" s="3091"/>
      <c r="F2358" s="2759" t="s">
        <v>1466</v>
      </c>
      <c r="G2358" s="3092"/>
      <c r="H2358" s="3093">
        <f>IFERROR(VLOOKUP(F2358,Trainingsarten!$A$9:$K$84,10,FALSE),"")</f>
        <v>6.7807113565308406</v>
      </c>
      <c r="I2358" s="3094">
        <f t="shared" si="547"/>
        <v>0</v>
      </c>
      <c r="J2358" s="3095"/>
      <c r="K2358" s="3096">
        <f>IFERROR(VLOOKUP(F2358,Trainingsarten!$A$9:$K$84,11,FALSE),"0")</f>
        <v>48.166666666666671</v>
      </c>
      <c r="L2358" s="2816"/>
      <c r="M2358" s="3095"/>
      <c r="N2358" s="3097" t="str">
        <f t="shared" si="548"/>
        <v/>
      </c>
      <c r="O2358" s="3098"/>
      <c r="P2358" s="2897">
        <f>IFERROR(VLOOKUP(F2358,Trainingsarten!$A$9:$N$84,12,FALSE),"")</f>
        <v>194.60000000000002</v>
      </c>
      <c r="Q2358" s="2898" t="s">
        <v>437</v>
      </c>
      <c r="R2358" s="3099">
        <f>IFERROR(VLOOKUP(F2358,Trainingsarten!$A$9:$N$84,14,FALSE),"")</f>
        <v>212.96</v>
      </c>
      <c r="S2358" s="3100" t="str">
        <f t="shared" si="549"/>
        <v/>
      </c>
      <c r="T2358" s="3090">
        <f t="shared" si="550"/>
        <v>32.329392619784656</v>
      </c>
      <c r="U2358" s="3090">
        <f t="shared" si="551"/>
        <v>24.578589842896044</v>
      </c>
      <c r="V2358" s="3090">
        <f t="shared" si="552"/>
        <v>-5.6865760493295099</v>
      </c>
      <c r="W2358" s="3284">
        <f t="shared" si="553"/>
        <v>1.3153477407138079</v>
      </c>
      <c r="X2358" s="3300"/>
      <c r="Y2358" s="3316">
        <f t="shared" si="546"/>
        <v>0</v>
      </c>
      <c r="Z2358" s="3338">
        <f t="shared" si="554"/>
        <v>4.1535179743031362E-3</v>
      </c>
      <c r="AA2358" s="3338">
        <f t="shared" si="555"/>
        <v>6.6774040541407098</v>
      </c>
      <c r="AB2358" s="3339">
        <f t="shared" si="556"/>
        <v>6.2202585624985618E-4</v>
      </c>
    </row>
    <row r="2359" spans="1:28" x14ac:dyDescent="0.2">
      <c r="A2359" s="2935" t="s">
        <v>979</v>
      </c>
      <c r="B2359" s="3131" t="str">
        <f>IFERROR(AVERAGE(N2355:N2361),"")</f>
        <v/>
      </c>
      <c r="C2359" s="2937">
        <v>45457</v>
      </c>
      <c r="D2359" s="3090"/>
      <c r="E2359" s="3091"/>
      <c r="F2359" s="2775" t="s">
        <v>944</v>
      </c>
      <c r="G2359" s="3092"/>
      <c r="H2359" s="3093">
        <f>IFERROR(VLOOKUP(F2359,Trainingsarten!$A$9:$K$84,10,FALSE),"")</f>
        <v>5.0855335173981304</v>
      </c>
      <c r="I2359" s="3094">
        <f t="shared" si="547"/>
        <v>0</v>
      </c>
      <c r="J2359" s="3095"/>
      <c r="K2359" s="3096">
        <f>IFERROR(VLOOKUP(F2359,Trainingsarten!$A$9:$K$84,11,FALSE),"0")</f>
        <v>36.125</v>
      </c>
      <c r="L2359" s="2816"/>
      <c r="M2359" s="3095"/>
      <c r="N2359" s="3097" t="str">
        <f t="shared" si="548"/>
        <v/>
      </c>
      <c r="O2359" s="3098"/>
      <c r="P2359" s="2897">
        <f>IFERROR(VLOOKUP(F2359,Trainingsarten!$A$9:$N$84,12,FALSE),"")</f>
        <v>194.60000000000002</v>
      </c>
      <c r="Q2359" s="2898" t="s">
        <v>437</v>
      </c>
      <c r="R2359" s="3099">
        <f>IFERROR(VLOOKUP(F2359,Trainingsarten!$A$9:$N$84,14,FALSE),"")</f>
        <v>212.96</v>
      </c>
      <c r="S2359" s="3100" t="str">
        <f t="shared" si="549"/>
        <v/>
      </c>
      <c r="T2359" s="3090">
        <f t="shared" si="550"/>
        <v>32.871622245529707</v>
      </c>
      <c r="U2359" s="3090">
        <f t="shared" si="551"/>
        <v>24.853504370446139</v>
      </c>
      <c r="V2359" s="3090">
        <f t="shared" si="552"/>
        <v>-7.7508027768886123</v>
      </c>
      <c r="W2359" s="3284">
        <f t="shared" si="553"/>
        <v>1.3226151835802316</v>
      </c>
      <c r="X2359" s="3300"/>
      <c r="Y2359" s="3316">
        <f t="shared" si="546"/>
        <v>0</v>
      </c>
      <c r="Z2359" s="3338">
        <f t="shared" si="554"/>
        <v>3.5601582636884026E-3</v>
      </c>
      <c r="AA2359" s="3338">
        <f t="shared" si="555"/>
        <v>6.5184182433278357</v>
      </c>
      <c r="AB2359" s="3339">
        <f t="shared" si="556"/>
        <v>5.4616904451206894E-4</v>
      </c>
    </row>
    <row r="2360" spans="1:28" x14ac:dyDescent="0.2">
      <c r="A2360" s="2935" t="s">
        <v>980</v>
      </c>
      <c r="B2360" s="3006" t="str">
        <f>IFERROR(AVERAGE(S2355:S2361),"")</f>
        <v/>
      </c>
      <c r="C2360" s="2937">
        <v>45458</v>
      </c>
      <c r="D2360" s="3090"/>
      <c r="E2360" s="3091"/>
      <c r="F2360" s="2889"/>
      <c r="G2360" s="3092"/>
      <c r="H2360" s="3093" t="str">
        <f>IFERROR(VLOOKUP(F2360,Trainingsarten!$A$9:$K$84,10,FALSE),"")</f>
        <v/>
      </c>
      <c r="I2360" s="3094" t="str">
        <f t="shared" si="547"/>
        <v/>
      </c>
      <c r="J2360" s="3095"/>
      <c r="K2360" s="3096" t="str">
        <f>IFERROR(VLOOKUP(F2360,Trainingsarten!$A$9:$K$84,11,FALSE),"0")</f>
        <v>0</v>
      </c>
      <c r="L2360" s="2816"/>
      <c r="M2360" s="3095"/>
      <c r="N2360" s="3097" t="str">
        <f t="shared" si="548"/>
        <v/>
      </c>
      <c r="O2360" s="3098"/>
      <c r="P2360" s="2897" t="str">
        <f>IFERROR(VLOOKUP(F2360,Trainingsarten!$A$9:$N$84,12,FALSE),"")</f>
        <v/>
      </c>
      <c r="Q2360" s="2898" t="s">
        <v>437</v>
      </c>
      <c r="R2360" s="3099" t="str">
        <f>IFERROR(VLOOKUP(F2360,Trainingsarten!$A$9:$N$84,14,FALSE),"")</f>
        <v/>
      </c>
      <c r="S2360" s="3100" t="str">
        <f t="shared" si="549"/>
        <v/>
      </c>
      <c r="T2360" s="3090">
        <f t="shared" si="550"/>
        <v>28.175676210454036</v>
      </c>
      <c r="U2360" s="3090">
        <f t="shared" si="551"/>
        <v>24.261754266387896</v>
      </c>
      <c r="V2360" s="3090">
        <f t="shared" si="552"/>
        <v>-8.0181178750835684</v>
      </c>
      <c r="W2360" s="3284">
        <f t="shared" si="553"/>
        <v>1.1613206489972765</v>
      </c>
      <c r="X2360" s="3300"/>
      <c r="Y2360" s="3316" t="str">
        <f t="shared" si="546"/>
        <v/>
      </c>
      <c r="Z2360" s="3338">
        <f t="shared" si="554"/>
        <v>3.0515642260186306E-3</v>
      </c>
      <c r="AA2360" s="3338">
        <f t="shared" si="555"/>
        <v>6.3632178089628875</v>
      </c>
      <c r="AB2360" s="3339">
        <f t="shared" si="556"/>
        <v>4.7956306347401165E-4</v>
      </c>
    </row>
    <row r="2361" spans="1:28" ht="16" thickBot="1" x14ac:dyDescent="0.25">
      <c r="A2361" s="2936" t="s">
        <v>183</v>
      </c>
      <c r="B2361" s="3003">
        <f>IFERROR(SUM(M2355:M2361),"")</f>
        <v>0</v>
      </c>
      <c r="C2361" s="2576">
        <v>45459</v>
      </c>
      <c r="D2361" s="1788"/>
      <c r="E2361" s="1789"/>
      <c r="F2361" s="2763" t="s">
        <v>819</v>
      </c>
      <c r="G2361" s="2577"/>
      <c r="H2361" s="2578">
        <f>IFERROR(VLOOKUP(F2361,Trainingsarten!$A$9:$K$84,10,FALSE),"")</f>
        <v>10.171067034796261</v>
      </c>
      <c r="I2361" s="2579">
        <f t="shared" si="547"/>
        <v>0</v>
      </c>
      <c r="J2361" s="2580"/>
      <c r="K2361" s="2581">
        <f>IFERROR(VLOOKUP(F2361,Trainingsarten!$A$9:$K$84,11,FALSE),"0")</f>
        <v>72.25</v>
      </c>
      <c r="L2361" s="3101"/>
      <c r="M2361" s="2580"/>
      <c r="N2361" s="2582" t="str">
        <f t="shared" si="548"/>
        <v/>
      </c>
      <c r="O2361" s="2583"/>
      <c r="P2361" s="3102">
        <f>IFERROR(VLOOKUP(F2361,Trainingsarten!$A$9:$N$84,12,FALSE),"")</f>
        <v>194.60000000000002</v>
      </c>
      <c r="Q2361" s="3103" t="s">
        <v>437</v>
      </c>
      <c r="R2361" s="3104">
        <f>IFERROR(VLOOKUP(F2361,Trainingsarten!$A$9:$N$84,14,FALSE),"")</f>
        <v>212.96</v>
      </c>
      <c r="S2361" s="2390" t="str">
        <f t="shared" si="549"/>
        <v/>
      </c>
      <c r="T2361" s="1788">
        <f t="shared" si="550"/>
        <v>34.472008180389174</v>
      </c>
      <c r="U2361" s="1788">
        <f t="shared" si="551"/>
        <v>25.404331545759614</v>
      </c>
      <c r="V2361" s="1788">
        <f t="shared" si="552"/>
        <v>-3.9139219440661392</v>
      </c>
      <c r="W2361" s="3293">
        <f t="shared" si="553"/>
        <v>1.3569342739168864</v>
      </c>
      <c r="X2361" s="3309"/>
      <c r="Y2361" s="3340">
        <f t="shared" si="546"/>
        <v>0</v>
      </c>
      <c r="Z2361" s="3314">
        <f t="shared" si="554"/>
        <v>2.6156264794445403E-3</v>
      </c>
      <c r="AA2361" s="3314">
        <f t="shared" si="555"/>
        <v>6.2117126230351998</v>
      </c>
      <c r="AB2361" s="2846">
        <f t="shared" si="556"/>
        <v>4.2107976305035168E-4</v>
      </c>
    </row>
    <row r="2362" spans="1:28" ht="16" thickBot="1" x14ac:dyDescent="0.25">
      <c r="A2362" s="3439">
        <f>WEEKNUM(C2362,1)</f>
        <v>25</v>
      </c>
      <c r="B2362" s="3440"/>
      <c r="C2362" s="2585">
        <v>45460</v>
      </c>
      <c r="D2362" s="2586"/>
      <c r="E2362" s="2587"/>
      <c r="F2362" s="2761" t="s">
        <v>944</v>
      </c>
      <c r="G2362" s="2588"/>
      <c r="H2362" s="2589">
        <f>IFERROR(VLOOKUP(F2362,Trainingsarten!$A$9:$K$84,10,FALSE),"")</f>
        <v>5.0855335173981304</v>
      </c>
      <c r="I2362" s="2590">
        <f t="shared" si="547"/>
        <v>0</v>
      </c>
      <c r="J2362" s="2591"/>
      <c r="K2362" s="2592">
        <f>IFERROR(VLOOKUP(F2362,Trainingsarten!$A$9:$K$84,11,FALSE),"0")</f>
        <v>36.125</v>
      </c>
      <c r="L2362" s="2815"/>
      <c r="M2362" s="2591"/>
      <c r="N2362" s="2593" t="str">
        <f t="shared" si="548"/>
        <v/>
      </c>
      <c r="O2362" s="2594"/>
      <c r="P2362" s="1919">
        <f>IFERROR(VLOOKUP(F2362,Trainingsarten!$A$9:$N$84,12,FALSE),"")</f>
        <v>194.60000000000002</v>
      </c>
      <c r="Q2362" s="2461" t="s">
        <v>437</v>
      </c>
      <c r="R2362" s="3089">
        <f>IFERROR(VLOOKUP(F2362,Trainingsarten!$A$9:$N$84,14,FALSE),"")</f>
        <v>212.96</v>
      </c>
      <c r="S2362" s="2595" t="str">
        <f t="shared" si="549"/>
        <v/>
      </c>
      <c r="T2362" s="2586">
        <f t="shared" si="550"/>
        <v>34.708149868905004</v>
      </c>
      <c r="U2362" s="2586">
        <f t="shared" si="551"/>
        <v>25.659585556574861</v>
      </c>
      <c r="V2362" s="2586">
        <f t="shared" si="552"/>
        <v>-9.0676766346295601</v>
      </c>
      <c r="W2362" s="3283">
        <f t="shared" si="553"/>
        <v>1.3526387553056791</v>
      </c>
      <c r="X2362" s="3298"/>
      <c r="Y2362" s="3315">
        <f t="shared" si="546"/>
        <v>0</v>
      </c>
      <c r="Z2362" s="1111">
        <f t="shared" si="554"/>
        <v>2.2419655538096061E-3</v>
      </c>
      <c r="AA2362" s="1111">
        <f t="shared" si="555"/>
        <v>6.0638147034391237</v>
      </c>
      <c r="AB2362" s="2449">
        <f t="shared" si="556"/>
        <v>3.6972857243445514E-4</v>
      </c>
    </row>
    <row r="2363" spans="1:28" x14ac:dyDescent="0.2">
      <c r="A2363" s="2934" t="s">
        <v>626</v>
      </c>
      <c r="B2363" s="3004">
        <f>SUM(H2362:H2368)</f>
        <v>32.208378943521495</v>
      </c>
      <c r="C2363" s="2937">
        <v>45461</v>
      </c>
      <c r="D2363" s="3090"/>
      <c r="E2363" s="3091"/>
      <c r="F2363" s="2759" t="s">
        <v>944</v>
      </c>
      <c r="G2363" s="3092"/>
      <c r="H2363" s="3093">
        <f>IFERROR(VLOOKUP(F2363,Trainingsarten!$A$9:$K$84,10,FALSE),"")</f>
        <v>5.0855335173981304</v>
      </c>
      <c r="I2363" s="3094">
        <f t="shared" si="547"/>
        <v>0</v>
      </c>
      <c r="J2363" s="3095"/>
      <c r="K2363" s="3096">
        <f>IFERROR(VLOOKUP(F2363,Trainingsarten!$A$9:$K$84,11,FALSE),"0")</f>
        <v>36.125</v>
      </c>
      <c r="L2363" s="2816"/>
      <c r="M2363" s="3095"/>
      <c r="N2363" s="3097" t="str">
        <f t="shared" si="548"/>
        <v/>
      </c>
      <c r="O2363" s="3098"/>
      <c r="P2363" s="2897">
        <f>IFERROR(VLOOKUP(F2363,Trainingsarten!$A$9:$N$84,12,FALSE),"")</f>
        <v>194.60000000000002</v>
      </c>
      <c r="Q2363" s="2898" t="s">
        <v>437</v>
      </c>
      <c r="R2363" s="3099">
        <f>IFERROR(VLOOKUP(F2363,Trainingsarten!$A$9:$N$84,14,FALSE),"")</f>
        <v>212.96</v>
      </c>
      <c r="S2363" s="3100" t="str">
        <f t="shared" si="549"/>
        <v/>
      </c>
      <c r="T2363" s="3090">
        <f t="shared" si="550"/>
        <v>34.910557030490004</v>
      </c>
      <c r="U2363" s="3090">
        <f t="shared" si="551"/>
        <v>25.908762090942126</v>
      </c>
      <c r="V2363" s="3090">
        <f t="shared" si="552"/>
        <v>-9.0485643123301429</v>
      </c>
      <c r="W2363" s="3284">
        <f t="shared" si="553"/>
        <v>1.3474421088877482</v>
      </c>
      <c r="X2363" s="3300"/>
      <c r="Y2363" s="3316">
        <f t="shared" si="546"/>
        <v>0</v>
      </c>
      <c r="Z2363" s="2597">
        <f t="shared" si="554"/>
        <v>1.9216847604082337E-3</v>
      </c>
      <c r="AA2363" s="2597">
        <f t="shared" si="555"/>
        <v>5.9194381628810495</v>
      </c>
      <c r="AB2363" s="3325">
        <f t="shared" si="556"/>
        <v>3.2463972213757033E-4</v>
      </c>
    </row>
    <row r="2364" spans="1:28" x14ac:dyDescent="0.2">
      <c r="A2364" s="2935" t="s">
        <v>628</v>
      </c>
      <c r="B2364" s="3005">
        <f>SUM(K2362:K2368)</f>
        <v>228.79166666666669</v>
      </c>
      <c r="C2364" s="2937">
        <v>45462</v>
      </c>
      <c r="D2364" s="3090"/>
      <c r="E2364" s="3091"/>
      <c r="F2364" s="2759"/>
      <c r="G2364" s="3092"/>
      <c r="H2364" s="3093" t="str">
        <f>IFERROR(VLOOKUP(F2364,Trainingsarten!$A$9:$K$84,10,FALSE),"")</f>
        <v/>
      </c>
      <c r="I2364" s="3094" t="str">
        <f t="shared" si="547"/>
        <v/>
      </c>
      <c r="J2364" s="3095"/>
      <c r="K2364" s="3096" t="str">
        <f>IFERROR(VLOOKUP(F2364,Trainingsarten!$A$9:$K$84,11,FALSE),"0")</f>
        <v>0</v>
      </c>
      <c r="L2364" s="2816"/>
      <c r="M2364" s="3095"/>
      <c r="N2364" s="3097" t="str">
        <f t="shared" si="548"/>
        <v/>
      </c>
      <c r="O2364" s="3098"/>
      <c r="P2364" s="2897" t="str">
        <f>IFERROR(VLOOKUP(F2364,Trainingsarten!$A$9:$N$84,12,FALSE),"")</f>
        <v/>
      </c>
      <c r="Q2364" s="2898" t="s">
        <v>437</v>
      </c>
      <c r="R2364" s="3099" t="str">
        <f>IFERROR(VLOOKUP(F2364,Trainingsarten!$A$9:$N$84,14,FALSE),"")</f>
        <v/>
      </c>
      <c r="S2364" s="3100" t="str">
        <f t="shared" si="549"/>
        <v/>
      </c>
      <c r="T2364" s="3090">
        <f t="shared" si="550"/>
        <v>29.92333459756286</v>
      </c>
      <c r="U2364" s="3090">
        <f t="shared" si="551"/>
        <v>25.291886803062553</v>
      </c>
      <c r="V2364" s="3090">
        <f t="shared" si="552"/>
        <v>-9.001794939547878</v>
      </c>
      <c r="W2364" s="3284">
        <f t="shared" si="553"/>
        <v>1.1831199004868032</v>
      </c>
      <c r="X2364" s="3300"/>
      <c r="Y2364" s="3316" t="str">
        <f t="shared" si="546"/>
        <v/>
      </c>
      <c r="Z2364" s="2597">
        <f t="shared" si="554"/>
        <v>1.6471583660642003E-3</v>
      </c>
      <c r="AA2364" s="2597">
        <f t="shared" si="555"/>
        <v>5.7784991590029291</v>
      </c>
      <c r="AB2364" s="3325">
        <f t="shared" si="556"/>
        <v>2.8504951212079347E-4</v>
      </c>
    </row>
    <row r="2365" spans="1:28" x14ac:dyDescent="0.2">
      <c r="A2365" s="2935" t="s">
        <v>761</v>
      </c>
      <c r="B2365" s="3006">
        <f>AVERAGE(W2362:W2368)</f>
        <v>1.2605021535319652</v>
      </c>
      <c r="C2365" s="2937">
        <v>45463</v>
      </c>
      <c r="D2365" s="3090"/>
      <c r="E2365" s="3091"/>
      <c r="F2365" s="2759" t="s">
        <v>1466</v>
      </c>
      <c r="G2365" s="3092"/>
      <c r="H2365" s="3093">
        <f>IFERROR(VLOOKUP(F2365,Trainingsarten!$A$9:$K$84,10,FALSE),"")</f>
        <v>6.7807113565308406</v>
      </c>
      <c r="I2365" s="3094">
        <f t="shared" si="547"/>
        <v>0</v>
      </c>
      <c r="J2365" s="3095"/>
      <c r="K2365" s="3096">
        <f>IFERROR(VLOOKUP(F2365,Trainingsarten!$A$9:$K$84,11,FALSE),"0")</f>
        <v>48.166666666666671</v>
      </c>
      <c r="L2365" s="2816"/>
      <c r="M2365" s="3095"/>
      <c r="N2365" s="3097" t="str">
        <f t="shared" si="548"/>
        <v/>
      </c>
      <c r="O2365" s="3098"/>
      <c r="P2365" s="2897">
        <f>IFERROR(VLOOKUP(F2365,Trainingsarten!$A$9:$N$84,12,FALSE),"")</f>
        <v>194.60000000000002</v>
      </c>
      <c r="Q2365" s="2898" t="s">
        <v>437</v>
      </c>
      <c r="R2365" s="3099">
        <f>IFERROR(VLOOKUP(F2365,Trainingsarten!$A$9:$N$84,14,FALSE),"")</f>
        <v>212.96</v>
      </c>
      <c r="S2365" s="3100" t="str">
        <f t="shared" si="549"/>
        <v/>
      </c>
      <c r="T2365" s="3090">
        <f t="shared" si="550"/>
        <v>32.529524893149116</v>
      </c>
      <c r="U2365" s="3090">
        <f t="shared" si="551"/>
        <v>25.836524418862652</v>
      </c>
      <c r="V2365" s="3090">
        <f t="shared" si="552"/>
        <v>-4.631447794500307</v>
      </c>
      <c r="W2365" s="3284">
        <f t="shared" si="553"/>
        <v>1.2590518897116076</v>
      </c>
      <c r="X2365" s="3300"/>
      <c r="Y2365" s="3316">
        <f t="shared" si="546"/>
        <v>0</v>
      </c>
      <c r="Z2365" s="2597">
        <f t="shared" si="554"/>
        <v>1.4118500280550289E-3</v>
      </c>
      <c r="AA2365" s="2597">
        <f t="shared" si="555"/>
        <v>5.6409158456933355</v>
      </c>
      <c r="AB2365" s="3325">
        <f t="shared" si="556"/>
        <v>2.5028737649630649E-4</v>
      </c>
    </row>
    <row r="2366" spans="1:28" x14ac:dyDescent="0.2">
      <c r="A2366" s="2935" t="s">
        <v>979</v>
      </c>
      <c r="B2366" s="3131" t="str">
        <f>IFERROR(AVERAGE(N2362:N2368),"")</f>
        <v/>
      </c>
      <c r="C2366" s="2937">
        <v>45464</v>
      </c>
      <c r="D2366" s="3090"/>
      <c r="E2366" s="3091"/>
      <c r="F2366" s="2775" t="s">
        <v>944</v>
      </c>
      <c r="G2366" s="3092"/>
      <c r="H2366" s="3093">
        <f>IFERROR(VLOOKUP(F2366,Trainingsarten!$A$9:$K$84,10,FALSE),"")</f>
        <v>5.0855335173981304</v>
      </c>
      <c r="I2366" s="3094">
        <f t="shared" si="547"/>
        <v>0</v>
      </c>
      <c r="J2366" s="3095"/>
      <c r="K2366" s="3096">
        <f>IFERROR(VLOOKUP(F2366,Trainingsarten!$A$9:$K$84,11,FALSE),"0")</f>
        <v>36.125</v>
      </c>
      <c r="L2366" s="2816"/>
      <c r="M2366" s="3095"/>
      <c r="N2366" s="3097" t="str">
        <f t="shared" si="548"/>
        <v/>
      </c>
      <c r="O2366" s="3098"/>
      <c r="P2366" s="2897">
        <f>IFERROR(VLOOKUP(F2366,Trainingsarten!$A$9:$N$84,12,FALSE),"")</f>
        <v>194.60000000000002</v>
      </c>
      <c r="Q2366" s="2898" t="s">
        <v>437</v>
      </c>
      <c r="R2366" s="3099">
        <f>IFERROR(VLOOKUP(F2366,Trainingsarten!$A$9:$N$84,14,FALSE),"")</f>
        <v>212.96</v>
      </c>
      <c r="S2366" s="3100" t="str">
        <f t="shared" si="549"/>
        <v/>
      </c>
      <c r="T2366" s="3090">
        <f t="shared" si="550"/>
        <v>33.043164194127812</v>
      </c>
      <c r="U2366" s="3090">
        <f t="shared" si="551"/>
        <v>26.081488123175447</v>
      </c>
      <c r="V2366" s="3090">
        <f t="shared" si="552"/>
        <v>-6.6930004742864639</v>
      </c>
      <c r="W2366" s="3284">
        <f t="shared" si="553"/>
        <v>1.2669202017183356</v>
      </c>
      <c r="X2366" s="3300"/>
      <c r="Y2366" s="3316">
        <f t="shared" si="546"/>
        <v>0</v>
      </c>
      <c r="Z2366" s="2597">
        <f t="shared" si="554"/>
        <v>1.2101571669043104E-3</v>
      </c>
      <c r="AA2366" s="2597">
        <f t="shared" si="555"/>
        <v>5.5066083255577798</v>
      </c>
      <c r="AB2366" s="3325">
        <f t="shared" si="556"/>
        <v>2.1976452570407397E-4</v>
      </c>
    </row>
    <row r="2367" spans="1:28" x14ac:dyDescent="0.2">
      <c r="A2367" s="2935" t="s">
        <v>980</v>
      </c>
      <c r="B2367" s="3006" t="str">
        <f>IFERROR(AVERAGE(S2362:S2368),"")</f>
        <v/>
      </c>
      <c r="C2367" s="2937">
        <v>45465</v>
      </c>
      <c r="D2367" s="3090"/>
      <c r="E2367" s="3091"/>
      <c r="F2367" s="2889"/>
      <c r="G2367" s="3092"/>
      <c r="H2367" s="3093" t="str">
        <f>IFERROR(VLOOKUP(F2367,Trainingsarten!$A$9:$K$84,10,FALSE),"")</f>
        <v/>
      </c>
      <c r="I2367" s="3094" t="str">
        <f t="shared" si="547"/>
        <v/>
      </c>
      <c r="J2367" s="3095"/>
      <c r="K2367" s="3096" t="str">
        <f>IFERROR(VLOOKUP(F2367,Trainingsarten!$A$9:$K$84,11,FALSE),"0")</f>
        <v>0</v>
      </c>
      <c r="L2367" s="2816"/>
      <c r="M2367" s="3095"/>
      <c r="N2367" s="3097" t="str">
        <f t="shared" si="548"/>
        <v/>
      </c>
      <c r="O2367" s="3098"/>
      <c r="P2367" s="2897" t="str">
        <f>IFERROR(VLOOKUP(F2367,Trainingsarten!$A$9:$N$84,12,FALSE),"")</f>
        <v/>
      </c>
      <c r="Q2367" s="2898" t="s">
        <v>437</v>
      </c>
      <c r="R2367" s="3099" t="str">
        <f>IFERROR(VLOOKUP(F2367,Trainingsarten!$A$9:$N$84,14,FALSE),"")</f>
        <v/>
      </c>
      <c r="S2367" s="3100" t="str">
        <f t="shared" si="549"/>
        <v/>
      </c>
      <c r="T2367" s="3090">
        <f t="shared" si="550"/>
        <v>28.322712166395267</v>
      </c>
      <c r="U2367" s="3090">
        <f t="shared" si="551"/>
        <v>25.460500310718889</v>
      </c>
      <c r="V2367" s="3090">
        <f t="shared" si="552"/>
        <v>-6.9616760709523646</v>
      </c>
      <c r="W2367" s="3284">
        <f t="shared" si="553"/>
        <v>1.1124177380941482</v>
      </c>
      <c r="X2367" s="3300"/>
      <c r="Y2367" s="3316" t="str">
        <f t="shared" si="546"/>
        <v/>
      </c>
      <c r="Z2367" s="2597">
        <f t="shared" si="554"/>
        <v>1.0372775716322661E-3</v>
      </c>
      <c r="AA2367" s="2597">
        <f t="shared" si="555"/>
        <v>5.3754986035206898</v>
      </c>
      <c r="AB2367" s="3325">
        <f t="shared" si="556"/>
        <v>1.92963973788943E-4</v>
      </c>
    </row>
    <row r="2368" spans="1:28" ht="16" thickBot="1" x14ac:dyDescent="0.25">
      <c r="A2368" s="2936" t="s">
        <v>183</v>
      </c>
      <c r="B2368" s="3003">
        <f>IFERROR(SUM(M2362:M2368),"")</f>
        <v>0</v>
      </c>
      <c r="C2368" s="2576">
        <v>45466</v>
      </c>
      <c r="D2368" s="1788"/>
      <c r="E2368" s="1789"/>
      <c r="F2368" s="2763" t="s">
        <v>819</v>
      </c>
      <c r="G2368" s="2577"/>
      <c r="H2368" s="2578">
        <f>IFERROR(VLOOKUP(F2368,Trainingsarten!$A$9:$K$84,10,FALSE),"")</f>
        <v>10.171067034796261</v>
      </c>
      <c r="I2368" s="2579">
        <f t="shared" si="547"/>
        <v>0</v>
      </c>
      <c r="J2368" s="2580"/>
      <c r="K2368" s="2581">
        <f>IFERROR(VLOOKUP(F2368,Trainingsarten!$A$9:$K$84,11,FALSE),"0")</f>
        <v>72.25</v>
      </c>
      <c r="L2368" s="3101"/>
      <c r="M2368" s="2580"/>
      <c r="N2368" s="2582" t="str">
        <f t="shared" si="548"/>
        <v/>
      </c>
      <c r="O2368" s="2583"/>
      <c r="P2368" s="3102">
        <f>IFERROR(VLOOKUP(F2368,Trainingsarten!$A$9:$N$84,12,FALSE),"")</f>
        <v>194.60000000000002</v>
      </c>
      <c r="Q2368" s="3103" t="s">
        <v>437</v>
      </c>
      <c r="R2368" s="3104">
        <f>IFERROR(VLOOKUP(F2368,Trainingsarten!$A$9:$N$84,14,FALSE),"")</f>
        <v>212.96</v>
      </c>
      <c r="S2368" s="2390" t="str">
        <f t="shared" si="549"/>
        <v/>
      </c>
      <c r="T2368" s="1788">
        <f t="shared" si="550"/>
        <v>34.598038999767368</v>
      </c>
      <c r="U2368" s="1788">
        <f t="shared" si="551"/>
        <v>26.574536017606533</v>
      </c>
      <c r="V2368" s="1788">
        <f t="shared" si="552"/>
        <v>-2.862211855676378</v>
      </c>
      <c r="W2368" s="3293">
        <f t="shared" si="553"/>
        <v>1.3019244805194339</v>
      </c>
      <c r="X2368" s="3324"/>
      <c r="Y2368" s="3356">
        <f t="shared" si="546"/>
        <v>0</v>
      </c>
      <c r="Z2368" s="3357">
        <f t="shared" si="554"/>
        <v>8.8909506139908526E-4</v>
      </c>
      <c r="AA2368" s="3357">
        <f t="shared" si="555"/>
        <v>5.2475105415321019</v>
      </c>
      <c r="AB2368" s="3358">
        <f t="shared" si="556"/>
        <v>1.6943178186346216E-4</v>
      </c>
    </row>
    <row r="2369" spans="1:28" ht="16" thickBot="1" x14ac:dyDescent="0.25">
      <c r="A2369" s="3439">
        <f>WEEKNUM(C2369,1)</f>
        <v>26</v>
      </c>
      <c r="B2369" s="3440"/>
      <c r="C2369" s="2585">
        <v>45467</v>
      </c>
      <c r="D2369" s="2586"/>
      <c r="E2369" s="2587"/>
      <c r="F2369" s="2761" t="s">
        <v>944</v>
      </c>
      <c r="G2369" s="2588"/>
      <c r="H2369" s="2589">
        <f>IFERROR(VLOOKUP(F2369,Trainingsarten!$A$9:$K$84,10,FALSE),"")</f>
        <v>5.0855335173981304</v>
      </c>
      <c r="I2369" s="2590">
        <f t="shared" si="547"/>
        <v>0</v>
      </c>
      <c r="J2369" s="2591"/>
      <c r="K2369" s="2592">
        <f>IFERROR(VLOOKUP(F2369,Trainingsarten!$A$9:$K$84,11,FALSE),"0")</f>
        <v>36.125</v>
      </c>
      <c r="L2369" s="2815"/>
      <c r="M2369" s="2591"/>
      <c r="N2369" s="2593" t="str">
        <f t="shared" si="548"/>
        <v/>
      </c>
      <c r="O2369" s="2594"/>
      <c r="P2369" s="1919">
        <f>IFERROR(VLOOKUP(F2369,Trainingsarten!$A$9:$N$84,12,FALSE),"")</f>
        <v>194.60000000000002</v>
      </c>
      <c r="Q2369" s="2461" t="s">
        <v>437</v>
      </c>
      <c r="R2369" s="3089">
        <f>IFERROR(VLOOKUP(F2369,Trainingsarten!$A$9:$N$84,14,FALSE),"")</f>
        <v>212.96</v>
      </c>
      <c r="S2369" s="2595" t="str">
        <f t="shared" si="549"/>
        <v/>
      </c>
      <c r="T2369" s="2586">
        <f t="shared" si="550"/>
        <v>34.816176285514885</v>
      </c>
      <c r="U2369" s="2586">
        <f t="shared" si="551"/>
        <v>26.801928017187329</v>
      </c>
      <c r="V2369" s="2586">
        <f t="shared" si="552"/>
        <v>-8.023502982160835</v>
      </c>
      <c r="W2369" s="3283">
        <f t="shared" si="553"/>
        <v>1.2990176028824585</v>
      </c>
      <c r="X2369" s="3308"/>
      <c r="Y2369" s="3337">
        <f t="shared" si="546"/>
        <v>0</v>
      </c>
      <c r="Z2369" s="2586">
        <f t="shared" si="554"/>
        <v>7.6208148119921596E-4</v>
      </c>
      <c r="AA2369" s="2586">
        <f t="shared" si="555"/>
        <v>5.122569814352766</v>
      </c>
      <c r="AB2369" s="2595">
        <f t="shared" si="556"/>
        <v>1.4876936944108874E-4</v>
      </c>
    </row>
    <row r="2370" spans="1:28" x14ac:dyDescent="0.2">
      <c r="A2370" s="2934" t="s">
        <v>626</v>
      </c>
      <c r="B2370" s="3004">
        <f>SUM(H2369:H2375)</f>
        <v>32.208378943521495</v>
      </c>
      <c r="C2370" s="2937">
        <v>45468</v>
      </c>
      <c r="D2370" s="3090"/>
      <c r="E2370" s="3091"/>
      <c r="F2370" s="2759" t="s">
        <v>944</v>
      </c>
      <c r="G2370" s="3092"/>
      <c r="H2370" s="3093">
        <f>IFERROR(VLOOKUP(F2370,Trainingsarten!$A$9:$K$84,10,FALSE),"")</f>
        <v>5.0855335173981304</v>
      </c>
      <c r="I2370" s="3094">
        <f t="shared" si="547"/>
        <v>0</v>
      </c>
      <c r="J2370" s="3095"/>
      <c r="K2370" s="3096">
        <f>IFERROR(VLOOKUP(F2370,Trainingsarten!$A$9:$K$84,11,FALSE),"0")</f>
        <v>36.125</v>
      </c>
      <c r="L2370" s="2816"/>
      <c r="M2370" s="3095"/>
      <c r="N2370" s="3097" t="str">
        <f t="shared" si="548"/>
        <v/>
      </c>
      <c r="O2370" s="3098"/>
      <c r="P2370" s="2897">
        <f>IFERROR(VLOOKUP(F2370,Trainingsarten!$A$9:$N$84,12,FALSE),"")</f>
        <v>194.60000000000002</v>
      </c>
      <c r="Q2370" s="2898" t="s">
        <v>437</v>
      </c>
      <c r="R2370" s="3099">
        <f>IFERROR(VLOOKUP(F2370,Trainingsarten!$A$9:$N$84,14,FALSE),"")</f>
        <v>212.96</v>
      </c>
      <c r="S2370" s="3100" t="str">
        <f t="shared" si="549"/>
        <v/>
      </c>
      <c r="T2370" s="3090">
        <f t="shared" si="550"/>
        <v>35.003151101869904</v>
      </c>
      <c r="U2370" s="3090">
        <f t="shared" si="551"/>
        <v>27.023905921540013</v>
      </c>
      <c r="V2370" s="3090">
        <f t="shared" si="552"/>
        <v>-8.014248268327556</v>
      </c>
      <c r="W2370" s="3284">
        <f t="shared" si="553"/>
        <v>1.295266169276065</v>
      </c>
      <c r="X2370" s="3300"/>
      <c r="Y2370" s="3316">
        <f t="shared" si="546"/>
        <v>0</v>
      </c>
      <c r="Z2370" s="3338">
        <f t="shared" si="554"/>
        <v>6.5321269817075658E-4</v>
      </c>
      <c r="AA2370" s="3338">
        <f t="shared" si="555"/>
        <v>5.0006038663919856</v>
      </c>
      <c r="AB2370" s="3339">
        <f t="shared" si="556"/>
        <v>1.3062676341168769E-4</v>
      </c>
    </row>
    <row r="2371" spans="1:28" x14ac:dyDescent="0.2">
      <c r="A2371" s="2935" t="s">
        <v>628</v>
      </c>
      <c r="B2371" s="3005">
        <f>SUM(K2369:K2375)</f>
        <v>228.79166666666669</v>
      </c>
      <c r="C2371" s="2937">
        <v>45469</v>
      </c>
      <c r="D2371" s="3090"/>
      <c r="E2371" s="3091"/>
      <c r="F2371" s="2759"/>
      <c r="G2371" s="3092"/>
      <c r="H2371" s="3093" t="str">
        <f>IFERROR(VLOOKUP(F2371,Trainingsarten!$A$9:$K$84,10,FALSE),"")</f>
        <v/>
      </c>
      <c r="I2371" s="3094" t="str">
        <f t="shared" si="547"/>
        <v/>
      </c>
      <c r="J2371" s="3095"/>
      <c r="K2371" s="3096" t="str">
        <f>IFERROR(VLOOKUP(F2371,Trainingsarten!$A$9:$K$84,11,FALSE),"0")</f>
        <v>0</v>
      </c>
      <c r="L2371" s="2816"/>
      <c r="M2371" s="3095"/>
      <c r="N2371" s="3097" t="str">
        <f t="shared" si="548"/>
        <v/>
      </c>
      <c r="O2371" s="3098"/>
      <c r="P2371" s="2897" t="str">
        <f>IFERROR(VLOOKUP(F2371,Trainingsarten!$A$9:$N$84,12,FALSE),"")</f>
        <v/>
      </c>
      <c r="Q2371" s="2898" t="s">
        <v>437</v>
      </c>
      <c r="R2371" s="3099" t="str">
        <f>IFERROR(VLOOKUP(F2371,Trainingsarten!$A$9:$N$84,14,FALSE),"")</f>
        <v/>
      </c>
      <c r="S2371" s="3100" t="str">
        <f t="shared" si="549"/>
        <v/>
      </c>
      <c r="T2371" s="3090">
        <f t="shared" si="550"/>
        <v>30.002700944459917</v>
      </c>
      <c r="U2371" s="3090">
        <f t="shared" si="551"/>
        <v>26.380479590074774</v>
      </c>
      <c r="V2371" s="3090">
        <f t="shared" si="552"/>
        <v>-7.9792451803298903</v>
      </c>
      <c r="W2371" s="3284">
        <f t="shared" si="553"/>
        <v>1.1373068803399595</v>
      </c>
      <c r="X2371" s="3300"/>
      <c r="Y2371" s="3316" t="str">
        <f t="shared" si="546"/>
        <v/>
      </c>
      <c r="Z2371" s="3338">
        <f t="shared" si="554"/>
        <v>5.5989659843207705E-4</v>
      </c>
      <c r="AA2371" s="3338">
        <f t="shared" si="555"/>
        <v>4.8815418695731285</v>
      </c>
      <c r="AB2371" s="3339">
        <f t="shared" si="556"/>
        <v>1.1469667031270138E-4</v>
      </c>
    </row>
    <row r="2372" spans="1:28" x14ac:dyDescent="0.2">
      <c r="A2372" s="2935" t="s">
        <v>761</v>
      </c>
      <c r="B2372" s="3006">
        <f>AVERAGE(W2369:W2375)</f>
        <v>1.2132251622064365</v>
      </c>
      <c r="C2372" s="2937">
        <v>45470</v>
      </c>
      <c r="D2372" s="3090"/>
      <c r="E2372" s="3091"/>
      <c r="F2372" s="2759" t="s">
        <v>1466</v>
      </c>
      <c r="G2372" s="3092"/>
      <c r="H2372" s="3093">
        <f>IFERROR(VLOOKUP(F2372,Trainingsarten!$A$9:$K$84,10,FALSE),"")</f>
        <v>6.7807113565308406</v>
      </c>
      <c r="I2372" s="3094">
        <f t="shared" si="547"/>
        <v>0</v>
      </c>
      <c r="J2372" s="3095"/>
      <c r="K2372" s="3096">
        <f>IFERROR(VLOOKUP(F2372,Trainingsarten!$A$9:$K$84,11,FALSE),"0")</f>
        <v>48.166666666666671</v>
      </c>
      <c r="L2372" s="2816"/>
      <c r="M2372" s="3095"/>
      <c r="N2372" s="3097" t="str">
        <f t="shared" si="548"/>
        <v/>
      </c>
      <c r="O2372" s="3098"/>
      <c r="P2372" s="2897">
        <f>IFERROR(VLOOKUP(F2372,Trainingsarten!$A$9:$N$84,12,FALSE),"")</f>
        <v>194.60000000000002</v>
      </c>
      <c r="Q2372" s="2898" t="s">
        <v>437</v>
      </c>
      <c r="R2372" s="3099">
        <f>IFERROR(VLOOKUP(F2372,Trainingsarten!$A$9:$N$84,14,FALSE),"")</f>
        <v>212.96</v>
      </c>
      <c r="S2372" s="3100" t="str">
        <f t="shared" si="549"/>
        <v/>
      </c>
      <c r="T2372" s="3090">
        <f t="shared" si="550"/>
        <v>32.597553190489457</v>
      </c>
      <c r="U2372" s="3090">
        <f t="shared" si="551"/>
        <v>26.899198329993627</v>
      </c>
      <c r="V2372" s="3090">
        <f t="shared" si="552"/>
        <v>-3.6222213543851431</v>
      </c>
      <c r="W2372" s="3284">
        <f t="shared" si="553"/>
        <v>1.2118410664358703</v>
      </c>
      <c r="X2372" s="3300"/>
      <c r="Y2372" s="3316">
        <f t="shared" si="546"/>
        <v>0</v>
      </c>
      <c r="Z2372" s="3338">
        <f t="shared" si="554"/>
        <v>4.7991137008463749E-4</v>
      </c>
      <c r="AA2372" s="3338">
        <f t="shared" si="555"/>
        <v>4.76531468220234</v>
      </c>
      <c r="AB2372" s="3339">
        <f t="shared" si="556"/>
        <v>1.0070927149407927E-4</v>
      </c>
    </row>
    <row r="2373" spans="1:28" x14ac:dyDescent="0.2">
      <c r="A2373" s="2935" t="s">
        <v>979</v>
      </c>
      <c r="B2373" s="3131" t="str">
        <f>IFERROR(AVERAGE(N2369:N2375),"")</f>
        <v/>
      </c>
      <c r="C2373" s="2937">
        <v>45471</v>
      </c>
      <c r="D2373" s="3090"/>
      <c r="E2373" s="3091"/>
      <c r="F2373" s="2775" t="s">
        <v>944</v>
      </c>
      <c r="G2373" s="3092"/>
      <c r="H2373" s="3093">
        <f>IFERROR(VLOOKUP(F2373,Trainingsarten!$A$9:$K$84,10,FALSE),"")</f>
        <v>5.0855335173981304</v>
      </c>
      <c r="I2373" s="3094">
        <f t="shared" si="547"/>
        <v>0</v>
      </c>
      <c r="J2373" s="3095"/>
      <c r="K2373" s="3096">
        <f>IFERROR(VLOOKUP(F2373,Trainingsarten!$A$9:$K$84,11,FALSE),"0")</f>
        <v>36.125</v>
      </c>
      <c r="L2373" s="2816"/>
      <c r="M2373" s="3095"/>
      <c r="N2373" s="3097" t="str">
        <f t="shared" si="548"/>
        <v/>
      </c>
      <c r="O2373" s="3098"/>
      <c r="P2373" s="2897">
        <f>IFERROR(VLOOKUP(F2373,Trainingsarten!$A$9:$N$84,12,FALSE),"")</f>
        <v>194.60000000000002</v>
      </c>
      <c r="Q2373" s="2898" t="s">
        <v>437</v>
      </c>
      <c r="R2373" s="3099">
        <f>IFERROR(VLOOKUP(F2373,Trainingsarten!$A$9:$N$84,14,FALSE),"")</f>
        <v>212.96</v>
      </c>
      <c r="S2373" s="3100" t="str">
        <f t="shared" si="549"/>
        <v/>
      </c>
      <c r="T2373" s="3090">
        <f t="shared" si="550"/>
        <v>33.101474163276677</v>
      </c>
      <c r="U2373" s="3090">
        <f t="shared" si="551"/>
        <v>27.118860274517587</v>
      </c>
      <c r="V2373" s="3090">
        <f t="shared" si="552"/>
        <v>-5.6983548604958294</v>
      </c>
      <c r="W2373" s="3284">
        <f t="shared" si="553"/>
        <v>1.2206071283305624</v>
      </c>
      <c r="X2373" s="3300"/>
      <c r="Y2373" s="3316">
        <f t="shared" si="546"/>
        <v>0</v>
      </c>
      <c r="Z2373" s="3338">
        <f t="shared" si="554"/>
        <v>4.1135260292968928E-4</v>
      </c>
      <c r="AA2373" s="3338">
        <f t="shared" si="555"/>
        <v>4.6518548088165703</v>
      </c>
      <c r="AB2373" s="3339">
        <f t="shared" si="556"/>
        <v>8.8427653019191536E-5</v>
      </c>
    </row>
    <row r="2374" spans="1:28" x14ac:dyDescent="0.2">
      <c r="A2374" s="2935" t="s">
        <v>980</v>
      </c>
      <c r="B2374" s="3006" t="str">
        <f>IFERROR(AVERAGE(S2369:S2375),"")</f>
        <v/>
      </c>
      <c r="C2374" s="2937">
        <v>45472</v>
      </c>
      <c r="D2374" s="3090"/>
      <c r="E2374" s="3091"/>
      <c r="F2374" s="2889"/>
      <c r="G2374" s="3092"/>
      <c r="H2374" s="3093" t="str">
        <f>IFERROR(VLOOKUP(F2374,Trainingsarten!$A$9:$K$84,10,FALSE),"")</f>
        <v/>
      </c>
      <c r="I2374" s="3094" t="str">
        <f t="shared" si="547"/>
        <v/>
      </c>
      <c r="J2374" s="3095"/>
      <c r="K2374" s="3096" t="str">
        <f>IFERROR(VLOOKUP(F2374,Trainingsarten!$A$9:$K$84,11,FALSE),"0")</f>
        <v>0</v>
      </c>
      <c r="L2374" s="2816"/>
      <c r="M2374" s="3095"/>
      <c r="N2374" s="3097" t="str">
        <f t="shared" si="548"/>
        <v/>
      </c>
      <c r="O2374" s="3098"/>
      <c r="P2374" s="2897" t="str">
        <f>IFERROR(VLOOKUP(F2374,Trainingsarten!$A$9:$N$84,12,FALSE),"")</f>
        <v/>
      </c>
      <c r="Q2374" s="2898" t="s">
        <v>437</v>
      </c>
      <c r="R2374" s="3099" t="str">
        <f>IFERROR(VLOOKUP(F2374,Trainingsarten!$A$9:$N$84,14,FALSE),"")</f>
        <v/>
      </c>
      <c r="S2374" s="3100" t="str">
        <f t="shared" si="549"/>
        <v/>
      </c>
      <c r="T2374" s="3090">
        <f t="shared" si="550"/>
        <v>28.37269213995144</v>
      </c>
      <c r="U2374" s="3090">
        <f t="shared" si="551"/>
        <v>26.473173125124312</v>
      </c>
      <c r="V2374" s="3090">
        <f t="shared" si="552"/>
        <v>-5.9826138887590901</v>
      </c>
      <c r="W2374" s="3284">
        <f t="shared" si="553"/>
        <v>1.0717526004853719</v>
      </c>
      <c r="X2374" s="3300"/>
      <c r="Y2374" s="3316" t="str">
        <f t="shared" si="546"/>
        <v/>
      </c>
      <c r="Z2374" s="3338">
        <f t="shared" si="554"/>
        <v>3.5258794536830509E-4</v>
      </c>
      <c r="AA2374" s="3338">
        <f t="shared" si="555"/>
        <v>4.5410963609876047</v>
      </c>
      <c r="AB2374" s="3339">
        <f t="shared" si="556"/>
        <v>7.7643792894899885E-5</v>
      </c>
    </row>
    <row r="2375" spans="1:28" ht="16" thickBot="1" x14ac:dyDescent="0.25">
      <c r="A2375" s="2936" t="s">
        <v>183</v>
      </c>
      <c r="B2375" s="3003">
        <f>IFERROR(SUM(M2369:M2375),"")</f>
        <v>0</v>
      </c>
      <c r="C2375" s="2576">
        <v>45473</v>
      </c>
      <c r="D2375" s="1788"/>
      <c r="E2375" s="1789"/>
      <c r="F2375" s="2763" t="s">
        <v>819</v>
      </c>
      <c r="G2375" s="2577"/>
      <c r="H2375" s="2578">
        <f>IFERROR(VLOOKUP(F2375,Trainingsarten!$A$9:$K$84,10,FALSE),"")</f>
        <v>10.171067034796261</v>
      </c>
      <c r="I2375" s="2579">
        <f t="shared" si="547"/>
        <v>0</v>
      </c>
      <c r="J2375" s="2580"/>
      <c r="K2375" s="2581">
        <f>IFERROR(VLOOKUP(F2375,Trainingsarten!$A$9:$K$84,11,FALSE),"0")</f>
        <v>72.25</v>
      </c>
      <c r="L2375" s="3101"/>
      <c r="M2375" s="2580"/>
      <c r="N2375" s="2582" t="str">
        <f t="shared" si="548"/>
        <v/>
      </c>
      <c r="O2375" s="2583"/>
      <c r="P2375" s="3102">
        <f>IFERROR(VLOOKUP(F2375,Trainingsarten!$A$9:$N$84,12,FALSE),"")</f>
        <v>194.60000000000002</v>
      </c>
      <c r="Q2375" s="3103" t="s">
        <v>437</v>
      </c>
      <c r="R2375" s="3104">
        <f>IFERROR(VLOOKUP(F2375,Trainingsarten!$A$9:$N$84,14,FALSE),"")</f>
        <v>212.96</v>
      </c>
      <c r="S2375" s="2390" t="str">
        <f t="shared" si="549"/>
        <v/>
      </c>
      <c r="T2375" s="1788">
        <f t="shared" si="550"/>
        <v>34.640878977101231</v>
      </c>
      <c r="U2375" s="1788">
        <f t="shared" si="551"/>
        <v>27.563097574526115</v>
      </c>
      <c r="V2375" s="1788">
        <f t="shared" si="552"/>
        <v>-1.8995190148271277</v>
      </c>
      <c r="W2375" s="3293">
        <f t="shared" si="553"/>
        <v>1.2567846876947684</v>
      </c>
      <c r="X2375" s="3309"/>
      <c r="Y2375" s="3340">
        <f t="shared" si="546"/>
        <v>0</v>
      </c>
      <c r="Z2375" s="3314">
        <f t="shared" si="554"/>
        <v>3.0221823888711862E-4</v>
      </c>
      <c r="AA2375" s="3314">
        <f t="shared" si="555"/>
        <v>4.4329750190593282</v>
      </c>
      <c r="AB2375" s="2846">
        <f t="shared" si="556"/>
        <v>6.8175037663814522E-5</v>
      </c>
    </row>
    <row r="2376" spans="1:28" ht="16" thickBot="1" x14ac:dyDescent="0.25">
      <c r="A2376" s="3439">
        <f>WEEKNUM(C2376,1)</f>
        <v>27</v>
      </c>
      <c r="B2376" s="3440"/>
      <c r="C2376" s="2585">
        <v>45474</v>
      </c>
      <c r="D2376" s="2586"/>
      <c r="E2376" s="2587"/>
      <c r="F2376" s="2761" t="s">
        <v>944</v>
      </c>
      <c r="G2376" s="2588"/>
      <c r="H2376" s="2589">
        <f>IFERROR(VLOOKUP(F2376,Trainingsarten!$A$9:$K$84,10,FALSE),"")</f>
        <v>5.0855335173981304</v>
      </c>
      <c r="I2376" s="2590">
        <f t="shared" si="547"/>
        <v>0</v>
      </c>
      <c r="J2376" s="2591"/>
      <c r="K2376" s="2592">
        <f>IFERROR(VLOOKUP(F2376,Trainingsarten!$A$9:$K$84,11,FALSE),"0")</f>
        <v>36.125</v>
      </c>
      <c r="L2376" s="2815"/>
      <c r="M2376" s="2591"/>
      <c r="N2376" s="2593" t="str">
        <f t="shared" si="548"/>
        <v/>
      </c>
      <c r="O2376" s="2594"/>
      <c r="P2376" s="1919">
        <f>IFERROR(VLOOKUP(F2376,Trainingsarten!$A$9:$N$84,12,FALSE),"")</f>
        <v>194.60000000000002</v>
      </c>
      <c r="Q2376" s="2461" t="s">
        <v>437</v>
      </c>
      <c r="R2376" s="3089">
        <f>IFERROR(VLOOKUP(F2376,Trainingsarten!$A$9:$N$84,14,FALSE),"")</f>
        <v>212.96</v>
      </c>
      <c r="S2376" s="2595" t="str">
        <f t="shared" si="549"/>
        <v/>
      </c>
      <c r="T2376" s="2586">
        <f t="shared" si="550"/>
        <v>34.852896266086766</v>
      </c>
      <c r="U2376" s="2586">
        <f t="shared" si="551"/>
        <v>27.766952394180255</v>
      </c>
      <c r="V2376" s="2586">
        <f t="shared" si="552"/>
        <v>-7.0777814025751162</v>
      </c>
      <c r="W2376" s="3283">
        <f t="shared" si="553"/>
        <v>1.2551934317931006</v>
      </c>
      <c r="X2376" s="3298"/>
      <c r="Y2376" s="3315">
        <f t="shared" si="546"/>
        <v>0</v>
      </c>
      <c r="Z2376" s="1111">
        <f t="shared" si="554"/>
        <v>2.5904420476038741E-4</v>
      </c>
      <c r="AA2376" s="1111">
        <f t="shared" si="555"/>
        <v>4.327427994796011</v>
      </c>
      <c r="AB2376" s="2449">
        <f t="shared" si="556"/>
        <v>5.9861008680422512E-5</v>
      </c>
    </row>
    <row r="2377" spans="1:28" x14ac:dyDescent="0.2">
      <c r="A2377" s="2934" t="s">
        <v>626</v>
      </c>
      <c r="B2377" s="3004">
        <f>SUM(H2376:H2382)</f>
        <v>32.208378943521495</v>
      </c>
      <c r="C2377" s="2937">
        <v>45475</v>
      </c>
      <c r="D2377" s="3090"/>
      <c r="E2377" s="3091"/>
      <c r="F2377" s="2759" t="s">
        <v>944</v>
      </c>
      <c r="G2377" s="3092"/>
      <c r="H2377" s="3093">
        <f>IFERROR(VLOOKUP(F2377,Trainingsarten!$A$9:$K$84,10,FALSE),"")</f>
        <v>5.0855335173981304</v>
      </c>
      <c r="I2377" s="3094">
        <f t="shared" si="547"/>
        <v>0</v>
      </c>
      <c r="J2377" s="3095"/>
      <c r="K2377" s="3096">
        <f>IFERROR(VLOOKUP(F2377,Trainingsarten!$A$9:$K$84,11,FALSE),"0")</f>
        <v>36.125</v>
      </c>
      <c r="L2377" s="2816"/>
      <c r="M2377" s="3095"/>
      <c r="N2377" s="3097" t="str">
        <f t="shared" si="548"/>
        <v/>
      </c>
      <c r="O2377" s="3098"/>
      <c r="P2377" s="2897">
        <f>IFERROR(VLOOKUP(F2377,Trainingsarten!$A$9:$N$84,12,FALSE),"")</f>
        <v>194.60000000000002</v>
      </c>
      <c r="Q2377" s="2898" t="s">
        <v>437</v>
      </c>
      <c r="R2377" s="3099">
        <f>IFERROR(VLOOKUP(F2377,Trainingsarten!$A$9:$N$84,14,FALSE),"")</f>
        <v>212.96</v>
      </c>
      <c r="S2377" s="3100" t="str">
        <f t="shared" si="549"/>
        <v/>
      </c>
      <c r="T2377" s="3090">
        <f t="shared" si="550"/>
        <v>35.034625370931515</v>
      </c>
      <c r="U2377" s="3090">
        <f t="shared" si="551"/>
        <v>27.965953527652154</v>
      </c>
      <c r="V2377" s="3090">
        <f t="shared" si="552"/>
        <v>-7.0859438719065118</v>
      </c>
      <c r="W2377" s="3284">
        <f t="shared" si="553"/>
        <v>1.2527599080893133</v>
      </c>
      <c r="X2377" s="3300"/>
      <c r="Y2377" s="3316">
        <f t="shared" si="546"/>
        <v>0</v>
      </c>
      <c r="Z2377" s="2597">
        <f t="shared" si="554"/>
        <v>2.2203788979461778E-4</v>
      </c>
      <c r="AA2377" s="2597">
        <f t="shared" si="555"/>
        <v>4.2243939949199154</v>
      </c>
      <c r="AB2377" s="3325">
        <f t="shared" si="556"/>
        <v>5.2560885670614889E-5</v>
      </c>
    </row>
    <row r="2378" spans="1:28" x14ac:dyDescent="0.2">
      <c r="A2378" s="2935" t="s">
        <v>628</v>
      </c>
      <c r="B2378" s="3005">
        <f>SUM(K2376:K2382)</f>
        <v>228.79166666666669</v>
      </c>
      <c r="C2378" s="2937">
        <v>45476</v>
      </c>
      <c r="D2378" s="3090"/>
      <c r="E2378" s="3091"/>
      <c r="F2378" s="2759"/>
      <c r="G2378" s="3092"/>
      <c r="H2378" s="3093" t="str">
        <f>IFERROR(VLOOKUP(F2378,Trainingsarten!$A$9:$K$84,10,FALSE),"")</f>
        <v/>
      </c>
      <c r="I2378" s="3094" t="str">
        <f t="shared" si="547"/>
        <v/>
      </c>
      <c r="J2378" s="3095"/>
      <c r="K2378" s="3096" t="str">
        <f>IFERROR(VLOOKUP(F2378,Trainingsarten!$A$9:$K$84,11,FALSE),"0")</f>
        <v>0</v>
      </c>
      <c r="L2378" s="2816"/>
      <c r="M2378" s="3095"/>
      <c r="N2378" s="3097" t="str">
        <f t="shared" si="548"/>
        <v/>
      </c>
      <c r="O2378" s="3098"/>
      <c r="P2378" s="2897" t="str">
        <f>IFERROR(VLOOKUP(F2378,Trainingsarten!$A$9:$N$84,12,FALSE),"")</f>
        <v/>
      </c>
      <c r="Q2378" s="2898" t="s">
        <v>437</v>
      </c>
      <c r="R2378" s="3099" t="str">
        <f>IFERROR(VLOOKUP(F2378,Trainingsarten!$A$9:$N$84,14,FALSE),"")</f>
        <v/>
      </c>
      <c r="S2378" s="3100" t="str">
        <f t="shared" si="549"/>
        <v/>
      </c>
      <c r="T2378" s="3090">
        <f t="shared" si="550"/>
        <v>30.029678889369869</v>
      </c>
      <c r="U2378" s="3090">
        <f t="shared" si="551"/>
        <v>27.300097491279484</v>
      </c>
      <c r="V2378" s="3090">
        <f t="shared" si="552"/>
        <v>-7.0686718432793612</v>
      </c>
      <c r="W2378" s="3284">
        <f t="shared" si="553"/>
        <v>1.0999843095418358</v>
      </c>
      <c r="X2378" s="3300"/>
      <c r="Y2378" s="3316" t="str">
        <f t="shared" si="546"/>
        <v/>
      </c>
      <c r="Z2378" s="2597">
        <f t="shared" si="554"/>
        <v>1.9031819125252952E-4</v>
      </c>
      <c r="AA2378" s="2597">
        <f t="shared" si="555"/>
        <v>4.1238131855170606</v>
      </c>
      <c r="AB2378" s="3325">
        <f t="shared" si="556"/>
        <v>4.6151021564442342E-5</v>
      </c>
    </row>
    <row r="2379" spans="1:28" x14ac:dyDescent="0.2">
      <c r="A2379" s="2935" t="s">
        <v>761</v>
      </c>
      <c r="B2379" s="3006">
        <f>AVERAGE(W2376:W2382)</f>
        <v>1.1748203807708815</v>
      </c>
      <c r="C2379" s="2937">
        <v>45477</v>
      </c>
      <c r="D2379" s="3090"/>
      <c r="E2379" s="3091"/>
      <c r="F2379" s="2759" t="s">
        <v>1466</v>
      </c>
      <c r="G2379" s="3092"/>
      <c r="H2379" s="3093">
        <f>IFERROR(VLOOKUP(F2379,Trainingsarten!$A$9:$K$84,10,FALSE),"")</f>
        <v>6.7807113565308406</v>
      </c>
      <c r="I2379" s="3094">
        <f t="shared" si="547"/>
        <v>0</v>
      </c>
      <c r="J2379" s="3095"/>
      <c r="K2379" s="3096">
        <f>IFERROR(VLOOKUP(F2379,Trainingsarten!$A$9:$K$84,11,FALSE),"0")</f>
        <v>48.166666666666671</v>
      </c>
      <c r="L2379" s="2816"/>
      <c r="M2379" s="3095"/>
      <c r="N2379" s="3097" t="str">
        <f t="shared" si="548"/>
        <v/>
      </c>
      <c r="O2379" s="3098"/>
      <c r="P2379" s="2897">
        <f>IFERROR(VLOOKUP(F2379,Trainingsarten!$A$9:$N$84,12,FALSE),"")</f>
        <v>194.60000000000002</v>
      </c>
      <c r="Q2379" s="2898" t="s">
        <v>437</v>
      </c>
      <c r="R2379" s="3099">
        <f>IFERROR(VLOOKUP(F2379,Trainingsarten!$A$9:$N$84,14,FALSE),"")</f>
        <v>212.96</v>
      </c>
      <c r="S2379" s="3100" t="str">
        <f t="shared" si="549"/>
        <v/>
      </c>
      <c r="T2379" s="3090">
        <f t="shared" si="550"/>
        <v>32.620677143269411</v>
      </c>
      <c r="U2379" s="3090">
        <f t="shared" si="551"/>
        <v>27.796920566883941</v>
      </c>
      <c r="V2379" s="3090">
        <f t="shared" si="552"/>
        <v>-2.7295813980903851</v>
      </c>
      <c r="W2379" s="3284">
        <f t="shared" si="553"/>
        <v>1.1735356463237978</v>
      </c>
      <c r="X2379" s="3300"/>
      <c r="Y2379" s="3316">
        <f t="shared" si="546"/>
        <v>0</v>
      </c>
      <c r="Z2379" s="2597">
        <f t="shared" si="554"/>
        <v>1.6312987821645388E-4</v>
      </c>
      <c r="AA2379" s="2597">
        <f t="shared" si="555"/>
        <v>4.0256271572904643</v>
      </c>
      <c r="AB2379" s="3325">
        <f t="shared" si="556"/>
        <v>4.052284820292498E-5</v>
      </c>
    </row>
    <row r="2380" spans="1:28" x14ac:dyDescent="0.2">
      <c r="A2380" s="2935" t="s">
        <v>979</v>
      </c>
      <c r="B2380" s="3131" t="str">
        <f>IFERROR(AVERAGE(N2376:N2382),"")</f>
        <v/>
      </c>
      <c r="C2380" s="2937">
        <v>45478</v>
      </c>
      <c r="D2380" s="3090"/>
      <c r="E2380" s="3091"/>
      <c r="F2380" s="2775" t="s">
        <v>944</v>
      </c>
      <c r="G2380" s="3092"/>
      <c r="H2380" s="3093">
        <f>IFERROR(VLOOKUP(F2380,Trainingsarten!$A$9:$K$84,10,FALSE),"")</f>
        <v>5.0855335173981304</v>
      </c>
      <c r="I2380" s="3094">
        <f t="shared" si="547"/>
        <v>0</v>
      </c>
      <c r="J2380" s="3095"/>
      <c r="K2380" s="3096">
        <f>IFERROR(VLOOKUP(F2380,Trainingsarten!$A$9:$K$84,11,FALSE),"0")</f>
        <v>36.125</v>
      </c>
      <c r="L2380" s="2816"/>
      <c r="M2380" s="3095"/>
      <c r="N2380" s="3097" t="str">
        <f t="shared" si="548"/>
        <v/>
      </c>
      <c r="O2380" s="3098"/>
      <c r="P2380" s="2897">
        <f>IFERROR(VLOOKUP(F2380,Trainingsarten!$A$9:$N$84,12,FALSE),"")</f>
        <v>194.60000000000002</v>
      </c>
      <c r="Q2380" s="2898" t="s">
        <v>437</v>
      </c>
      <c r="R2380" s="3099">
        <f>IFERROR(VLOOKUP(F2380,Trainingsarten!$A$9:$N$84,14,FALSE),"")</f>
        <v>212.96</v>
      </c>
      <c r="S2380" s="3100" t="str">
        <f t="shared" si="549"/>
        <v/>
      </c>
      <c r="T2380" s="3090">
        <f t="shared" si="550"/>
        <v>33.121294694230926</v>
      </c>
      <c r="U2380" s="3090">
        <f t="shared" si="551"/>
        <v>27.995208172434324</v>
      </c>
      <c r="V2380" s="3090">
        <f t="shared" si="552"/>
        <v>-4.8237565763854704</v>
      </c>
      <c r="W2380" s="3284">
        <f t="shared" si="553"/>
        <v>1.1831058547671041</v>
      </c>
      <c r="X2380" s="3300"/>
      <c r="Y2380" s="3316">
        <f t="shared" si="546"/>
        <v>0</v>
      </c>
      <c r="Z2380" s="2597">
        <f t="shared" si="554"/>
        <v>1.398256098998176E-4</v>
      </c>
      <c r="AA2380" s="2597">
        <f t="shared" si="555"/>
        <v>3.9297788916406913</v>
      </c>
      <c r="AB2380" s="3325">
        <f t="shared" si="556"/>
        <v>3.5581037446470712E-5</v>
      </c>
    </row>
    <row r="2381" spans="1:28" x14ac:dyDescent="0.2">
      <c r="A2381" s="2935" t="s">
        <v>980</v>
      </c>
      <c r="B2381" s="3006" t="str">
        <f>IFERROR(AVERAGE(S2376:S2382),"")</f>
        <v/>
      </c>
      <c r="C2381" s="2937">
        <v>45479</v>
      </c>
      <c r="D2381" s="3090"/>
      <c r="E2381" s="3091"/>
      <c r="F2381" s="2889"/>
      <c r="G2381" s="3092"/>
      <c r="H2381" s="3093" t="str">
        <f>IFERROR(VLOOKUP(F2381,Trainingsarten!$A$9:$K$84,10,FALSE),"")</f>
        <v/>
      </c>
      <c r="I2381" s="3094" t="str">
        <f t="shared" si="547"/>
        <v/>
      </c>
      <c r="J2381" s="3095"/>
      <c r="K2381" s="3096" t="str">
        <f>IFERROR(VLOOKUP(F2381,Trainingsarten!$A$9:$K$84,11,FALSE),"0")</f>
        <v>0</v>
      </c>
      <c r="L2381" s="2816"/>
      <c r="M2381" s="3095"/>
      <c r="N2381" s="3097" t="str">
        <f t="shared" si="548"/>
        <v/>
      </c>
      <c r="O2381" s="3098"/>
      <c r="P2381" s="2897" t="str">
        <f>IFERROR(VLOOKUP(F2381,Trainingsarten!$A$9:$N$84,12,FALSE),"")</f>
        <v/>
      </c>
      <c r="Q2381" s="2898" t="s">
        <v>437</v>
      </c>
      <c r="R2381" s="3099" t="str">
        <f>IFERROR(VLOOKUP(F2381,Trainingsarten!$A$9:$N$84,14,FALSE),"")</f>
        <v/>
      </c>
      <c r="S2381" s="3100" t="str">
        <f t="shared" si="549"/>
        <v/>
      </c>
      <c r="T2381" s="3090">
        <f t="shared" si="550"/>
        <v>28.389681166483651</v>
      </c>
      <c r="U2381" s="3090">
        <f t="shared" si="551"/>
        <v>27.328655596900173</v>
      </c>
      <c r="V2381" s="3090">
        <f t="shared" si="552"/>
        <v>-5.1260865217966014</v>
      </c>
      <c r="W2381" s="3284">
        <f t="shared" si="553"/>
        <v>1.0388246529662377</v>
      </c>
      <c r="X2381" s="3300"/>
      <c r="Y2381" s="3316" t="str">
        <f t="shared" si="546"/>
        <v/>
      </c>
      <c r="Z2381" s="2597">
        <f t="shared" si="554"/>
        <v>1.1985052277127223E-4</v>
      </c>
      <c r="AA2381" s="2597">
        <f t="shared" si="555"/>
        <v>3.8362127275540083</v>
      </c>
      <c r="AB2381" s="3325">
        <f t="shared" si="556"/>
        <v>3.1241886538364524E-5</v>
      </c>
    </row>
    <row r="2382" spans="1:28" ht="16" thickBot="1" x14ac:dyDescent="0.25">
      <c r="A2382" s="2936" t="s">
        <v>183</v>
      </c>
      <c r="B2382" s="3003">
        <f>IFERROR(SUM(M2376:M2382),"")</f>
        <v>0</v>
      </c>
      <c r="C2382" s="2576">
        <v>45480</v>
      </c>
      <c r="D2382" s="1788"/>
      <c r="E2382" s="1789"/>
      <c r="F2382" s="2763" t="s">
        <v>819</v>
      </c>
      <c r="G2382" s="2577"/>
      <c r="H2382" s="2578">
        <f>IFERROR(VLOOKUP(F2382,Trainingsarten!$A$9:$K$84,10,FALSE),"")</f>
        <v>10.171067034796261</v>
      </c>
      <c r="I2382" s="2579">
        <f t="shared" si="547"/>
        <v>0</v>
      </c>
      <c r="J2382" s="2580"/>
      <c r="K2382" s="2581">
        <f>IFERROR(VLOOKUP(F2382,Trainingsarten!$A$9:$K$84,11,FALSE),"0")</f>
        <v>72.25</v>
      </c>
      <c r="L2382" s="3101"/>
      <c r="M2382" s="2580"/>
      <c r="N2382" s="2582" t="str">
        <f t="shared" si="548"/>
        <v/>
      </c>
      <c r="O2382" s="2583"/>
      <c r="P2382" s="3102">
        <f>IFERROR(VLOOKUP(F2382,Trainingsarten!$A$9:$N$84,12,FALSE),"")</f>
        <v>194.60000000000002</v>
      </c>
      <c r="Q2382" s="3103" t="s">
        <v>437</v>
      </c>
      <c r="R2382" s="3104">
        <f>IFERROR(VLOOKUP(F2382,Trainingsarten!$A$9:$N$84,14,FALSE),"")</f>
        <v>212.96</v>
      </c>
      <c r="S2382" s="2390" t="str">
        <f t="shared" si="549"/>
        <v/>
      </c>
      <c r="T2382" s="1788">
        <f t="shared" si="550"/>
        <v>34.65544099984313</v>
      </c>
      <c r="U2382" s="1788">
        <f t="shared" si="551"/>
        <v>28.398211416021596</v>
      </c>
      <c r="V2382" s="1788">
        <f t="shared" si="552"/>
        <v>-1.061025569583478</v>
      </c>
      <c r="W2382" s="3293">
        <f t="shared" si="553"/>
        <v>1.2203388619147808</v>
      </c>
      <c r="X2382" s="3324"/>
      <c r="Y2382" s="3356">
        <f t="shared" ref="Y2382:Y2445" si="557">IFERROR(X2382/K2382,"")</f>
        <v>0</v>
      </c>
      <c r="Z2382" s="3357">
        <f t="shared" si="554"/>
        <v>1.0272901951823334E-4</v>
      </c>
      <c r="AA2382" s="3357">
        <f t="shared" si="555"/>
        <v>3.7448743292789128</v>
      </c>
      <c r="AB2382" s="3358">
        <f t="shared" si="556"/>
        <v>2.7431900375149341E-5</v>
      </c>
    </row>
    <row r="2383" spans="1:28" ht="16" thickBot="1" x14ac:dyDescent="0.25">
      <c r="A2383" s="3439">
        <f>WEEKNUM(C2383,1)</f>
        <v>28</v>
      </c>
      <c r="B2383" s="3440"/>
      <c r="C2383" s="2585">
        <v>45481</v>
      </c>
      <c r="D2383" s="2586"/>
      <c r="E2383" s="2587"/>
      <c r="F2383" s="3404" t="s">
        <v>944</v>
      </c>
      <c r="G2383" s="2588"/>
      <c r="H2383" s="2589">
        <f>IFERROR(VLOOKUP(F2383,Trainingsarten!$A$9:$K$84,10,FALSE),"")</f>
        <v>5.0855335173981304</v>
      </c>
      <c r="I2383" s="2590">
        <f t="shared" si="547"/>
        <v>0</v>
      </c>
      <c r="J2383" s="2591"/>
      <c r="K2383" s="2592">
        <f>IFERROR(VLOOKUP(F2383,Trainingsarten!$A$9:$K$84,11,FALSE),"0")</f>
        <v>36.125</v>
      </c>
      <c r="L2383" s="2815"/>
      <c r="M2383" s="2591"/>
      <c r="N2383" s="2593" t="str">
        <f t="shared" si="548"/>
        <v/>
      </c>
      <c r="O2383" s="2594"/>
      <c r="P2383" s="1919">
        <f>IFERROR(VLOOKUP(F2383,Trainingsarten!$A$9:$N$84,12,FALSE),"")</f>
        <v>194.60000000000002</v>
      </c>
      <c r="Q2383" s="2461" t="s">
        <v>437</v>
      </c>
      <c r="R2383" s="3089">
        <f>IFERROR(VLOOKUP(F2383,Trainingsarten!$A$9:$N$84,14,FALSE),"")</f>
        <v>212.96</v>
      </c>
      <c r="S2383" s="2595" t="str">
        <f t="shared" si="549"/>
        <v/>
      </c>
      <c r="T2383" s="2586">
        <f t="shared" si="550"/>
        <v>34.865377999865537</v>
      </c>
      <c r="U2383" s="2586">
        <f t="shared" si="551"/>
        <v>28.582182572782987</v>
      </c>
      <c r="V2383" s="2586">
        <f t="shared" si="552"/>
        <v>-6.2572295838215339</v>
      </c>
      <c r="W2383" s="3283">
        <f t="shared" si="553"/>
        <v>1.2198290984630977</v>
      </c>
      <c r="X2383" s="3308"/>
      <c r="Y2383" s="3337">
        <f t="shared" si="557"/>
        <v>0</v>
      </c>
      <c r="Z2383" s="2586">
        <f t="shared" si="554"/>
        <v>8.805344530134287E-5</v>
      </c>
      <c r="AA2383" s="2586">
        <f t="shared" si="555"/>
        <v>3.655710654772272</v>
      </c>
      <c r="AB2383" s="2595">
        <f t="shared" si="556"/>
        <v>2.4086546670862837E-5</v>
      </c>
    </row>
    <row r="2384" spans="1:28" x14ac:dyDescent="0.2">
      <c r="A2384" s="2934" t="s">
        <v>626</v>
      </c>
      <c r="B2384" s="3004">
        <f>SUM(H2383:H2389)</f>
        <v>32.208378943521495</v>
      </c>
      <c r="C2384" s="2937">
        <v>45482</v>
      </c>
      <c r="D2384" s="3090"/>
      <c r="E2384" s="3091"/>
      <c r="F2384" s="3405" t="s">
        <v>944</v>
      </c>
      <c r="G2384" s="3092"/>
      <c r="H2384" s="3093">
        <f>IFERROR(VLOOKUP(F2384,Trainingsarten!$A$9:$K$84,10,FALSE),"")</f>
        <v>5.0855335173981304</v>
      </c>
      <c r="I2384" s="3094">
        <f t="shared" si="547"/>
        <v>0</v>
      </c>
      <c r="J2384" s="3095"/>
      <c r="K2384" s="3096">
        <f>IFERROR(VLOOKUP(F2384,Trainingsarten!$A$9:$K$84,11,FALSE),"0")</f>
        <v>36.125</v>
      </c>
      <c r="L2384" s="2816"/>
      <c r="M2384" s="3095"/>
      <c r="N2384" s="3097" t="str">
        <f t="shared" si="548"/>
        <v/>
      </c>
      <c r="O2384" s="3098"/>
      <c r="P2384" s="2897">
        <f>IFERROR(VLOOKUP(F2384,Trainingsarten!$A$9:$N$84,12,FALSE),"")</f>
        <v>194.60000000000002</v>
      </c>
      <c r="Q2384" s="2898" t="s">
        <v>437</v>
      </c>
      <c r="R2384" s="3099">
        <f>IFERROR(VLOOKUP(F2384,Trainingsarten!$A$9:$N$84,14,FALSE),"")</f>
        <v>212.96</v>
      </c>
      <c r="S2384" s="3100" t="str">
        <f t="shared" si="549"/>
        <v/>
      </c>
      <c r="T2384" s="3090">
        <f t="shared" si="550"/>
        <v>35.045323999884744</v>
      </c>
      <c r="U2384" s="3090">
        <f t="shared" si="551"/>
        <v>28.7617734639072</v>
      </c>
      <c r="V2384" s="3090">
        <f t="shared" si="552"/>
        <v>-6.2831954270825499</v>
      </c>
      <c r="W2384" s="3284">
        <f t="shared" si="553"/>
        <v>1.2184688139576196</v>
      </c>
      <c r="X2384" s="3300"/>
      <c r="Y2384" s="3316">
        <f t="shared" si="557"/>
        <v>0</v>
      </c>
      <c r="Z2384" s="3338">
        <f t="shared" si="554"/>
        <v>7.5474381686865317E-5</v>
      </c>
      <c r="AA2384" s="3338">
        <f t="shared" si="555"/>
        <v>3.5686699248967417</v>
      </c>
      <c r="AB2384" s="3339">
        <f t="shared" si="556"/>
        <v>2.1149162930513709E-5</v>
      </c>
    </row>
    <row r="2385" spans="1:31" x14ac:dyDescent="0.2">
      <c r="A2385" s="2935" t="s">
        <v>628</v>
      </c>
      <c r="B2385" s="3005">
        <f>SUM(K2383:K2389)</f>
        <v>228.79166666666669</v>
      </c>
      <c r="C2385" s="2937">
        <v>45483</v>
      </c>
      <c r="D2385" s="3090"/>
      <c r="E2385" s="3091"/>
      <c r="F2385" s="3405"/>
      <c r="G2385" s="3092"/>
      <c r="H2385" s="3093" t="str">
        <f>IFERROR(VLOOKUP(F2385,Trainingsarten!$A$9:$K$84,10,FALSE),"")</f>
        <v/>
      </c>
      <c r="I2385" s="3094" t="str">
        <f t="shared" si="547"/>
        <v/>
      </c>
      <c r="J2385" s="3095"/>
      <c r="K2385" s="3096" t="str">
        <f>IFERROR(VLOOKUP(F2385,Trainingsarten!$A$9:$K$84,11,FALSE),"0")</f>
        <v>0</v>
      </c>
      <c r="L2385" s="2816"/>
      <c r="M2385" s="3095"/>
      <c r="N2385" s="3097" t="str">
        <f t="shared" si="548"/>
        <v/>
      </c>
      <c r="O2385" s="3098"/>
      <c r="P2385" s="2897" t="str">
        <f>IFERROR(VLOOKUP(F2385,Trainingsarten!$A$9:$N$84,12,FALSE),"")</f>
        <v/>
      </c>
      <c r="Q2385" s="2898" t="s">
        <v>437</v>
      </c>
      <c r="R2385" s="3099" t="str">
        <f>IFERROR(VLOOKUP(F2385,Trainingsarten!$A$9:$N$84,14,FALSE),"")</f>
        <v/>
      </c>
      <c r="S2385" s="3100" t="str">
        <f t="shared" si="549"/>
        <v/>
      </c>
      <c r="T2385" s="3090">
        <f t="shared" si="550"/>
        <v>30.038849142758352</v>
      </c>
      <c r="U2385" s="3090">
        <f t="shared" si="551"/>
        <v>28.076969333814173</v>
      </c>
      <c r="V2385" s="3090">
        <f t="shared" si="552"/>
        <v>-6.2835505359775432</v>
      </c>
      <c r="W2385" s="3284">
        <f t="shared" si="553"/>
        <v>1.0698750561579098</v>
      </c>
      <c r="X2385" s="3300"/>
      <c r="Y2385" s="3316" t="str">
        <f t="shared" si="557"/>
        <v/>
      </c>
      <c r="Z2385" s="3338">
        <f t="shared" si="554"/>
        <v>6.4692327160170276E-5</v>
      </c>
      <c r="AA2385" s="3338">
        <f t="shared" si="555"/>
        <v>3.4837015933515811</v>
      </c>
      <c r="AB2385" s="3339">
        <f t="shared" si="556"/>
        <v>1.8569996719475453E-5</v>
      </c>
    </row>
    <row r="2386" spans="1:31" x14ac:dyDescent="0.2">
      <c r="A2386" s="2935" t="s">
        <v>761</v>
      </c>
      <c r="B2386" s="3006">
        <f>AVERAGE(W2383:W2389)</f>
        <v>1.1438387558257961</v>
      </c>
      <c r="C2386" s="2937">
        <v>45484</v>
      </c>
      <c r="D2386" s="3090"/>
      <c r="E2386" s="3091"/>
      <c r="F2386" s="3405" t="s">
        <v>1466</v>
      </c>
      <c r="G2386" s="3092"/>
      <c r="H2386" s="3093">
        <f>IFERROR(VLOOKUP(F2386,Trainingsarten!$A$9:$K$84,10,FALSE),"")</f>
        <v>6.7807113565308406</v>
      </c>
      <c r="I2386" s="3094">
        <f t="shared" ref="I2386:I2449" si="558">IFERROR(G2386/H2386,"")</f>
        <v>0</v>
      </c>
      <c r="J2386" s="3095"/>
      <c r="K2386" s="3096">
        <f>IFERROR(VLOOKUP(F2386,Trainingsarten!$A$9:$K$84,11,FALSE),"0")</f>
        <v>48.166666666666671</v>
      </c>
      <c r="L2386" s="2816"/>
      <c r="M2386" s="3095"/>
      <c r="N2386" s="3097" t="str">
        <f t="shared" ref="N2386:N2449" si="559">IFERROR((L2386/67)/(1/(I2386*24)/3.6),"")</f>
        <v/>
      </c>
      <c r="O2386" s="3098"/>
      <c r="P2386" s="2897">
        <f>IFERROR(VLOOKUP(F2386,Trainingsarten!$A$9:$N$84,12,FALSE),"")</f>
        <v>194.60000000000002</v>
      </c>
      <c r="Q2386" s="2898" t="s">
        <v>437</v>
      </c>
      <c r="R2386" s="3099">
        <f>IFERROR(VLOOKUP(F2386,Trainingsarten!$A$9:$N$84,14,FALSE),"")</f>
        <v>212.96</v>
      </c>
      <c r="S2386" s="3100" t="str">
        <f t="shared" ref="S2386:S2449" si="560">IFERROR(L2386/J2386,"")</f>
        <v/>
      </c>
      <c r="T2386" s="3090">
        <f t="shared" ref="T2386:T2449" si="561">T2385+(K2386-T2385)/7</f>
        <v>32.628537360459539</v>
      </c>
      <c r="U2386" s="3090">
        <f t="shared" ref="U2386:U2449" si="562">U2385+(K2386-U2385)/42</f>
        <v>28.555295460786851</v>
      </c>
      <c r="V2386" s="3090">
        <f t="shared" ref="V2386:V2449" si="563">U2385-T2385</f>
        <v>-1.9618798089441789</v>
      </c>
      <c r="W2386" s="3284">
        <f t="shared" ref="W2386:W2449" si="564">T2386/U2386</f>
        <v>1.1426440116953511</v>
      </c>
      <c r="X2386" s="3300"/>
      <c r="Y2386" s="3316">
        <f t="shared" si="557"/>
        <v>0</v>
      </c>
      <c r="Z2386" s="3338">
        <f t="shared" si="554"/>
        <v>5.5450566137288809E-5</v>
      </c>
      <c r="AA2386" s="3338">
        <f t="shared" si="555"/>
        <v>3.4007563173194004</v>
      </c>
      <c r="AB2386" s="3339">
        <f t="shared" si="556"/>
        <v>1.630536297319796E-5</v>
      </c>
    </row>
    <row r="2387" spans="1:31" x14ac:dyDescent="0.2">
      <c r="A2387" s="2935" t="s">
        <v>979</v>
      </c>
      <c r="B2387" s="3131" t="str">
        <f>IFERROR(AVERAGE(N2383:N2389),"")</f>
        <v/>
      </c>
      <c r="C2387" s="2937">
        <v>45485</v>
      </c>
      <c r="D2387" s="3090"/>
      <c r="E2387" s="3091"/>
      <c r="F2387" s="3406" t="s">
        <v>944</v>
      </c>
      <c r="G2387" s="3092"/>
      <c r="H2387" s="3093">
        <f>IFERROR(VLOOKUP(F2387,Trainingsarten!$A$9:$K$84,10,FALSE),"")</f>
        <v>5.0855335173981304</v>
      </c>
      <c r="I2387" s="3094">
        <f t="shared" si="558"/>
        <v>0</v>
      </c>
      <c r="J2387" s="3095"/>
      <c r="K2387" s="3096">
        <f>IFERROR(VLOOKUP(F2387,Trainingsarten!$A$9:$K$84,11,FALSE),"0")</f>
        <v>36.125</v>
      </c>
      <c r="L2387" s="2816"/>
      <c r="M2387" s="3095"/>
      <c r="N2387" s="3097" t="str">
        <f t="shared" si="559"/>
        <v/>
      </c>
      <c r="O2387" s="3098"/>
      <c r="P2387" s="2897">
        <f>IFERROR(VLOOKUP(F2387,Trainingsarten!$A$9:$N$84,12,FALSE),"")</f>
        <v>194.60000000000002</v>
      </c>
      <c r="Q2387" s="2898" t="s">
        <v>437</v>
      </c>
      <c r="R2387" s="3099">
        <f>IFERROR(VLOOKUP(F2387,Trainingsarten!$A$9:$N$84,14,FALSE),"")</f>
        <v>212.96</v>
      </c>
      <c r="S2387" s="3100" t="str">
        <f t="shared" si="560"/>
        <v/>
      </c>
      <c r="T2387" s="3090">
        <f t="shared" si="561"/>
        <v>33.128032023251031</v>
      </c>
      <c r="U2387" s="3090">
        <f t="shared" si="562"/>
        <v>28.735526521244307</v>
      </c>
      <c r="V2387" s="3090">
        <f t="shared" si="563"/>
        <v>-4.0732418996726878</v>
      </c>
      <c r="W2387" s="3284">
        <f t="shared" si="564"/>
        <v>1.152859753544426</v>
      </c>
      <c r="X2387" s="3300"/>
      <c r="Y2387" s="3316">
        <f t="shared" si="557"/>
        <v>0</v>
      </c>
      <c r="Z2387" s="3338">
        <f t="shared" si="554"/>
        <v>4.7529056689104689E-5</v>
      </c>
      <c r="AA2387" s="3338">
        <f t="shared" si="555"/>
        <v>3.3197859288117955</v>
      </c>
      <c r="AB2387" s="3339">
        <f t="shared" si="556"/>
        <v>1.4316904074027477E-5</v>
      </c>
    </row>
    <row r="2388" spans="1:31" x14ac:dyDescent="0.2">
      <c r="A2388" s="2935" t="s">
        <v>980</v>
      </c>
      <c r="B2388" s="3006" t="str">
        <f>IFERROR(AVERAGE(S2383:S2389),"")</f>
        <v/>
      </c>
      <c r="C2388" s="2937">
        <v>45486</v>
      </c>
      <c r="D2388" s="3090"/>
      <c r="E2388" s="3091"/>
      <c r="F2388" s="3407"/>
      <c r="G2388" s="3092"/>
      <c r="H2388" s="3093" t="str">
        <f>IFERROR(VLOOKUP(F2388,Trainingsarten!$A$9:$K$84,10,FALSE),"")</f>
        <v/>
      </c>
      <c r="I2388" s="3094" t="str">
        <f t="shared" si="558"/>
        <v/>
      </c>
      <c r="J2388" s="3095"/>
      <c r="K2388" s="3096" t="str">
        <f>IFERROR(VLOOKUP(F2388,Trainingsarten!$A$9:$K$84,11,FALSE),"0")</f>
        <v>0</v>
      </c>
      <c r="L2388" s="2816"/>
      <c r="M2388" s="3095"/>
      <c r="N2388" s="3097" t="str">
        <f t="shared" si="559"/>
        <v/>
      </c>
      <c r="O2388" s="3098"/>
      <c r="P2388" s="2897" t="str">
        <f>IFERROR(VLOOKUP(F2388,Trainingsarten!$A$9:$N$84,12,FALSE),"")</f>
        <v/>
      </c>
      <c r="Q2388" s="2898" t="s">
        <v>437</v>
      </c>
      <c r="R2388" s="3099" t="str">
        <f>IFERROR(VLOOKUP(F2388,Trainingsarten!$A$9:$N$84,14,FALSE),"")</f>
        <v/>
      </c>
      <c r="S2388" s="3100" t="str">
        <f t="shared" si="560"/>
        <v/>
      </c>
      <c r="T2388" s="3090">
        <f t="shared" si="561"/>
        <v>28.395456019929455</v>
      </c>
      <c r="U2388" s="3090">
        <f t="shared" si="562"/>
        <v>28.051347318357536</v>
      </c>
      <c r="V2388" s="3090">
        <f t="shared" si="563"/>
        <v>-4.3925055020067241</v>
      </c>
      <c r="W2388" s="3284">
        <f t="shared" si="564"/>
        <v>1.0122671006731547</v>
      </c>
      <c r="X2388" s="3300"/>
      <c r="Y2388" s="3316" t="str">
        <f t="shared" si="557"/>
        <v/>
      </c>
      <c r="Z2388" s="3338">
        <f t="shared" si="554"/>
        <v>4.0739191447804018E-5</v>
      </c>
      <c r="AA2388" s="3338">
        <f t="shared" si="555"/>
        <v>3.2407434066972289</v>
      </c>
      <c r="AB2388" s="3339">
        <f t="shared" si="556"/>
        <v>1.2570940162560711E-5</v>
      </c>
      <c r="AE2388" s="367" t="s">
        <v>1493</v>
      </c>
    </row>
    <row r="2389" spans="1:31" ht="16" thickBot="1" x14ac:dyDescent="0.25">
      <c r="A2389" s="2936" t="s">
        <v>183</v>
      </c>
      <c r="B2389" s="3003">
        <f>IFERROR(SUM(M2383:M2389),"")</f>
        <v>0</v>
      </c>
      <c r="C2389" s="2576">
        <v>45487</v>
      </c>
      <c r="D2389" s="1788"/>
      <c r="E2389" s="1789"/>
      <c r="F2389" s="3408" t="s">
        <v>819</v>
      </c>
      <c r="G2389" s="2577"/>
      <c r="H2389" s="2578">
        <f>IFERROR(VLOOKUP(F2389,Trainingsarten!$A$9:$K$84,10,FALSE),"")</f>
        <v>10.171067034796261</v>
      </c>
      <c r="I2389" s="2579">
        <f t="shared" si="558"/>
        <v>0</v>
      </c>
      <c r="J2389" s="2580"/>
      <c r="K2389" s="2581">
        <f>IFERROR(VLOOKUP(F2389,Trainingsarten!$A$9:$K$84,11,FALSE),"0")</f>
        <v>72.25</v>
      </c>
      <c r="L2389" s="3101"/>
      <c r="M2389" s="2580"/>
      <c r="N2389" s="2582" t="str">
        <f t="shared" si="559"/>
        <v/>
      </c>
      <c r="O2389" s="2583"/>
      <c r="P2389" s="3102">
        <f>IFERROR(VLOOKUP(F2389,Trainingsarten!$A$9:$N$84,12,FALSE),"")</f>
        <v>194.60000000000002</v>
      </c>
      <c r="Q2389" s="3103" t="s">
        <v>437</v>
      </c>
      <c r="R2389" s="3104">
        <f>IFERROR(VLOOKUP(F2389,Trainingsarten!$A$9:$N$84,14,FALSE),"")</f>
        <v>212.96</v>
      </c>
      <c r="S2389" s="2390" t="str">
        <f t="shared" si="560"/>
        <v/>
      </c>
      <c r="T2389" s="1788">
        <f t="shared" si="561"/>
        <v>34.66039087422525</v>
      </c>
      <c r="U2389" s="1788">
        <f t="shared" si="562"/>
        <v>29.103696191729973</v>
      </c>
      <c r="V2389" s="1788">
        <f t="shared" si="563"/>
        <v>-0.34410870157191908</v>
      </c>
      <c r="W2389" s="3293">
        <f t="shared" si="564"/>
        <v>1.1909274562890142</v>
      </c>
      <c r="X2389" s="3309"/>
      <c r="Y2389" s="3340">
        <f t="shared" si="557"/>
        <v>0</v>
      </c>
      <c r="Z2389" s="3314">
        <f t="shared" si="554"/>
        <v>3.4919306955260589E-5</v>
      </c>
      <c r="AA2389" s="3314">
        <f t="shared" si="555"/>
        <v>3.1635828493949139</v>
      </c>
      <c r="AB2389" s="2846">
        <f t="shared" si="556"/>
        <v>1.1037898679321602E-5</v>
      </c>
    </row>
    <row r="2390" spans="1:31" ht="16" thickBot="1" x14ac:dyDescent="0.25">
      <c r="A2390" s="3439">
        <f>WEEKNUM(C2390,1)</f>
        <v>29</v>
      </c>
      <c r="B2390" s="3440"/>
      <c r="C2390" s="2585">
        <v>45488</v>
      </c>
      <c r="D2390" s="2586"/>
      <c r="E2390" s="2587"/>
      <c r="F2390" s="3404" t="s">
        <v>944</v>
      </c>
      <c r="G2390" s="2588"/>
      <c r="H2390" s="2589">
        <f>IFERROR(VLOOKUP(F2390,Trainingsarten!$A$9:$K$84,10,FALSE),"")</f>
        <v>5.0855335173981304</v>
      </c>
      <c r="I2390" s="2590">
        <f t="shared" si="558"/>
        <v>0</v>
      </c>
      <c r="J2390" s="2591"/>
      <c r="K2390" s="2592">
        <f>IFERROR(VLOOKUP(F2390,Trainingsarten!$A$9:$K$84,11,FALSE),"0")</f>
        <v>36.125</v>
      </c>
      <c r="L2390" s="2815"/>
      <c r="M2390" s="2591"/>
      <c r="N2390" s="2593" t="str">
        <f t="shared" si="559"/>
        <v/>
      </c>
      <c r="O2390" s="2594"/>
      <c r="P2390" s="1919">
        <f>IFERROR(VLOOKUP(F2390,Trainingsarten!$A$9:$N$84,12,FALSE),"")</f>
        <v>194.60000000000002</v>
      </c>
      <c r="Q2390" s="2461" t="s">
        <v>437</v>
      </c>
      <c r="R2390" s="3089">
        <f>IFERROR(VLOOKUP(F2390,Trainingsarten!$A$9:$N$84,14,FALSE),"")</f>
        <v>212.96</v>
      </c>
      <c r="S2390" s="2595" t="str">
        <f t="shared" si="560"/>
        <v/>
      </c>
      <c r="T2390" s="2586">
        <f t="shared" si="561"/>
        <v>34.86962074933593</v>
      </c>
      <c r="U2390" s="2586">
        <f t="shared" si="562"/>
        <v>29.270870091926877</v>
      </c>
      <c r="V2390" s="2586">
        <f t="shared" si="563"/>
        <v>-5.5566946824952765</v>
      </c>
      <c r="W2390" s="3283">
        <f t="shared" si="564"/>
        <v>1.1912738036083603</v>
      </c>
      <c r="X2390" s="3298"/>
      <c r="Y2390" s="3315">
        <f t="shared" si="557"/>
        <v>0</v>
      </c>
      <c r="Z2390" s="1111">
        <f t="shared" si="554"/>
        <v>2.9930834533080505E-5</v>
      </c>
      <c r="AA2390" s="1111">
        <f t="shared" si="555"/>
        <v>3.0882594482188446</v>
      </c>
      <c r="AB2390" s="2449">
        <f t="shared" si="556"/>
        <v>9.6918134745262849E-6</v>
      </c>
    </row>
    <row r="2391" spans="1:31" x14ac:dyDescent="0.2">
      <c r="A2391" s="2934" t="s">
        <v>626</v>
      </c>
      <c r="B2391" s="3004">
        <f>SUM(H2390:H2396)</f>
        <v>32.208378943521495</v>
      </c>
      <c r="C2391" s="2937">
        <v>45489</v>
      </c>
      <c r="D2391" s="3090"/>
      <c r="E2391" s="3091"/>
      <c r="F2391" s="3405" t="s">
        <v>944</v>
      </c>
      <c r="G2391" s="3092"/>
      <c r="H2391" s="3093">
        <f>IFERROR(VLOOKUP(F2391,Trainingsarten!$A$9:$K$84,10,FALSE),"")</f>
        <v>5.0855335173981304</v>
      </c>
      <c r="I2391" s="3094">
        <f t="shared" si="558"/>
        <v>0</v>
      </c>
      <c r="J2391" s="3095"/>
      <c r="K2391" s="3096">
        <f>IFERROR(VLOOKUP(F2391,Trainingsarten!$A$9:$K$84,11,FALSE),"0")</f>
        <v>36.125</v>
      </c>
      <c r="L2391" s="2816"/>
      <c r="M2391" s="3095"/>
      <c r="N2391" s="3097" t="str">
        <f t="shared" si="559"/>
        <v/>
      </c>
      <c r="O2391" s="3098"/>
      <c r="P2391" s="2897">
        <f>IFERROR(VLOOKUP(F2391,Trainingsarten!$A$9:$N$84,12,FALSE),"")</f>
        <v>194.60000000000002</v>
      </c>
      <c r="Q2391" s="2898" t="s">
        <v>437</v>
      </c>
      <c r="R2391" s="3099">
        <f>IFERROR(VLOOKUP(F2391,Trainingsarten!$A$9:$N$84,14,FALSE),"")</f>
        <v>212.96</v>
      </c>
      <c r="S2391" s="3100" t="str">
        <f t="shared" si="560"/>
        <v/>
      </c>
      <c r="T2391" s="3090">
        <f t="shared" si="561"/>
        <v>35.048960642287938</v>
      </c>
      <c r="U2391" s="3090">
        <f t="shared" si="562"/>
        <v>29.434063661166714</v>
      </c>
      <c r="V2391" s="3090">
        <f t="shared" si="563"/>
        <v>-5.5987506574090524</v>
      </c>
      <c r="W2391" s="3284">
        <f t="shared" si="564"/>
        <v>1.1907618684853609</v>
      </c>
      <c r="X2391" s="3300"/>
      <c r="Y2391" s="3316">
        <f t="shared" si="557"/>
        <v>0</v>
      </c>
      <c r="Z2391" s="2597">
        <f t="shared" si="554"/>
        <v>2.565500102835472E-5</v>
      </c>
      <c r="AA2391" s="2597">
        <f t="shared" si="555"/>
        <v>3.0147294613564912</v>
      </c>
      <c r="AB2391" s="3325">
        <f t="shared" si="556"/>
        <v>8.5098850020230792E-6</v>
      </c>
    </row>
    <row r="2392" spans="1:31" x14ac:dyDescent="0.2">
      <c r="A2392" s="2935" t="s">
        <v>628</v>
      </c>
      <c r="B2392" s="3005">
        <f>SUM(K2390:K2396)</f>
        <v>228.79166666666669</v>
      </c>
      <c r="C2392" s="2937">
        <v>45490</v>
      </c>
      <c r="D2392" s="3090"/>
      <c r="E2392" s="3091"/>
      <c r="F2392" s="3405"/>
      <c r="G2392" s="3092"/>
      <c r="H2392" s="3093" t="str">
        <f>IFERROR(VLOOKUP(F2392,Trainingsarten!$A$9:$K$84,10,FALSE),"")</f>
        <v/>
      </c>
      <c r="I2392" s="3094" t="str">
        <f t="shared" si="558"/>
        <v/>
      </c>
      <c r="J2392" s="3095"/>
      <c r="K2392" s="3096" t="str">
        <f>IFERROR(VLOOKUP(F2392,Trainingsarten!$A$9:$K$84,11,FALSE),"0")</f>
        <v>0</v>
      </c>
      <c r="L2392" s="2816"/>
      <c r="M2392" s="3095"/>
      <c r="N2392" s="3097" t="str">
        <f t="shared" si="559"/>
        <v/>
      </c>
      <c r="O2392" s="3098"/>
      <c r="P2392" s="2897" t="str">
        <f>IFERROR(VLOOKUP(F2392,Trainingsarten!$A$9:$N$84,12,FALSE),"")</f>
        <v/>
      </c>
      <c r="Q2392" s="2898" t="s">
        <v>437</v>
      </c>
      <c r="R2392" s="3099" t="str">
        <f>IFERROR(VLOOKUP(F2392,Trainingsarten!$A$9:$N$84,14,FALSE),"")</f>
        <v/>
      </c>
      <c r="S2392" s="3100" t="str">
        <f t="shared" si="560"/>
        <v/>
      </c>
      <c r="T2392" s="3090">
        <f t="shared" si="561"/>
        <v>30.041966264818232</v>
      </c>
      <c r="U2392" s="3090">
        <f t="shared" si="562"/>
        <v>28.733252621615126</v>
      </c>
      <c r="V2392" s="3090">
        <f t="shared" si="563"/>
        <v>-5.6148969811212233</v>
      </c>
      <c r="W2392" s="3284">
        <f t="shared" si="564"/>
        <v>1.045547006474951</v>
      </c>
      <c r="X2392" s="3300"/>
      <c r="Y2392" s="3316" t="str">
        <f t="shared" si="557"/>
        <v/>
      </c>
      <c r="Z2392" s="2597">
        <f t="shared" si="554"/>
        <v>2.1990000881446901E-5</v>
      </c>
      <c r="AA2392" s="2597">
        <f t="shared" si="555"/>
        <v>2.942950188467051</v>
      </c>
      <c r="AB2392" s="3325">
        <f t="shared" si="556"/>
        <v>7.4720941481178243E-6</v>
      </c>
    </row>
    <row r="2393" spans="1:31" x14ac:dyDescent="0.2">
      <c r="A2393" s="2935" t="s">
        <v>761</v>
      </c>
      <c r="B2393" s="3006">
        <f>AVERAGE(W2390:W2396)</f>
        <v>1.1187836752120952</v>
      </c>
      <c r="C2393" s="2937">
        <v>45491</v>
      </c>
      <c r="D2393" s="3090"/>
      <c r="E2393" s="3091"/>
      <c r="F2393" s="3405" t="s">
        <v>1466</v>
      </c>
      <c r="G2393" s="3092"/>
      <c r="H2393" s="3093">
        <f>IFERROR(VLOOKUP(F2393,Trainingsarten!$A$9:$K$84,10,FALSE),"")</f>
        <v>6.7807113565308406</v>
      </c>
      <c r="I2393" s="3094">
        <f t="shared" si="558"/>
        <v>0</v>
      </c>
      <c r="J2393" s="3095"/>
      <c r="K2393" s="3096">
        <f>IFERROR(VLOOKUP(F2393,Trainingsarten!$A$9:$K$84,11,FALSE),"0")</f>
        <v>48.166666666666671</v>
      </c>
      <c r="L2393" s="2816"/>
      <c r="M2393" s="3095"/>
      <c r="N2393" s="3097" t="str">
        <f t="shared" si="559"/>
        <v/>
      </c>
      <c r="O2393" s="3098"/>
      <c r="P2393" s="2897">
        <f>IFERROR(VLOOKUP(F2393,Trainingsarten!$A$9:$N$84,12,FALSE),"")</f>
        <v>194.60000000000002</v>
      </c>
      <c r="Q2393" s="2898" t="s">
        <v>437</v>
      </c>
      <c r="R2393" s="3099">
        <f>IFERROR(VLOOKUP(F2393,Trainingsarten!$A$9:$N$84,14,FALSE),"")</f>
        <v>212.96</v>
      </c>
      <c r="S2393" s="3100" t="str">
        <f t="shared" si="560"/>
        <v/>
      </c>
      <c r="T2393" s="3090">
        <f t="shared" si="561"/>
        <v>32.631209179368007</v>
      </c>
      <c r="U2393" s="3090">
        <f t="shared" si="562"/>
        <v>29.195952956021117</v>
      </c>
      <c r="V2393" s="3090">
        <f t="shared" si="563"/>
        <v>-1.3087136432031059</v>
      </c>
      <c r="W2393" s="3284">
        <f t="shared" si="564"/>
        <v>1.1176620687299208</v>
      </c>
      <c r="X2393" s="3300"/>
      <c r="Y2393" s="3316">
        <f t="shared" si="557"/>
        <v>0</v>
      </c>
      <c r="Z2393" s="2597">
        <f t="shared" si="554"/>
        <v>1.8848572184097344E-5</v>
      </c>
      <c r="AA2393" s="2597">
        <f t="shared" si="555"/>
        <v>2.872879945884502</v>
      </c>
      <c r="AB2393" s="3325">
        <f t="shared" si="556"/>
        <v>6.5608631544449194E-6</v>
      </c>
    </row>
    <row r="2394" spans="1:31" x14ac:dyDescent="0.2">
      <c r="A2394" s="2935" t="s">
        <v>979</v>
      </c>
      <c r="B2394" s="3131" t="str">
        <f>IFERROR(AVERAGE(N2390:N2396),"")</f>
        <v/>
      </c>
      <c r="C2394" s="2937">
        <v>45492</v>
      </c>
      <c r="D2394" s="3090"/>
      <c r="E2394" s="3091"/>
      <c r="F2394" s="3406" t="s">
        <v>944</v>
      </c>
      <c r="G2394" s="3092"/>
      <c r="H2394" s="3093">
        <f>IFERROR(VLOOKUP(F2394,Trainingsarten!$A$9:$K$84,10,FALSE),"")</f>
        <v>5.0855335173981304</v>
      </c>
      <c r="I2394" s="3094">
        <f t="shared" si="558"/>
        <v>0</v>
      </c>
      <c r="J2394" s="3095"/>
      <c r="K2394" s="3096">
        <f>IFERROR(VLOOKUP(F2394,Trainingsarten!$A$9:$K$84,11,FALSE),"0")</f>
        <v>36.125</v>
      </c>
      <c r="L2394" s="2816"/>
      <c r="M2394" s="3095"/>
      <c r="N2394" s="3097" t="str">
        <f t="shared" si="559"/>
        <v/>
      </c>
      <c r="O2394" s="3098"/>
      <c r="P2394" s="2897">
        <f>IFERROR(VLOOKUP(F2394,Trainingsarten!$A$9:$N$84,12,FALSE),"")</f>
        <v>194.60000000000002</v>
      </c>
      <c r="Q2394" s="2898" t="s">
        <v>437</v>
      </c>
      <c r="R2394" s="3099">
        <f>IFERROR(VLOOKUP(F2394,Trainingsarten!$A$9:$N$84,14,FALSE),"")</f>
        <v>212.96</v>
      </c>
      <c r="S2394" s="3100" t="str">
        <f t="shared" si="560"/>
        <v/>
      </c>
      <c r="T2394" s="3090">
        <f t="shared" si="561"/>
        <v>33.130322153744004</v>
      </c>
      <c r="U2394" s="3090">
        <f t="shared" si="562"/>
        <v>29.360930266592042</v>
      </c>
      <c r="V2394" s="3090">
        <f t="shared" si="563"/>
        <v>-3.4352562233468902</v>
      </c>
      <c r="W2394" s="3284">
        <f t="shared" si="564"/>
        <v>1.1283812145230601</v>
      </c>
      <c r="X2394" s="3300"/>
      <c r="Y2394" s="3316">
        <f t="shared" si="557"/>
        <v>0</v>
      </c>
      <c r="Z2394" s="2597">
        <f t="shared" si="554"/>
        <v>1.6155919014940581E-5</v>
      </c>
      <c r="AA2394" s="2597">
        <f t="shared" si="555"/>
        <v>2.8044780424110614</v>
      </c>
      <c r="AB2394" s="3325">
        <f t="shared" si="556"/>
        <v>5.7607578917077348E-6</v>
      </c>
    </row>
    <row r="2395" spans="1:31" x14ac:dyDescent="0.2">
      <c r="A2395" s="2935" t="s">
        <v>980</v>
      </c>
      <c r="B2395" s="3006" t="str">
        <f>IFERROR(AVERAGE(S2390:S2396),"")</f>
        <v/>
      </c>
      <c r="C2395" s="2937">
        <v>45493</v>
      </c>
      <c r="D2395" s="3090"/>
      <c r="E2395" s="3091"/>
      <c r="F2395" s="3407"/>
      <c r="G2395" s="3092"/>
      <c r="H2395" s="3093" t="str">
        <f>IFERROR(VLOOKUP(F2395,Trainingsarten!$A$9:$K$84,10,FALSE),"")</f>
        <v/>
      </c>
      <c r="I2395" s="3094" t="str">
        <f t="shared" si="558"/>
        <v/>
      </c>
      <c r="J2395" s="3095"/>
      <c r="K2395" s="3096" t="str">
        <f>IFERROR(VLOOKUP(F2395,Trainingsarten!$A$9:$K$84,11,FALSE),"0")</f>
        <v>0</v>
      </c>
      <c r="L2395" s="2816"/>
      <c r="M2395" s="3095"/>
      <c r="N2395" s="3097" t="str">
        <f t="shared" si="559"/>
        <v/>
      </c>
      <c r="O2395" s="3098"/>
      <c r="P2395" s="2897" t="str">
        <f>IFERROR(VLOOKUP(F2395,Trainingsarten!$A$9:$N$84,12,FALSE),"")</f>
        <v/>
      </c>
      <c r="Q2395" s="2898" t="s">
        <v>437</v>
      </c>
      <c r="R2395" s="3099" t="str">
        <f>IFERROR(VLOOKUP(F2395,Trainingsarten!$A$9:$N$84,14,FALSE),"")</f>
        <v/>
      </c>
      <c r="S2395" s="3100" t="str">
        <f t="shared" si="560"/>
        <v/>
      </c>
      <c r="T2395" s="3090">
        <f t="shared" si="561"/>
        <v>28.397418988923434</v>
      </c>
      <c r="U2395" s="3090">
        <f t="shared" si="562"/>
        <v>28.661860498339852</v>
      </c>
      <c r="V2395" s="3090">
        <f t="shared" si="563"/>
        <v>-3.7693918871519614</v>
      </c>
      <c r="W2395" s="3284">
        <f t="shared" si="564"/>
        <v>0.9907737493373211</v>
      </c>
      <c r="X2395" s="3300"/>
      <c r="Y2395" s="3316" t="str">
        <f t="shared" si="557"/>
        <v/>
      </c>
      <c r="Z2395" s="2597">
        <f t="shared" si="554"/>
        <v>1.3847930584234784E-5</v>
      </c>
      <c r="AA2395" s="2597">
        <f t="shared" si="555"/>
        <v>2.7377047556869885</v>
      </c>
      <c r="AB2395" s="3325">
        <f t="shared" si="556"/>
        <v>5.0582264414994748E-6</v>
      </c>
    </row>
    <row r="2396" spans="1:31" ht="16" thickBot="1" x14ac:dyDescent="0.25">
      <c r="A2396" s="2936" t="s">
        <v>183</v>
      </c>
      <c r="B2396" s="3003">
        <f>IFERROR(SUM(M2390:M2396),"")</f>
        <v>0</v>
      </c>
      <c r="C2396" s="2576">
        <v>45494</v>
      </c>
      <c r="D2396" s="1788"/>
      <c r="E2396" s="1789"/>
      <c r="F2396" s="3408" t="s">
        <v>819</v>
      </c>
      <c r="G2396" s="2577"/>
      <c r="H2396" s="2578">
        <f>IFERROR(VLOOKUP(F2396,Trainingsarten!$A$9:$K$84,10,FALSE),"")</f>
        <v>10.171067034796261</v>
      </c>
      <c r="I2396" s="2579">
        <f t="shared" si="558"/>
        <v>0</v>
      </c>
      <c r="J2396" s="2580"/>
      <c r="K2396" s="2581">
        <f>IFERROR(VLOOKUP(F2396,Trainingsarten!$A$9:$K$84,11,FALSE),"0")</f>
        <v>72.25</v>
      </c>
      <c r="L2396" s="3101"/>
      <c r="M2396" s="2580"/>
      <c r="N2396" s="2582" t="str">
        <f t="shared" si="559"/>
        <v/>
      </c>
      <c r="O2396" s="2583"/>
      <c r="P2396" s="3102">
        <f>IFERROR(VLOOKUP(F2396,Trainingsarten!$A$9:$N$84,12,FALSE),"")</f>
        <v>194.60000000000002</v>
      </c>
      <c r="Q2396" s="3103" t="s">
        <v>437</v>
      </c>
      <c r="R2396" s="3104">
        <f>IFERROR(VLOOKUP(F2396,Trainingsarten!$A$9:$N$84,14,FALSE),"")</f>
        <v>212.96</v>
      </c>
      <c r="S2396" s="2390" t="str">
        <f t="shared" si="560"/>
        <v/>
      </c>
      <c r="T2396" s="1788">
        <f t="shared" si="561"/>
        <v>34.662073419077231</v>
      </c>
      <c r="U2396" s="1788">
        <f t="shared" si="562"/>
        <v>29.699673343617476</v>
      </c>
      <c r="V2396" s="1788">
        <f t="shared" si="563"/>
        <v>0.26444150941641809</v>
      </c>
      <c r="W2396" s="3293">
        <f t="shared" si="564"/>
        <v>1.1670860153256932</v>
      </c>
      <c r="X2396" s="3300"/>
      <c r="Y2396" s="3316">
        <f t="shared" si="557"/>
        <v>0</v>
      </c>
      <c r="Z2396" s="2597">
        <f t="shared" ref="Z2396:Z2459" si="565">Z2395+(X2396-Z2395)/7</f>
        <v>1.1869654786486958E-5</v>
      </c>
      <c r="AA2396" s="2597">
        <f t="shared" ref="AA2396:AA2459" si="566">AA2395+(X2396-AA2395)/42</f>
        <v>2.6725213091230127</v>
      </c>
      <c r="AB2396" s="3325">
        <f t="shared" ref="AB2396:AB2459" si="567">Z2396/AA2396</f>
        <v>4.441369558389782E-6</v>
      </c>
    </row>
    <row r="2397" spans="1:31" ht="16" thickBot="1" x14ac:dyDescent="0.25">
      <c r="A2397" s="3439">
        <f>WEEKNUM(C2397,1)</f>
        <v>30</v>
      </c>
      <c r="B2397" s="3440"/>
      <c r="C2397" s="2585">
        <v>45495</v>
      </c>
      <c r="D2397" s="2586"/>
      <c r="E2397" s="2587"/>
      <c r="F2397" s="3343" t="s">
        <v>943</v>
      </c>
      <c r="G2397" s="2588"/>
      <c r="H2397" s="2589">
        <f>IFERROR(VLOOKUP(F2397,Trainingsarten!$A$9:$K$84,10,FALSE),"")</f>
        <v>7.6283002760971961</v>
      </c>
      <c r="I2397" s="2590">
        <f t="shared" si="558"/>
        <v>0</v>
      </c>
      <c r="J2397" s="2591"/>
      <c r="K2397" s="2592">
        <f>IFERROR(VLOOKUP(F2397,Trainingsarten!$A$9:$K$84,11,FALSE),"0")</f>
        <v>54.1875</v>
      </c>
      <c r="L2397" s="2815"/>
      <c r="M2397" s="2591"/>
      <c r="N2397" s="2593" t="str">
        <f t="shared" si="559"/>
        <v/>
      </c>
      <c r="O2397" s="2594"/>
      <c r="P2397" s="1919">
        <f>IFERROR(VLOOKUP(F2397,Trainingsarten!$A$9:$N$84,12,FALSE),"")</f>
        <v>194.60000000000002</v>
      </c>
      <c r="Q2397" s="2461" t="s">
        <v>437</v>
      </c>
      <c r="R2397" s="3089">
        <f>IFERROR(VLOOKUP(F2397,Trainingsarten!$A$9:$N$84,14,FALSE),"")</f>
        <v>212.96</v>
      </c>
      <c r="S2397" s="2595" t="str">
        <f t="shared" si="560"/>
        <v/>
      </c>
      <c r="T2397" s="2586">
        <f t="shared" si="561"/>
        <v>37.451420073494766</v>
      </c>
      <c r="U2397" s="2586">
        <f t="shared" si="562"/>
        <v>30.282716835436108</v>
      </c>
      <c r="V2397" s="2586">
        <f t="shared" si="563"/>
        <v>-4.9624000754597546</v>
      </c>
      <c r="W2397" s="3283">
        <f t="shared" si="564"/>
        <v>1.2367258947410562</v>
      </c>
      <c r="X2397" s="3300"/>
      <c r="Y2397" s="3316">
        <f t="shared" si="557"/>
        <v>0</v>
      </c>
      <c r="Z2397" s="2597">
        <f t="shared" si="565"/>
        <v>1.017398981698882E-5</v>
      </c>
      <c r="AA2397" s="2597">
        <f t="shared" si="566"/>
        <v>2.6088898493819888</v>
      </c>
      <c r="AB2397" s="3325">
        <f t="shared" si="567"/>
        <v>3.8997391244398085E-6</v>
      </c>
    </row>
    <row r="2398" spans="1:31" x14ac:dyDescent="0.2">
      <c r="A2398" s="2934" t="s">
        <v>626</v>
      </c>
      <c r="B2398" s="3004">
        <f>SUM(H2397:H2403)</f>
        <v>53.332375493855487</v>
      </c>
      <c r="C2398" s="2937">
        <v>45496</v>
      </c>
      <c r="D2398" s="3090"/>
      <c r="E2398" s="3091"/>
      <c r="F2398" s="3344" t="s">
        <v>943</v>
      </c>
      <c r="G2398" s="3092"/>
      <c r="H2398" s="3093">
        <f>IFERROR(VLOOKUP(F2398,Trainingsarten!$A$9:$K$84,10,FALSE),"")</f>
        <v>7.6283002760971961</v>
      </c>
      <c r="I2398" s="3094">
        <f t="shared" si="558"/>
        <v>0</v>
      </c>
      <c r="J2398" s="3095"/>
      <c r="K2398" s="3096">
        <f>IFERROR(VLOOKUP(F2398,Trainingsarten!$A$9:$K$84,11,FALSE),"0")</f>
        <v>54.1875</v>
      </c>
      <c r="L2398" s="2816"/>
      <c r="M2398" s="3095"/>
      <c r="N2398" s="3097" t="str">
        <f t="shared" si="559"/>
        <v/>
      </c>
      <c r="O2398" s="3098"/>
      <c r="P2398" s="2897">
        <f>IFERROR(VLOOKUP(F2398,Trainingsarten!$A$9:$N$84,12,FALSE),"")</f>
        <v>194.60000000000002</v>
      </c>
      <c r="Q2398" s="2898" t="s">
        <v>437</v>
      </c>
      <c r="R2398" s="3099">
        <f>IFERROR(VLOOKUP(F2398,Trainingsarten!$A$9:$N$84,14,FALSE),"")</f>
        <v>212.96</v>
      </c>
      <c r="S2398" s="3100" t="str">
        <f t="shared" si="560"/>
        <v/>
      </c>
      <c r="T2398" s="3090">
        <f t="shared" si="561"/>
        <v>39.842288634424087</v>
      </c>
      <c r="U2398" s="3090">
        <f t="shared" si="562"/>
        <v>30.851878339354297</v>
      </c>
      <c r="V2398" s="3090">
        <f t="shared" si="563"/>
        <v>-7.1687032380586579</v>
      </c>
      <c r="W2398" s="3284">
        <f t="shared" si="564"/>
        <v>1.2914056057196921</v>
      </c>
      <c r="X2398" s="3300"/>
      <c r="Y2398" s="3316">
        <f t="shared" si="557"/>
        <v>0</v>
      </c>
      <c r="Z2398" s="2597">
        <f t="shared" si="565"/>
        <v>8.7205627002761308E-6</v>
      </c>
      <c r="AA2398" s="2597">
        <f t="shared" si="566"/>
        <v>2.5467734243967035</v>
      </c>
      <c r="AB2398" s="3325">
        <f t="shared" si="567"/>
        <v>3.4241611824349529E-6</v>
      </c>
    </row>
    <row r="2399" spans="1:31" x14ac:dyDescent="0.2">
      <c r="A2399" s="2935" t="s">
        <v>628</v>
      </c>
      <c r="B2399" s="3005">
        <f>SUM(K2397:K2403)</f>
        <v>383.76912578231344</v>
      </c>
      <c r="C2399" s="2937">
        <v>45497</v>
      </c>
      <c r="D2399" s="3090"/>
      <c r="E2399" s="3091"/>
      <c r="F2399" s="3344" t="s">
        <v>918</v>
      </c>
      <c r="G2399" s="3092"/>
      <c r="H2399" s="3093">
        <f>IFERROR(VLOOKUP(F2399,Trainingsarten!$A$9:$K$84,10,FALSE),"")</f>
        <v>7.5625738372723088</v>
      </c>
      <c r="I2399" s="3094">
        <f t="shared" si="558"/>
        <v>0</v>
      </c>
      <c r="J2399" s="3095"/>
      <c r="K2399" s="3096">
        <f>IFERROR(VLOOKUP(F2399,Trainingsarten!$A$9:$K$84,11,FALSE),"0")</f>
        <v>58.644125782313438</v>
      </c>
      <c r="L2399" s="2816"/>
      <c r="M2399" s="3095"/>
      <c r="N2399" s="3097" t="str">
        <f t="shared" si="559"/>
        <v/>
      </c>
      <c r="O2399" s="3098"/>
      <c r="P2399" s="2897">
        <f>IFERROR(VLOOKUP(F2399,Trainingsarten!$A$9:$N$84,12,FALSE),"")</f>
        <v>279.29999999999995</v>
      </c>
      <c r="Q2399" s="2898" t="s">
        <v>437</v>
      </c>
      <c r="R2399" s="3099">
        <f>IFERROR(VLOOKUP(F2399,Trainingsarten!$A$9:$N$84,14,FALSE),"")</f>
        <v>314.60000000000002</v>
      </c>
      <c r="S2399" s="3100" t="str">
        <f t="shared" si="560"/>
        <v/>
      </c>
      <c r="T2399" s="3090">
        <f t="shared" si="561"/>
        <v>42.528265369836852</v>
      </c>
      <c r="U2399" s="3090">
        <f t="shared" si="562"/>
        <v>31.513598516567608</v>
      </c>
      <c r="V2399" s="3090">
        <f t="shared" si="563"/>
        <v>-8.9904102950697897</v>
      </c>
      <c r="W2399" s="3284">
        <f t="shared" si="564"/>
        <v>1.3495210757184242</v>
      </c>
      <c r="X2399" s="3300"/>
      <c r="Y2399" s="3316">
        <f t="shared" si="557"/>
        <v>0</v>
      </c>
      <c r="Z2399" s="2597">
        <f t="shared" si="565"/>
        <v>7.4747680288081123E-6</v>
      </c>
      <c r="AA2399" s="2597">
        <f t="shared" si="566"/>
        <v>2.4861359619110677</v>
      </c>
      <c r="AB2399" s="3325">
        <f t="shared" si="567"/>
        <v>3.0065805504306905E-6</v>
      </c>
    </row>
    <row r="2400" spans="1:31" x14ac:dyDescent="0.2">
      <c r="A2400" s="2935" t="s">
        <v>761</v>
      </c>
      <c r="B2400" s="3006">
        <f>AVERAGE(W2397:W2403)</f>
        <v>1.3768689644212546</v>
      </c>
      <c r="C2400" s="2937">
        <v>45498</v>
      </c>
      <c r="D2400" s="3090"/>
      <c r="E2400" s="3091"/>
      <c r="F2400" s="3344" t="s">
        <v>943</v>
      </c>
      <c r="G2400" s="3092"/>
      <c r="H2400" s="3093">
        <f>IFERROR(VLOOKUP(F2400,Trainingsarten!$A$9:$K$84,10,FALSE),"")</f>
        <v>7.6283002760971961</v>
      </c>
      <c r="I2400" s="3094">
        <f t="shared" si="558"/>
        <v>0</v>
      </c>
      <c r="J2400" s="3095"/>
      <c r="K2400" s="3096">
        <f>IFERROR(VLOOKUP(F2400,Trainingsarten!$A$9:$K$84,11,FALSE),"0")</f>
        <v>54.1875</v>
      </c>
      <c r="L2400" s="2816"/>
      <c r="M2400" s="3095"/>
      <c r="N2400" s="3097" t="str">
        <f t="shared" si="559"/>
        <v/>
      </c>
      <c r="O2400" s="3098"/>
      <c r="P2400" s="2897">
        <f>IFERROR(VLOOKUP(F2400,Trainingsarten!$A$9:$N$84,12,FALSE),"")</f>
        <v>194.60000000000002</v>
      </c>
      <c r="Q2400" s="2898" t="s">
        <v>437</v>
      </c>
      <c r="R2400" s="3099">
        <f>IFERROR(VLOOKUP(F2400,Trainingsarten!$A$9:$N$84,14,FALSE),"")</f>
        <v>212.96</v>
      </c>
      <c r="S2400" s="3100" t="str">
        <f t="shared" si="560"/>
        <v/>
      </c>
      <c r="T2400" s="3090">
        <f t="shared" si="561"/>
        <v>44.193870317003018</v>
      </c>
      <c r="U2400" s="3090">
        <f t="shared" si="562"/>
        <v>32.05345331379219</v>
      </c>
      <c r="V2400" s="3090">
        <f t="shared" si="563"/>
        <v>-11.014666853269244</v>
      </c>
      <c r="W2400" s="3284">
        <f t="shared" si="564"/>
        <v>1.3787553523285108</v>
      </c>
      <c r="X2400" s="3300"/>
      <c r="Y2400" s="3316">
        <f t="shared" si="557"/>
        <v>0</v>
      </c>
      <c r="Z2400" s="2597">
        <f t="shared" si="565"/>
        <v>6.4069440246926672E-6</v>
      </c>
      <c r="AA2400" s="2597">
        <f t="shared" si="566"/>
        <v>2.4269422485322325</v>
      </c>
      <c r="AB2400" s="3325">
        <f t="shared" si="567"/>
        <v>2.6399243857440212E-6</v>
      </c>
    </row>
    <row r="2401" spans="1:31" x14ac:dyDescent="0.2">
      <c r="A2401" s="2935" t="s">
        <v>979</v>
      </c>
      <c r="B2401" s="3131" t="str">
        <f>IFERROR(AVERAGE(N2397:N2403),"")</f>
        <v/>
      </c>
      <c r="C2401" s="2937">
        <v>45499</v>
      </c>
      <c r="D2401" s="3090"/>
      <c r="E2401" s="3091"/>
      <c r="F2401" s="3344" t="s">
        <v>943</v>
      </c>
      <c r="G2401" s="3092"/>
      <c r="H2401" s="3093">
        <f>IFERROR(VLOOKUP(F2401,Trainingsarten!$A$9:$K$84,10,FALSE),"")</f>
        <v>7.6283002760971961</v>
      </c>
      <c r="I2401" s="3094">
        <f t="shared" si="558"/>
        <v>0</v>
      </c>
      <c r="J2401" s="3095"/>
      <c r="K2401" s="3096">
        <f>IFERROR(VLOOKUP(F2401,Trainingsarten!$A$9:$K$84,11,FALSE),"0")</f>
        <v>54.1875</v>
      </c>
      <c r="L2401" s="2816"/>
      <c r="M2401" s="3095"/>
      <c r="N2401" s="3097" t="str">
        <f t="shared" si="559"/>
        <v/>
      </c>
      <c r="O2401" s="3098"/>
      <c r="P2401" s="2897">
        <f>IFERROR(VLOOKUP(F2401,Trainingsarten!$A$9:$N$84,12,FALSE),"")</f>
        <v>194.60000000000002</v>
      </c>
      <c r="Q2401" s="2898" t="s">
        <v>437</v>
      </c>
      <c r="R2401" s="3099">
        <f>IFERROR(VLOOKUP(F2401,Trainingsarten!$A$9:$N$84,14,FALSE),"")</f>
        <v>212.96</v>
      </c>
      <c r="S2401" s="3100" t="str">
        <f t="shared" si="560"/>
        <v/>
      </c>
      <c r="T2401" s="3090">
        <f t="shared" si="561"/>
        <v>45.621531700288301</v>
      </c>
      <c r="U2401" s="3090">
        <f t="shared" si="562"/>
        <v>32.580454425368565</v>
      </c>
      <c r="V2401" s="3090">
        <f t="shared" si="563"/>
        <v>-12.140417003210828</v>
      </c>
      <c r="W2401" s="3284">
        <f t="shared" si="564"/>
        <v>1.4002730319428995</v>
      </c>
      <c r="X2401" s="3300"/>
      <c r="Y2401" s="3316">
        <f t="shared" si="557"/>
        <v>0</v>
      </c>
      <c r="Z2401" s="2597">
        <f t="shared" si="565"/>
        <v>5.4916663068794292E-6</v>
      </c>
      <c r="AA2401" s="2597">
        <f t="shared" si="566"/>
        <v>2.3691579092814652</v>
      </c>
      <c r="AB2401" s="3325">
        <f t="shared" si="567"/>
        <v>2.3179823874825549E-6</v>
      </c>
    </row>
    <row r="2402" spans="1:31" x14ac:dyDescent="0.2">
      <c r="A2402" s="2935" t="s">
        <v>980</v>
      </c>
      <c r="B2402" s="3006" t="str">
        <f>IFERROR(AVERAGE(S2397:S2403),"")</f>
        <v/>
      </c>
      <c r="C2402" s="2937">
        <v>45500</v>
      </c>
      <c r="D2402" s="3090"/>
      <c r="E2402" s="3091"/>
      <c r="F2402" s="3344" t="s">
        <v>809</v>
      </c>
      <c r="G2402" s="3092"/>
      <c r="H2402" s="3093">
        <f>IFERROR(VLOOKUP(F2402,Trainingsarten!$A$9:$K$84,10,FALSE),"")</f>
        <v>15.256600552194392</v>
      </c>
      <c r="I2402" s="3094">
        <f t="shared" si="558"/>
        <v>0</v>
      </c>
      <c r="J2402" s="3095"/>
      <c r="K2402" s="3096">
        <f>IFERROR(VLOOKUP(F2402,Trainingsarten!$A$9:$K$84,11,FALSE),"0")</f>
        <v>108.375</v>
      </c>
      <c r="L2402" s="2816"/>
      <c r="M2402" s="3095"/>
      <c r="N2402" s="3097" t="str">
        <f t="shared" si="559"/>
        <v/>
      </c>
      <c r="O2402" s="3098"/>
      <c r="P2402" s="2897">
        <f>IFERROR(VLOOKUP(F2402,Trainingsarten!$A$9:$N$84,12,FALSE),"")</f>
        <v>194.60000000000002</v>
      </c>
      <c r="Q2402" s="2898" t="s">
        <v>437</v>
      </c>
      <c r="R2402" s="3099">
        <f>IFERROR(VLOOKUP(F2402,Trainingsarten!$A$9:$N$84,14,FALSE),"")</f>
        <v>212.96</v>
      </c>
      <c r="S2402" s="3100" t="str">
        <f t="shared" si="560"/>
        <v/>
      </c>
      <c r="T2402" s="3090">
        <f t="shared" si="561"/>
        <v>54.586312885961405</v>
      </c>
      <c r="U2402" s="3090">
        <f t="shared" si="562"/>
        <v>34.385086462859789</v>
      </c>
      <c r="V2402" s="3090">
        <f t="shared" si="563"/>
        <v>-13.041077274919736</v>
      </c>
      <c r="W2402" s="3284">
        <f t="shared" si="564"/>
        <v>1.5874996546808593</v>
      </c>
      <c r="X2402" s="3300"/>
      <c r="Y2402" s="3316">
        <f t="shared" si="557"/>
        <v>0</v>
      </c>
      <c r="Z2402" s="2597">
        <f t="shared" si="565"/>
        <v>4.7071425487537966E-6</v>
      </c>
      <c r="AA2402" s="2597">
        <f t="shared" si="566"/>
        <v>2.3127493876319063</v>
      </c>
      <c r="AB2402" s="3325">
        <f t="shared" si="567"/>
        <v>2.035301608521268E-6</v>
      </c>
    </row>
    <row r="2403" spans="1:31" ht="16" thickBot="1" x14ac:dyDescent="0.25">
      <c r="A2403" s="2936" t="s">
        <v>183</v>
      </c>
      <c r="B2403" s="3003">
        <f>IFERROR(SUM(M2397:M2403),"")</f>
        <v>0</v>
      </c>
      <c r="C2403" s="2576">
        <v>45501</v>
      </c>
      <c r="D2403" s="1788"/>
      <c r="E2403" s="1789"/>
      <c r="F2403" s="3345"/>
      <c r="G2403" s="2577"/>
      <c r="H2403" s="2578" t="str">
        <f>IFERROR(VLOOKUP(F2403,Trainingsarten!$A$9:$K$84,10,FALSE),"")</f>
        <v/>
      </c>
      <c r="I2403" s="2579" t="str">
        <f t="shared" si="558"/>
        <v/>
      </c>
      <c r="J2403" s="2580"/>
      <c r="K2403" s="2581" t="str">
        <f>IFERROR(VLOOKUP(F2403,Trainingsarten!$A$9:$K$84,11,FALSE),"0")</f>
        <v>0</v>
      </c>
      <c r="L2403" s="3101"/>
      <c r="M2403" s="2580"/>
      <c r="N2403" s="2582" t="str">
        <f t="shared" si="559"/>
        <v/>
      </c>
      <c r="O2403" s="2583"/>
      <c r="P2403" s="3102" t="str">
        <f>IFERROR(VLOOKUP(F2403,Trainingsarten!$A$9:$N$84,12,FALSE),"")</f>
        <v/>
      </c>
      <c r="Q2403" s="3103" t="s">
        <v>437</v>
      </c>
      <c r="R2403" s="3104" t="str">
        <f>IFERROR(VLOOKUP(F2403,Trainingsarten!$A$9:$N$84,14,FALSE),"")</f>
        <v/>
      </c>
      <c r="S2403" s="2390" t="str">
        <f t="shared" si="560"/>
        <v/>
      </c>
      <c r="T2403" s="1788">
        <f t="shared" si="561"/>
        <v>46.788268187966921</v>
      </c>
      <c r="U2403" s="1788">
        <f t="shared" si="562"/>
        <v>33.566393928029797</v>
      </c>
      <c r="V2403" s="1788">
        <f t="shared" si="563"/>
        <v>-20.201226423101616</v>
      </c>
      <c r="W2403" s="3293">
        <f t="shared" si="564"/>
        <v>1.3939021358173398</v>
      </c>
      <c r="X2403" s="3300"/>
      <c r="Y2403" s="3316" t="str">
        <f t="shared" si="557"/>
        <v/>
      </c>
      <c r="Z2403" s="2597">
        <f t="shared" si="565"/>
        <v>4.0346936132175402E-6</v>
      </c>
      <c r="AA2403" s="2597">
        <f t="shared" si="566"/>
        <v>2.2576839260216226</v>
      </c>
      <c r="AB2403" s="3325">
        <f t="shared" si="567"/>
        <v>1.7870940952869674E-6</v>
      </c>
    </row>
    <row r="2404" spans="1:31" ht="16" thickBot="1" x14ac:dyDescent="0.25">
      <c r="A2404" s="3439">
        <f>WEEKNUM(C2404,1)</f>
        <v>31</v>
      </c>
      <c r="B2404" s="3440"/>
      <c r="C2404" s="2585">
        <v>45502</v>
      </c>
      <c r="D2404" s="2586"/>
      <c r="E2404" s="2587"/>
      <c r="F2404" s="3343" t="s">
        <v>943</v>
      </c>
      <c r="G2404" s="2588"/>
      <c r="H2404" s="2589">
        <f>IFERROR(VLOOKUP(F2404,Trainingsarten!$A$9:$K$84,10,FALSE),"")</f>
        <v>7.6283002760971961</v>
      </c>
      <c r="I2404" s="2590">
        <f t="shared" si="558"/>
        <v>0</v>
      </c>
      <c r="J2404" s="2591"/>
      <c r="K2404" s="2592">
        <f>IFERROR(VLOOKUP(F2404,Trainingsarten!$A$9:$K$84,11,FALSE),"0")</f>
        <v>54.1875</v>
      </c>
      <c r="L2404" s="2815"/>
      <c r="M2404" s="2591"/>
      <c r="N2404" s="2593" t="str">
        <f t="shared" si="559"/>
        <v/>
      </c>
      <c r="O2404" s="2594"/>
      <c r="P2404" s="1919">
        <f>IFERROR(VLOOKUP(F2404,Trainingsarten!$A$9:$N$84,12,FALSE),"")</f>
        <v>194.60000000000002</v>
      </c>
      <c r="Q2404" s="2461" t="s">
        <v>437</v>
      </c>
      <c r="R2404" s="3089">
        <f>IFERROR(VLOOKUP(F2404,Trainingsarten!$A$9:$N$84,14,FALSE),"")</f>
        <v>212.96</v>
      </c>
      <c r="S2404" s="2595" t="str">
        <f t="shared" si="560"/>
        <v/>
      </c>
      <c r="T2404" s="2586">
        <f t="shared" si="561"/>
        <v>47.845301303971645</v>
      </c>
      <c r="U2404" s="2586">
        <f t="shared" si="562"/>
        <v>34.057372644029087</v>
      </c>
      <c r="V2404" s="2586">
        <f t="shared" si="563"/>
        <v>-13.221874259937124</v>
      </c>
      <c r="W2404" s="3283">
        <f t="shared" si="564"/>
        <v>1.4048441670488006</v>
      </c>
      <c r="X2404" s="3300"/>
      <c r="Y2404" s="3316">
        <f t="shared" si="557"/>
        <v>0</v>
      </c>
      <c r="Z2404" s="2597">
        <f t="shared" si="565"/>
        <v>3.4583088113293199E-6</v>
      </c>
      <c r="AA2404" s="2597">
        <f t="shared" si="566"/>
        <v>2.2039295468306315</v>
      </c>
      <c r="AB2404" s="3325">
        <f t="shared" si="567"/>
        <v>1.5691557909836787E-6</v>
      </c>
    </row>
    <row r="2405" spans="1:31" x14ac:dyDescent="0.2">
      <c r="A2405" s="2934" t="s">
        <v>626</v>
      </c>
      <c r="B2405" s="3004">
        <f>SUM(H2404:H2410)</f>
        <v>55.027553332988191</v>
      </c>
      <c r="C2405" s="2937">
        <v>45503</v>
      </c>
      <c r="D2405" s="3090"/>
      <c r="E2405" s="3091"/>
      <c r="F2405" s="3344" t="s">
        <v>943</v>
      </c>
      <c r="G2405" s="3092"/>
      <c r="H2405" s="3093">
        <f>IFERROR(VLOOKUP(F2405,Trainingsarten!$A$9:$K$84,10,FALSE),"")</f>
        <v>7.6283002760971961</v>
      </c>
      <c r="I2405" s="3094">
        <f t="shared" si="558"/>
        <v>0</v>
      </c>
      <c r="J2405" s="3095"/>
      <c r="K2405" s="3096">
        <f>IFERROR(VLOOKUP(F2405,Trainingsarten!$A$9:$K$84,11,FALSE),"0")</f>
        <v>54.1875</v>
      </c>
      <c r="L2405" s="2816"/>
      <c r="M2405" s="3095"/>
      <c r="N2405" s="3097" t="str">
        <f t="shared" si="559"/>
        <v/>
      </c>
      <c r="O2405" s="3098"/>
      <c r="P2405" s="2897">
        <f>IFERROR(VLOOKUP(F2405,Trainingsarten!$A$9:$N$84,12,FALSE),"")</f>
        <v>194.60000000000002</v>
      </c>
      <c r="Q2405" s="2898" t="s">
        <v>437</v>
      </c>
      <c r="R2405" s="3099">
        <f>IFERROR(VLOOKUP(F2405,Trainingsarten!$A$9:$N$84,14,FALSE),"")</f>
        <v>212.96</v>
      </c>
      <c r="S2405" s="3100" t="str">
        <f t="shared" si="560"/>
        <v/>
      </c>
      <c r="T2405" s="3090">
        <f t="shared" si="561"/>
        <v>48.751329689118556</v>
      </c>
      <c r="U2405" s="3090">
        <f t="shared" si="562"/>
        <v>34.536661390599825</v>
      </c>
      <c r="V2405" s="3090">
        <f t="shared" si="563"/>
        <v>-13.787928659942558</v>
      </c>
      <c r="W2405" s="3284">
        <f t="shared" si="564"/>
        <v>1.411582003765647</v>
      </c>
      <c r="X2405" s="3300"/>
      <c r="Y2405" s="3316">
        <f t="shared" si="557"/>
        <v>0</v>
      </c>
      <c r="Z2405" s="2597">
        <f t="shared" si="565"/>
        <v>2.9642646954251314E-6</v>
      </c>
      <c r="AA2405" s="2597">
        <f t="shared" si="566"/>
        <v>2.1514550338108545</v>
      </c>
      <c r="AB2405" s="3325">
        <f t="shared" si="567"/>
        <v>1.3777953286685959E-6</v>
      </c>
    </row>
    <row r="2406" spans="1:31" x14ac:dyDescent="0.2">
      <c r="A2406" s="2935" t="s">
        <v>628</v>
      </c>
      <c r="B2406" s="3005">
        <f>SUM(K2404:K2410)</f>
        <v>395.81079244898007</v>
      </c>
      <c r="C2406" s="2937">
        <v>45504</v>
      </c>
      <c r="D2406" s="3090"/>
      <c r="E2406" s="3091"/>
      <c r="F2406" s="3344" t="s">
        <v>918</v>
      </c>
      <c r="G2406" s="3092"/>
      <c r="H2406" s="3093">
        <f>IFERROR(VLOOKUP(F2406,Trainingsarten!$A$9:$K$84,10,FALSE),"")</f>
        <v>7.5625738372723088</v>
      </c>
      <c r="I2406" s="3094">
        <f t="shared" si="558"/>
        <v>0</v>
      </c>
      <c r="J2406" s="3095"/>
      <c r="K2406" s="3096">
        <f>IFERROR(VLOOKUP(F2406,Trainingsarten!$A$9:$K$84,11,FALSE),"0")</f>
        <v>58.644125782313438</v>
      </c>
      <c r="L2406" s="2816"/>
      <c r="M2406" s="3095"/>
      <c r="N2406" s="3097" t="str">
        <f t="shared" si="559"/>
        <v/>
      </c>
      <c r="O2406" s="3098"/>
      <c r="P2406" s="2897">
        <f>IFERROR(VLOOKUP(F2406,Trainingsarten!$A$9:$N$84,12,FALSE),"")</f>
        <v>279.29999999999995</v>
      </c>
      <c r="Q2406" s="2898" t="s">
        <v>437</v>
      </c>
      <c r="R2406" s="3099">
        <f>IFERROR(VLOOKUP(F2406,Trainingsarten!$A$9:$N$84,14,FALSE),"")</f>
        <v>314.60000000000002</v>
      </c>
      <c r="S2406" s="3100" t="str">
        <f t="shared" si="560"/>
        <v/>
      </c>
      <c r="T2406" s="3090">
        <f t="shared" si="561"/>
        <v>50.164586273860685</v>
      </c>
      <c r="U2406" s="3090">
        <f t="shared" si="562"/>
        <v>35.11064863802158</v>
      </c>
      <c r="V2406" s="3090">
        <f t="shared" si="563"/>
        <v>-14.214668298518731</v>
      </c>
      <c r="W2406" s="3284">
        <f t="shared" si="564"/>
        <v>1.4287570358223769</v>
      </c>
      <c r="X2406" s="3300"/>
      <c r="Y2406" s="3316">
        <f t="shared" si="557"/>
        <v>0</v>
      </c>
      <c r="Z2406" s="2597">
        <f t="shared" si="565"/>
        <v>2.5407983103643985E-6</v>
      </c>
      <c r="AA2406" s="2597">
        <f t="shared" si="566"/>
        <v>2.100229913958215</v>
      </c>
      <c r="AB2406" s="3325">
        <f t="shared" si="567"/>
        <v>1.2097715080992551E-6</v>
      </c>
    </row>
    <row r="2407" spans="1:31" x14ac:dyDescent="0.2">
      <c r="A2407" s="2935" t="s">
        <v>761</v>
      </c>
      <c r="B2407" s="3006">
        <f>AVERAGE(W2404:W2410)</f>
        <v>1.4448104290685142</v>
      </c>
      <c r="C2407" s="2937">
        <v>45505</v>
      </c>
      <c r="D2407" s="3090"/>
      <c r="E2407" s="3091"/>
      <c r="F2407" s="3344" t="s">
        <v>943</v>
      </c>
      <c r="G2407" s="3092"/>
      <c r="H2407" s="3093">
        <f>IFERROR(VLOOKUP(F2407,Trainingsarten!$A$9:$K$84,10,FALSE),"")</f>
        <v>7.6283002760971961</v>
      </c>
      <c r="I2407" s="3094">
        <f t="shared" si="558"/>
        <v>0</v>
      </c>
      <c r="J2407" s="3095"/>
      <c r="K2407" s="3096">
        <f>IFERROR(VLOOKUP(F2407,Trainingsarten!$A$9:$K$84,11,FALSE),"0")</f>
        <v>54.1875</v>
      </c>
      <c r="L2407" s="2816"/>
      <c r="M2407" s="3095"/>
      <c r="N2407" s="3097" t="str">
        <f t="shared" si="559"/>
        <v/>
      </c>
      <c r="O2407" s="3098"/>
      <c r="P2407" s="2897">
        <f>IFERROR(VLOOKUP(F2407,Trainingsarten!$A$9:$N$84,12,FALSE),"")</f>
        <v>194.60000000000002</v>
      </c>
      <c r="Q2407" s="2898" t="s">
        <v>437</v>
      </c>
      <c r="R2407" s="3099">
        <f>IFERROR(VLOOKUP(F2407,Trainingsarten!$A$9:$N$84,14,FALSE),"")</f>
        <v>212.96</v>
      </c>
      <c r="S2407" s="3100" t="str">
        <f t="shared" si="560"/>
        <v/>
      </c>
      <c r="T2407" s="3090">
        <f t="shared" si="561"/>
        <v>50.739288234737728</v>
      </c>
      <c r="U2407" s="3090">
        <f t="shared" si="562"/>
        <v>35.56485938473535</v>
      </c>
      <c r="V2407" s="3090">
        <f t="shared" si="563"/>
        <v>-15.053937635839105</v>
      </c>
      <c r="W2407" s="3284">
        <f t="shared" si="564"/>
        <v>1.4266691648024716</v>
      </c>
      <c r="X2407" s="3300"/>
      <c r="Y2407" s="3316">
        <f t="shared" si="557"/>
        <v>0</v>
      </c>
      <c r="Z2407" s="2597">
        <f t="shared" si="565"/>
        <v>2.1778271231694845E-6</v>
      </c>
      <c r="AA2407" s="2597">
        <f t="shared" si="566"/>
        <v>2.0502244398163527</v>
      </c>
      <c r="AB2407" s="3325">
        <f t="shared" si="567"/>
        <v>1.0622383973554434E-6</v>
      </c>
    </row>
    <row r="2408" spans="1:31" x14ac:dyDescent="0.2">
      <c r="A2408" s="2935" t="s">
        <v>979</v>
      </c>
      <c r="B2408" s="3131" t="str">
        <f>IFERROR(AVERAGE(N2404:N2410),"")</f>
        <v/>
      </c>
      <c r="C2408" s="2937">
        <v>45506</v>
      </c>
      <c r="D2408" s="3090"/>
      <c r="E2408" s="3091"/>
      <c r="F2408" s="3344" t="s">
        <v>943</v>
      </c>
      <c r="G2408" s="3092"/>
      <c r="H2408" s="3093">
        <f>IFERROR(VLOOKUP(F2408,Trainingsarten!$A$9:$K$84,10,FALSE),"")</f>
        <v>7.6283002760971961</v>
      </c>
      <c r="I2408" s="3094">
        <f t="shared" si="558"/>
        <v>0</v>
      </c>
      <c r="J2408" s="3095"/>
      <c r="K2408" s="3096">
        <f>IFERROR(VLOOKUP(F2408,Trainingsarten!$A$9:$K$84,11,FALSE),"0")</f>
        <v>54.1875</v>
      </c>
      <c r="L2408" s="2816"/>
      <c r="M2408" s="3095"/>
      <c r="N2408" s="3097" t="str">
        <f t="shared" si="559"/>
        <v/>
      </c>
      <c r="O2408" s="3098"/>
      <c r="P2408" s="2897">
        <f>IFERROR(VLOOKUP(F2408,Trainingsarten!$A$9:$N$84,12,FALSE),"")</f>
        <v>194.60000000000002</v>
      </c>
      <c r="Q2408" s="2898" t="s">
        <v>437</v>
      </c>
      <c r="R2408" s="3099">
        <f>IFERROR(VLOOKUP(F2408,Trainingsarten!$A$9:$N$84,14,FALSE),"")</f>
        <v>212.96</v>
      </c>
      <c r="S2408" s="3100" t="str">
        <f t="shared" si="560"/>
        <v/>
      </c>
      <c r="T2408" s="3090">
        <f t="shared" si="561"/>
        <v>51.231889915489482</v>
      </c>
      <c r="U2408" s="3090">
        <f t="shared" si="562"/>
        <v>36.008255589860696</v>
      </c>
      <c r="V2408" s="3090">
        <f t="shared" si="563"/>
        <v>-15.174428850002379</v>
      </c>
      <c r="W2408" s="3284">
        <f t="shared" si="564"/>
        <v>1.4227817781296659</v>
      </c>
      <c r="X2408" s="3300"/>
      <c r="Y2408" s="3316">
        <f t="shared" si="557"/>
        <v>0</v>
      </c>
      <c r="Z2408" s="2597">
        <f t="shared" si="565"/>
        <v>1.866708962716701E-6</v>
      </c>
      <c r="AA2408" s="2597">
        <f t="shared" si="566"/>
        <v>2.0014095722016778</v>
      </c>
      <c r="AB2408" s="3325">
        <f t="shared" si="567"/>
        <v>9.3269712938526737E-7</v>
      </c>
    </row>
    <row r="2409" spans="1:31" x14ac:dyDescent="0.2">
      <c r="A2409" s="2935" t="s">
        <v>980</v>
      </c>
      <c r="B2409" s="3006" t="str">
        <f>IFERROR(AVERAGE(S2404:S2410),"")</f>
        <v/>
      </c>
      <c r="C2409" s="2937">
        <v>45507</v>
      </c>
      <c r="D2409" s="3090"/>
      <c r="E2409" s="3091"/>
      <c r="F2409" s="3344" t="s">
        <v>810</v>
      </c>
      <c r="G2409" s="3092"/>
      <c r="H2409" s="3093">
        <f>IFERROR(VLOOKUP(F2409,Trainingsarten!$A$9:$K$84,10,FALSE),"")</f>
        <v>16.9517783913271</v>
      </c>
      <c r="I2409" s="3094">
        <f t="shared" si="558"/>
        <v>0</v>
      </c>
      <c r="J2409" s="3095"/>
      <c r="K2409" s="3096">
        <f>IFERROR(VLOOKUP(F2409,Trainingsarten!$A$9:$K$84,11,FALSE),"0")</f>
        <v>120.41666666666664</v>
      </c>
      <c r="L2409" s="2816"/>
      <c r="M2409" s="3095"/>
      <c r="N2409" s="3097" t="str">
        <f t="shared" si="559"/>
        <v/>
      </c>
      <c r="O2409" s="3098"/>
      <c r="P2409" s="2897">
        <f>IFERROR(VLOOKUP(F2409,Trainingsarten!$A$9:$N$84,12,FALSE),"")</f>
        <v>194.60000000000002</v>
      </c>
      <c r="Q2409" s="2898" t="s">
        <v>437</v>
      </c>
      <c r="R2409" s="3099">
        <f>IFERROR(VLOOKUP(F2409,Trainingsarten!$A$9:$N$84,14,FALSE),"")</f>
        <v>212.96</v>
      </c>
      <c r="S2409" s="3100" t="str">
        <f t="shared" si="560"/>
        <v/>
      </c>
      <c r="T2409" s="3090">
        <f t="shared" si="561"/>
        <v>61.115429451371938</v>
      </c>
      <c r="U2409" s="3090">
        <f t="shared" si="562"/>
        <v>38.017979663117977</v>
      </c>
      <c r="V2409" s="3090">
        <f t="shared" si="563"/>
        <v>-15.223634325628787</v>
      </c>
      <c r="W2409" s="3284">
        <f t="shared" si="564"/>
        <v>1.6075401689654032</v>
      </c>
      <c r="X2409" s="3300"/>
      <c r="Y2409" s="3316">
        <f t="shared" si="557"/>
        <v>0</v>
      </c>
      <c r="Z2409" s="2597">
        <f t="shared" si="565"/>
        <v>1.6000362537571723E-6</v>
      </c>
      <c r="AA2409" s="2597">
        <f t="shared" si="566"/>
        <v>1.9537569633397331</v>
      </c>
      <c r="AB2409" s="3325">
        <f t="shared" si="567"/>
        <v>8.1895357702121041E-7</v>
      </c>
    </row>
    <row r="2410" spans="1:31" ht="16" thickBot="1" x14ac:dyDescent="0.25">
      <c r="A2410" s="2936" t="s">
        <v>183</v>
      </c>
      <c r="B2410" s="3003">
        <f>IFERROR(SUM(M2404:M2410),"")</f>
        <v>0</v>
      </c>
      <c r="C2410" s="2576">
        <v>45508</v>
      </c>
      <c r="D2410" s="1788"/>
      <c r="E2410" s="1789"/>
      <c r="F2410" s="3345"/>
      <c r="G2410" s="2577"/>
      <c r="H2410" s="2578" t="str">
        <f>IFERROR(VLOOKUP(F2410,Trainingsarten!$A$9:$K$84,10,FALSE),"")</f>
        <v/>
      </c>
      <c r="I2410" s="2579" t="str">
        <f t="shared" si="558"/>
        <v/>
      </c>
      <c r="J2410" s="2580"/>
      <c r="K2410" s="2581" t="str">
        <f>IFERROR(VLOOKUP(F2410,Trainingsarten!$A$9:$K$84,11,FALSE),"0")</f>
        <v>0</v>
      </c>
      <c r="L2410" s="3101"/>
      <c r="M2410" s="2580"/>
      <c r="N2410" s="2582" t="str">
        <f t="shared" si="559"/>
        <v/>
      </c>
      <c r="O2410" s="2583"/>
      <c r="P2410" s="3102" t="str">
        <f>IFERROR(VLOOKUP(F2410,Trainingsarten!$A$9:$N$84,12,FALSE),"")</f>
        <v/>
      </c>
      <c r="Q2410" s="3103" t="s">
        <v>437</v>
      </c>
      <c r="R2410" s="3104" t="str">
        <f>IFERROR(VLOOKUP(F2410,Trainingsarten!$A$9:$N$84,14,FALSE),"")</f>
        <v/>
      </c>
      <c r="S2410" s="2390" t="str">
        <f t="shared" si="560"/>
        <v/>
      </c>
      <c r="T2410" s="1788">
        <f t="shared" si="561"/>
        <v>52.384653815461661</v>
      </c>
      <c r="U2410" s="1788">
        <f t="shared" si="562"/>
        <v>37.112789671138977</v>
      </c>
      <c r="V2410" s="1788">
        <f t="shared" si="563"/>
        <v>-23.097449788253961</v>
      </c>
      <c r="W2410" s="3293">
        <f t="shared" si="564"/>
        <v>1.4114986849452322</v>
      </c>
      <c r="X2410" s="3300"/>
      <c r="Y2410" s="3316" t="str">
        <f t="shared" si="557"/>
        <v/>
      </c>
      <c r="Z2410" s="2597">
        <f t="shared" si="565"/>
        <v>1.3714596460775762E-6</v>
      </c>
      <c r="AA2410" s="2597">
        <f t="shared" si="566"/>
        <v>1.9072389404030727</v>
      </c>
      <c r="AB2410" s="3325">
        <f t="shared" si="567"/>
        <v>7.1908118957959942E-7</v>
      </c>
    </row>
    <row r="2411" spans="1:31" ht="16" thickBot="1" x14ac:dyDescent="0.25">
      <c r="A2411" s="3439">
        <f>WEEKNUM(C2411,1)</f>
        <v>32</v>
      </c>
      <c r="B2411" s="3440"/>
      <c r="C2411" s="2585">
        <v>45509</v>
      </c>
      <c r="D2411" s="2586"/>
      <c r="E2411" s="2587"/>
      <c r="F2411" s="3346" t="s">
        <v>943</v>
      </c>
      <c r="G2411" s="2588"/>
      <c r="H2411" s="2589">
        <f>IFERROR(VLOOKUP(F2411,Trainingsarten!$A$9:$K$84,10,FALSE),"")</f>
        <v>7.6283002760971961</v>
      </c>
      <c r="I2411" s="2590">
        <f t="shared" si="558"/>
        <v>0</v>
      </c>
      <c r="J2411" s="2591"/>
      <c r="K2411" s="2592">
        <f>IFERROR(VLOOKUP(F2411,Trainingsarten!$A$9:$K$84,11,FALSE),"0")</f>
        <v>54.1875</v>
      </c>
      <c r="L2411" s="2815"/>
      <c r="M2411" s="2591"/>
      <c r="N2411" s="2593" t="str">
        <f t="shared" si="559"/>
        <v/>
      </c>
      <c r="O2411" s="2594"/>
      <c r="P2411" s="1919">
        <f>IFERROR(VLOOKUP(F2411,Trainingsarten!$A$9:$N$84,12,FALSE),"")</f>
        <v>194.60000000000002</v>
      </c>
      <c r="Q2411" s="2461" t="s">
        <v>437</v>
      </c>
      <c r="R2411" s="3089">
        <f>IFERROR(VLOOKUP(F2411,Trainingsarten!$A$9:$N$84,14,FALSE),"")</f>
        <v>212.96</v>
      </c>
      <c r="S2411" s="2595" t="str">
        <f t="shared" si="560"/>
        <v/>
      </c>
      <c r="T2411" s="2586">
        <f t="shared" si="561"/>
        <v>52.642203270395711</v>
      </c>
      <c r="U2411" s="2586">
        <f t="shared" si="562"/>
        <v>37.519330393254712</v>
      </c>
      <c r="V2411" s="2586">
        <f t="shared" si="563"/>
        <v>-15.271864144322684</v>
      </c>
      <c r="W2411" s="3283">
        <f t="shared" si="564"/>
        <v>1.403068837280204</v>
      </c>
      <c r="X2411" s="3300"/>
      <c r="Y2411" s="3316">
        <f t="shared" si="557"/>
        <v>0</v>
      </c>
      <c r="Z2411" s="2597">
        <f t="shared" si="565"/>
        <v>1.1755368394950653E-6</v>
      </c>
      <c r="AA2411" s="2597">
        <f t="shared" si="566"/>
        <v>1.8618284894410948</v>
      </c>
      <c r="AB2411" s="3325">
        <f t="shared" si="567"/>
        <v>6.3138836158208721E-7</v>
      </c>
    </row>
    <row r="2412" spans="1:31" x14ac:dyDescent="0.2">
      <c r="A2412" s="2934" t="s">
        <v>626</v>
      </c>
      <c r="B2412" s="3004">
        <f>SUM(H2411:H2417)</f>
        <v>59.616260909910672</v>
      </c>
      <c r="C2412" s="2937">
        <v>45510</v>
      </c>
      <c r="D2412" s="3090"/>
      <c r="E2412" s="3091"/>
      <c r="F2412" s="3347" t="s">
        <v>919</v>
      </c>
      <c r="G2412" s="3092"/>
      <c r="H2412" s="3093">
        <f>IFERROR(VLOOKUP(F2412,Trainingsarten!$A$9:$K$84,10,FALSE),"")</f>
        <v>8.7500984496964129</v>
      </c>
      <c r="I2412" s="3094">
        <f t="shared" si="558"/>
        <v>0</v>
      </c>
      <c r="J2412" s="3095"/>
      <c r="K2412" s="3096">
        <f>IFERROR(VLOOKUP(F2412,Trainingsarten!$A$9:$K$84,11,FALSE),"0")</f>
        <v>68.069125782313449</v>
      </c>
      <c r="L2412" s="2816"/>
      <c r="M2412" s="3095"/>
      <c r="N2412" s="3097" t="str">
        <f t="shared" si="559"/>
        <v/>
      </c>
      <c r="O2412" s="3098"/>
      <c r="P2412" s="2897">
        <f>IFERROR(VLOOKUP(F2412,Trainingsarten!$A$9:$N$84,12,FALSE),"")</f>
        <v>279.29999999999995</v>
      </c>
      <c r="Q2412" s="2898" t="s">
        <v>437</v>
      </c>
      <c r="R2412" s="3099">
        <f>IFERROR(VLOOKUP(F2412,Trainingsarten!$A$9:$N$84,14,FALSE),"")</f>
        <v>314.60000000000002</v>
      </c>
      <c r="S2412" s="3100" t="str">
        <f t="shared" si="560"/>
        <v/>
      </c>
      <c r="T2412" s="3090">
        <f t="shared" si="561"/>
        <v>54.846049343526815</v>
      </c>
      <c r="U2412" s="3090">
        <f t="shared" si="562"/>
        <v>38.246706473946588</v>
      </c>
      <c r="V2412" s="3090">
        <f t="shared" si="563"/>
        <v>-15.122872877140999</v>
      </c>
      <c r="W2412" s="3284">
        <f t="shared" si="564"/>
        <v>1.434007118518495</v>
      </c>
      <c r="X2412" s="3300"/>
      <c r="Y2412" s="3316">
        <f t="shared" si="557"/>
        <v>0</v>
      </c>
      <c r="Z2412" s="2597">
        <f t="shared" si="565"/>
        <v>1.0076030052814846E-6</v>
      </c>
      <c r="AA2412" s="2597">
        <f t="shared" si="566"/>
        <v>1.8174992396924974</v>
      </c>
      <c r="AB2412" s="3325">
        <f t="shared" si="567"/>
        <v>5.5438978090134494E-7</v>
      </c>
    </row>
    <row r="2413" spans="1:31" x14ac:dyDescent="0.2">
      <c r="A2413" s="2935" t="s">
        <v>628</v>
      </c>
      <c r="B2413" s="3005">
        <f>SUM(K2411:K2417)</f>
        <v>435.2299182312936</v>
      </c>
      <c r="C2413" s="2937">
        <v>45511</v>
      </c>
      <c r="D2413" s="3090"/>
      <c r="E2413" s="3091"/>
      <c r="F2413" s="3347" t="s">
        <v>943</v>
      </c>
      <c r="G2413" s="3092"/>
      <c r="H2413" s="3093">
        <f>IFERROR(VLOOKUP(F2413,Trainingsarten!$A$9:$K$84,10,FALSE),"")</f>
        <v>7.6283002760971961</v>
      </c>
      <c r="I2413" s="3094">
        <f t="shared" si="558"/>
        <v>0</v>
      </c>
      <c r="J2413" s="3095"/>
      <c r="K2413" s="3096">
        <f>IFERROR(VLOOKUP(F2413,Trainingsarten!$A$9:$K$84,11,FALSE),"0")</f>
        <v>54.1875</v>
      </c>
      <c r="L2413" s="2816"/>
      <c r="M2413" s="3095"/>
      <c r="N2413" s="3097" t="str">
        <f t="shared" si="559"/>
        <v/>
      </c>
      <c r="O2413" s="3098"/>
      <c r="P2413" s="2897">
        <f>IFERROR(VLOOKUP(F2413,Trainingsarten!$A$9:$N$84,12,FALSE),"")</f>
        <v>194.60000000000002</v>
      </c>
      <c r="Q2413" s="2898" t="s">
        <v>437</v>
      </c>
      <c r="R2413" s="3099">
        <f>IFERROR(VLOOKUP(F2413,Trainingsarten!$A$9:$N$84,14,FALSE),"")</f>
        <v>212.96</v>
      </c>
      <c r="S2413" s="3100" t="str">
        <f t="shared" si="560"/>
        <v/>
      </c>
      <c r="T2413" s="3090">
        <f t="shared" si="561"/>
        <v>54.751970865880125</v>
      </c>
      <c r="U2413" s="3090">
        <f t="shared" si="562"/>
        <v>38.626249176947859</v>
      </c>
      <c r="V2413" s="3090">
        <f t="shared" si="563"/>
        <v>-16.599342869580227</v>
      </c>
      <c r="W2413" s="3284">
        <f t="shared" si="564"/>
        <v>1.4174809108453661</v>
      </c>
      <c r="X2413" s="3300"/>
      <c r="Y2413" s="3316">
        <f t="shared" si="557"/>
        <v>0</v>
      </c>
      <c r="Z2413" s="2597">
        <f t="shared" si="565"/>
        <v>8.6365971881270109E-7</v>
      </c>
      <c r="AA2413" s="2597">
        <f t="shared" si="566"/>
        <v>1.7742254482712474</v>
      </c>
      <c r="AB2413" s="3325">
        <f t="shared" si="567"/>
        <v>4.8678127103532728E-7</v>
      </c>
    </row>
    <row r="2414" spans="1:31" ht="16" thickBot="1" x14ac:dyDescent="0.25">
      <c r="A2414" s="2935" t="s">
        <v>761</v>
      </c>
      <c r="B2414" s="3006">
        <f>AVERAGE(W2411:W2417)</f>
        <v>1.4512563496513455</v>
      </c>
      <c r="C2414" s="2937">
        <v>45512</v>
      </c>
      <c r="D2414" s="3090"/>
      <c r="E2414" s="3091"/>
      <c r="F2414" s="3347" t="s">
        <v>923</v>
      </c>
      <c r="G2414" s="3092"/>
      <c r="H2414" s="3093">
        <f>IFERROR(VLOOKUP(F2414,Trainingsarten!$A$9:$K$84,10,FALSE),"")</f>
        <v>9.3343054014628528</v>
      </c>
      <c r="I2414" s="3094">
        <f t="shared" si="558"/>
        <v>0</v>
      </c>
      <c r="J2414" s="3095"/>
      <c r="K2414" s="3096">
        <f>IFERROR(VLOOKUP(F2414,Trainingsarten!$A$9:$K$84,11,FALSE),"0")</f>
        <v>72.139959115646775</v>
      </c>
      <c r="L2414" s="2816"/>
      <c r="M2414" s="3095"/>
      <c r="N2414" s="3097" t="str">
        <f t="shared" si="559"/>
        <v/>
      </c>
      <c r="O2414" s="3098"/>
      <c r="P2414" s="2897">
        <f>IFERROR(VLOOKUP(F2414,Trainingsarten!$A$9:$N$84,12,FALSE),"")</f>
        <v>230.89999999999998</v>
      </c>
      <c r="Q2414" s="2898" t="s">
        <v>437</v>
      </c>
      <c r="R2414" s="3099">
        <f>IFERROR(VLOOKUP(F2414,Trainingsarten!$A$9:$N$84,14,FALSE),"")</f>
        <v>254.10000000000002</v>
      </c>
      <c r="S2414" s="3100" t="str">
        <f t="shared" si="560"/>
        <v/>
      </c>
      <c r="T2414" s="3090">
        <f t="shared" si="561"/>
        <v>57.235969187275359</v>
      </c>
      <c r="U2414" s="3090">
        <f t="shared" si="562"/>
        <v>39.424194651678782</v>
      </c>
      <c r="V2414" s="3090">
        <f t="shared" si="563"/>
        <v>-16.125721688932266</v>
      </c>
      <c r="W2414" s="3284">
        <f t="shared" si="564"/>
        <v>1.4517980568269671</v>
      </c>
      <c r="X2414" s="3300"/>
      <c r="Y2414" s="3316">
        <f t="shared" si="557"/>
        <v>0</v>
      </c>
      <c r="Z2414" s="2597">
        <f t="shared" si="565"/>
        <v>7.402797589823152E-7</v>
      </c>
      <c r="AA2414" s="2597">
        <f t="shared" si="566"/>
        <v>1.7319819852171701</v>
      </c>
      <c r="AB2414" s="3325">
        <f t="shared" si="567"/>
        <v>4.2741770139687271E-7</v>
      </c>
    </row>
    <row r="2415" spans="1:31" x14ac:dyDescent="0.2">
      <c r="A2415" s="2935" t="s">
        <v>979</v>
      </c>
      <c r="B2415" s="3131" t="str">
        <f>IFERROR(AVERAGE(N2411:N2417),"")</f>
        <v/>
      </c>
      <c r="C2415" s="2937">
        <v>45513</v>
      </c>
      <c r="D2415" s="3090"/>
      <c r="E2415" s="3091"/>
      <c r="F2415" s="3347" t="s">
        <v>943</v>
      </c>
      <c r="G2415" s="3092"/>
      <c r="H2415" s="3093">
        <f>IFERROR(VLOOKUP(F2415,Trainingsarten!$A$9:$K$84,10,FALSE),"")</f>
        <v>7.6283002760971961</v>
      </c>
      <c r="I2415" s="3094">
        <f t="shared" si="558"/>
        <v>0</v>
      </c>
      <c r="J2415" s="3095"/>
      <c r="K2415" s="3096">
        <f>IFERROR(VLOOKUP(F2415,Trainingsarten!$A$9:$K$84,11,FALSE),"0")</f>
        <v>54.1875</v>
      </c>
      <c r="L2415" s="2816"/>
      <c r="M2415" s="3095"/>
      <c r="N2415" s="3097" t="str">
        <f t="shared" si="559"/>
        <v/>
      </c>
      <c r="O2415" s="3098"/>
      <c r="P2415" s="2897">
        <f>IFERROR(VLOOKUP(F2415,Trainingsarten!$A$9:$N$84,12,FALSE),"")</f>
        <v>194.60000000000002</v>
      </c>
      <c r="Q2415" s="2898" t="s">
        <v>437</v>
      </c>
      <c r="R2415" s="3099">
        <f>IFERROR(VLOOKUP(F2415,Trainingsarten!$A$9:$N$84,14,FALSE),"")</f>
        <v>212.96</v>
      </c>
      <c r="S2415" s="3100" t="str">
        <f t="shared" si="560"/>
        <v/>
      </c>
      <c r="T2415" s="3090">
        <f t="shared" si="561"/>
        <v>56.800473589093166</v>
      </c>
      <c r="U2415" s="3090">
        <f t="shared" si="562"/>
        <v>39.775701921876909</v>
      </c>
      <c r="V2415" s="3090">
        <f t="shared" si="563"/>
        <v>-17.811774535596577</v>
      </c>
      <c r="W2415" s="3284">
        <f t="shared" si="564"/>
        <v>1.4280193898439417</v>
      </c>
      <c r="X2415" s="3300"/>
      <c r="Y2415" s="3316">
        <f t="shared" si="557"/>
        <v>0</v>
      </c>
      <c r="Z2415" s="2597">
        <f t="shared" si="565"/>
        <v>6.3452550769912735E-7</v>
      </c>
      <c r="AA2415" s="2597">
        <f t="shared" si="566"/>
        <v>1.6907443189024756</v>
      </c>
      <c r="AB2415" s="3325">
        <f t="shared" si="567"/>
        <v>3.7529359147042481E-7</v>
      </c>
      <c r="AC2415" s="3646"/>
      <c r="AD2415" s="3646"/>
      <c r="AE2415" s="3441" t="s">
        <v>1495</v>
      </c>
    </row>
    <row r="2416" spans="1:31" x14ac:dyDescent="0.2">
      <c r="A2416" s="2935" t="s">
        <v>980</v>
      </c>
      <c r="B2416" s="3006" t="str">
        <f>IFERROR(AVERAGE(S2411:S2417),"")</f>
        <v/>
      </c>
      <c r="C2416" s="2937">
        <v>45514</v>
      </c>
      <c r="D2416" s="3090"/>
      <c r="E2416" s="3091"/>
      <c r="F2416" s="3347" t="s">
        <v>811</v>
      </c>
      <c r="G2416" s="3092"/>
      <c r="H2416" s="3093">
        <f>IFERROR(VLOOKUP(F2416,Trainingsarten!$A$9:$K$84,10,FALSE),"")</f>
        <v>18.646956230459814</v>
      </c>
      <c r="I2416" s="3094">
        <f t="shared" si="558"/>
        <v>0</v>
      </c>
      <c r="J2416" s="3095"/>
      <c r="K2416" s="3096">
        <f>IFERROR(VLOOKUP(F2416,Trainingsarten!$A$9:$K$84,11,FALSE),"0")</f>
        <v>132.45833333333337</v>
      </c>
      <c r="L2416" s="2816"/>
      <c r="M2416" s="3095"/>
      <c r="N2416" s="3097" t="str">
        <f t="shared" si="559"/>
        <v/>
      </c>
      <c r="O2416" s="3098"/>
      <c r="P2416" s="2897">
        <f>IFERROR(VLOOKUP(F2416,Trainingsarten!$A$9:$N$84,12,FALSE),"")</f>
        <v>194.60000000000002</v>
      </c>
      <c r="Q2416" s="2898" t="s">
        <v>437</v>
      </c>
      <c r="R2416" s="3099">
        <f>IFERROR(VLOOKUP(F2416,Trainingsarten!$A$9:$N$84,14,FALSE),"")</f>
        <v>212.96</v>
      </c>
      <c r="S2416" s="3100" t="str">
        <f t="shared" si="560"/>
        <v/>
      </c>
      <c r="T2416" s="3090">
        <f t="shared" si="561"/>
        <v>67.608739266841766</v>
      </c>
      <c r="U2416" s="3090">
        <f t="shared" si="562"/>
        <v>41.982431241197304</v>
      </c>
      <c r="V2416" s="3090">
        <f t="shared" si="563"/>
        <v>-17.024771667216257</v>
      </c>
      <c r="W2416" s="3284">
        <f t="shared" si="564"/>
        <v>1.6104055260262631</v>
      </c>
      <c r="X2416" s="3300"/>
      <c r="Y2416" s="3316">
        <f t="shared" si="557"/>
        <v>0</v>
      </c>
      <c r="Z2416" s="2597">
        <f t="shared" si="565"/>
        <v>5.4387900659925206E-7</v>
      </c>
      <c r="AA2416" s="2597">
        <f t="shared" si="566"/>
        <v>1.65048850178575</v>
      </c>
      <c r="AB2416" s="3325">
        <f t="shared" si="567"/>
        <v>3.2952608031549498E-7</v>
      </c>
      <c r="AC2416" s="3646"/>
      <c r="AD2416" s="3646"/>
      <c r="AE2416" s="3442"/>
    </row>
    <row r="2417" spans="1:31" ht="16" thickBot="1" x14ac:dyDescent="0.25">
      <c r="A2417" s="2936" t="s">
        <v>183</v>
      </c>
      <c r="B2417" s="3003">
        <f>IFERROR(SUM(M2411:M2417),"")</f>
        <v>0</v>
      </c>
      <c r="C2417" s="2576">
        <v>45515</v>
      </c>
      <c r="D2417" s="1788"/>
      <c r="E2417" s="1789"/>
      <c r="F2417" s="3345"/>
      <c r="G2417" s="2577"/>
      <c r="H2417" s="2578" t="str">
        <f>IFERROR(VLOOKUP(F2417,Trainingsarten!$A$9:$K$84,10,FALSE),"")</f>
        <v/>
      </c>
      <c r="I2417" s="2579" t="str">
        <f t="shared" si="558"/>
        <v/>
      </c>
      <c r="J2417" s="2580"/>
      <c r="K2417" s="2581" t="str">
        <f>IFERROR(VLOOKUP(F2417,Trainingsarten!$A$9:$K$84,11,FALSE),"0")</f>
        <v>0</v>
      </c>
      <c r="L2417" s="3101"/>
      <c r="M2417" s="2580"/>
      <c r="N2417" s="2582" t="str">
        <f t="shared" si="559"/>
        <v/>
      </c>
      <c r="O2417" s="2583"/>
      <c r="P2417" s="3102" t="str">
        <f>IFERROR(VLOOKUP(F2417,Trainingsarten!$A$9:$N$84,12,FALSE),"")</f>
        <v/>
      </c>
      <c r="Q2417" s="3103" t="s">
        <v>437</v>
      </c>
      <c r="R2417" s="3104" t="str">
        <f>IFERROR(VLOOKUP(F2417,Trainingsarten!$A$9:$N$84,14,FALSE),"")</f>
        <v/>
      </c>
      <c r="S2417" s="2390" t="str">
        <f t="shared" si="560"/>
        <v/>
      </c>
      <c r="T2417" s="1788">
        <f t="shared" si="561"/>
        <v>57.95034794300723</v>
      </c>
      <c r="U2417" s="1788">
        <f t="shared" si="562"/>
        <v>40.982849544978322</v>
      </c>
      <c r="V2417" s="1788">
        <f t="shared" si="563"/>
        <v>-25.626308025644462</v>
      </c>
      <c r="W2417" s="3293">
        <f t="shared" si="564"/>
        <v>1.4140146082181821</v>
      </c>
      <c r="X2417" s="3300"/>
      <c r="Y2417" s="3316" t="str">
        <f t="shared" si="557"/>
        <v/>
      </c>
      <c r="Z2417" s="2597">
        <f t="shared" si="565"/>
        <v>4.6618200565650176E-7</v>
      </c>
      <c r="AA2417" s="2597">
        <f t="shared" si="566"/>
        <v>1.6111911565051369</v>
      </c>
      <c r="AB2417" s="3325">
        <f t="shared" si="567"/>
        <v>2.8933997295994681E-7</v>
      </c>
      <c r="AC2417" s="3646"/>
      <c r="AD2417" s="3646"/>
      <c r="AE2417" s="3442"/>
    </row>
    <row r="2418" spans="1:31" ht="16" thickBot="1" x14ac:dyDescent="0.25">
      <c r="A2418" s="3439">
        <f>WEEKNUM(C2418,1)</f>
        <v>33</v>
      </c>
      <c r="B2418" s="3440"/>
      <c r="C2418" s="2585">
        <v>45516</v>
      </c>
      <c r="D2418" s="2586"/>
      <c r="E2418" s="2587"/>
      <c r="F2418" s="3348"/>
      <c r="G2418" s="2588"/>
      <c r="H2418" s="2589" t="str">
        <f>IFERROR(VLOOKUP(F2418,Trainingsarten!$A$9:$K$84,10,FALSE),"")</f>
        <v/>
      </c>
      <c r="I2418" s="2590" t="str">
        <f t="shared" si="558"/>
        <v/>
      </c>
      <c r="J2418" s="2591"/>
      <c r="K2418" s="2592" t="str">
        <f>IFERROR(VLOOKUP(F2418,Trainingsarten!$A$9:$K$84,11,FALSE),"0")</f>
        <v>0</v>
      </c>
      <c r="L2418" s="2815"/>
      <c r="M2418" s="2591"/>
      <c r="N2418" s="2593" t="str">
        <f t="shared" si="559"/>
        <v/>
      </c>
      <c r="O2418" s="2594"/>
      <c r="P2418" s="1919" t="str">
        <f>IFERROR(VLOOKUP(F2418,Trainingsarten!$A$9:$N$84,12,FALSE),"")</f>
        <v/>
      </c>
      <c r="Q2418" s="2461" t="s">
        <v>437</v>
      </c>
      <c r="R2418" s="3089" t="str">
        <f>IFERROR(VLOOKUP(F2418,Trainingsarten!$A$9:$N$84,14,FALSE),"")</f>
        <v/>
      </c>
      <c r="S2418" s="2595" t="str">
        <f t="shared" si="560"/>
        <v/>
      </c>
      <c r="T2418" s="2586">
        <f t="shared" si="561"/>
        <v>49.671726808291908</v>
      </c>
      <c r="U2418" s="2586">
        <f t="shared" si="562"/>
        <v>40.007067412955031</v>
      </c>
      <c r="V2418" s="2586">
        <f t="shared" si="563"/>
        <v>-16.967498398028908</v>
      </c>
      <c r="W2418" s="3283">
        <f t="shared" si="564"/>
        <v>1.2415738023379159</v>
      </c>
      <c r="X2418" s="3300"/>
      <c r="Y2418" s="3316" t="str">
        <f t="shared" si="557"/>
        <v/>
      </c>
      <c r="Z2418" s="2597">
        <f t="shared" si="565"/>
        <v>3.9958457627700149E-7</v>
      </c>
      <c r="AA2418" s="2597">
        <f t="shared" si="566"/>
        <v>1.5728294623026335</v>
      </c>
      <c r="AB2418" s="3325">
        <f t="shared" si="567"/>
        <v>2.5405461040385575E-7</v>
      </c>
      <c r="AC2418" s="3646"/>
      <c r="AD2418" s="3646"/>
      <c r="AE2418" s="3442"/>
    </row>
    <row r="2419" spans="1:31" x14ac:dyDescent="0.2">
      <c r="A2419" s="2934" t="s">
        <v>626</v>
      </c>
      <c r="B2419" s="3004">
        <f>SUM(H2418:H2424)</f>
        <v>25.427667586990651</v>
      </c>
      <c r="C2419" s="2937">
        <v>45517</v>
      </c>
      <c r="D2419" s="3090"/>
      <c r="E2419" s="3091"/>
      <c r="F2419" s="3349" t="s">
        <v>943</v>
      </c>
      <c r="G2419" s="3092"/>
      <c r="H2419" s="3093">
        <f>IFERROR(VLOOKUP(F2419,Trainingsarten!$A$9:$K$84,10,FALSE),"")</f>
        <v>7.6283002760971961</v>
      </c>
      <c r="I2419" s="3094">
        <f t="shared" si="558"/>
        <v>0</v>
      </c>
      <c r="J2419" s="3095"/>
      <c r="K2419" s="3096">
        <f>IFERROR(VLOOKUP(F2419,Trainingsarten!$A$9:$K$84,11,FALSE),"0")</f>
        <v>54.1875</v>
      </c>
      <c r="L2419" s="2816"/>
      <c r="M2419" s="3095"/>
      <c r="N2419" s="3097" t="str">
        <f t="shared" si="559"/>
        <v/>
      </c>
      <c r="O2419" s="3098"/>
      <c r="P2419" s="2897">
        <f>IFERROR(VLOOKUP(F2419,Trainingsarten!$A$9:$N$84,12,FALSE),"")</f>
        <v>194.60000000000002</v>
      </c>
      <c r="Q2419" s="2898" t="s">
        <v>437</v>
      </c>
      <c r="R2419" s="3099">
        <f>IFERROR(VLOOKUP(F2419,Trainingsarten!$A$9:$N$84,14,FALSE),"")</f>
        <v>212.96</v>
      </c>
      <c r="S2419" s="3100" t="str">
        <f t="shared" si="560"/>
        <v/>
      </c>
      <c r="T2419" s="3090">
        <f t="shared" si="561"/>
        <v>50.316837264250204</v>
      </c>
      <c r="U2419" s="3090">
        <f t="shared" si="562"/>
        <v>40.344696760265627</v>
      </c>
      <c r="V2419" s="3090">
        <f t="shared" si="563"/>
        <v>-9.6646593953368765</v>
      </c>
      <c r="W2419" s="3284">
        <f t="shared" si="564"/>
        <v>1.2471735148547667</v>
      </c>
      <c r="X2419" s="3300"/>
      <c r="Y2419" s="3316">
        <f t="shared" si="557"/>
        <v>0</v>
      </c>
      <c r="Z2419" s="2597">
        <f t="shared" si="565"/>
        <v>3.4250106538028698E-7</v>
      </c>
      <c r="AA2419" s="2597">
        <f t="shared" si="566"/>
        <v>1.5353811417716186</v>
      </c>
      <c r="AB2419" s="3325">
        <f t="shared" si="567"/>
        <v>2.2307234084240991E-7</v>
      </c>
      <c r="AC2419" s="3646"/>
      <c r="AD2419" s="3646"/>
      <c r="AE2419" s="3442"/>
    </row>
    <row r="2420" spans="1:31" x14ac:dyDescent="0.2">
      <c r="A2420" s="2935" t="s">
        <v>628</v>
      </c>
      <c r="B2420" s="3005">
        <f>SUM(K2418:K2424)</f>
        <v>180.625</v>
      </c>
      <c r="C2420" s="2937">
        <v>45518</v>
      </c>
      <c r="D2420" s="3090"/>
      <c r="E2420" s="3091"/>
      <c r="F2420" s="3349"/>
      <c r="G2420" s="3092"/>
      <c r="H2420" s="3093" t="str">
        <f>IFERROR(VLOOKUP(F2420,Trainingsarten!$A$9:$K$84,10,FALSE),"")</f>
        <v/>
      </c>
      <c r="I2420" s="3094" t="str">
        <f t="shared" si="558"/>
        <v/>
      </c>
      <c r="J2420" s="3095"/>
      <c r="K2420" s="3096" t="str">
        <f>IFERROR(VLOOKUP(F2420,Trainingsarten!$A$9:$K$84,11,FALSE),"0")</f>
        <v>0</v>
      </c>
      <c r="L2420" s="2816"/>
      <c r="M2420" s="3095"/>
      <c r="N2420" s="3097" t="str">
        <f t="shared" si="559"/>
        <v/>
      </c>
      <c r="O2420" s="3098"/>
      <c r="P2420" s="2897" t="str">
        <f>IFERROR(VLOOKUP(F2420,Trainingsarten!$A$9:$N$84,12,FALSE),"")</f>
        <v/>
      </c>
      <c r="Q2420" s="2898" t="s">
        <v>437</v>
      </c>
      <c r="R2420" s="3099" t="str">
        <f>IFERROR(VLOOKUP(F2420,Trainingsarten!$A$9:$N$84,14,FALSE),"")</f>
        <v/>
      </c>
      <c r="S2420" s="3100" t="str">
        <f t="shared" si="560"/>
        <v/>
      </c>
      <c r="T2420" s="3090">
        <f t="shared" si="561"/>
        <v>43.128717655071604</v>
      </c>
      <c r="U2420" s="3090">
        <f t="shared" si="562"/>
        <v>39.384108742164067</v>
      </c>
      <c r="V2420" s="3090">
        <f t="shared" si="563"/>
        <v>-9.9721405039845763</v>
      </c>
      <c r="W2420" s="3284">
        <f t="shared" si="564"/>
        <v>1.0950791837749172</v>
      </c>
      <c r="X2420" s="3300"/>
      <c r="Y2420" s="3316" t="str">
        <f t="shared" si="557"/>
        <v/>
      </c>
      <c r="Z2420" s="2597">
        <f t="shared" si="565"/>
        <v>2.9357234175453168E-7</v>
      </c>
      <c r="AA2420" s="2597">
        <f t="shared" si="566"/>
        <v>1.4988244479199133</v>
      </c>
      <c r="AB2420" s="3325">
        <f t="shared" si="567"/>
        <v>1.9586839683723796E-7</v>
      </c>
      <c r="AC2420" s="3646"/>
      <c r="AD2420" s="3646"/>
      <c r="AE2420" s="3442"/>
    </row>
    <row r="2421" spans="1:31" x14ac:dyDescent="0.2">
      <c r="A2421" s="2935" t="s">
        <v>761</v>
      </c>
      <c r="B2421" s="3006">
        <f>AVERAGE(W2418:W2424)</f>
        <v>1.1064024177342888</v>
      </c>
      <c r="C2421" s="3277">
        <v>45519</v>
      </c>
      <c r="D2421" s="3090"/>
      <c r="E2421" s="3091"/>
      <c r="F2421" s="3349" t="s">
        <v>943</v>
      </c>
      <c r="G2421" s="3092"/>
      <c r="H2421" s="3093">
        <f>IFERROR(VLOOKUP(F2421,Trainingsarten!$A$9:$K$84,10,FALSE),"")</f>
        <v>7.6283002760971961</v>
      </c>
      <c r="I2421" s="3094">
        <f t="shared" si="558"/>
        <v>0</v>
      </c>
      <c r="J2421" s="3095"/>
      <c r="K2421" s="3096">
        <f>IFERROR(VLOOKUP(F2421,Trainingsarten!$A$9:$K$84,11,FALSE),"0")</f>
        <v>54.1875</v>
      </c>
      <c r="L2421" s="2816"/>
      <c r="M2421" s="3095"/>
      <c r="N2421" s="3097" t="str">
        <f t="shared" si="559"/>
        <v/>
      </c>
      <c r="O2421" s="3098"/>
      <c r="P2421" s="2897">
        <f>IFERROR(VLOOKUP(F2421,Trainingsarten!$A$9:$N$84,12,FALSE),"")</f>
        <v>194.60000000000002</v>
      </c>
      <c r="Q2421" s="2898" t="s">
        <v>437</v>
      </c>
      <c r="R2421" s="3099">
        <f>IFERROR(VLOOKUP(F2421,Trainingsarten!$A$9:$N$84,14,FALSE),"")</f>
        <v>212.96</v>
      </c>
      <c r="S2421" s="3100" t="str">
        <f t="shared" si="560"/>
        <v/>
      </c>
      <c r="T2421" s="3090">
        <f t="shared" si="561"/>
        <v>44.708543704347086</v>
      </c>
      <c r="U2421" s="3090">
        <f t="shared" si="562"/>
        <v>39.736570438779211</v>
      </c>
      <c r="V2421" s="3090">
        <f t="shared" si="563"/>
        <v>-3.7446089129075375</v>
      </c>
      <c r="W2421" s="3284">
        <f t="shared" si="564"/>
        <v>1.1251233614442904</v>
      </c>
      <c r="X2421" s="3300"/>
      <c r="Y2421" s="3316">
        <f t="shared" si="557"/>
        <v>0</v>
      </c>
      <c r="Z2421" s="2597">
        <f t="shared" si="565"/>
        <v>2.5163343578959856E-7</v>
      </c>
      <c r="AA2421" s="2597">
        <f t="shared" si="566"/>
        <v>1.4631381515408677</v>
      </c>
      <c r="AB2421" s="3325">
        <f t="shared" si="567"/>
        <v>1.7198200697903819E-7</v>
      </c>
      <c r="AC2421" s="3646"/>
      <c r="AD2421" s="3646"/>
      <c r="AE2421" s="3442"/>
    </row>
    <row r="2422" spans="1:31" x14ac:dyDescent="0.2">
      <c r="A2422" s="2935" t="s">
        <v>979</v>
      </c>
      <c r="B2422" s="3131" t="str">
        <f>IFERROR(AVERAGE(N2418:N2424),"")</f>
        <v/>
      </c>
      <c r="C2422" s="2937">
        <v>45520</v>
      </c>
      <c r="D2422" s="3090"/>
      <c r="E2422" s="3091"/>
      <c r="F2422" s="3349"/>
      <c r="G2422" s="3092"/>
      <c r="H2422" s="3093" t="str">
        <f>IFERROR(VLOOKUP(F2422,Trainingsarten!$A$9:$K$84,10,FALSE),"")</f>
        <v/>
      </c>
      <c r="I2422" s="3094" t="str">
        <f t="shared" si="558"/>
        <v/>
      </c>
      <c r="J2422" s="3095"/>
      <c r="K2422" s="3096" t="str">
        <f>IFERROR(VLOOKUP(F2422,Trainingsarten!$A$9:$K$84,11,FALSE),"0")</f>
        <v>0</v>
      </c>
      <c r="L2422" s="2816"/>
      <c r="M2422" s="3095"/>
      <c r="N2422" s="3097" t="str">
        <f t="shared" si="559"/>
        <v/>
      </c>
      <c r="O2422" s="3098"/>
      <c r="P2422" s="2897" t="str">
        <f>IFERROR(VLOOKUP(F2422,Trainingsarten!$A$9:$N$84,12,FALSE),"")</f>
        <v/>
      </c>
      <c r="Q2422" s="2898" t="s">
        <v>437</v>
      </c>
      <c r="R2422" s="3099" t="str">
        <f>IFERROR(VLOOKUP(F2422,Trainingsarten!$A$9:$N$84,14,FALSE),"")</f>
        <v/>
      </c>
      <c r="S2422" s="3100" t="str">
        <f t="shared" si="560"/>
        <v/>
      </c>
      <c r="T2422" s="3090">
        <f t="shared" si="561"/>
        <v>38.321608889440363</v>
      </c>
      <c r="U2422" s="3090">
        <f t="shared" si="562"/>
        <v>38.79046161880828</v>
      </c>
      <c r="V2422" s="3090">
        <f t="shared" si="563"/>
        <v>-4.9719732655678754</v>
      </c>
      <c r="W2422" s="3284">
        <f t="shared" si="564"/>
        <v>0.98791319541449885</v>
      </c>
      <c r="X2422" s="3300"/>
      <c r="Y2422" s="3316" t="str">
        <f t="shared" si="557"/>
        <v/>
      </c>
      <c r="Z2422" s="2597">
        <f t="shared" si="565"/>
        <v>2.156858021053702E-7</v>
      </c>
      <c r="AA2422" s="2597">
        <f t="shared" si="566"/>
        <v>1.4283015288851328</v>
      </c>
      <c r="AB2422" s="3325">
        <f t="shared" si="567"/>
        <v>1.5100859149378963E-7</v>
      </c>
      <c r="AC2422" s="3646"/>
      <c r="AD2422" s="3646"/>
      <c r="AE2422" s="3442"/>
    </row>
    <row r="2423" spans="1:31" x14ac:dyDescent="0.2">
      <c r="A2423" s="2935" t="s">
        <v>980</v>
      </c>
      <c r="B2423" s="3006" t="str">
        <f>IFERROR(AVERAGE(S2418:S2424),"")</f>
        <v/>
      </c>
      <c r="C2423" s="2937">
        <v>45521</v>
      </c>
      <c r="D2423" s="3090"/>
      <c r="E2423" s="3091"/>
      <c r="F2423" s="3350" t="s">
        <v>819</v>
      </c>
      <c r="G2423" s="3092"/>
      <c r="H2423" s="3093">
        <f>IFERROR(VLOOKUP(F2423,Trainingsarten!$A$9:$K$84,10,FALSE),"")</f>
        <v>10.171067034796261</v>
      </c>
      <c r="I2423" s="3094">
        <f t="shared" si="558"/>
        <v>0</v>
      </c>
      <c r="J2423" s="3095"/>
      <c r="K2423" s="3096">
        <f>IFERROR(VLOOKUP(F2423,Trainingsarten!$A$9:$K$84,11,FALSE),"0")</f>
        <v>72.25</v>
      </c>
      <c r="L2423" s="2816"/>
      <c r="M2423" s="3095"/>
      <c r="N2423" s="3097" t="str">
        <f t="shared" si="559"/>
        <v/>
      </c>
      <c r="O2423" s="3098"/>
      <c r="P2423" s="2897">
        <f>IFERROR(VLOOKUP(F2423,Trainingsarten!$A$9:$N$84,12,FALSE),"")</f>
        <v>194.60000000000002</v>
      </c>
      <c r="Q2423" s="2898" t="s">
        <v>437</v>
      </c>
      <c r="R2423" s="3099">
        <f>IFERROR(VLOOKUP(F2423,Trainingsarten!$A$9:$N$84,14,FALSE),"")</f>
        <v>212.96</v>
      </c>
      <c r="S2423" s="3100" t="str">
        <f t="shared" si="560"/>
        <v/>
      </c>
      <c r="T2423" s="3090">
        <f t="shared" si="561"/>
        <v>43.168521905234599</v>
      </c>
      <c r="U2423" s="3090">
        <f t="shared" si="562"/>
        <v>39.587117294550943</v>
      </c>
      <c r="V2423" s="3090">
        <f t="shared" si="563"/>
        <v>0.46885272936791722</v>
      </c>
      <c r="W2423" s="3284">
        <f t="shared" si="564"/>
        <v>1.0904689418033635</v>
      </c>
      <c r="X2423" s="3300"/>
      <c r="Y2423" s="3316">
        <f t="shared" si="557"/>
        <v>0</v>
      </c>
      <c r="Z2423" s="2597">
        <f t="shared" si="565"/>
        <v>1.848735446617459E-7</v>
      </c>
      <c r="AA2423" s="2597">
        <f t="shared" si="566"/>
        <v>1.394294349625963</v>
      </c>
      <c r="AB2423" s="3325">
        <f t="shared" si="567"/>
        <v>1.325929096043031E-7</v>
      </c>
      <c r="AC2423" s="3646"/>
      <c r="AD2423" s="3646"/>
      <c r="AE2423" s="3442"/>
    </row>
    <row r="2424" spans="1:31" ht="16" thickBot="1" x14ac:dyDescent="0.25">
      <c r="A2424" s="2936" t="s">
        <v>183</v>
      </c>
      <c r="B2424" s="3003">
        <f>IFERROR(SUM(M2418:M2424),"")</f>
        <v>0</v>
      </c>
      <c r="C2424" s="2576">
        <v>45522</v>
      </c>
      <c r="D2424" s="1788"/>
      <c r="E2424" s="1789"/>
      <c r="F2424" s="3351"/>
      <c r="G2424" s="2577"/>
      <c r="H2424" s="2578" t="str">
        <f>IFERROR(VLOOKUP(F2424,Trainingsarten!$A$9:$K$84,10,FALSE),"")</f>
        <v/>
      </c>
      <c r="I2424" s="2579" t="str">
        <f t="shared" si="558"/>
        <v/>
      </c>
      <c r="J2424" s="2580"/>
      <c r="K2424" s="2581" t="str">
        <f>IFERROR(VLOOKUP(F2424,Trainingsarten!$A$9:$K$84,11,FALSE),"0")</f>
        <v>0</v>
      </c>
      <c r="L2424" s="3101"/>
      <c r="M2424" s="2580"/>
      <c r="N2424" s="2582" t="str">
        <f t="shared" si="559"/>
        <v/>
      </c>
      <c r="O2424" s="2583"/>
      <c r="P2424" s="3102" t="str">
        <f>IFERROR(VLOOKUP(F2424,Trainingsarten!$A$9:$N$84,12,FALSE),"")</f>
        <v/>
      </c>
      <c r="Q2424" s="3103" t="s">
        <v>437</v>
      </c>
      <c r="R2424" s="3104" t="str">
        <f>IFERROR(VLOOKUP(F2424,Trainingsarten!$A$9:$N$84,14,FALSE),"")</f>
        <v/>
      </c>
      <c r="S2424" s="2390" t="str">
        <f t="shared" si="560"/>
        <v/>
      </c>
      <c r="T2424" s="1788">
        <f t="shared" si="561"/>
        <v>37.001590204486796</v>
      </c>
      <c r="U2424" s="1788">
        <f t="shared" si="562"/>
        <v>38.644566882775919</v>
      </c>
      <c r="V2424" s="1788">
        <f t="shared" si="563"/>
        <v>-3.5814046106836557</v>
      </c>
      <c r="W2424" s="3293">
        <f t="shared" si="564"/>
        <v>0.95748492451027034</v>
      </c>
      <c r="X2424" s="3300"/>
      <c r="Y2424" s="3316" t="str">
        <f t="shared" si="557"/>
        <v/>
      </c>
      <c r="Z2424" s="2597">
        <f t="shared" si="565"/>
        <v>1.5846303828149648E-7</v>
      </c>
      <c r="AA2424" s="2597">
        <f t="shared" si="566"/>
        <v>1.3610968651110591</v>
      </c>
      <c r="AB2424" s="3325">
        <f t="shared" si="567"/>
        <v>1.1642304257938809E-7</v>
      </c>
      <c r="AC2424" s="3646"/>
      <c r="AD2424" s="3646"/>
      <c r="AE2424" s="3442"/>
    </row>
    <row r="2425" spans="1:31" ht="16" thickBot="1" x14ac:dyDescent="0.25">
      <c r="A2425" s="3439">
        <f>WEEKNUM(C2425,1)</f>
        <v>34</v>
      </c>
      <c r="B2425" s="3440"/>
      <c r="C2425" s="2585">
        <v>45523</v>
      </c>
      <c r="D2425" s="2586"/>
      <c r="E2425" s="2587"/>
      <c r="F2425" s="3346" t="s">
        <v>943</v>
      </c>
      <c r="G2425" s="2588"/>
      <c r="H2425" s="2589">
        <f>IFERROR(VLOOKUP(F2425,Trainingsarten!$A$9:$K$84,10,FALSE),"")</f>
        <v>7.6283002760971961</v>
      </c>
      <c r="I2425" s="2590">
        <f t="shared" si="558"/>
        <v>0</v>
      </c>
      <c r="J2425" s="2591"/>
      <c r="K2425" s="2592">
        <f>IFERROR(VLOOKUP(F2425,Trainingsarten!$A$9:$K$84,11,FALSE),"0")</f>
        <v>54.1875</v>
      </c>
      <c r="L2425" s="2815"/>
      <c r="M2425" s="2591"/>
      <c r="N2425" s="2593" t="str">
        <f t="shared" si="559"/>
        <v/>
      </c>
      <c r="O2425" s="2594"/>
      <c r="P2425" s="1919">
        <f>IFERROR(VLOOKUP(F2425,Trainingsarten!$A$9:$N$84,12,FALSE),"")</f>
        <v>194.60000000000002</v>
      </c>
      <c r="Q2425" s="2461" t="s">
        <v>437</v>
      </c>
      <c r="R2425" s="3089">
        <f>IFERROR(VLOOKUP(F2425,Trainingsarten!$A$9:$N$84,14,FALSE),"")</f>
        <v>212.96</v>
      </c>
      <c r="S2425" s="2595" t="str">
        <f t="shared" si="560"/>
        <v/>
      </c>
      <c r="T2425" s="2586">
        <f t="shared" si="561"/>
        <v>39.456720175274398</v>
      </c>
      <c r="U2425" s="2586">
        <f t="shared" si="562"/>
        <v>39.014636718900299</v>
      </c>
      <c r="V2425" s="2586">
        <f t="shared" si="563"/>
        <v>1.6429766782891235</v>
      </c>
      <c r="W2425" s="3283">
        <f t="shared" si="564"/>
        <v>1.0113312206277685</v>
      </c>
      <c r="X2425" s="3300"/>
      <c r="Y2425" s="3316">
        <f t="shared" si="557"/>
        <v>0</v>
      </c>
      <c r="Z2425" s="2597">
        <f t="shared" si="565"/>
        <v>1.3582546138413984E-7</v>
      </c>
      <c r="AA2425" s="2597">
        <f t="shared" si="566"/>
        <v>1.3286897968941291</v>
      </c>
      <c r="AB2425" s="3325">
        <f t="shared" si="567"/>
        <v>1.0222511055751149E-7</v>
      </c>
      <c r="AC2425" s="3646"/>
      <c r="AD2425" s="3646"/>
      <c r="AE2425" s="3443"/>
    </row>
    <row r="2426" spans="1:31" x14ac:dyDescent="0.2">
      <c r="A2426" s="2934" t="s">
        <v>626</v>
      </c>
      <c r="B2426" s="3004">
        <f>SUM(H2425:H2431)</f>
        <v>57.633080389016655</v>
      </c>
      <c r="C2426" s="2937">
        <v>45524</v>
      </c>
      <c r="D2426" s="3090"/>
      <c r="E2426" s="3091"/>
      <c r="F2426" s="3347" t="s">
        <v>943</v>
      </c>
      <c r="G2426" s="3092"/>
      <c r="H2426" s="3093">
        <f>IFERROR(VLOOKUP(F2426,Trainingsarten!$A$9:$K$84,10,FALSE),"")</f>
        <v>7.6283002760971961</v>
      </c>
      <c r="I2426" s="3094">
        <f t="shared" si="558"/>
        <v>0</v>
      </c>
      <c r="J2426" s="3095"/>
      <c r="K2426" s="3096">
        <f>IFERROR(VLOOKUP(F2426,Trainingsarten!$A$9:$K$84,11,FALSE),"0")</f>
        <v>54.1875</v>
      </c>
      <c r="L2426" s="2816"/>
      <c r="M2426" s="3095"/>
      <c r="N2426" s="3097" t="str">
        <f t="shared" si="559"/>
        <v/>
      </c>
      <c r="O2426" s="3098"/>
      <c r="P2426" s="2897">
        <f>IFERROR(VLOOKUP(F2426,Trainingsarten!$A$9:$N$84,12,FALSE),"")</f>
        <v>194.60000000000002</v>
      </c>
      <c r="Q2426" s="2898" t="s">
        <v>437</v>
      </c>
      <c r="R2426" s="3099">
        <f>IFERROR(VLOOKUP(F2426,Trainingsarten!$A$9:$N$84,14,FALSE),"")</f>
        <v>212.96</v>
      </c>
      <c r="S2426" s="3100" t="str">
        <f t="shared" si="560"/>
        <v/>
      </c>
      <c r="T2426" s="3090">
        <f t="shared" si="561"/>
        <v>41.561117293092344</v>
      </c>
      <c r="U2426" s="3090">
        <f t="shared" si="562"/>
        <v>39.375895368450294</v>
      </c>
      <c r="V2426" s="3090">
        <f t="shared" si="563"/>
        <v>-0.44208345637409963</v>
      </c>
      <c r="W2426" s="3284">
        <f t="shared" si="564"/>
        <v>1.0554964377113045</v>
      </c>
      <c r="X2426" s="3300"/>
      <c r="Y2426" s="3316">
        <f t="shared" si="557"/>
        <v>0</v>
      </c>
      <c r="Z2426" s="2597">
        <f t="shared" si="565"/>
        <v>1.1642182404354843E-7</v>
      </c>
      <c r="AA2426" s="2597">
        <f t="shared" si="566"/>
        <v>1.2970543255395071</v>
      </c>
      <c r="AB2426" s="3325">
        <f t="shared" si="567"/>
        <v>8.9758633660253985E-8</v>
      </c>
    </row>
    <row r="2427" spans="1:31" x14ac:dyDescent="0.2">
      <c r="A2427" s="2935" t="s">
        <v>628</v>
      </c>
      <c r="B2427" s="3005">
        <f>SUM(K2425:K2431)</f>
        <v>417.8982924489801</v>
      </c>
      <c r="C2427" s="2937">
        <v>45525</v>
      </c>
      <c r="D2427" s="3090"/>
      <c r="E2427" s="3091"/>
      <c r="F2427" s="3352" t="s">
        <v>915</v>
      </c>
      <c r="G2427" s="3092"/>
      <c r="H2427" s="3093">
        <f>IFERROR(VLOOKUP(F2427,Trainingsarten!$A$9:$K$84,10,FALSE),"")</f>
        <v>10.168100893300783</v>
      </c>
      <c r="I2427" s="3094">
        <f t="shared" si="558"/>
        <v>0</v>
      </c>
      <c r="J2427" s="3095"/>
      <c r="K2427" s="3096">
        <f>IFERROR(VLOOKUP(F2427,Trainingsarten!$A$9:$K$84,11,FALSE),"0")</f>
        <v>80.731625782313444</v>
      </c>
      <c r="L2427" s="2816"/>
      <c r="M2427" s="3095"/>
      <c r="N2427" s="3097" t="str">
        <f t="shared" si="559"/>
        <v/>
      </c>
      <c r="O2427" s="3098"/>
      <c r="P2427" s="2897">
        <f>IFERROR(VLOOKUP(F2427,Trainingsarten!$A$9:$N$84,12,FALSE),"")</f>
        <v>255.10000000000002</v>
      </c>
      <c r="Q2427" s="2898" t="s">
        <v>437</v>
      </c>
      <c r="R2427" s="3099">
        <f>IFERROR(VLOOKUP(F2427,Trainingsarten!$A$9:$N$84,14,FALSE),"")</f>
        <v>278.29999999999995</v>
      </c>
      <c r="S2427" s="3100" t="str">
        <f t="shared" si="560"/>
        <v/>
      </c>
      <c r="T2427" s="3090">
        <f t="shared" si="561"/>
        <v>47.156904220123927</v>
      </c>
      <c r="U2427" s="3090">
        <f t="shared" si="562"/>
        <v>40.360555616399417</v>
      </c>
      <c r="V2427" s="3090">
        <f t="shared" si="563"/>
        <v>-2.1852219246420503</v>
      </c>
      <c r="W2427" s="3284">
        <f t="shared" si="564"/>
        <v>1.1683908583499034</v>
      </c>
      <c r="X2427" s="3300"/>
      <c r="Y2427" s="3316">
        <f t="shared" si="557"/>
        <v>0</v>
      </c>
      <c r="Z2427" s="2597">
        <f t="shared" si="565"/>
        <v>9.979013489447008E-8</v>
      </c>
      <c r="AA2427" s="2597">
        <f t="shared" si="566"/>
        <v>1.2661720796933282</v>
      </c>
      <c r="AB2427" s="3325">
        <f t="shared" si="567"/>
        <v>7.8812458823637644E-8</v>
      </c>
    </row>
    <row r="2428" spans="1:31" x14ac:dyDescent="0.2">
      <c r="A2428" s="2935" t="s">
        <v>761</v>
      </c>
      <c r="B2428" s="3006">
        <f>AVERAGE(W2425:W2431)</f>
        <v>1.1723753311432221</v>
      </c>
      <c r="C2428" s="2937">
        <v>45526</v>
      </c>
      <c r="D2428" s="3090"/>
      <c r="E2428" s="3091"/>
      <c r="F2428" s="3347" t="s">
        <v>943</v>
      </c>
      <c r="G2428" s="3092"/>
      <c r="H2428" s="3093">
        <f>IFERROR(VLOOKUP(F2428,Trainingsarten!$A$9:$K$84,10,FALSE),"")</f>
        <v>7.6283002760971961</v>
      </c>
      <c r="I2428" s="3094">
        <f t="shared" si="558"/>
        <v>0</v>
      </c>
      <c r="J2428" s="3095"/>
      <c r="K2428" s="3096">
        <f>IFERROR(VLOOKUP(F2428,Trainingsarten!$A$9:$K$84,11,FALSE),"0")</f>
        <v>54.1875</v>
      </c>
      <c r="L2428" s="2816"/>
      <c r="M2428" s="3095"/>
      <c r="N2428" s="3097" t="str">
        <f t="shared" si="559"/>
        <v/>
      </c>
      <c r="O2428" s="3098"/>
      <c r="P2428" s="2897">
        <f>IFERROR(VLOOKUP(F2428,Trainingsarten!$A$9:$N$84,12,FALSE),"")</f>
        <v>194.60000000000002</v>
      </c>
      <c r="Q2428" s="2898" t="s">
        <v>437</v>
      </c>
      <c r="R2428" s="3099">
        <f>IFERROR(VLOOKUP(F2428,Trainingsarten!$A$9:$N$84,14,FALSE),"")</f>
        <v>212.96</v>
      </c>
      <c r="S2428" s="3100" t="str">
        <f t="shared" si="560"/>
        <v/>
      </c>
      <c r="T2428" s="3090">
        <f t="shared" si="561"/>
        <v>48.16127504582051</v>
      </c>
      <c r="U2428" s="3090">
        <f t="shared" si="562"/>
        <v>40.689768577913718</v>
      </c>
      <c r="V2428" s="3090">
        <f t="shared" si="563"/>
        <v>-6.7963486037245104</v>
      </c>
      <c r="W2428" s="3284">
        <f t="shared" si="564"/>
        <v>1.1836212573585956</v>
      </c>
      <c r="X2428" s="3300"/>
      <c r="Y2428" s="3316">
        <f t="shared" si="557"/>
        <v>0</v>
      </c>
      <c r="Z2428" s="2597">
        <f t="shared" si="565"/>
        <v>8.5534401338117211E-8</v>
      </c>
      <c r="AA2428" s="2597">
        <f t="shared" si="566"/>
        <v>1.2360251254149157</v>
      </c>
      <c r="AB2428" s="3325">
        <f t="shared" si="567"/>
        <v>6.9201183357340371E-8</v>
      </c>
    </row>
    <row r="2429" spans="1:31" ht="16" thickBot="1" x14ac:dyDescent="0.25">
      <c r="A2429" s="2935" t="s">
        <v>979</v>
      </c>
      <c r="B2429" s="3131" t="str">
        <f>IFERROR(AVERAGE(N2425:N2431),"")</f>
        <v/>
      </c>
      <c r="C2429" s="2937">
        <v>45527</v>
      </c>
      <c r="D2429" s="3090"/>
      <c r="E2429" s="3091"/>
      <c r="F2429" s="3347" t="s">
        <v>943</v>
      </c>
      <c r="G2429" s="3092"/>
      <c r="H2429" s="3093">
        <f>IFERROR(VLOOKUP(F2429,Trainingsarten!$A$9:$K$84,10,FALSE),"")</f>
        <v>7.6283002760971961</v>
      </c>
      <c r="I2429" s="3094">
        <f t="shared" si="558"/>
        <v>0</v>
      </c>
      <c r="J2429" s="3095"/>
      <c r="K2429" s="3096">
        <f>IFERROR(VLOOKUP(F2429,Trainingsarten!$A$9:$K$84,11,FALSE),"0")</f>
        <v>54.1875</v>
      </c>
      <c r="L2429" s="2816"/>
      <c r="M2429" s="3095"/>
      <c r="N2429" s="3097" t="str">
        <f t="shared" si="559"/>
        <v/>
      </c>
      <c r="O2429" s="3098"/>
      <c r="P2429" s="2897">
        <f>IFERROR(VLOOKUP(F2429,Trainingsarten!$A$9:$N$84,12,FALSE),"")</f>
        <v>194.60000000000002</v>
      </c>
      <c r="Q2429" s="2898" t="s">
        <v>437</v>
      </c>
      <c r="R2429" s="3099">
        <f>IFERROR(VLOOKUP(F2429,Trainingsarten!$A$9:$N$84,14,FALSE),"")</f>
        <v>212.96</v>
      </c>
      <c r="S2429" s="3100" t="str">
        <f t="shared" si="560"/>
        <v/>
      </c>
      <c r="T2429" s="3090">
        <f t="shared" si="561"/>
        <v>49.022164324989006</v>
      </c>
      <c r="U2429" s="3090">
        <f t="shared" si="562"/>
        <v>41.011143135582437</v>
      </c>
      <c r="V2429" s="3090">
        <f t="shared" si="563"/>
        <v>-7.4715064679067922</v>
      </c>
      <c r="W2429" s="3284">
        <f t="shared" si="564"/>
        <v>1.1953376711037342</v>
      </c>
      <c r="X2429" s="3300"/>
      <c r="Y2429" s="3316">
        <f t="shared" si="557"/>
        <v>0</v>
      </c>
      <c r="Z2429" s="2597">
        <f t="shared" si="565"/>
        <v>7.3315201146957615E-8</v>
      </c>
      <c r="AA2429" s="2597">
        <f t="shared" si="566"/>
        <v>1.2065959557621797</v>
      </c>
      <c r="AB2429" s="3325">
        <f t="shared" si="567"/>
        <v>6.0762014655225694E-8</v>
      </c>
    </row>
    <row r="2430" spans="1:31" x14ac:dyDescent="0.2">
      <c r="A2430" s="2935" t="s">
        <v>980</v>
      </c>
      <c r="B2430" s="3006" t="str">
        <f>IFERROR(AVERAGE(S2425:S2431),"")</f>
        <v/>
      </c>
      <c r="C2430" s="2937">
        <v>45528</v>
      </c>
      <c r="D2430" s="3090"/>
      <c r="E2430" s="3091"/>
      <c r="F2430" s="3347" t="s">
        <v>810</v>
      </c>
      <c r="G2430" s="3092"/>
      <c r="H2430" s="3093">
        <f>IFERROR(VLOOKUP(F2430,Trainingsarten!$A$9:$K$84,10,FALSE),"")</f>
        <v>16.9517783913271</v>
      </c>
      <c r="I2430" s="3094">
        <f t="shared" si="558"/>
        <v>0</v>
      </c>
      <c r="J2430" s="3095"/>
      <c r="K2430" s="3096">
        <f>IFERROR(VLOOKUP(F2430,Trainingsarten!$A$9:$K$84,11,FALSE),"0")</f>
        <v>120.41666666666664</v>
      </c>
      <c r="L2430" s="2816"/>
      <c r="M2430" s="3095"/>
      <c r="N2430" s="3097" t="str">
        <f t="shared" si="559"/>
        <v/>
      </c>
      <c r="O2430" s="3098"/>
      <c r="P2430" s="2897">
        <f>IFERROR(VLOOKUP(F2430,Trainingsarten!$A$9:$N$84,12,FALSE),"")</f>
        <v>194.60000000000002</v>
      </c>
      <c r="Q2430" s="2898" t="s">
        <v>437</v>
      </c>
      <c r="R2430" s="3099">
        <f>IFERROR(VLOOKUP(F2430,Trainingsarten!$A$9:$N$84,14,FALSE),"")</f>
        <v>212.96</v>
      </c>
      <c r="S2430" s="3100" t="str">
        <f t="shared" si="560"/>
        <v/>
      </c>
      <c r="T2430" s="3090">
        <f t="shared" si="561"/>
        <v>59.221378945228665</v>
      </c>
      <c r="U2430" s="3090">
        <f t="shared" si="562"/>
        <v>42.901750838703492</v>
      </c>
      <c r="V2430" s="3090">
        <f t="shared" si="563"/>
        <v>-8.0110211894065699</v>
      </c>
      <c r="W2430" s="3284">
        <f t="shared" si="564"/>
        <v>1.3803953868428731</v>
      </c>
      <c r="X2430" s="3300"/>
      <c r="Y2430" s="3316">
        <f t="shared" si="557"/>
        <v>0</v>
      </c>
      <c r="Z2430" s="2597">
        <f t="shared" si="565"/>
        <v>6.2841600983106533E-8</v>
      </c>
      <c r="AA2430" s="2597">
        <f t="shared" si="566"/>
        <v>1.1778674806249849</v>
      </c>
      <c r="AB2430" s="3325">
        <f t="shared" si="567"/>
        <v>5.3352012868003052E-8</v>
      </c>
      <c r="AC2430" s="3645"/>
      <c r="AD2430" s="3645"/>
      <c r="AE2430" s="3434" t="s">
        <v>1492</v>
      </c>
    </row>
    <row r="2431" spans="1:31" ht="16" thickBot="1" x14ac:dyDescent="0.25">
      <c r="A2431" s="2936" t="s">
        <v>183</v>
      </c>
      <c r="B2431" s="3003">
        <f>IFERROR(SUM(M2425:M2431),"")</f>
        <v>0</v>
      </c>
      <c r="C2431" s="2576">
        <v>45529</v>
      </c>
      <c r="D2431" s="1788"/>
      <c r="E2431" s="1789"/>
      <c r="F2431" s="3345"/>
      <c r="G2431" s="2577"/>
      <c r="H2431" s="2578" t="str">
        <f>IFERROR(VLOOKUP(F2431,Trainingsarten!$A$9:$K$84,10,FALSE),"")</f>
        <v/>
      </c>
      <c r="I2431" s="2579" t="str">
        <f t="shared" si="558"/>
        <v/>
      </c>
      <c r="J2431" s="2580"/>
      <c r="K2431" s="2581" t="str">
        <f>IFERROR(VLOOKUP(F2431,Trainingsarten!$A$9:$K$84,11,FALSE),"0")</f>
        <v>0</v>
      </c>
      <c r="L2431" s="3101"/>
      <c r="M2431" s="2580"/>
      <c r="N2431" s="2582" t="str">
        <f t="shared" si="559"/>
        <v/>
      </c>
      <c r="O2431" s="2583"/>
      <c r="P2431" s="3102" t="str">
        <f>IFERROR(VLOOKUP(F2431,Trainingsarten!$A$9:$N$84,12,FALSE),"")</f>
        <v/>
      </c>
      <c r="Q2431" s="3103" t="s">
        <v>437</v>
      </c>
      <c r="R2431" s="3104" t="str">
        <f>IFERROR(VLOOKUP(F2431,Trainingsarten!$A$9:$N$84,14,FALSE),"")</f>
        <v/>
      </c>
      <c r="S2431" s="2390" t="str">
        <f t="shared" si="560"/>
        <v/>
      </c>
      <c r="T2431" s="1788">
        <f t="shared" si="561"/>
        <v>50.761181953053139</v>
      </c>
      <c r="U2431" s="1788">
        <f t="shared" si="562"/>
        <v>41.880280580639123</v>
      </c>
      <c r="V2431" s="1788">
        <f t="shared" si="563"/>
        <v>-16.319628106525172</v>
      </c>
      <c r="W2431" s="3293">
        <f t="shared" si="564"/>
        <v>1.2120544860083764</v>
      </c>
      <c r="X2431" s="3300"/>
      <c r="Y2431" s="3316" t="str">
        <f t="shared" si="557"/>
        <v/>
      </c>
      <c r="Z2431" s="2597">
        <f t="shared" si="565"/>
        <v>5.3864229414091315E-8</v>
      </c>
      <c r="AA2431" s="2597">
        <f t="shared" si="566"/>
        <v>1.1498230168005805</v>
      </c>
      <c r="AB2431" s="3325">
        <f t="shared" si="567"/>
        <v>4.6845669835319757E-8</v>
      </c>
      <c r="AC2431" s="3645"/>
      <c r="AD2431" s="3645"/>
      <c r="AE2431" s="3435"/>
    </row>
    <row r="2432" spans="1:31" ht="16" thickBot="1" x14ac:dyDescent="0.25">
      <c r="A2432" s="3439">
        <f>WEEKNUM(C2432,1)</f>
        <v>35</v>
      </c>
      <c r="B2432" s="3440"/>
      <c r="C2432" s="2585">
        <v>45530</v>
      </c>
      <c r="D2432" s="2586"/>
      <c r="E2432" s="2587"/>
      <c r="F2432" s="3346" t="s">
        <v>943</v>
      </c>
      <c r="G2432" s="2588"/>
      <c r="H2432" s="2589">
        <f>IFERROR(VLOOKUP(F2432,Trainingsarten!$A$9:$K$84,10,FALSE),"")</f>
        <v>7.6283002760971961</v>
      </c>
      <c r="I2432" s="2590">
        <f t="shared" si="558"/>
        <v>0</v>
      </c>
      <c r="J2432" s="2591"/>
      <c r="K2432" s="2592">
        <f>IFERROR(VLOOKUP(F2432,Trainingsarten!$A$9:$K$84,11,FALSE),"0")</f>
        <v>54.1875</v>
      </c>
      <c r="L2432" s="2815"/>
      <c r="M2432" s="2591"/>
      <c r="N2432" s="2593" t="str">
        <f t="shared" si="559"/>
        <v/>
      </c>
      <c r="O2432" s="2594"/>
      <c r="P2432" s="1919">
        <f>IFERROR(VLOOKUP(F2432,Trainingsarten!$A$9:$N$84,12,FALSE),"")</f>
        <v>194.60000000000002</v>
      </c>
      <c r="Q2432" s="2461" t="s">
        <v>437</v>
      </c>
      <c r="R2432" s="3089">
        <f>IFERROR(VLOOKUP(F2432,Trainingsarten!$A$9:$N$84,14,FALSE),"")</f>
        <v>212.96</v>
      </c>
      <c r="S2432" s="2595" t="str">
        <f t="shared" si="560"/>
        <v/>
      </c>
      <c r="T2432" s="2586">
        <f t="shared" si="561"/>
        <v>51.250655959759833</v>
      </c>
      <c r="U2432" s="2586">
        <f t="shared" si="562"/>
        <v>42.173309614433428</v>
      </c>
      <c r="V2432" s="2586">
        <f t="shared" si="563"/>
        <v>-8.8809013724140158</v>
      </c>
      <c r="W2432" s="3283">
        <f t="shared" si="564"/>
        <v>1.2152391270288108</v>
      </c>
      <c r="X2432" s="3300"/>
      <c r="Y2432" s="3316">
        <f t="shared" si="557"/>
        <v>0</v>
      </c>
      <c r="Z2432" s="2597">
        <f t="shared" si="565"/>
        <v>4.6169339497792555E-8</v>
      </c>
      <c r="AA2432" s="2597">
        <f t="shared" si="566"/>
        <v>1.1224462783053286</v>
      </c>
      <c r="AB2432" s="3325">
        <f t="shared" si="567"/>
        <v>4.1132783270036859E-8</v>
      </c>
      <c r="AC2432" s="3645"/>
      <c r="AD2432" s="3645"/>
      <c r="AE2432" s="3435"/>
    </row>
    <row r="2433" spans="1:31" ht="16" thickBot="1" x14ac:dyDescent="0.25">
      <c r="A2433" s="2934" t="s">
        <v>626</v>
      </c>
      <c r="B2433" s="3004">
        <f>SUM(H2432:H2438)</f>
        <v>59.328258228149373</v>
      </c>
      <c r="C2433" s="2937">
        <v>45531</v>
      </c>
      <c r="D2433" s="3090"/>
      <c r="E2433" s="3091"/>
      <c r="F2433" s="3347" t="s">
        <v>943</v>
      </c>
      <c r="G2433" s="3092"/>
      <c r="H2433" s="3093">
        <f>IFERROR(VLOOKUP(F2433,Trainingsarten!$A$9:$K$84,10,FALSE),"")</f>
        <v>7.6283002760971961</v>
      </c>
      <c r="I2433" s="3094">
        <f t="shared" si="558"/>
        <v>0</v>
      </c>
      <c r="J2433" s="3095"/>
      <c r="K2433" s="3096">
        <f>IFERROR(VLOOKUP(F2433,Trainingsarten!$A$9:$K$84,11,FALSE),"0")</f>
        <v>54.1875</v>
      </c>
      <c r="L2433" s="2816"/>
      <c r="M2433" s="3095"/>
      <c r="N2433" s="3097" t="str">
        <f t="shared" si="559"/>
        <v/>
      </c>
      <c r="O2433" s="3098"/>
      <c r="P2433" s="2897">
        <f>IFERROR(VLOOKUP(F2433,Trainingsarten!$A$9:$N$84,12,FALSE),"")</f>
        <v>194.60000000000002</v>
      </c>
      <c r="Q2433" s="2898" t="s">
        <v>437</v>
      </c>
      <c r="R2433" s="3099">
        <f>IFERROR(VLOOKUP(F2433,Trainingsarten!$A$9:$N$84,14,FALSE),"")</f>
        <v>212.96</v>
      </c>
      <c r="S2433" s="3100" t="str">
        <f t="shared" si="560"/>
        <v/>
      </c>
      <c r="T2433" s="3090">
        <f t="shared" si="561"/>
        <v>51.670205108365572</v>
      </c>
      <c r="U2433" s="3090">
        <f t="shared" si="562"/>
        <v>42.459361766470728</v>
      </c>
      <c r="V2433" s="3090">
        <f t="shared" si="563"/>
        <v>-9.0773463453264043</v>
      </c>
      <c r="W2433" s="3284">
        <f t="shared" si="564"/>
        <v>1.2169331558150847</v>
      </c>
      <c r="X2433" s="3300"/>
      <c r="Y2433" s="3316">
        <f t="shared" si="557"/>
        <v>0</v>
      </c>
      <c r="Z2433" s="2597">
        <f t="shared" si="565"/>
        <v>3.9573719569536477E-8</v>
      </c>
      <c r="AA2433" s="2597">
        <f t="shared" si="566"/>
        <v>1.0957213669171064</v>
      </c>
      <c r="AB2433" s="3325">
        <f t="shared" si="567"/>
        <v>3.6116590188325051E-8</v>
      </c>
      <c r="AC2433" s="3645"/>
      <c r="AD2433" s="3645"/>
      <c r="AE2433" s="3436"/>
    </row>
    <row r="2434" spans="1:31" x14ac:dyDescent="0.2">
      <c r="A2434" s="2935" t="s">
        <v>628</v>
      </c>
      <c r="B2434" s="3005">
        <f>SUM(K2432:K2438)</f>
        <v>429.93995911564684</v>
      </c>
      <c r="C2434" s="2937">
        <v>45532</v>
      </c>
      <c r="D2434" s="3090"/>
      <c r="E2434" s="3091"/>
      <c r="F2434" s="3352" t="s">
        <v>915</v>
      </c>
      <c r="G2434" s="3092"/>
      <c r="H2434" s="3093">
        <f>IFERROR(VLOOKUP(F2434,Trainingsarten!$A$9:$K$84,10,FALSE),"")</f>
        <v>10.168100893300783</v>
      </c>
      <c r="I2434" s="3094">
        <f t="shared" si="558"/>
        <v>0</v>
      </c>
      <c r="J2434" s="3095"/>
      <c r="K2434" s="3096">
        <f>IFERROR(VLOOKUP(F2434,Trainingsarten!$A$9:$K$84,11,FALSE),"0")</f>
        <v>80.731625782313444</v>
      </c>
      <c r="L2434" s="2816"/>
      <c r="M2434" s="3095"/>
      <c r="N2434" s="3097" t="str">
        <f t="shared" si="559"/>
        <v/>
      </c>
      <c r="O2434" s="3098"/>
      <c r="P2434" s="2897">
        <f>IFERROR(VLOOKUP(F2434,Trainingsarten!$A$9:$N$84,12,FALSE),"")</f>
        <v>255.10000000000002</v>
      </c>
      <c r="Q2434" s="2898" t="s">
        <v>437</v>
      </c>
      <c r="R2434" s="3099">
        <f>IFERROR(VLOOKUP(F2434,Trainingsarten!$A$9:$N$84,14,FALSE),"")</f>
        <v>278.29999999999995</v>
      </c>
      <c r="S2434" s="3100" t="str">
        <f t="shared" si="560"/>
        <v/>
      </c>
      <c r="T2434" s="3090">
        <f t="shared" si="561"/>
        <v>55.82183663321527</v>
      </c>
      <c r="U2434" s="3090">
        <f t="shared" si="562"/>
        <v>43.370606147800316</v>
      </c>
      <c r="V2434" s="3090">
        <f t="shared" si="563"/>
        <v>-9.2108433418948437</v>
      </c>
      <c r="W2434" s="3284">
        <f t="shared" si="564"/>
        <v>1.2870891507253341</v>
      </c>
      <c r="X2434" s="3300"/>
      <c r="Y2434" s="3316">
        <f t="shared" si="557"/>
        <v>0</v>
      </c>
      <c r="Z2434" s="2597">
        <f t="shared" si="565"/>
        <v>3.3920331059602696E-8</v>
      </c>
      <c r="AA2434" s="2597">
        <f t="shared" si="566"/>
        <v>1.0696327629428897</v>
      </c>
      <c r="AB2434" s="3325">
        <f t="shared" si="567"/>
        <v>3.1712127970236626E-8</v>
      </c>
    </row>
    <row r="2435" spans="1:31" x14ac:dyDescent="0.2">
      <c r="A2435" s="2935" t="s">
        <v>761</v>
      </c>
      <c r="B2435" s="3006">
        <f>AVERAGE(W2432:W2438)</f>
        <v>1.2810291397610327</v>
      </c>
      <c r="C2435" s="2937">
        <v>45533</v>
      </c>
      <c r="D2435" s="3090"/>
      <c r="E2435" s="3091"/>
      <c r="F2435" s="3347" t="s">
        <v>943</v>
      </c>
      <c r="G2435" s="3092"/>
      <c r="H2435" s="3093">
        <f>IFERROR(VLOOKUP(F2435,Trainingsarten!$A$9:$K$84,10,FALSE),"")</f>
        <v>7.6283002760971961</v>
      </c>
      <c r="I2435" s="3094">
        <f t="shared" si="558"/>
        <v>0</v>
      </c>
      <c r="J2435" s="3095"/>
      <c r="K2435" s="3096">
        <f>IFERROR(VLOOKUP(F2435,Trainingsarten!$A$9:$K$84,11,FALSE),"0")</f>
        <v>54.1875</v>
      </c>
      <c r="L2435" s="2816"/>
      <c r="M2435" s="3095"/>
      <c r="N2435" s="3097" t="str">
        <f t="shared" si="559"/>
        <v/>
      </c>
      <c r="O2435" s="3098"/>
      <c r="P2435" s="2897">
        <f>IFERROR(VLOOKUP(F2435,Trainingsarten!$A$9:$N$84,12,FALSE),"")</f>
        <v>194.60000000000002</v>
      </c>
      <c r="Q2435" s="2898" t="s">
        <v>437</v>
      </c>
      <c r="R2435" s="3099">
        <f>IFERROR(VLOOKUP(F2435,Trainingsarten!$A$9:$N$84,14,FALSE),"")</f>
        <v>212.96</v>
      </c>
      <c r="S2435" s="3100" t="str">
        <f t="shared" si="560"/>
        <v/>
      </c>
      <c r="T2435" s="3090">
        <f t="shared" si="561"/>
        <v>55.588359971327371</v>
      </c>
      <c r="U2435" s="3090">
        <f t="shared" si="562"/>
        <v>43.628151239519354</v>
      </c>
      <c r="V2435" s="3090">
        <f t="shared" si="563"/>
        <v>-12.451230485414953</v>
      </c>
      <c r="W2435" s="3284">
        <f t="shared" si="564"/>
        <v>1.2741397100726604</v>
      </c>
      <c r="X2435" s="3300"/>
      <c r="Y2435" s="3316">
        <f t="shared" si="557"/>
        <v>0</v>
      </c>
      <c r="Z2435" s="2597">
        <f t="shared" si="565"/>
        <v>2.9074569479659454E-8</v>
      </c>
      <c r="AA2435" s="2597">
        <f t="shared" si="566"/>
        <v>1.0441653162061542</v>
      </c>
      <c r="AB2435" s="3325">
        <f t="shared" si="567"/>
        <v>2.7844795290939479E-8</v>
      </c>
    </row>
    <row r="2436" spans="1:31" x14ac:dyDescent="0.2">
      <c r="A2436" s="2935" t="s">
        <v>979</v>
      </c>
      <c r="B2436" s="3131" t="str">
        <f>IFERROR(AVERAGE(N2432:N2438),"")</f>
        <v/>
      </c>
      <c r="C2436" s="2937">
        <v>45534</v>
      </c>
      <c r="D2436" s="3090"/>
      <c r="E2436" s="3091"/>
      <c r="F2436" s="3347" t="s">
        <v>943</v>
      </c>
      <c r="G2436" s="3092"/>
      <c r="H2436" s="3093">
        <f>IFERROR(VLOOKUP(F2436,Trainingsarten!$A$9:$K$84,10,FALSE),"")</f>
        <v>7.6283002760971961</v>
      </c>
      <c r="I2436" s="3094">
        <f t="shared" si="558"/>
        <v>0</v>
      </c>
      <c r="J2436" s="3095"/>
      <c r="K2436" s="3096">
        <f>IFERROR(VLOOKUP(F2436,Trainingsarten!$A$9:$K$84,11,FALSE),"0")</f>
        <v>54.1875</v>
      </c>
      <c r="L2436" s="2816"/>
      <c r="M2436" s="3095"/>
      <c r="N2436" s="3097" t="str">
        <f t="shared" si="559"/>
        <v/>
      </c>
      <c r="O2436" s="3098"/>
      <c r="P2436" s="2897">
        <f>IFERROR(VLOOKUP(F2436,Trainingsarten!$A$9:$N$84,12,FALSE),"")</f>
        <v>194.60000000000002</v>
      </c>
      <c r="Q2436" s="2898" t="s">
        <v>437</v>
      </c>
      <c r="R2436" s="3099">
        <f>IFERROR(VLOOKUP(F2436,Trainingsarten!$A$9:$N$84,14,FALSE),"")</f>
        <v>212.96</v>
      </c>
      <c r="S2436" s="3100" t="str">
        <f t="shared" si="560"/>
        <v/>
      </c>
      <c r="T2436" s="3090">
        <f t="shared" si="561"/>
        <v>55.388237118280607</v>
      </c>
      <c r="U2436" s="3090">
        <f t="shared" si="562"/>
        <v>43.879564305245083</v>
      </c>
      <c r="V2436" s="3090">
        <f t="shared" si="563"/>
        <v>-11.960208731808017</v>
      </c>
      <c r="W2436" s="3284">
        <f t="shared" si="564"/>
        <v>1.2622786482786441</v>
      </c>
      <c r="X2436" s="3300"/>
      <c r="Y2436" s="3316">
        <f t="shared" si="557"/>
        <v>0</v>
      </c>
      <c r="Z2436" s="2597">
        <f t="shared" si="565"/>
        <v>2.4921059553993817E-8</v>
      </c>
      <c r="AA2436" s="2597">
        <f t="shared" si="566"/>
        <v>1.0193042372488648</v>
      </c>
      <c r="AB2436" s="3325">
        <f t="shared" si="567"/>
        <v>2.4449088548141981E-8</v>
      </c>
    </row>
    <row r="2437" spans="1:31" x14ac:dyDescent="0.2">
      <c r="A2437" s="2935" t="s">
        <v>980</v>
      </c>
      <c r="B2437" s="3006" t="str">
        <f>IFERROR(AVERAGE(S2432:S2438),"")</f>
        <v/>
      </c>
      <c r="C2437" s="2937">
        <v>45535</v>
      </c>
      <c r="D2437" s="3090"/>
      <c r="E2437" s="3091"/>
      <c r="F2437" s="3347" t="s">
        <v>811</v>
      </c>
      <c r="G2437" s="3092"/>
      <c r="H2437" s="3093">
        <f>IFERROR(VLOOKUP(F2437,Trainingsarten!$A$9:$K$84,10,FALSE),"")</f>
        <v>18.646956230459814</v>
      </c>
      <c r="I2437" s="3094">
        <f t="shared" si="558"/>
        <v>0</v>
      </c>
      <c r="J2437" s="3095"/>
      <c r="K2437" s="3096">
        <f>IFERROR(VLOOKUP(F2437,Trainingsarten!$A$9:$K$84,11,FALSE),"0")</f>
        <v>132.45833333333337</v>
      </c>
      <c r="L2437" s="2816"/>
      <c r="M2437" s="3095"/>
      <c r="N2437" s="3097" t="str">
        <f t="shared" si="559"/>
        <v/>
      </c>
      <c r="O2437" s="3098"/>
      <c r="P2437" s="2897">
        <f>IFERROR(VLOOKUP(F2437,Trainingsarten!$A$9:$N$84,12,FALSE),"")</f>
        <v>194.60000000000002</v>
      </c>
      <c r="Q2437" s="2898" t="s">
        <v>437</v>
      </c>
      <c r="R2437" s="3099">
        <f>IFERROR(VLOOKUP(F2437,Trainingsarten!$A$9:$N$84,14,FALSE),"")</f>
        <v>212.96</v>
      </c>
      <c r="S2437" s="3100" t="str">
        <f t="shared" si="560"/>
        <v/>
      </c>
      <c r="T2437" s="3090">
        <f t="shared" si="561"/>
        <v>66.398250863288141</v>
      </c>
      <c r="U2437" s="3090">
        <f t="shared" si="562"/>
        <v>45.988582615437664</v>
      </c>
      <c r="V2437" s="3090">
        <f t="shared" si="563"/>
        <v>-11.508672813035524</v>
      </c>
      <c r="W2437" s="3284">
        <f t="shared" si="564"/>
        <v>1.4437985927620056</v>
      </c>
      <c r="X2437" s="3300"/>
      <c r="Y2437" s="3316">
        <f t="shared" si="557"/>
        <v>0</v>
      </c>
      <c r="Z2437" s="2597">
        <f t="shared" si="565"/>
        <v>2.1360908189137556E-8</v>
      </c>
      <c r="AA2437" s="2597">
        <f t="shared" si="566"/>
        <v>0.99503508874293944</v>
      </c>
      <c r="AB2437" s="3325">
        <f t="shared" si="567"/>
        <v>2.1467492383734421E-8</v>
      </c>
    </row>
    <row r="2438" spans="1:31" ht="16" thickBot="1" x14ac:dyDescent="0.25">
      <c r="A2438" s="2936" t="s">
        <v>183</v>
      </c>
      <c r="B2438" s="3003">
        <f>IFERROR(SUM(M2432:M2438),"")</f>
        <v>0</v>
      </c>
      <c r="C2438" s="2576">
        <v>45536</v>
      </c>
      <c r="D2438" s="1788"/>
      <c r="E2438" s="1789"/>
      <c r="F2438" s="3345"/>
      <c r="G2438" s="2577"/>
      <c r="H2438" s="2578" t="str">
        <f>IFERROR(VLOOKUP(F2438,Trainingsarten!$A$9:$K$84,10,FALSE),"")</f>
        <v/>
      </c>
      <c r="I2438" s="2579" t="str">
        <f t="shared" si="558"/>
        <v/>
      </c>
      <c r="J2438" s="2580"/>
      <c r="K2438" s="2581" t="str">
        <f>IFERROR(VLOOKUP(F2438,Trainingsarten!$A$9:$K$84,11,FALSE),"0")</f>
        <v>0</v>
      </c>
      <c r="L2438" s="3101"/>
      <c r="M2438" s="2580"/>
      <c r="N2438" s="2582" t="str">
        <f t="shared" si="559"/>
        <v/>
      </c>
      <c r="O2438" s="2583"/>
      <c r="P2438" s="3102" t="str">
        <f>IFERROR(VLOOKUP(F2438,Trainingsarten!$A$9:$N$84,12,FALSE),"")</f>
        <v/>
      </c>
      <c r="Q2438" s="3103" t="s">
        <v>437</v>
      </c>
      <c r="R2438" s="3104" t="str">
        <f>IFERROR(VLOOKUP(F2438,Trainingsarten!$A$9:$N$84,14,FALSE),"")</f>
        <v/>
      </c>
      <c r="S2438" s="2390" t="str">
        <f t="shared" si="560"/>
        <v/>
      </c>
      <c r="T2438" s="1788">
        <f t="shared" si="561"/>
        <v>56.912786454246977</v>
      </c>
      <c r="U2438" s="1788">
        <f t="shared" si="562"/>
        <v>44.893616362689151</v>
      </c>
      <c r="V2438" s="1788">
        <f t="shared" si="563"/>
        <v>-20.409668247850476</v>
      </c>
      <c r="W2438" s="3293">
        <f t="shared" si="564"/>
        <v>1.2677255936446878</v>
      </c>
      <c r="X2438" s="3300"/>
      <c r="Y2438" s="3316" t="str">
        <f t="shared" si="557"/>
        <v/>
      </c>
      <c r="Z2438" s="2597">
        <f t="shared" si="565"/>
        <v>1.830934987640362E-8</v>
      </c>
      <c r="AA2438" s="2597">
        <f t="shared" si="566"/>
        <v>0.97134377710620279</v>
      </c>
      <c r="AB2438" s="3325">
        <f t="shared" si="567"/>
        <v>1.8849505507669248E-8</v>
      </c>
    </row>
    <row r="2439" spans="1:31" ht="16" thickBot="1" x14ac:dyDescent="0.25">
      <c r="A2439" s="3439">
        <f>WEEKNUM(C2439,1)</f>
        <v>36</v>
      </c>
      <c r="B2439" s="3440"/>
      <c r="C2439" s="2585">
        <v>45537</v>
      </c>
      <c r="D2439" s="2586"/>
      <c r="E2439" s="2587"/>
      <c r="F2439" s="3346" t="s">
        <v>943</v>
      </c>
      <c r="G2439" s="2588"/>
      <c r="H2439" s="2589">
        <f>IFERROR(VLOOKUP(F2439,Trainingsarten!$A$9:$K$84,10,FALSE),"")</f>
        <v>7.6283002760971961</v>
      </c>
      <c r="I2439" s="2590">
        <f t="shared" si="558"/>
        <v>0</v>
      </c>
      <c r="J2439" s="2591"/>
      <c r="K2439" s="2592">
        <f>IFERROR(VLOOKUP(F2439,Trainingsarten!$A$9:$K$84,11,FALSE),"0")</f>
        <v>54.1875</v>
      </c>
      <c r="L2439" s="2815"/>
      <c r="M2439" s="2591"/>
      <c r="N2439" s="2593" t="str">
        <f t="shared" si="559"/>
        <v/>
      </c>
      <c r="O2439" s="2594"/>
      <c r="P2439" s="1919">
        <f>IFERROR(VLOOKUP(F2439,Trainingsarten!$A$9:$N$84,12,FALSE),"")</f>
        <v>194.60000000000002</v>
      </c>
      <c r="Q2439" s="2461" t="s">
        <v>437</v>
      </c>
      <c r="R2439" s="3089">
        <f>IFERROR(VLOOKUP(F2439,Trainingsarten!$A$9:$N$84,14,FALSE),"")</f>
        <v>212.96</v>
      </c>
      <c r="S2439" s="2595" t="str">
        <f t="shared" si="560"/>
        <v/>
      </c>
      <c r="T2439" s="2586">
        <f t="shared" si="561"/>
        <v>56.523459817925982</v>
      </c>
      <c r="U2439" s="2586">
        <f t="shared" si="562"/>
        <v>45.114899306434651</v>
      </c>
      <c r="V2439" s="2586">
        <f t="shared" si="563"/>
        <v>-12.019170091557825</v>
      </c>
      <c r="W2439" s="3283">
        <f t="shared" si="564"/>
        <v>1.2528778892755756</v>
      </c>
      <c r="X2439" s="3300"/>
      <c r="Y2439" s="3316">
        <f t="shared" si="557"/>
        <v>0</v>
      </c>
      <c r="Z2439" s="2597">
        <f t="shared" si="565"/>
        <v>1.5693728465488816E-8</v>
      </c>
      <c r="AA2439" s="2597">
        <f t="shared" si="566"/>
        <v>0.94821654431795988</v>
      </c>
      <c r="AB2439" s="3325">
        <f t="shared" si="567"/>
        <v>1.6550785323807145E-8</v>
      </c>
    </row>
    <row r="2440" spans="1:31" x14ac:dyDescent="0.2">
      <c r="A2440" s="2934" t="s">
        <v>626</v>
      </c>
      <c r="B2440" s="3004">
        <f>SUM(H2439:H2445)</f>
        <v>65.741631367331195</v>
      </c>
      <c r="C2440" s="2937">
        <v>45538</v>
      </c>
      <c r="D2440" s="3090"/>
      <c r="E2440" s="3091"/>
      <c r="F2440" s="3352" t="s">
        <v>916</v>
      </c>
      <c r="G2440" s="3092"/>
      <c r="H2440" s="3093">
        <f>IFERROR(VLOOKUP(F2440,Trainingsarten!$A$9:$K$84,10,FALSE),"")</f>
        <v>12.362515195287774</v>
      </c>
      <c r="I2440" s="3094">
        <f t="shared" si="558"/>
        <v>0</v>
      </c>
      <c r="J2440" s="3095"/>
      <c r="K2440" s="3096">
        <f>IFERROR(VLOOKUP(F2440,Trainingsarten!$A$9:$K$84,11,FALSE),"0")</f>
        <v>98.456625782313438</v>
      </c>
      <c r="L2440" s="2816"/>
      <c r="M2440" s="3095"/>
      <c r="N2440" s="3097" t="str">
        <f t="shared" si="559"/>
        <v/>
      </c>
      <c r="O2440" s="3098"/>
      <c r="P2440" s="2897">
        <f>IFERROR(VLOOKUP(F2440,Trainingsarten!$A$9:$N$84,12,FALSE),"")</f>
        <v>255.10000000000002</v>
      </c>
      <c r="Q2440" s="2898" t="s">
        <v>437</v>
      </c>
      <c r="R2440" s="3099">
        <f>IFERROR(VLOOKUP(F2440,Trainingsarten!$A$9:$N$84,14,FALSE),"")</f>
        <v>278.29999999999995</v>
      </c>
      <c r="S2440" s="3100" t="str">
        <f t="shared" si="560"/>
        <v/>
      </c>
      <c r="T2440" s="3090">
        <f t="shared" si="561"/>
        <v>62.513912098552758</v>
      </c>
      <c r="U2440" s="3090">
        <f t="shared" si="562"/>
        <v>46.384940413003193</v>
      </c>
      <c r="V2440" s="3090">
        <f t="shared" si="563"/>
        <v>-11.408560511491331</v>
      </c>
      <c r="W2440" s="3284">
        <f t="shared" si="564"/>
        <v>1.3477200044225581</v>
      </c>
      <c r="X2440" s="3300"/>
      <c r="Y2440" s="3316">
        <f t="shared" si="557"/>
        <v>0</v>
      </c>
      <c r="Z2440" s="2597">
        <f t="shared" si="565"/>
        <v>1.3451767256133271E-8</v>
      </c>
      <c r="AA2440" s="2597">
        <f t="shared" si="566"/>
        <v>0.92563995992943704</v>
      </c>
      <c r="AB2440" s="3325">
        <f t="shared" si="567"/>
        <v>1.453239686968432E-8</v>
      </c>
    </row>
    <row r="2441" spans="1:31" x14ac:dyDescent="0.2">
      <c r="A2441" s="2935" t="s">
        <v>628</v>
      </c>
      <c r="B2441" s="3005">
        <f>SUM(K2439:K2445)</f>
        <v>484.3257515646269</v>
      </c>
      <c r="C2441" s="2937">
        <v>45539</v>
      </c>
      <c r="D2441" s="3090"/>
      <c r="E2441" s="3091"/>
      <c r="F2441" s="3352" t="s">
        <v>943</v>
      </c>
      <c r="G2441" s="3092"/>
      <c r="H2441" s="3093">
        <f>IFERROR(VLOOKUP(F2441,Trainingsarten!$A$9:$K$84,10,FALSE),"")</f>
        <v>7.6283002760971961</v>
      </c>
      <c r="I2441" s="3094">
        <f t="shared" si="558"/>
        <v>0</v>
      </c>
      <c r="J2441" s="3095"/>
      <c r="K2441" s="3096">
        <f>IFERROR(VLOOKUP(F2441,Trainingsarten!$A$9:$K$84,11,FALSE),"0")</f>
        <v>54.1875</v>
      </c>
      <c r="L2441" s="2816"/>
      <c r="M2441" s="3095"/>
      <c r="N2441" s="3097" t="str">
        <f t="shared" si="559"/>
        <v/>
      </c>
      <c r="O2441" s="3098"/>
      <c r="P2441" s="2897">
        <f>IFERROR(VLOOKUP(F2441,Trainingsarten!$A$9:$N$84,12,FALSE),"")</f>
        <v>194.60000000000002</v>
      </c>
      <c r="Q2441" s="2898" t="s">
        <v>437</v>
      </c>
      <c r="R2441" s="3099">
        <f>IFERROR(VLOOKUP(F2441,Trainingsarten!$A$9:$N$84,14,FALSE),"")</f>
        <v>212.96</v>
      </c>
      <c r="S2441" s="3100" t="str">
        <f t="shared" si="560"/>
        <v/>
      </c>
      <c r="T2441" s="3090">
        <f t="shared" si="561"/>
        <v>61.324424655902362</v>
      </c>
      <c r="U2441" s="3090">
        <f t="shared" si="562"/>
        <v>46.570715641265025</v>
      </c>
      <c r="V2441" s="3090">
        <f t="shared" si="563"/>
        <v>-16.128971685549566</v>
      </c>
      <c r="W2441" s="3284">
        <f t="shared" si="564"/>
        <v>1.3168022825392118</v>
      </c>
      <c r="X2441" s="3300"/>
      <c r="Y2441" s="3316">
        <f t="shared" si="557"/>
        <v>0</v>
      </c>
      <c r="Z2441" s="2597">
        <f t="shared" si="565"/>
        <v>1.1530086219542803E-8</v>
      </c>
      <c r="AA2441" s="2597">
        <f t="shared" si="566"/>
        <v>0.90360091326445047</v>
      </c>
      <c r="AB2441" s="3325">
        <f t="shared" si="567"/>
        <v>1.2760153348991109E-8</v>
      </c>
    </row>
    <row r="2442" spans="1:31" x14ac:dyDescent="0.2">
      <c r="A2442" s="2935" t="s">
        <v>761</v>
      </c>
      <c r="B2442" s="3006">
        <f>AVERAGE(W2439:W2445)</f>
        <v>1.3395150717203168</v>
      </c>
      <c r="C2442" s="2937">
        <v>45540</v>
      </c>
      <c r="D2442" s="3090"/>
      <c r="E2442" s="3091"/>
      <c r="F2442" s="3347" t="s">
        <v>899</v>
      </c>
      <c r="G2442" s="3092"/>
      <c r="H2442" s="3093">
        <f>IFERROR(VLOOKUP(F2442,Trainingsarten!$A$9:$K$84,10,FALSE),"")</f>
        <v>10.152081274159309</v>
      </c>
      <c r="I2442" s="3094">
        <f t="shared" si="558"/>
        <v>0</v>
      </c>
      <c r="J2442" s="3095"/>
      <c r="K2442" s="3096">
        <f>IFERROR(VLOOKUP(F2442,Trainingsarten!$A$9:$K$84,11,FALSE),"0")</f>
        <v>78.806625782313432</v>
      </c>
      <c r="L2442" s="2816"/>
      <c r="M2442" s="3095"/>
      <c r="N2442" s="3097" t="str">
        <f t="shared" si="559"/>
        <v/>
      </c>
      <c r="O2442" s="3098"/>
      <c r="P2442" s="2897">
        <f>IFERROR(VLOOKUP(F2442,Trainingsarten!$A$9:$N$84,12,FALSE),"")</f>
        <v>230.89999999999998</v>
      </c>
      <c r="Q2442" s="2898" t="s">
        <v>437</v>
      </c>
      <c r="R2442" s="3099">
        <f>IFERROR(VLOOKUP(F2442,Trainingsarten!$A$9:$N$84,14,FALSE),"")</f>
        <v>254.10000000000002</v>
      </c>
      <c r="S2442" s="3100" t="str">
        <f t="shared" si="560"/>
        <v/>
      </c>
      <c r="T2442" s="3090">
        <f t="shared" si="561"/>
        <v>63.821881959675373</v>
      </c>
      <c r="U2442" s="3090">
        <f t="shared" si="562"/>
        <v>47.338237311289987</v>
      </c>
      <c r="V2442" s="3090">
        <f t="shared" si="563"/>
        <v>-14.753709014637337</v>
      </c>
      <c r="W2442" s="3284">
        <f t="shared" si="564"/>
        <v>1.3482099373491903</v>
      </c>
      <c r="X2442" s="3300"/>
      <c r="Y2442" s="3316">
        <f t="shared" si="557"/>
        <v>0</v>
      </c>
      <c r="Z2442" s="2597">
        <f t="shared" si="565"/>
        <v>9.8829310453224031E-9</v>
      </c>
      <c r="AA2442" s="2597">
        <f t="shared" si="566"/>
        <v>0.88208660580577303</v>
      </c>
      <c r="AB2442" s="3325">
        <f t="shared" si="567"/>
        <v>1.1204037086919025E-8</v>
      </c>
    </row>
    <row r="2443" spans="1:31" x14ac:dyDescent="0.2">
      <c r="A2443" s="2935" t="s">
        <v>979</v>
      </c>
      <c r="B2443" s="3131" t="str">
        <f>IFERROR(AVERAGE(N2439:N2445),"")</f>
        <v/>
      </c>
      <c r="C2443" s="2937">
        <v>45541</v>
      </c>
      <c r="D2443" s="3090"/>
      <c r="E2443" s="3091"/>
      <c r="F2443" s="3347" t="s">
        <v>943</v>
      </c>
      <c r="G2443" s="3092"/>
      <c r="H2443" s="3093">
        <f>IFERROR(VLOOKUP(F2443,Trainingsarten!$A$9:$K$84,10,FALSE),"")</f>
        <v>7.6283002760971961</v>
      </c>
      <c r="I2443" s="3094">
        <f t="shared" si="558"/>
        <v>0</v>
      </c>
      <c r="J2443" s="3095"/>
      <c r="K2443" s="3096">
        <f>IFERROR(VLOOKUP(F2443,Trainingsarten!$A$9:$K$84,11,FALSE),"0")</f>
        <v>54.1875</v>
      </c>
      <c r="L2443" s="2816"/>
      <c r="M2443" s="3095"/>
      <c r="N2443" s="3097" t="str">
        <f t="shared" si="559"/>
        <v/>
      </c>
      <c r="O2443" s="3098"/>
      <c r="P2443" s="2897">
        <f>IFERROR(VLOOKUP(F2443,Trainingsarten!$A$9:$N$84,12,FALSE),"")</f>
        <v>194.60000000000002</v>
      </c>
      <c r="Q2443" s="2898" t="s">
        <v>437</v>
      </c>
      <c r="R2443" s="3099">
        <f>IFERROR(VLOOKUP(F2443,Trainingsarten!$A$9:$N$84,14,FALSE),"")</f>
        <v>212.96</v>
      </c>
      <c r="S2443" s="3100" t="str">
        <f t="shared" si="560"/>
        <v/>
      </c>
      <c r="T2443" s="3090">
        <f t="shared" si="561"/>
        <v>62.44554167972175</v>
      </c>
      <c r="U2443" s="3090">
        <f t="shared" si="562"/>
        <v>47.501314994354509</v>
      </c>
      <c r="V2443" s="3090">
        <f t="shared" si="563"/>
        <v>-16.483644648385386</v>
      </c>
      <c r="W2443" s="3284">
        <f t="shared" si="564"/>
        <v>1.3146065890416581</v>
      </c>
      <c r="X2443" s="3300"/>
      <c r="Y2443" s="3316">
        <f t="shared" si="557"/>
        <v>0</v>
      </c>
      <c r="Z2443" s="2597">
        <f t="shared" si="565"/>
        <v>8.4710837531334888E-9</v>
      </c>
      <c r="AA2443" s="2597">
        <f t="shared" si="566"/>
        <v>0.86108454376277843</v>
      </c>
      <c r="AB2443" s="3325">
        <f t="shared" si="567"/>
        <v>9.8376911007093877E-9</v>
      </c>
    </row>
    <row r="2444" spans="1:31" x14ac:dyDescent="0.2">
      <c r="A2444" s="2935" t="s">
        <v>980</v>
      </c>
      <c r="B2444" s="3006" t="str">
        <f>IFERROR(AVERAGE(S2439:S2445),"")</f>
        <v/>
      </c>
      <c r="C2444" s="2937">
        <v>45542</v>
      </c>
      <c r="D2444" s="3090"/>
      <c r="E2444" s="3091"/>
      <c r="F2444" s="3347" t="s">
        <v>812</v>
      </c>
      <c r="G2444" s="3092"/>
      <c r="H2444" s="3093">
        <f>IFERROR(VLOOKUP(F2444,Trainingsarten!$A$9:$K$84,10,FALSE),"")</f>
        <v>20.342134069592522</v>
      </c>
      <c r="I2444" s="3094">
        <f t="shared" si="558"/>
        <v>0</v>
      </c>
      <c r="J2444" s="3095"/>
      <c r="K2444" s="3096">
        <f>IFERROR(VLOOKUP(F2444,Trainingsarten!$A$9:$K$84,11,FALSE),"0")</f>
        <v>144.5</v>
      </c>
      <c r="L2444" s="2816"/>
      <c r="M2444" s="3095"/>
      <c r="N2444" s="3097" t="str">
        <f t="shared" si="559"/>
        <v/>
      </c>
      <c r="O2444" s="3098"/>
      <c r="P2444" s="2897">
        <f>IFERROR(VLOOKUP(F2444,Trainingsarten!$A$9:$N$84,12,FALSE),"")</f>
        <v>194.60000000000002</v>
      </c>
      <c r="Q2444" s="2898" t="s">
        <v>437</v>
      </c>
      <c r="R2444" s="3099">
        <f>IFERROR(VLOOKUP(F2444,Trainingsarten!$A$9:$N$84,14,FALSE),"")</f>
        <v>212.96</v>
      </c>
      <c r="S2444" s="3100" t="str">
        <f t="shared" si="560"/>
        <v/>
      </c>
      <c r="T2444" s="3090">
        <f t="shared" si="561"/>
        <v>74.167607154047218</v>
      </c>
      <c r="U2444" s="3090">
        <f t="shared" si="562"/>
        <v>49.810807494488927</v>
      </c>
      <c r="V2444" s="3090">
        <f t="shared" si="563"/>
        <v>-14.944226685367241</v>
      </c>
      <c r="W2444" s="3284">
        <f t="shared" si="564"/>
        <v>1.488986243843831</v>
      </c>
      <c r="X2444" s="3300"/>
      <c r="Y2444" s="3316">
        <f t="shared" si="557"/>
        <v>0</v>
      </c>
      <c r="Z2444" s="2597">
        <f t="shared" si="565"/>
        <v>7.2609289312572761E-9</v>
      </c>
      <c r="AA2444" s="2597">
        <f t="shared" si="566"/>
        <v>0.84058253081604561</v>
      </c>
      <c r="AB2444" s="3325">
        <f t="shared" si="567"/>
        <v>8.6379726737936085E-9</v>
      </c>
    </row>
    <row r="2445" spans="1:31" ht="16" thickBot="1" x14ac:dyDescent="0.25">
      <c r="A2445" s="2936" t="s">
        <v>183</v>
      </c>
      <c r="B2445" s="3003">
        <f>IFERROR(SUM(M2439:M2445),"")</f>
        <v>0</v>
      </c>
      <c r="C2445" s="2576">
        <v>45543</v>
      </c>
      <c r="D2445" s="1788"/>
      <c r="E2445" s="1789"/>
      <c r="F2445" s="3353"/>
      <c r="G2445" s="2577"/>
      <c r="H2445" s="2578" t="str">
        <f>IFERROR(VLOOKUP(F2445,Trainingsarten!$A$9:$K$84,10,FALSE),"")</f>
        <v/>
      </c>
      <c r="I2445" s="2579" t="str">
        <f t="shared" si="558"/>
        <v/>
      </c>
      <c r="J2445" s="2580"/>
      <c r="K2445" s="2581" t="str">
        <f>IFERROR(VLOOKUP(F2445,Trainingsarten!$A$9:$K$84,11,FALSE),"0")</f>
        <v>0</v>
      </c>
      <c r="L2445" s="3101"/>
      <c r="M2445" s="2580"/>
      <c r="N2445" s="2582" t="str">
        <f t="shared" si="559"/>
        <v/>
      </c>
      <c r="O2445" s="2583"/>
      <c r="P2445" s="3102" t="str">
        <f>IFERROR(VLOOKUP(F2445,Trainingsarten!$A$9:$N$84,12,FALSE),"")</f>
        <v/>
      </c>
      <c r="Q2445" s="3103" t="s">
        <v>437</v>
      </c>
      <c r="R2445" s="3104" t="str">
        <f>IFERROR(VLOOKUP(F2445,Trainingsarten!$A$9:$N$84,14,FALSE),"")</f>
        <v/>
      </c>
      <c r="S2445" s="2390" t="str">
        <f t="shared" si="560"/>
        <v/>
      </c>
      <c r="T2445" s="1788">
        <f t="shared" si="561"/>
        <v>63.572234703469043</v>
      </c>
      <c r="U2445" s="1788">
        <f t="shared" si="562"/>
        <v>48.624835887477289</v>
      </c>
      <c r="V2445" s="1788">
        <f t="shared" si="563"/>
        <v>-24.356799659558291</v>
      </c>
      <c r="W2445" s="3293">
        <f t="shared" si="564"/>
        <v>1.3074025555701931</v>
      </c>
      <c r="X2445" s="3300"/>
      <c r="Y2445" s="3316" t="str">
        <f t="shared" si="557"/>
        <v/>
      </c>
      <c r="Z2445" s="2597">
        <f t="shared" si="565"/>
        <v>6.2236533696490943E-9</v>
      </c>
      <c r="AA2445" s="2597">
        <f t="shared" si="566"/>
        <v>0.82056866103471116</v>
      </c>
      <c r="AB2445" s="3325">
        <f t="shared" si="567"/>
        <v>7.5845613721114623E-9</v>
      </c>
    </row>
    <row r="2446" spans="1:31" ht="16" thickBot="1" x14ac:dyDescent="0.25">
      <c r="A2446" s="3439">
        <f>WEEKNUM(C2446,1)</f>
        <v>37</v>
      </c>
      <c r="B2446" s="3440"/>
      <c r="C2446" s="2585">
        <v>45544</v>
      </c>
      <c r="D2446" s="2586"/>
      <c r="E2446" s="2587"/>
      <c r="F2446" s="3348"/>
      <c r="G2446" s="2588"/>
      <c r="H2446" s="2589" t="str">
        <f>IFERROR(VLOOKUP(F2446,Trainingsarten!$A$9:$K$84,10,FALSE),"")</f>
        <v/>
      </c>
      <c r="I2446" s="2590" t="str">
        <f t="shared" si="558"/>
        <v/>
      </c>
      <c r="J2446" s="2591"/>
      <c r="K2446" s="2592" t="str">
        <f>IFERROR(VLOOKUP(F2446,Trainingsarten!$A$9:$K$84,11,FALSE),"0")</f>
        <v>0</v>
      </c>
      <c r="L2446" s="2815"/>
      <c r="M2446" s="2591"/>
      <c r="N2446" s="2593" t="str">
        <f t="shared" si="559"/>
        <v/>
      </c>
      <c r="O2446" s="2594"/>
      <c r="P2446" s="1919" t="str">
        <f>IFERROR(VLOOKUP(F2446,Trainingsarten!$A$9:$N$84,12,FALSE),"")</f>
        <v/>
      </c>
      <c r="Q2446" s="2461" t="s">
        <v>437</v>
      </c>
      <c r="R2446" s="3089" t="str">
        <f>IFERROR(VLOOKUP(F2446,Trainingsarten!$A$9:$N$84,14,FALSE),"")</f>
        <v/>
      </c>
      <c r="S2446" s="2595" t="str">
        <f t="shared" si="560"/>
        <v/>
      </c>
      <c r="T2446" s="2586">
        <f t="shared" si="561"/>
        <v>54.490486888687755</v>
      </c>
      <c r="U2446" s="2586">
        <f t="shared" si="562"/>
        <v>47.467101699680214</v>
      </c>
      <c r="V2446" s="2586">
        <f t="shared" si="563"/>
        <v>-14.947398815991754</v>
      </c>
      <c r="W2446" s="3283">
        <f t="shared" si="564"/>
        <v>1.1479632195250475</v>
      </c>
      <c r="X2446" s="3300"/>
      <c r="Y2446" s="3316" t="str">
        <f t="shared" ref="Y2446:Y2509" si="568">IFERROR(X2446/K2446,"")</f>
        <v/>
      </c>
      <c r="Z2446" s="2597">
        <f t="shared" si="565"/>
        <v>5.3345600311277948E-9</v>
      </c>
      <c r="AA2446" s="2597">
        <f t="shared" si="566"/>
        <v>0.80103131196245614</v>
      </c>
      <c r="AB2446" s="3325">
        <f t="shared" si="567"/>
        <v>6.6596148633173814E-9</v>
      </c>
    </row>
    <row r="2447" spans="1:31" x14ac:dyDescent="0.2">
      <c r="A2447" s="2934" t="s">
        <v>626</v>
      </c>
      <c r="B2447" s="3004">
        <f>SUM(H2446:H2452)</f>
        <v>25.427667586990651</v>
      </c>
      <c r="C2447" s="2937">
        <v>45545</v>
      </c>
      <c r="D2447" s="3090"/>
      <c r="E2447" s="3091"/>
      <c r="F2447" s="3349" t="s">
        <v>943</v>
      </c>
      <c r="G2447" s="3092"/>
      <c r="H2447" s="3093">
        <f>IFERROR(VLOOKUP(F2447,Trainingsarten!$A$9:$K$84,10,FALSE),"")</f>
        <v>7.6283002760971961</v>
      </c>
      <c r="I2447" s="3094">
        <f t="shared" si="558"/>
        <v>0</v>
      </c>
      <c r="J2447" s="3095"/>
      <c r="K2447" s="3096">
        <f>IFERROR(VLOOKUP(F2447,Trainingsarten!$A$9:$K$84,11,FALSE),"0")</f>
        <v>54.1875</v>
      </c>
      <c r="L2447" s="2816"/>
      <c r="M2447" s="3095"/>
      <c r="N2447" s="3097" t="str">
        <f t="shared" si="559"/>
        <v/>
      </c>
      <c r="O2447" s="3098"/>
      <c r="P2447" s="2897">
        <f>IFERROR(VLOOKUP(F2447,Trainingsarten!$A$9:$N$84,12,FALSE),"")</f>
        <v>194.60000000000002</v>
      </c>
      <c r="Q2447" s="2898" t="s">
        <v>437</v>
      </c>
      <c r="R2447" s="3099">
        <f>IFERROR(VLOOKUP(F2447,Trainingsarten!$A$9:$N$84,14,FALSE),"")</f>
        <v>212.96</v>
      </c>
      <c r="S2447" s="3100" t="str">
        <f t="shared" si="560"/>
        <v/>
      </c>
      <c r="T2447" s="3090">
        <f t="shared" si="561"/>
        <v>54.447203047446649</v>
      </c>
      <c r="U2447" s="3090">
        <f t="shared" si="562"/>
        <v>47.627111183021164</v>
      </c>
      <c r="V2447" s="3090">
        <f t="shared" si="563"/>
        <v>-7.0233851890075414</v>
      </c>
      <c r="W2447" s="3284">
        <f t="shared" si="564"/>
        <v>1.143197680796076</v>
      </c>
      <c r="X2447" s="3300"/>
      <c r="Y2447" s="3316">
        <f t="shared" si="568"/>
        <v>0</v>
      </c>
      <c r="Z2447" s="2597">
        <f t="shared" si="565"/>
        <v>4.5724800266809666E-9</v>
      </c>
      <c r="AA2447" s="2597">
        <f t="shared" si="566"/>
        <v>0.781959137868112</v>
      </c>
      <c r="AB2447" s="3325">
        <f t="shared" si="567"/>
        <v>5.847466709254285E-9</v>
      </c>
    </row>
    <row r="2448" spans="1:31" x14ac:dyDescent="0.2">
      <c r="A2448" s="2935" t="s">
        <v>628</v>
      </c>
      <c r="B2448" s="3005">
        <f>SUM(K2446:K2452)</f>
        <v>180.625</v>
      </c>
      <c r="C2448" s="2937">
        <v>45546</v>
      </c>
      <c r="D2448" s="3090"/>
      <c r="E2448" s="3091"/>
      <c r="F2448" s="3349"/>
      <c r="G2448" s="3092"/>
      <c r="H2448" s="3093" t="str">
        <f>IFERROR(VLOOKUP(F2448,Trainingsarten!$A$9:$K$84,10,FALSE),"")</f>
        <v/>
      </c>
      <c r="I2448" s="3094" t="str">
        <f t="shared" si="558"/>
        <v/>
      </c>
      <c r="J2448" s="3095"/>
      <c r="K2448" s="3096" t="str">
        <f>IFERROR(VLOOKUP(F2448,Trainingsarten!$A$9:$K$84,11,FALSE),"0")</f>
        <v>0</v>
      </c>
      <c r="L2448" s="2816"/>
      <c r="M2448" s="3095"/>
      <c r="N2448" s="3097" t="str">
        <f t="shared" si="559"/>
        <v/>
      </c>
      <c r="O2448" s="3098"/>
      <c r="P2448" s="2897" t="str">
        <f>IFERROR(VLOOKUP(F2448,Trainingsarten!$A$9:$N$84,12,FALSE),"")</f>
        <v/>
      </c>
      <c r="Q2448" s="2898" t="s">
        <v>437</v>
      </c>
      <c r="R2448" s="3099" t="str">
        <f>IFERROR(VLOOKUP(F2448,Trainingsarten!$A$9:$N$84,14,FALSE),"")</f>
        <v/>
      </c>
      <c r="S2448" s="3100" t="str">
        <f t="shared" si="560"/>
        <v/>
      </c>
      <c r="T2448" s="3090">
        <f t="shared" si="561"/>
        <v>46.669031183525696</v>
      </c>
      <c r="U2448" s="3090">
        <f t="shared" si="562"/>
        <v>46.493132345330181</v>
      </c>
      <c r="V2448" s="3090">
        <f t="shared" si="563"/>
        <v>-6.8200918644254855</v>
      </c>
      <c r="W2448" s="3284">
        <f t="shared" si="564"/>
        <v>1.0037833294794813</v>
      </c>
      <c r="X2448" s="3300"/>
      <c r="Y2448" s="3316" t="str">
        <f t="shared" si="568"/>
        <v/>
      </c>
      <c r="Z2448" s="2597">
        <f t="shared" si="565"/>
        <v>3.9192685942979717E-9</v>
      </c>
      <c r="AA2448" s="2597">
        <f t="shared" si="566"/>
        <v>0.76334106315696648</v>
      </c>
      <c r="AB2448" s="3325">
        <f t="shared" si="567"/>
        <v>5.1343610130037631E-9</v>
      </c>
    </row>
    <row r="2449" spans="1:28" x14ac:dyDescent="0.2">
      <c r="A2449" s="2935" t="s">
        <v>761</v>
      </c>
      <c r="B2449" s="3006">
        <f>AVERAGE(W2446:W2452)</f>
        <v>1.0087639784723634</v>
      </c>
      <c r="C2449" s="2937">
        <v>45547</v>
      </c>
      <c r="D2449" s="3090"/>
      <c r="E2449" s="3091"/>
      <c r="F2449" s="3349" t="s">
        <v>943</v>
      </c>
      <c r="G2449" s="3092"/>
      <c r="H2449" s="3093">
        <f>IFERROR(VLOOKUP(F2449,Trainingsarten!$A$9:$K$84,10,FALSE),"")</f>
        <v>7.6283002760971961</v>
      </c>
      <c r="I2449" s="3094">
        <f t="shared" si="558"/>
        <v>0</v>
      </c>
      <c r="J2449" s="3095"/>
      <c r="K2449" s="3096">
        <f>IFERROR(VLOOKUP(F2449,Trainingsarten!$A$9:$K$84,11,FALSE),"0")</f>
        <v>54.1875</v>
      </c>
      <c r="L2449" s="2816"/>
      <c r="M2449" s="3095"/>
      <c r="N2449" s="3097" t="str">
        <f t="shared" si="559"/>
        <v/>
      </c>
      <c r="O2449" s="3098"/>
      <c r="P2449" s="2897">
        <f>IFERROR(VLOOKUP(F2449,Trainingsarten!$A$9:$N$84,12,FALSE),"")</f>
        <v>194.60000000000002</v>
      </c>
      <c r="Q2449" s="2898" t="s">
        <v>437</v>
      </c>
      <c r="R2449" s="3099">
        <f>IFERROR(VLOOKUP(F2449,Trainingsarten!$A$9:$N$84,14,FALSE),"")</f>
        <v>212.96</v>
      </c>
      <c r="S2449" s="3100" t="str">
        <f t="shared" si="560"/>
        <v/>
      </c>
      <c r="T2449" s="3090">
        <f t="shared" si="561"/>
        <v>47.743098157307742</v>
      </c>
      <c r="U2449" s="3090">
        <f t="shared" si="562"/>
        <v>46.676331575203271</v>
      </c>
      <c r="V2449" s="3090">
        <f t="shared" si="563"/>
        <v>-0.17589883819551488</v>
      </c>
      <c r="W2449" s="3284">
        <f t="shared" si="564"/>
        <v>1.0228545506063547</v>
      </c>
      <c r="X2449" s="3300"/>
      <c r="Y2449" s="3316">
        <f t="shared" si="568"/>
        <v>0</v>
      </c>
      <c r="Z2449" s="2597">
        <f t="shared" si="565"/>
        <v>3.359373080826833E-9</v>
      </c>
      <c r="AA2449" s="2597">
        <f t="shared" si="566"/>
        <v>0.74516627593894347</v>
      </c>
      <c r="AB2449" s="3325">
        <f t="shared" si="567"/>
        <v>4.5082194260520842E-9</v>
      </c>
    </row>
    <row r="2450" spans="1:28" x14ac:dyDescent="0.2">
      <c r="A2450" s="2935" t="s">
        <v>979</v>
      </c>
      <c r="B2450" s="3131" t="str">
        <f>IFERROR(AVERAGE(N2446:N2452),"")</f>
        <v/>
      </c>
      <c r="C2450" s="2937">
        <v>45548</v>
      </c>
      <c r="D2450" s="3090"/>
      <c r="E2450" s="3091"/>
      <c r="F2450" s="3349"/>
      <c r="G2450" s="3092"/>
      <c r="H2450" s="3093" t="str">
        <f>IFERROR(VLOOKUP(F2450,Trainingsarten!$A$9:$K$84,10,FALSE),"")</f>
        <v/>
      </c>
      <c r="I2450" s="3094" t="str">
        <f t="shared" ref="I2450:I2513" si="569">IFERROR(G2450/H2450,"")</f>
        <v/>
      </c>
      <c r="J2450" s="3095"/>
      <c r="K2450" s="3096" t="str">
        <f>IFERROR(VLOOKUP(F2450,Trainingsarten!$A$9:$K$84,11,FALSE),"0")</f>
        <v>0</v>
      </c>
      <c r="L2450" s="2816"/>
      <c r="M2450" s="3095"/>
      <c r="N2450" s="3097" t="str">
        <f t="shared" ref="N2450:N2513" si="570">IFERROR((L2450/67)/(1/(I2450*24)/3.6),"")</f>
        <v/>
      </c>
      <c r="O2450" s="3098"/>
      <c r="P2450" s="2897" t="str">
        <f>IFERROR(VLOOKUP(F2450,Trainingsarten!$A$9:$N$84,12,FALSE),"")</f>
        <v/>
      </c>
      <c r="Q2450" s="2898" t="s">
        <v>437</v>
      </c>
      <c r="R2450" s="3099" t="str">
        <f>IFERROR(VLOOKUP(F2450,Trainingsarten!$A$9:$N$84,14,FALSE),"")</f>
        <v/>
      </c>
      <c r="S2450" s="3100" t="str">
        <f t="shared" ref="S2450:S2513" si="571">IFERROR(L2450/J2450,"")</f>
        <v/>
      </c>
      <c r="T2450" s="3090">
        <f t="shared" ref="T2450:T2513" si="572">T2449+(K2450-T2449)/7</f>
        <v>40.922655563406636</v>
      </c>
      <c r="U2450" s="3090">
        <f t="shared" ref="U2450:U2513" si="573">U2449+(K2450-U2449)/42</f>
        <v>45.564990347222242</v>
      </c>
      <c r="V2450" s="3090">
        <f t="shared" ref="V2450:V2513" si="574">U2449-T2449</f>
        <v>-1.0667665821044707</v>
      </c>
      <c r="W2450" s="3284">
        <f t="shared" ref="W2450:W2513" si="575">T2450/U2450</f>
        <v>0.89811619077631133</v>
      </c>
      <c r="X2450" s="3300"/>
      <c r="Y2450" s="3316" t="str">
        <f t="shared" si="568"/>
        <v/>
      </c>
      <c r="Z2450" s="2597">
        <f t="shared" si="565"/>
        <v>2.879462640708714E-9</v>
      </c>
      <c r="AA2450" s="2597">
        <f t="shared" si="566"/>
        <v>0.72742422174992105</v>
      </c>
      <c r="AB2450" s="3325">
        <f t="shared" si="567"/>
        <v>3.9584365692164644E-9</v>
      </c>
    </row>
    <row r="2451" spans="1:28" x14ac:dyDescent="0.2">
      <c r="A2451" s="2935" t="s">
        <v>980</v>
      </c>
      <c r="B2451" s="3006" t="str">
        <f>IFERROR(AVERAGE(S2446:S2452),"")</f>
        <v/>
      </c>
      <c r="C2451" s="2937">
        <v>45549</v>
      </c>
      <c r="D2451" s="3090"/>
      <c r="E2451" s="3091"/>
      <c r="F2451" s="3349" t="s">
        <v>819</v>
      </c>
      <c r="G2451" s="3092"/>
      <c r="H2451" s="3093">
        <f>IFERROR(VLOOKUP(F2451,Trainingsarten!$A$9:$K$84,10,FALSE),"")</f>
        <v>10.171067034796261</v>
      </c>
      <c r="I2451" s="3094">
        <f t="shared" si="569"/>
        <v>0</v>
      </c>
      <c r="J2451" s="3095"/>
      <c r="K2451" s="3096">
        <f>IFERROR(VLOOKUP(F2451,Trainingsarten!$A$9:$K$84,11,FALSE),"0")</f>
        <v>72.25</v>
      </c>
      <c r="L2451" s="2816"/>
      <c r="M2451" s="3095"/>
      <c r="N2451" s="3097" t="str">
        <f t="shared" si="570"/>
        <v/>
      </c>
      <c r="O2451" s="3098"/>
      <c r="P2451" s="2897">
        <f>IFERROR(VLOOKUP(F2451,Trainingsarten!$A$9:$N$84,12,FALSE),"")</f>
        <v>194.60000000000002</v>
      </c>
      <c r="Q2451" s="2898" t="s">
        <v>437</v>
      </c>
      <c r="R2451" s="3099">
        <f>IFERROR(VLOOKUP(F2451,Trainingsarten!$A$9:$N$84,14,FALSE),"")</f>
        <v>212.96</v>
      </c>
      <c r="S2451" s="3100" t="str">
        <f t="shared" si="571"/>
        <v/>
      </c>
      <c r="T2451" s="3090">
        <f t="shared" si="572"/>
        <v>45.397990482919973</v>
      </c>
      <c r="U2451" s="3090">
        <f t="shared" si="573"/>
        <v>46.200347719907427</v>
      </c>
      <c r="V2451" s="3090">
        <f t="shared" si="574"/>
        <v>4.6423347838156062</v>
      </c>
      <c r="W2451" s="3284">
        <f t="shared" si="575"/>
        <v>0.98263309094875662</v>
      </c>
      <c r="X2451" s="3300"/>
      <c r="Y2451" s="3316">
        <f t="shared" si="568"/>
        <v>0</v>
      </c>
      <c r="Z2451" s="2597">
        <f t="shared" si="565"/>
        <v>2.4681108348931834E-9</v>
      </c>
      <c r="AA2451" s="2597">
        <f t="shared" si="566"/>
        <v>0.71010459742254195</v>
      </c>
      <c r="AB2451" s="3325">
        <f t="shared" si="567"/>
        <v>3.4757004022388467E-9</v>
      </c>
    </row>
    <row r="2452" spans="1:28" ht="16" thickBot="1" x14ac:dyDescent="0.25">
      <c r="A2452" s="2936" t="s">
        <v>183</v>
      </c>
      <c r="B2452" s="3003">
        <f>IFERROR(SUM(M2446:M2452),"")</f>
        <v>0</v>
      </c>
      <c r="C2452" s="2576">
        <v>45550</v>
      </c>
      <c r="D2452" s="1788"/>
      <c r="E2452" s="1789"/>
      <c r="F2452" s="3354"/>
      <c r="G2452" s="2577"/>
      <c r="H2452" s="2578" t="str">
        <f>IFERROR(VLOOKUP(F2452,Trainingsarten!$A$9:$K$84,10,FALSE),"")</f>
        <v/>
      </c>
      <c r="I2452" s="2579" t="str">
        <f t="shared" si="569"/>
        <v/>
      </c>
      <c r="J2452" s="2580"/>
      <c r="K2452" s="2581" t="str">
        <f>IFERROR(VLOOKUP(F2452,Trainingsarten!$A$9:$K$84,11,FALSE),"0")</f>
        <v>0</v>
      </c>
      <c r="L2452" s="3101"/>
      <c r="M2452" s="2580"/>
      <c r="N2452" s="2582" t="str">
        <f t="shared" si="570"/>
        <v/>
      </c>
      <c r="O2452" s="2583"/>
      <c r="P2452" s="3102" t="str">
        <f>IFERROR(VLOOKUP(F2452,Trainingsarten!$A$9:$N$84,12,FALSE),"")</f>
        <v/>
      </c>
      <c r="Q2452" s="3103" t="s">
        <v>437</v>
      </c>
      <c r="R2452" s="3104" t="str">
        <f>IFERROR(VLOOKUP(F2452,Trainingsarten!$A$9:$N$84,14,FALSE),"")</f>
        <v/>
      </c>
      <c r="S2452" s="2390" t="str">
        <f t="shared" si="571"/>
        <v/>
      </c>
      <c r="T2452" s="1788">
        <f t="shared" si="572"/>
        <v>38.912563271074262</v>
      </c>
      <c r="U2452" s="1788">
        <f t="shared" si="573"/>
        <v>45.100339440862015</v>
      </c>
      <c r="V2452" s="1788">
        <f t="shared" si="574"/>
        <v>0.80235723698745431</v>
      </c>
      <c r="W2452" s="3293">
        <f t="shared" si="575"/>
        <v>0.86279978717451788</v>
      </c>
      <c r="X2452" s="3300"/>
      <c r="Y2452" s="3316" t="str">
        <f t="shared" si="568"/>
        <v/>
      </c>
      <c r="Z2452" s="2597">
        <f t="shared" si="565"/>
        <v>2.1155235727655859E-9</v>
      </c>
      <c r="AA2452" s="2597">
        <f t="shared" si="566"/>
        <v>0.69319734510295761</v>
      </c>
      <c r="AB2452" s="3325">
        <f t="shared" si="567"/>
        <v>3.0518344995267923E-9</v>
      </c>
    </row>
    <row r="2453" spans="1:28" ht="16" thickBot="1" x14ac:dyDescent="0.25">
      <c r="A2453" s="3439">
        <f>WEEKNUM(C2453,1)</f>
        <v>38</v>
      </c>
      <c r="B2453" s="3440"/>
      <c r="C2453" s="2585">
        <v>45551</v>
      </c>
      <c r="D2453" s="2586"/>
      <c r="E2453" s="2587"/>
      <c r="F2453" s="3346" t="s">
        <v>943</v>
      </c>
      <c r="G2453" s="2588"/>
      <c r="H2453" s="2589">
        <f>IFERROR(VLOOKUP(F2453,Trainingsarten!$A$9:$K$84,10,FALSE),"")</f>
        <v>7.6283002760971961</v>
      </c>
      <c r="I2453" s="2590">
        <f t="shared" si="569"/>
        <v>0</v>
      </c>
      <c r="J2453" s="2591"/>
      <c r="K2453" s="2592">
        <f>IFERROR(VLOOKUP(F2453,Trainingsarten!$A$9:$K$84,11,FALSE),"0")</f>
        <v>54.1875</v>
      </c>
      <c r="L2453" s="2815"/>
      <c r="M2453" s="2591"/>
      <c r="N2453" s="2593" t="str">
        <f t="shared" si="570"/>
        <v/>
      </c>
      <c r="O2453" s="2594"/>
      <c r="P2453" s="1919">
        <f>IFERROR(VLOOKUP(F2453,Trainingsarten!$A$9:$N$84,12,FALSE),"")</f>
        <v>194.60000000000002</v>
      </c>
      <c r="Q2453" s="2461" t="s">
        <v>437</v>
      </c>
      <c r="R2453" s="3089">
        <f>IFERROR(VLOOKUP(F2453,Trainingsarten!$A$9:$N$84,14,FALSE),"")</f>
        <v>212.96</v>
      </c>
      <c r="S2453" s="2595" t="str">
        <f t="shared" si="571"/>
        <v/>
      </c>
      <c r="T2453" s="2586">
        <f t="shared" si="572"/>
        <v>41.094697089492222</v>
      </c>
      <c r="U2453" s="2586">
        <f t="shared" si="573"/>
        <v>45.316700406555775</v>
      </c>
      <c r="V2453" s="2586">
        <f t="shared" si="574"/>
        <v>6.1877761697877531</v>
      </c>
      <c r="W2453" s="3283">
        <f t="shared" si="575"/>
        <v>0.90683339079884173</v>
      </c>
      <c r="X2453" s="3300"/>
      <c r="Y2453" s="3316">
        <f t="shared" si="568"/>
        <v>0</v>
      </c>
      <c r="Z2453" s="2597">
        <f t="shared" si="565"/>
        <v>1.8133059195133593E-9</v>
      </c>
      <c r="AA2453" s="2597">
        <f t="shared" si="566"/>
        <v>0.67669264641003002</v>
      </c>
      <c r="AB2453" s="3325">
        <f t="shared" si="567"/>
        <v>2.6796595605601108E-9</v>
      </c>
    </row>
    <row r="2454" spans="1:28" x14ac:dyDescent="0.2">
      <c r="A2454" s="2934" t="s">
        <v>626</v>
      </c>
      <c r="B2454" s="3004">
        <f>SUM(H2453:H2459)</f>
        <v>59.312238609007899</v>
      </c>
      <c r="C2454" s="2937">
        <v>45552</v>
      </c>
      <c r="D2454" s="3090"/>
      <c r="E2454" s="3091"/>
      <c r="F2454" s="3347" t="s">
        <v>943</v>
      </c>
      <c r="G2454" s="3092"/>
      <c r="H2454" s="3093">
        <f>IFERROR(VLOOKUP(F2454,Trainingsarten!$A$9:$K$84,10,FALSE),"")</f>
        <v>7.6283002760971961</v>
      </c>
      <c r="I2454" s="3094">
        <f t="shared" si="569"/>
        <v>0</v>
      </c>
      <c r="J2454" s="3095"/>
      <c r="K2454" s="3096">
        <f>IFERROR(VLOOKUP(F2454,Trainingsarten!$A$9:$K$84,11,FALSE),"0")</f>
        <v>54.1875</v>
      </c>
      <c r="L2454" s="2816"/>
      <c r="M2454" s="3095"/>
      <c r="N2454" s="3097" t="str">
        <f t="shared" si="570"/>
        <v/>
      </c>
      <c r="O2454" s="3098"/>
      <c r="P2454" s="2897">
        <f>IFERROR(VLOOKUP(F2454,Trainingsarten!$A$9:$N$84,12,FALSE),"")</f>
        <v>194.60000000000002</v>
      </c>
      <c r="Q2454" s="2898" t="s">
        <v>437</v>
      </c>
      <c r="R2454" s="3099">
        <f>IFERROR(VLOOKUP(F2454,Trainingsarten!$A$9:$N$84,14,FALSE),"")</f>
        <v>212.96</v>
      </c>
      <c r="S2454" s="3100" t="str">
        <f t="shared" si="571"/>
        <v/>
      </c>
      <c r="T2454" s="3090">
        <f t="shared" si="572"/>
        <v>42.965097505279047</v>
      </c>
      <c r="U2454" s="3090">
        <f t="shared" si="573"/>
        <v>45.527909920685403</v>
      </c>
      <c r="V2454" s="3090">
        <f t="shared" si="574"/>
        <v>4.2220033170635531</v>
      </c>
      <c r="W2454" s="3284">
        <f t="shared" si="575"/>
        <v>0.94370898159236705</v>
      </c>
      <c r="X2454" s="3300"/>
      <c r="Y2454" s="3316">
        <f t="shared" si="568"/>
        <v>0</v>
      </c>
      <c r="Z2454" s="2597">
        <f t="shared" si="565"/>
        <v>1.5542622167257366E-9</v>
      </c>
      <c r="AA2454" s="2597">
        <f t="shared" si="566"/>
        <v>0.66058091673360075</v>
      </c>
      <c r="AB2454" s="3325">
        <f t="shared" si="567"/>
        <v>2.3528718092722924E-9</v>
      </c>
    </row>
    <row r="2455" spans="1:28" x14ac:dyDescent="0.2">
      <c r="A2455" s="2935" t="s">
        <v>628</v>
      </c>
      <c r="B2455" s="3005">
        <f>SUM(K2453:K2459)</f>
        <v>428.01495911564677</v>
      </c>
      <c r="C2455" s="2937">
        <v>45553</v>
      </c>
      <c r="D2455" s="3090"/>
      <c r="E2455" s="3091"/>
      <c r="F2455" s="3352" t="s">
        <v>899</v>
      </c>
      <c r="G2455" s="3092"/>
      <c r="H2455" s="3093">
        <f>IFERROR(VLOOKUP(F2455,Trainingsarten!$A$9:$K$84,10,FALSE),"")</f>
        <v>10.152081274159309</v>
      </c>
      <c r="I2455" s="3094">
        <f t="shared" si="569"/>
        <v>0</v>
      </c>
      <c r="J2455" s="3095"/>
      <c r="K2455" s="3096">
        <f>IFERROR(VLOOKUP(F2455,Trainingsarten!$A$9:$K$84,11,FALSE),"0")</f>
        <v>78.806625782313432</v>
      </c>
      <c r="L2455" s="2816"/>
      <c r="M2455" s="3095"/>
      <c r="N2455" s="3097" t="str">
        <f t="shared" si="570"/>
        <v/>
      </c>
      <c r="O2455" s="3098"/>
      <c r="P2455" s="2897">
        <f>IFERROR(VLOOKUP(F2455,Trainingsarten!$A$9:$N$84,12,FALSE),"")</f>
        <v>230.89999999999998</v>
      </c>
      <c r="Q2455" s="2898" t="s">
        <v>437</v>
      </c>
      <c r="R2455" s="3099">
        <f>IFERROR(VLOOKUP(F2455,Trainingsarten!$A$9:$N$84,14,FALSE),"")</f>
        <v>254.10000000000002</v>
      </c>
      <c r="S2455" s="3100" t="str">
        <f t="shared" si="571"/>
        <v/>
      </c>
      <c r="T2455" s="3090">
        <f t="shared" si="572"/>
        <v>48.085315830569677</v>
      </c>
      <c r="U2455" s="3090">
        <f t="shared" si="573"/>
        <v>46.320260298343214</v>
      </c>
      <c r="V2455" s="3090">
        <f t="shared" si="574"/>
        <v>2.5628124154063556</v>
      </c>
      <c r="W2455" s="3284">
        <f t="shared" si="575"/>
        <v>1.0381054752468564</v>
      </c>
      <c r="X2455" s="3300"/>
      <c r="Y2455" s="3316">
        <f t="shared" si="568"/>
        <v>0</v>
      </c>
      <c r="Z2455" s="2597">
        <f t="shared" si="565"/>
        <v>1.3322247571934886E-9</v>
      </c>
      <c r="AA2455" s="2597">
        <f t="shared" si="566"/>
        <v>0.64485279966851505</v>
      </c>
      <c r="AB2455" s="3325">
        <f t="shared" si="567"/>
        <v>2.0659362227756713E-9</v>
      </c>
    </row>
    <row r="2456" spans="1:28" x14ac:dyDescent="0.2">
      <c r="A2456" s="2935" t="s">
        <v>761</v>
      </c>
      <c r="B2456" s="3006">
        <f>AVERAGE(W2453:W2459)</f>
        <v>1.0538512031055431</v>
      </c>
      <c r="C2456" s="2937">
        <v>45554</v>
      </c>
      <c r="D2456" s="3090"/>
      <c r="E2456" s="3091"/>
      <c r="F2456" s="3347" t="s">
        <v>943</v>
      </c>
      <c r="G2456" s="3092"/>
      <c r="H2456" s="3093">
        <f>IFERROR(VLOOKUP(F2456,Trainingsarten!$A$9:$K$84,10,FALSE),"")</f>
        <v>7.6283002760971961</v>
      </c>
      <c r="I2456" s="3094">
        <f t="shared" si="569"/>
        <v>0</v>
      </c>
      <c r="J2456" s="3095"/>
      <c r="K2456" s="3096">
        <f>IFERROR(VLOOKUP(F2456,Trainingsarten!$A$9:$K$84,11,FALSE),"0")</f>
        <v>54.1875</v>
      </c>
      <c r="L2456" s="2816"/>
      <c r="M2456" s="3095"/>
      <c r="N2456" s="3097" t="str">
        <f t="shared" si="570"/>
        <v/>
      </c>
      <c r="O2456" s="3098"/>
      <c r="P2456" s="2897">
        <f>IFERROR(VLOOKUP(F2456,Trainingsarten!$A$9:$N$84,12,FALSE),"")</f>
        <v>194.60000000000002</v>
      </c>
      <c r="Q2456" s="2898" t="s">
        <v>437</v>
      </c>
      <c r="R2456" s="3099">
        <f>IFERROR(VLOOKUP(F2456,Trainingsarten!$A$9:$N$84,14,FALSE),"")</f>
        <v>212.96</v>
      </c>
      <c r="S2456" s="3100" t="str">
        <f t="shared" si="571"/>
        <v/>
      </c>
      <c r="T2456" s="3090">
        <f t="shared" si="572"/>
        <v>48.957056426202577</v>
      </c>
      <c r="U2456" s="3090">
        <f t="shared" si="573"/>
        <v>46.507575529335043</v>
      </c>
      <c r="V2456" s="3090">
        <f t="shared" si="574"/>
        <v>-1.7650555322264623</v>
      </c>
      <c r="W2456" s="3284">
        <f t="shared" si="575"/>
        <v>1.0526684280784</v>
      </c>
      <c r="X2456" s="3300"/>
      <c r="Y2456" s="3316">
        <f t="shared" si="568"/>
        <v>0</v>
      </c>
      <c r="Z2456" s="2597">
        <f t="shared" si="565"/>
        <v>1.141906934737276E-9</v>
      </c>
      <c r="AA2456" s="2597">
        <f t="shared" si="566"/>
        <v>0.62949916158116948</v>
      </c>
      <c r="AB2456" s="3325">
        <f t="shared" si="567"/>
        <v>1.8139927809737602E-9</v>
      </c>
    </row>
    <row r="2457" spans="1:28" x14ac:dyDescent="0.2">
      <c r="A2457" s="2935" t="s">
        <v>979</v>
      </c>
      <c r="B2457" s="3131" t="str">
        <f>IFERROR(AVERAGE(N2453:N2459),"")</f>
        <v/>
      </c>
      <c r="C2457" s="2937">
        <v>45555</v>
      </c>
      <c r="D2457" s="3090"/>
      <c r="E2457" s="3091"/>
      <c r="F2457" s="3347" t="s">
        <v>943</v>
      </c>
      <c r="G2457" s="3092"/>
      <c r="H2457" s="3093">
        <f>IFERROR(VLOOKUP(F2457,Trainingsarten!$A$9:$K$84,10,FALSE),"")</f>
        <v>7.6283002760971961</v>
      </c>
      <c r="I2457" s="3094">
        <f t="shared" si="569"/>
        <v>0</v>
      </c>
      <c r="J2457" s="3095"/>
      <c r="K2457" s="3096">
        <f>IFERROR(VLOOKUP(F2457,Trainingsarten!$A$9:$K$84,11,FALSE),"0")</f>
        <v>54.1875</v>
      </c>
      <c r="L2457" s="2816"/>
      <c r="M2457" s="3095"/>
      <c r="N2457" s="3097" t="str">
        <f t="shared" si="570"/>
        <v/>
      </c>
      <c r="O2457" s="3098"/>
      <c r="P2457" s="2897">
        <f>IFERROR(VLOOKUP(F2457,Trainingsarten!$A$9:$N$84,12,FALSE),"")</f>
        <v>194.60000000000002</v>
      </c>
      <c r="Q2457" s="2898" t="s">
        <v>437</v>
      </c>
      <c r="R2457" s="3099">
        <f>IFERROR(VLOOKUP(F2457,Trainingsarten!$A$9:$N$84,14,FALSE),"")</f>
        <v>212.96</v>
      </c>
      <c r="S2457" s="3100" t="str">
        <f t="shared" si="571"/>
        <v/>
      </c>
      <c r="T2457" s="3090">
        <f t="shared" si="572"/>
        <v>49.704262651030781</v>
      </c>
      <c r="U2457" s="3090">
        <f t="shared" si="573"/>
        <v>46.690430873874682</v>
      </c>
      <c r="V2457" s="3090">
        <f t="shared" si="574"/>
        <v>-2.4494808968675343</v>
      </c>
      <c r="W2457" s="3284">
        <f t="shared" si="575"/>
        <v>1.0645492389071627</v>
      </c>
      <c r="X2457" s="3300"/>
      <c r="Y2457" s="3316">
        <f t="shared" si="568"/>
        <v>0</v>
      </c>
      <c r="Z2457" s="2597">
        <f t="shared" si="565"/>
        <v>9.7877737263195085E-10</v>
      </c>
      <c r="AA2457" s="2597">
        <f t="shared" si="566"/>
        <v>0.61451108630542739</v>
      </c>
      <c r="AB2457" s="3325">
        <f t="shared" si="567"/>
        <v>1.5927741491476917E-9</v>
      </c>
    </row>
    <row r="2458" spans="1:28" x14ac:dyDescent="0.2">
      <c r="A2458" s="2935" t="s">
        <v>980</v>
      </c>
      <c r="B2458" s="3006" t="str">
        <f>IFERROR(AVERAGE(S2453:S2459),"")</f>
        <v/>
      </c>
      <c r="C2458" s="2937">
        <v>45556</v>
      </c>
      <c r="D2458" s="3090"/>
      <c r="E2458" s="3091"/>
      <c r="F2458" s="3347" t="s">
        <v>811</v>
      </c>
      <c r="G2458" s="3092"/>
      <c r="H2458" s="3093">
        <f>IFERROR(VLOOKUP(F2458,Trainingsarten!$A$9:$K$84,10,FALSE),"")</f>
        <v>18.646956230459814</v>
      </c>
      <c r="I2458" s="3094">
        <f t="shared" si="569"/>
        <v>0</v>
      </c>
      <c r="J2458" s="3095"/>
      <c r="K2458" s="3096">
        <f>IFERROR(VLOOKUP(F2458,Trainingsarten!$A$9:$K$84,11,FALSE),"0")</f>
        <v>132.45833333333337</v>
      </c>
      <c r="L2458" s="2816"/>
      <c r="M2458" s="3095"/>
      <c r="N2458" s="3097" t="str">
        <f t="shared" si="570"/>
        <v/>
      </c>
      <c r="O2458" s="3098"/>
      <c r="P2458" s="2897">
        <f>IFERROR(VLOOKUP(F2458,Trainingsarten!$A$9:$N$84,12,FALSE),"")</f>
        <v>194.60000000000002</v>
      </c>
      <c r="Q2458" s="2898" t="s">
        <v>437</v>
      </c>
      <c r="R2458" s="3099">
        <f>IFERROR(VLOOKUP(F2458,Trainingsarten!$A$9:$N$84,14,FALSE),"")</f>
        <v>212.96</v>
      </c>
      <c r="S2458" s="3100" t="str">
        <f t="shared" si="571"/>
        <v/>
      </c>
      <c r="T2458" s="3090">
        <f t="shared" si="572"/>
        <v>61.526272748502578</v>
      </c>
      <c r="U2458" s="3090">
        <f t="shared" si="573"/>
        <v>48.732523789576078</v>
      </c>
      <c r="V2458" s="3090">
        <f t="shared" si="574"/>
        <v>-3.0138317771560992</v>
      </c>
      <c r="W2458" s="3284">
        <f t="shared" si="575"/>
        <v>1.262529989502885</v>
      </c>
      <c r="X2458" s="3300"/>
      <c r="Y2458" s="3316">
        <f t="shared" si="568"/>
        <v>0</v>
      </c>
      <c r="Z2458" s="2597">
        <f t="shared" si="565"/>
        <v>8.3895203368452924E-10</v>
      </c>
      <c r="AA2458" s="2597">
        <f t="shared" si="566"/>
        <v>0.59987986996482201</v>
      </c>
      <c r="AB2458" s="3325">
        <f t="shared" si="567"/>
        <v>1.3985333992516315E-9</v>
      </c>
    </row>
    <row r="2459" spans="1:28" ht="16" thickBot="1" x14ac:dyDescent="0.25">
      <c r="A2459" s="2936" t="s">
        <v>183</v>
      </c>
      <c r="B2459" s="3003">
        <f>IFERROR(SUM(M2453:M2459),"")</f>
        <v>0</v>
      </c>
      <c r="C2459" s="2576">
        <v>45557</v>
      </c>
      <c r="D2459" s="1788"/>
      <c r="E2459" s="1789"/>
      <c r="F2459" s="3345"/>
      <c r="G2459" s="2577"/>
      <c r="H2459" s="2578" t="str">
        <f>IFERROR(VLOOKUP(F2459,Trainingsarten!$A$9:$K$84,10,FALSE),"")</f>
        <v/>
      </c>
      <c r="I2459" s="2579" t="str">
        <f t="shared" si="569"/>
        <v/>
      </c>
      <c r="J2459" s="2580"/>
      <c r="K2459" s="2581" t="str">
        <f>IFERROR(VLOOKUP(F2459,Trainingsarten!$A$9:$K$84,11,FALSE),"0")</f>
        <v>0</v>
      </c>
      <c r="L2459" s="3101"/>
      <c r="M2459" s="2580"/>
      <c r="N2459" s="2582" t="str">
        <f t="shared" si="570"/>
        <v/>
      </c>
      <c r="O2459" s="2583"/>
      <c r="P2459" s="3102" t="str">
        <f>IFERROR(VLOOKUP(F2459,Trainingsarten!$A$9:$N$84,12,FALSE),"")</f>
        <v/>
      </c>
      <c r="Q2459" s="3103" t="s">
        <v>437</v>
      </c>
      <c r="R2459" s="3104" t="str">
        <f>IFERROR(VLOOKUP(F2459,Trainingsarten!$A$9:$N$84,14,FALSE),"")</f>
        <v/>
      </c>
      <c r="S2459" s="2390" t="str">
        <f t="shared" si="571"/>
        <v/>
      </c>
      <c r="T2459" s="1788">
        <f t="shared" si="572"/>
        <v>52.736805213002214</v>
      </c>
      <c r="U2459" s="1788">
        <f t="shared" si="573"/>
        <v>47.572225604109981</v>
      </c>
      <c r="V2459" s="1788">
        <f t="shared" si="574"/>
        <v>-12.7937489589265</v>
      </c>
      <c r="W2459" s="3293">
        <f t="shared" si="575"/>
        <v>1.1085629176122893</v>
      </c>
      <c r="X2459" s="3300"/>
      <c r="Y2459" s="3316" t="str">
        <f t="shared" si="568"/>
        <v/>
      </c>
      <c r="Z2459" s="2597">
        <f t="shared" si="565"/>
        <v>7.1910174315816795E-10</v>
      </c>
      <c r="AA2459" s="2597">
        <f t="shared" si="566"/>
        <v>0.58559701591804059</v>
      </c>
      <c r="AB2459" s="3325">
        <f t="shared" si="567"/>
        <v>1.2279805456843594E-9</v>
      </c>
    </row>
    <row r="2460" spans="1:28" ht="16" thickBot="1" x14ac:dyDescent="0.25">
      <c r="A2460" s="3439">
        <f>WEEKNUM(C2460,1)</f>
        <v>39</v>
      </c>
      <c r="B2460" s="3440"/>
      <c r="C2460" s="2585">
        <v>45558</v>
      </c>
      <c r="D2460" s="2586"/>
      <c r="E2460" s="2587"/>
      <c r="F2460" s="3346" t="s">
        <v>943</v>
      </c>
      <c r="G2460" s="2588"/>
      <c r="H2460" s="2589">
        <f>IFERROR(VLOOKUP(F2460,Trainingsarten!$A$9:$K$84,10,FALSE),"")</f>
        <v>7.6283002760971961</v>
      </c>
      <c r="I2460" s="2590">
        <f t="shared" si="569"/>
        <v>0</v>
      </c>
      <c r="J2460" s="2591"/>
      <c r="K2460" s="2592">
        <f>IFERROR(VLOOKUP(F2460,Trainingsarten!$A$9:$K$84,11,FALSE),"0")</f>
        <v>54.1875</v>
      </c>
      <c r="L2460" s="2815"/>
      <c r="M2460" s="2591"/>
      <c r="N2460" s="2593" t="str">
        <f t="shared" si="570"/>
        <v/>
      </c>
      <c r="O2460" s="2594"/>
      <c r="P2460" s="1919">
        <f>IFERROR(VLOOKUP(F2460,Trainingsarten!$A$9:$N$84,12,FALSE),"")</f>
        <v>194.60000000000002</v>
      </c>
      <c r="Q2460" s="2461" t="s">
        <v>437</v>
      </c>
      <c r="R2460" s="3089">
        <f>IFERROR(VLOOKUP(F2460,Trainingsarten!$A$9:$N$84,14,FALSE),"")</f>
        <v>212.96</v>
      </c>
      <c r="S2460" s="2595" t="str">
        <f t="shared" si="571"/>
        <v/>
      </c>
      <c r="T2460" s="2586">
        <f t="shared" si="572"/>
        <v>52.944047325430468</v>
      </c>
      <c r="U2460" s="2586">
        <f t="shared" si="573"/>
        <v>47.729732137345458</v>
      </c>
      <c r="V2460" s="2586">
        <f t="shared" si="574"/>
        <v>-5.1645796088922324</v>
      </c>
      <c r="W2460" s="3283">
        <f t="shared" si="575"/>
        <v>1.1092466886904053</v>
      </c>
      <c r="X2460" s="3300"/>
      <c r="Y2460" s="3316">
        <f t="shared" si="568"/>
        <v>0</v>
      </c>
      <c r="Z2460" s="2597">
        <f t="shared" ref="Z2460:Z2523" si="576">Z2459+(X2460-Z2459)/7</f>
        <v>6.1637292270700107E-10</v>
      </c>
      <c r="AA2460" s="2597">
        <f t="shared" ref="AA2460:AA2523" si="577">AA2459+(X2460-AA2459)/42</f>
        <v>0.57165422982475389</v>
      </c>
      <c r="AB2460" s="3325">
        <f t="shared" ref="AB2460:AB2523" si="578">Z2460/AA2460</f>
        <v>1.0782268206009008E-9</v>
      </c>
    </row>
    <row r="2461" spans="1:28" x14ac:dyDescent="0.2">
      <c r="A2461" s="2934" t="s">
        <v>626</v>
      </c>
      <c r="B2461" s="3004">
        <f>SUM(H2460:H2466)</f>
        <v>62.64296819353352</v>
      </c>
      <c r="C2461" s="2937">
        <v>45559</v>
      </c>
      <c r="D2461" s="3090"/>
      <c r="E2461" s="3091"/>
      <c r="F2461" s="3347" t="s">
        <v>943</v>
      </c>
      <c r="G2461" s="3092"/>
      <c r="H2461" s="3093">
        <f>IFERROR(VLOOKUP(F2461,Trainingsarten!$A$9:$K$84,10,FALSE),"")</f>
        <v>7.6283002760971961</v>
      </c>
      <c r="I2461" s="3094">
        <f t="shared" si="569"/>
        <v>0</v>
      </c>
      <c r="J2461" s="3095"/>
      <c r="K2461" s="3096">
        <f>IFERROR(VLOOKUP(F2461,Trainingsarten!$A$9:$K$84,11,FALSE),"0")</f>
        <v>54.1875</v>
      </c>
      <c r="L2461" s="2816"/>
      <c r="M2461" s="3095"/>
      <c r="N2461" s="3097" t="str">
        <f t="shared" si="570"/>
        <v/>
      </c>
      <c r="O2461" s="3098"/>
      <c r="P2461" s="2897">
        <f>IFERROR(VLOOKUP(F2461,Trainingsarten!$A$9:$N$84,12,FALSE),"")</f>
        <v>194.60000000000002</v>
      </c>
      <c r="Q2461" s="2898" t="s">
        <v>437</v>
      </c>
      <c r="R2461" s="3099">
        <f>IFERROR(VLOOKUP(F2461,Trainingsarten!$A$9:$N$84,14,FALSE),"")</f>
        <v>212.96</v>
      </c>
      <c r="S2461" s="3100" t="str">
        <f t="shared" si="571"/>
        <v/>
      </c>
      <c r="T2461" s="3090">
        <f t="shared" si="572"/>
        <v>53.121683421797542</v>
      </c>
      <c r="U2461" s="3090">
        <f t="shared" si="573"/>
        <v>47.883488515027707</v>
      </c>
      <c r="V2461" s="3090">
        <f t="shared" si="574"/>
        <v>-5.2143151880850098</v>
      </c>
      <c r="W2461" s="3284">
        <f t="shared" si="575"/>
        <v>1.1093945965345837</v>
      </c>
      <c r="X2461" s="3300"/>
      <c r="Y2461" s="3316">
        <f t="shared" si="568"/>
        <v>0</v>
      </c>
      <c r="Z2461" s="2597">
        <f t="shared" si="576"/>
        <v>5.2831964803457232E-10</v>
      </c>
      <c r="AA2461" s="2597">
        <f t="shared" si="577"/>
        <v>0.55804341482892639</v>
      </c>
      <c r="AB2461" s="3325">
        <f t="shared" si="578"/>
        <v>9.4673574491786422E-10</v>
      </c>
    </row>
    <row r="2462" spans="1:28" x14ac:dyDescent="0.2">
      <c r="A2462" s="2935" t="s">
        <v>628</v>
      </c>
      <c r="B2462" s="3005">
        <f>SUM(K2460:K2466)</f>
        <v>453.38995911564677</v>
      </c>
      <c r="C2462" s="2937">
        <v>45560</v>
      </c>
      <c r="D2462" s="3090"/>
      <c r="E2462" s="3091"/>
      <c r="F2462" s="3352" t="s">
        <v>900</v>
      </c>
      <c r="G2462" s="3092"/>
      <c r="H2462" s="3093">
        <f>IFERROR(VLOOKUP(F2462,Trainingsarten!$A$9:$K$84,10,FALSE),"")</f>
        <v>11.787633019552224</v>
      </c>
      <c r="I2462" s="3094">
        <f t="shared" si="569"/>
        <v>0</v>
      </c>
      <c r="J2462" s="3095"/>
      <c r="K2462" s="3096">
        <f>IFERROR(VLOOKUP(F2462,Trainingsarten!$A$9:$K$84,11,FALSE),"0")</f>
        <v>92.139959115646775</v>
      </c>
      <c r="L2462" s="2816"/>
      <c r="M2462" s="3095"/>
      <c r="N2462" s="3097" t="str">
        <f t="shared" si="570"/>
        <v/>
      </c>
      <c r="O2462" s="3098"/>
      <c r="P2462" s="2897">
        <f>IFERROR(VLOOKUP(F2462,Trainingsarten!$A$9:$N$84,12,FALSE),"")</f>
        <v>230.89999999999998</v>
      </c>
      <c r="Q2462" s="2898" t="s">
        <v>437</v>
      </c>
      <c r="R2462" s="3099">
        <f>IFERROR(VLOOKUP(F2462,Trainingsarten!$A$9:$N$84,14,FALSE),"")</f>
        <v>254.10000000000002</v>
      </c>
      <c r="S2462" s="3100" t="str">
        <f t="shared" si="571"/>
        <v/>
      </c>
      <c r="T2462" s="3090">
        <f t="shared" si="572"/>
        <v>58.69572280663315</v>
      </c>
      <c r="U2462" s="3090">
        <f t="shared" si="573"/>
        <v>48.937214005518641</v>
      </c>
      <c r="V2462" s="3090">
        <f t="shared" si="574"/>
        <v>-5.2381949067698343</v>
      </c>
      <c r="W2462" s="3284">
        <f t="shared" si="575"/>
        <v>1.1994087526113366</v>
      </c>
      <c r="X2462" s="3300"/>
      <c r="Y2462" s="3316">
        <f t="shared" si="568"/>
        <v>0</v>
      </c>
      <c r="Z2462" s="2597">
        <f t="shared" si="576"/>
        <v>4.5284541260106196E-10</v>
      </c>
      <c r="AA2462" s="2597">
        <f t="shared" si="577"/>
        <v>0.54475666685680912</v>
      </c>
      <c r="AB2462" s="3325">
        <f t="shared" si="578"/>
        <v>8.3128016626934407E-10</v>
      </c>
    </row>
    <row r="2463" spans="1:28" x14ac:dyDescent="0.2">
      <c r="A2463" s="2935" t="s">
        <v>761</v>
      </c>
      <c r="B2463" s="3006">
        <f>AVERAGE(W2460:W2466)</f>
        <v>1.1889586902241207</v>
      </c>
      <c r="C2463" s="2937">
        <v>45561</v>
      </c>
      <c r="D2463" s="3090"/>
      <c r="E2463" s="3091"/>
      <c r="F2463" s="3347" t="s">
        <v>943</v>
      </c>
      <c r="G2463" s="3092"/>
      <c r="H2463" s="3093">
        <f>IFERROR(VLOOKUP(F2463,Trainingsarten!$A$9:$K$84,10,FALSE),"")</f>
        <v>7.6283002760971961</v>
      </c>
      <c r="I2463" s="3094">
        <f t="shared" si="569"/>
        <v>0</v>
      </c>
      <c r="J2463" s="3095"/>
      <c r="K2463" s="3096">
        <f>IFERROR(VLOOKUP(F2463,Trainingsarten!$A$9:$K$84,11,FALSE),"0")</f>
        <v>54.1875</v>
      </c>
      <c r="L2463" s="2816"/>
      <c r="M2463" s="3095"/>
      <c r="N2463" s="3097" t="str">
        <f t="shared" si="570"/>
        <v/>
      </c>
      <c r="O2463" s="3098"/>
      <c r="P2463" s="2897">
        <f>IFERROR(VLOOKUP(F2463,Trainingsarten!$A$9:$N$84,12,FALSE),"")</f>
        <v>194.60000000000002</v>
      </c>
      <c r="Q2463" s="2898" t="s">
        <v>437</v>
      </c>
      <c r="R2463" s="3099">
        <f>IFERROR(VLOOKUP(F2463,Trainingsarten!$A$9:$N$84,14,FALSE),"")</f>
        <v>212.96</v>
      </c>
      <c r="S2463" s="3100" t="str">
        <f t="shared" si="571"/>
        <v/>
      </c>
      <c r="T2463" s="3090">
        <f t="shared" si="572"/>
        <v>58.051690977114127</v>
      </c>
      <c r="U2463" s="3090">
        <f t="shared" si="573"/>
        <v>49.062220814911051</v>
      </c>
      <c r="V2463" s="3090">
        <f t="shared" si="574"/>
        <v>-9.7585088011145089</v>
      </c>
      <c r="W2463" s="3284">
        <f t="shared" si="575"/>
        <v>1.1832259121762174</v>
      </c>
      <c r="X2463" s="3300"/>
      <c r="Y2463" s="3316">
        <f t="shared" si="568"/>
        <v>0</v>
      </c>
      <c r="Z2463" s="2597">
        <f t="shared" si="576"/>
        <v>3.8815321080091026E-10</v>
      </c>
      <c r="AA2463" s="2597">
        <f t="shared" si="577"/>
        <v>0.53178627002688506</v>
      </c>
      <c r="AB2463" s="3325">
        <f t="shared" si="578"/>
        <v>7.2990453623649726E-10</v>
      </c>
    </row>
    <row r="2464" spans="1:28" x14ac:dyDescent="0.2">
      <c r="A2464" s="2935" t="s">
        <v>979</v>
      </c>
      <c r="B2464" s="3131" t="str">
        <f>IFERROR(AVERAGE(N2460:N2466),"")</f>
        <v/>
      </c>
      <c r="C2464" s="2937">
        <v>45562</v>
      </c>
      <c r="D2464" s="3090"/>
      <c r="E2464" s="3091"/>
      <c r="F2464" s="3347" t="s">
        <v>943</v>
      </c>
      <c r="G2464" s="3092"/>
      <c r="H2464" s="3093">
        <f>IFERROR(VLOOKUP(F2464,Trainingsarten!$A$9:$K$84,10,FALSE),"")</f>
        <v>7.6283002760971961</v>
      </c>
      <c r="I2464" s="3094">
        <f t="shared" si="569"/>
        <v>0</v>
      </c>
      <c r="J2464" s="3095"/>
      <c r="K2464" s="3096">
        <f>IFERROR(VLOOKUP(F2464,Trainingsarten!$A$9:$K$84,11,FALSE),"0")</f>
        <v>54.1875</v>
      </c>
      <c r="L2464" s="2816"/>
      <c r="M2464" s="3095"/>
      <c r="N2464" s="3097" t="str">
        <f t="shared" si="570"/>
        <v/>
      </c>
      <c r="O2464" s="3098"/>
      <c r="P2464" s="2897">
        <f>IFERROR(VLOOKUP(F2464,Trainingsarten!$A$9:$N$84,12,FALSE),"")</f>
        <v>194.60000000000002</v>
      </c>
      <c r="Q2464" s="2898" t="s">
        <v>437</v>
      </c>
      <c r="R2464" s="3099">
        <f>IFERROR(VLOOKUP(F2464,Trainingsarten!$A$9:$N$84,14,FALSE),"")</f>
        <v>212.96</v>
      </c>
      <c r="S2464" s="3100" t="str">
        <f t="shared" si="571"/>
        <v/>
      </c>
      <c r="T2464" s="3090">
        <f t="shared" si="572"/>
        <v>57.499663694669252</v>
      </c>
      <c r="U2464" s="3090">
        <f t="shared" si="573"/>
        <v>49.184251271698884</v>
      </c>
      <c r="V2464" s="3090">
        <f t="shared" si="574"/>
        <v>-8.9894701622030766</v>
      </c>
      <c r="W2464" s="3284">
        <f t="shared" si="575"/>
        <v>1.1690665651701226</v>
      </c>
      <c r="X2464" s="3300"/>
      <c r="Y2464" s="3316">
        <f t="shared" si="568"/>
        <v>0</v>
      </c>
      <c r="Z2464" s="2597">
        <f t="shared" si="576"/>
        <v>3.3270275211506593E-10</v>
      </c>
      <c r="AA2464" s="2597">
        <f t="shared" si="577"/>
        <v>0.51912469216910206</v>
      </c>
      <c r="AB2464" s="3325">
        <f t="shared" si="578"/>
        <v>6.4089178791497325E-10</v>
      </c>
    </row>
    <row r="2465" spans="1:28" x14ac:dyDescent="0.2">
      <c r="A2465" s="2935" t="s">
        <v>980</v>
      </c>
      <c r="B2465" s="3006" t="str">
        <f>IFERROR(AVERAGE(S2460:S2466),"")</f>
        <v/>
      </c>
      <c r="C2465" s="2937">
        <v>45563</v>
      </c>
      <c r="D2465" s="3090"/>
      <c r="E2465" s="3091"/>
      <c r="F2465" s="3347" t="s">
        <v>812</v>
      </c>
      <c r="G2465" s="3092"/>
      <c r="H2465" s="3093">
        <f>IFERROR(VLOOKUP(F2465,Trainingsarten!$A$9:$K$84,10,FALSE),"")</f>
        <v>20.342134069592522</v>
      </c>
      <c r="I2465" s="3094">
        <f t="shared" si="569"/>
        <v>0</v>
      </c>
      <c r="J2465" s="3095"/>
      <c r="K2465" s="3096">
        <f>IFERROR(VLOOKUP(F2465,Trainingsarten!$A$9:$K$84,11,FALSE),"0")</f>
        <v>144.5</v>
      </c>
      <c r="L2465" s="2816"/>
      <c r="M2465" s="3095"/>
      <c r="N2465" s="3097" t="str">
        <f t="shared" si="570"/>
        <v/>
      </c>
      <c r="O2465" s="3098"/>
      <c r="P2465" s="2897">
        <f>IFERROR(VLOOKUP(F2465,Trainingsarten!$A$9:$N$84,12,FALSE),"")</f>
        <v>194.60000000000002</v>
      </c>
      <c r="Q2465" s="2898" t="s">
        <v>437</v>
      </c>
      <c r="R2465" s="3099">
        <f>IFERROR(VLOOKUP(F2465,Trainingsarten!$A$9:$N$84,14,FALSE),"")</f>
        <v>212.96</v>
      </c>
      <c r="S2465" s="3100" t="str">
        <f t="shared" si="571"/>
        <v/>
      </c>
      <c r="T2465" s="3090">
        <f t="shared" si="572"/>
        <v>69.928283166859359</v>
      </c>
      <c r="U2465" s="3090">
        <f t="shared" si="573"/>
        <v>51.453673860467958</v>
      </c>
      <c r="V2465" s="3090">
        <f t="shared" si="574"/>
        <v>-8.3154124229703683</v>
      </c>
      <c r="W2465" s="3284">
        <f t="shared" si="575"/>
        <v>1.3590532593744586</v>
      </c>
      <c r="X2465" s="3300"/>
      <c r="Y2465" s="3316">
        <f t="shared" si="568"/>
        <v>0</v>
      </c>
      <c r="Z2465" s="2597">
        <f t="shared" si="576"/>
        <v>2.8517378752719938E-10</v>
      </c>
      <c r="AA2465" s="2597">
        <f t="shared" si="577"/>
        <v>0.50676458045079009</v>
      </c>
      <c r="AB2465" s="3325">
        <f t="shared" si="578"/>
        <v>5.6273425280339119E-10</v>
      </c>
    </row>
    <row r="2466" spans="1:28" ht="16" thickBot="1" x14ac:dyDescent="0.25">
      <c r="A2466" s="2936" t="s">
        <v>183</v>
      </c>
      <c r="B2466" s="3003">
        <f>IFERROR(SUM(M2460:M2466),"")</f>
        <v>0</v>
      </c>
      <c r="C2466" s="2576">
        <v>45564</v>
      </c>
      <c r="D2466" s="1788"/>
      <c r="E2466" s="1789"/>
      <c r="F2466" s="3345"/>
      <c r="G2466" s="2577"/>
      <c r="H2466" s="2578" t="str">
        <f>IFERROR(VLOOKUP(F2466,Trainingsarten!$A$9:$K$84,10,FALSE),"")</f>
        <v/>
      </c>
      <c r="I2466" s="2579" t="str">
        <f t="shared" si="569"/>
        <v/>
      </c>
      <c r="J2466" s="2580"/>
      <c r="K2466" s="2581" t="str">
        <f>IFERROR(VLOOKUP(F2466,Trainingsarten!$A$9:$K$84,11,FALSE),"0")</f>
        <v>0</v>
      </c>
      <c r="L2466" s="3101"/>
      <c r="M2466" s="2580"/>
      <c r="N2466" s="2582" t="str">
        <f t="shared" si="570"/>
        <v/>
      </c>
      <c r="O2466" s="2583"/>
      <c r="P2466" s="3102" t="str">
        <f>IFERROR(VLOOKUP(F2466,Trainingsarten!$A$9:$N$84,12,FALSE),"")</f>
        <v/>
      </c>
      <c r="Q2466" s="3103" t="s">
        <v>437</v>
      </c>
      <c r="R2466" s="3104" t="str">
        <f>IFERROR(VLOOKUP(F2466,Trainingsarten!$A$9:$N$84,14,FALSE),"")</f>
        <v/>
      </c>
      <c r="S2466" s="2390" t="str">
        <f t="shared" si="571"/>
        <v/>
      </c>
      <c r="T2466" s="1788">
        <f t="shared" si="572"/>
        <v>59.938528428736589</v>
      </c>
      <c r="U2466" s="1788">
        <f t="shared" si="573"/>
        <v>50.228586387599677</v>
      </c>
      <c r="V2466" s="1788">
        <f t="shared" si="574"/>
        <v>-18.4746093063914</v>
      </c>
      <c r="W2466" s="3293">
        <f t="shared" si="575"/>
        <v>1.1933150570117195</v>
      </c>
      <c r="X2466" s="3300"/>
      <c r="Y2466" s="3316" t="str">
        <f t="shared" si="568"/>
        <v/>
      </c>
      <c r="Z2466" s="2597">
        <f t="shared" si="576"/>
        <v>2.4443467502331377E-10</v>
      </c>
      <c r="AA2466" s="2597">
        <f t="shared" si="577"/>
        <v>0.49469875710672367</v>
      </c>
      <c r="AB2466" s="3325">
        <f t="shared" si="578"/>
        <v>4.941081244127337E-10</v>
      </c>
    </row>
    <row r="2467" spans="1:28" ht="16" thickBot="1" x14ac:dyDescent="0.25">
      <c r="A2467" s="3439">
        <f>WEEKNUM(C2467,1)</f>
        <v>40</v>
      </c>
      <c r="B2467" s="3440"/>
      <c r="C2467" s="2585">
        <v>45565</v>
      </c>
      <c r="D2467" s="2586"/>
      <c r="E2467" s="2587"/>
      <c r="F2467" s="3346" t="s">
        <v>943</v>
      </c>
      <c r="G2467" s="2588"/>
      <c r="H2467" s="2589">
        <f>IFERROR(VLOOKUP(F2467,Trainingsarten!$A$9:$K$84,10,FALSE),"")</f>
        <v>7.6283002760971961</v>
      </c>
      <c r="I2467" s="2590">
        <f t="shared" si="569"/>
        <v>0</v>
      </c>
      <c r="J2467" s="2591"/>
      <c r="K2467" s="2592">
        <f>IFERROR(VLOOKUP(F2467,Trainingsarten!$A$9:$K$84,11,FALSE),"0")</f>
        <v>54.1875</v>
      </c>
      <c r="L2467" s="2815"/>
      <c r="M2467" s="2591"/>
      <c r="N2467" s="2593" t="str">
        <f t="shared" si="570"/>
        <v/>
      </c>
      <c r="O2467" s="2594"/>
      <c r="P2467" s="1919">
        <f>IFERROR(VLOOKUP(F2467,Trainingsarten!$A$9:$N$84,12,FALSE),"")</f>
        <v>194.60000000000002</v>
      </c>
      <c r="Q2467" s="2461" t="s">
        <v>437</v>
      </c>
      <c r="R2467" s="3089">
        <f>IFERROR(VLOOKUP(F2467,Trainingsarten!$A$9:$N$84,14,FALSE),"")</f>
        <v>212.96</v>
      </c>
      <c r="S2467" s="2595" t="str">
        <f t="shared" si="571"/>
        <v/>
      </c>
      <c r="T2467" s="2586">
        <f t="shared" si="572"/>
        <v>59.116952938917073</v>
      </c>
      <c r="U2467" s="2586">
        <f t="shared" si="573"/>
        <v>50.322846235513971</v>
      </c>
      <c r="V2467" s="2586">
        <f t="shared" si="574"/>
        <v>-9.7099420411369124</v>
      </c>
      <c r="W2467" s="3283">
        <f t="shared" si="575"/>
        <v>1.1747537621828095</v>
      </c>
      <c r="X2467" s="3300"/>
      <c r="Y2467" s="3316">
        <f t="shared" si="568"/>
        <v>0</v>
      </c>
      <c r="Z2467" s="2597">
        <f t="shared" si="576"/>
        <v>2.0951543573426894E-10</v>
      </c>
      <c r="AA2467" s="2597">
        <f t="shared" si="577"/>
        <v>0.48292021527084927</v>
      </c>
      <c r="AB2467" s="3325">
        <f t="shared" si="578"/>
        <v>4.3385103606971743E-10</v>
      </c>
    </row>
    <row r="2468" spans="1:28" x14ac:dyDescent="0.2">
      <c r="A2468" s="2934" t="s">
        <v>626</v>
      </c>
      <c r="B2468" s="3004">
        <f>SUM(H2467:H2473)</f>
        <v>68.936385869333918</v>
      </c>
      <c r="C2468" s="2937">
        <v>45566</v>
      </c>
      <c r="D2468" s="3090"/>
      <c r="E2468" s="3091"/>
      <c r="F2468" s="3347" t="s">
        <v>943</v>
      </c>
      <c r="G2468" s="3092"/>
      <c r="H2468" s="3093">
        <f>IFERROR(VLOOKUP(F2468,Trainingsarten!$A$9:$K$84,10,FALSE),"")</f>
        <v>7.6283002760971961</v>
      </c>
      <c r="I2468" s="3094">
        <f t="shared" si="569"/>
        <v>0</v>
      </c>
      <c r="J2468" s="3095"/>
      <c r="K2468" s="3096">
        <f>IFERROR(VLOOKUP(F2468,Trainingsarten!$A$9:$K$84,11,FALSE),"0")</f>
        <v>54.1875</v>
      </c>
      <c r="L2468" s="2816"/>
      <c r="M2468" s="3095"/>
      <c r="N2468" s="3097" t="str">
        <f t="shared" si="570"/>
        <v/>
      </c>
      <c r="O2468" s="3098"/>
      <c r="P2468" s="2897">
        <f>IFERROR(VLOOKUP(F2468,Trainingsarten!$A$9:$N$84,12,FALSE),"")</f>
        <v>194.60000000000002</v>
      </c>
      <c r="Q2468" s="2898" t="s">
        <v>437</v>
      </c>
      <c r="R2468" s="3099">
        <f>IFERROR(VLOOKUP(F2468,Trainingsarten!$A$9:$N$84,14,FALSE),"")</f>
        <v>212.96</v>
      </c>
      <c r="S2468" s="3100" t="str">
        <f t="shared" si="571"/>
        <v/>
      </c>
      <c r="T2468" s="3090">
        <f t="shared" si="572"/>
        <v>58.412745376214637</v>
      </c>
      <c r="U2468" s="3090">
        <f t="shared" si="573"/>
        <v>50.414861801335064</v>
      </c>
      <c r="V2468" s="3090">
        <f t="shared" si="574"/>
        <v>-8.7941067034031022</v>
      </c>
      <c r="W2468" s="3284">
        <f t="shared" si="575"/>
        <v>1.158641386470443</v>
      </c>
      <c r="X2468" s="3300"/>
      <c r="Y2468" s="3316">
        <f t="shared" si="568"/>
        <v>0</v>
      </c>
      <c r="Z2468" s="2597">
        <f t="shared" si="576"/>
        <v>1.7958465920080197E-10</v>
      </c>
      <c r="AA2468" s="2597">
        <f t="shared" si="577"/>
        <v>0.47142211490725761</v>
      </c>
      <c r="AB2468" s="3325">
        <f t="shared" si="578"/>
        <v>3.8094237313438611E-10</v>
      </c>
    </row>
    <row r="2469" spans="1:28" x14ac:dyDescent="0.2">
      <c r="A2469" s="2935" t="s">
        <v>628</v>
      </c>
      <c r="B2469" s="3005">
        <f>SUM(K2467:K2473)</f>
        <v>499.81036308971363</v>
      </c>
      <c r="C2469" s="2937">
        <v>45567</v>
      </c>
      <c r="D2469" s="3090"/>
      <c r="E2469" s="3091"/>
      <c r="F2469" s="3352" t="s">
        <v>901</v>
      </c>
      <c r="G2469" s="3092"/>
      <c r="H2469" s="3093">
        <f>IFERROR(VLOOKUP(F2469,Trainingsarten!$A$9:$K$84,10,FALSE),"")</f>
        <v>13.423184764945141</v>
      </c>
      <c r="I2469" s="3094">
        <f t="shared" si="569"/>
        <v>0</v>
      </c>
      <c r="J2469" s="3095"/>
      <c r="K2469" s="3096">
        <f>IFERROR(VLOOKUP(F2469,Trainingsarten!$A$9:$K$84,11,FALSE),"0")</f>
        <v>105.47329244898009</v>
      </c>
      <c r="L2469" s="2816"/>
      <c r="M2469" s="3095"/>
      <c r="N2469" s="3097" t="str">
        <f t="shared" si="570"/>
        <v/>
      </c>
      <c r="O2469" s="3098"/>
      <c r="P2469" s="2897">
        <f>IFERROR(VLOOKUP(F2469,Trainingsarten!$A$9:$N$84,12,FALSE),"")</f>
        <v>230.89999999999998</v>
      </c>
      <c r="Q2469" s="2898" t="s">
        <v>437</v>
      </c>
      <c r="R2469" s="3099">
        <f>IFERROR(VLOOKUP(F2469,Trainingsarten!$A$9:$N$84,14,FALSE),"")</f>
        <v>254.10000000000002</v>
      </c>
      <c r="S2469" s="3100" t="str">
        <f t="shared" si="571"/>
        <v/>
      </c>
      <c r="T2469" s="3090">
        <f t="shared" si="572"/>
        <v>65.135680672323986</v>
      </c>
      <c r="U2469" s="3090">
        <f t="shared" si="573"/>
        <v>51.725776816755186</v>
      </c>
      <c r="V2469" s="3090">
        <f t="shared" si="574"/>
        <v>-7.9978835748795731</v>
      </c>
      <c r="W2469" s="3284">
        <f t="shared" si="575"/>
        <v>1.2592499268416018</v>
      </c>
      <c r="X2469" s="3300"/>
      <c r="Y2469" s="3316">
        <f t="shared" si="568"/>
        <v>0</v>
      </c>
      <c r="Z2469" s="2597">
        <f t="shared" si="576"/>
        <v>1.5392970788640168E-10</v>
      </c>
      <c r="AA2469" s="2597">
        <f t="shared" si="577"/>
        <v>0.4601977788380372</v>
      </c>
      <c r="AB2469" s="3325">
        <f t="shared" si="578"/>
        <v>3.3448598616677801E-10</v>
      </c>
    </row>
    <row r="2470" spans="1:28" x14ac:dyDescent="0.2">
      <c r="A2470" s="2935" t="s">
        <v>761</v>
      </c>
      <c r="B2470" s="3006">
        <f>AVERAGE(W2467:W2473)</f>
        <v>1.2452014984832271</v>
      </c>
      <c r="C2470" s="2937">
        <v>45568</v>
      </c>
      <c r="D2470" s="3090"/>
      <c r="E2470" s="3091"/>
      <c r="F2470" s="3347" t="s">
        <v>943</v>
      </c>
      <c r="G2470" s="3092"/>
      <c r="H2470" s="3093">
        <f>IFERROR(VLOOKUP(F2470,Trainingsarten!$A$9:$K$84,10,FALSE),"")</f>
        <v>7.6283002760971961</v>
      </c>
      <c r="I2470" s="3094">
        <f t="shared" si="569"/>
        <v>0</v>
      </c>
      <c r="J2470" s="3095"/>
      <c r="K2470" s="3096">
        <f>IFERROR(VLOOKUP(F2470,Trainingsarten!$A$9:$K$84,11,FALSE),"0")</f>
        <v>54.1875</v>
      </c>
      <c r="L2470" s="2816"/>
      <c r="M2470" s="3095"/>
      <c r="N2470" s="3097" t="str">
        <f t="shared" si="570"/>
        <v/>
      </c>
      <c r="O2470" s="3098"/>
      <c r="P2470" s="2897">
        <f>IFERROR(VLOOKUP(F2470,Trainingsarten!$A$9:$N$84,12,FALSE),"")</f>
        <v>194.60000000000002</v>
      </c>
      <c r="Q2470" s="2898" t="s">
        <v>437</v>
      </c>
      <c r="R2470" s="3099">
        <f>IFERROR(VLOOKUP(F2470,Trainingsarten!$A$9:$N$84,14,FALSE),"")</f>
        <v>212.96</v>
      </c>
      <c r="S2470" s="3100" t="str">
        <f t="shared" si="571"/>
        <v/>
      </c>
      <c r="T2470" s="3090">
        <f t="shared" si="572"/>
        <v>63.571654861991988</v>
      </c>
      <c r="U2470" s="3090">
        <f t="shared" si="573"/>
        <v>51.784389273499109</v>
      </c>
      <c r="V2470" s="3090">
        <f t="shared" si="574"/>
        <v>-13.4099038555688</v>
      </c>
      <c r="W2470" s="3284">
        <f t="shared" si="575"/>
        <v>1.2276219871250864</v>
      </c>
      <c r="X2470" s="3300"/>
      <c r="Y2470" s="3316">
        <f t="shared" si="568"/>
        <v>0</v>
      </c>
      <c r="Z2470" s="2597">
        <f t="shared" si="576"/>
        <v>1.3193974961691571E-10</v>
      </c>
      <c r="AA2470" s="2597">
        <f t="shared" si="577"/>
        <v>0.44924068886570295</v>
      </c>
      <c r="AB2470" s="3325">
        <f t="shared" si="578"/>
        <v>2.9369501224400021E-10</v>
      </c>
    </row>
    <row r="2471" spans="1:28" x14ac:dyDescent="0.2">
      <c r="A2471" s="2935" t="s">
        <v>979</v>
      </c>
      <c r="B2471" s="3131" t="str">
        <f>IFERROR(AVERAGE(N2467:N2473),"")</f>
        <v/>
      </c>
      <c r="C2471" s="2937">
        <v>45569</v>
      </c>
      <c r="D2471" s="3090"/>
      <c r="E2471" s="3091"/>
      <c r="F2471" s="3347" t="s">
        <v>943</v>
      </c>
      <c r="G2471" s="3092"/>
      <c r="H2471" s="3093">
        <f>IFERROR(VLOOKUP(F2471,Trainingsarten!$A$9:$K$84,10,FALSE),"")</f>
        <v>7.6283002760971961</v>
      </c>
      <c r="I2471" s="3094">
        <f t="shared" si="569"/>
        <v>0</v>
      </c>
      <c r="J2471" s="3095"/>
      <c r="K2471" s="3096">
        <f>IFERROR(VLOOKUP(F2471,Trainingsarten!$A$9:$K$84,11,FALSE),"0")</f>
        <v>54.1875</v>
      </c>
      <c r="L2471" s="2816"/>
      <c r="M2471" s="3095"/>
      <c r="N2471" s="3097" t="str">
        <f t="shared" si="570"/>
        <v/>
      </c>
      <c r="O2471" s="3098"/>
      <c r="P2471" s="2897">
        <f>IFERROR(VLOOKUP(F2471,Trainingsarten!$A$9:$N$84,12,FALSE),"")</f>
        <v>194.60000000000002</v>
      </c>
      <c r="Q2471" s="2898" t="s">
        <v>437</v>
      </c>
      <c r="R2471" s="3099">
        <f>IFERROR(VLOOKUP(F2471,Trainingsarten!$A$9:$N$84,14,FALSE),"")</f>
        <v>212.96</v>
      </c>
      <c r="S2471" s="3100" t="str">
        <f t="shared" si="571"/>
        <v/>
      </c>
      <c r="T2471" s="3090">
        <f t="shared" si="572"/>
        <v>62.231061310278847</v>
      </c>
      <c r="U2471" s="3090">
        <f t="shared" si="573"/>
        <v>51.841606195558654</v>
      </c>
      <c r="V2471" s="3090">
        <f t="shared" si="574"/>
        <v>-11.787265588492879</v>
      </c>
      <c r="W2471" s="3284">
        <f t="shared" si="575"/>
        <v>1.2004076624387126</v>
      </c>
      <c r="X2471" s="3300"/>
      <c r="Y2471" s="3316">
        <f t="shared" si="568"/>
        <v>0</v>
      </c>
      <c r="Z2471" s="2597">
        <f t="shared" si="576"/>
        <v>1.1309121395735632E-10</v>
      </c>
      <c r="AA2471" s="2597">
        <f t="shared" si="577"/>
        <v>0.4385444819879481</v>
      </c>
      <c r="AB2471" s="3325">
        <f t="shared" si="578"/>
        <v>2.5787854733619527E-10</v>
      </c>
    </row>
    <row r="2472" spans="1:28" x14ac:dyDescent="0.2">
      <c r="A2472" s="2935" t="s">
        <v>980</v>
      </c>
      <c r="B2472" s="3006" t="str">
        <f>IFERROR(AVERAGE(S2467:S2473),"")</f>
        <v/>
      </c>
      <c r="C2472" s="2937">
        <v>45570</v>
      </c>
      <c r="D2472" s="3090"/>
      <c r="E2472" s="3091"/>
      <c r="F2472" s="3347" t="s">
        <v>859</v>
      </c>
      <c r="G2472" s="3092"/>
      <c r="H2472" s="3093">
        <f>IFERROR(VLOOKUP(F2472,Trainingsarten!$A$9:$K$84,10,FALSE),"")</f>
        <v>25</v>
      </c>
      <c r="I2472" s="3094">
        <f t="shared" si="569"/>
        <v>0</v>
      </c>
      <c r="J2472" s="3095"/>
      <c r="K2472" s="3096">
        <f>IFERROR(VLOOKUP(F2472,Trainingsarten!$A$9:$K$84,11,FALSE),"0")</f>
        <v>177.58707064073354</v>
      </c>
      <c r="L2472" s="2816"/>
      <c r="M2472" s="3095"/>
      <c r="N2472" s="3097" t="str">
        <f t="shared" si="570"/>
        <v/>
      </c>
      <c r="O2472" s="3098"/>
      <c r="P2472" s="2897">
        <f>IFERROR(VLOOKUP(F2472,Trainingsarten!$A$9:$N$84,12,FALSE),"")</f>
        <v>194.60000000000002</v>
      </c>
      <c r="Q2472" s="2898" t="s">
        <v>437</v>
      </c>
      <c r="R2472" s="3099">
        <f>IFERROR(VLOOKUP(F2472,Trainingsarten!$A$9:$N$84,14,FALSE),"")</f>
        <v>212.96</v>
      </c>
      <c r="S2472" s="3100" t="str">
        <f t="shared" si="571"/>
        <v/>
      </c>
      <c r="T2472" s="3090">
        <f t="shared" si="572"/>
        <v>78.710491214629513</v>
      </c>
      <c r="U2472" s="3090">
        <f t="shared" si="573"/>
        <v>54.835545825205678</v>
      </c>
      <c r="V2472" s="3090">
        <f t="shared" si="574"/>
        <v>-10.389455114720192</v>
      </c>
      <c r="W2472" s="3284">
        <f t="shared" si="575"/>
        <v>1.4353917706140438</v>
      </c>
      <c r="X2472" s="3300"/>
      <c r="Y2472" s="3316">
        <f t="shared" si="568"/>
        <v>0</v>
      </c>
      <c r="Z2472" s="2597">
        <f t="shared" si="576"/>
        <v>9.6935326249162549E-11</v>
      </c>
      <c r="AA2472" s="2597">
        <f t="shared" si="577"/>
        <v>0.42810294670252075</v>
      </c>
      <c r="AB2472" s="3325">
        <f t="shared" si="578"/>
        <v>2.2642994400251293E-10</v>
      </c>
    </row>
    <row r="2473" spans="1:28" ht="16" thickBot="1" x14ac:dyDescent="0.25">
      <c r="A2473" s="2936" t="s">
        <v>183</v>
      </c>
      <c r="B2473" s="3003">
        <f>IFERROR(SUM(M2467:M2473),"")</f>
        <v>0</v>
      </c>
      <c r="C2473" s="2576">
        <v>45571</v>
      </c>
      <c r="D2473" s="1788"/>
      <c r="E2473" s="1789"/>
      <c r="F2473" s="3353"/>
      <c r="G2473" s="2577"/>
      <c r="H2473" s="2578" t="str">
        <f>IFERROR(VLOOKUP(F2473,Trainingsarten!$A$9:$K$84,10,FALSE),"")</f>
        <v/>
      </c>
      <c r="I2473" s="2579" t="str">
        <f t="shared" si="569"/>
        <v/>
      </c>
      <c r="J2473" s="2580"/>
      <c r="K2473" s="2581" t="str">
        <f>IFERROR(VLOOKUP(F2473,Trainingsarten!$A$9:$K$84,11,FALSE),"0")</f>
        <v>0</v>
      </c>
      <c r="L2473" s="3101"/>
      <c r="M2473" s="2580"/>
      <c r="N2473" s="2582" t="str">
        <f t="shared" si="570"/>
        <v/>
      </c>
      <c r="O2473" s="2583"/>
      <c r="P2473" s="3102" t="str">
        <f>IFERROR(VLOOKUP(F2473,Trainingsarten!$A$9:$N$84,12,FALSE),"")</f>
        <v/>
      </c>
      <c r="Q2473" s="3103" t="s">
        <v>437</v>
      </c>
      <c r="R2473" s="3104" t="str">
        <f>IFERROR(VLOOKUP(F2473,Trainingsarten!$A$9:$N$84,14,FALSE),"")</f>
        <v/>
      </c>
      <c r="S2473" s="2390" t="str">
        <f t="shared" si="571"/>
        <v/>
      </c>
      <c r="T2473" s="1788">
        <f t="shared" si="572"/>
        <v>67.466135326825295</v>
      </c>
      <c r="U2473" s="1788">
        <f t="shared" si="573"/>
        <v>53.529937591272208</v>
      </c>
      <c r="V2473" s="1788">
        <f t="shared" si="574"/>
        <v>-23.874945389423836</v>
      </c>
      <c r="W2473" s="3293">
        <f t="shared" si="575"/>
        <v>1.2603439937098921</v>
      </c>
      <c r="X2473" s="3300"/>
      <c r="Y2473" s="3316" t="str">
        <f t="shared" si="568"/>
        <v/>
      </c>
      <c r="Z2473" s="2597">
        <f t="shared" si="576"/>
        <v>8.3087422499282191E-11</v>
      </c>
      <c r="AA2473" s="2597">
        <f t="shared" si="577"/>
        <v>0.41791001940007977</v>
      </c>
      <c r="AB2473" s="3325">
        <f t="shared" si="578"/>
        <v>1.9881653619732844E-10</v>
      </c>
    </row>
    <row r="2474" spans="1:28" ht="16" thickBot="1" x14ac:dyDescent="0.25">
      <c r="A2474" s="3439">
        <f>WEEKNUM(C2474,1)</f>
        <v>41</v>
      </c>
      <c r="B2474" s="3440"/>
      <c r="C2474" s="2585">
        <v>45572</v>
      </c>
      <c r="D2474" s="2586"/>
      <c r="E2474" s="2587"/>
      <c r="F2474" s="3348" t="s">
        <v>943</v>
      </c>
      <c r="G2474" s="2588"/>
      <c r="H2474" s="2589">
        <f>IFERROR(VLOOKUP(F2474,Trainingsarten!$A$9:$K$84,10,FALSE),"")</f>
        <v>7.6283002760971961</v>
      </c>
      <c r="I2474" s="2590">
        <f t="shared" si="569"/>
        <v>0</v>
      </c>
      <c r="J2474" s="2591"/>
      <c r="K2474" s="2592">
        <f>IFERROR(VLOOKUP(F2474,Trainingsarten!$A$9:$K$84,11,FALSE),"0")</f>
        <v>54.1875</v>
      </c>
      <c r="L2474" s="2815"/>
      <c r="M2474" s="2591"/>
      <c r="N2474" s="2593" t="str">
        <f t="shared" si="570"/>
        <v/>
      </c>
      <c r="O2474" s="2594"/>
      <c r="P2474" s="1919">
        <f>IFERROR(VLOOKUP(F2474,Trainingsarten!$A$9:$N$84,12,FALSE),"")</f>
        <v>194.60000000000002</v>
      </c>
      <c r="Q2474" s="2461" t="s">
        <v>437</v>
      </c>
      <c r="R2474" s="3089">
        <f>IFERROR(VLOOKUP(F2474,Trainingsarten!$A$9:$N$84,14,FALSE),"")</f>
        <v>212.96</v>
      </c>
      <c r="S2474" s="2595" t="str">
        <f t="shared" si="571"/>
        <v/>
      </c>
      <c r="T2474" s="2586">
        <f t="shared" si="572"/>
        <v>65.56918742299311</v>
      </c>
      <c r="U2474" s="2586">
        <f t="shared" si="573"/>
        <v>53.545593839099062</v>
      </c>
      <c r="V2474" s="2586">
        <f t="shared" si="574"/>
        <v>-13.936197735553087</v>
      </c>
      <c r="W2474" s="3283">
        <f t="shared" si="575"/>
        <v>1.2245487018040018</v>
      </c>
      <c r="X2474" s="3300"/>
      <c r="Y2474" s="3316">
        <f t="shared" si="568"/>
        <v>0</v>
      </c>
      <c r="Z2474" s="2597">
        <f t="shared" si="576"/>
        <v>7.1217790713670447E-11</v>
      </c>
      <c r="AA2474" s="2597">
        <f t="shared" si="577"/>
        <v>0.40795978084293499</v>
      </c>
      <c r="AB2474" s="3325">
        <f t="shared" si="578"/>
        <v>1.7457061714887376E-10</v>
      </c>
    </row>
    <row r="2475" spans="1:28" x14ac:dyDescent="0.2">
      <c r="A2475" s="2934" t="s">
        <v>626</v>
      </c>
      <c r="B2475" s="3004">
        <f>SUM(H2474:H2480)</f>
        <v>39.361941148165769</v>
      </c>
      <c r="C2475" s="2937">
        <v>45573</v>
      </c>
      <c r="D2475" s="3090"/>
      <c r="E2475" s="3091"/>
      <c r="F2475" s="3349"/>
      <c r="G2475" s="3092"/>
      <c r="H2475" s="3093" t="str">
        <f>IFERROR(VLOOKUP(F2475,Trainingsarten!$A$9:$K$84,10,FALSE),"")</f>
        <v/>
      </c>
      <c r="I2475" s="3094" t="str">
        <f t="shared" si="569"/>
        <v/>
      </c>
      <c r="J2475" s="3095"/>
      <c r="K2475" s="3096" t="str">
        <f>IFERROR(VLOOKUP(F2475,Trainingsarten!$A$9:$K$84,11,FALSE),"0")</f>
        <v>0</v>
      </c>
      <c r="L2475" s="2816"/>
      <c r="M2475" s="3095"/>
      <c r="N2475" s="3097" t="str">
        <f t="shared" si="570"/>
        <v/>
      </c>
      <c r="O2475" s="3098"/>
      <c r="P2475" s="2897" t="str">
        <f>IFERROR(VLOOKUP(F2475,Trainingsarten!$A$9:$N$84,12,FALSE),"")</f>
        <v/>
      </c>
      <c r="Q2475" s="2898" t="s">
        <v>437</v>
      </c>
      <c r="R2475" s="3099" t="str">
        <f>IFERROR(VLOOKUP(F2475,Trainingsarten!$A$9:$N$84,14,FALSE),"")</f>
        <v/>
      </c>
      <c r="S2475" s="3100" t="str">
        <f t="shared" si="571"/>
        <v/>
      </c>
      <c r="T2475" s="3090">
        <f t="shared" si="572"/>
        <v>56.202160648279808</v>
      </c>
      <c r="U2475" s="3090">
        <f t="shared" si="573"/>
        <v>52.270698747691945</v>
      </c>
      <c r="V2475" s="3090">
        <f t="shared" si="574"/>
        <v>-12.023593583894048</v>
      </c>
      <c r="W2475" s="3284">
        <f t="shared" si="575"/>
        <v>1.0752134942669282</v>
      </c>
      <c r="X2475" s="3300"/>
      <c r="Y2475" s="3316" t="str">
        <f t="shared" si="568"/>
        <v/>
      </c>
      <c r="Z2475" s="2597">
        <f t="shared" si="576"/>
        <v>6.1043820611717523E-11</v>
      </c>
      <c r="AA2475" s="2597">
        <f t="shared" si="577"/>
        <v>0.39824645272762704</v>
      </c>
      <c r="AB2475" s="3325">
        <f t="shared" si="578"/>
        <v>1.5328151749657206E-10</v>
      </c>
    </row>
    <row r="2476" spans="1:28" x14ac:dyDescent="0.2">
      <c r="A2476" s="2935" t="s">
        <v>628</v>
      </c>
      <c r="B2476" s="3005">
        <f>SUM(K2474:K2480)</f>
        <v>284.5303853411242</v>
      </c>
      <c r="C2476" s="2937">
        <v>45574</v>
      </c>
      <c r="D2476" s="3090"/>
      <c r="E2476" s="3091"/>
      <c r="F2476" s="3349" t="s">
        <v>819</v>
      </c>
      <c r="G2476" s="3092"/>
      <c r="H2476" s="3093">
        <f>IFERROR(VLOOKUP(F2476,Trainingsarten!$A$9:$K$84,10,FALSE),"")</f>
        <v>10.171067034796261</v>
      </c>
      <c r="I2476" s="3094">
        <f t="shared" si="569"/>
        <v>0</v>
      </c>
      <c r="J2476" s="3095"/>
      <c r="K2476" s="3096">
        <f>IFERROR(VLOOKUP(F2476,Trainingsarten!$A$9:$K$84,11,FALSE),"0")</f>
        <v>72.25</v>
      </c>
      <c r="L2476" s="2816"/>
      <c r="M2476" s="3095"/>
      <c r="N2476" s="3097" t="str">
        <f t="shared" si="570"/>
        <v/>
      </c>
      <c r="O2476" s="3098"/>
      <c r="P2476" s="2897">
        <f>IFERROR(VLOOKUP(F2476,Trainingsarten!$A$9:$N$84,12,FALSE),"")</f>
        <v>194.60000000000002</v>
      </c>
      <c r="Q2476" s="2898" t="s">
        <v>437</v>
      </c>
      <c r="R2476" s="3099">
        <f>IFERROR(VLOOKUP(F2476,Trainingsarten!$A$9:$N$84,14,FALSE),"")</f>
        <v>212.96</v>
      </c>
      <c r="S2476" s="3100" t="str">
        <f t="shared" si="571"/>
        <v/>
      </c>
      <c r="T2476" s="3090">
        <f t="shared" si="572"/>
        <v>58.494709127096975</v>
      </c>
      <c r="U2476" s="3090">
        <f t="shared" si="573"/>
        <v>52.74639639655642</v>
      </c>
      <c r="V2476" s="3090">
        <f t="shared" si="574"/>
        <v>-3.9314619005878626</v>
      </c>
      <c r="W2476" s="3284">
        <f t="shared" si="575"/>
        <v>1.1089801981413812</v>
      </c>
      <c r="X2476" s="3300"/>
      <c r="Y2476" s="3316">
        <f t="shared" si="568"/>
        <v>0</v>
      </c>
      <c r="Z2476" s="2597">
        <f t="shared" si="576"/>
        <v>5.2323274810043592E-11</v>
      </c>
      <c r="AA2476" s="2597">
        <f t="shared" si="577"/>
        <v>0.38876439432935023</v>
      </c>
      <c r="AB2476" s="3325">
        <f t="shared" si="578"/>
        <v>1.3458864950918523E-10</v>
      </c>
    </row>
    <row r="2477" spans="1:28" x14ac:dyDescent="0.2">
      <c r="A2477" s="2935" t="s">
        <v>761</v>
      </c>
      <c r="B2477" s="3006">
        <f>AVERAGE(W2474:W2480)</f>
        <v>1.0365581035683025</v>
      </c>
      <c r="C2477" s="2937">
        <v>45575</v>
      </c>
      <c r="D2477" s="3090"/>
      <c r="E2477" s="3091"/>
      <c r="F2477" s="3349"/>
      <c r="G2477" s="3092"/>
      <c r="H2477" s="3093" t="str">
        <f>IFERROR(VLOOKUP(F2477,Trainingsarten!$A$9:$K$84,10,FALSE),"")</f>
        <v/>
      </c>
      <c r="I2477" s="3094" t="str">
        <f t="shared" si="569"/>
        <v/>
      </c>
      <c r="J2477" s="3095"/>
      <c r="K2477" s="3096" t="str">
        <f>IFERROR(VLOOKUP(F2477,Trainingsarten!$A$9:$K$84,11,FALSE),"0")</f>
        <v>0</v>
      </c>
      <c r="L2477" s="2816"/>
      <c r="M2477" s="3095"/>
      <c r="N2477" s="3097" t="str">
        <f t="shared" si="570"/>
        <v/>
      </c>
      <c r="O2477" s="3098"/>
      <c r="P2477" s="2897" t="str">
        <f>IFERROR(VLOOKUP(F2477,Trainingsarten!$A$9:$N$84,12,FALSE),"")</f>
        <v/>
      </c>
      <c r="Q2477" s="2898" t="s">
        <v>437</v>
      </c>
      <c r="R2477" s="3099" t="str">
        <f>IFERROR(VLOOKUP(F2477,Trainingsarten!$A$9:$N$84,14,FALSE),"")</f>
        <v/>
      </c>
      <c r="S2477" s="3100" t="str">
        <f t="shared" si="571"/>
        <v/>
      </c>
      <c r="T2477" s="3090">
        <f t="shared" si="572"/>
        <v>50.138322108940265</v>
      </c>
      <c r="U2477" s="3090">
        <f t="shared" si="573"/>
        <v>51.490529815686031</v>
      </c>
      <c r="V2477" s="3090">
        <f t="shared" si="574"/>
        <v>-5.7483127305405546</v>
      </c>
      <c r="W2477" s="3284">
        <f t="shared" si="575"/>
        <v>0.97373871056316397</v>
      </c>
      <c r="X2477" s="3300"/>
      <c r="Y2477" s="3316" t="str">
        <f t="shared" si="568"/>
        <v/>
      </c>
      <c r="Z2477" s="2597">
        <f t="shared" si="576"/>
        <v>4.4848521265751648E-11</v>
      </c>
      <c r="AA2477" s="2597">
        <f t="shared" si="577"/>
        <v>0.37950809922627043</v>
      </c>
      <c r="AB2477" s="3325">
        <f t="shared" si="578"/>
        <v>1.1817539956904069E-10</v>
      </c>
    </row>
    <row r="2478" spans="1:28" x14ac:dyDescent="0.2">
      <c r="A2478" s="2935" t="s">
        <v>979</v>
      </c>
      <c r="B2478" s="3131" t="str">
        <f>IFERROR(AVERAGE(N2474:N2480),"")</f>
        <v/>
      </c>
      <c r="C2478" s="2937">
        <v>45576</v>
      </c>
      <c r="D2478" s="3090"/>
      <c r="E2478" s="3091"/>
      <c r="F2478" s="3349" t="s">
        <v>918</v>
      </c>
      <c r="G2478" s="3092"/>
      <c r="H2478" s="3093">
        <f>IFERROR(VLOOKUP(F2478,Trainingsarten!$A$9:$K$84,10,FALSE),"")</f>
        <v>7.5625738372723088</v>
      </c>
      <c r="I2478" s="3094">
        <f t="shared" si="569"/>
        <v>0</v>
      </c>
      <c r="J2478" s="3095"/>
      <c r="K2478" s="3096">
        <f>IFERROR(VLOOKUP(F2478,Trainingsarten!$A$9:$K$84,11,FALSE),"0")</f>
        <v>58.644125782313438</v>
      </c>
      <c r="L2478" s="2816"/>
      <c r="M2478" s="3095"/>
      <c r="N2478" s="3097" t="str">
        <f t="shared" si="570"/>
        <v/>
      </c>
      <c r="O2478" s="3098"/>
      <c r="P2478" s="2897">
        <f>IFERROR(VLOOKUP(F2478,Trainingsarten!$A$9:$N$84,12,FALSE),"")</f>
        <v>279.29999999999995</v>
      </c>
      <c r="Q2478" s="2898" t="s">
        <v>437</v>
      </c>
      <c r="R2478" s="3099">
        <f>IFERROR(VLOOKUP(F2478,Trainingsarten!$A$9:$N$84,14,FALSE),"")</f>
        <v>314.60000000000002</v>
      </c>
      <c r="S2478" s="3100" t="str">
        <f t="shared" si="571"/>
        <v/>
      </c>
      <c r="T2478" s="3090">
        <f t="shared" si="572"/>
        <v>51.353436919422144</v>
      </c>
      <c r="U2478" s="3090">
        <f t="shared" si="573"/>
        <v>51.66085352917716</v>
      </c>
      <c r="V2478" s="3090">
        <f t="shared" si="574"/>
        <v>1.3522077067457658</v>
      </c>
      <c r="W2478" s="3284">
        <f t="shared" si="575"/>
        <v>0.99404933157789599</v>
      </c>
      <c r="X2478" s="3300"/>
      <c r="Y2478" s="3316">
        <f t="shared" si="568"/>
        <v>0</v>
      </c>
      <c r="Z2478" s="2597">
        <f t="shared" si="576"/>
        <v>3.8441589656358554E-11</v>
      </c>
      <c r="AA2478" s="2597">
        <f t="shared" si="577"/>
        <v>0.37047219210183541</v>
      </c>
      <c r="AB2478" s="3325">
        <f t="shared" si="578"/>
        <v>1.0376376547525523E-10</v>
      </c>
    </row>
    <row r="2479" spans="1:28" x14ac:dyDescent="0.2">
      <c r="A2479" s="2935" t="s">
        <v>980</v>
      </c>
      <c r="B2479" s="3006" t="str">
        <f>IFERROR(AVERAGE(S2474:S2480),"")</f>
        <v/>
      </c>
      <c r="C2479" s="2937">
        <v>45577</v>
      </c>
      <c r="D2479" s="3090"/>
      <c r="E2479" s="3091"/>
      <c r="F2479" s="3349"/>
      <c r="G2479" s="3092"/>
      <c r="H2479" s="3093" t="str">
        <f>IFERROR(VLOOKUP(F2479,Trainingsarten!$A$9:$K$84,10,FALSE),"")</f>
        <v/>
      </c>
      <c r="I2479" s="3094" t="str">
        <f t="shared" si="569"/>
        <v/>
      </c>
      <c r="J2479" s="3095"/>
      <c r="K2479" s="3096" t="str">
        <f>IFERROR(VLOOKUP(F2479,Trainingsarten!$A$9:$K$84,11,FALSE),"0")</f>
        <v>0</v>
      </c>
      <c r="L2479" s="2816"/>
      <c r="M2479" s="3095"/>
      <c r="N2479" s="3097" t="str">
        <f t="shared" si="570"/>
        <v/>
      </c>
      <c r="O2479" s="3098"/>
      <c r="P2479" s="2897" t="str">
        <f>IFERROR(VLOOKUP(F2479,Trainingsarten!$A$9:$N$84,12,FALSE),"")</f>
        <v/>
      </c>
      <c r="Q2479" s="2898" t="s">
        <v>437</v>
      </c>
      <c r="R2479" s="3099" t="str">
        <f>IFERROR(VLOOKUP(F2479,Trainingsarten!$A$9:$N$84,14,FALSE),"")</f>
        <v/>
      </c>
      <c r="S2479" s="3100" t="str">
        <f t="shared" si="571"/>
        <v/>
      </c>
      <c r="T2479" s="3090">
        <f t="shared" si="572"/>
        <v>44.017231645218978</v>
      </c>
      <c r="U2479" s="3090">
        <f t="shared" si="573"/>
        <v>50.430833207053894</v>
      </c>
      <c r="V2479" s="3090">
        <f t="shared" si="574"/>
        <v>0.30741660975501617</v>
      </c>
      <c r="W2479" s="3284">
        <f t="shared" si="575"/>
        <v>0.87282380333668907</v>
      </c>
      <c r="X2479" s="3300"/>
      <c r="Y2479" s="3316" t="str">
        <f t="shared" si="568"/>
        <v/>
      </c>
      <c r="Z2479" s="2597">
        <f t="shared" si="576"/>
        <v>3.2949933991164477E-11</v>
      </c>
      <c r="AA2479" s="2597">
        <f t="shared" si="577"/>
        <v>0.36165142562322028</v>
      </c>
      <c r="AB2479" s="3325">
        <f t="shared" si="578"/>
        <v>9.1109647734370462E-11</v>
      </c>
    </row>
    <row r="2480" spans="1:28" ht="16" thickBot="1" x14ac:dyDescent="0.25">
      <c r="A2480" s="2936" t="s">
        <v>183</v>
      </c>
      <c r="B2480" s="3003">
        <f>IFERROR(SUM(M2474:M2480),"")</f>
        <v>0</v>
      </c>
      <c r="C2480" s="2576">
        <v>45578</v>
      </c>
      <c r="D2480" s="1788"/>
      <c r="E2480" s="1789"/>
      <c r="F2480" s="3354" t="s">
        <v>804</v>
      </c>
      <c r="G2480" s="2577"/>
      <c r="H2480" s="2578">
        <f>IFERROR(VLOOKUP(F2480,Trainingsarten!$A$9:$K$84,10,FALSE),"")</f>
        <v>14</v>
      </c>
      <c r="I2480" s="2579">
        <f t="shared" si="569"/>
        <v>0</v>
      </c>
      <c r="J2480" s="2580"/>
      <c r="K2480" s="2581">
        <f>IFERROR(VLOOKUP(F2480,Trainingsarten!$A$9:$K$84,11,FALSE),"0")</f>
        <v>99.448759558810778</v>
      </c>
      <c r="L2480" s="3101"/>
      <c r="M2480" s="2580"/>
      <c r="N2480" s="2582" t="str">
        <f t="shared" si="570"/>
        <v/>
      </c>
      <c r="O2480" s="2583"/>
      <c r="P2480" s="3102">
        <f>IFERROR(VLOOKUP(F2480,Trainingsarten!$A$9:$N$84,12,FALSE),"")</f>
        <v>194.60000000000002</v>
      </c>
      <c r="Q2480" s="3103" t="s">
        <v>437</v>
      </c>
      <c r="R2480" s="3104">
        <f>IFERROR(VLOOKUP(F2480,Trainingsarten!$A$9:$N$84,14,FALSE),"")</f>
        <v>212.96</v>
      </c>
      <c r="S2480" s="2390" t="str">
        <f t="shared" si="571"/>
        <v/>
      </c>
      <c r="T2480" s="1788">
        <f t="shared" si="572"/>
        <v>51.936021347160661</v>
      </c>
      <c r="U2480" s="1788">
        <f t="shared" si="573"/>
        <v>51.597926691619534</v>
      </c>
      <c r="V2480" s="1788">
        <f t="shared" si="574"/>
        <v>6.4136015618349163</v>
      </c>
      <c r="W2480" s="3293">
        <f t="shared" si="575"/>
        <v>1.0065524852880579</v>
      </c>
      <c r="X2480" s="3300"/>
      <c r="Y2480" s="3316">
        <f t="shared" si="568"/>
        <v>0</v>
      </c>
      <c r="Z2480" s="2597">
        <f t="shared" si="576"/>
        <v>2.8242800563855266E-11</v>
      </c>
      <c r="AA2480" s="2597">
        <f t="shared" si="577"/>
        <v>0.353040677394096</v>
      </c>
      <c r="AB2480" s="3325">
        <f t="shared" si="578"/>
        <v>7.9998715083837466E-11</v>
      </c>
    </row>
    <row r="2481" spans="1:28" ht="16" thickBot="1" x14ac:dyDescent="0.25">
      <c r="A2481" s="3439">
        <f>WEEKNUM(C2481,1)</f>
        <v>42</v>
      </c>
      <c r="B2481" s="3440"/>
      <c r="C2481" s="2585">
        <v>45579</v>
      </c>
      <c r="D2481" s="2586"/>
      <c r="E2481" s="2587"/>
      <c r="F2481" s="3348"/>
      <c r="G2481" s="2588"/>
      <c r="H2481" s="2589" t="str">
        <f>IFERROR(VLOOKUP(F2481,Trainingsarten!$A$9:$K$84,10,FALSE),"")</f>
        <v/>
      </c>
      <c r="I2481" s="2590" t="str">
        <f t="shared" si="569"/>
        <v/>
      </c>
      <c r="J2481" s="2591"/>
      <c r="K2481" s="2592" t="str">
        <f>IFERROR(VLOOKUP(F2481,Trainingsarten!$A$9:$K$84,11,FALSE),"0")</f>
        <v>0</v>
      </c>
      <c r="L2481" s="2815"/>
      <c r="M2481" s="2591"/>
      <c r="N2481" s="2593" t="str">
        <f t="shared" si="570"/>
        <v/>
      </c>
      <c r="O2481" s="2594"/>
      <c r="P2481" s="1919" t="str">
        <f>IFERROR(VLOOKUP(F2481,Trainingsarten!$A$9:$N$84,12,FALSE),"")</f>
        <v/>
      </c>
      <c r="Q2481" s="2461" t="s">
        <v>437</v>
      </c>
      <c r="R2481" s="3089" t="str">
        <f>IFERROR(VLOOKUP(F2481,Trainingsarten!$A$9:$N$84,14,FALSE),"")</f>
        <v/>
      </c>
      <c r="S2481" s="2595" t="str">
        <f t="shared" si="571"/>
        <v/>
      </c>
      <c r="T2481" s="2586">
        <f t="shared" si="572"/>
        <v>44.51658972613771</v>
      </c>
      <c r="U2481" s="2586">
        <f t="shared" si="573"/>
        <v>50.369404627533356</v>
      </c>
      <c r="V2481" s="2586">
        <f t="shared" si="574"/>
        <v>-0.33809465554112705</v>
      </c>
      <c r="W2481" s="3283">
        <f t="shared" si="575"/>
        <v>0.88380218220414841</v>
      </c>
      <c r="X2481" s="3300"/>
      <c r="Y2481" s="3316" t="str">
        <f t="shared" si="568"/>
        <v/>
      </c>
      <c r="Z2481" s="2597">
        <f t="shared" si="576"/>
        <v>2.42081147690188E-11</v>
      </c>
      <c r="AA2481" s="2597">
        <f t="shared" si="577"/>
        <v>0.34463494697995084</v>
      </c>
      <c r="AB2481" s="3325">
        <f t="shared" si="578"/>
        <v>7.0242774219954853E-11</v>
      </c>
    </row>
    <row r="2482" spans="1:28" x14ac:dyDescent="0.2">
      <c r="A2482" s="2934" t="s">
        <v>626</v>
      </c>
      <c r="B2482" s="3004">
        <f>SUM(H2481:H2487)</f>
        <v>41.171067034796259</v>
      </c>
      <c r="C2482" s="2937">
        <v>45580</v>
      </c>
      <c r="D2482" s="3090"/>
      <c r="E2482" s="3091"/>
      <c r="F2482" s="3349" t="s">
        <v>819</v>
      </c>
      <c r="G2482" s="3092"/>
      <c r="H2482" s="3093">
        <f>IFERROR(VLOOKUP(F2482,Trainingsarten!$A$9:$K$84,10,FALSE),"")</f>
        <v>10.171067034796261</v>
      </c>
      <c r="I2482" s="3094">
        <f t="shared" si="569"/>
        <v>0</v>
      </c>
      <c r="J2482" s="3095"/>
      <c r="K2482" s="3096">
        <f>IFERROR(VLOOKUP(F2482,Trainingsarten!$A$9:$K$84,11,FALSE),"0")</f>
        <v>72.25</v>
      </c>
      <c r="L2482" s="2816"/>
      <c r="M2482" s="3095"/>
      <c r="N2482" s="3097" t="str">
        <f t="shared" si="570"/>
        <v/>
      </c>
      <c r="O2482" s="3098"/>
      <c r="P2482" s="2897">
        <f>IFERROR(VLOOKUP(F2482,Trainingsarten!$A$9:$N$84,12,FALSE),"")</f>
        <v>194.60000000000002</v>
      </c>
      <c r="Q2482" s="2898" t="s">
        <v>437</v>
      </c>
      <c r="R2482" s="3099">
        <f>IFERROR(VLOOKUP(F2482,Trainingsarten!$A$9:$N$84,14,FALSE),"")</f>
        <v>212.96</v>
      </c>
      <c r="S2482" s="3100" t="str">
        <f t="shared" si="571"/>
        <v/>
      </c>
      <c r="T2482" s="3090">
        <f t="shared" si="572"/>
        <v>48.478505479546605</v>
      </c>
      <c r="U2482" s="3090">
        <f t="shared" si="573"/>
        <v>50.890371184020658</v>
      </c>
      <c r="V2482" s="3090">
        <f t="shared" si="574"/>
        <v>5.8528149013956465</v>
      </c>
      <c r="W2482" s="3284">
        <f t="shared" si="575"/>
        <v>0.95260663955952107</v>
      </c>
      <c r="X2482" s="3300"/>
      <c r="Y2482" s="3316">
        <f t="shared" si="568"/>
        <v>0</v>
      </c>
      <c r="Z2482" s="2597">
        <f t="shared" si="576"/>
        <v>2.0749812659158973E-11</v>
      </c>
      <c r="AA2482" s="2597">
        <f t="shared" si="577"/>
        <v>0.33642935300423771</v>
      </c>
      <c r="AB2482" s="3325">
        <f t="shared" si="578"/>
        <v>6.1676582241911586E-11</v>
      </c>
    </row>
    <row r="2483" spans="1:28" x14ac:dyDescent="0.2">
      <c r="A2483" s="2935" t="s">
        <v>628</v>
      </c>
      <c r="B2483" s="3005">
        <f>SUM(K2481:K2487)</f>
        <v>143.28482825629342</v>
      </c>
      <c r="C2483" s="2937">
        <v>45581</v>
      </c>
      <c r="D2483" s="3090"/>
      <c r="E2483" s="3091"/>
      <c r="F2483" s="3349"/>
      <c r="G2483" s="3092"/>
      <c r="H2483" s="3093" t="str">
        <f>IFERROR(VLOOKUP(F2483,Trainingsarten!$A$9:$K$84,10,FALSE),"")</f>
        <v/>
      </c>
      <c r="I2483" s="3094" t="str">
        <f t="shared" si="569"/>
        <v/>
      </c>
      <c r="J2483" s="3095"/>
      <c r="K2483" s="3096" t="str">
        <f>IFERROR(VLOOKUP(F2483,Trainingsarten!$A$9:$K$84,11,FALSE),"0")</f>
        <v>0</v>
      </c>
      <c r="L2483" s="2816"/>
      <c r="M2483" s="3095"/>
      <c r="N2483" s="3097" t="str">
        <f t="shared" si="570"/>
        <v/>
      </c>
      <c r="O2483" s="3098"/>
      <c r="P2483" s="2897" t="str">
        <f>IFERROR(VLOOKUP(F2483,Trainingsarten!$A$9:$N$84,12,FALSE),"")</f>
        <v/>
      </c>
      <c r="Q2483" s="2898" t="s">
        <v>437</v>
      </c>
      <c r="R2483" s="3099" t="str">
        <f>IFERROR(VLOOKUP(F2483,Trainingsarten!$A$9:$N$84,14,FALSE),"")</f>
        <v/>
      </c>
      <c r="S2483" s="3100" t="str">
        <f t="shared" si="571"/>
        <v/>
      </c>
      <c r="T2483" s="3090">
        <f t="shared" si="572"/>
        <v>41.553004696754236</v>
      </c>
      <c r="U2483" s="3090">
        <f t="shared" si="573"/>
        <v>49.678695679639212</v>
      </c>
      <c r="V2483" s="3090">
        <f t="shared" si="574"/>
        <v>2.411865704474053</v>
      </c>
      <c r="W2483" s="3284">
        <f t="shared" si="575"/>
        <v>0.83643509814982353</v>
      </c>
      <c r="X2483" s="3300"/>
      <c r="Y2483" s="3316" t="str">
        <f t="shared" si="568"/>
        <v/>
      </c>
      <c r="Z2483" s="2597">
        <f t="shared" si="576"/>
        <v>1.7785553707850548E-11</v>
      </c>
      <c r="AA2483" s="2597">
        <f t="shared" si="577"/>
        <v>0.3284191303136606</v>
      </c>
      <c r="AB2483" s="3325">
        <f t="shared" si="578"/>
        <v>5.4155047822166277E-11</v>
      </c>
    </row>
    <row r="2484" spans="1:28" x14ac:dyDescent="0.2">
      <c r="A2484" s="2935" t="s">
        <v>761</v>
      </c>
      <c r="B2484" s="3006">
        <f>AVERAGE(W2481:W2487)</f>
        <v>0.80236273669963443</v>
      </c>
      <c r="C2484" s="2937">
        <v>45582</v>
      </c>
      <c r="D2484" s="3090"/>
      <c r="E2484" s="3091"/>
      <c r="F2484" s="3349" t="s">
        <v>800</v>
      </c>
      <c r="G2484" s="3092"/>
      <c r="H2484" s="3093">
        <f>IFERROR(VLOOKUP(F2484,Trainingsarten!$A$9:$K$84,10,FALSE),"")</f>
        <v>6</v>
      </c>
      <c r="I2484" s="3094">
        <f t="shared" si="569"/>
        <v>0</v>
      </c>
      <c r="J2484" s="3095"/>
      <c r="K2484" s="3096">
        <f>IFERROR(VLOOKUP(F2484,Trainingsarten!$A$9:$K$84,11,FALSE),"0")</f>
        <v>42.620896953776047</v>
      </c>
      <c r="L2484" s="2816"/>
      <c r="M2484" s="3095"/>
      <c r="N2484" s="3097" t="str">
        <f t="shared" si="570"/>
        <v/>
      </c>
      <c r="O2484" s="3098"/>
      <c r="P2484" s="2897">
        <f>IFERROR(VLOOKUP(F2484,Trainingsarten!$A$9:$N$84,12,FALSE),"")</f>
        <v>194.60000000000002</v>
      </c>
      <c r="Q2484" s="2898" t="s">
        <v>437</v>
      </c>
      <c r="R2484" s="3099">
        <f>IFERROR(VLOOKUP(F2484,Trainingsarten!$A$9:$N$84,14,FALSE),"")</f>
        <v>212.96</v>
      </c>
      <c r="S2484" s="3100" t="str">
        <f t="shared" si="571"/>
        <v/>
      </c>
      <c r="T2484" s="3090">
        <f t="shared" si="572"/>
        <v>41.705560733471636</v>
      </c>
      <c r="U2484" s="3090">
        <f t="shared" si="573"/>
        <v>49.510652852832948</v>
      </c>
      <c r="V2484" s="3090">
        <f t="shared" si="574"/>
        <v>8.1256909828849757</v>
      </c>
      <c r="W2484" s="3284">
        <f t="shared" si="575"/>
        <v>0.84235529790808017</v>
      </c>
      <c r="X2484" s="3300"/>
      <c r="Y2484" s="3316">
        <f t="shared" si="568"/>
        <v>0</v>
      </c>
      <c r="Z2484" s="2597">
        <f t="shared" si="576"/>
        <v>1.5244760321014755E-11</v>
      </c>
      <c r="AA2484" s="2597">
        <f t="shared" si="577"/>
        <v>0.32059962721095442</v>
      </c>
      <c r="AB2484" s="3325">
        <f t="shared" si="578"/>
        <v>4.7550773697511845E-11</v>
      </c>
    </row>
    <row r="2485" spans="1:28" x14ac:dyDescent="0.2">
      <c r="A2485" s="2935" t="s">
        <v>979</v>
      </c>
      <c r="B2485" s="3131" t="str">
        <f>IFERROR(AVERAGE(N2481:N2487),"")</f>
        <v/>
      </c>
      <c r="C2485" s="2937">
        <v>45583</v>
      </c>
      <c r="D2485" s="3090"/>
      <c r="E2485" s="3091"/>
      <c r="F2485" s="3349"/>
      <c r="G2485" s="3092"/>
      <c r="H2485" s="3093" t="str">
        <f>IFERROR(VLOOKUP(F2485,Trainingsarten!$A$9:$K$84,10,FALSE),"")</f>
        <v/>
      </c>
      <c r="I2485" s="3094" t="str">
        <f t="shared" si="569"/>
        <v/>
      </c>
      <c r="J2485" s="3095"/>
      <c r="K2485" s="3096" t="str">
        <f>IFERROR(VLOOKUP(F2485,Trainingsarten!$A$9:$K$84,11,FALSE),"0")</f>
        <v>0</v>
      </c>
      <c r="L2485" s="2816"/>
      <c r="M2485" s="3095"/>
      <c r="N2485" s="3097" t="str">
        <f t="shared" si="570"/>
        <v/>
      </c>
      <c r="O2485" s="3098"/>
      <c r="P2485" s="2897" t="str">
        <f>IFERROR(VLOOKUP(F2485,Trainingsarten!$A$9:$N$84,12,FALSE),"")</f>
        <v/>
      </c>
      <c r="Q2485" s="2898" t="s">
        <v>437</v>
      </c>
      <c r="R2485" s="3099" t="str">
        <f>IFERROR(VLOOKUP(F2485,Trainingsarten!$A$9:$N$84,14,FALSE),"")</f>
        <v/>
      </c>
      <c r="S2485" s="3100" t="str">
        <f t="shared" si="571"/>
        <v/>
      </c>
      <c r="T2485" s="3090">
        <f t="shared" si="572"/>
        <v>35.747623485832833</v>
      </c>
      <c r="U2485" s="3090">
        <f t="shared" si="573"/>
        <v>48.331827784908356</v>
      </c>
      <c r="V2485" s="3090">
        <f t="shared" si="574"/>
        <v>7.8050921193613121</v>
      </c>
      <c r="W2485" s="3284">
        <f t="shared" si="575"/>
        <v>0.7396290420656314</v>
      </c>
      <c r="X2485" s="3300"/>
      <c r="Y2485" s="3316" t="str">
        <f t="shared" si="568"/>
        <v/>
      </c>
      <c r="Z2485" s="2597">
        <f t="shared" si="576"/>
        <v>1.3066937418012647E-11</v>
      </c>
      <c r="AA2485" s="2597">
        <f t="shared" si="577"/>
        <v>0.31296630275355075</v>
      </c>
      <c r="AB2485" s="3325">
        <f t="shared" si="578"/>
        <v>4.1751898856351862E-11</v>
      </c>
    </row>
    <row r="2486" spans="1:28" x14ac:dyDescent="0.2">
      <c r="A2486" s="2935" t="s">
        <v>980</v>
      </c>
      <c r="B2486" s="3006" t="str">
        <f>IFERROR(AVERAGE(S2481:S2487),"")</f>
        <v/>
      </c>
      <c r="C2486" s="2937">
        <v>45584</v>
      </c>
      <c r="D2486" s="3090"/>
      <c r="E2486" s="3091"/>
      <c r="F2486" s="3349" t="s">
        <v>799</v>
      </c>
      <c r="G2486" s="3092"/>
      <c r="H2486" s="3093">
        <f>IFERROR(VLOOKUP(F2486,Trainingsarten!$A$9:$K$84,10,FALSE),"")</f>
        <v>4</v>
      </c>
      <c r="I2486" s="3094">
        <f t="shared" si="569"/>
        <v>0</v>
      </c>
      <c r="J2486" s="3095"/>
      <c r="K2486" s="3096">
        <f>IFERROR(VLOOKUP(F2486,Trainingsarten!$A$9:$K$84,11,FALSE),"0")</f>
        <v>28.413931302517366</v>
      </c>
      <c r="L2486" s="2816"/>
      <c r="M2486" s="3095"/>
      <c r="N2486" s="3097" t="str">
        <f t="shared" si="570"/>
        <v/>
      </c>
      <c r="O2486" s="3098"/>
      <c r="P2486" s="2897">
        <f>IFERROR(VLOOKUP(F2486,Trainingsarten!$A$9:$N$84,12,FALSE),"")</f>
        <v>194.60000000000002</v>
      </c>
      <c r="Q2486" s="2898" t="s">
        <v>437</v>
      </c>
      <c r="R2486" s="3099">
        <f>IFERROR(VLOOKUP(F2486,Trainingsarten!$A$9:$N$84,14,FALSE),"")</f>
        <v>212.96</v>
      </c>
      <c r="S2486" s="3100" t="str">
        <f t="shared" si="571"/>
        <v/>
      </c>
      <c r="T2486" s="3090">
        <f t="shared" si="572"/>
        <v>34.699953173930624</v>
      </c>
      <c r="U2486" s="3090">
        <f t="shared" si="573"/>
        <v>47.85759215437524</v>
      </c>
      <c r="V2486" s="3090">
        <f t="shared" si="574"/>
        <v>12.584204299075523</v>
      </c>
      <c r="W2486" s="3284">
        <f t="shared" si="575"/>
        <v>0.72506684126519061</v>
      </c>
      <c r="X2486" s="3300"/>
      <c r="Y2486" s="3316">
        <f t="shared" si="568"/>
        <v>0</v>
      </c>
      <c r="Z2486" s="2597">
        <f t="shared" si="576"/>
        <v>1.1200232072582269E-11</v>
      </c>
      <c r="AA2486" s="2597">
        <f t="shared" si="577"/>
        <v>0.30551472411656144</v>
      </c>
      <c r="AB2486" s="3325">
        <f t="shared" si="578"/>
        <v>3.6660203873869931E-11</v>
      </c>
    </row>
    <row r="2487" spans="1:28" ht="16" thickBot="1" x14ac:dyDescent="0.25">
      <c r="A2487" s="2936" t="s">
        <v>183</v>
      </c>
      <c r="B2487" s="3003">
        <f>IFERROR(SUM(M2481:M2487),"")</f>
        <v>0</v>
      </c>
      <c r="C2487" s="2576">
        <v>45585</v>
      </c>
      <c r="D2487" s="1788"/>
      <c r="E2487" s="1789"/>
      <c r="F2487" s="3355" t="s">
        <v>690</v>
      </c>
      <c r="G2487" s="2577"/>
      <c r="H2487" s="2578">
        <v>21</v>
      </c>
      <c r="I2487" s="2579">
        <f t="shared" si="569"/>
        <v>0</v>
      </c>
      <c r="J2487" s="2580"/>
      <c r="K2487" s="2581" t="str">
        <f>IFERROR(VLOOKUP(F2487,Trainingsarten!$A$9:$K$84,11,FALSE),"0")</f>
        <v>0</v>
      </c>
      <c r="L2487" s="3101"/>
      <c r="M2487" s="2580"/>
      <c r="N2487" s="2582" t="str">
        <f t="shared" si="570"/>
        <v/>
      </c>
      <c r="O2487" s="2583"/>
      <c r="P2487" s="3102" t="str">
        <f>IFERROR(VLOOKUP(F2487,Trainingsarten!$A$9:$N$84,12,FALSE),"")</f>
        <v/>
      </c>
      <c r="Q2487" s="3103" t="s">
        <v>437</v>
      </c>
      <c r="R2487" s="3104" t="str">
        <f>IFERROR(VLOOKUP(F2487,Trainingsarten!$A$9:$N$84,14,FALSE),"")</f>
        <v/>
      </c>
      <c r="S2487" s="2390" t="str">
        <f t="shared" si="571"/>
        <v/>
      </c>
      <c r="T2487" s="1788">
        <f t="shared" si="572"/>
        <v>29.742817006226247</v>
      </c>
      <c r="U2487" s="1788">
        <f t="shared" si="573"/>
        <v>46.71812567450916</v>
      </c>
      <c r="V2487" s="1788">
        <f t="shared" si="574"/>
        <v>13.157638980444617</v>
      </c>
      <c r="W2487" s="3293">
        <f t="shared" si="575"/>
        <v>0.63664405574504546</v>
      </c>
      <c r="X2487" s="3300"/>
      <c r="Y2487" s="3316" t="str">
        <f t="shared" si="568"/>
        <v/>
      </c>
      <c r="Z2487" s="2597">
        <f t="shared" si="576"/>
        <v>9.6001989193562311E-12</v>
      </c>
      <c r="AA2487" s="2597">
        <f t="shared" si="577"/>
        <v>0.29824056401854809</v>
      </c>
      <c r="AB2487" s="3325">
        <f t="shared" si="578"/>
        <v>3.2189447303885792E-11</v>
      </c>
    </row>
    <row r="2488" spans="1:28" ht="16" thickBot="1" x14ac:dyDescent="0.25">
      <c r="A2488" s="3439">
        <f>WEEKNUM(C2488,1)</f>
        <v>43</v>
      </c>
      <c r="B2488" s="3440"/>
      <c r="C2488" s="2585">
        <v>45586</v>
      </c>
      <c r="D2488" s="2586"/>
      <c r="E2488" s="2587"/>
      <c r="F2488" s="2761"/>
      <c r="G2488" s="2588"/>
      <c r="H2488" s="2589" t="str">
        <f>IFERROR(VLOOKUP(F2488,Trainingsarten!$A$9:$K$84,10,FALSE),"")</f>
        <v/>
      </c>
      <c r="I2488" s="2590" t="str">
        <f t="shared" si="569"/>
        <v/>
      </c>
      <c r="J2488" s="2591"/>
      <c r="K2488" s="2592" t="str">
        <f>IFERROR(VLOOKUP(F2488,Trainingsarten!$A$9:$K$84,11,FALSE),"0")</f>
        <v>0</v>
      </c>
      <c r="L2488" s="2815"/>
      <c r="M2488" s="2591"/>
      <c r="N2488" s="2593" t="str">
        <f t="shared" si="570"/>
        <v/>
      </c>
      <c r="O2488" s="2594"/>
      <c r="P2488" s="1919" t="str">
        <f>IFERROR(VLOOKUP(F2488,Trainingsarten!$A$9:$N$84,12,FALSE),"")</f>
        <v/>
      </c>
      <c r="Q2488" s="2461" t="s">
        <v>437</v>
      </c>
      <c r="R2488" s="3089" t="str">
        <f>IFERROR(VLOOKUP(F2488,Trainingsarten!$A$9:$N$84,14,FALSE),"")</f>
        <v/>
      </c>
      <c r="S2488" s="2595" t="str">
        <f t="shared" si="571"/>
        <v/>
      </c>
      <c r="T2488" s="2586">
        <f t="shared" si="572"/>
        <v>25.493843148193925</v>
      </c>
      <c r="U2488" s="2586">
        <f t="shared" si="573"/>
        <v>45.605789348925612</v>
      </c>
      <c r="V2488" s="2586">
        <f t="shared" si="574"/>
        <v>16.975308668282914</v>
      </c>
      <c r="W2488" s="3283">
        <f t="shared" si="575"/>
        <v>0.55900453675174711</v>
      </c>
      <c r="X2488" s="3300"/>
      <c r="Y2488" s="3316" t="str">
        <f t="shared" si="568"/>
        <v/>
      </c>
      <c r="Z2488" s="2597">
        <f t="shared" si="576"/>
        <v>8.2287419308767695E-12</v>
      </c>
      <c r="AA2488" s="2597">
        <f t="shared" si="577"/>
        <v>0.29113959820858265</v>
      </c>
      <c r="AB2488" s="3325">
        <f t="shared" si="578"/>
        <v>2.8263904949753379E-11</v>
      </c>
    </row>
    <row r="2489" spans="1:28" x14ac:dyDescent="0.2">
      <c r="A2489" s="2934" t="s">
        <v>626</v>
      </c>
      <c r="B2489" s="3004">
        <f>SUM(H2488:H2494)</f>
        <v>0</v>
      </c>
      <c r="C2489" s="2937">
        <v>45587</v>
      </c>
      <c r="D2489" s="3090"/>
      <c r="E2489" s="3091"/>
      <c r="F2489" s="2759"/>
      <c r="G2489" s="3092"/>
      <c r="H2489" s="3093" t="str">
        <f>IFERROR(VLOOKUP(F2489,Trainingsarten!$A$9:$K$84,10,FALSE),"")</f>
        <v/>
      </c>
      <c r="I2489" s="3094" t="str">
        <f t="shared" si="569"/>
        <v/>
      </c>
      <c r="J2489" s="3095"/>
      <c r="K2489" s="3096" t="str">
        <f>IFERROR(VLOOKUP(F2489,Trainingsarten!$A$9:$K$84,11,FALSE),"0")</f>
        <v>0</v>
      </c>
      <c r="L2489" s="2816"/>
      <c r="M2489" s="3095"/>
      <c r="N2489" s="3097" t="str">
        <f t="shared" si="570"/>
        <v/>
      </c>
      <c r="O2489" s="3098"/>
      <c r="P2489" s="2897" t="str">
        <f>IFERROR(VLOOKUP(F2489,Trainingsarten!$A$9:$N$84,12,FALSE),"")</f>
        <v/>
      </c>
      <c r="Q2489" s="2898" t="s">
        <v>437</v>
      </c>
      <c r="R2489" s="3099" t="str">
        <f>IFERROR(VLOOKUP(F2489,Trainingsarten!$A$9:$N$84,14,FALSE),"")</f>
        <v/>
      </c>
      <c r="S2489" s="3100" t="str">
        <f t="shared" si="571"/>
        <v/>
      </c>
      <c r="T2489" s="3090">
        <f t="shared" si="572"/>
        <v>21.851865555594792</v>
      </c>
      <c r="U2489" s="3090">
        <f t="shared" si="573"/>
        <v>44.519937221570238</v>
      </c>
      <c r="V2489" s="3090">
        <f t="shared" si="574"/>
        <v>20.111946200731687</v>
      </c>
      <c r="W2489" s="3284">
        <f t="shared" si="575"/>
        <v>0.49083325178202186</v>
      </c>
      <c r="X2489" s="3300"/>
      <c r="Y2489" s="3316" t="str">
        <f t="shared" si="568"/>
        <v/>
      </c>
      <c r="Z2489" s="2597">
        <f t="shared" si="576"/>
        <v>7.0532073693229448E-12</v>
      </c>
      <c r="AA2489" s="2597">
        <f t="shared" si="577"/>
        <v>0.28420770301314019</v>
      </c>
      <c r="AB2489" s="3325">
        <f t="shared" si="578"/>
        <v>2.4817087272954186E-11</v>
      </c>
    </row>
    <row r="2490" spans="1:28" x14ac:dyDescent="0.2">
      <c r="A2490" s="2935" t="s">
        <v>628</v>
      </c>
      <c r="B2490" s="3005">
        <f>SUM(K2488:K2494)</f>
        <v>0</v>
      </c>
      <c r="C2490" s="2937">
        <v>45588</v>
      </c>
      <c r="D2490" s="3090"/>
      <c r="E2490" s="3091"/>
      <c r="F2490" s="2759"/>
      <c r="G2490" s="3092"/>
      <c r="H2490" s="3093" t="str">
        <f>IFERROR(VLOOKUP(F2490,Trainingsarten!$A$9:$K$84,10,FALSE),"")</f>
        <v/>
      </c>
      <c r="I2490" s="3094" t="str">
        <f t="shared" si="569"/>
        <v/>
      </c>
      <c r="J2490" s="3095"/>
      <c r="K2490" s="3096" t="str">
        <f>IFERROR(VLOOKUP(F2490,Trainingsarten!$A$9:$K$84,11,FALSE),"0")</f>
        <v>0</v>
      </c>
      <c r="L2490" s="2816"/>
      <c r="M2490" s="3095"/>
      <c r="N2490" s="3097" t="str">
        <f t="shared" si="570"/>
        <v/>
      </c>
      <c r="O2490" s="3098"/>
      <c r="P2490" s="2897" t="str">
        <f>IFERROR(VLOOKUP(F2490,Trainingsarten!$A$9:$N$84,12,FALSE),"")</f>
        <v/>
      </c>
      <c r="Q2490" s="2898" t="s">
        <v>437</v>
      </c>
      <c r="R2490" s="3099" t="str">
        <f>IFERROR(VLOOKUP(F2490,Trainingsarten!$A$9:$N$84,14,FALSE),"")</f>
        <v/>
      </c>
      <c r="S2490" s="3100" t="str">
        <f t="shared" si="571"/>
        <v/>
      </c>
      <c r="T2490" s="3090">
        <f t="shared" si="572"/>
        <v>18.730170476224107</v>
      </c>
      <c r="U2490" s="3090">
        <f t="shared" si="573"/>
        <v>43.459938716294758</v>
      </c>
      <c r="V2490" s="3090">
        <f t="shared" si="574"/>
        <v>22.668071665975447</v>
      </c>
      <c r="W2490" s="3284">
        <f t="shared" si="575"/>
        <v>0.43097553815006795</v>
      </c>
      <c r="X2490" s="3300"/>
      <c r="Y2490" s="3316" t="str">
        <f t="shared" si="568"/>
        <v/>
      </c>
      <c r="Z2490" s="2597">
        <f t="shared" si="576"/>
        <v>6.0456063165625239E-12</v>
      </c>
      <c r="AA2490" s="2597">
        <f t="shared" si="577"/>
        <v>0.27744085294139875</v>
      </c>
      <c r="AB2490" s="3325">
        <f t="shared" si="578"/>
        <v>2.1790613215276848E-11</v>
      </c>
    </row>
    <row r="2491" spans="1:28" x14ac:dyDescent="0.2">
      <c r="A2491" s="2935" t="s">
        <v>761</v>
      </c>
      <c r="B2491" s="3006">
        <f>AVERAGE(W2488:W2494)</f>
        <v>0.39134539311049382</v>
      </c>
      <c r="C2491" s="2937">
        <v>45589</v>
      </c>
      <c r="D2491" s="3090"/>
      <c r="E2491" s="3091"/>
      <c r="F2491" s="2759"/>
      <c r="G2491" s="3092"/>
      <c r="H2491" s="3093" t="str">
        <f>IFERROR(VLOOKUP(F2491,Trainingsarten!$A$9:$K$84,10,FALSE),"")</f>
        <v/>
      </c>
      <c r="I2491" s="3094" t="str">
        <f t="shared" si="569"/>
        <v/>
      </c>
      <c r="J2491" s="3095"/>
      <c r="K2491" s="3096" t="str">
        <f>IFERROR(VLOOKUP(F2491,Trainingsarten!$A$9:$K$84,11,FALSE),"0")</f>
        <v>0</v>
      </c>
      <c r="L2491" s="2816"/>
      <c r="M2491" s="3095"/>
      <c r="N2491" s="3097" t="str">
        <f t="shared" si="570"/>
        <v/>
      </c>
      <c r="O2491" s="3098"/>
      <c r="P2491" s="2897" t="str">
        <f>IFERROR(VLOOKUP(F2491,Trainingsarten!$A$9:$N$84,12,FALSE),"")</f>
        <v/>
      </c>
      <c r="Q2491" s="2898" t="s">
        <v>437</v>
      </c>
      <c r="R2491" s="3099" t="str">
        <f>IFERROR(VLOOKUP(F2491,Trainingsarten!$A$9:$N$84,14,FALSE),"")</f>
        <v/>
      </c>
      <c r="S2491" s="3100" t="str">
        <f t="shared" si="571"/>
        <v/>
      </c>
      <c r="T2491" s="3090">
        <f t="shared" si="572"/>
        <v>16.05443183676352</v>
      </c>
      <c r="U2491" s="3090">
        <f t="shared" si="573"/>
        <v>42.425178270668695</v>
      </c>
      <c r="V2491" s="3090">
        <f t="shared" si="574"/>
        <v>24.729768240070651</v>
      </c>
      <c r="W2491" s="3284">
        <f t="shared" si="575"/>
        <v>0.37841754569274255</v>
      </c>
      <c r="X2491" s="3300"/>
      <c r="Y2491" s="3316" t="str">
        <f t="shared" si="568"/>
        <v/>
      </c>
      <c r="Z2491" s="2597">
        <f t="shared" si="576"/>
        <v>5.1819482713393061E-12</v>
      </c>
      <c r="AA2491" s="2597">
        <f t="shared" si="577"/>
        <v>0.27083511834755591</v>
      </c>
      <c r="AB2491" s="3325">
        <f t="shared" si="578"/>
        <v>1.913322135975528E-11</v>
      </c>
    </row>
    <row r="2492" spans="1:28" x14ac:dyDescent="0.2">
      <c r="A2492" s="2935" t="s">
        <v>979</v>
      </c>
      <c r="B2492" s="3131" t="str">
        <f>IFERROR(AVERAGE(N2488:N2494),"")</f>
        <v/>
      </c>
      <c r="C2492" s="2937">
        <v>45590</v>
      </c>
      <c r="D2492" s="3090"/>
      <c r="E2492" s="3091"/>
      <c r="F2492" s="2775"/>
      <c r="G2492" s="3092"/>
      <c r="H2492" s="3093" t="str">
        <f>IFERROR(VLOOKUP(F2492,Trainingsarten!$A$9:$K$84,10,FALSE),"")</f>
        <v/>
      </c>
      <c r="I2492" s="3094" t="str">
        <f t="shared" si="569"/>
        <v/>
      </c>
      <c r="J2492" s="3095"/>
      <c r="K2492" s="3096" t="str">
        <f>IFERROR(VLOOKUP(F2492,Trainingsarten!$A$9:$K$84,11,FALSE),"0")</f>
        <v>0</v>
      </c>
      <c r="L2492" s="2816"/>
      <c r="M2492" s="3095"/>
      <c r="N2492" s="3097" t="str">
        <f t="shared" si="570"/>
        <v/>
      </c>
      <c r="O2492" s="3098"/>
      <c r="P2492" s="2897" t="str">
        <f>IFERROR(VLOOKUP(F2492,Trainingsarten!$A$9:$N$84,12,FALSE),"")</f>
        <v/>
      </c>
      <c r="Q2492" s="2898" t="s">
        <v>437</v>
      </c>
      <c r="R2492" s="3099" t="str">
        <f>IFERROR(VLOOKUP(F2492,Trainingsarten!$A$9:$N$84,14,FALSE),"")</f>
        <v/>
      </c>
      <c r="S2492" s="3100" t="str">
        <f t="shared" si="571"/>
        <v/>
      </c>
      <c r="T2492" s="3090">
        <f t="shared" si="572"/>
        <v>13.760941574368731</v>
      </c>
      <c r="U2492" s="3090">
        <f t="shared" si="573"/>
        <v>41.415054978509914</v>
      </c>
      <c r="V2492" s="3090">
        <f t="shared" si="574"/>
        <v>26.370746433905175</v>
      </c>
      <c r="W2492" s="3284">
        <f t="shared" si="575"/>
        <v>0.33226906451070082</v>
      </c>
      <c r="X2492" s="3300"/>
      <c r="Y2492" s="3316" t="str">
        <f t="shared" si="568"/>
        <v/>
      </c>
      <c r="Z2492" s="2597">
        <f t="shared" si="576"/>
        <v>4.4416699468622624E-12</v>
      </c>
      <c r="AA2492" s="2597">
        <f t="shared" si="577"/>
        <v>0.2643866631488046</v>
      </c>
      <c r="AB2492" s="3325">
        <f t="shared" si="578"/>
        <v>1.6799901681736344E-11</v>
      </c>
    </row>
    <row r="2493" spans="1:28" x14ac:dyDescent="0.2">
      <c r="A2493" s="2935" t="s">
        <v>980</v>
      </c>
      <c r="B2493" s="3006" t="str">
        <f>IFERROR(AVERAGE(S2488:S2494),"")</f>
        <v/>
      </c>
      <c r="C2493" s="2937">
        <v>45591</v>
      </c>
      <c r="D2493" s="3090"/>
      <c r="E2493" s="3091"/>
      <c r="F2493" s="2889"/>
      <c r="G2493" s="3092"/>
      <c r="H2493" s="3093" t="str">
        <f>IFERROR(VLOOKUP(F2493,Trainingsarten!$A$9:$K$84,10,FALSE),"")</f>
        <v/>
      </c>
      <c r="I2493" s="3094" t="str">
        <f t="shared" si="569"/>
        <v/>
      </c>
      <c r="J2493" s="3095"/>
      <c r="K2493" s="3096" t="str">
        <f>IFERROR(VLOOKUP(F2493,Trainingsarten!$A$9:$K$84,11,FALSE),"0")</f>
        <v>0</v>
      </c>
      <c r="L2493" s="2816"/>
      <c r="M2493" s="3095"/>
      <c r="N2493" s="3097" t="str">
        <f t="shared" si="570"/>
        <v/>
      </c>
      <c r="O2493" s="3098"/>
      <c r="P2493" s="2897" t="str">
        <f>IFERROR(VLOOKUP(F2493,Trainingsarten!$A$9:$N$84,12,FALSE),"")</f>
        <v/>
      </c>
      <c r="Q2493" s="2898" t="s">
        <v>437</v>
      </c>
      <c r="R2493" s="3099" t="str">
        <f>IFERROR(VLOOKUP(F2493,Trainingsarten!$A$9:$N$84,14,FALSE),"")</f>
        <v/>
      </c>
      <c r="S2493" s="3100" t="str">
        <f t="shared" si="571"/>
        <v/>
      </c>
      <c r="T2493" s="3090">
        <f t="shared" si="572"/>
        <v>11.795092778030341</v>
      </c>
      <c r="U2493" s="3090">
        <f t="shared" si="573"/>
        <v>40.428982240926345</v>
      </c>
      <c r="V2493" s="3090">
        <f t="shared" si="574"/>
        <v>27.654113404141185</v>
      </c>
      <c r="W2493" s="3284">
        <f t="shared" si="575"/>
        <v>0.29174844688744461</v>
      </c>
      <c r="X2493" s="3300"/>
      <c r="Y2493" s="3316" t="str">
        <f t="shared" si="568"/>
        <v/>
      </c>
      <c r="Z2493" s="2597">
        <f t="shared" si="576"/>
        <v>3.8071456687390824E-12</v>
      </c>
      <c r="AA2493" s="2597">
        <f t="shared" si="577"/>
        <v>0.25809174259764256</v>
      </c>
      <c r="AB2493" s="3325">
        <f t="shared" si="578"/>
        <v>1.475113318396362E-11</v>
      </c>
    </row>
    <row r="2494" spans="1:28" ht="16" thickBot="1" x14ac:dyDescent="0.25">
      <c r="A2494" s="2936" t="s">
        <v>183</v>
      </c>
      <c r="B2494" s="3003">
        <f>IFERROR(SUM(M2488:M2494),"")</f>
        <v>0</v>
      </c>
      <c r="C2494" s="2576">
        <v>45592</v>
      </c>
      <c r="D2494" s="1788"/>
      <c r="E2494" s="1789"/>
      <c r="F2494" s="2763"/>
      <c r="G2494" s="2577"/>
      <c r="H2494" s="2578" t="str">
        <f>IFERROR(VLOOKUP(F2494,Trainingsarten!$A$9:$K$84,10,FALSE),"")</f>
        <v/>
      </c>
      <c r="I2494" s="2579" t="str">
        <f t="shared" si="569"/>
        <v/>
      </c>
      <c r="J2494" s="2580"/>
      <c r="K2494" s="2581" t="str">
        <f>IFERROR(VLOOKUP(F2494,Trainingsarten!$A$9:$K$84,11,FALSE),"0")</f>
        <v>0</v>
      </c>
      <c r="L2494" s="3101"/>
      <c r="M2494" s="2580"/>
      <c r="N2494" s="2582" t="str">
        <f t="shared" si="570"/>
        <v/>
      </c>
      <c r="O2494" s="2583"/>
      <c r="P2494" s="3102" t="str">
        <f>IFERROR(VLOOKUP(F2494,Trainingsarten!$A$9:$N$84,12,FALSE),"")</f>
        <v/>
      </c>
      <c r="Q2494" s="3103" t="s">
        <v>437</v>
      </c>
      <c r="R2494" s="3104" t="str">
        <f>IFERROR(VLOOKUP(F2494,Trainingsarten!$A$9:$N$84,14,FALSE),"")</f>
        <v/>
      </c>
      <c r="S2494" s="2390" t="str">
        <f t="shared" si="571"/>
        <v/>
      </c>
      <c r="T2494" s="1788">
        <f t="shared" si="572"/>
        <v>10.110079524026007</v>
      </c>
      <c r="U2494" s="1788">
        <f t="shared" si="573"/>
        <v>39.466387425666191</v>
      </c>
      <c r="V2494" s="1788">
        <f t="shared" si="574"/>
        <v>28.633889462896004</v>
      </c>
      <c r="W2494" s="3293">
        <f t="shared" si="575"/>
        <v>0.25616936799873191</v>
      </c>
      <c r="X2494" s="3300"/>
      <c r="Y2494" s="3316" t="str">
        <f t="shared" si="568"/>
        <v/>
      </c>
      <c r="Z2494" s="2597">
        <f t="shared" si="576"/>
        <v>3.2632677160620707E-12</v>
      </c>
      <c r="AA2494" s="2597">
        <f t="shared" si="577"/>
        <v>0.2519467011072225</v>
      </c>
      <c r="AB2494" s="3325">
        <f t="shared" si="578"/>
        <v>1.2952214502992449E-11</v>
      </c>
    </row>
    <row r="2495" spans="1:28" ht="16" thickBot="1" x14ac:dyDescent="0.25">
      <c r="A2495" s="3439">
        <f>WEEKNUM(C2495,1)</f>
        <v>44</v>
      </c>
      <c r="B2495" s="3440"/>
      <c r="C2495" s="2585">
        <v>45593</v>
      </c>
      <c r="D2495" s="2586"/>
      <c r="E2495" s="2587"/>
      <c r="F2495" s="2906" t="s">
        <v>944</v>
      </c>
      <c r="G2495" s="2588"/>
      <c r="H2495" s="2589">
        <f>IFERROR(VLOOKUP(F2495,Trainingsarten!$A$9:$K$84,10,FALSE),"")</f>
        <v>5.0855335173981304</v>
      </c>
      <c r="I2495" s="2590">
        <f t="shared" si="569"/>
        <v>0</v>
      </c>
      <c r="J2495" s="2591"/>
      <c r="K2495" s="2592">
        <f>IFERROR(VLOOKUP(F2495,Trainingsarten!$A$9:$K$84,11,FALSE),"0")</f>
        <v>36.125</v>
      </c>
      <c r="L2495" s="2815"/>
      <c r="M2495" s="2591"/>
      <c r="N2495" s="2593" t="str">
        <f t="shared" si="570"/>
        <v/>
      </c>
      <c r="O2495" s="2594"/>
      <c r="P2495" s="1919">
        <f>IFERROR(VLOOKUP(F2495,Trainingsarten!$A$9:$N$84,12,FALSE),"")</f>
        <v>194.60000000000002</v>
      </c>
      <c r="Q2495" s="2461" t="s">
        <v>437</v>
      </c>
      <c r="R2495" s="3089">
        <f>IFERROR(VLOOKUP(F2495,Trainingsarten!$A$9:$N$84,14,FALSE),"")</f>
        <v>212.96</v>
      </c>
      <c r="S2495" s="2595" t="str">
        <f t="shared" si="571"/>
        <v/>
      </c>
      <c r="T2495" s="2586">
        <f t="shared" si="572"/>
        <v>13.826496734879434</v>
      </c>
      <c r="U2495" s="2586">
        <f t="shared" si="573"/>
        <v>39.386830582197952</v>
      </c>
      <c r="V2495" s="2586">
        <f t="shared" si="574"/>
        <v>29.356307901640186</v>
      </c>
      <c r="W2495" s="3283">
        <f t="shared" si="575"/>
        <v>0.35104364912084929</v>
      </c>
      <c r="X2495" s="3300"/>
      <c r="Y2495" s="3316">
        <f t="shared" si="568"/>
        <v>0</v>
      </c>
      <c r="Z2495" s="2597">
        <f t="shared" si="576"/>
        <v>2.7970866137674893E-12</v>
      </c>
      <c r="AA2495" s="2597">
        <f t="shared" si="577"/>
        <v>0.2459479701284791</v>
      </c>
      <c r="AB2495" s="3325">
        <f t="shared" si="578"/>
        <v>1.137267614896898E-11</v>
      </c>
    </row>
    <row r="2496" spans="1:28" x14ac:dyDescent="0.2">
      <c r="A2496" s="2934" t="s">
        <v>626</v>
      </c>
      <c r="B2496" s="3004">
        <f>SUM(H2495:H2501)</f>
        <v>30.513201104388784</v>
      </c>
      <c r="C2496" s="2937">
        <v>45594</v>
      </c>
      <c r="D2496" s="3090"/>
      <c r="E2496" s="3091"/>
      <c r="F2496" s="2907" t="s">
        <v>944</v>
      </c>
      <c r="G2496" s="3092"/>
      <c r="H2496" s="3093">
        <f>IFERROR(VLOOKUP(F2496,Trainingsarten!$A$9:$K$84,10,FALSE),"")</f>
        <v>5.0855335173981304</v>
      </c>
      <c r="I2496" s="3094">
        <f t="shared" si="569"/>
        <v>0</v>
      </c>
      <c r="J2496" s="3095"/>
      <c r="K2496" s="3096">
        <f>IFERROR(VLOOKUP(F2496,Trainingsarten!$A$9:$K$84,11,FALSE),"0")</f>
        <v>36.125</v>
      </c>
      <c r="L2496" s="2816"/>
      <c r="M2496" s="3095"/>
      <c r="N2496" s="3097" t="str">
        <f t="shared" si="570"/>
        <v/>
      </c>
      <c r="O2496" s="3098"/>
      <c r="P2496" s="2897">
        <f>IFERROR(VLOOKUP(F2496,Trainingsarten!$A$9:$N$84,12,FALSE),"")</f>
        <v>194.60000000000002</v>
      </c>
      <c r="Q2496" s="2898" t="s">
        <v>437</v>
      </c>
      <c r="R2496" s="3099">
        <f>IFERROR(VLOOKUP(F2496,Trainingsarten!$A$9:$N$84,14,FALSE),"")</f>
        <v>212.96</v>
      </c>
      <c r="S2496" s="3100" t="str">
        <f t="shared" si="571"/>
        <v/>
      </c>
      <c r="T2496" s="3090">
        <f t="shared" si="572"/>
        <v>17.011997201325229</v>
      </c>
      <c r="U2496" s="3090">
        <f t="shared" si="573"/>
        <v>39.309167949288479</v>
      </c>
      <c r="V2496" s="3090">
        <f t="shared" si="574"/>
        <v>25.560333847318518</v>
      </c>
      <c r="W2496" s="3284">
        <f t="shared" si="575"/>
        <v>0.43277428876825558</v>
      </c>
      <c r="X2496" s="3300"/>
      <c r="Y2496" s="3316">
        <f t="shared" si="568"/>
        <v>0</v>
      </c>
      <c r="Z2496" s="2597">
        <f t="shared" si="576"/>
        <v>2.3975028118007051E-12</v>
      </c>
      <c r="AA2496" s="2597">
        <f t="shared" si="577"/>
        <v>0.24009206607780104</v>
      </c>
      <c r="AB2496" s="3325">
        <f t="shared" si="578"/>
        <v>9.9857644234849567E-12</v>
      </c>
    </row>
    <row r="2497" spans="1:28" x14ac:dyDescent="0.2">
      <c r="A2497" s="2935" t="s">
        <v>628</v>
      </c>
      <c r="B2497" s="3005">
        <f>SUM(K2495:K2501)</f>
        <v>216.75</v>
      </c>
      <c r="C2497" s="2937">
        <v>45595</v>
      </c>
      <c r="D2497" s="3090"/>
      <c r="E2497" s="3091"/>
      <c r="F2497" s="2907"/>
      <c r="G2497" s="3092"/>
      <c r="H2497" s="3093" t="str">
        <f>IFERROR(VLOOKUP(F2497,Trainingsarten!$A$9:$K$84,10,FALSE),"")</f>
        <v/>
      </c>
      <c r="I2497" s="3094" t="str">
        <f t="shared" si="569"/>
        <v/>
      </c>
      <c r="J2497" s="3095"/>
      <c r="K2497" s="3096" t="str">
        <f>IFERROR(VLOOKUP(F2497,Trainingsarten!$A$9:$K$84,11,FALSE),"0")</f>
        <v>0</v>
      </c>
      <c r="L2497" s="2816"/>
      <c r="M2497" s="3095"/>
      <c r="N2497" s="3097" t="str">
        <f t="shared" si="570"/>
        <v/>
      </c>
      <c r="O2497" s="3098"/>
      <c r="P2497" s="2897" t="str">
        <f>IFERROR(VLOOKUP(F2497,Trainingsarten!$A$9:$N$84,12,FALSE),"")</f>
        <v/>
      </c>
      <c r="Q2497" s="2898" t="s">
        <v>437</v>
      </c>
      <c r="R2497" s="3099" t="str">
        <f>IFERROR(VLOOKUP(F2497,Trainingsarten!$A$9:$N$84,14,FALSE),"")</f>
        <v/>
      </c>
      <c r="S2497" s="3100" t="str">
        <f t="shared" si="571"/>
        <v/>
      </c>
      <c r="T2497" s="3090">
        <f t="shared" si="572"/>
        <v>14.581711886850197</v>
      </c>
      <c r="U2497" s="3090">
        <f t="shared" si="573"/>
        <v>38.373235379067324</v>
      </c>
      <c r="V2497" s="3090">
        <f t="shared" si="574"/>
        <v>22.29717074796325</v>
      </c>
      <c r="W2497" s="3284">
        <f t="shared" si="575"/>
        <v>0.37999693647944394</v>
      </c>
      <c r="X2497" s="3300"/>
      <c r="Y2497" s="3316" t="str">
        <f t="shared" si="568"/>
        <v/>
      </c>
      <c r="Z2497" s="2597">
        <f t="shared" si="576"/>
        <v>2.0550024101148899E-12</v>
      </c>
      <c r="AA2497" s="2597">
        <f t="shared" si="577"/>
        <v>0.23437558831404387</v>
      </c>
      <c r="AB2497" s="3325">
        <f t="shared" si="578"/>
        <v>8.7679882742794743E-12</v>
      </c>
    </row>
    <row r="2498" spans="1:28" x14ac:dyDescent="0.2">
      <c r="A2498" s="2935" t="s">
        <v>761</v>
      </c>
      <c r="B2498" s="3006">
        <f>AVERAGE(W2495:W2501)</f>
        <v>0.46879655623431937</v>
      </c>
      <c r="C2498" s="2937">
        <v>45596</v>
      </c>
      <c r="D2498" s="3090"/>
      <c r="E2498" s="3091"/>
      <c r="F2498" s="2907" t="s">
        <v>944</v>
      </c>
      <c r="G2498" s="3092"/>
      <c r="H2498" s="3093">
        <f>IFERROR(VLOOKUP(F2498,Trainingsarten!$A$9:$K$84,10,FALSE),"")</f>
        <v>5.0855335173981304</v>
      </c>
      <c r="I2498" s="3094">
        <f t="shared" si="569"/>
        <v>0</v>
      </c>
      <c r="J2498" s="3095"/>
      <c r="K2498" s="3096">
        <f>IFERROR(VLOOKUP(F2498,Trainingsarten!$A$9:$K$84,11,FALSE),"0")</f>
        <v>36.125</v>
      </c>
      <c r="L2498" s="2816"/>
      <c r="M2498" s="3095"/>
      <c r="N2498" s="3097" t="str">
        <f t="shared" si="570"/>
        <v/>
      </c>
      <c r="O2498" s="3098"/>
      <c r="P2498" s="2897">
        <f>IFERROR(VLOOKUP(F2498,Trainingsarten!$A$9:$N$84,12,FALSE),"")</f>
        <v>194.60000000000002</v>
      </c>
      <c r="Q2498" s="2898" t="s">
        <v>437</v>
      </c>
      <c r="R2498" s="3099">
        <f>IFERROR(VLOOKUP(F2498,Trainingsarten!$A$9:$N$84,14,FALSE),"")</f>
        <v>212.96</v>
      </c>
      <c r="S2498" s="3100" t="str">
        <f t="shared" si="571"/>
        <v/>
      </c>
      <c r="T2498" s="3090">
        <f t="shared" si="572"/>
        <v>17.659324474443025</v>
      </c>
      <c r="U2498" s="3090">
        <f t="shared" si="573"/>
        <v>38.319705965280008</v>
      </c>
      <c r="V2498" s="3090">
        <f t="shared" si="574"/>
        <v>23.791523492217127</v>
      </c>
      <c r="W2498" s="3284">
        <f t="shared" si="575"/>
        <v>0.4608418574621489</v>
      </c>
      <c r="X2498" s="3300"/>
      <c r="Y2498" s="3316">
        <f t="shared" si="568"/>
        <v>0</v>
      </c>
      <c r="Z2498" s="2597">
        <f t="shared" si="576"/>
        <v>1.7614306372413343E-12</v>
      </c>
      <c r="AA2498" s="2597">
        <f t="shared" si="577"/>
        <v>0.22879521716370949</v>
      </c>
      <c r="AB2498" s="3325">
        <f t="shared" si="578"/>
        <v>7.6987214115624648E-12</v>
      </c>
    </row>
    <row r="2499" spans="1:28" x14ac:dyDescent="0.2">
      <c r="A2499" s="2935" t="s">
        <v>979</v>
      </c>
      <c r="B2499" s="3131" t="str">
        <f>IFERROR(AVERAGE(N2495:N2501),"")</f>
        <v/>
      </c>
      <c r="C2499" s="2937">
        <v>45597</v>
      </c>
      <c r="D2499" s="3090"/>
      <c r="E2499" s="3091"/>
      <c r="F2499" s="3342" t="s">
        <v>944</v>
      </c>
      <c r="G2499" s="3092"/>
      <c r="H2499" s="3093">
        <f>IFERROR(VLOOKUP(F2499,Trainingsarten!$A$9:$K$84,10,FALSE),"")</f>
        <v>5.0855335173981304</v>
      </c>
      <c r="I2499" s="3094">
        <f t="shared" si="569"/>
        <v>0</v>
      </c>
      <c r="J2499" s="3095"/>
      <c r="K2499" s="3096">
        <f>IFERROR(VLOOKUP(F2499,Trainingsarten!$A$9:$K$84,11,FALSE),"0")</f>
        <v>36.125</v>
      </c>
      <c r="L2499" s="2816"/>
      <c r="M2499" s="3095"/>
      <c r="N2499" s="3097" t="str">
        <f t="shared" si="570"/>
        <v/>
      </c>
      <c r="O2499" s="3098"/>
      <c r="P2499" s="2897">
        <f>IFERROR(VLOOKUP(F2499,Trainingsarten!$A$9:$N$84,12,FALSE),"")</f>
        <v>194.60000000000002</v>
      </c>
      <c r="Q2499" s="2898" t="s">
        <v>437</v>
      </c>
      <c r="R2499" s="3099">
        <f>IFERROR(VLOOKUP(F2499,Trainingsarten!$A$9:$N$84,14,FALSE),"")</f>
        <v>212.96</v>
      </c>
      <c r="S2499" s="3100" t="str">
        <f t="shared" si="571"/>
        <v/>
      </c>
      <c r="T2499" s="3090">
        <f t="shared" si="572"/>
        <v>20.297278120951166</v>
      </c>
      <c r="U2499" s="3090">
        <f t="shared" si="573"/>
        <v>38.267451061344772</v>
      </c>
      <c r="V2499" s="3090">
        <f t="shared" si="574"/>
        <v>20.660381490836983</v>
      </c>
      <c r="W2499" s="3284">
        <f t="shared" si="575"/>
        <v>0.53040580331346199</v>
      </c>
      <c r="X2499" s="3300"/>
      <c r="Y2499" s="3316">
        <f t="shared" si="568"/>
        <v>0</v>
      </c>
      <c r="Z2499" s="2597">
        <f t="shared" si="576"/>
        <v>1.5097976890640008E-12</v>
      </c>
      <c r="AA2499" s="2597">
        <f t="shared" si="577"/>
        <v>0.22334771199314499</v>
      </c>
      <c r="AB2499" s="3325">
        <f t="shared" si="578"/>
        <v>6.7598529467377735E-12</v>
      </c>
    </row>
    <row r="2500" spans="1:28" x14ac:dyDescent="0.2">
      <c r="A2500" s="2935" t="s">
        <v>980</v>
      </c>
      <c r="B2500" s="3006" t="str">
        <f>IFERROR(AVERAGE(S2495:S2501),"")</f>
        <v/>
      </c>
      <c r="C2500" s="2937">
        <v>45598</v>
      </c>
      <c r="D2500" s="3090"/>
      <c r="E2500" s="3091"/>
      <c r="F2500" s="3342"/>
      <c r="G2500" s="3092"/>
      <c r="H2500" s="3093" t="str">
        <f>IFERROR(VLOOKUP(F2500,Trainingsarten!$A$9:$K$84,10,FALSE),"")</f>
        <v/>
      </c>
      <c r="I2500" s="3094" t="str">
        <f t="shared" si="569"/>
        <v/>
      </c>
      <c r="J2500" s="3095"/>
      <c r="K2500" s="3096" t="str">
        <f>IFERROR(VLOOKUP(F2500,Trainingsarten!$A$9:$K$84,11,FALSE),"0")</f>
        <v>0</v>
      </c>
      <c r="L2500" s="2816"/>
      <c r="M2500" s="3095"/>
      <c r="N2500" s="3097" t="str">
        <f t="shared" si="570"/>
        <v/>
      </c>
      <c r="O2500" s="3098"/>
      <c r="P2500" s="2897" t="str">
        <f>IFERROR(VLOOKUP(F2500,Trainingsarten!$A$9:$N$84,12,FALSE),"")</f>
        <v/>
      </c>
      <c r="Q2500" s="2898" t="s">
        <v>437</v>
      </c>
      <c r="R2500" s="3099" t="str">
        <f>IFERROR(VLOOKUP(F2500,Trainingsarten!$A$9:$N$84,14,FALSE),"")</f>
        <v/>
      </c>
      <c r="S2500" s="3100" t="str">
        <f t="shared" si="571"/>
        <v/>
      </c>
      <c r="T2500" s="3090">
        <f t="shared" si="572"/>
        <v>17.397666960815286</v>
      </c>
      <c r="U2500" s="3090">
        <f t="shared" si="573"/>
        <v>37.356321274169893</v>
      </c>
      <c r="V2500" s="3090">
        <f t="shared" si="574"/>
        <v>17.970172940393606</v>
      </c>
      <c r="W2500" s="3284">
        <f t="shared" si="575"/>
        <v>0.46572216876303985</v>
      </c>
      <c r="X2500" s="3300"/>
      <c r="Y2500" s="3316" t="str">
        <f t="shared" si="568"/>
        <v/>
      </c>
      <c r="Z2500" s="2597">
        <f t="shared" si="576"/>
        <v>1.2941123049120008E-12</v>
      </c>
      <c r="AA2500" s="2597">
        <f t="shared" si="577"/>
        <v>0.21802990932664154</v>
      </c>
      <c r="AB2500" s="3325">
        <f t="shared" si="578"/>
        <v>5.9354806361599965E-12</v>
      </c>
    </row>
    <row r="2501" spans="1:28" ht="16" thickBot="1" x14ac:dyDescent="0.25">
      <c r="A2501" s="2936" t="s">
        <v>183</v>
      </c>
      <c r="B2501" s="3003">
        <f>IFERROR(SUM(M2495:M2501),"")</f>
        <v>0</v>
      </c>
      <c r="C2501" s="2576">
        <v>45599</v>
      </c>
      <c r="D2501" s="1788"/>
      <c r="E2501" s="1789"/>
      <c r="F2501" s="2909" t="s">
        <v>819</v>
      </c>
      <c r="G2501" s="2577"/>
      <c r="H2501" s="2578">
        <f>IFERROR(VLOOKUP(F2501,Trainingsarten!$A$9:$K$84,10,FALSE),"")</f>
        <v>10.171067034796261</v>
      </c>
      <c r="I2501" s="2579">
        <f t="shared" si="569"/>
        <v>0</v>
      </c>
      <c r="J2501" s="2580"/>
      <c r="K2501" s="2581">
        <f>IFERROR(VLOOKUP(F2501,Trainingsarten!$A$9:$K$84,11,FALSE),"0")</f>
        <v>72.25</v>
      </c>
      <c r="L2501" s="3101"/>
      <c r="M2501" s="2580"/>
      <c r="N2501" s="2582" t="str">
        <f t="shared" si="570"/>
        <v/>
      </c>
      <c r="O2501" s="2583"/>
      <c r="P2501" s="3102">
        <f>IFERROR(VLOOKUP(F2501,Trainingsarten!$A$9:$N$84,12,FALSE),"")</f>
        <v>194.60000000000002</v>
      </c>
      <c r="Q2501" s="3103" t="s">
        <v>437</v>
      </c>
      <c r="R2501" s="3104">
        <f>IFERROR(VLOOKUP(F2501,Trainingsarten!$A$9:$N$84,14,FALSE),"")</f>
        <v>212.96</v>
      </c>
      <c r="S2501" s="2390" t="str">
        <f t="shared" si="571"/>
        <v/>
      </c>
      <c r="T2501" s="1788">
        <f t="shared" si="572"/>
        <v>25.233714537841674</v>
      </c>
      <c r="U2501" s="1788">
        <f t="shared" si="573"/>
        <v>38.187123148594416</v>
      </c>
      <c r="V2501" s="1788">
        <f t="shared" si="574"/>
        <v>19.958654313354607</v>
      </c>
      <c r="W2501" s="3293">
        <f t="shared" si="575"/>
        <v>0.6607911897330363</v>
      </c>
      <c r="X2501" s="3300"/>
      <c r="Y2501" s="3316">
        <f t="shared" si="568"/>
        <v>0</v>
      </c>
      <c r="Z2501" s="2597">
        <f t="shared" si="576"/>
        <v>1.1092391184960007E-12</v>
      </c>
      <c r="AA2501" s="2597">
        <f t="shared" si="577"/>
        <v>0.21283872100934056</v>
      </c>
      <c r="AB2501" s="3325">
        <f t="shared" si="578"/>
        <v>5.2116415341892656E-12</v>
      </c>
    </row>
    <row r="2502" spans="1:28" ht="16" thickBot="1" x14ac:dyDescent="0.25">
      <c r="A2502" s="3439">
        <f>WEEKNUM(C2502,1)</f>
        <v>45</v>
      </c>
      <c r="B2502" s="3440"/>
      <c r="C2502" s="2585">
        <v>45600</v>
      </c>
      <c r="D2502" s="2586"/>
      <c r="E2502" s="2587"/>
      <c r="F2502" s="2906" t="s">
        <v>944</v>
      </c>
      <c r="G2502" s="2588"/>
      <c r="H2502" s="2589">
        <f>IFERROR(VLOOKUP(F2502,Trainingsarten!$A$9:$K$84,10,FALSE),"")</f>
        <v>5.0855335173981304</v>
      </c>
      <c r="I2502" s="2590">
        <f t="shared" si="569"/>
        <v>0</v>
      </c>
      <c r="J2502" s="2591"/>
      <c r="K2502" s="2592">
        <f>IFERROR(VLOOKUP(F2502,Trainingsarten!$A$9:$K$84,11,FALSE),"0")</f>
        <v>36.125</v>
      </c>
      <c r="L2502" s="2815"/>
      <c r="M2502" s="2591"/>
      <c r="N2502" s="2593" t="str">
        <f t="shared" si="570"/>
        <v/>
      </c>
      <c r="O2502" s="2594"/>
      <c r="P2502" s="1919">
        <f>IFERROR(VLOOKUP(F2502,Trainingsarten!$A$9:$N$84,12,FALSE),"")</f>
        <v>194.60000000000002</v>
      </c>
      <c r="Q2502" s="2461" t="s">
        <v>437</v>
      </c>
      <c r="R2502" s="3089">
        <f>IFERROR(VLOOKUP(F2502,Trainingsarten!$A$9:$N$84,14,FALSE),"")</f>
        <v>212.96</v>
      </c>
      <c r="S2502" s="2595" t="str">
        <f t="shared" si="571"/>
        <v/>
      </c>
      <c r="T2502" s="2586">
        <f t="shared" si="572"/>
        <v>26.789612461007149</v>
      </c>
      <c r="U2502" s="2586">
        <f t="shared" si="573"/>
        <v>38.138024978389787</v>
      </c>
      <c r="V2502" s="2586">
        <f t="shared" si="574"/>
        <v>12.953408610752742</v>
      </c>
      <c r="W2502" s="3283">
        <f t="shared" si="575"/>
        <v>0.70243837944379639</v>
      </c>
      <c r="X2502" s="3300"/>
      <c r="Y2502" s="3316">
        <f t="shared" si="568"/>
        <v>0</v>
      </c>
      <c r="Z2502" s="2597">
        <f t="shared" si="576"/>
        <v>9.5077638728228635E-13</v>
      </c>
      <c r="AA2502" s="2597">
        <f t="shared" si="577"/>
        <v>0.20777113241388007</v>
      </c>
      <c r="AB2502" s="3325">
        <f t="shared" si="578"/>
        <v>4.5760754934344775E-12</v>
      </c>
    </row>
    <row r="2503" spans="1:28" x14ac:dyDescent="0.2">
      <c r="A2503" s="2934" t="s">
        <v>626</v>
      </c>
      <c r="B2503" s="3004">
        <f>SUM(H2502:H2508)</f>
        <v>30.513201104388784</v>
      </c>
      <c r="C2503" s="2937">
        <v>45601</v>
      </c>
      <c r="D2503" s="3090"/>
      <c r="E2503" s="3091"/>
      <c r="F2503" s="2907" t="s">
        <v>944</v>
      </c>
      <c r="G2503" s="3092"/>
      <c r="H2503" s="3093">
        <f>IFERROR(VLOOKUP(F2503,Trainingsarten!$A$9:$K$84,10,FALSE),"")</f>
        <v>5.0855335173981304</v>
      </c>
      <c r="I2503" s="3094">
        <f t="shared" si="569"/>
        <v>0</v>
      </c>
      <c r="J2503" s="3095"/>
      <c r="K2503" s="3096">
        <f>IFERROR(VLOOKUP(F2503,Trainingsarten!$A$9:$K$84,11,FALSE),"0")</f>
        <v>36.125</v>
      </c>
      <c r="L2503" s="2816"/>
      <c r="M2503" s="3095"/>
      <c r="N2503" s="3097" t="str">
        <f t="shared" si="570"/>
        <v/>
      </c>
      <c r="O2503" s="3098"/>
      <c r="P2503" s="2897">
        <f>IFERROR(VLOOKUP(F2503,Trainingsarten!$A$9:$N$84,12,FALSE),"")</f>
        <v>194.60000000000002</v>
      </c>
      <c r="Q2503" s="2898" t="s">
        <v>437</v>
      </c>
      <c r="R2503" s="3099">
        <f>IFERROR(VLOOKUP(F2503,Trainingsarten!$A$9:$N$84,14,FALSE),"")</f>
        <v>212.96</v>
      </c>
      <c r="S2503" s="3100" t="str">
        <f t="shared" si="571"/>
        <v/>
      </c>
      <c r="T2503" s="3090">
        <f t="shared" si="572"/>
        <v>28.123239252291842</v>
      </c>
      <c r="U2503" s="3090">
        <f t="shared" si="573"/>
        <v>38.090095812237649</v>
      </c>
      <c r="V2503" s="3090">
        <f t="shared" si="574"/>
        <v>11.348412517382638</v>
      </c>
      <c r="W2503" s="3284">
        <f t="shared" si="575"/>
        <v>0.73833469442879063</v>
      </c>
      <c r="X2503" s="3300"/>
      <c r="Y2503" s="3316">
        <f t="shared" si="568"/>
        <v>0</v>
      </c>
      <c r="Z2503" s="2597">
        <f t="shared" si="576"/>
        <v>8.1495118909910265E-13</v>
      </c>
      <c r="AA2503" s="2597">
        <f t="shared" si="577"/>
        <v>0.20282420068974005</v>
      </c>
      <c r="AB2503" s="3325">
        <f t="shared" si="578"/>
        <v>4.0180175064302731E-12</v>
      </c>
    </row>
    <row r="2504" spans="1:28" x14ac:dyDescent="0.2">
      <c r="A2504" s="2935" t="s">
        <v>628</v>
      </c>
      <c r="B2504" s="3005">
        <f>SUM(K2502:K2508)</f>
        <v>216.75</v>
      </c>
      <c r="C2504" s="2937">
        <v>45602</v>
      </c>
      <c r="D2504" s="3090"/>
      <c r="E2504" s="3091"/>
      <c r="F2504" s="2907"/>
      <c r="G2504" s="3092"/>
      <c r="H2504" s="3093" t="str">
        <f>IFERROR(VLOOKUP(F2504,Trainingsarten!$A$9:$K$84,10,FALSE),"")</f>
        <v/>
      </c>
      <c r="I2504" s="3094" t="str">
        <f t="shared" si="569"/>
        <v/>
      </c>
      <c r="J2504" s="3095"/>
      <c r="K2504" s="3096" t="str">
        <f>IFERROR(VLOOKUP(F2504,Trainingsarten!$A$9:$K$84,11,FALSE),"0")</f>
        <v>0</v>
      </c>
      <c r="L2504" s="2816"/>
      <c r="M2504" s="3095"/>
      <c r="N2504" s="3097" t="str">
        <f t="shared" si="570"/>
        <v/>
      </c>
      <c r="O2504" s="3098"/>
      <c r="P2504" s="2897" t="str">
        <f>IFERROR(VLOOKUP(F2504,Trainingsarten!$A$9:$N$84,12,FALSE),"")</f>
        <v/>
      </c>
      <c r="Q2504" s="2898" t="s">
        <v>437</v>
      </c>
      <c r="R2504" s="3099" t="str">
        <f>IFERROR(VLOOKUP(F2504,Trainingsarten!$A$9:$N$84,14,FALSE),"")</f>
        <v/>
      </c>
      <c r="S2504" s="3100" t="str">
        <f t="shared" si="571"/>
        <v/>
      </c>
      <c r="T2504" s="3090">
        <f t="shared" si="572"/>
        <v>24.10563364482158</v>
      </c>
      <c r="U2504" s="3090">
        <f t="shared" si="573"/>
        <v>37.183188769089135</v>
      </c>
      <c r="V2504" s="3090">
        <f t="shared" si="574"/>
        <v>9.966856559945807</v>
      </c>
      <c r="W2504" s="3284">
        <f t="shared" si="575"/>
        <v>0.64829387803503569</v>
      </c>
      <c r="X2504" s="3300"/>
      <c r="Y2504" s="3316" t="str">
        <f t="shared" si="568"/>
        <v/>
      </c>
      <c r="Z2504" s="2597">
        <f t="shared" si="576"/>
        <v>6.9852959065637371E-13</v>
      </c>
      <c r="AA2504" s="2597">
        <f t="shared" si="577"/>
        <v>0.19799505305427006</v>
      </c>
      <c r="AB2504" s="3325">
        <f t="shared" si="578"/>
        <v>3.528015371499752E-12</v>
      </c>
    </row>
    <row r="2505" spans="1:28" x14ac:dyDescent="0.2">
      <c r="A2505" s="2935" t="s">
        <v>761</v>
      </c>
      <c r="B2505" s="3006">
        <f>AVERAGE(W2502:W2508)</f>
        <v>0.71186056457130242</v>
      </c>
      <c r="C2505" s="2937">
        <v>45603</v>
      </c>
      <c r="D2505" s="3090"/>
      <c r="E2505" s="3091"/>
      <c r="F2505" s="2907" t="s">
        <v>944</v>
      </c>
      <c r="G2505" s="3092"/>
      <c r="H2505" s="3093">
        <f>IFERROR(VLOOKUP(F2505,Trainingsarten!$A$9:$K$84,10,FALSE),"")</f>
        <v>5.0855335173981304</v>
      </c>
      <c r="I2505" s="3094">
        <f t="shared" si="569"/>
        <v>0</v>
      </c>
      <c r="J2505" s="3095"/>
      <c r="K2505" s="3096">
        <f>IFERROR(VLOOKUP(F2505,Trainingsarten!$A$9:$K$84,11,FALSE),"0")</f>
        <v>36.125</v>
      </c>
      <c r="L2505" s="2816"/>
      <c r="M2505" s="3095"/>
      <c r="N2505" s="3097" t="str">
        <f t="shared" si="570"/>
        <v/>
      </c>
      <c r="O2505" s="3098"/>
      <c r="P2505" s="2897">
        <f>IFERROR(VLOOKUP(F2505,Trainingsarten!$A$9:$N$84,12,FALSE),"")</f>
        <v>194.60000000000002</v>
      </c>
      <c r="Q2505" s="2898" t="s">
        <v>437</v>
      </c>
      <c r="R2505" s="3099">
        <f>IFERROR(VLOOKUP(F2505,Trainingsarten!$A$9:$N$84,14,FALSE),"")</f>
        <v>212.96</v>
      </c>
      <c r="S2505" s="3100" t="str">
        <f t="shared" si="571"/>
        <v/>
      </c>
      <c r="T2505" s="3090">
        <f t="shared" si="572"/>
        <v>25.82268598127564</v>
      </c>
      <c r="U2505" s="3090">
        <f t="shared" si="573"/>
        <v>37.157993798396539</v>
      </c>
      <c r="V2505" s="3090">
        <f t="shared" si="574"/>
        <v>13.077555124267555</v>
      </c>
      <c r="W2505" s="3284">
        <f t="shared" si="575"/>
        <v>0.69494295416966112</v>
      </c>
      <c r="X2505" s="3300"/>
      <c r="Y2505" s="3316">
        <f t="shared" si="568"/>
        <v>0</v>
      </c>
      <c r="Z2505" s="2597">
        <f t="shared" si="576"/>
        <v>5.9873964913403462E-13</v>
      </c>
      <c r="AA2505" s="2597">
        <f t="shared" si="577"/>
        <v>0.1932808851244065</v>
      </c>
      <c r="AB2505" s="3325">
        <f t="shared" si="578"/>
        <v>3.097769594487587E-12</v>
      </c>
    </row>
    <row r="2506" spans="1:28" x14ac:dyDescent="0.2">
      <c r="A2506" s="2935" t="s">
        <v>979</v>
      </c>
      <c r="B2506" s="3131" t="str">
        <f>IFERROR(AVERAGE(N2502:N2508),"")</f>
        <v/>
      </c>
      <c r="C2506" s="2937">
        <v>45604</v>
      </c>
      <c r="D2506" s="3090"/>
      <c r="E2506" s="3091"/>
      <c r="F2506" s="3342" t="s">
        <v>944</v>
      </c>
      <c r="G2506" s="3092"/>
      <c r="H2506" s="3093">
        <f>IFERROR(VLOOKUP(F2506,Trainingsarten!$A$9:$K$84,10,FALSE),"")</f>
        <v>5.0855335173981304</v>
      </c>
      <c r="I2506" s="3094">
        <f t="shared" si="569"/>
        <v>0</v>
      </c>
      <c r="J2506" s="3095"/>
      <c r="K2506" s="3096">
        <f>IFERROR(VLOOKUP(F2506,Trainingsarten!$A$9:$K$84,11,FALSE),"0")</f>
        <v>36.125</v>
      </c>
      <c r="L2506" s="2816"/>
      <c r="M2506" s="3095"/>
      <c r="N2506" s="3097" t="str">
        <f t="shared" si="570"/>
        <v/>
      </c>
      <c r="O2506" s="3098"/>
      <c r="P2506" s="2897">
        <f>IFERROR(VLOOKUP(F2506,Trainingsarten!$A$9:$N$84,12,FALSE),"")</f>
        <v>194.60000000000002</v>
      </c>
      <c r="Q2506" s="2898" t="s">
        <v>437</v>
      </c>
      <c r="R2506" s="3099">
        <f>IFERROR(VLOOKUP(F2506,Trainingsarten!$A$9:$N$84,14,FALSE),"")</f>
        <v>212.96</v>
      </c>
      <c r="S2506" s="3100" t="str">
        <f t="shared" si="571"/>
        <v/>
      </c>
      <c r="T2506" s="3090">
        <f t="shared" si="572"/>
        <v>27.294445126807691</v>
      </c>
      <c r="U2506" s="3090">
        <f t="shared" si="573"/>
        <v>37.133398707958527</v>
      </c>
      <c r="V2506" s="3090">
        <f t="shared" si="574"/>
        <v>11.335307817120899</v>
      </c>
      <c r="W2506" s="3284">
        <f t="shared" si="575"/>
        <v>0.7350376231776995</v>
      </c>
      <c r="X2506" s="3300"/>
      <c r="Y2506" s="3316">
        <f t="shared" si="568"/>
        <v>0</v>
      </c>
      <c r="Z2506" s="2597">
        <f t="shared" si="576"/>
        <v>5.1320541354345822E-13</v>
      </c>
      <c r="AA2506" s="2597">
        <f t="shared" si="577"/>
        <v>0.1886789592881111</v>
      </c>
      <c r="AB2506" s="3325">
        <f t="shared" si="578"/>
        <v>2.7199928146720277E-12</v>
      </c>
    </row>
    <row r="2507" spans="1:28" x14ac:dyDescent="0.2">
      <c r="A2507" s="2935" t="s">
        <v>980</v>
      </c>
      <c r="B2507" s="3006" t="str">
        <f>IFERROR(AVERAGE(S2502:S2508),"")</f>
        <v/>
      </c>
      <c r="C2507" s="2937">
        <v>45605</v>
      </c>
      <c r="D2507" s="3090"/>
      <c r="E2507" s="3091"/>
      <c r="F2507" s="3342"/>
      <c r="G2507" s="3092"/>
      <c r="H2507" s="3093" t="str">
        <f>IFERROR(VLOOKUP(F2507,Trainingsarten!$A$9:$K$84,10,FALSE),"")</f>
        <v/>
      </c>
      <c r="I2507" s="3094" t="str">
        <f t="shared" si="569"/>
        <v/>
      </c>
      <c r="J2507" s="3095"/>
      <c r="K2507" s="3096" t="str">
        <f>IFERROR(VLOOKUP(F2507,Trainingsarten!$A$9:$K$84,11,FALSE),"0")</f>
        <v>0</v>
      </c>
      <c r="L2507" s="2816"/>
      <c r="M2507" s="3095"/>
      <c r="N2507" s="3097" t="str">
        <f t="shared" si="570"/>
        <v/>
      </c>
      <c r="O2507" s="3098"/>
      <c r="P2507" s="2897" t="str">
        <f>IFERROR(VLOOKUP(F2507,Trainingsarten!$A$9:$N$84,12,FALSE),"")</f>
        <v/>
      </c>
      <c r="Q2507" s="2898" t="s">
        <v>437</v>
      </c>
      <c r="R2507" s="3099" t="str">
        <f>IFERROR(VLOOKUP(F2507,Trainingsarten!$A$9:$N$84,14,FALSE),"")</f>
        <v/>
      </c>
      <c r="S2507" s="3100" t="str">
        <f t="shared" si="571"/>
        <v/>
      </c>
      <c r="T2507" s="3090">
        <f t="shared" si="572"/>
        <v>23.39523868012088</v>
      </c>
      <c r="U2507" s="3090">
        <f t="shared" si="573"/>
        <v>36.249270167292849</v>
      </c>
      <c r="V2507" s="3090">
        <f t="shared" si="574"/>
        <v>9.838953581150836</v>
      </c>
      <c r="W2507" s="3284">
        <f t="shared" si="575"/>
        <v>0.64539888864383366</v>
      </c>
      <c r="X2507" s="3300"/>
      <c r="Y2507" s="3316" t="str">
        <f t="shared" si="568"/>
        <v/>
      </c>
      <c r="Z2507" s="2597">
        <f t="shared" si="576"/>
        <v>4.3989035446582136E-13</v>
      </c>
      <c r="AA2507" s="2597">
        <f t="shared" si="577"/>
        <v>0.18418660311458465</v>
      </c>
      <c r="AB2507" s="3325">
        <f t="shared" si="578"/>
        <v>2.388286373858366E-12</v>
      </c>
    </row>
    <row r="2508" spans="1:28" ht="16" thickBot="1" x14ac:dyDescent="0.25">
      <c r="A2508" s="2936" t="s">
        <v>183</v>
      </c>
      <c r="B2508" s="3003">
        <f>IFERROR(SUM(M2502:M2508),"")</f>
        <v>0</v>
      </c>
      <c r="C2508" s="2576">
        <v>45606</v>
      </c>
      <c r="D2508" s="1788"/>
      <c r="E2508" s="1789"/>
      <c r="F2508" s="2909" t="s">
        <v>819</v>
      </c>
      <c r="G2508" s="2577"/>
      <c r="H2508" s="2578">
        <f>IFERROR(VLOOKUP(F2508,Trainingsarten!$A$9:$K$84,10,FALSE),"")</f>
        <v>10.171067034796261</v>
      </c>
      <c r="I2508" s="2579">
        <f t="shared" si="569"/>
        <v>0</v>
      </c>
      <c r="J2508" s="2580"/>
      <c r="K2508" s="2581">
        <f>IFERROR(VLOOKUP(F2508,Trainingsarten!$A$9:$K$84,11,FALSE),"0")</f>
        <v>72.25</v>
      </c>
      <c r="L2508" s="3101"/>
      <c r="M2508" s="2580"/>
      <c r="N2508" s="2582" t="str">
        <f t="shared" si="570"/>
        <v/>
      </c>
      <c r="O2508" s="2583"/>
      <c r="P2508" s="3102">
        <f>IFERROR(VLOOKUP(F2508,Trainingsarten!$A$9:$N$84,12,FALSE),"")</f>
        <v>194.60000000000002</v>
      </c>
      <c r="Q2508" s="3103" t="s">
        <v>437</v>
      </c>
      <c r="R2508" s="3104">
        <f>IFERROR(VLOOKUP(F2508,Trainingsarten!$A$9:$N$84,14,FALSE),"")</f>
        <v>212.96</v>
      </c>
      <c r="S2508" s="2390" t="str">
        <f t="shared" si="571"/>
        <v/>
      </c>
      <c r="T2508" s="1788">
        <f t="shared" si="572"/>
        <v>30.374490297246467</v>
      </c>
      <c r="U2508" s="1788">
        <f t="shared" si="573"/>
        <v>37.106430401404921</v>
      </c>
      <c r="V2508" s="1788">
        <f t="shared" si="574"/>
        <v>12.854031487171969</v>
      </c>
      <c r="W2508" s="3293">
        <f t="shared" si="575"/>
        <v>0.81857753410030054</v>
      </c>
      <c r="X2508" s="3300"/>
      <c r="Y2508" s="3316">
        <f t="shared" si="568"/>
        <v>0</v>
      </c>
      <c r="Z2508" s="2597">
        <f t="shared" si="576"/>
        <v>3.7704887525641832E-13</v>
      </c>
      <c r="AA2508" s="2597">
        <f t="shared" si="577"/>
        <v>0.17980120780233264</v>
      </c>
      <c r="AB2508" s="3325">
        <f t="shared" si="578"/>
        <v>2.09703193802198E-12</v>
      </c>
    </row>
    <row r="2509" spans="1:28" ht="16" thickBot="1" x14ac:dyDescent="0.25">
      <c r="A2509" s="3439">
        <f>WEEKNUM(C2509,1)</f>
        <v>46</v>
      </c>
      <c r="B2509" s="3440"/>
      <c r="C2509" s="2585">
        <v>45607</v>
      </c>
      <c r="D2509" s="2586"/>
      <c r="E2509" s="2587"/>
      <c r="F2509" s="2906" t="s">
        <v>944</v>
      </c>
      <c r="G2509" s="2588"/>
      <c r="H2509" s="2589">
        <f>IFERROR(VLOOKUP(F2509,Trainingsarten!$A$9:$K$84,10,FALSE),"")</f>
        <v>5.0855335173981304</v>
      </c>
      <c r="I2509" s="2590">
        <f t="shared" si="569"/>
        <v>0</v>
      </c>
      <c r="J2509" s="2591"/>
      <c r="K2509" s="2592">
        <f>IFERROR(VLOOKUP(F2509,Trainingsarten!$A$9:$K$84,11,FALSE),"0")</f>
        <v>36.125</v>
      </c>
      <c r="L2509" s="2815"/>
      <c r="M2509" s="2591"/>
      <c r="N2509" s="2593" t="str">
        <f t="shared" si="570"/>
        <v/>
      </c>
      <c r="O2509" s="2594"/>
      <c r="P2509" s="1919">
        <f>IFERROR(VLOOKUP(F2509,Trainingsarten!$A$9:$N$84,12,FALSE),"")</f>
        <v>194.60000000000002</v>
      </c>
      <c r="Q2509" s="2461" t="s">
        <v>437</v>
      </c>
      <c r="R2509" s="3089">
        <f>IFERROR(VLOOKUP(F2509,Trainingsarten!$A$9:$N$84,14,FALSE),"")</f>
        <v>212.96</v>
      </c>
      <c r="S2509" s="2595" t="str">
        <f t="shared" si="571"/>
        <v/>
      </c>
      <c r="T2509" s="2586">
        <f t="shared" si="572"/>
        <v>31.195991683354116</v>
      </c>
      <c r="U2509" s="2586">
        <f t="shared" si="573"/>
        <v>37.08306301089528</v>
      </c>
      <c r="V2509" s="2586">
        <f t="shared" si="574"/>
        <v>6.7319401041584541</v>
      </c>
      <c r="W2509" s="3283">
        <f t="shared" si="575"/>
        <v>0.8412463575133613</v>
      </c>
      <c r="X2509" s="3300"/>
      <c r="Y2509" s="3316">
        <f t="shared" si="568"/>
        <v>0</v>
      </c>
      <c r="Z2509" s="2597">
        <f t="shared" si="576"/>
        <v>3.2318475021978711E-13</v>
      </c>
      <c r="AA2509" s="2597">
        <f t="shared" si="577"/>
        <v>0.17552022666418185</v>
      </c>
      <c r="AB2509" s="3325">
        <f t="shared" si="578"/>
        <v>1.8412963358241775E-12</v>
      </c>
    </row>
    <row r="2510" spans="1:28" x14ac:dyDescent="0.2">
      <c r="A2510" s="2934" t="s">
        <v>626</v>
      </c>
      <c r="B2510" s="3004">
        <f>SUM(H2509:H2515)</f>
        <v>30.513201104388784</v>
      </c>
      <c r="C2510" s="2937">
        <v>45608</v>
      </c>
      <c r="D2510" s="3090"/>
      <c r="E2510" s="3091"/>
      <c r="F2510" s="2907" t="s">
        <v>944</v>
      </c>
      <c r="G2510" s="3092"/>
      <c r="H2510" s="3093">
        <f>IFERROR(VLOOKUP(F2510,Trainingsarten!$A$9:$K$84,10,FALSE),"")</f>
        <v>5.0855335173981304</v>
      </c>
      <c r="I2510" s="3094">
        <f t="shared" si="569"/>
        <v>0</v>
      </c>
      <c r="J2510" s="3095"/>
      <c r="K2510" s="3096">
        <f>IFERROR(VLOOKUP(F2510,Trainingsarten!$A$9:$K$84,11,FALSE),"0")</f>
        <v>36.125</v>
      </c>
      <c r="L2510" s="2816"/>
      <c r="M2510" s="3095"/>
      <c r="N2510" s="3097" t="str">
        <f t="shared" si="570"/>
        <v/>
      </c>
      <c r="O2510" s="3098"/>
      <c r="P2510" s="2897">
        <f>IFERROR(VLOOKUP(F2510,Trainingsarten!$A$9:$N$84,12,FALSE),"")</f>
        <v>194.60000000000002</v>
      </c>
      <c r="Q2510" s="2898" t="s">
        <v>437</v>
      </c>
      <c r="R2510" s="3099">
        <f>IFERROR(VLOOKUP(F2510,Trainingsarten!$A$9:$N$84,14,FALSE),"")</f>
        <v>212.96</v>
      </c>
      <c r="S2510" s="3100" t="str">
        <f t="shared" si="571"/>
        <v/>
      </c>
      <c r="T2510" s="3090">
        <f t="shared" si="572"/>
        <v>31.900135728589241</v>
      </c>
      <c r="U2510" s="3090">
        <f t="shared" si="573"/>
        <v>37.060251986826344</v>
      </c>
      <c r="V2510" s="3090">
        <f t="shared" si="574"/>
        <v>5.8870713275411646</v>
      </c>
      <c r="W2510" s="3284">
        <f t="shared" si="575"/>
        <v>0.86076413457546519</v>
      </c>
      <c r="X2510" s="3300"/>
      <c r="Y2510" s="3316">
        <f t="shared" ref="Y2510:Y2564" si="579">IFERROR(X2510/K2510,"")</f>
        <v>0</v>
      </c>
      <c r="Z2510" s="2597">
        <f t="shared" si="576"/>
        <v>2.7701550018838896E-13</v>
      </c>
      <c r="AA2510" s="2597">
        <f t="shared" si="577"/>
        <v>0.17134117364836798</v>
      </c>
      <c r="AB2510" s="3325">
        <f t="shared" si="578"/>
        <v>1.6167480021870827E-12</v>
      </c>
    </row>
    <row r="2511" spans="1:28" x14ac:dyDescent="0.2">
      <c r="A2511" s="2935" t="s">
        <v>628</v>
      </c>
      <c r="B2511" s="3005">
        <f>SUM(K2509:K2515)</f>
        <v>216.75</v>
      </c>
      <c r="C2511" s="2937">
        <v>45609</v>
      </c>
      <c r="D2511" s="3090"/>
      <c r="E2511" s="3091"/>
      <c r="F2511" s="2907"/>
      <c r="G2511" s="3092"/>
      <c r="H2511" s="3093" t="str">
        <f>IFERROR(VLOOKUP(F2511,Trainingsarten!$A$9:$K$84,10,FALSE),"")</f>
        <v/>
      </c>
      <c r="I2511" s="3094" t="str">
        <f t="shared" si="569"/>
        <v/>
      </c>
      <c r="J2511" s="3095"/>
      <c r="K2511" s="3096" t="str">
        <f>IFERROR(VLOOKUP(F2511,Trainingsarten!$A$9:$K$84,11,FALSE),"0")</f>
        <v>0</v>
      </c>
      <c r="L2511" s="2816"/>
      <c r="M2511" s="3095"/>
      <c r="N2511" s="3097" t="str">
        <f t="shared" si="570"/>
        <v/>
      </c>
      <c r="O2511" s="3098"/>
      <c r="P2511" s="2897" t="str">
        <f>IFERROR(VLOOKUP(F2511,Trainingsarten!$A$9:$N$84,12,FALSE),"")</f>
        <v/>
      </c>
      <c r="Q2511" s="2898" t="s">
        <v>437</v>
      </c>
      <c r="R2511" s="3099" t="str">
        <f>IFERROR(VLOOKUP(F2511,Trainingsarten!$A$9:$N$84,14,FALSE),"")</f>
        <v/>
      </c>
      <c r="S2511" s="3100" t="str">
        <f t="shared" si="571"/>
        <v/>
      </c>
      <c r="T2511" s="3090">
        <f t="shared" si="572"/>
        <v>27.34297348164792</v>
      </c>
      <c r="U2511" s="3090">
        <f t="shared" si="573"/>
        <v>36.177865034759051</v>
      </c>
      <c r="V2511" s="3090">
        <f t="shared" si="574"/>
        <v>5.1601162582371032</v>
      </c>
      <c r="W2511" s="3284">
        <f t="shared" si="575"/>
        <v>0.75579289865162791</v>
      </c>
      <c r="X2511" s="3300"/>
      <c r="Y2511" s="3316" t="str">
        <f t="shared" si="579"/>
        <v/>
      </c>
      <c r="Z2511" s="2597">
        <f t="shared" si="576"/>
        <v>2.3744185730433338E-13</v>
      </c>
      <c r="AA2511" s="2597">
        <f t="shared" si="577"/>
        <v>0.1672616218948354</v>
      </c>
      <c r="AB2511" s="3325">
        <f t="shared" si="578"/>
        <v>1.4195836116764629E-12</v>
      </c>
    </row>
    <row r="2512" spans="1:28" x14ac:dyDescent="0.2">
      <c r="A2512" s="2935" t="s">
        <v>761</v>
      </c>
      <c r="B2512" s="3006">
        <f>AVERAGE(W2509:W2515)</f>
        <v>0.81089704980263144</v>
      </c>
      <c r="C2512" s="2937">
        <v>45610</v>
      </c>
      <c r="D2512" s="3090"/>
      <c r="E2512" s="3091"/>
      <c r="F2512" s="2907" t="s">
        <v>944</v>
      </c>
      <c r="G2512" s="3092"/>
      <c r="H2512" s="3093">
        <f>IFERROR(VLOOKUP(F2512,Trainingsarten!$A$9:$K$84,10,FALSE),"")</f>
        <v>5.0855335173981304</v>
      </c>
      <c r="I2512" s="3094">
        <f t="shared" si="569"/>
        <v>0</v>
      </c>
      <c r="J2512" s="3095"/>
      <c r="K2512" s="3096">
        <f>IFERROR(VLOOKUP(F2512,Trainingsarten!$A$9:$K$84,11,FALSE),"0")</f>
        <v>36.125</v>
      </c>
      <c r="L2512" s="2816"/>
      <c r="M2512" s="3095"/>
      <c r="N2512" s="3097" t="str">
        <f t="shared" si="570"/>
        <v/>
      </c>
      <c r="O2512" s="3098"/>
      <c r="P2512" s="2897">
        <f>IFERROR(VLOOKUP(F2512,Trainingsarten!$A$9:$N$84,12,FALSE),"")</f>
        <v>194.60000000000002</v>
      </c>
      <c r="Q2512" s="2898" t="s">
        <v>437</v>
      </c>
      <c r="R2512" s="3099">
        <f>IFERROR(VLOOKUP(F2512,Trainingsarten!$A$9:$N$84,14,FALSE),"")</f>
        <v>212.96</v>
      </c>
      <c r="S2512" s="3100" t="str">
        <f t="shared" si="571"/>
        <v/>
      </c>
      <c r="T2512" s="3090">
        <f t="shared" si="572"/>
        <v>28.597548698555361</v>
      </c>
      <c r="U2512" s="3090">
        <f t="shared" si="573"/>
        <v>36.176606343455262</v>
      </c>
      <c r="V2512" s="3090">
        <f t="shared" si="574"/>
        <v>8.8348915531111309</v>
      </c>
      <c r="W2512" s="3284">
        <f t="shared" si="575"/>
        <v>0.79049837972789738</v>
      </c>
      <c r="X2512" s="3300"/>
      <c r="Y2512" s="3316">
        <f t="shared" si="579"/>
        <v>0</v>
      </c>
      <c r="Z2512" s="2597">
        <f t="shared" si="576"/>
        <v>2.035215919751429E-13</v>
      </c>
      <c r="AA2512" s="2597">
        <f t="shared" si="577"/>
        <v>0.16327920232591076</v>
      </c>
      <c r="AB2512" s="3325">
        <f t="shared" si="578"/>
        <v>1.2464636590329918E-12</v>
      </c>
    </row>
    <row r="2513" spans="1:28" x14ac:dyDescent="0.2">
      <c r="A2513" s="2935" t="s">
        <v>979</v>
      </c>
      <c r="B2513" s="3131" t="str">
        <f>IFERROR(AVERAGE(N2509:N2515),"")</f>
        <v/>
      </c>
      <c r="C2513" s="2937">
        <v>45611</v>
      </c>
      <c r="D2513" s="3090"/>
      <c r="E2513" s="3091"/>
      <c r="F2513" s="3342" t="s">
        <v>944</v>
      </c>
      <c r="G2513" s="3092"/>
      <c r="H2513" s="3093">
        <f>IFERROR(VLOOKUP(F2513,Trainingsarten!$A$9:$K$84,10,FALSE),"")</f>
        <v>5.0855335173981304</v>
      </c>
      <c r="I2513" s="3094">
        <f t="shared" si="569"/>
        <v>0</v>
      </c>
      <c r="J2513" s="3095"/>
      <c r="K2513" s="3096">
        <f>IFERROR(VLOOKUP(F2513,Trainingsarten!$A$9:$K$84,11,FALSE),"0")</f>
        <v>36.125</v>
      </c>
      <c r="L2513" s="2816"/>
      <c r="M2513" s="3095"/>
      <c r="N2513" s="3097" t="str">
        <f t="shared" si="570"/>
        <v/>
      </c>
      <c r="O2513" s="3098"/>
      <c r="P2513" s="2897">
        <f>IFERROR(VLOOKUP(F2513,Trainingsarten!$A$9:$N$84,12,FALSE),"")</f>
        <v>194.60000000000002</v>
      </c>
      <c r="Q2513" s="2898" t="s">
        <v>437</v>
      </c>
      <c r="R2513" s="3099">
        <f>IFERROR(VLOOKUP(F2513,Trainingsarten!$A$9:$N$84,14,FALSE),"")</f>
        <v>212.96</v>
      </c>
      <c r="S2513" s="3100" t="str">
        <f t="shared" si="571"/>
        <v/>
      </c>
      <c r="T2513" s="3090">
        <f t="shared" si="572"/>
        <v>29.672898884476023</v>
      </c>
      <c r="U2513" s="3090">
        <f t="shared" si="573"/>
        <v>36.175377620992045</v>
      </c>
      <c r="V2513" s="3090">
        <f t="shared" si="574"/>
        <v>7.5790576448999012</v>
      </c>
      <c r="W2513" s="3284">
        <f t="shared" si="575"/>
        <v>0.82025125474453298</v>
      </c>
      <c r="X2513" s="3300"/>
      <c r="Y2513" s="3316">
        <f t="shared" si="579"/>
        <v>0</v>
      </c>
      <c r="Z2513" s="2597">
        <f t="shared" si="576"/>
        <v>1.7444707883583676E-13</v>
      </c>
      <c r="AA2513" s="2597">
        <f t="shared" si="577"/>
        <v>0.15939160227053192</v>
      </c>
      <c r="AB2513" s="3325">
        <f t="shared" si="578"/>
        <v>1.0944558957362854E-12</v>
      </c>
    </row>
    <row r="2514" spans="1:28" x14ac:dyDescent="0.2">
      <c r="A2514" s="2935" t="s">
        <v>980</v>
      </c>
      <c r="B2514" s="3006" t="str">
        <f>IFERROR(AVERAGE(S2509:S2515),"")</f>
        <v/>
      </c>
      <c r="C2514" s="2937">
        <v>45612</v>
      </c>
      <c r="D2514" s="3090"/>
      <c r="E2514" s="3091"/>
      <c r="F2514" s="3342"/>
      <c r="G2514" s="3092"/>
      <c r="H2514" s="3093" t="str">
        <f>IFERROR(VLOOKUP(F2514,Trainingsarten!$A$9:$K$84,10,FALSE),"")</f>
        <v/>
      </c>
      <c r="I2514" s="3094" t="str">
        <f t="shared" ref="I2514:I2538" si="580">IFERROR(G2514/H2514,"")</f>
        <v/>
      </c>
      <c r="J2514" s="3095"/>
      <c r="K2514" s="3096" t="str">
        <f>IFERROR(VLOOKUP(F2514,Trainingsarten!$A$9:$K$84,11,FALSE),"0")</f>
        <v>0</v>
      </c>
      <c r="L2514" s="2816"/>
      <c r="M2514" s="3095"/>
      <c r="N2514" s="3097" t="str">
        <f t="shared" ref="N2514:N2538" si="581">IFERROR((L2514/67)/(1/(I2514*24)/3.6),"")</f>
        <v/>
      </c>
      <c r="O2514" s="3098"/>
      <c r="P2514" s="2897" t="str">
        <f>IFERROR(VLOOKUP(F2514,Trainingsarten!$A$9:$N$84,12,FALSE),"")</f>
        <v/>
      </c>
      <c r="Q2514" s="2898" t="s">
        <v>437</v>
      </c>
      <c r="R2514" s="3099" t="str">
        <f>IFERROR(VLOOKUP(F2514,Trainingsarten!$A$9:$N$84,14,FALSE),"")</f>
        <v/>
      </c>
      <c r="S2514" s="3100" t="str">
        <f t="shared" ref="S2514:S2538" si="582">IFERROR(L2514/J2514,"")</f>
        <v/>
      </c>
      <c r="T2514" s="3090">
        <f t="shared" ref="T2514:T2538" si="583">T2513+(K2514-T2513)/7</f>
        <v>25.433913329550876</v>
      </c>
      <c r="U2514" s="3090">
        <f t="shared" ref="U2514:U2538" si="584">U2513+(K2514-U2513)/42</f>
        <v>35.314059106206521</v>
      </c>
      <c r="V2514" s="3090">
        <f t="shared" ref="V2514:V2538" si="585">U2513-T2513</f>
        <v>6.5024787365160215</v>
      </c>
      <c r="W2514" s="3284">
        <f t="shared" ref="W2514:W2538" si="586">T2514/U2514</f>
        <v>0.72022061392202885</v>
      </c>
      <c r="X2514" s="3300"/>
      <c r="Y2514" s="3316" t="str">
        <f t="shared" si="579"/>
        <v/>
      </c>
      <c r="Z2514" s="2597">
        <f t="shared" si="576"/>
        <v>1.4952606757357438E-13</v>
      </c>
      <c r="AA2514" s="2597">
        <f t="shared" si="577"/>
        <v>0.15559656412123354</v>
      </c>
      <c r="AB2514" s="3325">
        <f t="shared" si="578"/>
        <v>9.609856645489337E-13</v>
      </c>
    </row>
    <row r="2515" spans="1:28" ht="16" thickBot="1" x14ac:dyDescent="0.25">
      <c r="A2515" s="2936" t="s">
        <v>183</v>
      </c>
      <c r="B2515" s="3003">
        <f>IFERROR(SUM(M2509:M2515),"")</f>
        <v>0</v>
      </c>
      <c r="C2515" s="2576">
        <v>45613</v>
      </c>
      <c r="D2515" s="1788"/>
      <c r="E2515" s="1789"/>
      <c r="F2515" s="2909" t="s">
        <v>819</v>
      </c>
      <c r="G2515" s="2577"/>
      <c r="H2515" s="2578">
        <f>IFERROR(VLOOKUP(F2515,Trainingsarten!$A$9:$K$84,10,FALSE),"")</f>
        <v>10.171067034796261</v>
      </c>
      <c r="I2515" s="2579">
        <f t="shared" si="580"/>
        <v>0</v>
      </c>
      <c r="J2515" s="2580"/>
      <c r="K2515" s="2581">
        <f>IFERROR(VLOOKUP(F2515,Trainingsarten!$A$9:$K$84,11,FALSE),"0")</f>
        <v>72.25</v>
      </c>
      <c r="L2515" s="3101"/>
      <c r="M2515" s="2580"/>
      <c r="N2515" s="2582" t="str">
        <f t="shared" si="581"/>
        <v/>
      </c>
      <c r="O2515" s="2583"/>
      <c r="P2515" s="3102">
        <f>IFERROR(VLOOKUP(F2515,Trainingsarten!$A$9:$N$84,12,FALSE),"")</f>
        <v>194.60000000000002</v>
      </c>
      <c r="Q2515" s="3103" t="s">
        <v>437</v>
      </c>
      <c r="R2515" s="3104">
        <f>IFERROR(VLOOKUP(F2515,Trainingsarten!$A$9:$N$84,14,FALSE),"")</f>
        <v>212.96</v>
      </c>
      <c r="S2515" s="2390" t="str">
        <f t="shared" si="582"/>
        <v/>
      </c>
      <c r="T2515" s="1788">
        <f t="shared" si="583"/>
        <v>32.121925711043609</v>
      </c>
      <c r="U2515" s="1788">
        <f t="shared" si="584"/>
        <v>36.193486270344458</v>
      </c>
      <c r="V2515" s="1788">
        <f t="shared" si="585"/>
        <v>9.8801457766556453</v>
      </c>
      <c r="W2515" s="3293">
        <f t="shared" si="586"/>
        <v>0.88750570948350649</v>
      </c>
      <c r="X2515" s="3300"/>
      <c r="Y2515" s="3316">
        <f t="shared" si="579"/>
        <v>0</v>
      </c>
      <c r="Z2515" s="2597">
        <f t="shared" si="576"/>
        <v>1.2816520077734947E-13</v>
      </c>
      <c r="AA2515" s="2597">
        <f t="shared" si="577"/>
        <v>0.15189188402310894</v>
      </c>
      <c r="AB2515" s="3325">
        <f t="shared" si="578"/>
        <v>8.4379229082345397E-13</v>
      </c>
    </row>
    <row r="2516" spans="1:28" ht="16" thickBot="1" x14ac:dyDescent="0.25">
      <c r="A2516" s="3439">
        <f>WEEKNUM(C2516,1)</f>
        <v>47</v>
      </c>
      <c r="B2516" s="3440"/>
      <c r="C2516" s="2585">
        <v>45614</v>
      </c>
      <c r="D2516" s="2586"/>
      <c r="E2516" s="2587"/>
      <c r="F2516" s="2906" t="s">
        <v>944</v>
      </c>
      <c r="G2516" s="2588"/>
      <c r="H2516" s="2589">
        <f>IFERROR(VLOOKUP(F2516,Trainingsarten!$A$9:$K$84,10,FALSE),"")</f>
        <v>5.0855335173981304</v>
      </c>
      <c r="I2516" s="2590">
        <f t="shared" si="580"/>
        <v>0</v>
      </c>
      <c r="J2516" s="2591"/>
      <c r="K2516" s="2592">
        <f>IFERROR(VLOOKUP(F2516,Trainingsarten!$A$9:$K$84,11,FALSE),"0")</f>
        <v>36.125</v>
      </c>
      <c r="L2516" s="2815"/>
      <c r="M2516" s="2591"/>
      <c r="N2516" s="2593" t="str">
        <f t="shared" si="581"/>
        <v/>
      </c>
      <c r="O2516" s="2594"/>
      <c r="P2516" s="1919">
        <f>IFERROR(VLOOKUP(F2516,Trainingsarten!$A$9:$N$84,12,FALSE),"")</f>
        <v>194.60000000000002</v>
      </c>
      <c r="Q2516" s="2461" t="s">
        <v>437</v>
      </c>
      <c r="R2516" s="3089">
        <f>IFERROR(VLOOKUP(F2516,Trainingsarten!$A$9:$N$84,14,FALSE),"")</f>
        <v>212.96</v>
      </c>
      <c r="S2516" s="2595" t="str">
        <f t="shared" si="582"/>
        <v/>
      </c>
      <c r="T2516" s="2586">
        <f t="shared" si="583"/>
        <v>32.69379346660881</v>
      </c>
      <c r="U2516" s="2586">
        <f t="shared" si="584"/>
        <v>36.19185564486007</v>
      </c>
      <c r="V2516" s="2586">
        <f t="shared" si="585"/>
        <v>4.071560559300849</v>
      </c>
      <c r="W2516" s="3283">
        <f t="shared" si="586"/>
        <v>0.90334670284450991</v>
      </c>
      <c r="X2516" s="3300"/>
      <c r="Y2516" s="3316">
        <f t="shared" si="579"/>
        <v>0</v>
      </c>
      <c r="Z2516" s="2597">
        <f t="shared" si="576"/>
        <v>1.0985588638058527E-13</v>
      </c>
      <c r="AA2516" s="2597">
        <f t="shared" si="577"/>
        <v>0.1482754105939873</v>
      </c>
      <c r="AB2516" s="3325">
        <f t="shared" si="578"/>
        <v>7.4089079194254497E-13</v>
      </c>
    </row>
    <row r="2517" spans="1:28" x14ac:dyDescent="0.2">
      <c r="A2517" s="2934" t="s">
        <v>626</v>
      </c>
      <c r="B2517" s="3004">
        <f>SUM(H2516:H2522)</f>
        <v>30.513201104388784</v>
      </c>
      <c r="C2517" s="2937">
        <v>45615</v>
      </c>
      <c r="D2517" s="3090"/>
      <c r="E2517" s="3091"/>
      <c r="F2517" s="2907" t="s">
        <v>944</v>
      </c>
      <c r="G2517" s="3092"/>
      <c r="H2517" s="3093">
        <f>IFERROR(VLOOKUP(F2517,Trainingsarten!$A$9:$K$84,10,FALSE),"")</f>
        <v>5.0855335173981304</v>
      </c>
      <c r="I2517" s="3094">
        <f t="shared" si="580"/>
        <v>0</v>
      </c>
      <c r="J2517" s="3095"/>
      <c r="K2517" s="3096">
        <f>IFERROR(VLOOKUP(F2517,Trainingsarten!$A$9:$K$84,11,FALSE),"0")</f>
        <v>36.125</v>
      </c>
      <c r="L2517" s="2816"/>
      <c r="M2517" s="3095"/>
      <c r="N2517" s="3097" t="str">
        <f t="shared" si="581"/>
        <v/>
      </c>
      <c r="O2517" s="3098"/>
      <c r="P2517" s="2897">
        <f>IFERROR(VLOOKUP(F2517,Trainingsarten!$A$9:$N$84,12,FALSE),"")</f>
        <v>194.60000000000002</v>
      </c>
      <c r="Q2517" s="2898" t="s">
        <v>437</v>
      </c>
      <c r="R2517" s="3099">
        <f>IFERROR(VLOOKUP(F2517,Trainingsarten!$A$9:$N$84,14,FALSE),"")</f>
        <v>212.96</v>
      </c>
      <c r="S2517" s="3100" t="str">
        <f t="shared" si="582"/>
        <v/>
      </c>
      <c r="T2517" s="3090">
        <f t="shared" si="583"/>
        <v>33.183965828521835</v>
      </c>
      <c r="U2517" s="3090">
        <f t="shared" si="584"/>
        <v>36.190263843791975</v>
      </c>
      <c r="V2517" s="3090">
        <f t="shared" si="585"/>
        <v>3.49806217825126</v>
      </c>
      <c r="W2517" s="3284">
        <f t="shared" si="586"/>
        <v>0.9169307516450772</v>
      </c>
      <c r="X2517" s="3300"/>
      <c r="Y2517" s="3316">
        <f t="shared" si="579"/>
        <v>0</v>
      </c>
      <c r="Z2517" s="2597">
        <f t="shared" si="576"/>
        <v>9.4162188326215943E-14</v>
      </c>
      <c r="AA2517" s="2597">
        <f t="shared" si="577"/>
        <v>0.14474504367508284</v>
      </c>
      <c r="AB2517" s="3325">
        <f t="shared" si="578"/>
        <v>6.5053825633979552E-13</v>
      </c>
    </row>
    <row r="2518" spans="1:28" x14ac:dyDescent="0.2">
      <c r="A2518" s="2935" t="s">
        <v>628</v>
      </c>
      <c r="B2518" s="3005">
        <f>SUM(K2516:K2522)</f>
        <v>216.75</v>
      </c>
      <c r="C2518" s="2937">
        <v>45616</v>
      </c>
      <c r="D2518" s="3090"/>
      <c r="E2518" s="3091"/>
      <c r="F2518" s="2907"/>
      <c r="G2518" s="3092"/>
      <c r="H2518" s="3093" t="str">
        <f>IFERROR(VLOOKUP(F2518,Trainingsarten!$A$9:$K$84,10,FALSE),"")</f>
        <v/>
      </c>
      <c r="I2518" s="3094" t="str">
        <f t="shared" si="580"/>
        <v/>
      </c>
      <c r="J2518" s="3095"/>
      <c r="K2518" s="3096" t="str">
        <f>IFERROR(VLOOKUP(F2518,Trainingsarten!$A$9:$K$84,11,FALSE),"0")</f>
        <v>0</v>
      </c>
      <c r="L2518" s="2816"/>
      <c r="M2518" s="3095"/>
      <c r="N2518" s="3097" t="str">
        <f t="shared" si="581"/>
        <v/>
      </c>
      <c r="O2518" s="3098"/>
      <c r="P2518" s="2897" t="str">
        <f>IFERROR(VLOOKUP(F2518,Trainingsarten!$A$9:$N$84,12,FALSE),"")</f>
        <v/>
      </c>
      <c r="Q2518" s="2898" t="s">
        <v>437</v>
      </c>
      <c r="R2518" s="3099" t="str">
        <f>IFERROR(VLOOKUP(F2518,Trainingsarten!$A$9:$N$84,14,FALSE),"")</f>
        <v/>
      </c>
      <c r="S2518" s="3100" t="str">
        <f t="shared" si="582"/>
        <v/>
      </c>
      <c r="T2518" s="3090">
        <f t="shared" si="583"/>
        <v>28.443399281590146</v>
      </c>
      <c r="U2518" s="3090">
        <f t="shared" si="584"/>
        <v>35.328590895130262</v>
      </c>
      <c r="V2518" s="3090">
        <f t="shared" si="585"/>
        <v>3.00629801527014</v>
      </c>
      <c r="W2518" s="3284">
        <f t="shared" si="586"/>
        <v>0.80510992827372629</v>
      </c>
      <c r="X2518" s="3300"/>
      <c r="Y2518" s="3316" t="str">
        <f t="shared" si="579"/>
        <v/>
      </c>
      <c r="Z2518" s="2597">
        <f t="shared" si="576"/>
        <v>8.0710447136756528E-14</v>
      </c>
      <c r="AA2518" s="2597">
        <f t="shared" si="577"/>
        <v>0.14129873311139038</v>
      </c>
      <c r="AB2518" s="3325">
        <f t="shared" si="578"/>
        <v>5.7120432263982057E-13</v>
      </c>
    </row>
    <row r="2519" spans="1:28" x14ac:dyDescent="0.2">
      <c r="A2519" s="2935" t="s">
        <v>761</v>
      </c>
      <c r="B2519" s="3006">
        <f>AVERAGE(W2516:W2522)</f>
        <v>0.85762353397778313</v>
      </c>
      <c r="C2519" s="2937">
        <v>45617</v>
      </c>
      <c r="D2519" s="3090"/>
      <c r="E2519" s="3091"/>
      <c r="F2519" s="2907" t="s">
        <v>944</v>
      </c>
      <c r="G2519" s="3092"/>
      <c r="H2519" s="3093">
        <f>IFERROR(VLOOKUP(F2519,Trainingsarten!$A$9:$K$84,10,FALSE),"")</f>
        <v>5.0855335173981304</v>
      </c>
      <c r="I2519" s="3094">
        <f t="shared" si="580"/>
        <v>0</v>
      </c>
      <c r="J2519" s="3095"/>
      <c r="K2519" s="3096">
        <f>IFERROR(VLOOKUP(F2519,Trainingsarten!$A$9:$K$84,11,FALSE),"0")</f>
        <v>36.125</v>
      </c>
      <c r="L2519" s="2816"/>
      <c r="M2519" s="3095"/>
      <c r="N2519" s="3097" t="str">
        <f t="shared" si="581"/>
        <v/>
      </c>
      <c r="O2519" s="3098"/>
      <c r="P2519" s="2897">
        <f>IFERROR(VLOOKUP(F2519,Trainingsarten!$A$9:$N$84,12,FALSE),"")</f>
        <v>194.60000000000002</v>
      </c>
      <c r="Q2519" s="2898" t="s">
        <v>437</v>
      </c>
      <c r="R2519" s="3099">
        <f>IFERROR(VLOOKUP(F2519,Trainingsarten!$A$9:$N$84,14,FALSE),"")</f>
        <v>212.96</v>
      </c>
      <c r="S2519" s="3100" t="str">
        <f t="shared" si="582"/>
        <v/>
      </c>
      <c r="T2519" s="3090">
        <f t="shared" si="583"/>
        <v>29.540770812791553</v>
      </c>
      <c r="U2519" s="3090">
        <f t="shared" si="584"/>
        <v>35.34755301667478</v>
      </c>
      <c r="V2519" s="3090">
        <f t="shared" si="585"/>
        <v>6.8851916135401154</v>
      </c>
      <c r="W2519" s="3284">
        <f t="shared" si="586"/>
        <v>0.83572321962021112</v>
      </c>
      <c r="X2519" s="3300"/>
      <c r="Y2519" s="3316">
        <f t="shared" si="579"/>
        <v>0</v>
      </c>
      <c r="Z2519" s="2597">
        <f t="shared" si="576"/>
        <v>6.918038326007703E-14</v>
      </c>
      <c r="AA2519" s="2597">
        <f t="shared" si="577"/>
        <v>0.13793447756111918</v>
      </c>
      <c r="AB2519" s="3325">
        <f t="shared" si="578"/>
        <v>5.0154525890325715E-13</v>
      </c>
    </row>
    <row r="2520" spans="1:28" x14ac:dyDescent="0.2">
      <c r="A2520" s="2935" t="s">
        <v>979</v>
      </c>
      <c r="B2520" s="3131" t="str">
        <f>IFERROR(AVERAGE(N2516:N2522),"")</f>
        <v/>
      </c>
      <c r="C2520" s="2937">
        <v>45618</v>
      </c>
      <c r="D2520" s="3090"/>
      <c r="E2520" s="3091"/>
      <c r="F2520" s="3342" t="s">
        <v>944</v>
      </c>
      <c r="G2520" s="3092"/>
      <c r="H2520" s="3093">
        <f>IFERROR(VLOOKUP(F2520,Trainingsarten!$A$9:$K$84,10,FALSE),"")</f>
        <v>5.0855335173981304</v>
      </c>
      <c r="I2520" s="3094">
        <f t="shared" si="580"/>
        <v>0</v>
      </c>
      <c r="J2520" s="3095"/>
      <c r="K2520" s="3096">
        <f>IFERROR(VLOOKUP(F2520,Trainingsarten!$A$9:$K$84,11,FALSE),"0")</f>
        <v>36.125</v>
      </c>
      <c r="L2520" s="2816"/>
      <c r="M2520" s="3095"/>
      <c r="N2520" s="3097" t="str">
        <f t="shared" si="581"/>
        <v/>
      </c>
      <c r="O2520" s="3098"/>
      <c r="P2520" s="2897">
        <f>IFERROR(VLOOKUP(F2520,Trainingsarten!$A$9:$N$84,12,FALSE),"")</f>
        <v>194.60000000000002</v>
      </c>
      <c r="Q2520" s="2898" t="s">
        <v>437</v>
      </c>
      <c r="R2520" s="3099">
        <f>IFERROR(VLOOKUP(F2520,Trainingsarten!$A$9:$N$84,14,FALSE),"")</f>
        <v>212.96</v>
      </c>
      <c r="S2520" s="3100" t="str">
        <f t="shared" si="582"/>
        <v/>
      </c>
      <c r="T2520" s="3090">
        <f t="shared" si="583"/>
        <v>30.481374982392762</v>
      </c>
      <c r="U2520" s="3090">
        <f t="shared" si="584"/>
        <v>35.366063659134902</v>
      </c>
      <c r="V2520" s="3090">
        <f t="shared" si="585"/>
        <v>5.8067822038832269</v>
      </c>
      <c r="W2520" s="3284">
        <f t="shared" si="586"/>
        <v>0.86188203686387799</v>
      </c>
      <c r="X2520" s="3300"/>
      <c r="Y2520" s="3316">
        <f t="shared" si="579"/>
        <v>0</v>
      </c>
      <c r="Z2520" s="2597">
        <f t="shared" si="576"/>
        <v>5.9297471365780316E-14</v>
      </c>
      <c r="AA2520" s="2597">
        <f t="shared" si="577"/>
        <v>0.13465032333347349</v>
      </c>
      <c r="AB2520" s="3325">
        <f t="shared" si="578"/>
        <v>4.403812029394453E-13</v>
      </c>
    </row>
    <row r="2521" spans="1:28" x14ac:dyDescent="0.2">
      <c r="A2521" s="2935" t="s">
        <v>980</v>
      </c>
      <c r="B2521" s="3006" t="str">
        <f>IFERROR(AVERAGE(S2516:S2522),"")</f>
        <v/>
      </c>
      <c r="C2521" s="2937">
        <v>45619</v>
      </c>
      <c r="D2521" s="3090"/>
      <c r="E2521" s="3091"/>
      <c r="F2521" s="3342"/>
      <c r="G2521" s="3092"/>
      <c r="H2521" s="3093" t="str">
        <f>IFERROR(VLOOKUP(F2521,Trainingsarten!$A$9:$K$84,10,FALSE),"")</f>
        <v/>
      </c>
      <c r="I2521" s="3094" t="str">
        <f t="shared" si="580"/>
        <v/>
      </c>
      <c r="J2521" s="3095"/>
      <c r="K2521" s="3096" t="str">
        <f>IFERROR(VLOOKUP(F2521,Trainingsarten!$A$9:$K$84,11,FALSE),"0")</f>
        <v>0</v>
      </c>
      <c r="L2521" s="2816"/>
      <c r="M2521" s="3095"/>
      <c r="N2521" s="3097" t="str">
        <f t="shared" si="581"/>
        <v/>
      </c>
      <c r="O2521" s="3098"/>
      <c r="P2521" s="2897" t="str">
        <f>IFERROR(VLOOKUP(F2521,Trainingsarten!$A$9:$N$84,12,FALSE),"")</f>
        <v/>
      </c>
      <c r="Q2521" s="2898" t="s">
        <v>437</v>
      </c>
      <c r="R2521" s="3099" t="str">
        <f>IFERROR(VLOOKUP(F2521,Trainingsarten!$A$9:$N$84,14,FALSE),"")</f>
        <v/>
      </c>
      <c r="S2521" s="3100" t="str">
        <f t="shared" si="582"/>
        <v/>
      </c>
      <c r="T2521" s="3090">
        <f t="shared" si="583"/>
        <v>26.126892842050939</v>
      </c>
      <c r="U2521" s="3090">
        <f t="shared" si="584"/>
        <v>34.524014524393593</v>
      </c>
      <c r="V2521" s="3090">
        <f t="shared" si="585"/>
        <v>4.8846886767421402</v>
      </c>
      <c r="W2521" s="3284">
        <f t="shared" si="586"/>
        <v>0.7567744713926734</v>
      </c>
      <c r="X2521" s="3300"/>
      <c r="Y2521" s="3316" t="str">
        <f t="shared" si="579"/>
        <v/>
      </c>
      <c r="Z2521" s="2597">
        <f t="shared" si="576"/>
        <v>5.0826404027811702E-14</v>
      </c>
      <c r="AA2521" s="2597">
        <f t="shared" si="577"/>
        <v>0.13144436325410508</v>
      </c>
      <c r="AB2521" s="3325">
        <f t="shared" si="578"/>
        <v>3.8667617819073247E-13</v>
      </c>
    </row>
    <row r="2522" spans="1:28" ht="16" thickBot="1" x14ac:dyDescent="0.25">
      <c r="A2522" s="2936" t="s">
        <v>183</v>
      </c>
      <c r="B2522" s="3003">
        <f>IFERROR(SUM(M2516:M2522),"")</f>
        <v>0</v>
      </c>
      <c r="C2522" s="2576">
        <v>45620</v>
      </c>
      <c r="D2522" s="1788"/>
      <c r="E2522" s="1789"/>
      <c r="F2522" s="2909" t="s">
        <v>819</v>
      </c>
      <c r="G2522" s="2577"/>
      <c r="H2522" s="2578">
        <f>IFERROR(VLOOKUP(F2522,Trainingsarten!$A$9:$K$84,10,FALSE),"")</f>
        <v>10.171067034796261</v>
      </c>
      <c r="I2522" s="2579">
        <f t="shared" si="580"/>
        <v>0</v>
      </c>
      <c r="J2522" s="2580"/>
      <c r="K2522" s="2581">
        <f>IFERROR(VLOOKUP(F2522,Trainingsarten!$A$9:$K$84,11,FALSE),"0")</f>
        <v>72.25</v>
      </c>
      <c r="L2522" s="3101"/>
      <c r="M2522" s="2580"/>
      <c r="N2522" s="2582" t="str">
        <f t="shared" si="581"/>
        <v/>
      </c>
      <c r="O2522" s="2583"/>
      <c r="P2522" s="3102">
        <f>IFERROR(VLOOKUP(F2522,Trainingsarten!$A$9:$N$84,12,FALSE),"")</f>
        <v>194.60000000000002</v>
      </c>
      <c r="Q2522" s="3103" t="s">
        <v>437</v>
      </c>
      <c r="R2522" s="3104">
        <f>IFERROR(VLOOKUP(F2522,Trainingsarten!$A$9:$N$84,14,FALSE),"")</f>
        <v>212.96</v>
      </c>
      <c r="S2522" s="2390" t="str">
        <f t="shared" si="582"/>
        <v/>
      </c>
      <c r="T2522" s="1788">
        <f t="shared" si="583"/>
        <v>32.715908150329376</v>
      </c>
      <c r="U2522" s="1788">
        <f t="shared" si="584"/>
        <v>35.422252273812795</v>
      </c>
      <c r="V2522" s="1788">
        <f t="shared" si="585"/>
        <v>8.3971216823426538</v>
      </c>
      <c r="W2522" s="3293">
        <f t="shared" si="586"/>
        <v>0.92359762720440608</v>
      </c>
      <c r="X2522" s="3300"/>
      <c r="Y2522" s="3316">
        <f t="shared" si="579"/>
        <v>0</v>
      </c>
      <c r="Z2522" s="2597">
        <f t="shared" si="576"/>
        <v>4.3565489166695746E-14</v>
      </c>
      <c r="AA2522" s="2597">
        <f t="shared" si="577"/>
        <v>0.12831473555757877</v>
      </c>
      <c r="AB2522" s="3325">
        <f t="shared" si="578"/>
        <v>3.3952054670405777E-13</v>
      </c>
    </row>
    <row r="2523" spans="1:28" ht="16" thickBot="1" x14ac:dyDescent="0.25">
      <c r="A2523" s="3439">
        <f>WEEKNUM(C2523,1)</f>
        <v>48</v>
      </c>
      <c r="B2523" s="3440"/>
      <c r="C2523" s="2585">
        <v>45621</v>
      </c>
      <c r="D2523" s="2586"/>
      <c r="E2523" s="2587"/>
      <c r="F2523" s="2906" t="s">
        <v>944</v>
      </c>
      <c r="G2523" s="2588"/>
      <c r="H2523" s="2589">
        <f>IFERROR(VLOOKUP(F2523,Trainingsarten!$A$9:$K$84,10,FALSE),"")</f>
        <v>5.0855335173981304</v>
      </c>
      <c r="I2523" s="2590">
        <f t="shared" si="580"/>
        <v>0</v>
      </c>
      <c r="J2523" s="2591"/>
      <c r="K2523" s="2592">
        <f>IFERROR(VLOOKUP(F2523,Trainingsarten!$A$9:$K$84,11,FALSE),"0")</f>
        <v>36.125</v>
      </c>
      <c r="L2523" s="2815"/>
      <c r="M2523" s="2591"/>
      <c r="N2523" s="2593" t="str">
        <f t="shared" si="581"/>
        <v/>
      </c>
      <c r="O2523" s="2594"/>
      <c r="P2523" s="1919">
        <f>IFERROR(VLOOKUP(F2523,Trainingsarten!$A$9:$N$84,12,FALSE),"")</f>
        <v>194.60000000000002</v>
      </c>
      <c r="Q2523" s="2461" t="s">
        <v>437</v>
      </c>
      <c r="R2523" s="3089">
        <f>IFERROR(VLOOKUP(F2523,Trainingsarten!$A$9:$N$84,14,FALSE),"")</f>
        <v>212.96</v>
      </c>
      <c r="S2523" s="2595" t="str">
        <f t="shared" si="582"/>
        <v/>
      </c>
      <c r="T2523" s="2586">
        <f t="shared" si="583"/>
        <v>33.202921271710892</v>
      </c>
      <c r="U2523" s="2586">
        <f t="shared" si="584"/>
        <v>35.438984362531535</v>
      </c>
      <c r="V2523" s="2586">
        <f t="shared" si="585"/>
        <v>2.7063441234834187</v>
      </c>
      <c r="W2523" s="3283">
        <f t="shared" si="586"/>
        <v>0.9369038607893978</v>
      </c>
      <c r="X2523" s="3300"/>
      <c r="Y2523" s="3316">
        <f t="shared" si="579"/>
        <v>0</v>
      </c>
      <c r="Z2523" s="2597">
        <f t="shared" si="576"/>
        <v>3.7341847857167781E-14</v>
      </c>
      <c r="AA2523" s="2597">
        <f t="shared" si="577"/>
        <v>0.12525962280620784</v>
      </c>
      <c r="AB2523" s="3325">
        <f t="shared" si="578"/>
        <v>2.9811560198405074E-13</v>
      </c>
    </row>
    <row r="2524" spans="1:28" x14ac:dyDescent="0.2">
      <c r="A2524" s="2934" t="s">
        <v>626</v>
      </c>
      <c r="B2524" s="3004">
        <f>SUM(H2523:H2529)</f>
        <v>30.513201104388784</v>
      </c>
      <c r="C2524" s="2937">
        <v>45622</v>
      </c>
      <c r="D2524" s="3090"/>
      <c r="E2524" s="3091"/>
      <c r="F2524" s="2907" t="s">
        <v>944</v>
      </c>
      <c r="G2524" s="3092"/>
      <c r="H2524" s="3093">
        <f>IFERROR(VLOOKUP(F2524,Trainingsarten!$A$9:$K$84,10,FALSE),"")</f>
        <v>5.0855335173981304</v>
      </c>
      <c r="I2524" s="3094">
        <f t="shared" si="580"/>
        <v>0</v>
      </c>
      <c r="J2524" s="3095"/>
      <c r="K2524" s="3096">
        <f>IFERROR(VLOOKUP(F2524,Trainingsarten!$A$9:$K$84,11,FALSE),"0")</f>
        <v>36.125</v>
      </c>
      <c r="L2524" s="2816"/>
      <c r="M2524" s="3095"/>
      <c r="N2524" s="3097" t="str">
        <f t="shared" si="581"/>
        <v/>
      </c>
      <c r="O2524" s="3098"/>
      <c r="P2524" s="2897">
        <f>IFERROR(VLOOKUP(F2524,Trainingsarten!$A$9:$N$84,12,FALSE),"")</f>
        <v>194.60000000000002</v>
      </c>
      <c r="Q2524" s="2898" t="s">
        <v>437</v>
      </c>
      <c r="R2524" s="3099">
        <f>IFERROR(VLOOKUP(F2524,Trainingsarten!$A$9:$N$84,14,FALSE),"")</f>
        <v>212.96</v>
      </c>
      <c r="S2524" s="3100" t="str">
        <f t="shared" si="582"/>
        <v/>
      </c>
      <c r="T2524" s="3090">
        <f t="shared" si="583"/>
        <v>33.62036109003791</v>
      </c>
      <c r="U2524" s="3090">
        <f t="shared" si="584"/>
        <v>35.455318068185548</v>
      </c>
      <c r="V2524" s="3090">
        <f t="shared" si="585"/>
        <v>2.2360630908206431</v>
      </c>
      <c r="W2524" s="3284">
        <f t="shared" si="586"/>
        <v>0.94824593098787724</v>
      </c>
      <c r="X2524" s="3300"/>
      <c r="Y2524" s="3316">
        <f t="shared" si="579"/>
        <v>0</v>
      </c>
      <c r="Z2524" s="2597">
        <f t="shared" ref="Z2524:Z2564" si="587">Z2523+(X2524-Z2523)/7</f>
        <v>3.2007298163286667E-14</v>
      </c>
      <c r="AA2524" s="2597">
        <f t="shared" ref="AA2524:AA2564" si="588">AA2523+(X2524-AA2523)/42</f>
        <v>0.12227725083463147</v>
      </c>
      <c r="AB2524" s="3325">
        <f t="shared" ref="AB2524:AB2564" si="589">Z2524/AA2524</f>
        <v>2.6176004076648354E-13</v>
      </c>
    </row>
    <row r="2525" spans="1:28" x14ac:dyDescent="0.2">
      <c r="A2525" s="2935" t="s">
        <v>628</v>
      </c>
      <c r="B2525" s="3005">
        <f>SUM(K2523:K2529)</f>
        <v>216.75</v>
      </c>
      <c r="C2525" s="2937">
        <v>45623</v>
      </c>
      <c r="D2525" s="3090"/>
      <c r="E2525" s="3091"/>
      <c r="F2525" s="2907"/>
      <c r="G2525" s="3092"/>
      <c r="H2525" s="3093" t="str">
        <f>IFERROR(VLOOKUP(F2525,Trainingsarten!$A$9:$K$84,10,FALSE),"")</f>
        <v/>
      </c>
      <c r="I2525" s="3094" t="str">
        <f t="shared" si="580"/>
        <v/>
      </c>
      <c r="J2525" s="3095"/>
      <c r="K2525" s="3096" t="str">
        <f>IFERROR(VLOOKUP(F2525,Trainingsarten!$A$9:$K$84,11,FALSE),"0")</f>
        <v>0</v>
      </c>
      <c r="L2525" s="2816"/>
      <c r="M2525" s="3095"/>
      <c r="N2525" s="3097" t="str">
        <f t="shared" si="581"/>
        <v/>
      </c>
      <c r="O2525" s="3098"/>
      <c r="P2525" s="2897" t="str">
        <f>IFERROR(VLOOKUP(F2525,Trainingsarten!$A$9:$N$84,12,FALSE),"")</f>
        <v/>
      </c>
      <c r="Q2525" s="2898" t="s">
        <v>437</v>
      </c>
      <c r="R2525" s="3099" t="str">
        <f>IFERROR(VLOOKUP(F2525,Trainingsarten!$A$9:$N$84,14,FALSE),"")</f>
        <v/>
      </c>
      <c r="S2525" s="3100" t="str">
        <f t="shared" si="582"/>
        <v/>
      </c>
      <c r="T2525" s="3090">
        <f t="shared" si="583"/>
        <v>28.81745236288964</v>
      </c>
      <c r="U2525" s="3090">
        <f t="shared" si="584"/>
        <v>34.611143828466844</v>
      </c>
      <c r="V2525" s="3090">
        <f t="shared" si="585"/>
        <v>1.8349569781476376</v>
      </c>
      <c r="W2525" s="3284">
        <f t="shared" si="586"/>
        <v>0.83260618330642888</v>
      </c>
      <c r="X2525" s="3300"/>
      <c r="Y2525" s="3316" t="str">
        <f t="shared" si="579"/>
        <v/>
      </c>
      <c r="Z2525" s="2597">
        <f t="shared" si="587"/>
        <v>2.7434826997102859E-14</v>
      </c>
      <c r="AA2525" s="2597">
        <f t="shared" si="588"/>
        <v>0.1193658877195212</v>
      </c>
      <c r="AB2525" s="3325">
        <f t="shared" si="589"/>
        <v>2.2983808457544899E-13</v>
      </c>
    </row>
    <row r="2526" spans="1:28" x14ac:dyDescent="0.2">
      <c r="A2526" s="2935" t="s">
        <v>761</v>
      </c>
      <c r="B2526" s="3006">
        <f>AVERAGE(W2523:W2529)</f>
        <v>0.8845404145117487</v>
      </c>
      <c r="C2526" s="2937">
        <v>45624</v>
      </c>
      <c r="D2526" s="3090"/>
      <c r="E2526" s="3091"/>
      <c r="F2526" s="2907" t="s">
        <v>944</v>
      </c>
      <c r="G2526" s="3092"/>
      <c r="H2526" s="3093">
        <f>IFERROR(VLOOKUP(F2526,Trainingsarten!$A$9:$K$84,10,FALSE),"")</f>
        <v>5.0855335173981304</v>
      </c>
      <c r="I2526" s="3094">
        <f t="shared" si="580"/>
        <v>0</v>
      </c>
      <c r="J2526" s="3095"/>
      <c r="K2526" s="3096">
        <f>IFERROR(VLOOKUP(F2526,Trainingsarten!$A$9:$K$84,11,FALSE),"0")</f>
        <v>36.125</v>
      </c>
      <c r="L2526" s="2816"/>
      <c r="M2526" s="3095"/>
      <c r="N2526" s="3097" t="str">
        <f t="shared" si="581"/>
        <v/>
      </c>
      <c r="O2526" s="3098"/>
      <c r="P2526" s="2897">
        <f>IFERROR(VLOOKUP(F2526,Trainingsarten!$A$9:$N$84,12,FALSE),"")</f>
        <v>194.60000000000002</v>
      </c>
      <c r="Q2526" s="2898" t="s">
        <v>437</v>
      </c>
      <c r="R2526" s="3099">
        <f>IFERROR(VLOOKUP(F2526,Trainingsarten!$A$9:$N$84,14,FALSE),"")</f>
        <v>212.96</v>
      </c>
      <c r="S2526" s="3100" t="str">
        <f t="shared" si="582"/>
        <v/>
      </c>
      <c r="T2526" s="3090">
        <f t="shared" si="583"/>
        <v>29.861387739619691</v>
      </c>
      <c r="U2526" s="3090">
        <f t="shared" si="584"/>
        <v>34.647188023027155</v>
      </c>
      <c r="V2526" s="3090">
        <f t="shared" si="585"/>
        <v>5.7936914655772043</v>
      </c>
      <c r="W2526" s="3284">
        <f t="shared" si="586"/>
        <v>0.86187045597389511</v>
      </c>
      <c r="X2526" s="3300"/>
      <c r="Y2526" s="3316">
        <f t="shared" si="579"/>
        <v>0</v>
      </c>
      <c r="Z2526" s="2597">
        <f t="shared" si="587"/>
        <v>2.3515565997516736E-14</v>
      </c>
      <c r="AA2526" s="2597">
        <f t="shared" si="588"/>
        <v>0.11652384277381832</v>
      </c>
      <c r="AB2526" s="3325">
        <f t="shared" si="589"/>
        <v>2.0180904987112591E-13</v>
      </c>
    </row>
    <row r="2527" spans="1:28" x14ac:dyDescent="0.2">
      <c r="A2527" s="2935" t="s">
        <v>979</v>
      </c>
      <c r="B2527" s="3131" t="str">
        <f>IFERROR(AVERAGE(N2523:N2529),"")</f>
        <v/>
      </c>
      <c r="C2527" s="2937">
        <v>45625</v>
      </c>
      <c r="D2527" s="3090"/>
      <c r="E2527" s="3091"/>
      <c r="F2527" s="3342" t="s">
        <v>944</v>
      </c>
      <c r="G2527" s="3092"/>
      <c r="H2527" s="3093">
        <f>IFERROR(VLOOKUP(F2527,Trainingsarten!$A$9:$K$84,10,FALSE),"")</f>
        <v>5.0855335173981304</v>
      </c>
      <c r="I2527" s="3094">
        <f t="shared" si="580"/>
        <v>0</v>
      </c>
      <c r="J2527" s="3095"/>
      <c r="K2527" s="3096">
        <f>IFERROR(VLOOKUP(F2527,Trainingsarten!$A$9:$K$84,11,FALSE),"0")</f>
        <v>36.125</v>
      </c>
      <c r="L2527" s="2816"/>
      <c r="M2527" s="3095"/>
      <c r="N2527" s="3097" t="str">
        <f t="shared" si="581"/>
        <v/>
      </c>
      <c r="O2527" s="3098"/>
      <c r="P2527" s="2897">
        <f>IFERROR(VLOOKUP(F2527,Trainingsarten!$A$9:$N$84,12,FALSE),"")</f>
        <v>194.60000000000002</v>
      </c>
      <c r="Q2527" s="2898" t="s">
        <v>437</v>
      </c>
      <c r="R2527" s="3099">
        <f>IFERROR(VLOOKUP(F2527,Trainingsarten!$A$9:$N$84,14,FALSE),"")</f>
        <v>212.96</v>
      </c>
      <c r="S2527" s="3100" t="str">
        <f t="shared" si="582"/>
        <v/>
      </c>
      <c r="T2527" s="3090">
        <f t="shared" si="583"/>
        <v>30.756189491102592</v>
      </c>
      <c r="U2527" s="3090">
        <f t="shared" si="584"/>
        <v>34.682374022478889</v>
      </c>
      <c r="V2527" s="3090">
        <f t="shared" si="585"/>
        <v>4.7858002834074647</v>
      </c>
      <c r="W2527" s="3284">
        <f t="shared" si="586"/>
        <v>0.88679596936381588</v>
      </c>
      <c r="X2527" s="3300"/>
      <c r="Y2527" s="3316">
        <f t="shared" si="579"/>
        <v>0</v>
      </c>
      <c r="Z2527" s="2597">
        <f t="shared" si="587"/>
        <v>2.0156199426442916E-14</v>
      </c>
      <c r="AA2527" s="2597">
        <f t="shared" si="588"/>
        <v>0.11374946556491788</v>
      </c>
      <c r="AB2527" s="3325">
        <f t="shared" si="589"/>
        <v>1.771981901307447E-13</v>
      </c>
    </row>
    <row r="2528" spans="1:28" x14ac:dyDescent="0.2">
      <c r="A2528" s="2935" t="s">
        <v>980</v>
      </c>
      <c r="B2528" s="3006" t="str">
        <f>IFERROR(AVERAGE(S2523:S2529),"")</f>
        <v/>
      </c>
      <c r="C2528" s="2937">
        <v>45626</v>
      </c>
      <c r="D2528" s="3090"/>
      <c r="E2528" s="3091"/>
      <c r="F2528" s="3342"/>
      <c r="G2528" s="3092"/>
      <c r="H2528" s="3093" t="str">
        <f>IFERROR(VLOOKUP(F2528,Trainingsarten!$A$9:$K$84,10,FALSE),"")</f>
        <v/>
      </c>
      <c r="I2528" s="3094" t="str">
        <f t="shared" si="580"/>
        <v/>
      </c>
      <c r="J2528" s="3095"/>
      <c r="K2528" s="3096" t="str">
        <f>IFERROR(VLOOKUP(F2528,Trainingsarten!$A$9:$K$84,11,FALSE),"0")</f>
        <v>0</v>
      </c>
      <c r="L2528" s="2816"/>
      <c r="M2528" s="3095"/>
      <c r="N2528" s="3097" t="str">
        <f t="shared" si="581"/>
        <v/>
      </c>
      <c r="O2528" s="3098"/>
      <c r="P2528" s="2897" t="str">
        <f>IFERROR(VLOOKUP(F2528,Trainingsarten!$A$9:$N$84,12,FALSE),"")</f>
        <v/>
      </c>
      <c r="Q2528" s="2898" t="s">
        <v>437</v>
      </c>
      <c r="R2528" s="3099" t="str">
        <f>IFERROR(VLOOKUP(F2528,Trainingsarten!$A$9:$N$84,14,FALSE),"")</f>
        <v/>
      </c>
      <c r="S2528" s="3100" t="str">
        <f t="shared" si="582"/>
        <v/>
      </c>
      <c r="T2528" s="3090">
        <f t="shared" si="583"/>
        <v>26.362448135230792</v>
      </c>
      <c r="U2528" s="3090">
        <f t="shared" si="584"/>
        <v>33.85660321241987</v>
      </c>
      <c r="V2528" s="3090">
        <f t="shared" si="585"/>
        <v>3.9261845313762969</v>
      </c>
      <c r="W2528" s="3284">
        <f t="shared" si="586"/>
        <v>0.77865011944139928</v>
      </c>
      <c r="X2528" s="3300"/>
      <c r="Y2528" s="3316" t="str">
        <f t="shared" si="579"/>
        <v/>
      </c>
      <c r="Z2528" s="2597">
        <f t="shared" si="587"/>
        <v>1.7276742365522499E-14</v>
      </c>
      <c r="AA2528" s="2597">
        <f t="shared" si="588"/>
        <v>0.11104114495622937</v>
      </c>
      <c r="AB2528" s="3325">
        <f t="shared" si="589"/>
        <v>1.5558865474894656E-13</v>
      </c>
    </row>
    <row r="2529" spans="1:28" ht="16" thickBot="1" x14ac:dyDescent="0.25">
      <c r="A2529" s="2936" t="s">
        <v>183</v>
      </c>
      <c r="B2529" s="3003">
        <f>IFERROR(SUM(M2523:M2529),"")</f>
        <v>0</v>
      </c>
      <c r="C2529" s="2576">
        <v>45627</v>
      </c>
      <c r="D2529" s="1788"/>
      <c r="E2529" s="1789"/>
      <c r="F2529" s="2909" t="s">
        <v>819</v>
      </c>
      <c r="G2529" s="2577"/>
      <c r="H2529" s="2578">
        <f>IFERROR(VLOOKUP(F2529,Trainingsarten!$A$9:$K$84,10,FALSE),"")</f>
        <v>10.171067034796261</v>
      </c>
      <c r="I2529" s="2579">
        <f t="shared" si="580"/>
        <v>0</v>
      </c>
      <c r="J2529" s="2580"/>
      <c r="K2529" s="2581">
        <f>IFERROR(VLOOKUP(F2529,Trainingsarten!$A$9:$K$84,11,FALSE),"0")</f>
        <v>72.25</v>
      </c>
      <c r="L2529" s="3101"/>
      <c r="M2529" s="2580"/>
      <c r="N2529" s="2582" t="str">
        <f t="shared" si="581"/>
        <v/>
      </c>
      <c r="O2529" s="2583"/>
      <c r="P2529" s="3102">
        <f>IFERROR(VLOOKUP(F2529,Trainingsarten!$A$9:$N$84,12,FALSE),"")</f>
        <v>194.60000000000002</v>
      </c>
      <c r="Q2529" s="3103" t="s">
        <v>437</v>
      </c>
      <c r="R2529" s="3104">
        <f>IFERROR(VLOOKUP(F2529,Trainingsarten!$A$9:$N$84,14,FALSE),"")</f>
        <v>212.96</v>
      </c>
      <c r="S2529" s="2390" t="str">
        <f t="shared" si="582"/>
        <v/>
      </c>
      <c r="T2529" s="1788">
        <f t="shared" si="583"/>
        <v>32.917812687340678</v>
      </c>
      <c r="U2529" s="1788">
        <f t="shared" si="584"/>
        <v>34.770731707362252</v>
      </c>
      <c r="V2529" s="1788">
        <f t="shared" si="585"/>
        <v>7.4941550771890775</v>
      </c>
      <c r="W2529" s="3293">
        <f t="shared" si="586"/>
        <v>0.94671038171942634</v>
      </c>
      <c r="X2529" s="3300"/>
      <c r="Y2529" s="3316">
        <f t="shared" si="579"/>
        <v>0</v>
      </c>
      <c r="Z2529" s="2597">
        <f t="shared" si="587"/>
        <v>1.4808636313304999E-14</v>
      </c>
      <c r="AA2529" s="2597">
        <f t="shared" si="588"/>
        <v>0.10839730817155724</v>
      </c>
      <c r="AB2529" s="3325">
        <f t="shared" si="589"/>
        <v>1.3661442856005062E-13</v>
      </c>
    </row>
    <row r="2530" spans="1:28" ht="16" thickBot="1" x14ac:dyDescent="0.25">
      <c r="A2530" s="3439">
        <f>WEEKNUM(C2530,1)</f>
        <v>49</v>
      </c>
      <c r="B2530" s="3440"/>
      <c r="C2530" s="2585">
        <v>45628</v>
      </c>
      <c r="D2530" s="2586"/>
      <c r="E2530" s="2587"/>
      <c r="F2530" s="2906" t="s">
        <v>944</v>
      </c>
      <c r="G2530" s="2588"/>
      <c r="H2530" s="2589">
        <f>IFERROR(VLOOKUP(F2530,Trainingsarten!$A$9:$K$84,10,FALSE),"")</f>
        <v>5.0855335173981304</v>
      </c>
      <c r="I2530" s="2590">
        <f t="shared" si="580"/>
        <v>0</v>
      </c>
      <c r="J2530" s="2591"/>
      <c r="K2530" s="2592">
        <f>IFERROR(VLOOKUP(F2530,Trainingsarten!$A$9:$K$84,11,FALSE),"0")</f>
        <v>36.125</v>
      </c>
      <c r="L2530" s="2815"/>
      <c r="M2530" s="2591"/>
      <c r="N2530" s="2593" t="str">
        <f t="shared" si="581"/>
        <v/>
      </c>
      <c r="O2530" s="2594"/>
      <c r="P2530" s="1919">
        <f>IFERROR(VLOOKUP(F2530,Trainingsarten!$A$9:$N$84,12,FALSE),"")</f>
        <v>194.60000000000002</v>
      </c>
      <c r="Q2530" s="2461" t="s">
        <v>437</v>
      </c>
      <c r="R2530" s="3089">
        <f>IFERROR(VLOOKUP(F2530,Trainingsarten!$A$9:$N$84,14,FALSE),"")</f>
        <v>212.96</v>
      </c>
      <c r="S2530" s="2595" t="str">
        <f t="shared" si="582"/>
        <v/>
      </c>
      <c r="T2530" s="2586">
        <f t="shared" si="583"/>
        <v>33.375982303434867</v>
      </c>
      <c r="U2530" s="2586">
        <f t="shared" si="584"/>
        <v>34.80297619052029</v>
      </c>
      <c r="V2530" s="2586">
        <f t="shared" si="585"/>
        <v>1.8529190200215737</v>
      </c>
      <c r="W2530" s="3283">
        <f t="shared" si="586"/>
        <v>0.95899793513998066</v>
      </c>
      <c r="X2530" s="3300"/>
      <c r="Y2530" s="3316">
        <f t="shared" si="579"/>
        <v>0</v>
      </c>
      <c r="Z2530" s="2597">
        <f t="shared" si="587"/>
        <v>1.2693116839975714E-14</v>
      </c>
      <c r="AA2530" s="2597">
        <f t="shared" si="588"/>
        <v>0.10581641988175826</v>
      </c>
      <c r="AB2530" s="3325">
        <f t="shared" si="589"/>
        <v>1.1995413239419081E-13</v>
      </c>
    </row>
    <row r="2531" spans="1:28" x14ac:dyDescent="0.2">
      <c r="A2531" s="2934" t="s">
        <v>626</v>
      </c>
      <c r="B2531" s="3004">
        <f>SUM(H2530:H2536)</f>
        <v>30.513201104388784</v>
      </c>
      <c r="C2531" s="2937">
        <v>45629</v>
      </c>
      <c r="D2531" s="3090"/>
      <c r="E2531" s="3091"/>
      <c r="F2531" s="2907" t="s">
        <v>944</v>
      </c>
      <c r="G2531" s="3092"/>
      <c r="H2531" s="3093">
        <f>IFERROR(VLOOKUP(F2531,Trainingsarten!$A$9:$K$84,10,FALSE),"")</f>
        <v>5.0855335173981304</v>
      </c>
      <c r="I2531" s="3094">
        <f t="shared" si="580"/>
        <v>0</v>
      </c>
      <c r="J2531" s="3095"/>
      <c r="K2531" s="3096">
        <f>IFERROR(VLOOKUP(F2531,Trainingsarten!$A$9:$K$84,11,FALSE),"0")</f>
        <v>36.125</v>
      </c>
      <c r="L2531" s="2816"/>
      <c r="M2531" s="3095"/>
      <c r="N2531" s="3097" t="str">
        <f t="shared" si="581"/>
        <v/>
      </c>
      <c r="O2531" s="3098"/>
      <c r="P2531" s="2897">
        <f>IFERROR(VLOOKUP(F2531,Trainingsarten!$A$9:$N$84,12,FALSE),"")</f>
        <v>194.60000000000002</v>
      </c>
      <c r="Q2531" s="2898" t="s">
        <v>437</v>
      </c>
      <c r="R2531" s="3099">
        <f>IFERROR(VLOOKUP(F2531,Trainingsarten!$A$9:$N$84,14,FALSE),"")</f>
        <v>212.96</v>
      </c>
      <c r="S2531" s="3100" t="str">
        <f t="shared" si="582"/>
        <v/>
      </c>
      <c r="T2531" s="3090">
        <f t="shared" si="583"/>
        <v>33.768699117229886</v>
      </c>
      <c r="U2531" s="3090">
        <f t="shared" si="584"/>
        <v>34.834452947888856</v>
      </c>
      <c r="V2531" s="3090">
        <f t="shared" si="585"/>
        <v>1.4269938870854233</v>
      </c>
      <c r="W2531" s="3284">
        <f t="shared" si="586"/>
        <v>0.96940517962910744</v>
      </c>
      <c r="X2531" s="3300"/>
      <c r="Y2531" s="3316">
        <f t="shared" si="579"/>
        <v>0</v>
      </c>
      <c r="Z2531" s="2597">
        <f t="shared" si="587"/>
        <v>1.0879814434264898E-14</v>
      </c>
      <c r="AA2531" s="2597">
        <f t="shared" si="588"/>
        <v>0.10329698131314496</v>
      </c>
      <c r="AB2531" s="3325">
        <f t="shared" si="589"/>
        <v>1.0532557966319193E-13</v>
      </c>
    </row>
    <row r="2532" spans="1:28" x14ac:dyDescent="0.2">
      <c r="A2532" s="2935" t="s">
        <v>628</v>
      </c>
      <c r="B2532" s="3005">
        <f>SUM(K2530:K2536)</f>
        <v>216.75</v>
      </c>
      <c r="C2532" s="2937">
        <v>45630</v>
      </c>
      <c r="D2532" s="3090"/>
      <c r="E2532" s="3091"/>
      <c r="F2532" s="2907"/>
      <c r="G2532" s="3092"/>
      <c r="H2532" s="3093" t="str">
        <f>IFERROR(VLOOKUP(F2532,Trainingsarten!$A$9:$K$84,10,FALSE),"")</f>
        <v/>
      </c>
      <c r="I2532" s="3094" t="str">
        <f t="shared" si="580"/>
        <v/>
      </c>
      <c r="J2532" s="3095"/>
      <c r="K2532" s="3096" t="str">
        <f>IFERROR(VLOOKUP(F2532,Trainingsarten!$A$9:$K$84,11,FALSE),"0")</f>
        <v>0</v>
      </c>
      <c r="L2532" s="2816"/>
      <c r="M2532" s="3095"/>
      <c r="N2532" s="3097" t="str">
        <f t="shared" si="581"/>
        <v/>
      </c>
      <c r="O2532" s="3098"/>
      <c r="P2532" s="2897" t="str">
        <f>IFERROR(VLOOKUP(F2532,Trainingsarten!$A$9:$N$84,12,FALSE),"")</f>
        <v/>
      </c>
      <c r="Q2532" s="2898" t="s">
        <v>437</v>
      </c>
      <c r="R2532" s="3099" t="str">
        <f>IFERROR(VLOOKUP(F2532,Trainingsarten!$A$9:$N$84,14,FALSE),"")</f>
        <v/>
      </c>
      <c r="S2532" s="3100" t="str">
        <f t="shared" si="582"/>
        <v/>
      </c>
      <c r="T2532" s="3090">
        <f t="shared" si="583"/>
        <v>28.944599243339901</v>
      </c>
      <c r="U2532" s="3090">
        <f t="shared" si="584"/>
        <v>34.005061211034359</v>
      </c>
      <c r="V2532" s="3090">
        <f t="shared" si="585"/>
        <v>1.06575383065897</v>
      </c>
      <c r="W2532" s="3284">
        <f t="shared" si="586"/>
        <v>0.85118503577189919</v>
      </c>
      <c r="X2532" s="3300"/>
      <c r="Y2532" s="3316" t="str">
        <f t="shared" si="579"/>
        <v/>
      </c>
      <c r="Z2532" s="2597">
        <f t="shared" si="587"/>
        <v>9.3255552293699132E-15</v>
      </c>
      <c r="AA2532" s="2597">
        <f t="shared" si="588"/>
        <v>0.10083752937711771</v>
      </c>
      <c r="AB2532" s="3325">
        <f t="shared" si="589"/>
        <v>9.2480996777436822E-14</v>
      </c>
    </row>
    <row r="2533" spans="1:28" x14ac:dyDescent="0.2">
      <c r="A2533" s="2935" t="s">
        <v>761</v>
      </c>
      <c r="B2533" s="3006">
        <f>AVERAGE(W2530:W2536)</f>
        <v>0.9031955943400175</v>
      </c>
      <c r="C2533" s="2937">
        <v>45631</v>
      </c>
      <c r="D2533" s="3090"/>
      <c r="E2533" s="3091"/>
      <c r="F2533" s="2907" t="s">
        <v>944</v>
      </c>
      <c r="G2533" s="3092"/>
      <c r="H2533" s="3093">
        <f>IFERROR(VLOOKUP(F2533,Trainingsarten!$A$9:$K$84,10,FALSE),"")</f>
        <v>5.0855335173981304</v>
      </c>
      <c r="I2533" s="3094">
        <f t="shared" si="580"/>
        <v>0</v>
      </c>
      <c r="J2533" s="3095"/>
      <c r="K2533" s="3096">
        <f>IFERROR(VLOOKUP(F2533,Trainingsarten!$A$9:$K$84,11,FALSE),"0")</f>
        <v>36.125</v>
      </c>
      <c r="L2533" s="2816"/>
      <c r="M2533" s="3095"/>
      <c r="N2533" s="3097" t="str">
        <f t="shared" si="581"/>
        <v/>
      </c>
      <c r="O2533" s="3098"/>
      <c r="P2533" s="2897">
        <f>IFERROR(VLOOKUP(F2533,Trainingsarten!$A$9:$N$84,12,FALSE),"")</f>
        <v>194.60000000000002</v>
      </c>
      <c r="Q2533" s="2898" t="s">
        <v>437</v>
      </c>
      <c r="R2533" s="3099">
        <f>IFERROR(VLOOKUP(F2533,Trainingsarten!$A$9:$N$84,14,FALSE),"")</f>
        <v>212.96</v>
      </c>
      <c r="S2533" s="3100" t="str">
        <f t="shared" si="582"/>
        <v/>
      </c>
      <c r="T2533" s="3090">
        <f t="shared" si="583"/>
        <v>29.970370780005631</v>
      </c>
      <c r="U2533" s="3090">
        <f t="shared" si="584"/>
        <v>34.055535944104967</v>
      </c>
      <c r="V2533" s="3090">
        <f t="shared" si="585"/>
        <v>5.060461967694458</v>
      </c>
      <c r="W2533" s="3284">
        <f t="shared" si="586"/>
        <v>0.88004402071944254</v>
      </c>
      <c r="X2533" s="3300"/>
      <c r="Y2533" s="3316">
        <f t="shared" si="579"/>
        <v>0</v>
      </c>
      <c r="Z2533" s="2597">
        <f t="shared" si="587"/>
        <v>7.9933330537456397E-15</v>
      </c>
      <c r="AA2533" s="2597">
        <f t="shared" si="588"/>
        <v>9.8436635820519661E-2</v>
      </c>
      <c r="AB2533" s="3325">
        <f t="shared" si="589"/>
        <v>8.1202826438725011E-14</v>
      </c>
    </row>
    <row r="2534" spans="1:28" x14ac:dyDescent="0.2">
      <c r="A2534" s="2935" t="s">
        <v>979</v>
      </c>
      <c r="B2534" s="3131" t="str">
        <f>IFERROR(AVERAGE(N2530:N2536),"")</f>
        <v/>
      </c>
      <c r="C2534" s="2937">
        <v>45632</v>
      </c>
      <c r="D2534" s="3090"/>
      <c r="E2534" s="3091"/>
      <c r="F2534" s="3342" t="s">
        <v>944</v>
      </c>
      <c r="G2534" s="3092"/>
      <c r="H2534" s="3093">
        <f>IFERROR(VLOOKUP(F2534,Trainingsarten!$A$9:$K$84,10,FALSE),"")</f>
        <v>5.0855335173981304</v>
      </c>
      <c r="I2534" s="3094">
        <f t="shared" si="580"/>
        <v>0</v>
      </c>
      <c r="J2534" s="3095"/>
      <c r="K2534" s="3096">
        <f>IFERROR(VLOOKUP(F2534,Trainingsarten!$A$9:$K$84,11,FALSE),"0")</f>
        <v>36.125</v>
      </c>
      <c r="L2534" s="2816"/>
      <c r="M2534" s="3095"/>
      <c r="N2534" s="3097" t="str">
        <f t="shared" si="581"/>
        <v/>
      </c>
      <c r="O2534" s="3098"/>
      <c r="P2534" s="2897">
        <f>IFERROR(VLOOKUP(F2534,Trainingsarten!$A$9:$N$84,12,FALSE),"")</f>
        <v>194.60000000000002</v>
      </c>
      <c r="Q2534" s="2898" t="s">
        <v>437</v>
      </c>
      <c r="R2534" s="3099">
        <f>IFERROR(VLOOKUP(F2534,Trainingsarten!$A$9:$N$84,14,FALSE),"")</f>
        <v>212.96</v>
      </c>
      <c r="S2534" s="3100" t="str">
        <f t="shared" si="582"/>
        <v/>
      </c>
      <c r="T2534" s="3090">
        <f t="shared" si="583"/>
        <v>30.849603525719111</v>
      </c>
      <c r="U2534" s="3090">
        <f t="shared" si="584"/>
        <v>34.104808897816753</v>
      </c>
      <c r="V2534" s="3090">
        <f t="shared" si="585"/>
        <v>4.0851651640993367</v>
      </c>
      <c r="W2534" s="3284">
        <f t="shared" si="586"/>
        <v>0.90455289217861512</v>
      </c>
      <c r="X2534" s="3300"/>
      <c r="Y2534" s="3316">
        <f t="shared" si="579"/>
        <v>0</v>
      </c>
      <c r="Z2534" s="2597">
        <f t="shared" si="587"/>
        <v>6.8514283317819773E-15</v>
      </c>
      <c r="AA2534" s="2597">
        <f t="shared" si="588"/>
        <v>9.6092906396221575E-2</v>
      </c>
      <c r="AB2534" s="3325">
        <f t="shared" si="589"/>
        <v>7.1300042726685377E-14</v>
      </c>
    </row>
    <row r="2535" spans="1:28" x14ac:dyDescent="0.2">
      <c r="A2535" s="2935" t="s">
        <v>980</v>
      </c>
      <c r="B2535" s="3006" t="str">
        <f>IFERROR(AVERAGE(S2530:S2536),"")</f>
        <v/>
      </c>
      <c r="C2535" s="2937">
        <v>45633</v>
      </c>
      <c r="D2535" s="3090"/>
      <c r="E2535" s="3091"/>
      <c r="F2535" s="3342"/>
      <c r="G2535" s="3092"/>
      <c r="H2535" s="3093" t="str">
        <f>IFERROR(VLOOKUP(F2535,Trainingsarten!$A$9:$K$84,10,FALSE),"")</f>
        <v/>
      </c>
      <c r="I2535" s="3094" t="str">
        <f t="shared" si="580"/>
        <v/>
      </c>
      <c r="J2535" s="3095"/>
      <c r="K2535" s="3096" t="str">
        <f>IFERROR(VLOOKUP(F2535,Trainingsarten!$A$9:$K$84,11,FALSE),"0")</f>
        <v>0</v>
      </c>
      <c r="L2535" s="2816"/>
      <c r="M2535" s="3095"/>
      <c r="N2535" s="3097" t="str">
        <f t="shared" si="581"/>
        <v/>
      </c>
      <c r="O2535" s="3098"/>
      <c r="P2535" s="2897" t="str">
        <f>IFERROR(VLOOKUP(F2535,Trainingsarten!$A$9:$N$84,12,FALSE),"")</f>
        <v/>
      </c>
      <c r="Q2535" s="2898" t="s">
        <v>437</v>
      </c>
      <c r="R2535" s="3099" t="str">
        <f>IFERROR(VLOOKUP(F2535,Trainingsarten!$A$9:$N$84,14,FALSE),"")</f>
        <v/>
      </c>
      <c r="S2535" s="3100" t="str">
        <f t="shared" si="582"/>
        <v/>
      </c>
      <c r="T2535" s="3090">
        <f t="shared" si="583"/>
        <v>26.442517307759239</v>
      </c>
      <c r="U2535" s="3090">
        <f t="shared" si="584"/>
        <v>33.292789638344928</v>
      </c>
      <c r="V2535" s="3090">
        <f t="shared" si="585"/>
        <v>3.2552053720976417</v>
      </c>
      <c r="W2535" s="3284">
        <f t="shared" si="586"/>
        <v>0.79424156386414979</v>
      </c>
      <c r="X2535" s="3300"/>
      <c r="Y2535" s="3316" t="str">
        <f t="shared" si="579"/>
        <v/>
      </c>
      <c r="Z2535" s="2597">
        <f t="shared" si="587"/>
        <v>5.8726528558131239E-15</v>
      </c>
      <c r="AA2535" s="2597">
        <f t="shared" si="588"/>
        <v>9.380498005345439E-2</v>
      </c>
      <c r="AB2535" s="3325">
        <f t="shared" si="589"/>
        <v>6.2604915564894495E-14</v>
      </c>
    </row>
    <row r="2536" spans="1:28" ht="16" thickBot="1" x14ac:dyDescent="0.25">
      <c r="A2536" s="2936" t="s">
        <v>183</v>
      </c>
      <c r="B2536" s="3003">
        <f>IFERROR(SUM(M2530:M2536),"")</f>
        <v>0</v>
      </c>
      <c r="C2536" s="2576">
        <v>45634</v>
      </c>
      <c r="D2536" s="1788"/>
      <c r="E2536" s="1789"/>
      <c r="F2536" s="2909" t="s">
        <v>819</v>
      </c>
      <c r="G2536" s="2577"/>
      <c r="H2536" s="2578">
        <f>IFERROR(VLOOKUP(F2536,Trainingsarten!$A$9:$K$84,10,FALSE),"")</f>
        <v>10.171067034796261</v>
      </c>
      <c r="I2536" s="2579">
        <f t="shared" si="580"/>
        <v>0</v>
      </c>
      <c r="J2536" s="2580"/>
      <c r="K2536" s="2581">
        <f>IFERROR(VLOOKUP(F2536,Trainingsarten!$A$9:$K$84,11,FALSE),"0")</f>
        <v>72.25</v>
      </c>
      <c r="L2536" s="3101"/>
      <c r="M2536" s="2580"/>
      <c r="N2536" s="2582" t="str">
        <f t="shared" si="581"/>
        <v/>
      </c>
      <c r="O2536" s="2583"/>
      <c r="P2536" s="3102">
        <f>IFERROR(VLOOKUP(F2536,Trainingsarten!$A$9:$N$84,12,FALSE),"")</f>
        <v>194.60000000000002</v>
      </c>
      <c r="Q2536" s="3103" t="s">
        <v>437</v>
      </c>
      <c r="R2536" s="3104">
        <f>IFERROR(VLOOKUP(F2536,Trainingsarten!$A$9:$N$84,14,FALSE),"")</f>
        <v>212.96</v>
      </c>
      <c r="S2536" s="2390" t="str">
        <f t="shared" si="582"/>
        <v/>
      </c>
      <c r="T2536" s="1788">
        <f t="shared" si="583"/>
        <v>32.986443406650778</v>
      </c>
      <c r="U2536" s="1788">
        <f t="shared" si="584"/>
        <v>34.220342266003385</v>
      </c>
      <c r="V2536" s="1788">
        <f t="shared" si="585"/>
        <v>6.850272330585689</v>
      </c>
      <c r="W2536" s="3293">
        <f t="shared" si="586"/>
        <v>0.96394253307692834</v>
      </c>
      <c r="X2536" s="3300"/>
      <c r="Y2536" s="3316">
        <f t="shared" si="579"/>
        <v>0</v>
      </c>
      <c r="Z2536" s="2597">
        <f t="shared" si="587"/>
        <v>5.0337024478398205E-15</v>
      </c>
      <c r="AA2536" s="2597">
        <f t="shared" si="588"/>
        <v>9.1571528147419756E-2</v>
      </c>
      <c r="AB2536" s="3325">
        <f t="shared" si="589"/>
        <v>5.4970169764297606E-14</v>
      </c>
    </row>
    <row r="2537" spans="1:28" ht="16" thickBot="1" x14ac:dyDescent="0.25">
      <c r="A2537" s="3439">
        <f>WEEKNUM(C2537,1)</f>
        <v>50</v>
      </c>
      <c r="B2537" s="3440"/>
      <c r="C2537" s="2585">
        <v>45635</v>
      </c>
      <c r="D2537" s="2586"/>
      <c r="E2537" s="2587"/>
      <c r="F2537" s="2906" t="s">
        <v>944</v>
      </c>
      <c r="G2537" s="2588"/>
      <c r="H2537" s="2589">
        <f>IFERROR(VLOOKUP(F2537,Trainingsarten!$A$9:$K$84,10,FALSE),"")</f>
        <v>5.0855335173981304</v>
      </c>
      <c r="I2537" s="2590">
        <f t="shared" si="580"/>
        <v>0</v>
      </c>
      <c r="J2537" s="2591"/>
      <c r="K2537" s="2592">
        <f>IFERROR(VLOOKUP(F2537,Trainingsarten!$A$9:$K$84,11,FALSE),"0")</f>
        <v>36.125</v>
      </c>
      <c r="L2537" s="2815"/>
      <c r="M2537" s="2591"/>
      <c r="N2537" s="2593" t="str">
        <f t="shared" si="581"/>
        <v/>
      </c>
      <c r="O2537" s="2594"/>
      <c r="P2537" s="1919">
        <f>IFERROR(VLOOKUP(F2537,Trainingsarten!$A$9:$N$84,12,FALSE),"")</f>
        <v>194.60000000000002</v>
      </c>
      <c r="Q2537" s="2461" t="s">
        <v>437</v>
      </c>
      <c r="R2537" s="3089">
        <f>IFERROR(VLOOKUP(F2537,Trainingsarten!$A$9:$N$84,14,FALSE),"")</f>
        <v>212.96</v>
      </c>
      <c r="S2537" s="2595" t="str">
        <f t="shared" si="582"/>
        <v/>
      </c>
      <c r="T2537" s="2586">
        <f t="shared" si="583"/>
        <v>33.434808634272095</v>
      </c>
      <c r="U2537" s="2586">
        <f t="shared" si="584"/>
        <v>34.265691259669971</v>
      </c>
      <c r="V2537" s="2586">
        <f t="shared" si="585"/>
        <v>1.2338988593526068</v>
      </c>
      <c r="W2537" s="3283">
        <f t="shared" si="586"/>
        <v>0.97575176233564542</v>
      </c>
      <c r="X2537" s="3300"/>
      <c r="Y2537" s="3316">
        <f t="shared" si="579"/>
        <v>0</v>
      </c>
      <c r="Z2537" s="2597">
        <f t="shared" si="587"/>
        <v>4.3146020981484172E-15</v>
      </c>
      <c r="AA2537" s="2597">
        <f t="shared" si="588"/>
        <v>8.9391253667719286E-2</v>
      </c>
      <c r="AB2537" s="3325">
        <f t="shared" si="589"/>
        <v>4.8266490524749113E-14</v>
      </c>
    </row>
    <row r="2538" spans="1:28" x14ac:dyDescent="0.2">
      <c r="A2538" s="2934" t="s">
        <v>626</v>
      </c>
      <c r="B2538" s="3004">
        <f>SUM(H2537:H2543)</f>
        <v>30.513201104388784</v>
      </c>
      <c r="C2538" s="2937">
        <v>45636</v>
      </c>
      <c r="D2538" s="3090"/>
      <c r="E2538" s="3091"/>
      <c r="F2538" s="2907" t="s">
        <v>944</v>
      </c>
      <c r="G2538" s="3092"/>
      <c r="H2538" s="3093">
        <f>IFERROR(VLOOKUP(F2538,Trainingsarten!$A$9:$K$84,10,FALSE),"")</f>
        <v>5.0855335173981304</v>
      </c>
      <c r="I2538" s="3094">
        <f t="shared" si="580"/>
        <v>0</v>
      </c>
      <c r="J2538" s="3095"/>
      <c r="K2538" s="3096">
        <f>IFERROR(VLOOKUP(F2538,Trainingsarten!$A$9:$K$84,11,FALSE),"0")</f>
        <v>36.125</v>
      </c>
      <c r="L2538" s="2816"/>
      <c r="M2538" s="3095"/>
      <c r="N2538" s="3097" t="str">
        <f t="shared" si="581"/>
        <v/>
      </c>
      <c r="O2538" s="3098"/>
      <c r="P2538" s="2897">
        <f>IFERROR(VLOOKUP(F2538,Trainingsarten!$A$9:$N$84,12,FALSE),"")</f>
        <v>194.60000000000002</v>
      </c>
      <c r="Q2538" s="2898" t="s">
        <v>437</v>
      </c>
      <c r="R2538" s="3099">
        <f>IFERROR(VLOOKUP(F2538,Trainingsarten!$A$9:$N$84,14,FALSE),"")</f>
        <v>212.96</v>
      </c>
      <c r="S2538" s="3100" t="str">
        <f t="shared" si="582"/>
        <v/>
      </c>
      <c r="T2538" s="3090">
        <f t="shared" si="583"/>
        <v>33.81912168651894</v>
      </c>
      <c r="U2538" s="3090">
        <f t="shared" si="584"/>
        <v>34.309960515392113</v>
      </c>
      <c r="V2538" s="3090">
        <f t="shared" si="585"/>
        <v>0.8308826253978765</v>
      </c>
      <c r="W2538" s="3284">
        <f t="shared" si="586"/>
        <v>0.98569398444358536</v>
      </c>
      <c r="X2538" s="3300"/>
      <c r="Y2538" s="3316">
        <f t="shared" si="579"/>
        <v>0</v>
      </c>
      <c r="Z2538" s="2597">
        <f t="shared" si="587"/>
        <v>3.6982303698415006E-15</v>
      </c>
      <c r="AA2538" s="2597">
        <f t="shared" si="588"/>
        <v>8.7262890485154537E-2</v>
      </c>
      <c r="AB2538" s="3325">
        <f t="shared" si="589"/>
        <v>4.2380333143682149E-14</v>
      </c>
    </row>
    <row r="2539" spans="1:28" x14ac:dyDescent="0.2">
      <c r="A2539" s="2935" t="s">
        <v>628</v>
      </c>
      <c r="B2539" s="3005">
        <f>SUM(K2537:K2543)</f>
        <v>216.75</v>
      </c>
      <c r="C2539" s="2937">
        <v>45637</v>
      </c>
      <c r="D2539" s="3090"/>
      <c r="E2539" s="3091"/>
      <c r="F2539" s="2907"/>
      <c r="G2539" s="3092"/>
      <c r="H2539" s="3093" t="str">
        <f>IFERROR(VLOOKUP(F2539,Trainingsarten!$A$9:$K$84,10,FALSE),"")</f>
        <v/>
      </c>
      <c r="I2539" s="3094" t="str">
        <f t="shared" ref="I2539:I2557" si="590">IFERROR(G2539/H2539,"")</f>
        <v/>
      </c>
      <c r="J2539" s="3095"/>
      <c r="K2539" s="3096" t="str">
        <f>IFERROR(VLOOKUP(F2539,Trainingsarten!$A$9:$K$84,11,FALSE),"0")</f>
        <v>0</v>
      </c>
      <c r="L2539" s="2816"/>
      <c r="M2539" s="3095"/>
      <c r="N2539" s="3097" t="str">
        <f t="shared" ref="N2539:N2557" si="591">IFERROR((L2539/67)/(1/(I2539*24)/3.6),"")</f>
        <v/>
      </c>
      <c r="O2539" s="3098"/>
      <c r="P2539" s="2897" t="str">
        <f>IFERROR(VLOOKUP(F2539,Trainingsarten!$A$9:$N$84,12,FALSE),"")</f>
        <v/>
      </c>
      <c r="Q2539" s="2898" t="s">
        <v>437</v>
      </c>
      <c r="R2539" s="3099" t="str">
        <f>IFERROR(VLOOKUP(F2539,Trainingsarten!$A$9:$N$84,14,FALSE),"")</f>
        <v/>
      </c>
      <c r="S2539" s="3100" t="str">
        <f t="shared" ref="S2539:S2557" si="592">IFERROR(L2539/J2539,"")</f>
        <v/>
      </c>
      <c r="T2539" s="3090">
        <f t="shared" ref="T2539:T2557" si="593">T2538+(K2539-T2538)/7</f>
        <v>28.987818588444807</v>
      </c>
      <c r="U2539" s="3090">
        <f t="shared" ref="U2539:U2557" si="594">U2538+(K2539-U2538)/42</f>
        <v>33.493056693597062</v>
      </c>
      <c r="V2539" s="3090">
        <f t="shared" ref="V2539:V2557" si="595">U2538-T2538</f>
        <v>0.49083882887317287</v>
      </c>
      <c r="W2539" s="3284">
        <f t="shared" ref="W2539:W2557" si="596">T2539/U2539</f>
        <v>0.86548740097485544</v>
      </c>
      <c r="X2539" s="3300"/>
      <c r="Y2539" s="3316" t="str">
        <f t="shared" si="579"/>
        <v/>
      </c>
      <c r="Z2539" s="2597">
        <f t="shared" si="587"/>
        <v>3.1699117455784291E-15</v>
      </c>
      <c r="AA2539" s="2597">
        <f t="shared" si="588"/>
        <v>8.5185202616460384E-2</v>
      </c>
      <c r="AB2539" s="3325">
        <f t="shared" si="589"/>
        <v>3.721199983347701E-14</v>
      </c>
    </row>
    <row r="2540" spans="1:28" x14ac:dyDescent="0.2">
      <c r="A2540" s="2935" t="s">
        <v>761</v>
      </c>
      <c r="B2540" s="3006">
        <f>AVERAGE(W2537:W2543)</f>
        <v>0.91776075550380187</v>
      </c>
      <c r="C2540" s="2937">
        <v>45638</v>
      </c>
      <c r="D2540" s="3090"/>
      <c r="E2540" s="3091"/>
      <c r="F2540" s="2907" t="s">
        <v>944</v>
      </c>
      <c r="G2540" s="3092"/>
      <c r="H2540" s="3093">
        <f>IFERROR(VLOOKUP(F2540,Trainingsarten!$A$9:$K$84,10,FALSE),"")</f>
        <v>5.0855335173981304</v>
      </c>
      <c r="I2540" s="3094">
        <f t="shared" si="590"/>
        <v>0</v>
      </c>
      <c r="J2540" s="3095"/>
      <c r="K2540" s="3096">
        <f>IFERROR(VLOOKUP(F2540,Trainingsarten!$A$9:$K$84,11,FALSE),"0")</f>
        <v>36.125</v>
      </c>
      <c r="L2540" s="2816"/>
      <c r="M2540" s="3095"/>
      <c r="N2540" s="3097" t="str">
        <f t="shared" si="591"/>
        <v/>
      </c>
      <c r="O2540" s="3098"/>
      <c r="P2540" s="2897">
        <f>IFERROR(VLOOKUP(F2540,Trainingsarten!$A$9:$N$84,12,FALSE),"")</f>
        <v>194.60000000000002</v>
      </c>
      <c r="Q2540" s="2898" t="s">
        <v>437</v>
      </c>
      <c r="R2540" s="3099">
        <f>IFERROR(VLOOKUP(F2540,Trainingsarten!$A$9:$N$84,14,FALSE),"")</f>
        <v>212.96</v>
      </c>
      <c r="S2540" s="3100" t="str">
        <f t="shared" si="592"/>
        <v/>
      </c>
      <c r="T2540" s="3090">
        <f t="shared" si="593"/>
        <v>30.007415932952693</v>
      </c>
      <c r="U2540" s="3090">
        <f t="shared" si="594"/>
        <v>33.555722010416176</v>
      </c>
      <c r="V2540" s="3090">
        <f t="shared" si="595"/>
        <v>4.5052381051522552</v>
      </c>
      <c r="W2540" s="3284">
        <f t="shared" si="596"/>
        <v>0.89425630369800901</v>
      </c>
      <c r="X2540" s="3300"/>
      <c r="Y2540" s="3316">
        <f t="shared" si="579"/>
        <v>0</v>
      </c>
      <c r="Z2540" s="2597">
        <f t="shared" si="587"/>
        <v>2.7170672104957962E-15</v>
      </c>
      <c r="AA2540" s="2597">
        <f t="shared" si="588"/>
        <v>8.3156983506544657E-2</v>
      </c>
      <c r="AB2540" s="3325">
        <f t="shared" si="589"/>
        <v>3.2673951073296888E-14</v>
      </c>
    </row>
    <row r="2541" spans="1:28" x14ac:dyDescent="0.2">
      <c r="A2541" s="2935" t="s">
        <v>979</v>
      </c>
      <c r="B2541" s="3131" t="str">
        <f>IFERROR(AVERAGE(N2537:N2543),"")</f>
        <v/>
      </c>
      <c r="C2541" s="2937">
        <v>45639</v>
      </c>
      <c r="D2541" s="3090"/>
      <c r="E2541" s="3091"/>
      <c r="F2541" s="3342" t="s">
        <v>944</v>
      </c>
      <c r="G2541" s="3092"/>
      <c r="H2541" s="3093">
        <f>IFERROR(VLOOKUP(F2541,Trainingsarten!$A$9:$K$84,10,FALSE),"")</f>
        <v>5.0855335173981304</v>
      </c>
      <c r="I2541" s="3094">
        <f t="shared" si="590"/>
        <v>0</v>
      </c>
      <c r="J2541" s="3095"/>
      <c r="K2541" s="3096">
        <f>IFERROR(VLOOKUP(F2541,Trainingsarten!$A$9:$K$84,11,FALSE),"0")</f>
        <v>36.125</v>
      </c>
      <c r="L2541" s="2816"/>
      <c r="M2541" s="3095"/>
      <c r="N2541" s="3097" t="str">
        <f t="shared" si="591"/>
        <v/>
      </c>
      <c r="O2541" s="3098"/>
      <c r="P2541" s="2897">
        <f>IFERROR(VLOOKUP(F2541,Trainingsarten!$A$9:$N$84,12,FALSE),"")</f>
        <v>194.60000000000002</v>
      </c>
      <c r="Q2541" s="2898" t="s">
        <v>437</v>
      </c>
      <c r="R2541" s="3099">
        <f>IFERROR(VLOOKUP(F2541,Trainingsarten!$A$9:$N$84,14,FALSE),"")</f>
        <v>212.96</v>
      </c>
      <c r="S2541" s="3100" t="str">
        <f t="shared" si="592"/>
        <v/>
      </c>
      <c r="T2541" s="3090">
        <f t="shared" si="593"/>
        <v>30.881356513959449</v>
      </c>
      <c r="U2541" s="3090">
        <f t="shared" si="594"/>
        <v>33.616895295882458</v>
      </c>
      <c r="V2541" s="3090">
        <f t="shared" si="595"/>
        <v>3.5483060774634829</v>
      </c>
      <c r="W2541" s="3284">
        <f t="shared" si="596"/>
        <v>0.91862607305505484</v>
      </c>
      <c r="X2541" s="3300"/>
      <c r="Y2541" s="3316">
        <f t="shared" si="579"/>
        <v>0</v>
      </c>
      <c r="Z2541" s="2597">
        <f t="shared" si="587"/>
        <v>2.3289147518535397E-15</v>
      </c>
      <c r="AA2541" s="2597">
        <f t="shared" si="588"/>
        <v>8.117705532781741E-2</v>
      </c>
      <c r="AB2541" s="3325">
        <f t="shared" si="589"/>
        <v>2.8689322893626535E-14</v>
      </c>
    </row>
    <row r="2542" spans="1:28" x14ac:dyDescent="0.2">
      <c r="A2542" s="2935" t="s">
        <v>980</v>
      </c>
      <c r="B2542" s="3006" t="str">
        <f>IFERROR(AVERAGE(S2537:S2543),"")</f>
        <v/>
      </c>
      <c r="C2542" s="2937">
        <v>45640</v>
      </c>
      <c r="D2542" s="3090"/>
      <c r="E2542" s="3091"/>
      <c r="F2542" s="3342"/>
      <c r="G2542" s="3092"/>
      <c r="H2542" s="3093" t="str">
        <f>IFERROR(VLOOKUP(F2542,Trainingsarten!$A$9:$K$84,10,FALSE),"")</f>
        <v/>
      </c>
      <c r="I2542" s="3094" t="str">
        <f t="shared" si="590"/>
        <v/>
      </c>
      <c r="J2542" s="3095"/>
      <c r="K2542" s="3096" t="str">
        <f>IFERROR(VLOOKUP(F2542,Trainingsarten!$A$9:$K$84,11,FALSE),"0")</f>
        <v>0</v>
      </c>
      <c r="L2542" s="2816"/>
      <c r="M2542" s="3095"/>
      <c r="N2542" s="3097" t="str">
        <f t="shared" si="591"/>
        <v/>
      </c>
      <c r="O2542" s="3098"/>
      <c r="P2542" s="2897" t="str">
        <f>IFERROR(VLOOKUP(F2542,Trainingsarten!$A$9:$N$84,12,FALSE),"")</f>
        <v/>
      </c>
      <c r="Q2542" s="2898" t="s">
        <v>437</v>
      </c>
      <c r="R2542" s="3099" t="str">
        <f>IFERROR(VLOOKUP(F2542,Trainingsarten!$A$9:$N$84,14,FALSE),"")</f>
        <v/>
      </c>
      <c r="S2542" s="3100" t="str">
        <f t="shared" si="592"/>
        <v/>
      </c>
      <c r="T2542" s="3090">
        <f t="shared" si="593"/>
        <v>26.469734154822383</v>
      </c>
      <c r="U2542" s="3090">
        <f t="shared" si="594"/>
        <v>32.816493026932875</v>
      </c>
      <c r="V2542" s="3090">
        <f t="shared" si="595"/>
        <v>2.7355387819230081</v>
      </c>
      <c r="W2542" s="3284">
        <f t="shared" si="596"/>
        <v>0.80659850317029202</v>
      </c>
      <c r="X2542" s="3300"/>
      <c r="Y2542" s="3316" t="str">
        <f t="shared" si="579"/>
        <v/>
      </c>
      <c r="Z2542" s="2597">
        <f t="shared" si="587"/>
        <v>1.9962126444458911E-15</v>
      </c>
      <c r="AA2542" s="2597">
        <f t="shared" si="588"/>
        <v>7.9244268296202708E-2</v>
      </c>
      <c r="AB2542" s="3325">
        <f t="shared" si="589"/>
        <v>2.5190624979769639E-14</v>
      </c>
    </row>
    <row r="2543" spans="1:28" ht="16" thickBot="1" x14ac:dyDescent="0.25">
      <c r="A2543" s="2936" t="s">
        <v>183</v>
      </c>
      <c r="B2543" s="3003">
        <f>IFERROR(SUM(M2537:M2543),"")</f>
        <v>0</v>
      </c>
      <c r="C2543" s="2576">
        <v>45641</v>
      </c>
      <c r="D2543" s="1788"/>
      <c r="E2543" s="1789"/>
      <c r="F2543" s="2909" t="s">
        <v>819</v>
      </c>
      <c r="G2543" s="2577"/>
      <c r="H2543" s="2578">
        <f>IFERROR(VLOOKUP(F2543,Trainingsarten!$A$9:$K$84,10,FALSE),"")</f>
        <v>10.171067034796261</v>
      </c>
      <c r="I2543" s="2579">
        <f t="shared" si="590"/>
        <v>0</v>
      </c>
      <c r="J2543" s="2580"/>
      <c r="K2543" s="2581">
        <f>IFERROR(VLOOKUP(F2543,Trainingsarten!$A$9:$K$84,11,FALSE),"0")</f>
        <v>72.25</v>
      </c>
      <c r="L2543" s="3101"/>
      <c r="M2543" s="2580"/>
      <c r="N2543" s="2582" t="str">
        <f t="shared" si="591"/>
        <v/>
      </c>
      <c r="O2543" s="2583"/>
      <c r="P2543" s="3102">
        <f>IFERROR(VLOOKUP(F2543,Trainingsarten!$A$9:$N$84,12,FALSE),"")</f>
        <v>194.60000000000002</v>
      </c>
      <c r="Q2543" s="3103" t="s">
        <v>437</v>
      </c>
      <c r="R2543" s="3104">
        <f>IFERROR(VLOOKUP(F2543,Trainingsarten!$A$9:$N$84,14,FALSE),"")</f>
        <v>212.96</v>
      </c>
      <c r="S2543" s="2390" t="str">
        <f t="shared" si="592"/>
        <v/>
      </c>
      <c r="T2543" s="1788">
        <f t="shared" si="593"/>
        <v>33.009772132704903</v>
      </c>
      <c r="U2543" s="1788">
        <f t="shared" si="594"/>
        <v>33.755386050101137</v>
      </c>
      <c r="V2543" s="1788">
        <f t="shared" si="595"/>
        <v>6.3467588721104917</v>
      </c>
      <c r="W2543" s="3293">
        <f t="shared" si="596"/>
        <v>0.97791126084917046</v>
      </c>
      <c r="X2543" s="3300"/>
      <c r="Y2543" s="3316">
        <f t="shared" si="579"/>
        <v>0</v>
      </c>
      <c r="Z2543" s="2597">
        <f t="shared" si="587"/>
        <v>1.7110394095250495E-15</v>
      </c>
      <c r="AA2543" s="2597">
        <f t="shared" si="588"/>
        <v>7.7357500003435983E-2</v>
      </c>
      <c r="AB2543" s="3325">
        <f t="shared" si="589"/>
        <v>2.2118597543212363E-14</v>
      </c>
    </row>
    <row r="2544" spans="1:28" ht="16" thickBot="1" x14ac:dyDescent="0.25">
      <c r="A2544" s="3439">
        <f>WEEKNUM(C2544,1)</f>
        <v>51</v>
      </c>
      <c r="B2544" s="3440"/>
      <c r="C2544" s="2585">
        <v>45642</v>
      </c>
      <c r="D2544" s="2586"/>
      <c r="E2544" s="2587"/>
      <c r="F2544" s="2906" t="s">
        <v>944</v>
      </c>
      <c r="G2544" s="2588"/>
      <c r="H2544" s="2589">
        <f>IFERROR(VLOOKUP(F2544,Trainingsarten!$A$9:$K$84,10,FALSE),"")</f>
        <v>5.0855335173981304</v>
      </c>
      <c r="I2544" s="2590">
        <f t="shared" si="590"/>
        <v>0</v>
      </c>
      <c r="J2544" s="2591"/>
      <c r="K2544" s="2592">
        <f>IFERROR(VLOOKUP(F2544,Trainingsarten!$A$9:$K$84,11,FALSE),"0")</f>
        <v>36.125</v>
      </c>
      <c r="L2544" s="2815"/>
      <c r="M2544" s="2591"/>
      <c r="N2544" s="2593" t="str">
        <f t="shared" si="591"/>
        <v/>
      </c>
      <c r="O2544" s="2594"/>
      <c r="P2544" s="1919">
        <f>IFERROR(VLOOKUP(F2544,Trainingsarten!$A$9:$N$84,12,FALSE),"")</f>
        <v>194.60000000000002</v>
      </c>
      <c r="Q2544" s="2461" t="s">
        <v>437</v>
      </c>
      <c r="R2544" s="3089">
        <f>IFERROR(VLOOKUP(F2544,Trainingsarten!$A$9:$N$84,14,FALSE),"")</f>
        <v>212.96</v>
      </c>
      <c r="S2544" s="2595" t="str">
        <f t="shared" si="592"/>
        <v/>
      </c>
      <c r="T2544" s="2586">
        <f t="shared" si="593"/>
        <v>33.454804685175631</v>
      </c>
      <c r="U2544" s="2586">
        <f t="shared" si="594"/>
        <v>33.811805429860634</v>
      </c>
      <c r="V2544" s="2586">
        <f t="shared" si="595"/>
        <v>0.74561391739623417</v>
      </c>
      <c r="W2544" s="3283">
        <f t="shared" si="596"/>
        <v>0.98944153557769732</v>
      </c>
      <c r="X2544" s="3300"/>
      <c r="Y2544" s="3316">
        <f t="shared" si="579"/>
        <v>0</v>
      </c>
      <c r="Z2544" s="2597">
        <f t="shared" si="587"/>
        <v>1.4666052081643282E-15</v>
      </c>
      <c r="AA2544" s="2597">
        <f t="shared" si="588"/>
        <v>7.5515654765258941E-2</v>
      </c>
      <c r="AB2544" s="3325">
        <f t="shared" si="589"/>
        <v>1.9421207598918173E-14</v>
      </c>
    </row>
    <row r="2545" spans="1:28" x14ac:dyDescent="0.2">
      <c r="A2545" s="2934" t="s">
        <v>626</v>
      </c>
      <c r="B2545" s="3004">
        <f>SUM(H2544:H2550)</f>
        <v>30.513201104388784</v>
      </c>
      <c r="C2545" s="2937">
        <v>45643</v>
      </c>
      <c r="D2545" s="3090"/>
      <c r="E2545" s="3091"/>
      <c r="F2545" s="2907" t="s">
        <v>944</v>
      </c>
      <c r="G2545" s="3092"/>
      <c r="H2545" s="3093">
        <f>IFERROR(VLOOKUP(F2545,Trainingsarten!$A$9:$K$84,10,FALSE),"")</f>
        <v>5.0855335173981304</v>
      </c>
      <c r="I2545" s="3094">
        <f t="shared" si="590"/>
        <v>0</v>
      </c>
      <c r="J2545" s="3095"/>
      <c r="K2545" s="3096">
        <f>IFERROR(VLOOKUP(F2545,Trainingsarten!$A$9:$K$84,11,FALSE),"0")</f>
        <v>36.125</v>
      </c>
      <c r="L2545" s="2816"/>
      <c r="M2545" s="3095"/>
      <c r="N2545" s="3097" t="str">
        <f t="shared" si="591"/>
        <v/>
      </c>
      <c r="O2545" s="3098"/>
      <c r="P2545" s="2897">
        <f>IFERROR(VLOOKUP(F2545,Trainingsarten!$A$9:$N$84,12,FALSE),"")</f>
        <v>194.60000000000002</v>
      </c>
      <c r="Q2545" s="2898" t="s">
        <v>437</v>
      </c>
      <c r="R2545" s="3099">
        <f>IFERROR(VLOOKUP(F2545,Trainingsarten!$A$9:$N$84,14,FALSE),"")</f>
        <v>212.96</v>
      </c>
      <c r="S2545" s="3100" t="str">
        <f t="shared" si="592"/>
        <v/>
      </c>
      <c r="T2545" s="3090">
        <f t="shared" si="593"/>
        <v>33.836261158721967</v>
      </c>
      <c r="U2545" s="3090">
        <f t="shared" si="594"/>
        <v>33.866881491054428</v>
      </c>
      <c r="V2545" s="3090">
        <f t="shared" si="595"/>
        <v>0.35700074468500276</v>
      </c>
      <c r="W2545" s="3284">
        <f t="shared" si="596"/>
        <v>0.99909586206392964</v>
      </c>
      <c r="X2545" s="3300"/>
      <c r="Y2545" s="3316">
        <f t="shared" si="579"/>
        <v>0</v>
      </c>
      <c r="Z2545" s="2597">
        <f t="shared" si="587"/>
        <v>1.2570901784265671E-15</v>
      </c>
      <c r="AA2545" s="2597">
        <f t="shared" si="588"/>
        <v>7.3717662985133728E-2</v>
      </c>
      <c r="AB2545" s="3325">
        <f t="shared" si="589"/>
        <v>1.7052767647830591E-14</v>
      </c>
    </row>
    <row r="2546" spans="1:28" x14ac:dyDescent="0.2">
      <c r="A2546" s="2935" t="s">
        <v>628</v>
      </c>
      <c r="B2546" s="3005">
        <f>SUM(K2544:K2550)</f>
        <v>216.75</v>
      </c>
      <c r="C2546" s="2937">
        <v>45644</v>
      </c>
      <c r="D2546" s="3090"/>
      <c r="E2546" s="3091"/>
      <c r="F2546" s="2907"/>
      <c r="G2546" s="3092"/>
      <c r="H2546" s="3093" t="str">
        <f>IFERROR(VLOOKUP(F2546,Trainingsarten!$A$9:$K$84,10,FALSE),"")</f>
        <v/>
      </c>
      <c r="I2546" s="3094" t="str">
        <f t="shared" si="590"/>
        <v/>
      </c>
      <c r="J2546" s="3095"/>
      <c r="K2546" s="3096" t="str">
        <f>IFERROR(VLOOKUP(F2546,Trainingsarten!$A$9:$K$84,11,FALSE),"0")</f>
        <v>0</v>
      </c>
      <c r="L2546" s="2816"/>
      <c r="M2546" s="3095"/>
      <c r="N2546" s="3097" t="str">
        <f t="shared" si="591"/>
        <v/>
      </c>
      <c r="O2546" s="3098"/>
      <c r="P2546" s="2897" t="str">
        <f>IFERROR(VLOOKUP(F2546,Trainingsarten!$A$9:$N$84,12,FALSE),"")</f>
        <v/>
      </c>
      <c r="Q2546" s="2898" t="s">
        <v>437</v>
      </c>
      <c r="R2546" s="3099" t="str">
        <f>IFERROR(VLOOKUP(F2546,Trainingsarten!$A$9:$N$84,14,FALSE),"")</f>
        <v/>
      </c>
      <c r="S2546" s="3100" t="str">
        <f t="shared" si="592"/>
        <v/>
      </c>
      <c r="T2546" s="3090">
        <f t="shared" si="593"/>
        <v>29.00250956461883</v>
      </c>
      <c r="U2546" s="3090">
        <f t="shared" si="594"/>
        <v>33.060527169838849</v>
      </c>
      <c r="V2546" s="3090">
        <f t="shared" si="595"/>
        <v>3.0620332332460976E-2</v>
      </c>
      <c r="W2546" s="3284">
        <f t="shared" si="596"/>
        <v>0.87725490327564548</v>
      </c>
      <c r="X2546" s="3300"/>
      <c r="Y2546" s="3316" t="str">
        <f t="shared" si="579"/>
        <v/>
      </c>
      <c r="Z2546" s="2597">
        <f t="shared" si="587"/>
        <v>1.0775058672227718E-15</v>
      </c>
      <c r="AA2546" s="2597">
        <f t="shared" si="588"/>
        <v>7.1962480533106735E-2</v>
      </c>
      <c r="AB2546" s="3325">
        <f t="shared" si="589"/>
        <v>1.4973161837119544E-14</v>
      </c>
    </row>
    <row r="2547" spans="1:28" x14ac:dyDescent="0.2">
      <c r="A2547" s="2935" t="s">
        <v>761</v>
      </c>
      <c r="B2547" s="3006">
        <f>AVERAGE(W2544:W2550)</f>
        <v>0.92981960151066878</v>
      </c>
      <c r="C2547" s="2937">
        <v>45645</v>
      </c>
      <c r="D2547" s="3090"/>
      <c r="E2547" s="3091"/>
      <c r="F2547" s="2907" t="s">
        <v>944</v>
      </c>
      <c r="G2547" s="3092"/>
      <c r="H2547" s="3093">
        <f>IFERROR(VLOOKUP(F2547,Trainingsarten!$A$9:$K$84,10,FALSE),"")</f>
        <v>5.0855335173981304</v>
      </c>
      <c r="I2547" s="3094">
        <f t="shared" si="590"/>
        <v>0</v>
      </c>
      <c r="J2547" s="3095"/>
      <c r="K2547" s="3096">
        <f>IFERROR(VLOOKUP(F2547,Trainingsarten!$A$9:$K$84,11,FALSE),"0")</f>
        <v>36.125</v>
      </c>
      <c r="L2547" s="2816"/>
      <c r="M2547" s="3095"/>
      <c r="N2547" s="3097" t="str">
        <f t="shared" si="591"/>
        <v/>
      </c>
      <c r="O2547" s="3098"/>
      <c r="P2547" s="2897">
        <f>IFERROR(VLOOKUP(F2547,Trainingsarten!$A$9:$N$84,12,FALSE),"")</f>
        <v>194.60000000000002</v>
      </c>
      <c r="Q2547" s="2898" t="s">
        <v>437</v>
      </c>
      <c r="R2547" s="3099">
        <f>IFERROR(VLOOKUP(F2547,Trainingsarten!$A$9:$N$84,14,FALSE),"")</f>
        <v>212.96</v>
      </c>
      <c r="S2547" s="3100" t="str">
        <f t="shared" si="592"/>
        <v/>
      </c>
      <c r="T2547" s="3090">
        <f t="shared" si="593"/>
        <v>30.02000819824471</v>
      </c>
      <c r="U2547" s="3090">
        <f t="shared" si="594"/>
        <v>33.133490808652212</v>
      </c>
      <c r="V2547" s="3090">
        <f t="shared" si="595"/>
        <v>4.0580176052200194</v>
      </c>
      <c r="W2547" s="3284">
        <f t="shared" si="596"/>
        <v>0.90603215856765473</v>
      </c>
      <c r="X2547" s="3300"/>
      <c r="Y2547" s="3316">
        <f t="shared" si="579"/>
        <v>0</v>
      </c>
      <c r="Z2547" s="2597">
        <f t="shared" si="587"/>
        <v>9.235764576195187E-16</v>
      </c>
      <c r="AA2547" s="2597">
        <f t="shared" si="588"/>
        <v>7.0249088139461333E-2</v>
      </c>
      <c r="AB2547" s="3325">
        <f t="shared" si="589"/>
        <v>1.3147166491129355E-14</v>
      </c>
    </row>
    <row r="2548" spans="1:28" x14ac:dyDescent="0.2">
      <c r="A2548" s="2935" t="s">
        <v>979</v>
      </c>
      <c r="B2548" s="3131" t="str">
        <f>IFERROR(AVERAGE(N2544:N2550),"")</f>
        <v/>
      </c>
      <c r="C2548" s="2937">
        <v>45646</v>
      </c>
      <c r="D2548" s="3090"/>
      <c r="E2548" s="3091"/>
      <c r="F2548" s="3342" t="s">
        <v>944</v>
      </c>
      <c r="G2548" s="3092"/>
      <c r="H2548" s="3093">
        <f>IFERROR(VLOOKUP(F2548,Trainingsarten!$A$9:$K$84,10,FALSE),"")</f>
        <v>5.0855335173981304</v>
      </c>
      <c r="I2548" s="3094">
        <f t="shared" si="590"/>
        <v>0</v>
      </c>
      <c r="J2548" s="3095"/>
      <c r="K2548" s="3096">
        <f>IFERROR(VLOOKUP(F2548,Trainingsarten!$A$9:$K$84,11,FALSE),"0")</f>
        <v>36.125</v>
      </c>
      <c r="L2548" s="2816"/>
      <c r="M2548" s="3095"/>
      <c r="N2548" s="3097" t="str">
        <f t="shared" si="591"/>
        <v/>
      </c>
      <c r="O2548" s="3098"/>
      <c r="P2548" s="2897">
        <f>IFERROR(VLOOKUP(F2548,Trainingsarten!$A$9:$N$84,12,FALSE),"")</f>
        <v>194.60000000000002</v>
      </c>
      <c r="Q2548" s="2898" t="s">
        <v>437</v>
      </c>
      <c r="R2548" s="3099">
        <f>IFERROR(VLOOKUP(F2548,Trainingsarten!$A$9:$N$84,14,FALSE),"")</f>
        <v>212.96</v>
      </c>
      <c r="S2548" s="3100" t="str">
        <f t="shared" si="592"/>
        <v/>
      </c>
      <c r="T2548" s="3090">
        <f t="shared" si="593"/>
        <v>30.892149884209751</v>
      </c>
      <c r="U2548" s="3090">
        <f t="shared" si="594"/>
        <v>33.204717217970014</v>
      </c>
      <c r="V2548" s="3090">
        <f t="shared" si="595"/>
        <v>3.1134826104075017</v>
      </c>
      <c r="W2548" s="3284">
        <f t="shared" si="596"/>
        <v>0.93035425302436459</v>
      </c>
      <c r="X2548" s="3300"/>
      <c r="Y2548" s="3316">
        <f t="shared" si="579"/>
        <v>0</v>
      </c>
      <c r="Z2548" s="2597">
        <f t="shared" si="587"/>
        <v>7.9163696367387318E-16</v>
      </c>
      <c r="AA2548" s="2597">
        <f t="shared" si="588"/>
        <v>6.8576490802807491E-2</v>
      </c>
      <c r="AB2548" s="3325">
        <f t="shared" si="589"/>
        <v>1.1543853504406264E-14</v>
      </c>
    </row>
    <row r="2549" spans="1:28" x14ac:dyDescent="0.2">
      <c r="A2549" s="2935" t="s">
        <v>980</v>
      </c>
      <c r="B2549" s="3006" t="str">
        <f>IFERROR(AVERAGE(S2544:S2550),"")</f>
        <v/>
      </c>
      <c r="C2549" s="2937">
        <v>45647</v>
      </c>
      <c r="D2549" s="3090"/>
      <c r="E2549" s="3091"/>
      <c r="F2549" s="3342"/>
      <c r="G2549" s="3092"/>
      <c r="H2549" s="3093" t="str">
        <f>IFERROR(VLOOKUP(F2549,Trainingsarten!$A$9:$K$84,10,FALSE),"")</f>
        <v/>
      </c>
      <c r="I2549" s="3094" t="str">
        <f t="shared" si="590"/>
        <v/>
      </c>
      <c r="J2549" s="3095"/>
      <c r="K2549" s="3096" t="str">
        <f>IFERROR(VLOOKUP(F2549,Trainingsarten!$A$9:$K$84,11,FALSE),"0")</f>
        <v>0</v>
      </c>
      <c r="L2549" s="2816"/>
      <c r="M2549" s="3095"/>
      <c r="N2549" s="3097" t="str">
        <f t="shared" si="591"/>
        <v/>
      </c>
      <c r="O2549" s="3098"/>
      <c r="P2549" s="2897" t="str">
        <f>IFERROR(VLOOKUP(F2549,Trainingsarten!$A$9:$N$84,12,FALSE),"")</f>
        <v/>
      </c>
      <c r="Q2549" s="2898" t="s">
        <v>437</v>
      </c>
      <c r="R2549" s="3099" t="str">
        <f>IFERROR(VLOOKUP(F2549,Trainingsarten!$A$9:$N$84,14,FALSE),"")</f>
        <v/>
      </c>
      <c r="S2549" s="3100" t="str">
        <f t="shared" si="592"/>
        <v/>
      </c>
      <c r="T2549" s="3090">
        <f t="shared" si="593"/>
        <v>26.47898561503693</v>
      </c>
      <c r="U2549" s="3090">
        <f t="shared" si="594"/>
        <v>32.414128712780254</v>
      </c>
      <c r="V2549" s="3090">
        <f t="shared" si="595"/>
        <v>2.3125673337602635</v>
      </c>
      <c r="W2549" s="3284">
        <f t="shared" si="596"/>
        <v>0.81689641728968598</v>
      </c>
      <c r="X2549" s="3300"/>
      <c r="Y2549" s="3316" t="str">
        <f t="shared" si="579"/>
        <v/>
      </c>
      <c r="Z2549" s="2597">
        <f t="shared" si="587"/>
        <v>6.7854596886331986E-16</v>
      </c>
      <c r="AA2549" s="2597">
        <f t="shared" si="588"/>
        <v>6.6943717212264456E-2</v>
      </c>
      <c r="AB2549" s="3325">
        <f t="shared" si="589"/>
        <v>1.0136066491673792E-14</v>
      </c>
    </row>
    <row r="2550" spans="1:28" ht="16" thickBot="1" x14ac:dyDescent="0.25">
      <c r="A2550" s="2936" t="s">
        <v>183</v>
      </c>
      <c r="B2550" s="3003">
        <f>IFERROR(SUM(M2544:M2550),"")</f>
        <v>0</v>
      </c>
      <c r="C2550" s="2576">
        <v>45648</v>
      </c>
      <c r="D2550" s="1788"/>
      <c r="E2550" s="1789"/>
      <c r="F2550" s="2909" t="s">
        <v>819</v>
      </c>
      <c r="G2550" s="2577"/>
      <c r="H2550" s="2578">
        <f>IFERROR(VLOOKUP(F2550,Trainingsarten!$A$9:$K$84,10,FALSE),"")</f>
        <v>10.171067034796261</v>
      </c>
      <c r="I2550" s="2579">
        <f t="shared" si="590"/>
        <v>0</v>
      </c>
      <c r="J2550" s="2580"/>
      <c r="K2550" s="2581">
        <f>IFERROR(VLOOKUP(F2550,Trainingsarten!$A$9:$K$84,11,FALSE),"0")</f>
        <v>72.25</v>
      </c>
      <c r="L2550" s="3101"/>
      <c r="M2550" s="2580"/>
      <c r="N2550" s="2582" t="str">
        <f t="shared" si="591"/>
        <v/>
      </c>
      <c r="O2550" s="2583"/>
      <c r="P2550" s="3102">
        <f>IFERROR(VLOOKUP(F2550,Trainingsarten!$A$9:$N$84,12,FALSE),"")</f>
        <v>194.60000000000002</v>
      </c>
      <c r="Q2550" s="3103" t="s">
        <v>437</v>
      </c>
      <c r="R2550" s="3104">
        <f>IFERROR(VLOOKUP(F2550,Trainingsarten!$A$9:$N$84,14,FALSE),"")</f>
        <v>212.96</v>
      </c>
      <c r="S2550" s="2390" t="str">
        <f t="shared" si="592"/>
        <v/>
      </c>
      <c r="T2550" s="1788">
        <f t="shared" si="593"/>
        <v>33.017701955745942</v>
      </c>
      <c r="U2550" s="1788">
        <f t="shared" si="594"/>
        <v>33.362601838666436</v>
      </c>
      <c r="V2550" s="1788">
        <f t="shared" si="595"/>
        <v>5.9351430977433246</v>
      </c>
      <c r="W2550" s="3293">
        <f t="shared" si="596"/>
        <v>0.98966208077570372</v>
      </c>
      <c r="X2550" s="3300"/>
      <c r="Y2550" s="3316">
        <f t="shared" si="579"/>
        <v>0</v>
      </c>
      <c r="Z2550" s="2597">
        <f t="shared" si="587"/>
        <v>5.8161083045427418E-16</v>
      </c>
      <c r="AA2550" s="2597">
        <f t="shared" si="588"/>
        <v>6.534981918340102E-2</v>
      </c>
      <c r="AB2550" s="3325">
        <f t="shared" si="589"/>
        <v>8.8999608219574757E-15</v>
      </c>
    </row>
    <row r="2551" spans="1:28" ht="16" thickBot="1" x14ac:dyDescent="0.25">
      <c r="A2551" s="3439">
        <f>WEEKNUM(C2551,1)</f>
        <v>52</v>
      </c>
      <c r="B2551" s="3440"/>
      <c r="C2551" s="2585">
        <v>45649</v>
      </c>
      <c r="D2551" s="2586"/>
      <c r="E2551" s="2587"/>
      <c r="F2551" s="2906" t="s">
        <v>944</v>
      </c>
      <c r="G2551" s="2588"/>
      <c r="H2551" s="2589">
        <f>IFERROR(VLOOKUP(F2551,Trainingsarten!$A$9:$K$84,10,FALSE),"")</f>
        <v>5.0855335173981304</v>
      </c>
      <c r="I2551" s="2590">
        <f t="shared" si="590"/>
        <v>0</v>
      </c>
      <c r="J2551" s="2591"/>
      <c r="K2551" s="2592">
        <f>IFERROR(VLOOKUP(F2551,Trainingsarten!$A$9:$K$84,11,FALSE),"0")</f>
        <v>36.125</v>
      </c>
      <c r="L2551" s="2815"/>
      <c r="M2551" s="2591"/>
      <c r="N2551" s="2593" t="str">
        <f t="shared" si="591"/>
        <v/>
      </c>
      <c r="O2551" s="2594"/>
      <c r="P2551" s="1919">
        <f>IFERROR(VLOOKUP(F2551,Trainingsarten!$A$9:$N$84,12,FALSE),"")</f>
        <v>194.60000000000002</v>
      </c>
      <c r="Q2551" s="2461" t="s">
        <v>437</v>
      </c>
      <c r="R2551" s="3089">
        <f>IFERROR(VLOOKUP(F2551,Trainingsarten!$A$9:$N$84,14,FALSE),"")</f>
        <v>212.96</v>
      </c>
      <c r="S2551" s="2595" t="str">
        <f t="shared" si="592"/>
        <v/>
      </c>
      <c r="T2551" s="2586">
        <f t="shared" si="593"/>
        <v>33.461601676353666</v>
      </c>
      <c r="U2551" s="2586">
        <f t="shared" si="594"/>
        <v>33.428373223460092</v>
      </c>
      <c r="V2551" s="2586">
        <f t="shared" si="595"/>
        <v>0.34489988292049389</v>
      </c>
      <c r="W2551" s="3283">
        <f t="shared" si="596"/>
        <v>1.0009940194418512</v>
      </c>
      <c r="X2551" s="3300"/>
      <c r="Y2551" s="3316">
        <f t="shared" si="579"/>
        <v>0</v>
      </c>
      <c r="Z2551" s="2597">
        <f t="shared" si="587"/>
        <v>4.9852356896080642E-16</v>
      </c>
      <c r="AA2551" s="2597">
        <f t="shared" si="588"/>
        <v>6.379387110760576E-2</v>
      </c>
      <c r="AB2551" s="3325">
        <f t="shared" si="589"/>
        <v>7.8145997461090024E-15</v>
      </c>
    </row>
    <row r="2552" spans="1:28" x14ac:dyDescent="0.2">
      <c r="A2552" s="2934" t="s">
        <v>626</v>
      </c>
      <c r="B2552" s="3004">
        <f>SUM(H2551:H2557)</f>
        <v>30.513201104388784</v>
      </c>
      <c r="C2552" s="2937">
        <v>45650</v>
      </c>
      <c r="D2552" s="3090"/>
      <c r="E2552" s="3091"/>
      <c r="F2552" s="2907" t="s">
        <v>944</v>
      </c>
      <c r="G2552" s="3092"/>
      <c r="H2552" s="3093">
        <f>IFERROR(VLOOKUP(F2552,Trainingsarten!$A$9:$K$84,10,FALSE),"")</f>
        <v>5.0855335173981304</v>
      </c>
      <c r="I2552" s="3094">
        <f t="shared" si="590"/>
        <v>0</v>
      </c>
      <c r="J2552" s="3095"/>
      <c r="K2552" s="3096">
        <f>IFERROR(VLOOKUP(F2552,Trainingsarten!$A$9:$K$84,11,FALSE),"0")</f>
        <v>36.125</v>
      </c>
      <c r="L2552" s="2816"/>
      <c r="M2552" s="3095"/>
      <c r="N2552" s="3097" t="str">
        <f t="shared" si="591"/>
        <v/>
      </c>
      <c r="O2552" s="3098"/>
      <c r="P2552" s="2897">
        <f>IFERROR(VLOOKUP(F2552,Trainingsarten!$A$9:$N$84,12,FALSE),"")</f>
        <v>194.60000000000002</v>
      </c>
      <c r="Q2552" s="2898" t="s">
        <v>437</v>
      </c>
      <c r="R2552" s="3099">
        <f>IFERROR(VLOOKUP(F2552,Trainingsarten!$A$9:$N$84,14,FALSE),"")</f>
        <v>212.96</v>
      </c>
      <c r="S2552" s="3100" t="str">
        <f t="shared" si="592"/>
        <v/>
      </c>
      <c r="T2552" s="3090">
        <f t="shared" si="593"/>
        <v>33.842087151160285</v>
      </c>
      <c r="U2552" s="3090">
        <f t="shared" si="594"/>
        <v>33.492578622901519</v>
      </c>
      <c r="V2552" s="3090">
        <f t="shared" si="595"/>
        <v>-3.3228452893574456E-2</v>
      </c>
      <c r="W2552" s="3284">
        <f t="shared" si="596"/>
        <v>1.0104354021884652</v>
      </c>
      <c r="X2552" s="3300"/>
      <c r="Y2552" s="3316">
        <f t="shared" si="579"/>
        <v>0</v>
      </c>
      <c r="Z2552" s="2597">
        <f t="shared" si="587"/>
        <v>4.273059162521198E-16</v>
      </c>
      <c r="AA2552" s="2597">
        <f t="shared" si="588"/>
        <v>6.2274969414567526E-2</v>
      </c>
      <c r="AB2552" s="3325">
        <f t="shared" si="589"/>
        <v>6.8615997770713201E-15</v>
      </c>
    </row>
    <row r="2553" spans="1:28" x14ac:dyDescent="0.2">
      <c r="A2553" s="2935" t="s">
        <v>628</v>
      </c>
      <c r="B2553" s="3005">
        <f>SUM(K2551:K2557)</f>
        <v>216.75</v>
      </c>
      <c r="C2553" s="2937">
        <v>45651</v>
      </c>
      <c r="D2553" s="3090"/>
      <c r="E2553" s="3091"/>
      <c r="F2553" s="2907"/>
      <c r="G2553" s="3092"/>
      <c r="H2553" s="3093" t="str">
        <f>IFERROR(VLOOKUP(F2553,Trainingsarten!$A$9:$K$84,10,FALSE),"")</f>
        <v/>
      </c>
      <c r="I2553" s="3094" t="str">
        <f t="shared" si="590"/>
        <v/>
      </c>
      <c r="J2553" s="3095"/>
      <c r="K2553" s="3096" t="str">
        <f>IFERROR(VLOOKUP(F2553,Trainingsarten!$A$9:$K$84,11,FALSE),"0")</f>
        <v>0</v>
      </c>
      <c r="L2553" s="2816"/>
      <c r="M2553" s="3095"/>
      <c r="N2553" s="3097" t="str">
        <f t="shared" si="591"/>
        <v/>
      </c>
      <c r="O2553" s="3098"/>
      <c r="P2553" s="2897" t="str">
        <f>IFERROR(VLOOKUP(F2553,Trainingsarten!$A$9:$N$84,12,FALSE),"")</f>
        <v/>
      </c>
      <c r="Q2553" s="2898" t="s">
        <v>437</v>
      </c>
      <c r="R2553" s="3099" t="str">
        <f>IFERROR(VLOOKUP(F2553,Trainingsarten!$A$9:$N$84,14,FALSE),"")</f>
        <v/>
      </c>
      <c r="S2553" s="3100" t="str">
        <f t="shared" si="592"/>
        <v/>
      </c>
      <c r="T2553" s="3090">
        <f t="shared" si="593"/>
        <v>29.007503272423101</v>
      </c>
      <c r="U2553" s="3090">
        <f t="shared" si="594"/>
        <v>32.695136274737195</v>
      </c>
      <c r="V2553" s="3090">
        <f t="shared" si="595"/>
        <v>-0.34950852825876666</v>
      </c>
      <c r="W2553" s="3284">
        <f t="shared" si="596"/>
        <v>0.88721157265328643</v>
      </c>
      <c r="X2553" s="3300"/>
      <c r="Y2553" s="3316" t="str">
        <f t="shared" si="579"/>
        <v/>
      </c>
      <c r="Z2553" s="2597">
        <f t="shared" si="587"/>
        <v>3.6626221393038838E-16</v>
      </c>
      <c r="AA2553" s="2597">
        <f t="shared" si="588"/>
        <v>6.0792232047554011E-2</v>
      </c>
      <c r="AB2553" s="3325">
        <f t="shared" si="589"/>
        <v>6.0248193164528665E-15</v>
      </c>
    </row>
    <row r="2554" spans="1:28" x14ac:dyDescent="0.2">
      <c r="A2554" s="2935" t="s">
        <v>761</v>
      </c>
      <c r="B2554" s="3006">
        <f>AVERAGE(W2551:W2557)</f>
        <v>0.94004656871113212</v>
      </c>
      <c r="C2554" s="2937">
        <v>45652</v>
      </c>
      <c r="D2554" s="3090"/>
      <c r="E2554" s="3091"/>
      <c r="F2554" s="2907" t="s">
        <v>944</v>
      </c>
      <c r="G2554" s="3092"/>
      <c r="H2554" s="3093">
        <f>IFERROR(VLOOKUP(F2554,Trainingsarten!$A$9:$K$84,10,FALSE),"")</f>
        <v>5.0855335173981304</v>
      </c>
      <c r="I2554" s="3094">
        <f t="shared" si="590"/>
        <v>0</v>
      </c>
      <c r="J2554" s="3095"/>
      <c r="K2554" s="3096">
        <f>IFERROR(VLOOKUP(F2554,Trainingsarten!$A$9:$K$84,11,FALSE),"0")</f>
        <v>36.125</v>
      </c>
      <c r="L2554" s="2816"/>
      <c r="M2554" s="3095"/>
      <c r="N2554" s="3097" t="str">
        <f t="shared" si="591"/>
        <v/>
      </c>
      <c r="O2554" s="3098"/>
      <c r="P2554" s="2897">
        <f>IFERROR(VLOOKUP(F2554,Trainingsarten!$A$9:$N$84,12,FALSE),"")</f>
        <v>194.60000000000002</v>
      </c>
      <c r="Q2554" s="2898" t="s">
        <v>437</v>
      </c>
      <c r="R2554" s="3099">
        <f>IFERROR(VLOOKUP(F2554,Trainingsarten!$A$9:$N$84,14,FALSE),"")</f>
        <v>212.96</v>
      </c>
      <c r="S2554" s="3100" t="str">
        <f t="shared" si="592"/>
        <v/>
      </c>
      <c r="T2554" s="3090">
        <f t="shared" si="593"/>
        <v>30.024288519219802</v>
      </c>
      <c r="U2554" s="3090">
        <f t="shared" si="594"/>
        <v>32.776799696767263</v>
      </c>
      <c r="V2554" s="3090">
        <f t="shared" si="595"/>
        <v>3.6876330023140937</v>
      </c>
      <c r="W2554" s="3284">
        <f t="shared" si="596"/>
        <v>0.91602257685276889</v>
      </c>
      <c r="X2554" s="3300"/>
      <c r="Y2554" s="3316">
        <f t="shared" si="579"/>
        <v>0</v>
      </c>
      <c r="Z2554" s="2597">
        <f t="shared" si="587"/>
        <v>3.1393904051176149E-16</v>
      </c>
      <c r="AA2554" s="2597">
        <f t="shared" si="588"/>
        <v>5.9344797951183678E-2</v>
      </c>
      <c r="AB2554" s="3325">
        <f t="shared" si="589"/>
        <v>5.2900852534708097E-15</v>
      </c>
    </row>
    <row r="2555" spans="1:28" x14ac:dyDescent="0.2">
      <c r="A2555" s="2935" t="s">
        <v>979</v>
      </c>
      <c r="B2555" s="3131" t="str">
        <f>IFERROR(AVERAGE(N2551:N2557),"")</f>
        <v/>
      </c>
      <c r="C2555" s="2937">
        <v>45653</v>
      </c>
      <c r="D2555" s="3090"/>
      <c r="E2555" s="3091"/>
      <c r="F2555" s="3342" t="s">
        <v>944</v>
      </c>
      <c r="G2555" s="3092"/>
      <c r="H2555" s="3093">
        <f>IFERROR(VLOOKUP(F2555,Trainingsarten!$A$9:$K$84,10,FALSE),"")</f>
        <v>5.0855335173981304</v>
      </c>
      <c r="I2555" s="3094">
        <f t="shared" si="590"/>
        <v>0</v>
      </c>
      <c r="J2555" s="3095"/>
      <c r="K2555" s="3096">
        <f>IFERROR(VLOOKUP(F2555,Trainingsarten!$A$9:$K$84,11,FALSE),"0")</f>
        <v>36.125</v>
      </c>
      <c r="L2555" s="2816"/>
      <c r="M2555" s="3095"/>
      <c r="N2555" s="3097" t="str">
        <f t="shared" si="591"/>
        <v/>
      </c>
      <c r="O2555" s="3098"/>
      <c r="P2555" s="2897">
        <f>IFERROR(VLOOKUP(F2555,Trainingsarten!$A$9:$N$84,12,FALSE),"")</f>
        <v>194.60000000000002</v>
      </c>
      <c r="Q2555" s="2898" t="s">
        <v>437</v>
      </c>
      <c r="R2555" s="3099">
        <f>IFERROR(VLOOKUP(F2555,Trainingsarten!$A$9:$N$84,14,FALSE),"")</f>
        <v>212.96</v>
      </c>
      <c r="S2555" s="3100" t="str">
        <f t="shared" si="592"/>
        <v/>
      </c>
      <c r="T2555" s="3090">
        <f t="shared" si="593"/>
        <v>30.895818730759832</v>
      </c>
      <c r="U2555" s="3090">
        <f t="shared" si="594"/>
        <v>32.856518751606139</v>
      </c>
      <c r="V2555" s="3090">
        <f t="shared" si="595"/>
        <v>2.7525111775474613</v>
      </c>
      <c r="W2555" s="3284">
        <f t="shared" si="596"/>
        <v>0.94032538761427786</v>
      </c>
      <c r="X2555" s="3300"/>
      <c r="Y2555" s="3316">
        <f t="shared" si="579"/>
        <v>0</v>
      </c>
      <c r="Z2555" s="2597">
        <f t="shared" si="587"/>
        <v>2.690906061529384E-16</v>
      </c>
      <c r="AA2555" s="2597">
        <f t="shared" si="588"/>
        <v>5.7931826571393591E-2</v>
      </c>
      <c r="AB2555" s="3325">
        <f t="shared" si="589"/>
        <v>4.644952905486564E-15</v>
      </c>
    </row>
    <row r="2556" spans="1:28" x14ac:dyDescent="0.2">
      <c r="A2556" s="2935" t="s">
        <v>980</v>
      </c>
      <c r="B2556" s="3006" t="str">
        <f>IFERROR(AVERAGE(S2551:S2557),"")</f>
        <v/>
      </c>
      <c r="C2556" s="2937">
        <v>45654</v>
      </c>
      <c r="D2556" s="3090"/>
      <c r="E2556" s="3091"/>
      <c r="F2556" s="3342"/>
      <c r="G2556" s="3092"/>
      <c r="H2556" s="3093" t="str">
        <f>IFERROR(VLOOKUP(F2556,Trainingsarten!$A$9:$K$84,10,FALSE),"")</f>
        <v/>
      </c>
      <c r="I2556" s="3094" t="str">
        <f t="shared" si="590"/>
        <v/>
      </c>
      <c r="J2556" s="3095"/>
      <c r="K2556" s="3096" t="str">
        <f>IFERROR(VLOOKUP(F2556,Trainingsarten!$A$9:$K$84,11,FALSE),"0")</f>
        <v>0</v>
      </c>
      <c r="L2556" s="2816"/>
      <c r="M2556" s="3095"/>
      <c r="N2556" s="3097" t="str">
        <f t="shared" si="591"/>
        <v/>
      </c>
      <c r="O2556" s="3098"/>
      <c r="P2556" s="2897" t="str">
        <f>IFERROR(VLOOKUP(F2556,Trainingsarten!$A$9:$N$84,12,FALSE),"")</f>
        <v/>
      </c>
      <c r="Q2556" s="2898" t="s">
        <v>437</v>
      </c>
      <c r="R2556" s="3099" t="str">
        <f>IFERROR(VLOOKUP(F2556,Trainingsarten!$A$9:$N$84,14,FALSE),"")</f>
        <v/>
      </c>
      <c r="S2556" s="3100" t="str">
        <f t="shared" si="592"/>
        <v/>
      </c>
      <c r="T2556" s="3090">
        <f t="shared" si="593"/>
        <v>26.482130340651285</v>
      </c>
      <c r="U2556" s="3090">
        <f t="shared" si="594"/>
        <v>32.074220686091707</v>
      </c>
      <c r="V2556" s="3090">
        <f t="shared" si="595"/>
        <v>1.960700020846307</v>
      </c>
      <c r="W2556" s="3284">
        <f t="shared" si="596"/>
        <v>0.82565155985643912</v>
      </c>
      <c r="X2556" s="3300"/>
      <c r="Y2556" s="3316" t="str">
        <f t="shared" si="579"/>
        <v/>
      </c>
      <c r="Z2556" s="2597">
        <f t="shared" si="587"/>
        <v>2.306490909882329E-16</v>
      </c>
      <c r="AA2556" s="2597">
        <f t="shared" si="588"/>
        <v>5.6552497367312791E-2</v>
      </c>
      <c r="AB2556" s="3325">
        <f t="shared" si="589"/>
        <v>4.0784952340857634E-15</v>
      </c>
    </row>
    <row r="2557" spans="1:28" ht="16" thickBot="1" x14ac:dyDescent="0.25">
      <c r="A2557" s="2936" t="s">
        <v>183</v>
      </c>
      <c r="B2557" s="3003">
        <f>IFERROR(SUM(M2551:M2557),"")</f>
        <v>0</v>
      </c>
      <c r="C2557" s="2576">
        <v>45655</v>
      </c>
      <c r="D2557" s="1788"/>
      <c r="E2557" s="1789"/>
      <c r="F2557" s="2909" t="s">
        <v>819</v>
      </c>
      <c r="G2557" s="2577"/>
      <c r="H2557" s="2578">
        <f>IFERROR(VLOOKUP(F2557,Trainingsarten!$A$9:$K$84,10,FALSE),"")</f>
        <v>10.171067034796261</v>
      </c>
      <c r="I2557" s="2579">
        <f t="shared" si="590"/>
        <v>0</v>
      </c>
      <c r="J2557" s="2580"/>
      <c r="K2557" s="2581">
        <f>IFERROR(VLOOKUP(F2557,Trainingsarten!$A$9:$K$84,11,FALSE),"0")</f>
        <v>72.25</v>
      </c>
      <c r="L2557" s="3101"/>
      <c r="M2557" s="2580"/>
      <c r="N2557" s="2582" t="str">
        <f t="shared" si="591"/>
        <v/>
      </c>
      <c r="O2557" s="2583"/>
      <c r="P2557" s="3102">
        <f>IFERROR(VLOOKUP(F2557,Trainingsarten!$A$9:$N$84,12,FALSE),"")</f>
        <v>194.60000000000002</v>
      </c>
      <c r="Q2557" s="3103" t="s">
        <v>437</v>
      </c>
      <c r="R2557" s="3104">
        <f>IFERROR(VLOOKUP(F2557,Trainingsarten!$A$9:$N$84,14,FALSE),"")</f>
        <v>212.96</v>
      </c>
      <c r="S2557" s="2390" t="str">
        <f t="shared" si="592"/>
        <v/>
      </c>
      <c r="T2557" s="1788">
        <f t="shared" si="593"/>
        <v>33.020397434843957</v>
      </c>
      <c r="U2557" s="1788">
        <f t="shared" si="594"/>
        <v>33.030786860232382</v>
      </c>
      <c r="V2557" s="1788">
        <f t="shared" si="595"/>
        <v>5.5920903454404218</v>
      </c>
      <c r="W2557" s="3293">
        <f t="shared" si="596"/>
        <v>0.99968546237083644</v>
      </c>
      <c r="X2557" s="3300"/>
      <c r="Y2557" s="3316">
        <f t="shared" si="579"/>
        <v>0</v>
      </c>
      <c r="Z2557" s="2597">
        <f t="shared" si="587"/>
        <v>1.9769922084705678E-16</v>
      </c>
      <c r="AA2557" s="2597">
        <f t="shared" si="588"/>
        <v>5.5206009334757722E-2</v>
      </c>
      <c r="AB2557" s="3325">
        <f t="shared" si="589"/>
        <v>3.5811177665143294E-15</v>
      </c>
    </row>
    <row r="2558" spans="1:28" ht="16" thickBot="1" x14ac:dyDescent="0.25">
      <c r="A2558" s="3439">
        <f>WEEKNUM(C2558,1)</f>
        <v>53</v>
      </c>
      <c r="B2558" s="3440"/>
      <c r="C2558" s="2585">
        <v>45656</v>
      </c>
      <c r="D2558" s="2586"/>
      <c r="E2558" s="2587"/>
      <c r="F2558" s="3144"/>
      <c r="G2558" s="2588"/>
      <c r="H2558" s="2589" t="str">
        <f>IFERROR(VLOOKUP(F2558,Trainingsarten!$A$9:$K$84,10,FALSE),"")</f>
        <v/>
      </c>
      <c r="I2558" s="2590" t="str">
        <f t="shared" ref="I2558:I2562" si="597">IFERROR(G2558/H2558,"")</f>
        <v/>
      </c>
      <c r="J2558" s="2591"/>
      <c r="K2558" s="2592" t="str">
        <f>IFERROR(VLOOKUP(F2558,Trainingsarten!$A$9:$K$84,11,FALSE),"0")</f>
        <v>0</v>
      </c>
      <c r="L2558" s="2815"/>
      <c r="M2558" s="2591"/>
      <c r="N2558" s="2593" t="str">
        <f t="shared" ref="N2558:N2562" si="598">IFERROR((L2558/67)/(1/(I2558*24)/3.6),"")</f>
        <v/>
      </c>
      <c r="O2558" s="2594"/>
      <c r="P2558" s="1919" t="str">
        <f>IFERROR(VLOOKUP(F2558,Trainingsarten!$A$9:$N$84,12,FALSE),"")</f>
        <v/>
      </c>
      <c r="Q2558" s="2461" t="s">
        <v>437</v>
      </c>
      <c r="R2558" s="3089" t="str">
        <f>IFERROR(VLOOKUP(F2558,Trainingsarten!$A$9:$N$84,14,FALSE),"")</f>
        <v/>
      </c>
      <c r="S2558" s="2595" t="str">
        <f t="shared" ref="S2558:S2562" si="599">IFERROR(L2558/J2558,"")</f>
        <v/>
      </c>
      <c r="T2558" s="2586">
        <f t="shared" ref="T2558:T2562" si="600">T2557+(K2558-T2557)/7</f>
        <v>28.303197801294822</v>
      </c>
      <c r="U2558" s="2586">
        <f t="shared" ref="U2558:U2562" si="601">U2557+(K2558-U2557)/42</f>
        <v>32.244339554036372</v>
      </c>
      <c r="V2558" s="2586">
        <f t="shared" ref="V2558:V2562" si="602">U2557-T2557</f>
        <v>1.0389425388424911E-2</v>
      </c>
      <c r="W2558" s="3283">
        <f t="shared" ref="W2558:W2562" si="603">T2558/U2558</f>
        <v>0.87777260110610034</v>
      </c>
      <c r="X2558" s="3300"/>
      <c r="Y2558" s="3316" t="str">
        <f t="shared" si="579"/>
        <v/>
      </c>
      <c r="Z2558" s="2597">
        <f t="shared" si="587"/>
        <v>1.6945647501176294E-16</v>
      </c>
      <c r="AA2558" s="2597">
        <f t="shared" si="588"/>
        <v>5.3891580541073014E-2</v>
      </c>
      <c r="AB2558" s="3325">
        <f t="shared" si="589"/>
        <v>3.144396087671118E-15</v>
      </c>
    </row>
    <row r="2559" spans="1:28" x14ac:dyDescent="0.2">
      <c r="A2559" s="2934" t="s">
        <v>626</v>
      </c>
      <c r="B2559" s="3004">
        <f>SUM(H2558:H2564)</f>
        <v>10.171067034796261</v>
      </c>
      <c r="C2559" s="2937">
        <v>45657</v>
      </c>
      <c r="D2559" s="3090"/>
      <c r="E2559" s="3091"/>
      <c r="F2559" s="3145" t="s">
        <v>819</v>
      </c>
      <c r="G2559" s="3092"/>
      <c r="H2559" s="3093">
        <f>IFERROR(VLOOKUP(F2559,Trainingsarten!$A$9:$K$84,10,FALSE),"")</f>
        <v>10.171067034796261</v>
      </c>
      <c r="I2559" s="3094">
        <f t="shared" si="597"/>
        <v>0</v>
      </c>
      <c r="J2559" s="3095"/>
      <c r="K2559" s="3096">
        <f>IFERROR(VLOOKUP(F2559,Trainingsarten!$A$9:$K$84,11,FALSE),"0")</f>
        <v>72.25</v>
      </c>
      <c r="L2559" s="2816"/>
      <c r="M2559" s="3095"/>
      <c r="N2559" s="3097" t="str">
        <f t="shared" si="598"/>
        <v/>
      </c>
      <c r="O2559" s="3098"/>
      <c r="P2559" s="2897">
        <f>IFERROR(VLOOKUP(F2559,Trainingsarten!$A$9:$N$84,12,FALSE),"")</f>
        <v>194.60000000000002</v>
      </c>
      <c r="Q2559" s="2898" t="s">
        <v>437</v>
      </c>
      <c r="R2559" s="3099">
        <f>IFERROR(VLOOKUP(F2559,Trainingsarten!$A$9:$N$84,14,FALSE),"")</f>
        <v>212.96</v>
      </c>
      <c r="S2559" s="3100" t="str">
        <f t="shared" si="599"/>
        <v/>
      </c>
      <c r="T2559" s="3090">
        <f t="shared" si="600"/>
        <v>34.581312401109848</v>
      </c>
      <c r="U2559" s="3090">
        <f t="shared" si="601"/>
        <v>33.196855278940269</v>
      </c>
      <c r="V2559" s="3090">
        <f t="shared" si="602"/>
        <v>3.9411417527415509</v>
      </c>
      <c r="W2559" s="3284">
        <f t="shared" si="603"/>
        <v>1.0417044659964483</v>
      </c>
      <c r="X2559" s="3300"/>
      <c r="Y2559" s="3316">
        <f t="shared" si="579"/>
        <v>0</v>
      </c>
      <c r="Z2559" s="2597">
        <f t="shared" si="587"/>
        <v>1.4524840715293967E-16</v>
      </c>
      <c r="AA2559" s="2597">
        <f t="shared" si="588"/>
        <v>5.2608447671047463E-2</v>
      </c>
      <c r="AB2559" s="3325">
        <f t="shared" si="589"/>
        <v>2.7609331501502503E-15</v>
      </c>
    </row>
    <row r="2560" spans="1:28" x14ac:dyDescent="0.2">
      <c r="A2560" s="2935" t="s">
        <v>628</v>
      </c>
      <c r="B2560" s="3005">
        <f>SUM(K2558:K2564)</f>
        <v>72.25</v>
      </c>
      <c r="C2560" s="2937">
        <v>45658</v>
      </c>
      <c r="D2560" s="3090"/>
      <c r="E2560" s="3091"/>
      <c r="F2560" s="3145"/>
      <c r="G2560" s="3092"/>
      <c r="H2560" s="3093" t="str">
        <f>IFERROR(VLOOKUP(F2560,Trainingsarten!$A$9:$K$84,10,FALSE),"")</f>
        <v/>
      </c>
      <c r="I2560" s="3094" t="str">
        <f t="shared" si="597"/>
        <v/>
      </c>
      <c r="J2560" s="3095"/>
      <c r="K2560" s="3096" t="str">
        <f>IFERROR(VLOOKUP(F2560,Trainingsarten!$A$9:$K$84,11,FALSE),"0")</f>
        <v>0</v>
      </c>
      <c r="L2560" s="2816"/>
      <c r="M2560" s="3095"/>
      <c r="N2560" s="3097" t="str">
        <f t="shared" si="598"/>
        <v/>
      </c>
      <c r="O2560" s="3098"/>
      <c r="P2560" s="2897" t="str">
        <f>IFERROR(VLOOKUP(F2560,Trainingsarten!$A$9:$N$84,12,FALSE),"")</f>
        <v/>
      </c>
      <c r="Q2560" s="2898" t="s">
        <v>437</v>
      </c>
      <c r="R2560" s="3099" t="str">
        <f>IFERROR(VLOOKUP(F2560,Trainingsarten!$A$9:$N$84,14,FALSE),"")</f>
        <v/>
      </c>
      <c r="S2560" s="3100" t="str">
        <f t="shared" si="599"/>
        <v/>
      </c>
      <c r="T2560" s="3090">
        <f t="shared" si="600"/>
        <v>29.641124915237015</v>
      </c>
      <c r="U2560" s="3090">
        <f t="shared" si="601"/>
        <v>32.406453962775025</v>
      </c>
      <c r="V2560" s="3090">
        <f t="shared" si="602"/>
        <v>-1.3844571221695787</v>
      </c>
      <c r="W2560" s="3284">
        <f t="shared" si="603"/>
        <v>0.91466733599688144</v>
      </c>
      <c r="X2560" s="3300"/>
      <c r="Y2560" s="3316" t="str">
        <f t="shared" si="579"/>
        <v/>
      </c>
      <c r="Z2560" s="2597">
        <f t="shared" si="587"/>
        <v>1.2449863470251972E-16</v>
      </c>
      <c r="AA2560" s="2597">
        <f t="shared" si="588"/>
        <v>5.1355865583641573E-2</v>
      </c>
      <c r="AB2560" s="3325">
        <f t="shared" si="589"/>
        <v>2.4242339854977807E-15</v>
      </c>
    </row>
    <row r="2561" spans="1:28" x14ac:dyDescent="0.2">
      <c r="A2561" s="2935" t="s">
        <v>761</v>
      </c>
      <c r="B2561" s="3006">
        <f>AVERAGE(W2558:W2564)</f>
        <v>0.78647197076786934</v>
      </c>
      <c r="C2561" s="2937">
        <v>45659</v>
      </c>
      <c r="D2561" s="3090"/>
      <c r="E2561" s="3091"/>
      <c r="F2561" s="3145"/>
      <c r="G2561" s="3092"/>
      <c r="H2561" s="3093" t="str">
        <f>IFERROR(VLOOKUP(F2561,Trainingsarten!$A$9:$K$84,10,FALSE),"")</f>
        <v/>
      </c>
      <c r="I2561" s="3094" t="str">
        <f t="shared" si="597"/>
        <v/>
      </c>
      <c r="J2561" s="3095"/>
      <c r="K2561" s="3096" t="str">
        <f>IFERROR(VLOOKUP(F2561,Trainingsarten!$A$9:$K$84,11,FALSE),"0")</f>
        <v>0</v>
      </c>
      <c r="L2561" s="2816"/>
      <c r="M2561" s="3095"/>
      <c r="N2561" s="3097" t="str">
        <f t="shared" si="598"/>
        <v/>
      </c>
      <c r="O2561" s="3098"/>
      <c r="P2561" s="2897" t="str">
        <f>IFERROR(VLOOKUP(F2561,Trainingsarten!$A$9:$N$84,12,FALSE),"")</f>
        <v/>
      </c>
      <c r="Q2561" s="2898" t="s">
        <v>437</v>
      </c>
      <c r="R2561" s="3099" t="str">
        <f>IFERROR(VLOOKUP(F2561,Trainingsarten!$A$9:$N$84,14,FALSE),"")</f>
        <v/>
      </c>
      <c r="S2561" s="3100" t="str">
        <f t="shared" si="599"/>
        <v/>
      </c>
      <c r="T2561" s="3090">
        <f t="shared" si="600"/>
        <v>25.406678498774582</v>
      </c>
      <c r="U2561" s="3090">
        <f t="shared" si="601"/>
        <v>31.634871725566097</v>
      </c>
      <c r="V2561" s="3090">
        <f t="shared" si="602"/>
        <v>2.7653290475380103</v>
      </c>
      <c r="W2561" s="3284">
        <f t="shared" si="603"/>
        <v>0.80312253892409091</v>
      </c>
      <c r="X2561" s="3300"/>
      <c r="Y2561" s="3316" t="str">
        <f t="shared" si="579"/>
        <v/>
      </c>
      <c r="Z2561" s="2597">
        <f t="shared" si="587"/>
        <v>1.0671311545930262E-16</v>
      </c>
      <c r="AA2561" s="2597">
        <f t="shared" si="588"/>
        <v>5.0133106879269154E-2</v>
      </c>
      <c r="AB2561" s="3325">
        <f t="shared" si="589"/>
        <v>2.1285956945834174E-15</v>
      </c>
    </row>
    <row r="2562" spans="1:28" x14ac:dyDescent="0.2">
      <c r="A2562" s="2935" t="s">
        <v>979</v>
      </c>
      <c r="B2562" s="3131" t="str">
        <f>IFERROR(AVERAGE(N2558:N2564),"")</f>
        <v/>
      </c>
      <c r="C2562" s="2937">
        <v>45660</v>
      </c>
      <c r="D2562" s="3090"/>
      <c r="E2562" s="3091"/>
      <c r="F2562" s="3145"/>
      <c r="G2562" s="3092"/>
      <c r="H2562" s="3093" t="str">
        <f>IFERROR(VLOOKUP(F2562,Trainingsarten!$A$9:$K$84,10,FALSE),"")</f>
        <v/>
      </c>
      <c r="I2562" s="3094" t="str">
        <f t="shared" si="597"/>
        <v/>
      </c>
      <c r="J2562" s="3095"/>
      <c r="K2562" s="3096" t="str">
        <f>IFERROR(VLOOKUP(F2562,Trainingsarten!$A$9:$K$84,11,FALSE),"0")</f>
        <v>0</v>
      </c>
      <c r="L2562" s="2816"/>
      <c r="M2562" s="3095"/>
      <c r="N2562" s="3097" t="str">
        <f t="shared" si="598"/>
        <v/>
      </c>
      <c r="O2562" s="3098"/>
      <c r="P2562" s="2897" t="str">
        <f>IFERROR(VLOOKUP(F2562,Trainingsarten!$A$9:$N$84,12,FALSE),"")</f>
        <v/>
      </c>
      <c r="Q2562" s="2898" t="s">
        <v>437</v>
      </c>
      <c r="R2562" s="3099" t="str">
        <f>IFERROR(VLOOKUP(F2562,Trainingsarten!$A$9:$N$84,14,FALSE),"")</f>
        <v/>
      </c>
      <c r="S2562" s="3100" t="str">
        <f t="shared" si="599"/>
        <v/>
      </c>
      <c r="T2562" s="3090">
        <f t="shared" si="600"/>
        <v>21.777152998949642</v>
      </c>
      <c r="U2562" s="3090">
        <f t="shared" si="601"/>
        <v>30.881660494005001</v>
      </c>
      <c r="V2562" s="3090">
        <f t="shared" si="602"/>
        <v>6.2281932267915145</v>
      </c>
      <c r="W2562" s="3284">
        <f t="shared" si="603"/>
        <v>0.70518076588456768</v>
      </c>
      <c r="X2562" s="3300"/>
      <c r="Y2562" s="3316" t="str">
        <f t="shared" si="579"/>
        <v/>
      </c>
      <c r="Z2562" s="2597">
        <f t="shared" si="587"/>
        <v>9.1468384679402249E-17</v>
      </c>
      <c r="AA2562" s="2597">
        <f t="shared" si="588"/>
        <v>4.893946147738179E-2</v>
      </c>
      <c r="AB2562" s="3325">
        <f t="shared" si="589"/>
        <v>1.8690108537805617E-15</v>
      </c>
    </row>
    <row r="2563" spans="1:28" x14ac:dyDescent="0.2">
      <c r="A2563" s="2935" t="s">
        <v>980</v>
      </c>
      <c r="B2563" s="3006" t="str">
        <f>IFERROR(AVERAGE(S2558:S2564),"")</f>
        <v/>
      </c>
      <c r="C2563" s="2937">
        <v>45661</v>
      </c>
      <c r="D2563" s="3090"/>
      <c r="E2563" s="3091"/>
      <c r="F2563" s="3145"/>
      <c r="G2563" s="3092"/>
      <c r="H2563" s="3093" t="str">
        <f>IFERROR(VLOOKUP(F2563,Trainingsarten!$A$9:$K$84,10,FALSE),"")</f>
        <v/>
      </c>
      <c r="I2563" s="3094" t="str">
        <f t="shared" ref="I2563:I2564" si="604">IFERROR(G2563/H2563,"")</f>
        <v/>
      </c>
      <c r="J2563" s="3095"/>
      <c r="K2563" s="3096" t="str">
        <f>IFERROR(VLOOKUP(F2563,Trainingsarten!$A$9:$K$84,11,FALSE),"0")</f>
        <v>0</v>
      </c>
      <c r="L2563" s="2816"/>
      <c r="M2563" s="3095"/>
      <c r="N2563" s="3097" t="str">
        <f t="shared" ref="N2563:N2564" si="605">IFERROR((L2563/67)/(1/(I2563*24)/3.6),"")</f>
        <v/>
      </c>
      <c r="O2563" s="3098"/>
      <c r="P2563" s="2897" t="str">
        <f>IFERROR(VLOOKUP(F2563,Trainingsarten!$A$9:$N$84,12,FALSE),"")</f>
        <v/>
      </c>
      <c r="Q2563" s="2898" t="s">
        <v>437</v>
      </c>
      <c r="R2563" s="3099" t="str">
        <f>IFERROR(VLOOKUP(F2563,Trainingsarten!$A$9:$N$84,14,FALSE),"")</f>
        <v/>
      </c>
      <c r="S2563" s="3100" t="str">
        <f t="shared" ref="S2563:S2564" si="606">IFERROR(L2563/J2563,"")</f>
        <v/>
      </c>
      <c r="T2563" s="3090">
        <f t="shared" ref="T2563:T2564" si="607">T2562+(K2563-T2562)/7</f>
        <v>18.666131141956836</v>
      </c>
      <c r="U2563" s="3090">
        <f t="shared" ref="U2563:U2564" si="608">U2562+(K2563-U2562)/42</f>
        <v>30.146382863195356</v>
      </c>
      <c r="V2563" s="3090">
        <f t="shared" ref="V2563:V2564" si="609">U2562-T2562</f>
        <v>9.1045074950553584</v>
      </c>
      <c r="W2563" s="3284">
        <f t="shared" ref="W2563:W2564" si="610">T2563/U2563</f>
        <v>0.61918311150840089</v>
      </c>
      <c r="X2563" s="3300"/>
      <c r="Y2563" s="3316" t="str">
        <f t="shared" si="579"/>
        <v/>
      </c>
      <c r="Z2563" s="2597">
        <f t="shared" si="587"/>
        <v>7.8401472582344785E-17</v>
      </c>
      <c r="AA2563" s="2597">
        <f t="shared" si="588"/>
        <v>4.7774236204110795E-2</v>
      </c>
      <c r="AB2563" s="3325">
        <f t="shared" si="589"/>
        <v>1.6410827008804932E-15</v>
      </c>
    </row>
    <row r="2564" spans="1:28" ht="16" thickBot="1" x14ac:dyDescent="0.25">
      <c r="A2564" s="2936" t="s">
        <v>183</v>
      </c>
      <c r="B2564" s="3003">
        <f>IFERROR(SUM(M2558:M2564),"")</f>
        <v>0</v>
      </c>
      <c r="C2564" s="2576">
        <v>45662</v>
      </c>
      <c r="D2564" s="1788"/>
      <c r="E2564" s="1789"/>
      <c r="F2564" s="3146"/>
      <c r="G2564" s="2577"/>
      <c r="H2564" s="2578" t="str">
        <f>IFERROR(VLOOKUP(F2564,Trainingsarten!$A$9:$K$84,10,FALSE),"")</f>
        <v/>
      </c>
      <c r="I2564" s="2579" t="str">
        <f t="shared" si="604"/>
        <v/>
      </c>
      <c r="J2564" s="2580"/>
      <c r="K2564" s="2581" t="str">
        <f>IFERROR(VLOOKUP(F2564,Trainingsarten!$A$9:$K$84,11,FALSE),"0")</f>
        <v>0</v>
      </c>
      <c r="L2564" s="3101"/>
      <c r="M2564" s="2580"/>
      <c r="N2564" s="2582" t="str">
        <f t="shared" si="605"/>
        <v/>
      </c>
      <c r="O2564" s="2583"/>
      <c r="P2564" s="3102" t="str">
        <f>IFERROR(VLOOKUP(F2564,Trainingsarten!$A$9:$N$84,12,FALSE),"")</f>
        <v/>
      </c>
      <c r="Q2564" s="3103" t="s">
        <v>437</v>
      </c>
      <c r="R2564" s="3104" t="str">
        <f>IFERROR(VLOOKUP(F2564,Trainingsarten!$A$9:$N$84,14,FALSE),"")</f>
        <v/>
      </c>
      <c r="S2564" s="2390" t="str">
        <f t="shared" si="606"/>
        <v/>
      </c>
      <c r="T2564" s="1788">
        <f t="shared" si="607"/>
        <v>15.999540978820145</v>
      </c>
      <c r="U2564" s="1788">
        <f t="shared" si="608"/>
        <v>29.428611842643086</v>
      </c>
      <c r="V2564" s="1788">
        <f t="shared" si="609"/>
        <v>11.48025172123852</v>
      </c>
      <c r="W2564" s="3293">
        <f t="shared" si="610"/>
        <v>0.54367297595859587</v>
      </c>
      <c r="X2564" s="3309"/>
      <c r="Y2564" s="3316" t="str">
        <f t="shared" si="579"/>
        <v/>
      </c>
      <c r="Z2564" s="2597">
        <f t="shared" si="587"/>
        <v>6.7201262213438382E-17</v>
      </c>
      <c r="AA2564" s="2597">
        <f t="shared" si="588"/>
        <v>4.6636754389727204E-2</v>
      </c>
      <c r="AB2564" s="2846">
        <f t="shared" si="589"/>
        <v>1.4409506641877501E-15</v>
      </c>
    </row>
    <row r="2565" spans="1:28" x14ac:dyDescent="0.2">
      <c r="AB2565" s="3286"/>
    </row>
  </sheetData>
  <sheetProtection selectLockedCells="1" selectUnlockedCells="1"/>
  <mergeCells count="113">
    <mergeCell ref="AE2415:AE2425"/>
    <mergeCell ref="AE2332:AE2334"/>
    <mergeCell ref="A2551:B2551"/>
    <mergeCell ref="A2558:B2558"/>
    <mergeCell ref="A2516:B2516"/>
    <mergeCell ref="A2523:B2523"/>
    <mergeCell ref="A2530:B2530"/>
    <mergeCell ref="A2537:B2537"/>
    <mergeCell ref="A2544:B2544"/>
    <mergeCell ref="A2481:B2481"/>
    <mergeCell ref="A2488:B2488"/>
    <mergeCell ref="A2495:B2495"/>
    <mergeCell ref="A2502:B2502"/>
    <mergeCell ref="A2509:B2509"/>
    <mergeCell ref="A2446:B2446"/>
    <mergeCell ref="A2453:B2453"/>
    <mergeCell ref="A2460:B2460"/>
    <mergeCell ref="A2467:B2467"/>
    <mergeCell ref="A2474:B2474"/>
    <mergeCell ref="A2411:B2411"/>
    <mergeCell ref="A2418:B2418"/>
    <mergeCell ref="A2425:B2425"/>
    <mergeCell ref="A2432:B2432"/>
    <mergeCell ref="A2439:B2439"/>
    <mergeCell ref="A2397:B2397"/>
    <mergeCell ref="A2404:B2404"/>
    <mergeCell ref="A2362:B2362"/>
    <mergeCell ref="A2369:B2369"/>
    <mergeCell ref="A2376:B2376"/>
    <mergeCell ref="A2383:B2383"/>
    <mergeCell ref="A2390:B2390"/>
    <mergeCell ref="A2327:B2327"/>
    <mergeCell ref="A2334:B2334"/>
    <mergeCell ref="A2341:B2341"/>
    <mergeCell ref="A2348:B2348"/>
    <mergeCell ref="A2355:B2355"/>
    <mergeCell ref="A2117:B2117"/>
    <mergeCell ref="A2187:B2187"/>
    <mergeCell ref="A2194:B2194"/>
    <mergeCell ref="A2145:B2145"/>
    <mergeCell ref="A2152:B2152"/>
    <mergeCell ref="A2159:B2159"/>
    <mergeCell ref="A2166:B2166"/>
    <mergeCell ref="A2173:B2173"/>
    <mergeCell ref="A2180:B2180"/>
    <mergeCell ref="A2138:B2138"/>
    <mergeCell ref="A2131:B2131"/>
    <mergeCell ref="A2124:B2124"/>
    <mergeCell ref="A2040:B2040"/>
    <mergeCell ref="A2047:B2047"/>
    <mergeCell ref="A2061:B2061"/>
    <mergeCell ref="A2068:B2068"/>
    <mergeCell ref="A2075:B2075"/>
    <mergeCell ref="A2082:B2082"/>
    <mergeCell ref="A2089:B2089"/>
    <mergeCell ref="A2096:B2096"/>
    <mergeCell ref="A2103:B2103"/>
    <mergeCell ref="A2054:B2054"/>
    <mergeCell ref="A1977:B1977"/>
    <mergeCell ref="A1984:B1984"/>
    <mergeCell ref="A1991:B1991"/>
    <mergeCell ref="A1998:B1998"/>
    <mergeCell ref="A2005:B2005"/>
    <mergeCell ref="A2012:B2012"/>
    <mergeCell ref="A2019:B2019"/>
    <mergeCell ref="A2026:B2026"/>
    <mergeCell ref="A2033:B2033"/>
    <mergeCell ref="A1970:B1970"/>
    <mergeCell ref="A1844:B1844"/>
    <mergeCell ref="A1837:B1837"/>
    <mergeCell ref="A1830:B1830"/>
    <mergeCell ref="A1914:B1914"/>
    <mergeCell ref="A1921:B1921"/>
    <mergeCell ref="A1928:B1928"/>
    <mergeCell ref="A1935:B1935"/>
    <mergeCell ref="A1942:B1942"/>
    <mergeCell ref="A1949:B1949"/>
    <mergeCell ref="A1956:B1956"/>
    <mergeCell ref="A1963:B1963"/>
    <mergeCell ref="A1:B1"/>
    <mergeCell ref="A1907:B1907"/>
    <mergeCell ref="A1900:B1900"/>
    <mergeCell ref="A1893:B1893"/>
    <mergeCell ref="A1886:B1886"/>
    <mergeCell ref="A1879:B1879"/>
    <mergeCell ref="A1872:B1872"/>
    <mergeCell ref="A1865:B1865"/>
    <mergeCell ref="A1858:B1858"/>
    <mergeCell ref="A1851:B1851"/>
    <mergeCell ref="AE2430:AE2433"/>
    <mergeCell ref="AE2282:AE2285"/>
    <mergeCell ref="AE2232:AE2237"/>
    <mergeCell ref="AE2082:AE2088"/>
    <mergeCell ref="AE2047:AE2060"/>
    <mergeCell ref="A2306:B2306"/>
    <mergeCell ref="A2313:B2313"/>
    <mergeCell ref="A2320:B2320"/>
    <mergeCell ref="A2271:B2271"/>
    <mergeCell ref="A2201:B2201"/>
    <mergeCell ref="A2208:B2208"/>
    <mergeCell ref="A2215:B2215"/>
    <mergeCell ref="A2222:B2222"/>
    <mergeCell ref="A2229:B2229"/>
    <mergeCell ref="A2278:B2278"/>
    <mergeCell ref="A2285:B2285"/>
    <mergeCell ref="A2292:B2292"/>
    <mergeCell ref="A2299:B2299"/>
    <mergeCell ref="A2236:B2236"/>
    <mergeCell ref="A2243:B2243"/>
    <mergeCell ref="A2250:B2250"/>
    <mergeCell ref="A2257:B2257"/>
    <mergeCell ref="A2264:B2264"/>
    <mergeCell ref="A2110:B2110"/>
  </mergeCells>
  <phoneticPr fontId="26" type="noConversion"/>
  <conditionalFormatting sqref="B5">
    <cfRule type="cellIs" dxfId="4253" priority="5043" operator="greaterThan">
      <formula>50</formula>
    </cfRule>
    <cfRule type="cellIs" dxfId="4252" priority="5044" operator="between">
      <formula>35</formula>
      <formula>50</formula>
    </cfRule>
    <cfRule type="cellIs" dxfId="4251" priority="5045" operator="lessThan">
      <formula>35</formula>
    </cfRule>
  </conditionalFormatting>
  <conditionalFormatting sqref="B7">
    <cfRule type="cellIs" dxfId="4250" priority="5046" operator="greaterThan">
      <formula>350</formula>
    </cfRule>
    <cfRule type="cellIs" dxfId="4249" priority="5047" operator="between">
      <formula>250</formula>
      <formula>350</formula>
    </cfRule>
    <cfRule type="cellIs" dxfId="4248" priority="5048" operator="lessThan">
      <formula>250</formula>
    </cfRule>
  </conditionalFormatting>
  <conditionalFormatting sqref="B9">
    <cfRule type="cellIs" dxfId="4247" priority="5038" operator="lessThan">
      <formula>0.8</formula>
    </cfRule>
    <cfRule type="cellIs" dxfId="4246" priority="5039" operator="between">
      <formula>0.8</formula>
      <formula>0.99999</formula>
    </cfRule>
    <cfRule type="cellIs" dxfId="4245" priority="5040" operator="between">
      <formula>1</formula>
      <formula>1.3</formula>
    </cfRule>
    <cfRule type="cellIs" dxfId="4244" priority="5041" operator="between">
      <formula>1.3</formula>
      <formula>1.5</formula>
    </cfRule>
    <cfRule type="cellIs" dxfId="4243" priority="5042" operator="greaterThan">
      <formula>1.5</formula>
    </cfRule>
  </conditionalFormatting>
  <conditionalFormatting sqref="B12">
    <cfRule type="cellIs" dxfId="4242" priority="5054" operator="greaterThan">
      <formula>50</formula>
    </cfRule>
    <cfRule type="cellIs" dxfId="4241" priority="5055" operator="between">
      <formula>35</formula>
      <formula>50</formula>
    </cfRule>
    <cfRule type="cellIs" dxfId="4240" priority="5056" operator="lessThan">
      <formula>35</formula>
    </cfRule>
  </conditionalFormatting>
  <conditionalFormatting sqref="B14">
    <cfRule type="cellIs" dxfId="4239" priority="5057" operator="greaterThan">
      <formula>350</formula>
    </cfRule>
    <cfRule type="cellIs" dxfId="4238" priority="5058" operator="between">
      <formula>250</formula>
      <formula>350</formula>
    </cfRule>
    <cfRule type="cellIs" dxfId="4237" priority="5059" operator="lessThan">
      <formula>250</formula>
    </cfRule>
  </conditionalFormatting>
  <conditionalFormatting sqref="B16">
    <cfRule type="cellIs" dxfId="4236" priority="5049" operator="lessThan">
      <formula>0.8</formula>
    </cfRule>
    <cfRule type="cellIs" dxfId="4235" priority="5050" operator="between">
      <formula>0.8</formula>
      <formula>0.99999</formula>
    </cfRule>
    <cfRule type="cellIs" dxfId="4234" priority="5051" operator="between">
      <formula>1</formula>
      <formula>1.3</formula>
    </cfRule>
    <cfRule type="cellIs" dxfId="4233" priority="5052" operator="between">
      <formula>1.3</formula>
      <formula>1.5</formula>
    </cfRule>
    <cfRule type="cellIs" dxfId="4232" priority="5053" operator="greaterThan">
      <formula>1.5</formula>
    </cfRule>
  </conditionalFormatting>
  <conditionalFormatting sqref="B19">
    <cfRule type="cellIs" dxfId="4231" priority="5065" operator="greaterThan">
      <formula>50</formula>
    </cfRule>
    <cfRule type="cellIs" dxfId="4230" priority="5066" operator="between">
      <formula>35</formula>
      <formula>50</formula>
    </cfRule>
    <cfRule type="cellIs" dxfId="4229" priority="5067" operator="lessThan">
      <formula>35</formula>
    </cfRule>
  </conditionalFormatting>
  <conditionalFormatting sqref="B21">
    <cfRule type="cellIs" dxfId="4228" priority="5068" operator="greaterThan">
      <formula>350</formula>
    </cfRule>
    <cfRule type="cellIs" dxfId="4227" priority="5069" operator="between">
      <formula>250</formula>
      <formula>350</formula>
    </cfRule>
    <cfRule type="cellIs" dxfId="4226" priority="5070" operator="lessThan">
      <formula>250</formula>
    </cfRule>
  </conditionalFormatting>
  <conditionalFormatting sqref="B23">
    <cfRule type="cellIs" dxfId="4225" priority="5060" operator="lessThan">
      <formula>0.8</formula>
    </cfRule>
    <cfRule type="cellIs" dxfId="4224" priority="5061" operator="between">
      <formula>0.8</formula>
      <formula>0.99999</formula>
    </cfRule>
    <cfRule type="cellIs" dxfId="4223" priority="5062" operator="between">
      <formula>1</formula>
      <formula>1.3</formula>
    </cfRule>
    <cfRule type="cellIs" dxfId="4222" priority="5063" operator="between">
      <formula>1.3</formula>
      <formula>1.5</formula>
    </cfRule>
    <cfRule type="cellIs" dxfId="4221" priority="5064" operator="greaterThan">
      <formula>1.5</formula>
    </cfRule>
  </conditionalFormatting>
  <conditionalFormatting sqref="B26">
    <cfRule type="cellIs" dxfId="4220" priority="5076" operator="greaterThan">
      <formula>50</formula>
    </cfRule>
    <cfRule type="cellIs" dxfId="4219" priority="5077" operator="between">
      <formula>35</formula>
      <formula>50</formula>
    </cfRule>
    <cfRule type="cellIs" dxfId="4218" priority="5078" operator="lessThan">
      <formula>35</formula>
    </cfRule>
  </conditionalFormatting>
  <conditionalFormatting sqref="B28">
    <cfRule type="cellIs" dxfId="4217" priority="5079" operator="greaterThan">
      <formula>350</formula>
    </cfRule>
    <cfRule type="cellIs" dxfId="4216" priority="5080" operator="between">
      <formula>250</formula>
      <formula>350</formula>
    </cfRule>
    <cfRule type="cellIs" dxfId="4215" priority="5081" operator="lessThan">
      <formula>250</formula>
    </cfRule>
  </conditionalFormatting>
  <conditionalFormatting sqref="B30">
    <cfRule type="cellIs" dxfId="4214" priority="3642" operator="lessThan">
      <formula>0.8</formula>
    </cfRule>
    <cfRule type="cellIs" dxfId="4213" priority="3643" operator="between">
      <formula>0.8</formula>
      <formula>0.99999</formula>
    </cfRule>
    <cfRule type="cellIs" dxfId="4212" priority="3644" operator="between">
      <formula>1</formula>
      <formula>1.3</formula>
    </cfRule>
    <cfRule type="cellIs" dxfId="4211" priority="3645" operator="between">
      <formula>1.3</formula>
      <formula>1.5</formula>
    </cfRule>
    <cfRule type="cellIs" dxfId="4210" priority="3646" operator="greaterThan">
      <formula>1.5</formula>
    </cfRule>
  </conditionalFormatting>
  <conditionalFormatting sqref="B33">
    <cfRule type="cellIs" dxfId="4209" priority="5087" operator="greaterThan">
      <formula>50</formula>
    </cfRule>
    <cfRule type="cellIs" dxfId="4208" priority="5088" operator="between">
      <formula>35</formula>
      <formula>50</formula>
    </cfRule>
    <cfRule type="cellIs" dxfId="4207" priority="5089" operator="lessThan">
      <formula>35</formula>
    </cfRule>
  </conditionalFormatting>
  <conditionalFormatting sqref="B35">
    <cfRule type="cellIs" dxfId="4206" priority="5090" operator="greaterThan">
      <formula>350</formula>
    </cfRule>
    <cfRule type="cellIs" dxfId="4205" priority="5091" operator="between">
      <formula>250</formula>
      <formula>350</formula>
    </cfRule>
    <cfRule type="cellIs" dxfId="4204" priority="5092" operator="lessThan">
      <formula>250</formula>
    </cfRule>
  </conditionalFormatting>
  <conditionalFormatting sqref="B37">
    <cfRule type="cellIs" dxfId="4203" priority="3647" operator="lessThan">
      <formula>0.8</formula>
    </cfRule>
    <cfRule type="cellIs" dxfId="4202" priority="3648" operator="between">
      <formula>0.8</formula>
      <formula>0.99999</formula>
    </cfRule>
    <cfRule type="cellIs" dxfId="4201" priority="3649" operator="between">
      <formula>1</formula>
      <formula>1.3</formula>
    </cfRule>
    <cfRule type="cellIs" dxfId="4200" priority="3650" operator="between">
      <formula>1.3</formula>
      <formula>1.5</formula>
    </cfRule>
    <cfRule type="cellIs" dxfId="4199" priority="3651" operator="greaterThan">
      <formula>1.5</formula>
    </cfRule>
  </conditionalFormatting>
  <conditionalFormatting sqref="B40">
    <cfRule type="cellIs" dxfId="4198" priority="5098" operator="greaterThan">
      <formula>50</formula>
    </cfRule>
    <cfRule type="cellIs" dxfId="4197" priority="5099" operator="between">
      <formula>35</formula>
      <formula>50</formula>
    </cfRule>
    <cfRule type="cellIs" dxfId="4196" priority="5100" operator="lessThan">
      <formula>35</formula>
    </cfRule>
  </conditionalFormatting>
  <conditionalFormatting sqref="B42">
    <cfRule type="cellIs" dxfId="4195" priority="5101" operator="greaterThan">
      <formula>350</formula>
    </cfRule>
    <cfRule type="cellIs" dxfId="4194" priority="5102" operator="between">
      <formula>250</formula>
      <formula>350</formula>
    </cfRule>
    <cfRule type="cellIs" dxfId="4193" priority="5103" operator="lessThan">
      <formula>250</formula>
    </cfRule>
  </conditionalFormatting>
  <conditionalFormatting sqref="B44">
    <cfRule type="cellIs" dxfId="4192" priority="3652" operator="lessThan">
      <formula>0.8</formula>
    </cfRule>
    <cfRule type="cellIs" dxfId="4191" priority="3653" operator="between">
      <formula>0.8</formula>
      <formula>0.99999</formula>
    </cfRule>
    <cfRule type="cellIs" dxfId="4190" priority="3654" operator="between">
      <formula>1</formula>
      <formula>1.3</formula>
    </cfRule>
    <cfRule type="cellIs" dxfId="4189" priority="3655" operator="between">
      <formula>1.3</formula>
      <formula>1.5</formula>
    </cfRule>
    <cfRule type="cellIs" dxfId="4188" priority="3656" operator="greaterThan">
      <formula>1.5</formula>
    </cfRule>
  </conditionalFormatting>
  <conditionalFormatting sqref="B47">
    <cfRule type="cellIs" dxfId="4187" priority="5109" operator="greaterThan">
      <formula>50</formula>
    </cfRule>
    <cfRule type="cellIs" dxfId="4186" priority="5110" operator="between">
      <formula>35</formula>
      <formula>50</formula>
    </cfRule>
    <cfRule type="cellIs" dxfId="4185" priority="5111" operator="lessThan">
      <formula>35</formula>
    </cfRule>
  </conditionalFormatting>
  <conditionalFormatting sqref="B49">
    <cfRule type="cellIs" dxfId="4184" priority="5112" operator="greaterThan">
      <formula>350</formula>
    </cfRule>
    <cfRule type="cellIs" dxfId="4183" priority="5113" operator="between">
      <formula>250</formula>
      <formula>350</formula>
    </cfRule>
    <cfRule type="cellIs" dxfId="4182" priority="5114" operator="lessThan">
      <formula>250</formula>
    </cfRule>
  </conditionalFormatting>
  <conditionalFormatting sqref="B51">
    <cfRule type="cellIs" dxfId="4181" priority="3657" operator="lessThan">
      <formula>0.8</formula>
    </cfRule>
    <cfRule type="cellIs" dxfId="4180" priority="3658" operator="between">
      <formula>0.8</formula>
      <formula>0.99999</formula>
    </cfRule>
    <cfRule type="cellIs" dxfId="4179" priority="3659" operator="between">
      <formula>1</formula>
      <formula>1.3</formula>
    </cfRule>
    <cfRule type="cellIs" dxfId="4178" priority="3660" operator="between">
      <formula>1.3</formula>
      <formula>1.5</formula>
    </cfRule>
    <cfRule type="cellIs" dxfId="4177" priority="3661" operator="greaterThan">
      <formula>1.5</formula>
    </cfRule>
  </conditionalFormatting>
  <conditionalFormatting sqref="B54">
    <cfRule type="cellIs" dxfId="4176" priority="5120" operator="greaterThan">
      <formula>50</formula>
    </cfRule>
    <cfRule type="cellIs" dxfId="4175" priority="5121" operator="between">
      <formula>35</formula>
      <formula>50</formula>
    </cfRule>
    <cfRule type="cellIs" dxfId="4174" priority="5122" operator="lessThan">
      <formula>35</formula>
    </cfRule>
  </conditionalFormatting>
  <conditionalFormatting sqref="B56">
    <cfRule type="cellIs" dxfId="4173" priority="5123" operator="greaterThan">
      <formula>350</formula>
    </cfRule>
    <cfRule type="cellIs" dxfId="4172" priority="5124" operator="between">
      <formula>250</formula>
      <formula>350</formula>
    </cfRule>
    <cfRule type="cellIs" dxfId="4171" priority="5125" operator="lessThan">
      <formula>250</formula>
    </cfRule>
  </conditionalFormatting>
  <conditionalFormatting sqref="B58">
    <cfRule type="cellIs" dxfId="4170" priority="3662" operator="lessThan">
      <formula>0.8</formula>
    </cfRule>
    <cfRule type="cellIs" dxfId="4169" priority="3663" operator="between">
      <formula>0.8</formula>
      <formula>0.99999</formula>
    </cfRule>
    <cfRule type="cellIs" dxfId="4168" priority="3664" operator="between">
      <formula>1</formula>
      <formula>1.3</formula>
    </cfRule>
    <cfRule type="cellIs" dxfId="4167" priority="3665" operator="between">
      <formula>1.3</formula>
      <formula>1.5</formula>
    </cfRule>
    <cfRule type="cellIs" dxfId="4166" priority="3666" operator="greaterThan">
      <formula>1.5</formula>
    </cfRule>
  </conditionalFormatting>
  <conditionalFormatting sqref="B61">
    <cfRule type="cellIs" dxfId="4165" priority="5131" operator="greaterThan">
      <formula>50</formula>
    </cfRule>
    <cfRule type="cellIs" dxfId="4164" priority="5132" operator="between">
      <formula>35</formula>
      <formula>50</formula>
    </cfRule>
    <cfRule type="cellIs" dxfId="4163" priority="5133" operator="lessThan">
      <formula>35</formula>
    </cfRule>
  </conditionalFormatting>
  <conditionalFormatting sqref="B63">
    <cfRule type="cellIs" dxfId="4162" priority="5134" operator="greaterThan">
      <formula>350</formula>
    </cfRule>
    <cfRule type="cellIs" dxfId="4161" priority="5135" operator="between">
      <formula>250</formula>
      <formula>350</formula>
    </cfRule>
    <cfRule type="cellIs" dxfId="4160" priority="5136" operator="lessThan">
      <formula>250</formula>
    </cfRule>
  </conditionalFormatting>
  <conditionalFormatting sqref="B65">
    <cfRule type="cellIs" dxfId="4159" priority="3667" operator="lessThan">
      <formula>0.8</formula>
    </cfRule>
    <cfRule type="cellIs" dxfId="4158" priority="3668" operator="between">
      <formula>0.8</formula>
      <formula>0.99999</formula>
    </cfRule>
    <cfRule type="cellIs" dxfId="4157" priority="3669" operator="between">
      <formula>1</formula>
      <formula>1.3</formula>
    </cfRule>
    <cfRule type="cellIs" dxfId="4156" priority="3670" operator="between">
      <formula>1.3</formula>
      <formula>1.5</formula>
    </cfRule>
    <cfRule type="cellIs" dxfId="4155" priority="3671" operator="greaterThan">
      <formula>1.5</formula>
    </cfRule>
  </conditionalFormatting>
  <conditionalFormatting sqref="B68">
    <cfRule type="cellIs" dxfId="4154" priority="5142" operator="greaterThan">
      <formula>50</formula>
    </cfRule>
    <cfRule type="cellIs" dxfId="4153" priority="5143" operator="between">
      <formula>35</formula>
      <formula>50</formula>
    </cfRule>
    <cfRule type="cellIs" dxfId="4152" priority="5144" operator="lessThan">
      <formula>35</formula>
    </cfRule>
  </conditionalFormatting>
  <conditionalFormatting sqref="B70">
    <cfRule type="cellIs" dxfId="4151" priority="5145" operator="greaterThan">
      <formula>350</formula>
    </cfRule>
    <cfRule type="cellIs" dxfId="4150" priority="5146" operator="between">
      <formula>250</formula>
      <formula>350</formula>
    </cfRule>
    <cfRule type="cellIs" dxfId="4149" priority="5147" operator="lessThan">
      <formula>250</formula>
    </cfRule>
  </conditionalFormatting>
  <conditionalFormatting sqref="B72">
    <cfRule type="cellIs" dxfId="4148" priority="3672" operator="lessThan">
      <formula>0.8</formula>
    </cfRule>
    <cfRule type="cellIs" dxfId="4147" priority="3673" operator="between">
      <formula>0.8</formula>
      <formula>0.99999</formula>
    </cfRule>
    <cfRule type="cellIs" dxfId="4146" priority="3674" operator="between">
      <formula>1</formula>
      <formula>1.3</formula>
    </cfRule>
    <cfRule type="cellIs" dxfId="4145" priority="3675" operator="between">
      <formula>1.3</formula>
      <formula>1.5</formula>
    </cfRule>
    <cfRule type="cellIs" dxfId="4144" priority="3676" operator="greaterThan">
      <formula>1.5</formula>
    </cfRule>
  </conditionalFormatting>
  <conditionalFormatting sqref="B75">
    <cfRule type="cellIs" dxfId="4143" priority="5153" operator="greaterThan">
      <formula>50</formula>
    </cfRule>
    <cfRule type="cellIs" dxfId="4142" priority="5154" operator="between">
      <formula>35</formula>
      <formula>50</formula>
    </cfRule>
    <cfRule type="cellIs" dxfId="4141" priority="5155" operator="lessThan">
      <formula>35</formula>
    </cfRule>
  </conditionalFormatting>
  <conditionalFormatting sqref="B77">
    <cfRule type="cellIs" dxfId="4140" priority="5156" operator="greaterThan">
      <formula>350</formula>
    </cfRule>
    <cfRule type="cellIs" dxfId="4139" priority="5157" operator="between">
      <formula>250</formula>
      <formula>350</formula>
    </cfRule>
    <cfRule type="cellIs" dxfId="4138" priority="5158" operator="lessThan">
      <formula>250</formula>
    </cfRule>
  </conditionalFormatting>
  <conditionalFormatting sqref="B79">
    <cfRule type="cellIs" dxfId="4137" priority="4399" operator="lessThan">
      <formula>0.8</formula>
    </cfRule>
    <cfRule type="cellIs" dxfId="4136" priority="4400" operator="between">
      <formula>0.8</formula>
      <formula>0.99999</formula>
    </cfRule>
    <cfRule type="cellIs" dxfId="4135" priority="4401" operator="between">
      <formula>1</formula>
      <formula>1.3</formula>
    </cfRule>
    <cfRule type="cellIs" dxfId="4134" priority="4402" operator="between">
      <formula>1.3</formula>
      <formula>1.5</formula>
    </cfRule>
    <cfRule type="cellIs" dxfId="4133" priority="4403" operator="greaterThan">
      <formula>1.5</formula>
    </cfRule>
  </conditionalFormatting>
  <conditionalFormatting sqref="B82">
    <cfRule type="cellIs" dxfId="4132" priority="5164" operator="greaterThan">
      <formula>50</formula>
    </cfRule>
    <cfRule type="cellIs" dxfId="4131" priority="5165" operator="between">
      <formula>35</formula>
      <formula>50</formula>
    </cfRule>
    <cfRule type="cellIs" dxfId="4130" priority="5166" operator="lessThan">
      <formula>35</formula>
    </cfRule>
  </conditionalFormatting>
  <conditionalFormatting sqref="B84">
    <cfRule type="cellIs" dxfId="4129" priority="5167" operator="greaterThan">
      <formula>350</formula>
    </cfRule>
    <cfRule type="cellIs" dxfId="4128" priority="5168" operator="between">
      <formula>250</formula>
      <formula>350</formula>
    </cfRule>
    <cfRule type="cellIs" dxfId="4127" priority="5169" operator="lessThan">
      <formula>250</formula>
    </cfRule>
  </conditionalFormatting>
  <conditionalFormatting sqref="B86">
    <cfRule type="cellIs" dxfId="4126" priority="4394" operator="lessThan">
      <formula>0.8</formula>
    </cfRule>
    <cfRule type="cellIs" dxfId="4125" priority="4395" operator="between">
      <formula>0.8</formula>
      <formula>0.99999</formula>
    </cfRule>
    <cfRule type="cellIs" dxfId="4124" priority="4396" operator="between">
      <formula>1</formula>
      <formula>1.3</formula>
    </cfRule>
    <cfRule type="cellIs" dxfId="4123" priority="4397" operator="between">
      <formula>1.3</formula>
      <formula>1.5</formula>
    </cfRule>
    <cfRule type="cellIs" dxfId="4122" priority="4398" operator="greaterThan">
      <formula>1.5</formula>
    </cfRule>
  </conditionalFormatting>
  <conditionalFormatting sqref="B89">
    <cfRule type="cellIs" dxfId="4121" priority="5175" operator="greaterThan">
      <formula>50</formula>
    </cfRule>
    <cfRule type="cellIs" dxfId="4120" priority="5176" operator="between">
      <formula>35</formula>
      <formula>50</formula>
    </cfRule>
    <cfRule type="cellIs" dxfId="4119" priority="5177" operator="lessThan">
      <formula>35</formula>
    </cfRule>
  </conditionalFormatting>
  <conditionalFormatting sqref="B91">
    <cfRule type="cellIs" dxfId="4118" priority="5178" operator="greaterThan">
      <formula>350</formula>
    </cfRule>
    <cfRule type="cellIs" dxfId="4117" priority="5179" operator="between">
      <formula>250</formula>
      <formula>350</formula>
    </cfRule>
    <cfRule type="cellIs" dxfId="4116" priority="5180" operator="lessThan">
      <formula>250</formula>
    </cfRule>
  </conditionalFormatting>
  <conditionalFormatting sqref="B93">
    <cfRule type="cellIs" dxfId="4115" priority="4389" operator="lessThan">
      <formula>0.8</formula>
    </cfRule>
    <cfRule type="cellIs" dxfId="4114" priority="4390" operator="between">
      <formula>0.8</formula>
      <formula>0.99999</formula>
    </cfRule>
    <cfRule type="cellIs" dxfId="4113" priority="4391" operator="between">
      <formula>1</formula>
      <formula>1.3</formula>
    </cfRule>
    <cfRule type="cellIs" dxfId="4112" priority="4392" operator="between">
      <formula>1.3</formula>
      <formula>1.5</formula>
    </cfRule>
    <cfRule type="cellIs" dxfId="4111" priority="4393" operator="greaterThan">
      <formula>1.5</formula>
    </cfRule>
  </conditionalFormatting>
  <conditionalFormatting sqref="B96">
    <cfRule type="cellIs" dxfId="4110" priority="5186" operator="greaterThan">
      <formula>50</formula>
    </cfRule>
    <cfRule type="cellIs" dxfId="4109" priority="5187" operator="between">
      <formula>35</formula>
      <formula>50</formula>
    </cfRule>
    <cfRule type="cellIs" dxfId="4108" priority="5188" operator="lessThan">
      <formula>35</formula>
    </cfRule>
  </conditionalFormatting>
  <conditionalFormatting sqref="B98">
    <cfRule type="cellIs" dxfId="4107" priority="5189" operator="greaterThan">
      <formula>350</formula>
    </cfRule>
    <cfRule type="cellIs" dxfId="4106" priority="5190" operator="between">
      <formula>250</formula>
      <formula>350</formula>
    </cfRule>
    <cfRule type="cellIs" dxfId="4105" priority="5191" operator="lessThan">
      <formula>250</formula>
    </cfRule>
  </conditionalFormatting>
  <conditionalFormatting sqref="B100">
    <cfRule type="cellIs" dxfId="4104" priority="4384" operator="lessThan">
      <formula>0.8</formula>
    </cfRule>
    <cfRule type="cellIs" dxfId="4103" priority="4385" operator="between">
      <formula>0.8</formula>
      <formula>0.99999</formula>
    </cfRule>
    <cfRule type="cellIs" dxfId="4102" priority="4386" operator="between">
      <formula>1</formula>
      <formula>1.3</formula>
    </cfRule>
    <cfRule type="cellIs" dxfId="4101" priority="4387" operator="between">
      <formula>1.3</formula>
      <formula>1.5</formula>
    </cfRule>
    <cfRule type="cellIs" dxfId="4100" priority="4388" operator="greaterThan">
      <formula>1.5</formula>
    </cfRule>
  </conditionalFormatting>
  <conditionalFormatting sqref="B103">
    <cfRule type="cellIs" dxfId="4099" priority="5197" operator="greaterThan">
      <formula>50</formula>
    </cfRule>
    <cfRule type="cellIs" dxfId="4098" priority="5198" operator="between">
      <formula>35</formula>
      <formula>50</formula>
    </cfRule>
    <cfRule type="cellIs" dxfId="4097" priority="5199" operator="lessThan">
      <formula>35</formula>
    </cfRule>
  </conditionalFormatting>
  <conditionalFormatting sqref="B105">
    <cfRule type="cellIs" dxfId="4096" priority="5200" operator="greaterThan">
      <formula>350</formula>
    </cfRule>
    <cfRule type="cellIs" dxfId="4095" priority="5201" operator="between">
      <formula>250</formula>
      <formula>350</formula>
    </cfRule>
    <cfRule type="cellIs" dxfId="4094" priority="5202" operator="lessThan">
      <formula>250</formula>
    </cfRule>
  </conditionalFormatting>
  <conditionalFormatting sqref="B107">
    <cfRule type="cellIs" dxfId="4093" priority="4379" operator="lessThan">
      <formula>0.8</formula>
    </cfRule>
    <cfRule type="cellIs" dxfId="4092" priority="4380" operator="between">
      <formula>0.8</formula>
      <formula>0.99999</formula>
    </cfRule>
    <cfRule type="cellIs" dxfId="4091" priority="4381" operator="between">
      <formula>1</formula>
      <formula>1.3</formula>
    </cfRule>
    <cfRule type="cellIs" dxfId="4090" priority="4382" operator="between">
      <formula>1.3</formula>
      <formula>1.5</formula>
    </cfRule>
    <cfRule type="cellIs" dxfId="4089" priority="4383" operator="greaterThan">
      <formula>1.5</formula>
    </cfRule>
  </conditionalFormatting>
  <conditionalFormatting sqref="B110">
    <cfRule type="cellIs" dxfId="4088" priority="5208" operator="greaterThan">
      <formula>50</formula>
    </cfRule>
    <cfRule type="cellIs" dxfId="4087" priority="5209" operator="between">
      <formula>35</formula>
      <formula>50</formula>
    </cfRule>
    <cfRule type="cellIs" dxfId="4086" priority="5210" operator="lessThan">
      <formula>35</formula>
    </cfRule>
  </conditionalFormatting>
  <conditionalFormatting sqref="B112">
    <cfRule type="cellIs" dxfId="4085" priority="5211" operator="greaterThan">
      <formula>350</formula>
    </cfRule>
    <cfRule type="cellIs" dxfId="4084" priority="5212" operator="between">
      <formula>250</formula>
      <formula>350</formula>
    </cfRule>
    <cfRule type="cellIs" dxfId="4083" priority="5213" operator="lessThan">
      <formula>250</formula>
    </cfRule>
  </conditionalFormatting>
  <conditionalFormatting sqref="B114">
    <cfRule type="cellIs" dxfId="4082" priority="4374" operator="lessThan">
      <formula>0.8</formula>
    </cfRule>
    <cfRule type="cellIs" dxfId="4081" priority="4375" operator="between">
      <formula>0.8</formula>
      <formula>0.99999</formula>
    </cfRule>
    <cfRule type="cellIs" dxfId="4080" priority="4376" operator="between">
      <formula>1</formula>
      <formula>1.3</formula>
    </cfRule>
    <cfRule type="cellIs" dxfId="4079" priority="4377" operator="between">
      <formula>1.3</formula>
      <formula>1.5</formula>
    </cfRule>
    <cfRule type="cellIs" dxfId="4078" priority="4378" operator="greaterThan">
      <formula>1.5</formula>
    </cfRule>
  </conditionalFormatting>
  <conditionalFormatting sqref="B117">
    <cfRule type="cellIs" dxfId="4077" priority="5219" operator="greaterThan">
      <formula>50</formula>
    </cfRule>
    <cfRule type="cellIs" dxfId="4076" priority="5220" operator="between">
      <formula>35</formula>
      <formula>50</formula>
    </cfRule>
    <cfRule type="cellIs" dxfId="4075" priority="5221" operator="lessThan">
      <formula>35</formula>
    </cfRule>
  </conditionalFormatting>
  <conditionalFormatting sqref="B119">
    <cfRule type="cellIs" dxfId="4074" priority="5222" operator="greaterThan">
      <formula>350</formula>
    </cfRule>
    <cfRule type="cellIs" dxfId="4073" priority="5223" operator="between">
      <formula>250</formula>
      <formula>350</formula>
    </cfRule>
    <cfRule type="cellIs" dxfId="4072" priority="5224" operator="lessThan">
      <formula>250</formula>
    </cfRule>
  </conditionalFormatting>
  <conditionalFormatting sqref="B121">
    <cfRule type="cellIs" dxfId="4071" priority="4369" operator="lessThan">
      <formula>0.8</formula>
    </cfRule>
    <cfRule type="cellIs" dxfId="4070" priority="4370" operator="between">
      <formula>0.8</formula>
      <formula>0.99999</formula>
    </cfRule>
    <cfRule type="cellIs" dxfId="4069" priority="4371" operator="between">
      <formula>1</formula>
      <formula>1.3</formula>
    </cfRule>
    <cfRule type="cellIs" dxfId="4068" priority="4372" operator="between">
      <formula>1.3</formula>
      <formula>1.5</formula>
    </cfRule>
    <cfRule type="cellIs" dxfId="4067" priority="4373" operator="greaterThan">
      <formula>1.5</formula>
    </cfRule>
  </conditionalFormatting>
  <conditionalFormatting sqref="B124">
    <cfRule type="cellIs" dxfId="4066" priority="5230" operator="greaterThan">
      <formula>50</formula>
    </cfRule>
    <cfRule type="cellIs" dxfId="4065" priority="5231" operator="between">
      <formula>35</formula>
      <formula>50</formula>
    </cfRule>
    <cfRule type="cellIs" dxfId="4064" priority="5232" operator="lessThan">
      <formula>35</formula>
    </cfRule>
  </conditionalFormatting>
  <conditionalFormatting sqref="B126">
    <cfRule type="cellIs" dxfId="4063" priority="5233" operator="greaterThan">
      <formula>350</formula>
    </cfRule>
    <cfRule type="cellIs" dxfId="4062" priority="5234" operator="between">
      <formula>250</formula>
      <formula>350</formula>
    </cfRule>
    <cfRule type="cellIs" dxfId="4061" priority="5235" operator="lessThan">
      <formula>250</formula>
    </cfRule>
  </conditionalFormatting>
  <conditionalFormatting sqref="B128">
    <cfRule type="cellIs" dxfId="4060" priority="4364" operator="lessThan">
      <formula>0.8</formula>
    </cfRule>
    <cfRule type="cellIs" dxfId="4059" priority="4365" operator="between">
      <formula>0.8</formula>
      <formula>0.99999</formula>
    </cfRule>
    <cfRule type="cellIs" dxfId="4058" priority="4366" operator="between">
      <formula>1</formula>
      <formula>1.3</formula>
    </cfRule>
    <cfRule type="cellIs" dxfId="4057" priority="4367" operator="between">
      <formula>1.3</formula>
      <formula>1.5</formula>
    </cfRule>
    <cfRule type="cellIs" dxfId="4056" priority="4368" operator="greaterThan">
      <formula>1.5</formula>
    </cfRule>
  </conditionalFormatting>
  <conditionalFormatting sqref="B131">
    <cfRule type="cellIs" dxfId="4055" priority="5241" operator="greaterThan">
      <formula>50</formula>
    </cfRule>
    <cfRule type="cellIs" dxfId="4054" priority="5242" operator="between">
      <formula>35</formula>
      <formula>50</formula>
    </cfRule>
    <cfRule type="cellIs" dxfId="4053" priority="5243" operator="lessThan">
      <formula>35</formula>
    </cfRule>
  </conditionalFormatting>
  <conditionalFormatting sqref="B133">
    <cfRule type="cellIs" dxfId="4052" priority="5244" operator="greaterThan">
      <formula>350</formula>
    </cfRule>
    <cfRule type="cellIs" dxfId="4051" priority="5245" operator="between">
      <formula>250</formula>
      <formula>350</formula>
    </cfRule>
    <cfRule type="cellIs" dxfId="4050" priority="5246" operator="lessThan">
      <formula>250</formula>
    </cfRule>
  </conditionalFormatting>
  <conditionalFormatting sqref="B135">
    <cfRule type="cellIs" dxfId="4049" priority="4359" operator="lessThan">
      <formula>0.8</formula>
    </cfRule>
    <cfRule type="cellIs" dxfId="4048" priority="4360" operator="between">
      <formula>0.8</formula>
      <formula>0.99999</formula>
    </cfRule>
    <cfRule type="cellIs" dxfId="4047" priority="4361" operator="between">
      <formula>1</formula>
      <formula>1.3</formula>
    </cfRule>
    <cfRule type="cellIs" dxfId="4046" priority="4362" operator="between">
      <formula>1.3</formula>
      <formula>1.5</formula>
    </cfRule>
    <cfRule type="cellIs" dxfId="4045" priority="4363" operator="greaterThan">
      <formula>1.5</formula>
    </cfRule>
  </conditionalFormatting>
  <conditionalFormatting sqref="B138">
    <cfRule type="cellIs" dxfId="4044" priority="5252" operator="greaterThan">
      <formula>50</formula>
    </cfRule>
    <cfRule type="cellIs" dxfId="4043" priority="5253" operator="between">
      <formula>35</formula>
      <formula>50</formula>
    </cfRule>
    <cfRule type="cellIs" dxfId="4042" priority="5254" operator="lessThan">
      <formula>35</formula>
    </cfRule>
  </conditionalFormatting>
  <conditionalFormatting sqref="B140">
    <cfRule type="cellIs" dxfId="4041" priority="5255" operator="greaterThan">
      <formula>350</formula>
    </cfRule>
    <cfRule type="cellIs" dxfId="4040" priority="5256" operator="between">
      <formula>250</formula>
      <formula>350</formula>
    </cfRule>
    <cfRule type="cellIs" dxfId="4039" priority="5257" operator="lessThan">
      <formula>250</formula>
    </cfRule>
  </conditionalFormatting>
  <conditionalFormatting sqref="B142">
    <cfRule type="cellIs" dxfId="4038" priority="4354" operator="lessThan">
      <formula>0.8</formula>
    </cfRule>
    <cfRule type="cellIs" dxfId="4037" priority="4355" operator="between">
      <formula>0.8</formula>
      <formula>0.99999</formula>
    </cfRule>
    <cfRule type="cellIs" dxfId="4036" priority="4356" operator="between">
      <formula>1</formula>
      <formula>1.3</formula>
    </cfRule>
    <cfRule type="cellIs" dxfId="4035" priority="4357" operator="between">
      <formula>1.3</formula>
      <formula>1.5</formula>
    </cfRule>
    <cfRule type="cellIs" dxfId="4034" priority="4358" operator="greaterThan">
      <formula>1.5</formula>
    </cfRule>
  </conditionalFormatting>
  <conditionalFormatting sqref="B145">
    <cfRule type="cellIs" dxfId="4033" priority="5263" operator="greaterThan">
      <formula>50</formula>
    </cfRule>
    <cfRule type="cellIs" dxfId="4032" priority="5264" operator="between">
      <formula>35</formula>
      <formula>50</formula>
    </cfRule>
    <cfRule type="cellIs" dxfId="4031" priority="5265" operator="lessThan">
      <formula>35</formula>
    </cfRule>
  </conditionalFormatting>
  <conditionalFormatting sqref="B147">
    <cfRule type="cellIs" dxfId="4030" priority="5266" operator="greaterThan">
      <formula>350</formula>
    </cfRule>
    <cfRule type="cellIs" dxfId="4029" priority="5267" operator="between">
      <formula>250</formula>
      <formula>350</formula>
    </cfRule>
    <cfRule type="cellIs" dxfId="4028" priority="5268" operator="lessThan">
      <formula>250</formula>
    </cfRule>
  </conditionalFormatting>
  <conditionalFormatting sqref="B149">
    <cfRule type="cellIs" dxfId="4027" priority="4349" operator="lessThan">
      <formula>0.8</formula>
    </cfRule>
    <cfRule type="cellIs" dxfId="4026" priority="4350" operator="between">
      <formula>0.8</formula>
      <formula>0.99999</formula>
    </cfRule>
    <cfRule type="cellIs" dxfId="4025" priority="4351" operator="between">
      <formula>1</formula>
      <formula>1.3</formula>
    </cfRule>
    <cfRule type="cellIs" dxfId="4024" priority="4352" operator="between">
      <formula>1.3</formula>
      <formula>1.5</formula>
    </cfRule>
    <cfRule type="cellIs" dxfId="4023" priority="4353" operator="greaterThan">
      <formula>1.5</formula>
    </cfRule>
  </conditionalFormatting>
  <conditionalFormatting sqref="B152">
    <cfRule type="cellIs" dxfId="4022" priority="5274" operator="greaterThan">
      <formula>50</formula>
    </cfRule>
    <cfRule type="cellIs" dxfId="4021" priority="5275" operator="between">
      <formula>35</formula>
      <formula>50</formula>
    </cfRule>
    <cfRule type="cellIs" dxfId="4020" priority="5276" operator="lessThan">
      <formula>35</formula>
    </cfRule>
  </conditionalFormatting>
  <conditionalFormatting sqref="B154">
    <cfRule type="cellIs" dxfId="4019" priority="5277" operator="greaterThan">
      <formula>350</formula>
    </cfRule>
    <cfRule type="cellIs" dxfId="4018" priority="5278" operator="between">
      <formula>250</formula>
      <formula>350</formula>
    </cfRule>
    <cfRule type="cellIs" dxfId="4017" priority="5279" operator="lessThan">
      <formula>250</formula>
    </cfRule>
  </conditionalFormatting>
  <conditionalFormatting sqref="B156">
    <cfRule type="cellIs" dxfId="4016" priority="4344" operator="lessThan">
      <formula>0.8</formula>
    </cfRule>
    <cfRule type="cellIs" dxfId="4015" priority="4345" operator="between">
      <formula>0.8</formula>
      <formula>0.99999</formula>
    </cfRule>
    <cfRule type="cellIs" dxfId="4014" priority="4346" operator="between">
      <formula>1</formula>
      <formula>1.3</formula>
    </cfRule>
    <cfRule type="cellIs" dxfId="4013" priority="4347" operator="between">
      <formula>1.3</formula>
      <formula>1.5</formula>
    </cfRule>
    <cfRule type="cellIs" dxfId="4012" priority="4348" operator="greaterThan">
      <formula>1.5</formula>
    </cfRule>
  </conditionalFormatting>
  <conditionalFormatting sqref="B159">
    <cfRule type="cellIs" dxfId="4011" priority="5285" operator="greaterThan">
      <formula>50</formula>
    </cfRule>
    <cfRule type="cellIs" dxfId="4010" priority="5286" operator="between">
      <formula>35</formula>
      <formula>50</formula>
    </cfRule>
    <cfRule type="cellIs" dxfId="4009" priority="5287" operator="lessThan">
      <formula>35</formula>
    </cfRule>
  </conditionalFormatting>
  <conditionalFormatting sqref="B161">
    <cfRule type="cellIs" dxfId="4008" priority="5288" operator="greaterThan">
      <formula>350</formula>
    </cfRule>
    <cfRule type="cellIs" dxfId="4007" priority="5289" operator="between">
      <formula>250</formula>
      <formula>350</formula>
    </cfRule>
    <cfRule type="cellIs" dxfId="4006" priority="5290" operator="lessThan">
      <formula>250</formula>
    </cfRule>
  </conditionalFormatting>
  <conditionalFormatting sqref="B163">
    <cfRule type="cellIs" dxfId="4005" priority="4339" operator="lessThan">
      <formula>0.8</formula>
    </cfRule>
    <cfRule type="cellIs" dxfId="4004" priority="4340" operator="between">
      <formula>0.8</formula>
      <formula>0.99999</formula>
    </cfRule>
    <cfRule type="cellIs" dxfId="4003" priority="4341" operator="between">
      <formula>1</formula>
      <formula>1.3</formula>
    </cfRule>
    <cfRule type="cellIs" dxfId="4002" priority="4342" operator="between">
      <formula>1.3</formula>
      <formula>1.5</formula>
    </cfRule>
    <cfRule type="cellIs" dxfId="4001" priority="4343" operator="greaterThan">
      <formula>1.5</formula>
    </cfRule>
  </conditionalFormatting>
  <conditionalFormatting sqref="B166">
    <cfRule type="cellIs" dxfId="4000" priority="5296" operator="greaterThan">
      <formula>50</formula>
    </cfRule>
    <cfRule type="cellIs" dxfId="3999" priority="5297" operator="between">
      <formula>35</formula>
      <formula>50</formula>
    </cfRule>
    <cfRule type="cellIs" dxfId="3998" priority="5298" operator="lessThan">
      <formula>35</formula>
    </cfRule>
  </conditionalFormatting>
  <conditionalFormatting sqref="B168">
    <cfRule type="cellIs" dxfId="3997" priority="5299" operator="greaterThan">
      <formula>350</formula>
    </cfRule>
    <cfRule type="cellIs" dxfId="3996" priority="5300" operator="between">
      <formula>250</formula>
      <formula>350</formula>
    </cfRule>
    <cfRule type="cellIs" dxfId="3995" priority="5301" operator="lessThan">
      <formula>250</formula>
    </cfRule>
  </conditionalFormatting>
  <conditionalFormatting sqref="B170">
    <cfRule type="cellIs" dxfId="3994" priority="4334" operator="lessThan">
      <formula>0.8</formula>
    </cfRule>
    <cfRule type="cellIs" dxfId="3993" priority="4335" operator="between">
      <formula>0.8</formula>
      <formula>0.99999</formula>
    </cfRule>
    <cfRule type="cellIs" dxfId="3992" priority="4336" operator="between">
      <formula>1</formula>
      <formula>1.3</formula>
    </cfRule>
    <cfRule type="cellIs" dxfId="3991" priority="4337" operator="between">
      <formula>1.3</formula>
      <formula>1.5</formula>
    </cfRule>
    <cfRule type="cellIs" dxfId="3990" priority="4338" operator="greaterThan">
      <formula>1.5</formula>
    </cfRule>
  </conditionalFormatting>
  <conditionalFormatting sqref="B173">
    <cfRule type="cellIs" dxfId="3989" priority="5307" operator="greaterThan">
      <formula>50</formula>
    </cfRule>
    <cfRule type="cellIs" dxfId="3988" priority="5308" operator="between">
      <formula>35</formula>
      <formula>50</formula>
    </cfRule>
    <cfRule type="cellIs" dxfId="3987" priority="5309" operator="lessThan">
      <formula>35</formula>
    </cfRule>
  </conditionalFormatting>
  <conditionalFormatting sqref="B175">
    <cfRule type="cellIs" dxfId="3986" priority="5310" operator="greaterThan">
      <formula>350</formula>
    </cfRule>
    <cfRule type="cellIs" dxfId="3985" priority="5311" operator="between">
      <formula>250</formula>
      <formula>350</formula>
    </cfRule>
    <cfRule type="cellIs" dxfId="3984" priority="5312" operator="lessThan">
      <formula>250</formula>
    </cfRule>
  </conditionalFormatting>
  <conditionalFormatting sqref="B177">
    <cfRule type="cellIs" dxfId="3983" priority="3677" operator="lessThan">
      <formula>0.8</formula>
    </cfRule>
    <cfRule type="cellIs" dxfId="3982" priority="3678" operator="between">
      <formula>0.8</formula>
      <formula>0.99999</formula>
    </cfRule>
    <cfRule type="cellIs" dxfId="3981" priority="3679" operator="between">
      <formula>1</formula>
      <formula>1.3</formula>
    </cfRule>
    <cfRule type="cellIs" dxfId="3980" priority="3680" operator="between">
      <formula>1.3</formula>
      <formula>1.5</formula>
    </cfRule>
    <cfRule type="cellIs" dxfId="3979" priority="3681" operator="greaterThan">
      <formula>1.5</formula>
    </cfRule>
  </conditionalFormatting>
  <conditionalFormatting sqref="B180">
    <cfRule type="cellIs" dxfId="3978" priority="5318" operator="greaterThan">
      <formula>50</formula>
    </cfRule>
    <cfRule type="cellIs" dxfId="3977" priority="5319" operator="between">
      <formula>35</formula>
      <formula>50</formula>
    </cfRule>
    <cfRule type="cellIs" dxfId="3976" priority="5320" operator="lessThan">
      <formula>35</formula>
    </cfRule>
  </conditionalFormatting>
  <conditionalFormatting sqref="B182">
    <cfRule type="cellIs" dxfId="3975" priority="5321" operator="greaterThan">
      <formula>350</formula>
    </cfRule>
    <cfRule type="cellIs" dxfId="3974" priority="5322" operator="between">
      <formula>250</formula>
      <formula>350</formula>
    </cfRule>
    <cfRule type="cellIs" dxfId="3973" priority="5323" operator="lessThan">
      <formula>250</formula>
    </cfRule>
  </conditionalFormatting>
  <conditionalFormatting sqref="B184">
    <cfRule type="cellIs" dxfId="3972" priority="4324" operator="lessThan">
      <formula>0.8</formula>
    </cfRule>
    <cfRule type="cellIs" dxfId="3971" priority="4325" operator="between">
      <formula>0.8</formula>
      <formula>0.99999</formula>
    </cfRule>
    <cfRule type="cellIs" dxfId="3970" priority="4326" operator="between">
      <formula>1</formula>
      <formula>1.3</formula>
    </cfRule>
    <cfRule type="cellIs" dxfId="3969" priority="4327" operator="between">
      <formula>1.3</formula>
      <formula>1.5</formula>
    </cfRule>
    <cfRule type="cellIs" dxfId="3968" priority="4328" operator="greaterThan">
      <formula>1.5</formula>
    </cfRule>
  </conditionalFormatting>
  <conditionalFormatting sqref="B187">
    <cfRule type="cellIs" dxfId="3967" priority="5329" operator="greaterThan">
      <formula>50</formula>
    </cfRule>
    <cfRule type="cellIs" dxfId="3966" priority="5330" operator="between">
      <formula>35</formula>
      <formula>50</formula>
    </cfRule>
    <cfRule type="cellIs" dxfId="3965" priority="5331" operator="lessThan">
      <formula>35</formula>
    </cfRule>
  </conditionalFormatting>
  <conditionalFormatting sqref="B189">
    <cfRule type="cellIs" dxfId="3964" priority="5332" operator="greaterThan">
      <formula>350</formula>
    </cfRule>
    <cfRule type="cellIs" dxfId="3963" priority="5333" operator="between">
      <formula>250</formula>
      <formula>350</formula>
    </cfRule>
    <cfRule type="cellIs" dxfId="3962" priority="5334" operator="lessThan">
      <formula>250</formula>
    </cfRule>
  </conditionalFormatting>
  <conditionalFormatting sqref="B191">
    <cfRule type="cellIs" dxfId="3961" priority="3682" operator="lessThan">
      <formula>0.8</formula>
    </cfRule>
    <cfRule type="cellIs" dxfId="3960" priority="3683" operator="between">
      <formula>0.8</formula>
      <formula>0.99999</formula>
    </cfRule>
    <cfRule type="cellIs" dxfId="3959" priority="3684" operator="between">
      <formula>1</formula>
      <formula>1.3</formula>
    </cfRule>
    <cfRule type="cellIs" dxfId="3958" priority="3685" operator="between">
      <formula>1.3</formula>
      <formula>1.5</formula>
    </cfRule>
    <cfRule type="cellIs" dxfId="3957" priority="3686" operator="greaterThan">
      <formula>1.5</formula>
    </cfRule>
  </conditionalFormatting>
  <conditionalFormatting sqref="B194">
    <cfRule type="cellIs" dxfId="3956" priority="5340" operator="greaterThan">
      <formula>50</formula>
    </cfRule>
    <cfRule type="cellIs" dxfId="3955" priority="5341" operator="between">
      <formula>35</formula>
      <formula>50</formula>
    </cfRule>
    <cfRule type="cellIs" dxfId="3954" priority="5342" operator="lessThan">
      <formula>35</formula>
    </cfRule>
  </conditionalFormatting>
  <conditionalFormatting sqref="B196">
    <cfRule type="cellIs" dxfId="3953" priority="5343" operator="greaterThan">
      <formula>350</formula>
    </cfRule>
    <cfRule type="cellIs" dxfId="3952" priority="5344" operator="between">
      <formula>250</formula>
      <formula>350</formula>
    </cfRule>
    <cfRule type="cellIs" dxfId="3951" priority="5345" operator="lessThan">
      <formula>250</formula>
    </cfRule>
  </conditionalFormatting>
  <conditionalFormatting sqref="B198">
    <cfRule type="cellIs" dxfId="3950" priority="4314" operator="lessThan">
      <formula>0.8</formula>
    </cfRule>
    <cfRule type="cellIs" dxfId="3949" priority="4315" operator="between">
      <formula>0.8</formula>
      <formula>0.99999</formula>
    </cfRule>
    <cfRule type="cellIs" dxfId="3948" priority="4316" operator="between">
      <formula>1</formula>
      <formula>1.3</formula>
    </cfRule>
    <cfRule type="cellIs" dxfId="3947" priority="4317" operator="between">
      <formula>1.3</formula>
      <formula>1.5</formula>
    </cfRule>
    <cfRule type="cellIs" dxfId="3946" priority="4318" operator="greaterThan">
      <formula>1.5</formula>
    </cfRule>
  </conditionalFormatting>
  <conditionalFormatting sqref="B201">
    <cfRule type="cellIs" dxfId="3945" priority="5351" operator="greaterThan">
      <formula>50</formula>
    </cfRule>
    <cfRule type="cellIs" dxfId="3944" priority="5352" operator="between">
      <formula>35</formula>
      <formula>50</formula>
    </cfRule>
    <cfRule type="cellIs" dxfId="3943" priority="5353" operator="lessThan">
      <formula>35</formula>
    </cfRule>
  </conditionalFormatting>
  <conditionalFormatting sqref="B203">
    <cfRule type="cellIs" dxfId="3942" priority="5354" operator="greaterThan">
      <formula>350</formula>
    </cfRule>
    <cfRule type="cellIs" dxfId="3941" priority="5355" operator="between">
      <formula>250</formula>
      <formula>350</formula>
    </cfRule>
    <cfRule type="cellIs" dxfId="3940" priority="5356" operator="lessThan">
      <formula>250</formula>
    </cfRule>
  </conditionalFormatting>
  <conditionalFormatting sqref="B205">
    <cfRule type="cellIs" dxfId="3939" priority="4309" operator="lessThan">
      <formula>0.8</formula>
    </cfRule>
    <cfRule type="cellIs" dxfId="3938" priority="4310" operator="between">
      <formula>0.8</formula>
      <formula>0.99999</formula>
    </cfRule>
    <cfRule type="cellIs" dxfId="3937" priority="4311" operator="between">
      <formula>1</formula>
      <formula>1.3</formula>
    </cfRule>
    <cfRule type="cellIs" dxfId="3936" priority="4312" operator="between">
      <formula>1.3</formula>
      <formula>1.5</formula>
    </cfRule>
    <cfRule type="cellIs" dxfId="3935" priority="4313" operator="greaterThan">
      <formula>1.5</formula>
    </cfRule>
  </conditionalFormatting>
  <conditionalFormatting sqref="B208">
    <cfRule type="cellIs" dxfId="3934" priority="5362" operator="greaterThan">
      <formula>50</formula>
    </cfRule>
    <cfRule type="cellIs" dxfId="3933" priority="5363" operator="between">
      <formula>35</formula>
      <formula>50</formula>
    </cfRule>
    <cfRule type="cellIs" dxfId="3932" priority="5364" operator="lessThan">
      <formula>35</formula>
    </cfRule>
  </conditionalFormatting>
  <conditionalFormatting sqref="B210">
    <cfRule type="cellIs" dxfId="3931" priority="5365" operator="greaterThan">
      <formula>350</formula>
    </cfRule>
    <cfRule type="cellIs" dxfId="3930" priority="5366" operator="between">
      <formula>250</formula>
      <formula>350</formula>
    </cfRule>
    <cfRule type="cellIs" dxfId="3929" priority="5367" operator="lessThan">
      <formula>250</formula>
    </cfRule>
  </conditionalFormatting>
  <conditionalFormatting sqref="B212">
    <cfRule type="cellIs" dxfId="3928" priority="3687" operator="lessThan">
      <formula>0.8</formula>
    </cfRule>
    <cfRule type="cellIs" dxfId="3927" priority="3688" operator="between">
      <formula>0.8</formula>
      <formula>0.99999</formula>
    </cfRule>
    <cfRule type="cellIs" dxfId="3926" priority="3689" operator="between">
      <formula>1</formula>
      <formula>1.3</formula>
    </cfRule>
    <cfRule type="cellIs" dxfId="3925" priority="3690" operator="between">
      <formula>1.3</formula>
      <formula>1.5</formula>
    </cfRule>
    <cfRule type="cellIs" dxfId="3924" priority="3691" operator="greaterThan">
      <formula>1.5</formula>
    </cfRule>
  </conditionalFormatting>
  <conditionalFormatting sqref="B215">
    <cfRule type="cellIs" dxfId="3923" priority="5373" operator="greaterThan">
      <formula>50</formula>
    </cfRule>
    <cfRule type="cellIs" dxfId="3922" priority="5374" operator="between">
      <formula>35</formula>
      <formula>50</formula>
    </cfRule>
    <cfRule type="cellIs" dxfId="3921" priority="5375" operator="lessThan">
      <formula>35</formula>
    </cfRule>
  </conditionalFormatting>
  <conditionalFormatting sqref="B217">
    <cfRule type="cellIs" dxfId="3920" priority="5376" operator="greaterThan">
      <formula>350</formula>
    </cfRule>
    <cfRule type="cellIs" dxfId="3919" priority="5377" operator="between">
      <formula>250</formula>
      <formula>350</formula>
    </cfRule>
    <cfRule type="cellIs" dxfId="3918" priority="5378" operator="lessThan">
      <formula>250</formula>
    </cfRule>
  </conditionalFormatting>
  <conditionalFormatting sqref="B219">
    <cfRule type="cellIs" dxfId="3917" priority="4299" operator="lessThan">
      <formula>0.8</formula>
    </cfRule>
    <cfRule type="cellIs" dxfId="3916" priority="4300" operator="between">
      <formula>0.8</formula>
      <formula>0.99999</formula>
    </cfRule>
    <cfRule type="cellIs" dxfId="3915" priority="4301" operator="between">
      <formula>1</formula>
      <formula>1.3</formula>
    </cfRule>
    <cfRule type="cellIs" dxfId="3914" priority="4302" operator="between">
      <formula>1.3</formula>
      <formula>1.5</formula>
    </cfRule>
    <cfRule type="cellIs" dxfId="3913" priority="4303" operator="greaterThan">
      <formula>1.5</formula>
    </cfRule>
  </conditionalFormatting>
  <conditionalFormatting sqref="B222">
    <cfRule type="cellIs" dxfId="3912" priority="5384" operator="greaterThan">
      <formula>50</formula>
    </cfRule>
    <cfRule type="cellIs" dxfId="3911" priority="5385" operator="between">
      <formula>35</formula>
      <formula>50</formula>
    </cfRule>
    <cfRule type="cellIs" dxfId="3910" priority="5386" operator="lessThan">
      <formula>35</formula>
    </cfRule>
  </conditionalFormatting>
  <conditionalFormatting sqref="B224">
    <cfRule type="cellIs" dxfId="3909" priority="5387" operator="greaterThan">
      <formula>350</formula>
    </cfRule>
    <cfRule type="cellIs" dxfId="3908" priority="5388" operator="between">
      <formula>250</formula>
      <formula>350</formula>
    </cfRule>
    <cfRule type="cellIs" dxfId="3907" priority="5389" operator="lessThan">
      <formula>250</formula>
    </cfRule>
  </conditionalFormatting>
  <conditionalFormatting sqref="B226">
    <cfRule type="cellIs" dxfId="3906" priority="4294" operator="lessThan">
      <formula>0.8</formula>
    </cfRule>
    <cfRule type="cellIs" dxfId="3905" priority="4295" operator="between">
      <formula>0.8</formula>
      <formula>0.99999</formula>
    </cfRule>
    <cfRule type="cellIs" dxfId="3904" priority="4296" operator="between">
      <formula>1</formula>
      <formula>1.3</formula>
    </cfRule>
    <cfRule type="cellIs" dxfId="3903" priority="4297" operator="between">
      <formula>1.3</formula>
      <formula>1.5</formula>
    </cfRule>
    <cfRule type="cellIs" dxfId="3902" priority="4298" operator="greaterThan">
      <formula>1.5</formula>
    </cfRule>
  </conditionalFormatting>
  <conditionalFormatting sqref="B229">
    <cfRule type="cellIs" dxfId="3901" priority="5395" operator="greaterThan">
      <formula>50</formula>
    </cfRule>
    <cfRule type="cellIs" dxfId="3900" priority="5396" operator="between">
      <formula>35</formula>
      <formula>50</formula>
    </cfRule>
    <cfRule type="cellIs" dxfId="3899" priority="5397" operator="lessThan">
      <formula>35</formula>
    </cfRule>
  </conditionalFormatting>
  <conditionalFormatting sqref="B231">
    <cfRule type="cellIs" dxfId="3898" priority="5398" operator="greaterThan">
      <formula>350</formula>
    </cfRule>
    <cfRule type="cellIs" dxfId="3897" priority="5399" operator="between">
      <formula>250</formula>
      <formula>350</formula>
    </cfRule>
    <cfRule type="cellIs" dxfId="3896" priority="5400" operator="lessThan">
      <formula>250</formula>
    </cfRule>
  </conditionalFormatting>
  <conditionalFormatting sqref="B233">
    <cfRule type="cellIs" dxfId="3895" priority="4289" operator="lessThan">
      <formula>0.8</formula>
    </cfRule>
    <cfRule type="cellIs" dxfId="3894" priority="4290" operator="between">
      <formula>0.8</formula>
      <formula>0.99999</formula>
    </cfRule>
    <cfRule type="cellIs" dxfId="3893" priority="4291" operator="between">
      <formula>1</formula>
      <formula>1.3</formula>
    </cfRule>
    <cfRule type="cellIs" dxfId="3892" priority="4292" operator="between">
      <formula>1.3</formula>
      <formula>1.5</formula>
    </cfRule>
    <cfRule type="cellIs" dxfId="3891" priority="4293" operator="greaterThan">
      <formula>1.5</formula>
    </cfRule>
  </conditionalFormatting>
  <conditionalFormatting sqref="B236">
    <cfRule type="cellIs" dxfId="3890" priority="5406" operator="greaterThan">
      <formula>50</formula>
    </cfRule>
    <cfRule type="cellIs" dxfId="3889" priority="5407" operator="between">
      <formula>35</formula>
      <formula>50</formula>
    </cfRule>
    <cfRule type="cellIs" dxfId="3888" priority="5408" operator="lessThan">
      <formula>35</formula>
    </cfRule>
  </conditionalFormatting>
  <conditionalFormatting sqref="B238">
    <cfRule type="cellIs" dxfId="3887" priority="5409" operator="greaterThan">
      <formula>350</formula>
    </cfRule>
    <cfRule type="cellIs" dxfId="3886" priority="5410" operator="between">
      <formula>250</formula>
      <formula>350</formula>
    </cfRule>
    <cfRule type="cellIs" dxfId="3885" priority="5411" operator="lessThan">
      <formula>250</formula>
    </cfRule>
  </conditionalFormatting>
  <conditionalFormatting sqref="B240">
    <cfRule type="cellIs" dxfId="3884" priority="4284" operator="lessThan">
      <formula>0.8</formula>
    </cfRule>
    <cfRule type="cellIs" dxfId="3883" priority="4285" operator="between">
      <formula>0.8</formula>
      <formula>0.99999</formula>
    </cfRule>
    <cfRule type="cellIs" dxfId="3882" priority="4286" operator="between">
      <formula>1</formula>
      <formula>1.3</formula>
    </cfRule>
    <cfRule type="cellIs" dxfId="3881" priority="4287" operator="between">
      <formula>1.3</formula>
      <formula>1.5</formula>
    </cfRule>
    <cfRule type="cellIs" dxfId="3880" priority="4288" operator="greaterThan">
      <formula>1.5</formula>
    </cfRule>
  </conditionalFormatting>
  <conditionalFormatting sqref="B243">
    <cfRule type="cellIs" dxfId="3879" priority="5417" operator="greaterThan">
      <formula>50</formula>
    </cfRule>
    <cfRule type="cellIs" dxfId="3878" priority="5418" operator="between">
      <formula>35</formula>
      <formula>50</formula>
    </cfRule>
    <cfRule type="cellIs" dxfId="3877" priority="5419" operator="lessThan">
      <formula>35</formula>
    </cfRule>
  </conditionalFormatting>
  <conditionalFormatting sqref="B245">
    <cfRule type="cellIs" dxfId="3876" priority="5420" operator="greaterThan">
      <formula>350</formula>
    </cfRule>
    <cfRule type="cellIs" dxfId="3875" priority="5421" operator="between">
      <formula>250</formula>
      <formula>350</formula>
    </cfRule>
    <cfRule type="cellIs" dxfId="3874" priority="5422" operator="lessThan">
      <formula>250</formula>
    </cfRule>
  </conditionalFormatting>
  <conditionalFormatting sqref="B247">
    <cfRule type="cellIs" dxfId="3873" priority="4279" operator="lessThan">
      <formula>0.8</formula>
    </cfRule>
    <cfRule type="cellIs" dxfId="3872" priority="4280" operator="between">
      <formula>0.8</formula>
      <formula>0.99999</formula>
    </cfRule>
    <cfRule type="cellIs" dxfId="3871" priority="4281" operator="between">
      <formula>1</formula>
      <formula>1.3</formula>
    </cfRule>
    <cfRule type="cellIs" dxfId="3870" priority="4282" operator="between">
      <formula>1.3</formula>
      <formula>1.5</formula>
    </cfRule>
    <cfRule type="cellIs" dxfId="3869" priority="4283" operator="greaterThan">
      <formula>1.5</formula>
    </cfRule>
  </conditionalFormatting>
  <conditionalFormatting sqref="B250">
    <cfRule type="cellIs" dxfId="3868" priority="5428" operator="greaterThan">
      <formula>50</formula>
    </cfRule>
    <cfRule type="cellIs" dxfId="3867" priority="5429" operator="between">
      <formula>35</formula>
      <formula>50</formula>
    </cfRule>
    <cfRule type="cellIs" dxfId="3866" priority="5430" operator="lessThan">
      <formula>35</formula>
    </cfRule>
  </conditionalFormatting>
  <conditionalFormatting sqref="B252">
    <cfRule type="cellIs" dxfId="3865" priority="5431" operator="greaterThan">
      <formula>350</formula>
    </cfRule>
    <cfRule type="cellIs" dxfId="3864" priority="5432" operator="between">
      <formula>250</formula>
      <formula>350</formula>
    </cfRule>
    <cfRule type="cellIs" dxfId="3863" priority="5433" operator="lessThan">
      <formula>250</formula>
    </cfRule>
  </conditionalFormatting>
  <conditionalFormatting sqref="B254">
    <cfRule type="cellIs" dxfId="3862" priority="4274" operator="lessThan">
      <formula>0.8</formula>
    </cfRule>
    <cfRule type="cellIs" dxfId="3861" priority="4275" operator="between">
      <formula>0.8</formula>
      <formula>0.99999</formula>
    </cfRule>
    <cfRule type="cellIs" dxfId="3860" priority="4276" operator="between">
      <formula>1</formula>
      <formula>1.3</formula>
    </cfRule>
    <cfRule type="cellIs" dxfId="3859" priority="4277" operator="between">
      <formula>1.3</formula>
      <formula>1.5</formula>
    </cfRule>
    <cfRule type="cellIs" dxfId="3858" priority="4278" operator="greaterThan">
      <formula>1.5</formula>
    </cfRule>
  </conditionalFormatting>
  <conditionalFormatting sqref="B257">
    <cfRule type="cellIs" dxfId="3857" priority="5439" operator="greaterThan">
      <formula>50</formula>
    </cfRule>
    <cfRule type="cellIs" dxfId="3856" priority="5440" operator="between">
      <formula>35</formula>
      <formula>50</formula>
    </cfRule>
    <cfRule type="cellIs" dxfId="3855" priority="5441" operator="lessThan">
      <formula>35</formula>
    </cfRule>
  </conditionalFormatting>
  <conditionalFormatting sqref="B259">
    <cfRule type="cellIs" dxfId="3854" priority="5442" operator="greaterThan">
      <formula>350</formula>
    </cfRule>
    <cfRule type="cellIs" dxfId="3853" priority="5443" operator="between">
      <formula>250</formula>
      <formula>350</formula>
    </cfRule>
    <cfRule type="cellIs" dxfId="3852" priority="5444" operator="lessThan">
      <formula>250</formula>
    </cfRule>
  </conditionalFormatting>
  <conditionalFormatting sqref="B261">
    <cfRule type="cellIs" dxfId="3851" priority="4269" operator="lessThan">
      <formula>0.8</formula>
    </cfRule>
    <cfRule type="cellIs" dxfId="3850" priority="4270" operator="between">
      <formula>0.8</formula>
      <formula>0.99999</formula>
    </cfRule>
    <cfRule type="cellIs" dxfId="3849" priority="4271" operator="between">
      <formula>1</formula>
      <formula>1.3</formula>
    </cfRule>
    <cfRule type="cellIs" dxfId="3848" priority="4272" operator="between">
      <formula>1.3</formula>
      <formula>1.5</formula>
    </cfRule>
    <cfRule type="cellIs" dxfId="3847" priority="4273" operator="greaterThan">
      <formula>1.5</formula>
    </cfRule>
  </conditionalFormatting>
  <conditionalFormatting sqref="B264">
    <cfRule type="cellIs" dxfId="3846" priority="5450" operator="greaterThan">
      <formula>50</formula>
    </cfRule>
    <cfRule type="cellIs" dxfId="3845" priority="5451" operator="between">
      <formula>35</formula>
      <formula>50</formula>
    </cfRule>
    <cfRule type="cellIs" dxfId="3844" priority="5452" operator="lessThan">
      <formula>35</formula>
    </cfRule>
  </conditionalFormatting>
  <conditionalFormatting sqref="B266">
    <cfRule type="cellIs" dxfId="3843" priority="5453" operator="greaterThan">
      <formula>350</formula>
    </cfRule>
    <cfRule type="cellIs" dxfId="3842" priority="5454" operator="between">
      <formula>250</formula>
      <formula>350</formula>
    </cfRule>
    <cfRule type="cellIs" dxfId="3841" priority="5455" operator="lessThan">
      <formula>250</formula>
    </cfRule>
  </conditionalFormatting>
  <conditionalFormatting sqref="B268">
    <cfRule type="cellIs" dxfId="3840" priority="4264" operator="lessThan">
      <formula>0.8</formula>
    </cfRule>
    <cfRule type="cellIs" dxfId="3839" priority="4265" operator="between">
      <formula>0.8</formula>
      <formula>0.99999</formula>
    </cfRule>
    <cfRule type="cellIs" dxfId="3838" priority="4266" operator="between">
      <formula>1</formula>
      <formula>1.3</formula>
    </cfRule>
    <cfRule type="cellIs" dxfId="3837" priority="4267" operator="between">
      <formula>1.3</formula>
      <formula>1.5</formula>
    </cfRule>
    <cfRule type="cellIs" dxfId="3836" priority="4268" operator="greaterThan">
      <formula>1.5</formula>
    </cfRule>
  </conditionalFormatting>
  <conditionalFormatting sqref="B271">
    <cfRule type="cellIs" dxfId="3835" priority="5461" operator="greaterThan">
      <formula>50</formula>
    </cfRule>
    <cfRule type="cellIs" dxfId="3834" priority="5462" operator="between">
      <formula>35</formula>
      <formula>50</formula>
    </cfRule>
    <cfRule type="cellIs" dxfId="3833" priority="5463" operator="lessThan">
      <formula>35</formula>
    </cfRule>
  </conditionalFormatting>
  <conditionalFormatting sqref="B273">
    <cfRule type="cellIs" dxfId="3832" priority="5464" operator="greaterThan">
      <formula>350</formula>
    </cfRule>
    <cfRule type="cellIs" dxfId="3831" priority="5465" operator="between">
      <formula>250</formula>
      <formula>350</formula>
    </cfRule>
    <cfRule type="cellIs" dxfId="3830" priority="5466" operator="lessThan">
      <formula>250</formula>
    </cfRule>
  </conditionalFormatting>
  <conditionalFormatting sqref="B275">
    <cfRule type="cellIs" dxfId="3829" priority="4259" operator="lessThan">
      <formula>0.8</formula>
    </cfRule>
    <cfRule type="cellIs" dxfId="3828" priority="4260" operator="between">
      <formula>0.8</formula>
      <formula>0.99999</formula>
    </cfRule>
    <cfRule type="cellIs" dxfId="3827" priority="4261" operator="between">
      <formula>1</formula>
      <formula>1.3</formula>
    </cfRule>
    <cfRule type="cellIs" dxfId="3826" priority="4262" operator="between">
      <formula>1.3</formula>
      <formula>1.5</formula>
    </cfRule>
    <cfRule type="cellIs" dxfId="3825" priority="4263" operator="greaterThan">
      <formula>1.5</formula>
    </cfRule>
  </conditionalFormatting>
  <conditionalFormatting sqref="B278">
    <cfRule type="cellIs" dxfId="3824" priority="5472" operator="greaterThan">
      <formula>50</formula>
    </cfRule>
    <cfRule type="cellIs" dxfId="3823" priority="5473" operator="between">
      <formula>35</formula>
      <formula>50</formula>
    </cfRule>
    <cfRule type="cellIs" dxfId="3822" priority="5474" operator="lessThan">
      <formula>35</formula>
    </cfRule>
  </conditionalFormatting>
  <conditionalFormatting sqref="B280">
    <cfRule type="cellIs" dxfId="3821" priority="5475" operator="greaterThan">
      <formula>350</formula>
    </cfRule>
    <cfRule type="cellIs" dxfId="3820" priority="5476" operator="between">
      <formula>250</formula>
      <formula>350</formula>
    </cfRule>
    <cfRule type="cellIs" dxfId="3819" priority="5477" operator="lessThan">
      <formula>250</formula>
    </cfRule>
  </conditionalFormatting>
  <conditionalFormatting sqref="B282">
    <cfRule type="cellIs" dxfId="3818" priority="4254" operator="lessThan">
      <formula>0.8</formula>
    </cfRule>
    <cfRule type="cellIs" dxfId="3817" priority="4255" operator="between">
      <formula>0.8</formula>
      <formula>0.99999</formula>
    </cfRule>
    <cfRule type="cellIs" dxfId="3816" priority="4256" operator="between">
      <formula>1</formula>
      <formula>1.3</formula>
    </cfRule>
    <cfRule type="cellIs" dxfId="3815" priority="4257" operator="between">
      <formula>1.3</formula>
      <formula>1.5</formula>
    </cfRule>
    <cfRule type="cellIs" dxfId="3814" priority="4258" operator="greaterThan">
      <formula>1.5</formula>
    </cfRule>
  </conditionalFormatting>
  <conditionalFormatting sqref="B285">
    <cfRule type="cellIs" dxfId="3813" priority="5483" operator="greaterThan">
      <formula>50</formula>
    </cfRule>
    <cfRule type="cellIs" dxfId="3812" priority="5484" operator="between">
      <formula>35</formula>
      <formula>50</formula>
    </cfRule>
    <cfRule type="cellIs" dxfId="3811" priority="5485" operator="lessThan">
      <formula>35</formula>
    </cfRule>
  </conditionalFormatting>
  <conditionalFormatting sqref="B287">
    <cfRule type="cellIs" dxfId="3810" priority="5486" operator="greaterThan">
      <formula>350</formula>
    </cfRule>
    <cfRule type="cellIs" dxfId="3809" priority="5487" operator="between">
      <formula>250</formula>
      <formula>350</formula>
    </cfRule>
    <cfRule type="cellIs" dxfId="3808" priority="5488" operator="lessThan">
      <formula>250</formula>
    </cfRule>
  </conditionalFormatting>
  <conditionalFormatting sqref="B289">
    <cfRule type="cellIs" dxfId="3807" priority="4249" operator="lessThan">
      <formula>0.8</formula>
    </cfRule>
    <cfRule type="cellIs" dxfId="3806" priority="4250" operator="between">
      <formula>0.8</formula>
      <formula>0.99999</formula>
    </cfRule>
    <cfRule type="cellIs" dxfId="3805" priority="4251" operator="between">
      <formula>1</formula>
      <formula>1.3</formula>
    </cfRule>
    <cfRule type="cellIs" dxfId="3804" priority="4252" operator="between">
      <formula>1.3</formula>
      <formula>1.5</formula>
    </cfRule>
    <cfRule type="cellIs" dxfId="3803" priority="4253" operator="greaterThan">
      <formula>1.5</formula>
    </cfRule>
  </conditionalFormatting>
  <conditionalFormatting sqref="B292">
    <cfRule type="cellIs" dxfId="3802" priority="5494" operator="greaterThan">
      <formula>50</formula>
    </cfRule>
    <cfRule type="cellIs" dxfId="3801" priority="5495" operator="between">
      <formula>35</formula>
      <formula>50</formula>
    </cfRule>
    <cfRule type="cellIs" dxfId="3800" priority="5496" operator="lessThan">
      <formula>35</formula>
    </cfRule>
  </conditionalFormatting>
  <conditionalFormatting sqref="B294">
    <cfRule type="cellIs" dxfId="3799" priority="5497" operator="greaterThan">
      <formula>350</formula>
    </cfRule>
    <cfRule type="cellIs" dxfId="3798" priority="5498" operator="between">
      <formula>250</formula>
      <formula>350</formula>
    </cfRule>
    <cfRule type="cellIs" dxfId="3797" priority="5499" operator="lessThan">
      <formula>250</formula>
    </cfRule>
  </conditionalFormatting>
  <conditionalFormatting sqref="B296">
    <cfRule type="cellIs" dxfId="3796" priority="4244" operator="lessThan">
      <formula>0.8</formula>
    </cfRule>
    <cfRule type="cellIs" dxfId="3795" priority="4245" operator="between">
      <formula>0.8</formula>
      <formula>0.99999</formula>
    </cfRule>
    <cfRule type="cellIs" dxfId="3794" priority="4246" operator="between">
      <formula>1</formula>
      <formula>1.3</formula>
    </cfRule>
    <cfRule type="cellIs" dxfId="3793" priority="4247" operator="between">
      <formula>1.3</formula>
      <formula>1.5</formula>
    </cfRule>
    <cfRule type="cellIs" dxfId="3792" priority="4248" operator="greaterThan">
      <formula>1.5</formula>
    </cfRule>
  </conditionalFormatting>
  <conditionalFormatting sqref="B299">
    <cfRule type="cellIs" dxfId="3791" priority="5505" operator="greaterThan">
      <formula>50</formula>
    </cfRule>
    <cfRule type="cellIs" dxfId="3790" priority="5506" operator="between">
      <formula>35</formula>
      <formula>50</formula>
    </cfRule>
    <cfRule type="cellIs" dxfId="3789" priority="5507" operator="lessThan">
      <formula>35</formula>
    </cfRule>
  </conditionalFormatting>
  <conditionalFormatting sqref="B301">
    <cfRule type="cellIs" dxfId="3788" priority="5508" operator="greaterThan">
      <formula>350</formula>
    </cfRule>
    <cfRule type="cellIs" dxfId="3787" priority="5509" operator="between">
      <formula>250</formula>
      <formula>350</formula>
    </cfRule>
    <cfRule type="cellIs" dxfId="3786" priority="5510" operator="lessThan">
      <formula>250</formula>
    </cfRule>
  </conditionalFormatting>
  <conditionalFormatting sqref="B303">
    <cfRule type="cellIs" dxfId="3785" priority="4239" operator="lessThan">
      <formula>0.8</formula>
    </cfRule>
    <cfRule type="cellIs" dxfId="3784" priority="4240" operator="between">
      <formula>0.8</formula>
      <formula>0.99999</formula>
    </cfRule>
    <cfRule type="cellIs" dxfId="3783" priority="4241" operator="between">
      <formula>1</formula>
      <formula>1.3</formula>
    </cfRule>
    <cfRule type="cellIs" dxfId="3782" priority="4242" operator="between">
      <formula>1.3</formula>
      <formula>1.5</formula>
    </cfRule>
    <cfRule type="cellIs" dxfId="3781" priority="4243" operator="greaterThan">
      <formula>1.5</formula>
    </cfRule>
  </conditionalFormatting>
  <conditionalFormatting sqref="B306">
    <cfRule type="cellIs" dxfId="3780" priority="5516" operator="greaterThan">
      <formula>50</formula>
    </cfRule>
    <cfRule type="cellIs" dxfId="3779" priority="5517" operator="between">
      <formula>35</formula>
      <formula>50</formula>
    </cfRule>
    <cfRule type="cellIs" dxfId="3778" priority="5518" operator="lessThan">
      <formula>35</formula>
    </cfRule>
  </conditionalFormatting>
  <conditionalFormatting sqref="B308">
    <cfRule type="cellIs" dxfId="3777" priority="5519" operator="greaterThan">
      <formula>350</formula>
    </cfRule>
    <cfRule type="cellIs" dxfId="3776" priority="5520" operator="between">
      <formula>250</formula>
      <formula>350</formula>
    </cfRule>
    <cfRule type="cellIs" dxfId="3775" priority="5521" operator="lessThan">
      <formula>250</formula>
    </cfRule>
  </conditionalFormatting>
  <conditionalFormatting sqref="B310">
    <cfRule type="cellIs" dxfId="3774" priority="4234" operator="lessThan">
      <formula>0.8</formula>
    </cfRule>
    <cfRule type="cellIs" dxfId="3773" priority="4235" operator="between">
      <formula>0.8</formula>
      <formula>0.99999</formula>
    </cfRule>
    <cfRule type="cellIs" dxfId="3772" priority="4236" operator="between">
      <formula>1</formula>
      <formula>1.3</formula>
    </cfRule>
    <cfRule type="cellIs" dxfId="3771" priority="4237" operator="between">
      <formula>1.3</formula>
      <formula>1.5</formula>
    </cfRule>
    <cfRule type="cellIs" dxfId="3770" priority="4238" operator="greaterThan">
      <formula>1.5</formula>
    </cfRule>
  </conditionalFormatting>
  <conditionalFormatting sqref="B313">
    <cfRule type="cellIs" dxfId="3769" priority="5527" operator="greaterThan">
      <formula>50</formula>
    </cfRule>
    <cfRule type="cellIs" dxfId="3768" priority="5528" operator="between">
      <formula>35</formula>
      <formula>50</formula>
    </cfRule>
    <cfRule type="cellIs" dxfId="3767" priority="5529" operator="lessThan">
      <formula>35</formula>
    </cfRule>
  </conditionalFormatting>
  <conditionalFormatting sqref="B315">
    <cfRule type="cellIs" dxfId="3766" priority="5530" operator="greaterThan">
      <formula>350</formula>
    </cfRule>
    <cfRule type="cellIs" dxfId="3765" priority="5531" operator="between">
      <formula>250</formula>
      <formula>350</formula>
    </cfRule>
    <cfRule type="cellIs" dxfId="3764" priority="5532" operator="lessThan">
      <formula>250</formula>
    </cfRule>
  </conditionalFormatting>
  <conditionalFormatting sqref="B317">
    <cfRule type="cellIs" dxfId="3763" priority="4229" operator="lessThan">
      <formula>0.8</formula>
    </cfRule>
    <cfRule type="cellIs" dxfId="3762" priority="4230" operator="between">
      <formula>0.8</formula>
      <formula>0.99999</formula>
    </cfRule>
    <cfRule type="cellIs" dxfId="3761" priority="4231" operator="between">
      <formula>1</formula>
      <formula>1.3</formula>
    </cfRule>
    <cfRule type="cellIs" dxfId="3760" priority="4232" operator="between">
      <formula>1.3</formula>
      <formula>1.5</formula>
    </cfRule>
    <cfRule type="cellIs" dxfId="3759" priority="4233" operator="greaterThan">
      <formula>1.5</formula>
    </cfRule>
  </conditionalFormatting>
  <conditionalFormatting sqref="B320">
    <cfRule type="cellIs" dxfId="3758" priority="5538" operator="greaterThan">
      <formula>50</formula>
    </cfRule>
    <cfRule type="cellIs" dxfId="3757" priority="5539" operator="between">
      <formula>35</formula>
      <formula>50</formula>
    </cfRule>
    <cfRule type="cellIs" dxfId="3756" priority="5540" operator="lessThan">
      <formula>35</formula>
    </cfRule>
  </conditionalFormatting>
  <conditionalFormatting sqref="B322">
    <cfRule type="cellIs" dxfId="3755" priority="5541" operator="greaterThan">
      <formula>350</formula>
    </cfRule>
    <cfRule type="cellIs" dxfId="3754" priority="5542" operator="between">
      <formula>250</formula>
      <formula>350</formula>
    </cfRule>
    <cfRule type="cellIs" dxfId="3753" priority="5543" operator="lessThan">
      <formula>250</formula>
    </cfRule>
  </conditionalFormatting>
  <conditionalFormatting sqref="B324">
    <cfRule type="cellIs" dxfId="3752" priority="4224" operator="lessThan">
      <formula>0.8</formula>
    </cfRule>
    <cfRule type="cellIs" dxfId="3751" priority="4225" operator="between">
      <formula>0.8</formula>
      <formula>0.99999</formula>
    </cfRule>
    <cfRule type="cellIs" dxfId="3750" priority="4226" operator="between">
      <formula>1</formula>
      <formula>1.3</formula>
    </cfRule>
    <cfRule type="cellIs" dxfId="3749" priority="4227" operator="between">
      <formula>1.3</formula>
      <formula>1.5</formula>
    </cfRule>
    <cfRule type="cellIs" dxfId="3748" priority="4228" operator="greaterThan">
      <formula>1.5</formula>
    </cfRule>
  </conditionalFormatting>
  <conditionalFormatting sqref="B327">
    <cfRule type="cellIs" dxfId="3747" priority="5549" operator="greaterThan">
      <formula>50</formula>
    </cfRule>
    <cfRule type="cellIs" dxfId="3746" priority="5550" operator="between">
      <formula>35</formula>
      <formula>50</formula>
    </cfRule>
    <cfRule type="cellIs" dxfId="3745" priority="5551" operator="lessThan">
      <formula>35</formula>
    </cfRule>
  </conditionalFormatting>
  <conditionalFormatting sqref="B329">
    <cfRule type="cellIs" dxfId="3744" priority="5552" operator="greaterThan">
      <formula>350</formula>
    </cfRule>
    <cfRule type="cellIs" dxfId="3743" priority="5553" operator="between">
      <formula>250</formula>
      <formula>350</formula>
    </cfRule>
    <cfRule type="cellIs" dxfId="3742" priority="5554" operator="lessThan">
      <formula>250</formula>
    </cfRule>
  </conditionalFormatting>
  <conditionalFormatting sqref="B331">
    <cfRule type="cellIs" dxfId="3741" priority="4219" operator="lessThan">
      <formula>0.8</formula>
    </cfRule>
    <cfRule type="cellIs" dxfId="3740" priority="4220" operator="between">
      <formula>0.8</formula>
      <formula>0.99999</formula>
    </cfRule>
    <cfRule type="cellIs" dxfId="3739" priority="4221" operator="between">
      <formula>1</formula>
      <formula>1.3</formula>
    </cfRule>
    <cfRule type="cellIs" dxfId="3738" priority="4222" operator="between">
      <formula>1.3</formula>
      <formula>1.5</formula>
    </cfRule>
    <cfRule type="cellIs" dxfId="3737" priority="4223" operator="greaterThan">
      <formula>1.5</formula>
    </cfRule>
  </conditionalFormatting>
  <conditionalFormatting sqref="B334">
    <cfRule type="cellIs" dxfId="3736" priority="5560" operator="greaterThan">
      <formula>50</formula>
    </cfRule>
    <cfRule type="cellIs" dxfId="3735" priority="5561" operator="between">
      <formula>35</formula>
      <formula>50</formula>
    </cfRule>
    <cfRule type="cellIs" dxfId="3734" priority="5562" operator="lessThan">
      <formula>35</formula>
    </cfRule>
  </conditionalFormatting>
  <conditionalFormatting sqref="B336">
    <cfRule type="cellIs" dxfId="3733" priority="5563" operator="greaterThan">
      <formula>350</formula>
    </cfRule>
    <cfRule type="cellIs" dxfId="3732" priority="5564" operator="between">
      <formula>250</formula>
      <formula>350</formula>
    </cfRule>
    <cfRule type="cellIs" dxfId="3731" priority="5565" operator="lessThan">
      <formula>250</formula>
    </cfRule>
  </conditionalFormatting>
  <conditionalFormatting sqref="B338">
    <cfRule type="cellIs" dxfId="3730" priority="4214" operator="lessThan">
      <formula>0.8</formula>
    </cfRule>
    <cfRule type="cellIs" dxfId="3729" priority="4215" operator="between">
      <formula>0.8</formula>
      <formula>0.99999</formula>
    </cfRule>
    <cfRule type="cellIs" dxfId="3728" priority="4216" operator="between">
      <formula>1</formula>
      <formula>1.3</formula>
    </cfRule>
    <cfRule type="cellIs" dxfId="3727" priority="4217" operator="between">
      <formula>1.3</formula>
      <formula>1.5</formula>
    </cfRule>
    <cfRule type="cellIs" dxfId="3726" priority="4218" operator="greaterThan">
      <formula>1.5</formula>
    </cfRule>
  </conditionalFormatting>
  <conditionalFormatting sqref="B341">
    <cfRule type="cellIs" dxfId="3725" priority="5571" operator="greaterThan">
      <formula>50</formula>
    </cfRule>
    <cfRule type="cellIs" dxfId="3724" priority="5572" operator="between">
      <formula>35</formula>
      <formula>50</formula>
    </cfRule>
    <cfRule type="cellIs" dxfId="3723" priority="5573" operator="lessThan">
      <formula>35</formula>
    </cfRule>
  </conditionalFormatting>
  <conditionalFormatting sqref="B343">
    <cfRule type="cellIs" dxfId="3722" priority="5574" operator="greaterThan">
      <formula>350</formula>
    </cfRule>
    <cfRule type="cellIs" dxfId="3721" priority="5575" operator="between">
      <formula>250</formula>
      <formula>350</formula>
    </cfRule>
    <cfRule type="cellIs" dxfId="3720" priority="5576" operator="lessThan">
      <formula>250</formula>
    </cfRule>
  </conditionalFormatting>
  <conditionalFormatting sqref="B345">
    <cfRule type="cellIs" dxfId="3719" priority="4209" operator="lessThan">
      <formula>0.8</formula>
    </cfRule>
    <cfRule type="cellIs" dxfId="3718" priority="4210" operator="between">
      <formula>0.8</formula>
      <formula>0.99999</formula>
    </cfRule>
    <cfRule type="cellIs" dxfId="3717" priority="4211" operator="between">
      <formula>1</formula>
      <formula>1.3</formula>
    </cfRule>
    <cfRule type="cellIs" dxfId="3716" priority="4212" operator="between">
      <formula>1.3</formula>
      <formula>1.5</formula>
    </cfRule>
    <cfRule type="cellIs" dxfId="3715" priority="4213" operator="greaterThan">
      <formula>1.5</formula>
    </cfRule>
  </conditionalFormatting>
  <conditionalFormatting sqref="B348">
    <cfRule type="cellIs" dxfId="3714" priority="5582" operator="greaterThan">
      <formula>50</formula>
    </cfRule>
    <cfRule type="cellIs" dxfId="3713" priority="5583" operator="between">
      <formula>35</formula>
      <formula>50</formula>
    </cfRule>
    <cfRule type="cellIs" dxfId="3712" priority="5584" operator="lessThan">
      <formula>35</formula>
    </cfRule>
  </conditionalFormatting>
  <conditionalFormatting sqref="B350">
    <cfRule type="cellIs" dxfId="3711" priority="5585" operator="greaterThan">
      <formula>350</formula>
    </cfRule>
    <cfRule type="cellIs" dxfId="3710" priority="5586" operator="between">
      <formula>250</formula>
      <formula>350</formula>
    </cfRule>
    <cfRule type="cellIs" dxfId="3709" priority="5587" operator="lessThan">
      <formula>250</formula>
    </cfRule>
  </conditionalFormatting>
  <conditionalFormatting sqref="B352">
    <cfRule type="cellIs" dxfId="3708" priority="4204" operator="lessThan">
      <formula>0.8</formula>
    </cfRule>
    <cfRule type="cellIs" dxfId="3707" priority="4205" operator="between">
      <formula>0.8</formula>
      <formula>0.99999</formula>
    </cfRule>
    <cfRule type="cellIs" dxfId="3706" priority="4206" operator="between">
      <formula>1</formula>
      <formula>1.3</formula>
    </cfRule>
    <cfRule type="cellIs" dxfId="3705" priority="4207" operator="between">
      <formula>1.3</formula>
      <formula>1.5</formula>
    </cfRule>
    <cfRule type="cellIs" dxfId="3704" priority="4208" operator="greaterThan">
      <formula>1.5</formula>
    </cfRule>
  </conditionalFormatting>
  <conditionalFormatting sqref="B355">
    <cfRule type="cellIs" dxfId="3703" priority="5593" operator="greaterThan">
      <formula>50</formula>
    </cfRule>
    <cfRule type="cellIs" dxfId="3702" priority="5594" operator="between">
      <formula>35</formula>
      <formula>50</formula>
    </cfRule>
    <cfRule type="cellIs" dxfId="3701" priority="5595" operator="lessThan">
      <formula>35</formula>
    </cfRule>
  </conditionalFormatting>
  <conditionalFormatting sqref="B357">
    <cfRule type="cellIs" dxfId="3700" priority="5596" operator="greaterThan">
      <formula>350</formula>
    </cfRule>
    <cfRule type="cellIs" dxfId="3699" priority="5597" operator="between">
      <formula>250</formula>
      <formula>350</formula>
    </cfRule>
    <cfRule type="cellIs" dxfId="3698" priority="5598" operator="lessThan">
      <formula>250</formula>
    </cfRule>
  </conditionalFormatting>
  <conditionalFormatting sqref="B359">
    <cfRule type="cellIs" dxfId="3697" priority="4199" operator="lessThan">
      <formula>0.8</formula>
    </cfRule>
    <cfRule type="cellIs" dxfId="3696" priority="4200" operator="between">
      <formula>0.8</formula>
      <formula>0.99999</formula>
    </cfRule>
    <cfRule type="cellIs" dxfId="3695" priority="4201" operator="between">
      <formula>1</formula>
      <formula>1.3</formula>
    </cfRule>
    <cfRule type="cellIs" dxfId="3694" priority="4202" operator="between">
      <formula>1.3</formula>
      <formula>1.5</formula>
    </cfRule>
    <cfRule type="cellIs" dxfId="3693" priority="4203" operator="greaterThan">
      <formula>1.5</formula>
    </cfRule>
  </conditionalFormatting>
  <conditionalFormatting sqref="B362">
    <cfRule type="cellIs" dxfId="3692" priority="5604" operator="greaterThan">
      <formula>50</formula>
    </cfRule>
    <cfRule type="cellIs" dxfId="3691" priority="5605" operator="between">
      <formula>35</formula>
      <formula>50</formula>
    </cfRule>
    <cfRule type="cellIs" dxfId="3690" priority="5606" operator="lessThan">
      <formula>35</formula>
    </cfRule>
  </conditionalFormatting>
  <conditionalFormatting sqref="B364">
    <cfRule type="cellIs" dxfId="3689" priority="5607" operator="greaterThan">
      <formula>350</formula>
    </cfRule>
    <cfRule type="cellIs" dxfId="3688" priority="5608" operator="between">
      <formula>250</formula>
      <formula>350</formula>
    </cfRule>
    <cfRule type="cellIs" dxfId="3687" priority="5609" operator="lessThan">
      <formula>250</formula>
    </cfRule>
  </conditionalFormatting>
  <conditionalFormatting sqref="B366">
    <cfRule type="cellIs" dxfId="3686" priority="4194" operator="lessThan">
      <formula>0.8</formula>
    </cfRule>
    <cfRule type="cellIs" dxfId="3685" priority="4195" operator="between">
      <formula>0.8</formula>
      <formula>0.99999</formula>
    </cfRule>
    <cfRule type="cellIs" dxfId="3684" priority="4196" operator="between">
      <formula>1</formula>
      <formula>1.3</formula>
    </cfRule>
    <cfRule type="cellIs" dxfId="3683" priority="4197" operator="between">
      <formula>1.3</formula>
      <formula>1.5</formula>
    </cfRule>
    <cfRule type="cellIs" dxfId="3682" priority="4198" operator="greaterThan">
      <formula>1.5</formula>
    </cfRule>
  </conditionalFormatting>
  <conditionalFormatting sqref="B369">
    <cfRule type="cellIs" dxfId="3681" priority="5615" operator="greaterThan">
      <formula>50</formula>
    </cfRule>
    <cfRule type="cellIs" dxfId="3680" priority="5616" operator="between">
      <formula>35</formula>
      <formula>50</formula>
    </cfRule>
    <cfRule type="cellIs" dxfId="3679" priority="5617" operator="lessThan">
      <formula>35</formula>
    </cfRule>
  </conditionalFormatting>
  <conditionalFormatting sqref="B371">
    <cfRule type="cellIs" dxfId="3678" priority="5618" operator="greaterThan">
      <formula>350</formula>
    </cfRule>
    <cfRule type="cellIs" dxfId="3677" priority="5619" operator="between">
      <formula>250</formula>
      <formula>350</formula>
    </cfRule>
    <cfRule type="cellIs" dxfId="3676" priority="5620" operator="lessThan">
      <formula>250</formula>
    </cfRule>
  </conditionalFormatting>
  <conditionalFormatting sqref="B373">
    <cfRule type="cellIs" dxfId="3675" priority="4189" operator="lessThan">
      <formula>0.8</formula>
    </cfRule>
    <cfRule type="cellIs" dxfId="3674" priority="4190" operator="between">
      <formula>0.8</formula>
      <formula>0.99999</formula>
    </cfRule>
    <cfRule type="cellIs" dxfId="3673" priority="4191" operator="between">
      <formula>1</formula>
      <formula>1.3</formula>
    </cfRule>
    <cfRule type="cellIs" dxfId="3672" priority="4192" operator="between">
      <formula>1.3</formula>
      <formula>1.5</formula>
    </cfRule>
    <cfRule type="cellIs" dxfId="3671" priority="4193" operator="greaterThan">
      <formula>1.5</formula>
    </cfRule>
  </conditionalFormatting>
  <conditionalFormatting sqref="B376">
    <cfRule type="cellIs" dxfId="3670" priority="5626" operator="greaterThan">
      <formula>50</formula>
    </cfRule>
    <cfRule type="cellIs" dxfId="3669" priority="5627" operator="between">
      <formula>35</formula>
      <formula>50</formula>
    </cfRule>
    <cfRule type="cellIs" dxfId="3668" priority="5628" operator="lessThan">
      <formula>35</formula>
    </cfRule>
  </conditionalFormatting>
  <conditionalFormatting sqref="B378">
    <cfRule type="cellIs" dxfId="3667" priority="5629" operator="greaterThan">
      <formula>350</formula>
    </cfRule>
    <cfRule type="cellIs" dxfId="3666" priority="5630" operator="between">
      <formula>250</formula>
      <formula>350</formula>
    </cfRule>
    <cfRule type="cellIs" dxfId="3665" priority="5631" operator="lessThan">
      <formula>250</formula>
    </cfRule>
  </conditionalFormatting>
  <conditionalFormatting sqref="B380">
    <cfRule type="cellIs" dxfId="3664" priority="4184" operator="lessThan">
      <formula>0.8</formula>
    </cfRule>
    <cfRule type="cellIs" dxfId="3663" priority="4185" operator="between">
      <formula>0.8</formula>
      <formula>0.99999</formula>
    </cfRule>
    <cfRule type="cellIs" dxfId="3662" priority="4186" operator="between">
      <formula>1</formula>
      <formula>1.3</formula>
    </cfRule>
    <cfRule type="cellIs" dxfId="3661" priority="4187" operator="between">
      <formula>1.3</formula>
      <formula>1.5</formula>
    </cfRule>
    <cfRule type="cellIs" dxfId="3660" priority="4188" operator="greaterThan">
      <formula>1.5</formula>
    </cfRule>
  </conditionalFormatting>
  <conditionalFormatting sqref="B383">
    <cfRule type="cellIs" dxfId="3659" priority="5637" operator="greaterThan">
      <formula>50</formula>
    </cfRule>
    <cfRule type="cellIs" dxfId="3658" priority="5638" operator="between">
      <formula>35</formula>
      <formula>50</formula>
    </cfRule>
    <cfRule type="cellIs" dxfId="3657" priority="5639" operator="lessThan">
      <formula>35</formula>
    </cfRule>
  </conditionalFormatting>
  <conditionalFormatting sqref="B385">
    <cfRule type="cellIs" dxfId="3656" priority="5640" operator="greaterThan">
      <formula>350</formula>
    </cfRule>
    <cfRule type="cellIs" dxfId="3655" priority="5641" operator="between">
      <formula>250</formula>
      <formula>350</formula>
    </cfRule>
    <cfRule type="cellIs" dxfId="3654" priority="5642" operator="lessThan">
      <formula>250</formula>
    </cfRule>
  </conditionalFormatting>
  <conditionalFormatting sqref="B387">
    <cfRule type="cellIs" dxfId="3653" priority="4179" operator="lessThan">
      <formula>0.8</formula>
    </cfRule>
    <cfRule type="cellIs" dxfId="3652" priority="4180" operator="between">
      <formula>0.8</formula>
      <formula>0.99999</formula>
    </cfRule>
    <cfRule type="cellIs" dxfId="3651" priority="4181" operator="between">
      <formula>1</formula>
      <formula>1.3</formula>
    </cfRule>
    <cfRule type="cellIs" dxfId="3650" priority="4182" operator="between">
      <formula>1.3</formula>
      <formula>1.5</formula>
    </cfRule>
    <cfRule type="cellIs" dxfId="3649" priority="4183" operator="greaterThan">
      <formula>1.5</formula>
    </cfRule>
  </conditionalFormatting>
  <conditionalFormatting sqref="B390">
    <cfRule type="cellIs" dxfId="3648" priority="5648" operator="greaterThan">
      <formula>50</formula>
    </cfRule>
    <cfRule type="cellIs" dxfId="3647" priority="5649" operator="between">
      <formula>35</formula>
      <formula>50</formula>
    </cfRule>
    <cfRule type="cellIs" dxfId="3646" priority="5650" operator="lessThan">
      <formula>35</formula>
    </cfRule>
  </conditionalFormatting>
  <conditionalFormatting sqref="B392">
    <cfRule type="cellIs" dxfId="3645" priority="5651" operator="greaterThan">
      <formula>350</formula>
    </cfRule>
    <cfRule type="cellIs" dxfId="3644" priority="5652" operator="between">
      <formula>250</formula>
      <formula>350</formula>
    </cfRule>
    <cfRule type="cellIs" dxfId="3643" priority="5653" operator="lessThan">
      <formula>250</formula>
    </cfRule>
  </conditionalFormatting>
  <conditionalFormatting sqref="B394">
    <cfRule type="cellIs" dxfId="3642" priority="4174" operator="lessThan">
      <formula>0.8</formula>
    </cfRule>
    <cfRule type="cellIs" dxfId="3641" priority="4175" operator="between">
      <formula>0.8</formula>
      <formula>0.99999</formula>
    </cfRule>
    <cfRule type="cellIs" dxfId="3640" priority="4176" operator="between">
      <formula>1</formula>
      <formula>1.3</formula>
    </cfRule>
    <cfRule type="cellIs" dxfId="3639" priority="4177" operator="between">
      <formula>1.3</formula>
      <formula>1.5</formula>
    </cfRule>
    <cfRule type="cellIs" dxfId="3638" priority="4178" operator="greaterThan">
      <formula>1.5</formula>
    </cfRule>
  </conditionalFormatting>
  <conditionalFormatting sqref="B397">
    <cfRule type="cellIs" dxfId="3637" priority="5659" operator="greaterThan">
      <formula>50</formula>
    </cfRule>
    <cfRule type="cellIs" dxfId="3636" priority="5660" operator="between">
      <formula>35</formula>
      <formula>50</formula>
    </cfRule>
    <cfRule type="cellIs" dxfId="3635" priority="5661" operator="lessThan">
      <formula>35</formula>
    </cfRule>
  </conditionalFormatting>
  <conditionalFormatting sqref="B399">
    <cfRule type="cellIs" dxfId="3634" priority="5662" operator="greaterThan">
      <formula>350</formula>
    </cfRule>
    <cfRule type="cellIs" dxfId="3633" priority="5663" operator="between">
      <formula>250</formula>
      <formula>350</formula>
    </cfRule>
    <cfRule type="cellIs" dxfId="3632" priority="5664" operator="lessThan">
      <formula>250</formula>
    </cfRule>
  </conditionalFormatting>
  <conditionalFormatting sqref="B401">
    <cfRule type="cellIs" dxfId="3631" priority="4169" operator="lessThan">
      <formula>0.8</formula>
    </cfRule>
    <cfRule type="cellIs" dxfId="3630" priority="4170" operator="between">
      <formula>0.8</formula>
      <formula>0.99999</formula>
    </cfRule>
    <cfRule type="cellIs" dxfId="3629" priority="4171" operator="between">
      <formula>1</formula>
      <formula>1.3</formula>
    </cfRule>
    <cfRule type="cellIs" dxfId="3628" priority="4172" operator="between">
      <formula>1.3</formula>
      <formula>1.5</formula>
    </cfRule>
    <cfRule type="cellIs" dxfId="3627" priority="4173" operator="greaterThan">
      <formula>1.5</formula>
    </cfRule>
  </conditionalFormatting>
  <conditionalFormatting sqref="B404">
    <cfRule type="cellIs" dxfId="3626" priority="5670" operator="greaterThan">
      <formula>50</formula>
    </cfRule>
    <cfRule type="cellIs" dxfId="3625" priority="5671" operator="between">
      <formula>35</formula>
      <formula>50</formula>
    </cfRule>
    <cfRule type="cellIs" dxfId="3624" priority="5672" operator="lessThan">
      <formula>35</formula>
    </cfRule>
  </conditionalFormatting>
  <conditionalFormatting sqref="B406">
    <cfRule type="cellIs" dxfId="3623" priority="5673" operator="greaterThan">
      <formula>350</formula>
    </cfRule>
    <cfRule type="cellIs" dxfId="3622" priority="5674" operator="between">
      <formula>250</formula>
      <formula>350</formula>
    </cfRule>
    <cfRule type="cellIs" dxfId="3621" priority="5675" operator="lessThan">
      <formula>250</formula>
    </cfRule>
  </conditionalFormatting>
  <conditionalFormatting sqref="B408">
    <cfRule type="cellIs" dxfId="3620" priority="4164" operator="lessThan">
      <formula>0.8</formula>
    </cfRule>
    <cfRule type="cellIs" dxfId="3619" priority="4165" operator="between">
      <formula>0.8</formula>
      <formula>0.99999</formula>
    </cfRule>
    <cfRule type="cellIs" dxfId="3618" priority="4166" operator="between">
      <formula>1</formula>
      <formula>1.3</formula>
    </cfRule>
    <cfRule type="cellIs" dxfId="3617" priority="4167" operator="between">
      <formula>1.3</formula>
      <formula>1.5</formula>
    </cfRule>
    <cfRule type="cellIs" dxfId="3616" priority="4168" operator="greaterThan">
      <formula>1.5</formula>
    </cfRule>
  </conditionalFormatting>
  <conditionalFormatting sqref="B411">
    <cfRule type="cellIs" dxfId="3615" priority="5681" operator="greaterThan">
      <formula>50</formula>
    </cfRule>
    <cfRule type="cellIs" dxfId="3614" priority="5682" operator="between">
      <formula>35</formula>
      <formula>50</formula>
    </cfRule>
    <cfRule type="cellIs" dxfId="3613" priority="5683" operator="lessThan">
      <formula>35</formula>
    </cfRule>
  </conditionalFormatting>
  <conditionalFormatting sqref="B413">
    <cfRule type="cellIs" dxfId="3612" priority="5684" operator="greaterThan">
      <formula>350</formula>
    </cfRule>
    <cfRule type="cellIs" dxfId="3611" priority="5685" operator="between">
      <formula>250</formula>
      <formula>350</formula>
    </cfRule>
    <cfRule type="cellIs" dxfId="3610" priority="5686" operator="lessThan">
      <formula>250</formula>
    </cfRule>
  </conditionalFormatting>
  <conditionalFormatting sqref="B415">
    <cfRule type="cellIs" dxfId="3609" priority="4159" operator="lessThan">
      <formula>0.8</formula>
    </cfRule>
    <cfRule type="cellIs" dxfId="3608" priority="4160" operator="between">
      <formula>0.8</formula>
      <formula>0.99999</formula>
    </cfRule>
    <cfRule type="cellIs" dxfId="3607" priority="4161" operator="between">
      <formula>1</formula>
      <formula>1.3</formula>
    </cfRule>
    <cfRule type="cellIs" dxfId="3606" priority="4162" operator="between">
      <formula>1.3</formula>
      <formula>1.5</formula>
    </cfRule>
    <cfRule type="cellIs" dxfId="3605" priority="4163" operator="greaterThan">
      <formula>1.5</formula>
    </cfRule>
  </conditionalFormatting>
  <conditionalFormatting sqref="B418">
    <cfRule type="cellIs" dxfId="3604" priority="5692" operator="greaterThan">
      <formula>50</formula>
    </cfRule>
    <cfRule type="cellIs" dxfId="3603" priority="5693" operator="between">
      <formula>35</formula>
      <formula>50</formula>
    </cfRule>
    <cfRule type="cellIs" dxfId="3602" priority="5694" operator="lessThan">
      <formula>35</formula>
    </cfRule>
  </conditionalFormatting>
  <conditionalFormatting sqref="B420">
    <cfRule type="cellIs" dxfId="3601" priority="5695" operator="greaterThan">
      <formula>350</formula>
    </cfRule>
    <cfRule type="cellIs" dxfId="3600" priority="5696" operator="between">
      <formula>250</formula>
      <formula>350</formula>
    </cfRule>
    <cfRule type="cellIs" dxfId="3599" priority="5697" operator="lessThan">
      <formula>250</formula>
    </cfRule>
  </conditionalFormatting>
  <conditionalFormatting sqref="B422">
    <cfRule type="cellIs" dxfId="3598" priority="4154" operator="lessThan">
      <formula>0.8</formula>
    </cfRule>
    <cfRule type="cellIs" dxfId="3597" priority="4155" operator="between">
      <formula>0.8</formula>
      <formula>0.99999</formula>
    </cfRule>
    <cfRule type="cellIs" dxfId="3596" priority="4156" operator="between">
      <formula>1</formula>
      <formula>1.3</formula>
    </cfRule>
    <cfRule type="cellIs" dxfId="3595" priority="4157" operator="between">
      <formula>1.3</formula>
      <formula>1.5</formula>
    </cfRule>
    <cfRule type="cellIs" dxfId="3594" priority="4158" operator="greaterThan">
      <formula>1.5</formula>
    </cfRule>
  </conditionalFormatting>
  <conditionalFormatting sqref="B425">
    <cfRule type="cellIs" dxfId="3593" priority="5703" operator="greaterThan">
      <formula>50</formula>
    </cfRule>
    <cfRule type="cellIs" dxfId="3592" priority="5704" operator="between">
      <formula>35</formula>
      <formula>50</formula>
    </cfRule>
    <cfRule type="cellIs" dxfId="3591" priority="5705" operator="lessThan">
      <formula>35</formula>
    </cfRule>
  </conditionalFormatting>
  <conditionalFormatting sqref="B427">
    <cfRule type="cellIs" dxfId="3590" priority="5706" operator="greaterThan">
      <formula>350</formula>
    </cfRule>
    <cfRule type="cellIs" dxfId="3589" priority="5707" operator="between">
      <formula>250</formula>
      <formula>350</formula>
    </cfRule>
    <cfRule type="cellIs" dxfId="3588" priority="5708" operator="lessThan">
      <formula>250</formula>
    </cfRule>
  </conditionalFormatting>
  <conditionalFormatting sqref="B429">
    <cfRule type="cellIs" dxfId="3587" priority="4149" operator="lessThan">
      <formula>0.8</formula>
    </cfRule>
    <cfRule type="cellIs" dxfId="3586" priority="4150" operator="between">
      <formula>0.8</formula>
      <formula>0.99999</formula>
    </cfRule>
    <cfRule type="cellIs" dxfId="3585" priority="4151" operator="between">
      <formula>1</formula>
      <formula>1.3</formula>
    </cfRule>
    <cfRule type="cellIs" dxfId="3584" priority="4152" operator="between">
      <formula>1.3</formula>
      <formula>1.5</formula>
    </cfRule>
    <cfRule type="cellIs" dxfId="3583" priority="4153" operator="greaterThan">
      <formula>1.5</formula>
    </cfRule>
  </conditionalFormatting>
  <conditionalFormatting sqref="B432">
    <cfRule type="cellIs" dxfId="3582" priority="5714" operator="greaterThan">
      <formula>50</formula>
    </cfRule>
    <cfRule type="cellIs" dxfId="3581" priority="5715" operator="between">
      <formula>35</formula>
      <formula>50</formula>
    </cfRule>
    <cfRule type="cellIs" dxfId="3580" priority="5716" operator="lessThan">
      <formula>35</formula>
    </cfRule>
  </conditionalFormatting>
  <conditionalFormatting sqref="B434">
    <cfRule type="cellIs" dxfId="3579" priority="5717" operator="greaterThan">
      <formula>350</formula>
    </cfRule>
    <cfRule type="cellIs" dxfId="3578" priority="5718" operator="between">
      <formula>250</formula>
      <formula>350</formula>
    </cfRule>
    <cfRule type="cellIs" dxfId="3577" priority="5719" operator="lessThan">
      <formula>250</formula>
    </cfRule>
  </conditionalFormatting>
  <conditionalFormatting sqref="B436">
    <cfRule type="cellIs" dxfId="3576" priority="4144" operator="lessThan">
      <formula>0.8</formula>
    </cfRule>
    <cfRule type="cellIs" dxfId="3575" priority="4145" operator="between">
      <formula>0.8</formula>
      <formula>0.99999</formula>
    </cfRule>
    <cfRule type="cellIs" dxfId="3574" priority="4146" operator="between">
      <formula>1</formula>
      <formula>1.3</formula>
    </cfRule>
    <cfRule type="cellIs" dxfId="3573" priority="4147" operator="between">
      <formula>1.3</formula>
      <formula>1.5</formula>
    </cfRule>
    <cfRule type="cellIs" dxfId="3572" priority="4148" operator="greaterThan">
      <formula>1.5</formula>
    </cfRule>
  </conditionalFormatting>
  <conditionalFormatting sqref="B439">
    <cfRule type="cellIs" dxfId="3571" priority="5725" operator="greaterThan">
      <formula>50</formula>
    </cfRule>
    <cfRule type="cellIs" dxfId="3570" priority="5726" operator="between">
      <formula>35</formula>
      <formula>50</formula>
    </cfRule>
    <cfRule type="cellIs" dxfId="3569" priority="5727" operator="lessThan">
      <formula>35</formula>
    </cfRule>
  </conditionalFormatting>
  <conditionalFormatting sqref="B441">
    <cfRule type="cellIs" dxfId="3568" priority="5728" operator="greaterThan">
      <formula>350</formula>
    </cfRule>
    <cfRule type="cellIs" dxfId="3567" priority="5729" operator="between">
      <formula>250</formula>
      <formula>350</formula>
    </cfRule>
    <cfRule type="cellIs" dxfId="3566" priority="5730" operator="lessThan">
      <formula>250</formula>
    </cfRule>
  </conditionalFormatting>
  <conditionalFormatting sqref="B443">
    <cfRule type="cellIs" dxfId="3565" priority="4139" operator="lessThan">
      <formula>0.8</formula>
    </cfRule>
    <cfRule type="cellIs" dxfId="3564" priority="4140" operator="between">
      <formula>0.8</formula>
      <formula>0.99999</formula>
    </cfRule>
    <cfRule type="cellIs" dxfId="3563" priority="4141" operator="between">
      <formula>1</formula>
      <formula>1.3</formula>
    </cfRule>
    <cfRule type="cellIs" dxfId="3562" priority="4142" operator="between">
      <formula>1.3</formula>
      <formula>1.5</formula>
    </cfRule>
    <cfRule type="cellIs" dxfId="3561" priority="4143" operator="greaterThan">
      <formula>1.5</formula>
    </cfRule>
  </conditionalFormatting>
  <conditionalFormatting sqref="B446">
    <cfRule type="cellIs" dxfId="3560" priority="5736" operator="greaterThan">
      <formula>50</formula>
    </cfRule>
    <cfRule type="cellIs" dxfId="3559" priority="5737" operator="between">
      <formula>35</formula>
      <formula>50</formula>
    </cfRule>
    <cfRule type="cellIs" dxfId="3558" priority="5738" operator="lessThan">
      <formula>35</formula>
    </cfRule>
  </conditionalFormatting>
  <conditionalFormatting sqref="B448">
    <cfRule type="cellIs" dxfId="3557" priority="5739" operator="greaterThan">
      <formula>350</formula>
    </cfRule>
    <cfRule type="cellIs" dxfId="3556" priority="5740" operator="between">
      <formula>250</formula>
      <formula>350</formula>
    </cfRule>
    <cfRule type="cellIs" dxfId="3555" priority="5741" operator="lessThan">
      <formula>250</formula>
    </cfRule>
  </conditionalFormatting>
  <conditionalFormatting sqref="B450">
    <cfRule type="cellIs" dxfId="3554" priority="3692" operator="lessThan">
      <formula>0.8</formula>
    </cfRule>
    <cfRule type="cellIs" dxfId="3553" priority="3693" operator="between">
      <formula>0.8</formula>
      <formula>0.99999</formula>
    </cfRule>
    <cfRule type="cellIs" dxfId="3552" priority="3694" operator="between">
      <formula>1</formula>
      <formula>1.3</formula>
    </cfRule>
    <cfRule type="cellIs" dxfId="3551" priority="3695" operator="between">
      <formula>1.3</formula>
      <formula>1.5</formula>
    </cfRule>
    <cfRule type="cellIs" dxfId="3550" priority="3696" operator="greaterThan">
      <formula>1.5</formula>
    </cfRule>
  </conditionalFormatting>
  <conditionalFormatting sqref="B453">
    <cfRule type="cellIs" dxfId="3549" priority="5747" operator="greaterThan">
      <formula>50</formula>
    </cfRule>
    <cfRule type="cellIs" dxfId="3548" priority="5748" operator="between">
      <formula>35</formula>
      <formula>50</formula>
    </cfRule>
    <cfRule type="cellIs" dxfId="3547" priority="5749" operator="lessThan">
      <formula>35</formula>
    </cfRule>
  </conditionalFormatting>
  <conditionalFormatting sqref="B455">
    <cfRule type="cellIs" dxfId="3546" priority="5750" operator="greaterThan">
      <formula>350</formula>
    </cfRule>
    <cfRule type="cellIs" dxfId="3545" priority="5751" operator="between">
      <formula>250</formula>
      <formula>350</formula>
    </cfRule>
    <cfRule type="cellIs" dxfId="3544" priority="5752" operator="lessThan">
      <formula>250</formula>
    </cfRule>
  </conditionalFormatting>
  <conditionalFormatting sqref="B457">
    <cfRule type="cellIs" dxfId="3543" priority="4129" operator="lessThan">
      <formula>0.8</formula>
    </cfRule>
    <cfRule type="cellIs" dxfId="3542" priority="4130" operator="between">
      <formula>0.8</formula>
      <formula>0.99999</formula>
    </cfRule>
    <cfRule type="cellIs" dxfId="3541" priority="4131" operator="between">
      <formula>1</formula>
      <formula>1.3</formula>
    </cfRule>
    <cfRule type="cellIs" dxfId="3540" priority="4132" operator="between">
      <formula>1.3</formula>
      <formula>1.5</formula>
    </cfRule>
    <cfRule type="cellIs" dxfId="3539" priority="4133" operator="greaterThan">
      <formula>1.5</formula>
    </cfRule>
  </conditionalFormatting>
  <conditionalFormatting sqref="B460">
    <cfRule type="cellIs" dxfId="3538" priority="5758" operator="greaterThan">
      <formula>50</formula>
    </cfRule>
    <cfRule type="cellIs" dxfId="3537" priority="5759" operator="between">
      <formula>35</formula>
      <formula>50</formula>
    </cfRule>
    <cfRule type="cellIs" dxfId="3536" priority="5760" operator="lessThan">
      <formula>35</formula>
    </cfRule>
  </conditionalFormatting>
  <conditionalFormatting sqref="B462">
    <cfRule type="cellIs" dxfId="3535" priority="5761" operator="greaterThan">
      <formula>350</formula>
    </cfRule>
    <cfRule type="cellIs" dxfId="3534" priority="5762" operator="between">
      <formula>250</formula>
      <formula>350</formula>
    </cfRule>
    <cfRule type="cellIs" dxfId="3533" priority="5763" operator="lessThan">
      <formula>250</formula>
    </cfRule>
  </conditionalFormatting>
  <conditionalFormatting sqref="B464">
    <cfRule type="cellIs" dxfId="3532" priority="4124" operator="lessThan">
      <formula>0.8</formula>
    </cfRule>
    <cfRule type="cellIs" dxfId="3531" priority="4125" operator="between">
      <formula>0.8</formula>
      <formula>0.99999</formula>
    </cfRule>
    <cfRule type="cellIs" dxfId="3530" priority="4126" operator="between">
      <formula>1</formula>
      <formula>1.3</formula>
    </cfRule>
    <cfRule type="cellIs" dxfId="3529" priority="4127" operator="between">
      <formula>1.3</formula>
      <formula>1.5</formula>
    </cfRule>
    <cfRule type="cellIs" dxfId="3528" priority="4128" operator="greaterThan">
      <formula>1.5</formula>
    </cfRule>
  </conditionalFormatting>
  <conditionalFormatting sqref="B467">
    <cfRule type="cellIs" dxfId="3527" priority="5769" operator="greaterThan">
      <formula>50</formula>
    </cfRule>
    <cfRule type="cellIs" dxfId="3526" priority="5770" operator="between">
      <formula>35</formula>
      <formula>50</formula>
    </cfRule>
    <cfRule type="cellIs" dxfId="3525" priority="5771" operator="lessThan">
      <formula>35</formula>
    </cfRule>
  </conditionalFormatting>
  <conditionalFormatting sqref="B469">
    <cfRule type="cellIs" dxfId="3524" priority="5772" operator="greaterThan">
      <formula>350</formula>
    </cfRule>
    <cfRule type="cellIs" dxfId="3523" priority="5773" operator="between">
      <formula>250</formula>
      <formula>350</formula>
    </cfRule>
    <cfRule type="cellIs" dxfId="3522" priority="5774" operator="lessThan">
      <formula>250</formula>
    </cfRule>
  </conditionalFormatting>
  <conditionalFormatting sqref="B471">
    <cfRule type="cellIs" dxfId="3521" priority="4119" operator="lessThan">
      <formula>0.8</formula>
    </cfRule>
    <cfRule type="cellIs" dxfId="3520" priority="4120" operator="between">
      <formula>0.8</formula>
      <formula>0.99999</formula>
    </cfRule>
    <cfRule type="cellIs" dxfId="3519" priority="4121" operator="between">
      <formula>1</formula>
      <formula>1.3</formula>
    </cfRule>
    <cfRule type="cellIs" dxfId="3518" priority="4122" operator="between">
      <formula>1.3</formula>
      <formula>1.5</formula>
    </cfRule>
    <cfRule type="cellIs" dxfId="3517" priority="4123" operator="greaterThan">
      <formula>1.5</formula>
    </cfRule>
  </conditionalFormatting>
  <conditionalFormatting sqref="B474">
    <cfRule type="cellIs" dxfId="3516" priority="5780" operator="greaterThan">
      <formula>50</formula>
    </cfRule>
    <cfRule type="cellIs" dxfId="3515" priority="5781" operator="between">
      <formula>35</formula>
      <formula>50</formula>
    </cfRule>
    <cfRule type="cellIs" dxfId="3514" priority="5782" operator="lessThan">
      <formula>35</formula>
    </cfRule>
  </conditionalFormatting>
  <conditionalFormatting sqref="B476">
    <cfRule type="cellIs" dxfId="3513" priority="5783" operator="greaterThan">
      <formula>350</formula>
    </cfRule>
    <cfRule type="cellIs" dxfId="3512" priority="5784" operator="between">
      <formula>250</formula>
      <formula>350</formula>
    </cfRule>
    <cfRule type="cellIs" dxfId="3511" priority="5785" operator="lessThan">
      <formula>250</formula>
    </cfRule>
  </conditionalFormatting>
  <conditionalFormatting sqref="B478">
    <cfRule type="cellIs" dxfId="3510" priority="4114" operator="lessThan">
      <formula>0.8</formula>
    </cfRule>
    <cfRule type="cellIs" dxfId="3509" priority="4115" operator="between">
      <formula>0.8</formula>
      <formula>0.99999</formula>
    </cfRule>
    <cfRule type="cellIs" dxfId="3508" priority="4116" operator="between">
      <formula>1</formula>
      <formula>1.3</formula>
    </cfRule>
    <cfRule type="cellIs" dxfId="3507" priority="4117" operator="between">
      <formula>1.3</formula>
      <formula>1.5</formula>
    </cfRule>
    <cfRule type="cellIs" dxfId="3506" priority="4118" operator="greaterThan">
      <formula>1.5</formula>
    </cfRule>
  </conditionalFormatting>
  <conditionalFormatting sqref="B481">
    <cfRule type="cellIs" dxfId="3505" priority="5791" operator="greaterThan">
      <formula>50</formula>
    </cfRule>
    <cfRule type="cellIs" dxfId="3504" priority="5792" operator="between">
      <formula>35</formula>
      <formula>50</formula>
    </cfRule>
    <cfRule type="cellIs" dxfId="3503" priority="5793" operator="lessThan">
      <formula>35</formula>
    </cfRule>
  </conditionalFormatting>
  <conditionalFormatting sqref="B483">
    <cfRule type="cellIs" dxfId="3502" priority="5794" operator="greaterThan">
      <formula>350</formula>
    </cfRule>
    <cfRule type="cellIs" dxfId="3501" priority="5795" operator="between">
      <formula>250</formula>
      <formula>350</formula>
    </cfRule>
    <cfRule type="cellIs" dxfId="3500" priority="5796" operator="lessThan">
      <formula>250</formula>
    </cfRule>
  </conditionalFormatting>
  <conditionalFormatting sqref="B485">
    <cfRule type="cellIs" dxfId="3499" priority="4109" operator="lessThan">
      <formula>0.8</formula>
    </cfRule>
    <cfRule type="cellIs" dxfId="3498" priority="4110" operator="between">
      <formula>0.8</formula>
      <formula>0.99999</formula>
    </cfRule>
    <cfRule type="cellIs" dxfId="3497" priority="4111" operator="between">
      <formula>1</formula>
      <formula>1.3</formula>
    </cfRule>
    <cfRule type="cellIs" dxfId="3496" priority="4112" operator="between">
      <formula>1.3</formula>
      <formula>1.5</formula>
    </cfRule>
    <cfRule type="cellIs" dxfId="3495" priority="4113" operator="greaterThan">
      <formula>1.5</formula>
    </cfRule>
  </conditionalFormatting>
  <conditionalFormatting sqref="B488">
    <cfRule type="cellIs" dxfId="3494" priority="5802" operator="greaterThan">
      <formula>50</formula>
    </cfRule>
    <cfRule type="cellIs" dxfId="3493" priority="5803" operator="between">
      <formula>35</formula>
      <formula>50</formula>
    </cfRule>
    <cfRule type="cellIs" dxfId="3492" priority="5804" operator="lessThan">
      <formula>35</formula>
    </cfRule>
  </conditionalFormatting>
  <conditionalFormatting sqref="B490">
    <cfRule type="cellIs" dxfId="3491" priority="5805" operator="greaterThan">
      <formula>350</formula>
    </cfRule>
    <cfRule type="cellIs" dxfId="3490" priority="5806" operator="between">
      <formula>250</formula>
      <formula>350</formula>
    </cfRule>
    <cfRule type="cellIs" dxfId="3489" priority="5807" operator="lessThan">
      <formula>250</formula>
    </cfRule>
  </conditionalFormatting>
  <conditionalFormatting sqref="B492">
    <cfRule type="cellIs" dxfId="3488" priority="4104" operator="lessThan">
      <formula>0.8</formula>
    </cfRule>
    <cfRule type="cellIs" dxfId="3487" priority="4105" operator="between">
      <formula>0.8</formula>
      <formula>0.99999</formula>
    </cfRule>
    <cfRule type="cellIs" dxfId="3486" priority="4106" operator="between">
      <formula>1</formula>
      <formula>1.3</formula>
    </cfRule>
    <cfRule type="cellIs" dxfId="3485" priority="4107" operator="between">
      <formula>1.3</formula>
      <formula>1.5</formula>
    </cfRule>
    <cfRule type="cellIs" dxfId="3484" priority="4108" operator="greaterThan">
      <formula>1.5</formula>
    </cfRule>
  </conditionalFormatting>
  <conditionalFormatting sqref="B495">
    <cfRule type="cellIs" dxfId="3483" priority="5813" operator="greaterThan">
      <formula>50</formula>
    </cfRule>
    <cfRule type="cellIs" dxfId="3482" priority="5814" operator="between">
      <formula>35</formula>
      <formula>50</formula>
    </cfRule>
    <cfRule type="cellIs" dxfId="3481" priority="5815" operator="lessThan">
      <formula>35</formula>
    </cfRule>
  </conditionalFormatting>
  <conditionalFormatting sqref="B497">
    <cfRule type="cellIs" dxfId="3480" priority="5816" operator="greaterThan">
      <formula>350</formula>
    </cfRule>
    <cfRule type="cellIs" dxfId="3479" priority="5817" operator="between">
      <formula>250</formula>
      <formula>350</formula>
    </cfRule>
    <cfRule type="cellIs" dxfId="3478" priority="5818" operator="lessThan">
      <formula>250</formula>
    </cfRule>
  </conditionalFormatting>
  <conditionalFormatting sqref="B499">
    <cfRule type="cellIs" dxfId="3477" priority="4099" operator="lessThan">
      <formula>0.8</formula>
    </cfRule>
    <cfRule type="cellIs" dxfId="3476" priority="4100" operator="between">
      <formula>0.8</formula>
      <formula>0.99999</formula>
    </cfRule>
    <cfRule type="cellIs" dxfId="3475" priority="4101" operator="between">
      <formula>1</formula>
      <formula>1.3</formula>
    </cfRule>
    <cfRule type="cellIs" dxfId="3474" priority="4102" operator="between">
      <formula>1.3</formula>
      <formula>1.5</formula>
    </cfRule>
    <cfRule type="cellIs" dxfId="3473" priority="4103" operator="greaterThan">
      <formula>1.5</formula>
    </cfRule>
  </conditionalFormatting>
  <conditionalFormatting sqref="B502">
    <cfRule type="cellIs" dxfId="3472" priority="5824" operator="greaterThan">
      <formula>50</formula>
    </cfRule>
    <cfRule type="cellIs" dxfId="3471" priority="5825" operator="between">
      <formula>35</formula>
      <formula>50</formula>
    </cfRule>
    <cfRule type="cellIs" dxfId="3470" priority="5826" operator="lessThan">
      <formula>35</formula>
    </cfRule>
  </conditionalFormatting>
  <conditionalFormatting sqref="B504">
    <cfRule type="cellIs" dxfId="3469" priority="5827" operator="greaterThan">
      <formula>350</formula>
    </cfRule>
    <cfRule type="cellIs" dxfId="3468" priority="5828" operator="between">
      <formula>250</formula>
      <formula>350</formula>
    </cfRule>
    <cfRule type="cellIs" dxfId="3467" priority="5829" operator="lessThan">
      <formula>250</formula>
    </cfRule>
  </conditionalFormatting>
  <conditionalFormatting sqref="B506">
    <cfRule type="cellIs" dxfId="3466" priority="4094" operator="lessThan">
      <formula>0.8</formula>
    </cfRule>
    <cfRule type="cellIs" dxfId="3465" priority="4095" operator="between">
      <formula>0.8</formula>
      <formula>0.99999</formula>
    </cfRule>
    <cfRule type="cellIs" dxfId="3464" priority="4096" operator="between">
      <formula>1</formula>
      <formula>1.3</formula>
    </cfRule>
    <cfRule type="cellIs" dxfId="3463" priority="4097" operator="between">
      <formula>1.3</formula>
      <formula>1.5</formula>
    </cfRule>
    <cfRule type="cellIs" dxfId="3462" priority="4098" operator="greaterThan">
      <formula>1.5</formula>
    </cfRule>
  </conditionalFormatting>
  <conditionalFormatting sqref="B509">
    <cfRule type="cellIs" dxfId="3461" priority="5835" operator="greaterThan">
      <formula>50</formula>
    </cfRule>
    <cfRule type="cellIs" dxfId="3460" priority="5836" operator="between">
      <formula>35</formula>
      <formula>50</formula>
    </cfRule>
    <cfRule type="cellIs" dxfId="3459" priority="5837" operator="lessThan">
      <formula>35</formula>
    </cfRule>
  </conditionalFormatting>
  <conditionalFormatting sqref="B511">
    <cfRule type="cellIs" dxfId="3458" priority="5838" operator="greaterThan">
      <formula>350</formula>
    </cfRule>
    <cfRule type="cellIs" dxfId="3457" priority="5839" operator="between">
      <formula>250</formula>
      <formula>350</formula>
    </cfRule>
    <cfRule type="cellIs" dxfId="3456" priority="5840" operator="lessThan">
      <formula>250</formula>
    </cfRule>
  </conditionalFormatting>
  <conditionalFormatting sqref="B513">
    <cfRule type="cellIs" dxfId="3455" priority="4089" operator="lessThan">
      <formula>0.8</formula>
    </cfRule>
    <cfRule type="cellIs" dxfId="3454" priority="4090" operator="between">
      <formula>0.8</formula>
      <formula>0.99999</formula>
    </cfRule>
    <cfRule type="cellIs" dxfId="3453" priority="4091" operator="between">
      <formula>1</formula>
      <formula>1.3</formula>
    </cfRule>
    <cfRule type="cellIs" dxfId="3452" priority="4092" operator="between">
      <formula>1.3</formula>
      <formula>1.5</formula>
    </cfRule>
    <cfRule type="cellIs" dxfId="3451" priority="4093" operator="greaterThan">
      <formula>1.5</formula>
    </cfRule>
  </conditionalFormatting>
  <conditionalFormatting sqref="B516">
    <cfRule type="cellIs" dxfId="3450" priority="5846" operator="greaterThan">
      <formula>50</formula>
    </cfRule>
    <cfRule type="cellIs" dxfId="3449" priority="5847" operator="between">
      <formula>35</formula>
      <formula>50</formula>
    </cfRule>
    <cfRule type="cellIs" dxfId="3448" priority="5848" operator="lessThan">
      <formula>35</formula>
    </cfRule>
  </conditionalFormatting>
  <conditionalFormatting sqref="B518">
    <cfRule type="cellIs" dxfId="3447" priority="5849" operator="greaterThan">
      <formula>350</formula>
    </cfRule>
    <cfRule type="cellIs" dxfId="3446" priority="5850" operator="between">
      <formula>250</formula>
      <formula>350</formula>
    </cfRule>
    <cfRule type="cellIs" dxfId="3445" priority="5851" operator="lessThan">
      <formula>250</formula>
    </cfRule>
  </conditionalFormatting>
  <conditionalFormatting sqref="B520">
    <cfRule type="cellIs" dxfId="3444" priority="4084" operator="lessThan">
      <formula>0.8</formula>
    </cfRule>
    <cfRule type="cellIs" dxfId="3443" priority="4085" operator="between">
      <formula>0.8</formula>
      <formula>0.99999</formula>
    </cfRule>
    <cfRule type="cellIs" dxfId="3442" priority="4086" operator="between">
      <formula>1</formula>
      <formula>1.3</formula>
    </cfRule>
    <cfRule type="cellIs" dxfId="3441" priority="4087" operator="between">
      <formula>1.3</formula>
      <formula>1.5</formula>
    </cfRule>
    <cfRule type="cellIs" dxfId="3440" priority="4088" operator="greaterThan">
      <formula>1.5</formula>
    </cfRule>
  </conditionalFormatting>
  <conditionalFormatting sqref="B523">
    <cfRule type="cellIs" dxfId="3439" priority="5857" operator="greaterThan">
      <formula>50</formula>
    </cfRule>
    <cfRule type="cellIs" dxfId="3438" priority="5858" operator="between">
      <formula>35</formula>
      <formula>50</formula>
    </cfRule>
    <cfRule type="cellIs" dxfId="3437" priority="5859" operator="lessThan">
      <formula>35</formula>
    </cfRule>
  </conditionalFormatting>
  <conditionalFormatting sqref="B525">
    <cfRule type="cellIs" dxfId="3436" priority="5860" operator="greaterThan">
      <formula>350</formula>
    </cfRule>
    <cfRule type="cellIs" dxfId="3435" priority="5861" operator="between">
      <formula>250</formula>
      <formula>350</formula>
    </cfRule>
    <cfRule type="cellIs" dxfId="3434" priority="5862" operator="lessThan">
      <formula>250</formula>
    </cfRule>
  </conditionalFormatting>
  <conditionalFormatting sqref="B527">
    <cfRule type="cellIs" dxfId="3433" priority="4079" operator="lessThan">
      <formula>0.8</formula>
    </cfRule>
    <cfRule type="cellIs" dxfId="3432" priority="4080" operator="between">
      <formula>0.8</formula>
      <formula>0.99999</formula>
    </cfRule>
    <cfRule type="cellIs" dxfId="3431" priority="4081" operator="between">
      <formula>1</formula>
      <formula>1.3</formula>
    </cfRule>
    <cfRule type="cellIs" dxfId="3430" priority="4082" operator="between">
      <formula>1.3</formula>
      <formula>1.5</formula>
    </cfRule>
    <cfRule type="cellIs" dxfId="3429" priority="4083" operator="greaterThan">
      <formula>1.5</formula>
    </cfRule>
  </conditionalFormatting>
  <conditionalFormatting sqref="B530">
    <cfRule type="cellIs" dxfId="3428" priority="5868" operator="greaterThan">
      <formula>50</formula>
    </cfRule>
    <cfRule type="cellIs" dxfId="3427" priority="5869" operator="between">
      <formula>35</formula>
      <formula>50</formula>
    </cfRule>
    <cfRule type="cellIs" dxfId="3426" priority="5870" operator="lessThan">
      <formula>35</formula>
    </cfRule>
  </conditionalFormatting>
  <conditionalFormatting sqref="B532">
    <cfRule type="cellIs" dxfId="3425" priority="5871" operator="greaterThan">
      <formula>350</formula>
    </cfRule>
    <cfRule type="cellIs" dxfId="3424" priority="5872" operator="between">
      <formula>250</formula>
      <formula>350</formula>
    </cfRule>
    <cfRule type="cellIs" dxfId="3423" priority="5873" operator="lessThan">
      <formula>250</formula>
    </cfRule>
  </conditionalFormatting>
  <conditionalFormatting sqref="B534">
    <cfRule type="cellIs" dxfId="3422" priority="4074" operator="lessThan">
      <formula>0.8</formula>
    </cfRule>
    <cfRule type="cellIs" dxfId="3421" priority="4075" operator="between">
      <formula>0.8</formula>
      <formula>0.99999</formula>
    </cfRule>
    <cfRule type="cellIs" dxfId="3420" priority="4076" operator="between">
      <formula>1</formula>
      <formula>1.3</formula>
    </cfRule>
    <cfRule type="cellIs" dxfId="3419" priority="4077" operator="between">
      <formula>1.3</formula>
      <formula>1.5</formula>
    </cfRule>
    <cfRule type="cellIs" dxfId="3418" priority="4078" operator="greaterThan">
      <formula>1.5</formula>
    </cfRule>
  </conditionalFormatting>
  <conditionalFormatting sqref="B537">
    <cfRule type="cellIs" dxfId="3417" priority="5879" operator="greaterThan">
      <formula>50</formula>
    </cfRule>
    <cfRule type="cellIs" dxfId="3416" priority="5880" operator="between">
      <formula>35</formula>
      <formula>50</formula>
    </cfRule>
    <cfRule type="cellIs" dxfId="3415" priority="5881" operator="lessThan">
      <formula>35</formula>
    </cfRule>
  </conditionalFormatting>
  <conditionalFormatting sqref="B539">
    <cfRule type="cellIs" dxfId="3414" priority="5882" operator="greaterThan">
      <formula>350</formula>
    </cfRule>
    <cfRule type="cellIs" dxfId="3413" priority="5883" operator="between">
      <formula>250</formula>
      <formula>350</formula>
    </cfRule>
    <cfRule type="cellIs" dxfId="3412" priority="5884" operator="lessThan">
      <formula>250</formula>
    </cfRule>
  </conditionalFormatting>
  <conditionalFormatting sqref="B541">
    <cfRule type="cellIs" dxfId="3411" priority="4069" operator="lessThan">
      <formula>0.8</formula>
    </cfRule>
    <cfRule type="cellIs" dxfId="3410" priority="4070" operator="between">
      <formula>0.8</formula>
      <formula>0.99999</formula>
    </cfRule>
    <cfRule type="cellIs" dxfId="3409" priority="4071" operator="between">
      <formula>1</formula>
      <formula>1.3</formula>
    </cfRule>
    <cfRule type="cellIs" dxfId="3408" priority="4072" operator="between">
      <formula>1.3</formula>
      <formula>1.5</formula>
    </cfRule>
    <cfRule type="cellIs" dxfId="3407" priority="4073" operator="greaterThan">
      <formula>1.5</formula>
    </cfRule>
  </conditionalFormatting>
  <conditionalFormatting sqref="B544">
    <cfRule type="cellIs" dxfId="3406" priority="5890" operator="greaterThan">
      <formula>50</formula>
    </cfRule>
    <cfRule type="cellIs" dxfId="3405" priority="5891" operator="between">
      <formula>35</formula>
      <formula>50</formula>
    </cfRule>
    <cfRule type="cellIs" dxfId="3404" priority="5892" operator="lessThan">
      <formula>35</formula>
    </cfRule>
  </conditionalFormatting>
  <conditionalFormatting sqref="B546">
    <cfRule type="cellIs" dxfId="3403" priority="5893" operator="greaterThan">
      <formula>350</formula>
    </cfRule>
    <cfRule type="cellIs" dxfId="3402" priority="5894" operator="between">
      <formula>250</formula>
      <formula>350</formula>
    </cfRule>
    <cfRule type="cellIs" dxfId="3401" priority="5895" operator="lessThan">
      <formula>250</formula>
    </cfRule>
  </conditionalFormatting>
  <conditionalFormatting sqref="B548">
    <cfRule type="cellIs" dxfId="3400" priority="4064" operator="lessThan">
      <formula>0.8</formula>
    </cfRule>
    <cfRule type="cellIs" dxfId="3399" priority="4065" operator="between">
      <formula>0.8</formula>
      <formula>0.99999</formula>
    </cfRule>
    <cfRule type="cellIs" dxfId="3398" priority="4066" operator="between">
      <formula>1</formula>
      <formula>1.3</formula>
    </cfRule>
    <cfRule type="cellIs" dxfId="3397" priority="4067" operator="between">
      <formula>1.3</formula>
      <formula>1.5</formula>
    </cfRule>
    <cfRule type="cellIs" dxfId="3396" priority="4068" operator="greaterThan">
      <formula>1.5</formula>
    </cfRule>
  </conditionalFormatting>
  <conditionalFormatting sqref="B551">
    <cfRule type="cellIs" dxfId="3395" priority="5901" operator="greaterThan">
      <formula>50</formula>
    </cfRule>
    <cfRule type="cellIs" dxfId="3394" priority="5902" operator="between">
      <formula>35</formula>
      <formula>50</formula>
    </cfRule>
    <cfRule type="cellIs" dxfId="3393" priority="5903" operator="lessThan">
      <formula>35</formula>
    </cfRule>
  </conditionalFormatting>
  <conditionalFormatting sqref="B553">
    <cfRule type="cellIs" dxfId="3392" priority="5904" operator="greaterThan">
      <formula>350</formula>
    </cfRule>
    <cfRule type="cellIs" dxfId="3391" priority="5905" operator="between">
      <formula>250</formula>
      <formula>350</formula>
    </cfRule>
    <cfRule type="cellIs" dxfId="3390" priority="5906" operator="lessThan">
      <formula>250</formula>
    </cfRule>
  </conditionalFormatting>
  <conditionalFormatting sqref="B555">
    <cfRule type="cellIs" dxfId="3389" priority="4059" operator="lessThan">
      <formula>0.8</formula>
    </cfRule>
    <cfRule type="cellIs" dxfId="3388" priority="4060" operator="between">
      <formula>0.8</formula>
      <formula>0.99999</formula>
    </cfRule>
    <cfRule type="cellIs" dxfId="3387" priority="4061" operator="between">
      <formula>1</formula>
      <formula>1.3</formula>
    </cfRule>
    <cfRule type="cellIs" dxfId="3386" priority="4062" operator="between">
      <formula>1.3</formula>
      <formula>1.5</formula>
    </cfRule>
    <cfRule type="cellIs" dxfId="3385" priority="4063" operator="greaterThan">
      <formula>1.5</formula>
    </cfRule>
  </conditionalFormatting>
  <conditionalFormatting sqref="B558">
    <cfRule type="cellIs" dxfId="3384" priority="5912" operator="greaterThan">
      <formula>50</formula>
    </cfRule>
    <cfRule type="cellIs" dxfId="3383" priority="5913" operator="between">
      <formula>35</formula>
      <formula>50</formula>
    </cfRule>
    <cfRule type="cellIs" dxfId="3382" priority="5914" operator="lessThan">
      <formula>35</formula>
    </cfRule>
  </conditionalFormatting>
  <conditionalFormatting sqref="B560">
    <cfRule type="cellIs" dxfId="3381" priority="5915" operator="greaterThan">
      <formula>350</formula>
    </cfRule>
    <cfRule type="cellIs" dxfId="3380" priority="5916" operator="between">
      <formula>250</formula>
      <formula>350</formula>
    </cfRule>
    <cfRule type="cellIs" dxfId="3379" priority="5917" operator="lessThan">
      <formula>250</formula>
    </cfRule>
  </conditionalFormatting>
  <conditionalFormatting sqref="B562">
    <cfRule type="cellIs" dxfId="3378" priority="4054" operator="lessThan">
      <formula>0.8</formula>
    </cfRule>
    <cfRule type="cellIs" dxfId="3377" priority="4055" operator="between">
      <formula>0.8</formula>
      <formula>0.99999</formula>
    </cfRule>
    <cfRule type="cellIs" dxfId="3376" priority="4056" operator="between">
      <formula>1</formula>
      <formula>1.3</formula>
    </cfRule>
    <cfRule type="cellIs" dxfId="3375" priority="4057" operator="between">
      <formula>1.3</formula>
      <formula>1.5</formula>
    </cfRule>
    <cfRule type="cellIs" dxfId="3374" priority="4058" operator="greaterThan">
      <formula>1.5</formula>
    </cfRule>
  </conditionalFormatting>
  <conditionalFormatting sqref="B565">
    <cfRule type="cellIs" dxfId="3373" priority="5923" operator="greaterThan">
      <formula>50</formula>
    </cfRule>
    <cfRule type="cellIs" dxfId="3372" priority="5924" operator="between">
      <formula>35</formula>
      <formula>50</formula>
    </cfRule>
    <cfRule type="cellIs" dxfId="3371" priority="5925" operator="lessThan">
      <formula>35</formula>
    </cfRule>
  </conditionalFormatting>
  <conditionalFormatting sqref="B567">
    <cfRule type="cellIs" dxfId="3370" priority="5926" operator="greaterThan">
      <formula>350</formula>
    </cfRule>
    <cfRule type="cellIs" dxfId="3369" priority="5927" operator="between">
      <formula>250</formula>
      <formula>350</formula>
    </cfRule>
    <cfRule type="cellIs" dxfId="3368" priority="5928" operator="lessThan">
      <formula>250</formula>
    </cfRule>
  </conditionalFormatting>
  <conditionalFormatting sqref="B569">
    <cfRule type="cellIs" dxfId="3367" priority="4049" operator="lessThan">
      <formula>0.8</formula>
    </cfRule>
    <cfRule type="cellIs" dxfId="3366" priority="4050" operator="between">
      <formula>0.8</formula>
      <formula>0.99999</formula>
    </cfRule>
    <cfRule type="cellIs" dxfId="3365" priority="4051" operator="between">
      <formula>1</formula>
      <formula>1.3</formula>
    </cfRule>
    <cfRule type="cellIs" dxfId="3364" priority="4052" operator="between">
      <formula>1.3</formula>
      <formula>1.5</formula>
    </cfRule>
    <cfRule type="cellIs" dxfId="3363" priority="4053" operator="greaterThan">
      <formula>1.5</formula>
    </cfRule>
  </conditionalFormatting>
  <conditionalFormatting sqref="B572">
    <cfRule type="cellIs" dxfId="3362" priority="5934" operator="greaterThan">
      <formula>50</formula>
    </cfRule>
    <cfRule type="cellIs" dxfId="3361" priority="5935" operator="between">
      <formula>35</formula>
      <formula>50</formula>
    </cfRule>
    <cfRule type="cellIs" dxfId="3360" priority="5936" operator="lessThan">
      <formula>35</formula>
    </cfRule>
  </conditionalFormatting>
  <conditionalFormatting sqref="B574">
    <cfRule type="cellIs" dxfId="3359" priority="5937" operator="greaterThan">
      <formula>350</formula>
    </cfRule>
    <cfRule type="cellIs" dxfId="3358" priority="5938" operator="between">
      <formula>250</formula>
      <formula>350</formula>
    </cfRule>
    <cfRule type="cellIs" dxfId="3357" priority="5939" operator="lessThan">
      <formula>250</formula>
    </cfRule>
  </conditionalFormatting>
  <conditionalFormatting sqref="B576">
    <cfRule type="cellIs" dxfId="3356" priority="4044" operator="lessThan">
      <formula>0.8</formula>
    </cfRule>
    <cfRule type="cellIs" dxfId="3355" priority="4045" operator="between">
      <formula>0.8</formula>
      <formula>0.99999</formula>
    </cfRule>
    <cfRule type="cellIs" dxfId="3354" priority="4046" operator="between">
      <formula>1</formula>
      <formula>1.3</formula>
    </cfRule>
    <cfRule type="cellIs" dxfId="3353" priority="4047" operator="between">
      <formula>1.3</formula>
      <formula>1.5</formula>
    </cfRule>
    <cfRule type="cellIs" dxfId="3352" priority="4048" operator="greaterThan">
      <formula>1.5</formula>
    </cfRule>
  </conditionalFormatting>
  <conditionalFormatting sqref="B579">
    <cfRule type="cellIs" dxfId="3351" priority="5945" operator="greaterThan">
      <formula>50</formula>
    </cfRule>
    <cfRule type="cellIs" dxfId="3350" priority="5946" operator="between">
      <formula>35</formula>
      <formula>50</formula>
    </cfRule>
    <cfRule type="cellIs" dxfId="3349" priority="5947" operator="lessThan">
      <formula>35</formula>
    </cfRule>
  </conditionalFormatting>
  <conditionalFormatting sqref="B581">
    <cfRule type="cellIs" dxfId="3348" priority="5948" operator="greaterThan">
      <formula>350</formula>
    </cfRule>
    <cfRule type="cellIs" dxfId="3347" priority="5949" operator="between">
      <formula>250</formula>
      <formula>350</formula>
    </cfRule>
    <cfRule type="cellIs" dxfId="3346" priority="5950" operator="lessThan">
      <formula>250</formula>
    </cfRule>
  </conditionalFormatting>
  <conditionalFormatting sqref="B583">
    <cfRule type="cellIs" dxfId="3345" priority="4039" operator="lessThan">
      <formula>0.8</formula>
    </cfRule>
    <cfRule type="cellIs" dxfId="3344" priority="4040" operator="between">
      <formula>0.8</formula>
      <formula>0.99999</formula>
    </cfRule>
    <cfRule type="cellIs" dxfId="3343" priority="4041" operator="between">
      <formula>1</formula>
      <formula>1.3</formula>
    </cfRule>
    <cfRule type="cellIs" dxfId="3342" priority="4042" operator="between">
      <formula>1.3</formula>
      <formula>1.5</formula>
    </cfRule>
    <cfRule type="cellIs" dxfId="3341" priority="4043" operator="greaterThan">
      <formula>1.5</formula>
    </cfRule>
  </conditionalFormatting>
  <conditionalFormatting sqref="B586">
    <cfRule type="cellIs" dxfId="3340" priority="5956" operator="greaterThan">
      <formula>50</formula>
    </cfRule>
    <cfRule type="cellIs" dxfId="3339" priority="5957" operator="between">
      <formula>35</formula>
      <formula>50</formula>
    </cfRule>
    <cfRule type="cellIs" dxfId="3338" priority="5958" operator="lessThan">
      <formula>35</formula>
    </cfRule>
  </conditionalFormatting>
  <conditionalFormatting sqref="B588">
    <cfRule type="cellIs" dxfId="3337" priority="5959" operator="greaterThan">
      <formula>350</formula>
    </cfRule>
    <cfRule type="cellIs" dxfId="3336" priority="5960" operator="between">
      <formula>250</formula>
      <formula>350</formula>
    </cfRule>
    <cfRule type="cellIs" dxfId="3335" priority="5961" operator="lessThan">
      <formula>250</formula>
    </cfRule>
  </conditionalFormatting>
  <conditionalFormatting sqref="B590">
    <cfRule type="cellIs" dxfId="3334" priority="4034" operator="lessThan">
      <formula>0.8</formula>
    </cfRule>
    <cfRule type="cellIs" dxfId="3333" priority="4035" operator="between">
      <formula>0.8</formula>
      <formula>0.99999</formula>
    </cfRule>
    <cfRule type="cellIs" dxfId="3332" priority="4036" operator="between">
      <formula>1</formula>
      <formula>1.3</formula>
    </cfRule>
    <cfRule type="cellIs" dxfId="3331" priority="4037" operator="between">
      <formula>1.3</formula>
      <formula>1.5</formula>
    </cfRule>
    <cfRule type="cellIs" dxfId="3330" priority="4038" operator="greaterThan">
      <formula>1.5</formula>
    </cfRule>
  </conditionalFormatting>
  <conditionalFormatting sqref="B593">
    <cfRule type="cellIs" dxfId="3329" priority="5967" operator="greaterThan">
      <formula>50</formula>
    </cfRule>
    <cfRule type="cellIs" dxfId="3328" priority="5968" operator="between">
      <formula>35</formula>
      <formula>50</formula>
    </cfRule>
    <cfRule type="cellIs" dxfId="3327" priority="5969" operator="lessThan">
      <formula>35</formula>
    </cfRule>
  </conditionalFormatting>
  <conditionalFormatting sqref="B595">
    <cfRule type="cellIs" dxfId="3326" priority="5970" operator="greaterThan">
      <formula>350</formula>
    </cfRule>
    <cfRule type="cellIs" dxfId="3325" priority="5971" operator="between">
      <formula>250</formula>
      <formula>350</formula>
    </cfRule>
    <cfRule type="cellIs" dxfId="3324" priority="5972" operator="lessThan">
      <formula>250</formula>
    </cfRule>
  </conditionalFormatting>
  <conditionalFormatting sqref="B597">
    <cfRule type="cellIs" dxfId="3323" priority="4029" operator="lessThan">
      <formula>0.8</formula>
    </cfRule>
    <cfRule type="cellIs" dxfId="3322" priority="4030" operator="between">
      <formula>0.8</formula>
      <formula>0.99999</formula>
    </cfRule>
    <cfRule type="cellIs" dxfId="3321" priority="4031" operator="between">
      <formula>1</formula>
      <formula>1.3</formula>
    </cfRule>
    <cfRule type="cellIs" dxfId="3320" priority="4032" operator="between">
      <formula>1.3</formula>
      <formula>1.5</formula>
    </cfRule>
    <cfRule type="cellIs" dxfId="3319" priority="4033" operator="greaterThan">
      <formula>1.5</formula>
    </cfRule>
  </conditionalFormatting>
  <conditionalFormatting sqref="B600">
    <cfRule type="cellIs" dxfId="3318" priority="5978" operator="greaterThan">
      <formula>50</formula>
    </cfRule>
    <cfRule type="cellIs" dxfId="3317" priority="5979" operator="between">
      <formula>35</formula>
      <formula>50</formula>
    </cfRule>
    <cfRule type="cellIs" dxfId="3316" priority="5980" operator="lessThan">
      <formula>35</formula>
    </cfRule>
  </conditionalFormatting>
  <conditionalFormatting sqref="B602">
    <cfRule type="cellIs" dxfId="3315" priority="5981" operator="greaterThan">
      <formula>350</formula>
    </cfRule>
    <cfRule type="cellIs" dxfId="3314" priority="5982" operator="between">
      <formula>250</formula>
      <formula>350</formula>
    </cfRule>
    <cfRule type="cellIs" dxfId="3313" priority="5983" operator="lessThan">
      <formula>250</formula>
    </cfRule>
  </conditionalFormatting>
  <conditionalFormatting sqref="B604">
    <cfRule type="cellIs" dxfId="3312" priority="3697" operator="lessThan">
      <formula>0.8</formula>
    </cfRule>
    <cfRule type="cellIs" dxfId="3311" priority="3698" operator="between">
      <formula>0.8</formula>
      <formula>0.99999</formula>
    </cfRule>
    <cfRule type="cellIs" dxfId="3310" priority="3699" operator="between">
      <formula>1</formula>
      <formula>1.3</formula>
    </cfRule>
    <cfRule type="cellIs" dxfId="3309" priority="3700" operator="between">
      <formula>1.3</formula>
      <formula>1.5</formula>
    </cfRule>
    <cfRule type="cellIs" dxfId="3308" priority="3701" operator="greaterThan">
      <formula>1.5</formula>
    </cfRule>
  </conditionalFormatting>
  <conditionalFormatting sqref="B607">
    <cfRule type="cellIs" dxfId="3307" priority="5989" operator="greaterThan">
      <formula>50</formula>
    </cfRule>
    <cfRule type="cellIs" dxfId="3306" priority="5990" operator="between">
      <formula>35</formula>
      <formula>50</formula>
    </cfRule>
    <cfRule type="cellIs" dxfId="3305" priority="5991" operator="lessThan">
      <formula>35</formula>
    </cfRule>
  </conditionalFormatting>
  <conditionalFormatting sqref="B609">
    <cfRule type="cellIs" dxfId="3304" priority="5992" operator="greaterThan">
      <formula>350</formula>
    </cfRule>
    <cfRule type="cellIs" dxfId="3303" priority="5993" operator="between">
      <formula>250</formula>
      <formula>350</formula>
    </cfRule>
    <cfRule type="cellIs" dxfId="3302" priority="5994" operator="lessThan">
      <formula>250</formula>
    </cfRule>
  </conditionalFormatting>
  <conditionalFormatting sqref="B611">
    <cfRule type="cellIs" dxfId="3301" priority="3702" operator="lessThan">
      <formula>0.8</formula>
    </cfRule>
    <cfRule type="cellIs" dxfId="3300" priority="3703" operator="between">
      <formula>0.8</formula>
      <formula>0.99999</formula>
    </cfRule>
    <cfRule type="cellIs" dxfId="3299" priority="3704" operator="between">
      <formula>1</formula>
      <formula>1.3</formula>
    </cfRule>
    <cfRule type="cellIs" dxfId="3298" priority="3705" operator="between">
      <formula>1.3</formula>
      <formula>1.5</formula>
    </cfRule>
    <cfRule type="cellIs" dxfId="3297" priority="3706" operator="greaterThan">
      <formula>1.5</formula>
    </cfRule>
  </conditionalFormatting>
  <conditionalFormatting sqref="B614">
    <cfRule type="cellIs" dxfId="3296" priority="6000" operator="greaterThan">
      <formula>50</formula>
    </cfRule>
    <cfRule type="cellIs" dxfId="3295" priority="6001" operator="between">
      <formula>35</formula>
      <formula>50</formula>
    </cfRule>
    <cfRule type="cellIs" dxfId="3294" priority="6002" operator="lessThan">
      <formula>35</formula>
    </cfRule>
  </conditionalFormatting>
  <conditionalFormatting sqref="B616">
    <cfRule type="cellIs" dxfId="3293" priority="6003" operator="greaterThan">
      <formula>350</formula>
    </cfRule>
    <cfRule type="cellIs" dxfId="3292" priority="6004" operator="between">
      <formula>250</formula>
      <formula>350</formula>
    </cfRule>
    <cfRule type="cellIs" dxfId="3291" priority="6005" operator="lessThan">
      <formula>250</formula>
    </cfRule>
  </conditionalFormatting>
  <conditionalFormatting sqref="B618">
    <cfRule type="cellIs" dxfId="3290" priority="4014" operator="lessThan">
      <formula>0.8</formula>
    </cfRule>
    <cfRule type="cellIs" dxfId="3289" priority="4015" operator="between">
      <formula>0.8</formula>
      <formula>0.99999</formula>
    </cfRule>
    <cfRule type="cellIs" dxfId="3288" priority="4016" operator="between">
      <formula>1</formula>
      <formula>1.3</formula>
    </cfRule>
    <cfRule type="cellIs" dxfId="3287" priority="4017" operator="between">
      <formula>1.3</formula>
      <formula>1.5</formula>
    </cfRule>
    <cfRule type="cellIs" dxfId="3286" priority="4018" operator="greaterThan">
      <formula>1.5</formula>
    </cfRule>
  </conditionalFormatting>
  <conditionalFormatting sqref="B621">
    <cfRule type="cellIs" dxfId="3285" priority="6011" operator="greaterThan">
      <formula>50</formula>
    </cfRule>
    <cfRule type="cellIs" dxfId="3284" priority="6012" operator="between">
      <formula>35</formula>
      <formula>50</formula>
    </cfRule>
    <cfRule type="cellIs" dxfId="3283" priority="6013" operator="lessThan">
      <formula>35</formula>
    </cfRule>
  </conditionalFormatting>
  <conditionalFormatting sqref="B623">
    <cfRule type="cellIs" dxfId="3282" priority="6014" operator="greaterThan">
      <formula>350</formula>
    </cfRule>
    <cfRule type="cellIs" dxfId="3281" priority="6015" operator="between">
      <formula>250</formula>
      <formula>350</formula>
    </cfRule>
    <cfRule type="cellIs" dxfId="3280" priority="6016" operator="lessThan">
      <formula>250</formula>
    </cfRule>
  </conditionalFormatting>
  <conditionalFormatting sqref="B625">
    <cfRule type="cellIs" dxfId="3279" priority="4009" operator="lessThan">
      <formula>0.8</formula>
    </cfRule>
    <cfRule type="cellIs" dxfId="3278" priority="4010" operator="between">
      <formula>0.8</formula>
      <formula>0.99999</formula>
    </cfRule>
    <cfRule type="cellIs" dxfId="3277" priority="4011" operator="between">
      <formula>1</formula>
      <formula>1.3</formula>
    </cfRule>
    <cfRule type="cellIs" dxfId="3276" priority="4012" operator="between">
      <formula>1.3</formula>
      <formula>1.5</formula>
    </cfRule>
    <cfRule type="cellIs" dxfId="3275" priority="4013" operator="greaterThan">
      <formula>1.5</formula>
    </cfRule>
  </conditionalFormatting>
  <conditionalFormatting sqref="B628">
    <cfRule type="cellIs" dxfId="3274" priority="6022" operator="greaterThan">
      <formula>50</formula>
    </cfRule>
    <cfRule type="cellIs" dxfId="3273" priority="6023" operator="between">
      <formula>35</formula>
      <formula>50</formula>
    </cfRule>
    <cfRule type="cellIs" dxfId="3272" priority="6024" operator="lessThan">
      <formula>35</formula>
    </cfRule>
  </conditionalFormatting>
  <conditionalFormatting sqref="B630">
    <cfRule type="cellIs" dxfId="3271" priority="6025" operator="greaterThan">
      <formula>350</formula>
    </cfRule>
    <cfRule type="cellIs" dxfId="3270" priority="6026" operator="between">
      <formula>250</formula>
      <formula>350</formula>
    </cfRule>
    <cfRule type="cellIs" dxfId="3269" priority="6027" operator="lessThan">
      <formula>250</formula>
    </cfRule>
  </conditionalFormatting>
  <conditionalFormatting sqref="B632">
    <cfRule type="cellIs" dxfId="3268" priority="4004" operator="lessThan">
      <formula>0.8</formula>
    </cfRule>
    <cfRule type="cellIs" dxfId="3267" priority="4005" operator="between">
      <formula>0.8</formula>
      <formula>0.99999</formula>
    </cfRule>
    <cfRule type="cellIs" dxfId="3266" priority="4006" operator="between">
      <formula>1</formula>
      <formula>1.3</formula>
    </cfRule>
    <cfRule type="cellIs" dxfId="3265" priority="4007" operator="between">
      <formula>1.3</formula>
      <formula>1.5</formula>
    </cfRule>
    <cfRule type="cellIs" dxfId="3264" priority="4008" operator="greaterThan">
      <formula>1.5</formula>
    </cfRule>
  </conditionalFormatting>
  <conditionalFormatting sqref="B635">
    <cfRule type="cellIs" dxfId="3263" priority="6033" operator="greaterThan">
      <formula>50</formula>
    </cfRule>
    <cfRule type="cellIs" dxfId="3262" priority="6034" operator="between">
      <formula>35</formula>
      <formula>50</formula>
    </cfRule>
    <cfRule type="cellIs" dxfId="3261" priority="6035" operator="lessThan">
      <formula>35</formula>
    </cfRule>
  </conditionalFormatting>
  <conditionalFormatting sqref="B637">
    <cfRule type="cellIs" dxfId="3260" priority="6036" operator="greaterThan">
      <formula>350</formula>
    </cfRule>
    <cfRule type="cellIs" dxfId="3259" priority="6037" operator="between">
      <formula>250</formula>
      <formula>350</formula>
    </cfRule>
    <cfRule type="cellIs" dxfId="3258" priority="6038" operator="lessThan">
      <formula>250</formula>
    </cfRule>
  </conditionalFormatting>
  <conditionalFormatting sqref="B639">
    <cfRule type="cellIs" dxfId="3257" priority="3999" operator="lessThan">
      <formula>0.8</formula>
    </cfRule>
    <cfRule type="cellIs" dxfId="3256" priority="4000" operator="between">
      <formula>0.8</formula>
      <formula>0.99999</formula>
    </cfRule>
    <cfRule type="cellIs" dxfId="3255" priority="4001" operator="between">
      <formula>1</formula>
      <formula>1.3</formula>
    </cfRule>
    <cfRule type="cellIs" dxfId="3254" priority="4002" operator="between">
      <formula>1.3</formula>
      <formula>1.5</formula>
    </cfRule>
    <cfRule type="cellIs" dxfId="3253" priority="4003" operator="greaterThan">
      <formula>1.5</formula>
    </cfRule>
  </conditionalFormatting>
  <conditionalFormatting sqref="B642">
    <cfRule type="cellIs" dxfId="3252" priority="6044" operator="greaterThan">
      <formula>50</formula>
    </cfRule>
    <cfRule type="cellIs" dxfId="3251" priority="6045" operator="between">
      <formula>35</formula>
      <formula>50</formula>
    </cfRule>
    <cfRule type="cellIs" dxfId="3250" priority="6046" operator="lessThan">
      <formula>35</formula>
    </cfRule>
  </conditionalFormatting>
  <conditionalFormatting sqref="B644">
    <cfRule type="cellIs" dxfId="3249" priority="6047" operator="greaterThan">
      <formula>350</formula>
    </cfRule>
    <cfRule type="cellIs" dxfId="3248" priority="6048" operator="between">
      <formula>250</formula>
      <formula>350</formula>
    </cfRule>
    <cfRule type="cellIs" dxfId="3247" priority="6049" operator="lessThan">
      <formula>250</formula>
    </cfRule>
  </conditionalFormatting>
  <conditionalFormatting sqref="B646">
    <cfRule type="cellIs" dxfId="3246" priority="3994" operator="lessThan">
      <formula>0.8</formula>
    </cfRule>
    <cfRule type="cellIs" dxfId="3245" priority="3995" operator="between">
      <formula>0.8</formula>
      <formula>0.99999</formula>
    </cfRule>
    <cfRule type="cellIs" dxfId="3244" priority="3996" operator="between">
      <formula>1</formula>
      <formula>1.3</formula>
    </cfRule>
    <cfRule type="cellIs" dxfId="3243" priority="3997" operator="between">
      <formula>1.3</formula>
      <formula>1.5</formula>
    </cfRule>
    <cfRule type="cellIs" dxfId="3242" priority="3998" operator="greaterThan">
      <formula>1.5</formula>
    </cfRule>
  </conditionalFormatting>
  <conditionalFormatting sqref="B649">
    <cfRule type="cellIs" dxfId="3241" priority="6066" operator="greaterThan">
      <formula>50</formula>
    </cfRule>
    <cfRule type="cellIs" dxfId="3240" priority="6067" operator="between">
      <formula>35</formula>
      <formula>50</formula>
    </cfRule>
    <cfRule type="cellIs" dxfId="3239" priority="6068" operator="lessThan">
      <formula>35</formula>
    </cfRule>
  </conditionalFormatting>
  <conditionalFormatting sqref="B651">
    <cfRule type="cellIs" dxfId="3238" priority="6069" operator="greaterThan">
      <formula>350</formula>
    </cfRule>
    <cfRule type="cellIs" dxfId="3237" priority="6070" operator="between">
      <formula>250</formula>
      <formula>350</formula>
    </cfRule>
    <cfRule type="cellIs" dxfId="3236" priority="6071" operator="lessThan">
      <formula>250</formula>
    </cfRule>
  </conditionalFormatting>
  <conditionalFormatting sqref="B653">
    <cfRule type="cellIs" dxfId="3235" priority="3989" operator="lessThan">
      <formula>0.8</formula>
    </cfRule>
    <cfRule type="cellIs" dxfId="3234" priority="3990" operator="between">
      <formula>0.8</formula>
      <formula>0.99999</formula>
    </cfRule>
    <cfRule type="cellIs" dxfId="3233" priority="3991" operator="between">
      <formula>1</formula>
      <formula>1.3</formula>
    </cfRule>
    <cfRule type="cellIs" dxfId="3232" priority="3992" operator="between">
      <formula>1.3</formula>
      <formula>1.5</formula>
    </cfRule>
    <cfRule type="cellIs" dxfId="3231" priority="3993" operator="greaterThan">
      <formula>1.5</formula>
    </cfRule>
  </conditionalFormatting>
  <conditionalFormatting sqref="B656">
    <cfRule type="cellIs" dxfId="3230" priority="6319" operator="greaterThan">
      <formula>50</formula>
    </cfRule>
    <cfRule type="cellIs" dxfId="3229" priority="6320" operator="between">
      <formula>35</formula>
      <formula>50</formula>
    </cfRule>
    <cfRule type="cellIs" dxfId="3228" priority="6321" operator="lessThan">
      <formula>35</formula>
    </cfRule>
  </conditionalFormatting>
  <conditionalFormatting sqref="B658">
    <cfRule type="cellIs" dxfId="3227" priority="6340" operator="greaterThan">
      <formula>350</formula>
    </cfRule>
    <cfRule type="cellIs" dxfId="3226" priority="6341" operator="between">
      <formula>250</formula>
      <formula>350</formula>
    </cfRule>
    <cfRule type="cellIs" dxfId="3225" priority="6342" operator="lessThan">
      <formula>250</formula>
    </cfRule>
  </conditionalFormatting>
  <conditionalFormatting sqref="B660">
    <cfRule type="cellIs" dxfId="3224" priority="3984" operator="lessThan">
      <formula>0.8</formula>
    </cfRule>
    <cfRule type="cellIs" dxfId="3223" priority="3985" operator="between">
      <formula>0.8</formula>
      <formula>0.99999</formula>
    </cfRule>
    <cfRule type="cellIs" dxfId="3222" priority="3986" operator="between">
      <formula>1</formula>
      <formula>1.3</formula>
    </cfRule>
    <cfRule type="cellIs" dxfId="3221" priority="3987" operator="between">
      <formula>1.3</formula>
      <formula>1.5</formula>
    </cfRule>
    <cfRule type="cellIs" dxfId="3220" priority="3988" operator="greaterThan">
      <formula>1.5</formula>
    </cfRule>
  </conditionalFormatting>
  <conditionalFormatting sqref="B663">
    <cfRule type="cellIs" dxfId="3219" priority="6176" operator="greaterThan">
      <formula>50</formula>
    </cfRule>
    <cfRule type="cellIs" dxfId="3218" priority="6177" operator="between">
      <formula>35</formula>
      <formula>50</formula>
    </cfRule>
    <cfRule type="cellIs" dxfId="3217" priority="6178" operator="lessThan">
      <formula>35</formula>
    </cfRule>
  </conditionalFormatting>
  <conditionalFormatting sqref="B665">
    <cfRule type="cellIs" dxfId="3216" priority="6179" operator="greaterThan">
      <formula>350</formula>
    </cfRule>
    <cfRule type="cellIs" dxfId="3215" priority="6180" operator="between">
      <formula>250</formula>
      <formula>350</formula>
    </cfRule>
    <cfRule type="cellIs" dxfId="3214" priority="6181" operator="lessThan">
      <formula>250</formula>
    </cfRule>
  </conditionalFormatting>
  <conditionalFormatting sqref="B667">
    <cfRule type="cellIs" dxfId="3213" priority="3979" operator="lessThan">
      <formula>0.8</formula>
    </cfRule>
    <cfRule type="cellIs" dxfId="3212" priority="3980" operator="between">
      <formula>0.8</formula>
      <formula>0.99999</formula>
    </cfRule>
    <cfRule type="cellIs" dxfId="3211" priority="3981" operator="between">
      <formula>1</formula>
      <formula>1.3</formula>
    </cfRule>
    <cfRule type="cellIs" dxfId="3210" priority="3982" operator="between">
      <formula>1.3</formula>
      <formula>1.5</formula>
    </cfRule>
    <cfRule type="cellIs" dxfId="3209" priority="3983" operator="greaterThan">
      <formula>1.5</formula>
    </cfRule>
  </conditionalFormatting>
  <conditionalFormatting sqref="B670">
    <cfRule type="cellIs" dxfId="3208" priority="6165" operator="greaterThan">
      <formula>50</formula>
    </cfRule>
    <cfRule type="cellIs" dxfId="3207" priority="6166" operator="between">
      <formula>35</formula>
      <formula>50</formula>
    </cfRule>
    <cfRule type="cellIs" dxfId="3206" priority="6167" operator="lessThan">
      <formula>35</formula>
    </cfRule>
  </conditionalFormatting>
  <conditionalFormatting sqref="B672">
    <cfRule type="cellIs" dxfId="3205" priority="6168" operator="greaterThan">
      <formula>350</formula>
    </cfRule>
    <cfRule type="cellIs" dxfId="3204" priority="6169" operator="between">
      <formula>250</formula>
      <formula>350</formula>
    </cfRule>
    <cfRule type="cellIs" dxfId="3203" priority="6170" operator="lessThan">
      <formula>250</formula>
    </cfRule>
  </conditionalFormatting>
  <conditionalFormatting sqref="B674">
    <cfRule type="cellIs" dxfId="3202" priority="3974" operator="lessThan">
      <formula>0.8</formula>
    </cfRule>
    <cfRule type="cellIs" dxfId="3201" priority="3975" operator="between">
      <formula>0.8</formula>
      <formula>0.99999</formula>
    </cfRule>
    <cfRule type="cellIs" dxfId="3200" priority="3976" operator="between">
      <formula>1</formula>
      <formula>1.3</formula>
    </cfRule>
    <cfRule type="cellIs" dxfId="3199" priority="3977" operator="between">
      <formula>1.3</formula>
      <formula>1.5</formula>
    </cfRule>
    <cfRule type="cellIs" dxfId="3198" priority="3978" operator="greaterThan">
      <formula>1.5</formula>
    </cfRule>
  </conditionalFormatting>
  <conditionalFormatting sqref="B677">
    <cfRule type="cellIs" dxfId="3197" priority="6154" operator="greaterThan">
      <formula>50</formula>
    </cfRule>
    <cfRule type="cellIs" dxfId="3196" priority="6155" operator="between">
      <formula>35</formula>
      <formula>50</formula>
    </cfRule>
    <cfRule type="cellIs" dxfId="3195" priority="6156" operator="lessThan">
      <formula>35</formula>
    </cfRule>
  </conditionalFormatting>
  <conditionalFormatting sqref="B679">
    <cfRule type="cellIs" dxfId="3194" priority="6157" operator="greaterThan">
      <formula>350</formula>
    </cfRule>
    <cfRule type="cellIs" dxfId="3193" priority="6158" operator="between">
      <formula>250</formula>
      <formula>350</formula>
    </cfRule>
    <cfRule type="cellIs" dxfId="3192" priority="6159" operator="lessThan">
      <formula>250</formula>
    </cfRule>
  </conditionalFormatting>
  <conditionalFormatting sqref="B681">
    <cfRule type="cellIs" dxfId="3191" priority="3969" operator="lessThan">
      <formula>0.8</formula>
    </cfRule>
    <cfRule type="cellIs" dxfId="3190" priority="3970" operator="between">
      <formula>0.8</formula>
      <formula>0.99999</formula>
    </cfRule>
    <cfRule type="cellIs" dxfId="3189" priority="3971" operator="between">
      <formula>1</formula>
      <formula>1.3</formula>
    </cfRule>
    <cfRule type="cellIs" dxfId="3188" priority="3972" operator="between">
      <formula>1.3</formula>
      <formula>1.5</formula>
    </cfRule>
    <cfRule type="cellIs" dxfId="3187" priority="3973" operator="greaterThan">
      <formula>1.5</formula>
    </cfRule>
  </conditionalFormatting>
  <conditionalFormatting sqref="B684">
    <cfRule type="cellIs" dxfId="3186" priority="6143" operator="greaterThan">
      <formula>50</formula>
    </cfRule>
    <cfRule type="cellIs" dxfId="3185" priority="6144" operator="between">
      <formula>35</formula>
      <formula>50</formula>
    </cfRule>
    <cfRule type="cellIs" dxfId="3184" priority="6145" operator="lessThan">
      <formula>35</formula>
    </cfRule>
  </conditionalFormatting>
  <conditionalFormatting sqref="B686">
    <cfRule type="cellIs" dxfId="3183" priority="6146" operator="greaterThan">
      <formula>350</formula>
    </cfRule>
    <cfRule type="cellIs" dxfId="3182" priority="6147" operator="between">
      <formula>250</formula>
      <formula>350</formula>
    </cfRule>
    <cfRule type="cellIs" dxfId="3181" priority="6148" operator="lessThan">
      <formula>250</formula>
    </cfRule>
  </conditionalFormatting>
  <conditionalFormatting sqref="B688">
    <cfRule type="cellIs" dxfId="3180" priority="3964" operator="lessThan">
      <formula>0.8</formula>
    </cfRule>
    <cfRule type="cellIs" dxfId="3179" priority="3965" operator="between">
      <formula>0.8</formula>
      <formula>0.99999</formula>
    </cfRule>
    <cfRule type="cellIs" dxfId="3178" priority="3966" operator="between">
      <formula>1</formula>
      <formula>1.3</formula>
    </cfRule>
    <cfRule type="cellIs" dxfId="3177" priority="3967" operator="between">
      <formula>1.3</formula>
      <formula>1.5</formula>
    </cfRule>
    <cfRule type="cellIs" dxfId="3176" priority="3968" operator="greaterThan">
      <formula>1.5</formula>
    </cfRule>
  </conditionalFormatting>
  <conditionalFormatting sqref="B691">
    <cfRule type="cellIs" dxfId="3175" priority="6132" operator="greaterThan">
      <formula>50</formula>
    </cfRule>
    <cfRule type="cellIs" dxfId="3174" priority="6133" operator="between">
      <formula>35</formula>
      <formula>50</formula>
    </cfRule>
    <cfRule type="cellIs" dxfId="3173" priority="6134" operator="lessThan">
      <formula>35</formula>
    </cfRule>
  </conditionalFormatting>
  <conditionalFormatting sqref="B693">
    <cfRule type="cellIs" dxfId="3172" priority="6135" operator="greaterThan">
      <formula>350</formula>
    </cfRule>
    <cfRule type="cellIs" dxfId="3171" priority="6136" operator="between">
      <formula>250</formula>
      <formula>350</formula>
    </cfRule>
    <cfRule type="cellIs" dxfId="3170" priority="6137" operator="lessThan">
      <formula>250</formula>
    </cfRule>
  </conditionalFormatting>
  <conditionalFormatting sqref="B695">
    <cfRule type="cellIs" dxfId="3169" priority="3959" operator="lessThan">
      <formula>0.8</formula>
    </cfRule>
    <cfRule type="cellIs" dxfId="3168" priority="3960" operator="between">
      <formula>0.8</formula>
      <formula>0.99999</formula>
    </cfRule>
    <cfRule type="cellIs" dxfId="3167" priority="3961" operator="between">
      <formula>1</formula>
      <formula>1.3</formula>
    </cfRule>
    <cfRule type="cellIs" dxfId="3166" priority="3962" operator="between">
      <formula>1.3</formula>
      <formula>1.5</formula>
    </cfRule>
    <cfRule type="cellIs" dxfId="3165" priority="3963" operator="greaterThan">
      <formula>1.5</formula>
    </cfRule>
  </conditionalFormatting>
  <conditionalFormatting sqref="B698">
    <cfRule type="cellIs" dxfId="3164" priority="6121" operator="greaterThan">
      <formula>50</formula>
    </cfRule>
    <cfRule type="cellIs" dxfId="3163" priority="6122" operator="between">
      <formula>35</formula>
      <formula>50</formula>
    </cfRule>
    <cfRule type="cellIs" dxfId="3162" priority="6123" operator="lessThan">
      <formula>35</formula>
    </cfRule>
  </conditionalFormatting>
  <conditionalFormatting sqref="B700">
    <cfRule type="cellIs" dxfId="3161" priority="6124" operator="greaterThan">
      <formula>350</formula>
    </cfRule>
    <cfRule type="cellIs" dxfId="3160" priority="6125" operator="between">
      <formula>250</formula>
      <formula>350</formula>
    </cfRule>
    <cfRule type="cellIs" dxfId="3159" priority="6126" operator="lessThan">
      <formula>250</formula>
    </cfRule>
  </conditionalFormatting>
  <conditionalFormatting sqref="B702">
    <cfRule type="cellIs" dxfId="3158" priority="3954" operator="lessThan">
      <formula>0.8</formula>
    </cfRule>
    <cfRule type="cellIs" dxfId="3157" priority="3955" operator="between">
      <formula>0.8</formula>
      <formula>0.99999</formula>
    </cfRule>
    <cfRule type="cellIs" dxfId="3156" priority="3956" operator="between">
      <formula>1</formula>
      <formula>1.3</formula>
    </cfRule>
    <cfRule type="cellIs" dxfId="3155" priority="3957" operator="between">
      <formula>1.3</formula>
      <formula>1.5</formula>
    </cfRule>
    <cfRule type="cellIs" dxfId="3154" priority="3958" operator="greaterThan">
      <formula>1.5</formula>
    </cfRule>
  </conditionalFormatting>
  <conditionalFormatting sqref="B705">
    <cfRule type="cellIs" dxfId="3153" priority="6110" operator="greaterThan">
      <formula>50</formula>
    </cfRule>
    <cfRule type="cellIs" dxfId="3152" priority="6111" operator="between">
      <formula>35</formula>
      <formula>50</formula>
    </cfRule>
    <cfRule type="cellIs" dxfId="3151" priority="6112" operator="lessThan">
      <formula>35</formula>
    </cfRule>
  </conditionalFormatting>
  <conditionalFormatting sqref="B707">
    <cfRule type="cellIs" dxfId="3150" priority="6113" operator="greaterThan">
      <formula>350</formula>
    </cfRule>
    <cfRule type="cellIs" dxfId="3149" priority="6114" operator="between">
      <formula>250</formula>
      <formula>350</formula>
    </cfRule>
    <cfRule type="cellIs" dxfId="3148" priority="6115" operator="lessThan">
      <formula>250</formula>
    </cfRule>
  </conditionalFormatting>
  <conditionalFormatting sqref="B709">
    <cfRule type="cellIs" dxfId="3147" priority="3949" operator="lessThan">
      <formula>0.8</formula>
    </cfRule>
    <cfRule type="cellIs" dxfId="3146" priority="3950" operator="between">
      <formula>0.8</formula>
      <formula>0.99999</formula>
    </cfRule>
    <cfRule type="cellIs" dxfId="3145" priority="3951" operator="between">
      <formula>1</formula>
      <formula>1.3</formula>
    </cfRule>
    <cfRule type="cellIs" dxfId="3144" priority="3952" operator="between">
      <formula>1.3</formula>
      <formula>1.5</formula>
    </cfRule>
    <cfRule type="cellIs" dxfId="3143" priority="3953" operator="greaterThan">
      <formula>1.5</formula>
    </cfRule>
  </conditionalFormatting>
  <conditionalFormatting sqref="B712">
    <cfRule type="cellIs" dxfId="3142" priority="6099" operator="greaterThan">
      <formula>50</formula>
    </cfRule>
    <cfRule type="cellIs" dxfId="3141" priority="6100" operator="between">
      <formula>35</formula>
      <formula>50</formula>
    </cfRule>
    <cfRule type="cellIs" dxfId="3140" priority="6101" operator="lessThan">
      <formula>35</formula>
    </cfRule>
  </conditionalFormatting>
  <conditionalFormatting sqref="B714">
    <cfRule type="cellIs" dxfId="3139" priority="6102" operator="greaterThan">
      <formula>350</formula>
    </cfRule>
    <cfRule type="cellIs" dxfId="3138" priority="6103" operator="between">
      <formula>250</formula>
      <formula>350</formula>
    </cfRule>
    <cfRule type="cellIs" dxfId="3137" priority="6104" operator="lessThan">
      <formula>250</formula>
    </cfRule>
  </conditionalFormatting>
  <conditionalFormatting sqref="B716">
    <cfRule type="cellIs" dxfId="3136" priority="3944" operator="lessThan">
      <formula>0.8</formula>
    </cfRule>
    <cfRule type="cellIs" dxfId="3135" priority="3945" operator="between">
      <formula>0.8</formula>
      <formula>0.99999</formula>
    </cfRule>
    <cfRule type="cellIs" dxfId="3134" priority="3946" operator="between">
      <formula>1</formula>
      <formula>1.3</formula>
    </cfRule>
    <cfRule type="cellIs" dxfId="3133" priority="3947" operator="between">
      <formula>1.3</formula>
      <formula>1.5</formula>
    </cfRule>
    <cfRule type="cellIs" dxfId="3132" priority="3948" operator="greaterThan">
      <formula>1.5</formula>
    </cfRule>
  </conditionalFormatting>
  <conditionalFormatting sqref="B719">
    <cfRule type="cellIs" dxfId="3131" priority="6088" operator="greaterThan">
      <formula>50</formula>
    </cfRule>
    <cfRule type="cellIs" dxfId="3130" priority="6089" operator="between">
      <formula>35</formula>
      <formula>50</formula>
    </cfRule>
    <cfRule type="cellIs" dxfId="3129" priority="6090" operator="lessThan">
      <formula>35</formula>
    </cfRule>
  </conditionalFormatting>
  <conditionalFormatting sqref="B721">
    <cfRule type="cellIs" dxfId="3128" priority="6091" operator="greaterThan">
      <formula>350</formula>
    </cfRule>
    <cfRule type="cellIs" dxfId="3127" priority="6092" operator="between">
      <formula>250</formula>
      <formula>350</formula>
    </cfRule>
    <cfRule type="cellIs" dxfId="3126" priority="6093" operator="lessThan">
      <formula>250</formula>
    </cfRule>
  </conditionalFormatting>
  <conditionalFormatting sqref="B723">
    <cfRule type="cellIs" dxfId="3125" priority="3939" operator="lessThan">
      <formula>0.8</formula>
    </cfRule>
    <cfRule type="cellIs" dxfId="3124" priority="3940" operator="between">
      <formula>0.8</formula>
      <formula>0.99999</formula>
    </cfRule>
    <cfRule type="cellIs" dxfId="3123" priority="3941" operator="between">
      <formula>1</formula>
      <formula>1.3</formula>
    </cfRule>
    <cfRule type="cellIs" dxfId="3122" priority="3942" operator="between">
      <formula>1.3</formula>
      <formula>1.5</formula>
    </cfRule>
    <cfRule type="cellIs" dxfId="3121" priority="3943" operator="greaterThan">
      <formula>1.5</formula>
    </cfRule>
  </conditionalFormatting>
  <conditionalFormatting sqref="B726">
    <cfRule type="cellIs" dxfId="3120" priority="6077" operator="greaterThan">
      <formula>50</formula>
    </cfRule>
    <cfRule type="cellIs" dxfId="3119" priority="6078" operator="between">
      <formula>35</formula>
      <formula>50</formula>
    </cfRule>
    <cfRule type="cellIs" dxfId="3118" priority="6079" operator="lessThan">
      <formula>35</formula>
    </cfRule>
  </conditionalFormatting>
  <conditionalFormatting sqref="B728">
    <cfRule type="cellIs" dxfId="3117" priority="6080" operator="greaterThan">
      <formula>350</formula>
    </cfRule>
    <cfRule type="cellIs" dxfId="3116" priority="6081" operator="between">
      <formula>250</formula>
      <formula>350</formula>
    </cfRule>
    <cfRule type="cellIs" dxfId="3115" priority="6082" operator="lessThan">
      <formula>250</formula>
    </cfRule>
  </conditionalFormatting>
  <conditionalFormatting sqref="B730">
    <cfRule type="cellIs" dxfId="3114" priority="3934" operator="lessThan">
      <formula>0.8</formula>
    </cfRule>
    <cfRule type="cellIs" dxfId="3113" priority="3935" operator="between">
      <formula>0.8</formula>
      <formula>0.99999</formula>
    </cfRule>
    <cfRule type="cellIs" dxfId="3112" priority="3936" operator="between">
      <formula>1</formula>
      <formula>1.3</formula>
    </cfRule>
    <cfRule type="cellIs" dxfId="3111" priority="3937" operator="between">
      <formula>1.3</formula>
      <formula>1.5</formula>
    </cfRule>
    <cfRule type="cellIs" dxfId="3110" priority="3938" operator="greaterThan">
      <formula>1.5</formula>
    </cfRule>
  </conditionalFormatting>
  <conditionalFormatting sqref="B733">
    <cfRule type="cellIs" dxfId="3109" priority="6055" operator="greaterThan">
      <formula>50</formula>
    </cfRule>
    <cfRule type="cellIs" dxfId="3108" priority="6056" operator="between">
      <formula>35</formula>
      <formula>50</formula>
    </cfRule>
    <cfRule type="cellIs" dxfId="3107" priority="6057" operator="lessThan">
      <formula>35</formula>
    </cfRule>
  </conditionalFormatting>
  <conditionalFormatting sqref="B735">
    <cfRule type="cellIs" dxfId="3106" priority="6058" operator="greaterThan">
      <formula>350</formula>
    </cfRule>
    <cfRule type="cellIs" dxfId="3105" priority="6059" operator="between">
      <formula>250</formula>
      <formula>350</formula>
    </cfRule>
    <cfRule type="cellIs" dxfId="3104" priority="6060" operator="lessThan">
      <formula>250</formula>
    </cfRule>
  </conditionalFormatting>
  <conditionalFormatting sqref="B737">
    <cfRule type="cellIs" dxfId="3103" priority="3929" operator="lessThan">
      <formula>0.8</formula>
    </cfRule>
    <cfRule type="cellIs" dxfId="3102" priority="3930" operator="between">
      <formula>0.8</formula>
      <formula>0.99999</formula>
    </cfRule>
    <cfRule type="cellIs" dxfId="3101" priority="3931" operator="between">
      <formula>1</formula>
      <formula>1.3</formula>
    </cfRule>
    <cfRule type="cellIs" dxfId="3100" priority="3932" operator="between">
      <formula>1.3</formula>
      <formula>1.5</formula>
    </cfRule>
    <cfRule type="cellIs" dxfId="3099" priority="3933" operator="greaterThan">
      <formula>1.5</formula>
    </cfRule>
  </conditionalFormatting>
  <conditionalFormatting sqref="B740">
    <cfRule type="cellIs" dxfId="3098" priority="5032" operator="greaterThan">
      <formula>50</formula>
    </cfRule>
    <cfRule type="cellIs" dxfId="3097" priority="5033" operator="between">
      <formula>35</formula>
      <formula>50</formula>
    </cfRule>
    <cfRule type="cellIs" dxfId="3096" priority="5034" operator="lessThan">
      <formula>35</formula>
    </cfRule>
  </conditionalFormatting>
  <conditionalFormatting sqref="B742">
    <cfRule type="cellIs" dxfId="3095" priority="5035" operator="greaterThan">
      <formula>350</formula>
    </cfRule>
    <cfRule type="cellIs" dxfId="3094" priority="5036" operator="between">
      <formula>250</formula>
      <formula>350</formula>
    </cfRule>
    <cfRule type="cellIs" dxfId="3093" priority="5037" operator="lessThan">
      <formula>250</formula>
    </cfRule>
  </conditionalFormatting>
  <conditionalFormatting sqref="B744">
    <cfRule type="cellIs" dxfId="3092" priority="3924" operator="lessThan">
      <formula>0.8</formula>
    </cfRule>
    <cfRule type="cellIs" dxfId="3091" priority="3925" operator="between">
      <formula>0.8</formula>
      <formula>0.99999</formula>
    </cfRule>
    <cfRule type="cellIs" dxfId="3090" priority="3926" operator="between">
      <formula>1</formula>
      <formula>1.3</formula>
    </cfRule>
    <cfRule type="cellIs" dxfId="3089" priority="3927" operator="between">
      <formula>1.3</formula>
      <formula>1.5</formula>
    </cfRule>
    <cfRule type="cellIs" dxfId="3088" priority="3928" operator="greaterThan">
      <formula>1.5</formula>
    </cfRule>
  </conditionalFormatting>
  <conditionalFormatting sqref="B747">
    <cfRule type="cellIs" dxfId="3087" priority="5021" operator="greaterThan">
      <formula>50</formula>
    </cfRule>
    <cfRule type="cellIs" dxfId="3086" priority="5022" operator="between">
      <formula>35</formula>
      <formula>50</formula>
    </cfRule>
    <cfRule type="cellIs" dxfId="3085" priority="5023" operator="lessThan">
      <formula>35</formula>
    </cfRule>
  </conditionalFormatting>
  <conditionalFormatting sqref="B749">
    <cfRule type="cellIs" dxfId="3084" priority="5024" operator="greaterThan">
      <formula>350</formula>
    </cfRule>
    <cfRule type="cellIs" dxfId="3083" priority="5025" operator="between">
      <formula>250</formula>
      <formula>350</formula>
    </cfRule>
    <cfRule type="cellIs" dxfId="3082" priority="5026" operator="lessThan">
      <formula>250</formula>
    </cfRule>
  </conditionalFormatting>
  <conditionalFormatting sqref="B751">
    <cfRule type="cellIs" dxfId="3081" priority="3919" operator="lessThan">
      <formula>0.8</formula>
    </cfRule>
    <cfRule type="cellIs" dxfId="3080" priority="3920" operator="between">
      <formula>0.8</formula>
      <formula>0.99999</formula>
    </cfRule>
    <cfRule type="cellIs" dxfId="3079" priority="3921" operator="between">
      <formula>1</formula>
      <formula>1.3</formula>
    </cfRule>
    <cfRule type="cellIs" dxfId="3078" priority="3922" operator="between">
      <formula>1.3</formula>
      <formula>1.5</formula>
    </cfRule>
    <cfRule type="cellIs" dxfId="3077" priority="3923" operator="greaterThan">
      <formula>1.5</formula>
    </cfRule>
  </conditionalFormatting>
  <conditionalFormatting sqref="B754">
    <cfRule type="cellIs" dxfId="3076" priority="5010" operator="greaterThan">
      <formula>50</formula>
    </cfRule>
    <cfRule type="cellIs" dxfId="3075" priority="5011" operator="between">
      <formula>35</formula>
      <formula>50</formula>
    </cfRule>
    <cfRule type="cellIs" dxfId="3074" priority="5012" operator="lessThan">
      <formula>35</formula>
    </cfRule>
  </conditionalFormatting>
  <conditionalFormatting sqref="B756">
    <cfRule type="cellIs" dxfId="3073" priority="5013" operator="greaterThan">
      <formula>350</formula>
    </cfRule>
    <cfRule type="cellIs" dxfId="3072" priority="5014" operator="between">
      <formula>250</formula>
      <formula>350</formula>
    </cfRule>
    <cfRule type="cellIs" dxfId="3071" priority="5015" operator="lessThan">
      <formula>250</formula>
    </cfRule>
  </conditionalFormatting>
  <conditionalFormatting sqref="B758">
    <cfRule type="cellIs" dxfId="3070" priority="3914" operator="lessThan">
      <formula>0.8</formula>
    </cfRule>
    <cfRule type="cellIs" dxfId="3069" priority="3915" operator="between">
      <formula>0.8</formula>
      <formula>0.99999</formula>
    </cfRule>
    <cfRule type="cellIs" dxfId="3068" priority="3916" operator="between">
      <formula>1</formula>
      <formula>1.3</formula>
    </cfRule>
    <cfRule type="cellIs" dxfId="3067" priority="3917" operator="between">
      <formula>1.3</formula>
      <formula>1.5</formula>
    </cfRule>
    <cfRule type="cellIs" dxfId="3066" priority="3918" operator="greaterThan">
      <formula>1.5</formula>
    </cfRule>
  </conditionalFormatting>
  <conditionalFormatting sqref="B761">
    <cfRule type="cellIs" dxfId="3065" priority="4999" operator="greaterThan">
      <formula>50</formula>
    </cfRule>
    <cfRule type="cellIs" dxfId="3064" priority="5000" operator="between">
      <formula>35</formula>
      <formula>50</formula>
    </cfRule>
    <cfRule type="cellIs" dxfId="3063" priority="5001" operator="lessThan">
      <formula>35</formula>
    </cfRule>
  </conditionalFormatting>
  <conditionalFormatting sqref="B763">
    <cfRule type="cellIs" dxfId="3062" priority="5002" operator="greaterThan">
      <formula>350</formula>
    </cfRule>
    <cfRule type="cellIs" dxfId="3061" priority="5003" operator="between">
      <formula>250</formula>
      <formula>350</formula>
    </cfRule>
    <cfRule type="cellIs" dxfId="3060" priority="5004" operator="lessThan">
      <formula>250</formula>
    </cfRule>
  </conditionalFormatting>
  <conditionalFormatting sqref="B765">
    <cfRule type="cellIs" dxfId="3059" priority="3717" operator="lessThan">
      <formula>0.8</formula>
    </cfRule>
    <cfRule type="cellIs" dxfId="3058" priority="3909" operator="between">
      <formula>0.8</formula>
      <formula>0.99999</formula>
    </cfRule>
    <cfRule type="cellIs" dxfId="3057" priority="3910" operator="between">
      <formula>1</formula>
      <formula>1.3</formula>
    </cfRule>
    <cfRule type="cellIs" dxfId="3056" priority="3911" operator="between">
      <formula>1.3</formula>
      <formula>1.5</formula>
    </cfRule>
    <cfRule type="cellIs" dxfId="3055" priority="3913" operator="greaterThan">
      <formula>1.5</formula>
    </cfRule>
  </conditionalFormatting>
  <conditionalFormatting sqref="B768">
    <cfRule type="cellIs" dxfId="3054" priority="4988" operator="greaterThan">
      <formula>50</formula>
    </cfRule>
    <cfRule type="cellIs" dxfId="3053" priority="4989" operator="between">
      <formula>35</formula>
      <formula>50</formula>
    </cfRule>
    <cfRule type="cellIs" dxfId="3052" priority="4990" operator="lessThan">
      <formula>35</formula>
    </cfRule>
  </conditionalFormatting>
  <conditionalFormatting sqref="B770">
    <cfRule type="cellIs" dxfId="3051" priority="4991" operator="greaterThan">
      <formula>350</formula>
    </cfRule>
    <cfRule type="cellIs" dxfId="3050" priority="4992" operator="between">
      <formula>250</formula>
      <formula>350</formula>
    </cfRule>
    <cfRule type="cellIs" dxfId="3049" priority="4993" operator="lessThan">
      <formula>250</formula>
    </cfRule>
  </conditionalFormatting>
  <conditionalFormatting sqref="B772">
    <cfRule type="cellIs" dxfId="3048" priority="3637" operator="lessThan">
      <formula>0.8</formula>
    </cfRule>
    <cfRule type="cellIs" dxfId="3047" priority="3638" operator="between">
      <formula>0.8</formula>
      <formula>0.99999</formula>
    </cfRule>
    <cfRule type="cellIs" dxfId="3046" priority="3639" operator="between">
      <formula>1</formula>
      <formula>1.3</formula>
    </cfRule>
    <cfRule type="cellIs" dxfId="3045" priority="3640" operator="between">
      <formula>1.3</formula>
      <formula>1.5</formula>
    </cfRule>
    <cfRule type="cellIs" dxfId="3044" priority="3641" operator="greaterThan">
      <formula>1.5</formula>
    </cfRule>
  </conditionalFormatting>
  <conditionalFormatting sqref="B775">
    <cfRule type="cellIs" dxfId="3043" priority="4977" operator="greaterThan">
      <formula>50</formula>
    </cfRule>
    <cfRule type="cellIs" dxfId="3042" priority="4978" operator="between">
      <formula>35</formula>
      <formula>50</formula>
    </cfRule>
    <cfRule type="cellIs" dxfId="3041" priority="4979" operator="lessThan">
      <formula>35</formula>
    </cfRule>
  </conditionalFormatting>
  <conditionalFormatting sqref="B777">
    <cfRule type="cellIs" dxfId="3040" priority="4980" operator="greaterThan">
      <formula>350</formula>
    </cfRule>
    <cfRule type="cellIs" dxfId="3039" priority="4981" operator="between">
      <formula>250</formula>
      <formula>350</formula>
    </cfRule>
    <cfRule type="cellIs" dxfId="3038" priority="4982" operator="lessThan">
      <formula>250</formula>
    </cfRule>
  </conditionalFormatting>
  <conditionalFormatting sqref="B779">
    <cfRule type="cellIs" dxfId="3037" priority="3632" operator="lessThan">
      <formula>0.8</formula>
    </cfRule>
    <cfRule type="cellIs" dxfId="3036" priority="3633" operator="between">
      <formula>0.8</formula>
      <formula>0.99999</formula>
    </cfRule>
    <cfRule type="cellIs" dxfId="3035" priority="3634" operator="between">
      <formula>1</formula>
      <formula>1.3</formula>
    </cfRule>
    <cfRule type="cellIs" dxfId="3034" priority="3635" operator="between">
      <formula>1.3</formula>
      <formula>1.5</formula>
    </cfRule>
    <cfRule type="cellIs" dxfId="3033" priority="3636" operator="greaterThan">
      <formula>1.5</formula>
    </cfRule>
  </conditionalFormatting>
  <conditionalFormatting sqref="B782">
    <cfRule type="cellIs" dxfId="3032" priority="4966" operator="greaterThan">
      <formula>50</formula>
    </cfRule>
    <cfRule type="cellIs" dxfId="3031" priority="4967" operator="between">
      <formula>35</formula>
      <formula>50</formula>
    </cfRule>
    <cfRule type="cellIs" dxfId="3030" priority="4968" operator="lessThan">
      <formula>35</formula>
    </cfRule>
  </conditionalFormatting>
  <conditionalFormatting sqref="B784">
    <cfRule type="cellIs" dxfId="3029" priority="4969" operator="greaterThan">
      <formula>350</formula>
    </cfRule>
    <cfRule type="cellIs" dxfId="3028" priority="4970" operator="between">
      <formula>250</formula>
      <formula>350</formula>
    </cfRule>
    <cfRule type="cellIs" dxfId="3027" priority="4971" operator="lessThan">
      <formula>250</formula>
    </cfRule>
  </conditionalFormatting>
  <conditionalFormatting sqref="B786">
    <cfRule type="cellIs" dxfId="3026" priority="3627" operator="lessThan">
      <formula>0.8</formula>
    </cfRule>
    <cfRule type="cellIs" dxfId="3025" priority="3628" operator="between">
      <formula>0.8</formula>
      <formula>0.99999</formula>
    </cfRule>
    <cfRule type="cellIs" dxfId="3024" priority="3629" operator="between">
      <formula>1</formula>
      <formula>1.3</formula>
    </cfRule>
    <cfRule type="cellIs" dxfId="3023" priority="3630" operator="between">
      <formula>1.3</formula>
      <formula>1.5</formula>
    </cfRule>
    <cfRule type="cellIs" dxfId="3022" priority="3631" operator="greaterThan">
      <formula>1.5</formula>
    </cfRule>
  </conditionalFormatting>
  <conditionalFormatting sqref="B789">
    <cfRule type="cellIs" dxfId="3021" priority="4955" operator="greaterThan">
      <formula>50</formula>
    </cfRule>
    <cfRule type="cellIs" dxfId="3020" priority="4956" operator="between">
      <formula>35</formula>
      <formula>50</formula>
    </cfRule>
    <cfRule type="cellIs" dxfId="3019" priority="4957" operator="lessThan">
      <formula>35</formula>
    </cfRule>
  </conditionalFormatting>
  <conditionalFormatting sqref="B791">
    <cfRule type="cellIs" dxfId="3018" priority="4958" operator="greaterThan">
      <formula>350</formula>
    </cfRule>
    <cfRule type="cellIs" dxfId="3017" priority="4959" operator="between">
      <formula>250</formula>
      <formula>350</formula>
    </cfRule>
    <cfRule type="cellIs" dxfId="3016" priority="4960" operator="lessThan">
      <formula>250</formula>
    </cfRule>
  </conditionalFormatting>
  <conditionalFormatting sqref="B793">
    <cfRule type="cellIs" dxfId="3015" priority="3622" operator="lessThan">
      <formula>0.8</formula>
    </cfRule>
    <cfRule type="cellIs" dxfId="3014" priority="3623" operator="between">
      <formula>0.8</formula>
      <formula>0.99999</formula>
    </cfRule>
    <cfRule type="cellIs" dxfId="3013" priority="3624" operator="between">
      <formula>1</formula>
      <formula>1.3</formula>
    </cfRule>
    <cfRule type="cellIs" dxfId="3012" priority="3625" operator="between">
      <formula>1.3</formula>
      <formula>1.5</formula>
    </cfRule>
    <cfRule type="cellIs" dxfId="3011" priority="3626" operator="greaterThan">
      <formula>1.5</formula>
    </cfRule>
  </conditionalFormatting>
  <conditionalFormatting sqref="B796">
    <cfRule type="cellIs" dxfId="3010" priority="4944" operator="greaterThan">
      <formula>50</formula>
    </cfRule>
    <cfRule type="cellIs" dxfId="3009" priority="4945" operator="between">
      <formula>35</formula>
      <formula>50</formula>
    </cfRule>
    <cfRule type="cellIs" dxfId="3008" priority="4946" operator="lessThan">
      <formula>35</formula>
    </cfRule>
  </conditionalFormatting>
  <conditionalFormatting sqref="B798">
    <cfRule type="cellIs" dxfId="3007" priority="4947" operator="greaterThan">
      <formula>350</formula>
    </cfRule>
    <cfRule type="cellIs" dxfId="3006" priority="4948" operator="between">
      <formula>250</formula>
      <formula>350</formula>
    </cfRule>
    <cfRule type="cellIs" dxfId="3005" priority="4949" operator="lessThan">
      <formula>250</formula>
    </cfRule>
  </conditionalFormatting>
  <conditionalFormatting sqref="B800">
    <cfRule type="cellIs" dxfId="3004" priority="3617" operator="lessThan">
      <formula>0.8</formula>
    </cfRule>
    <cfRule type="cellIs" dxfId="3003" priority="3618" operator="between">
      <formula>0.8</formula>
      <formula>0.99999</formula>
    </cfRule>
    <cfRule type="cellIs" dxfId="3002" priority="3619" operator="between">
      <formula>1</formula>
      <formula>1.3</formula>
    </cfRule>
    <cfRule type="cellIs" dxfId="3001" priority="3620" operator="between">
      <formula>1.3</formula>
      <formula>1.5</formula>
    </cfRule>
    <cfRule type="cellIs" dxfId="3000" priority="3621" operator="greaterThan">
      <formula>1.5</formula>
    </cfRule>
  </conditionalFormatting>
  <conditionalFormatting sqref="B803">
    <cfRule type="cellIs" dxfId="2999" priority="4933" operator="greaterThan">
      <formula>50</formula>
    </cfRule>
    <cfRule type="cellIs" dxfId="2998" priority="4934" operator="between">
      <formula>35</formula>
      <formula>50</formula>
    </cfRule>
    <cfRule type="cellIs" dxfId="2997" priority="4935" operator="lessThan">
      <formula>35</formula>
    </cfRule>
  </conditionalFormatting>
  <conditionalFormatting sqref="B805">
    <cfRule type="cellIs" dxfId="2996" priority="4936" operator="greaterThan">
      <formula>350</formula>
    </cfRule>
    <cfRule type="cellIs" dxfId="2995" priority="4937" operator="between">
      <formula>250</formula>
      <formula>350</formula>
    </cfRule>
    <cfRule type="cellIs" dxfId="2994" priority="4938" operator="lessThan">
      <formula>250</formula>
    </cfRule>
  </conditionalFormatting>
  <conditionalFormatting sqref="B807">
    <cfRule type="cellIs" dxfId="2993" priority="3612" operator="lessThan">
      <formula>0.8</formula>
    </cfRule>
    <cfRule type="cellIs" dxfId="2992" priority="3613" operator="between">
      <formula>0.8</formula>
      <formula>0.99999</formula>
    </cfRule>
    <cfRule type="cellIs" dxfId="2991" priority="3614" operator="between">
      <formula>1</formula>
      <formula>1.3</formula>
    </cfRule>
    <cfRule type="cellIs" dxfId="2990" priority="3615" operator="between">
      <formula>1.3</formula>
      <formula>1.5</formula>
    </cfRule>
    <cfRule type="cellIs" dxfId="2989" priority="3616" operator="greaterThan">
      <formula>1.5</formula>
    </cfRule>
  </conditionalFormatting>
  <conditionalFormatting sqref="B810">
    <cfRule type="cellIs" dxfId="2988" priority="4922" operator="greaterThan">
      <formula>50</formula>
    </cfRule>
    <cfRule type="cellIs" dxfId="2987" priority="4923" operator="between">
      <formula>35</formula>
      <formula>50</formula>
    </cfRule>
    <cfRule type="cellIs" dxfId="2986" priority="4924" operator="lessThan">
      <formula>35</formula>
    </cfRule>
  </conditionalFormatting>
  <conditionalFormatting sqref="B812">
    <cfRule type="cellIs" dxfId="2985" priority="4925" operator="greaterThan">
      <formula>350</formula>
    </cfRule>
    <cfRule type="cellIs" dxfId="2984" priority="4926" operator="between">
      <formula>250</formula>
      <formula>350</formula>
    </cfRule>
    <cfRule type="cellIs" dxfId="2983" priority="4927" operator="lessThan">
      <formula>250</formula>
    </cfRule>
  </conditionalFormatting>
  <conditionalFormatting sqref="B814">
    <cfRule type="cellIs" dxfId="2982" priority="3607" operator="lessThan">
      <formula>0.8</formula>
    </cfRule>
    <cfRule type="cellIs" dxfId="2981" priority="3608" operator="between">
      <formula>0.8</formula>
      <formula>0.99999</formula>
    </cfRule>
    <cfRule type="cellIs" dxfId="2980" priority="3609" operator="between">
      <formula>1</formula>
      <formula>1.3</formula>
    </cfRule>
    <cfRule type="cellIs" dxfId="2979" priority="3610" operator="between">
      <formula>1.3</formula>
      <formula>1.5</formula>
    </cfRule>
    <cfRule type="cellIs" dxfId="2978" priority="3611" operator="greaterThan">
      <formula>1.5</formula>
    </cfRule>
  </conditionalFormatting>
  <conditionalFormatting sqref="B817">
    <cfRule type="cellIs" dxfId="2977" priority="4911" operator="greaterThan">
      <formula>50</formula>
    </cfRule>
    <cfRule type="cellIs" dxfId="2976" priority="4912" operator="between">
      <formula>35</formula>
      <formula>50</formula>
    </cfRule>
    <cfRule type="cellIs" dxfId="2975" priority="4913" operator="lessThan">
      <formula>35</formula>
    </cfRule>
  </conditionalFormatting>
  <conditionalFormatting sqref="B819">
    <cfRule type="cellIs" dxfId="2974" priority="4914" operator="greaterThan">
      <formula>350</formula>
    </cfRule>
    <cfRule type="cellIs" dxfId="2973" priority="4915" operator="between">
      <formula>250</formula>
      <formula>350</formula>
    </cfRule>
    <cfRule type="cellIs" dxfId="2972" priority="4916" operator="lessThan">
      <formula>250</formula>
    </cfRule>
  </conditionalFormatting>
  <conditionalFormatting sqref="B821">
    <cfRule type="cellIs" dxfId="2971" priority="3602" operator="lessThan">
      <formula>0.8</formula>
    </cfRule>
    <cfRule type="cellIs" dxfId="2970" priority="3603" operator="between">
      <formula>0.8</formula>
      <formula>0.99999</formula>
    </cfRule>
    <cfRule type="cellIs" dxfId="2969" priority="3604" operator="between">
      <formula>1</formula>
      <formula>1.3</formula>
    </cfRule>
    <cfRule type="cellIs" dxfId="2968" priority="3605" operator="between">
      <formula>1.3</formula>
      <formula>1.5</formula>
    </cfRule>
    <cfRule type="cellIs" dxfId="2967" priority="3606" operator="greaterThan">
      <formula>1.5</formula>
    </cfRule>
  </conditionalFormatting>
  <conditionalFormatting sqref="B824">
    <cfRule type="cellIs" dxfId="2966" priority="4900" operator="greaterThan">
      <formula>50</formula>
    </cfRule>
    <cfRule type="cellIs" dxfId="2965" priority="4901" operator="between">
      <formula>35</formula>
      <formula>50</formula>
    </cfRule>
    <cfRule type="cellIs" dxfId="2964" priority="4902" operator="lessThan">
      <formula>35</formula>
    </cfRule>
  </conditionalFormatting>
  <conditionalFormatting sqref="B826">
    <cfRule type="cellIs" dxfId="2963" priority="4903" operator="greaterThan">
      <formula>350</formula>
    </cfRule>
    <cfRule type="cellIs" dxfId="2962" priority="4904" operator="between">
      <formula>250</formula>
      <formula>350</formula>
    </cfRule>
    <cfRule type="cellIs" dxfId="2961" priority="4905" operator="lessThan">
      <formula>250</formula>
    </cfRule>
  </conditionalFormatting>
  <conditionalFormatting sqref="B828">
    <cfRule type="cellIs" dxfId="2960" priority="3597" operator="lessThan">
      <formula>0.8</formula>
    </cfRule>
    <cfRule type="cellIs" dxfId="2959" priority="3598" operator="between">
      <formula>0.8</formula>
      <formula>0.99999</formula>
    </cfRule>
    <cfRule type="cellIs" dxfId="2958" priority="3599" operator="between">
      <formula>1</formula>
      <formula>1.3</formula>
    </cfRule>
    <cfRule type="cellIs" dxfId="2957" priority="3600" operator="between">
      <formula>1.3</formula>
      <formula>1.5</formula>
    </cfRule>
    <cfRule type="cellIs" dxfId="2956" priority="3601" operator="greaterThan">
      <formula>1.5</formula>
    </cfRule>
  </conditionalFormatting>
  <conditionalFormatting sqref="B831">
    <cfRule type="cellIs" dxfId="2955" priority="4889" operator="greaterThan">
      <formula>50</formula>
    </cfRule>
    <cfRule type="cellIs" dxfId="2954" priority="4890" operator="between">
      <formula>35</formula>
      <formula>50</formula>
    </cfRule>
    <cfRule type="cellIs" dxfId="2953" priority="4891" operator="lessThan">
      <formula>35</formula>
    </cfRule>
  </conditionalFormatting>
  <conditionalFormatting sqref="B833">
    <cfRule type="cellIs" dxfId="2952" priority="4892" operator="greaterThan">
      <formula>350</formula>
    </cfRule>
    <cfRule type="cellIs" dxfId="2951" priority="4893" operator="between">
      <formula>250</formula>
      <formula>350</formula>
    </cfRule>
    <cfRule type="cellIs" dxfId="2950" priority="4894" operator="lessThan">
      <formula>250</formula>
    </cfRule>
  </conditionalFormatting>
  <conditionalFormatting sqref="B835">
    <cfRule type="cellIs" dxfId="2949" priority="3592" operator="lessThan">
      <formula>0.8</formula>
    </cfRule>
    <cfRule type="cellIs" dxfId="2948" priority="3593" operator="between">
      <formula>0.8</formula>
      <formula>0.99999</formula>
    </cfRule>
    <cfRule type="cellIs" dxfId="2947" priority="3594" operator="between">
      <formula>1</formula>
      <formula>1.3</formula>
    </cfRule>
    <cfRule type="cellIs" dxfId="2946" priority="3595" operator="between">
      <formula>1.3</formula>
      <formula>1.5</formula>
    </cfRule>
    <cfRule type="cellIs" dxfId="2945" priority="3596" operator="greaterThan">
      <formula>1.5</formula>
    </cfRule>
  </conditionalFormatting>
  <conditionalFormatting sqref="B838">
    <cfRule type="cellIs" dxfId="2944" priority="4878" operator="greaterThan">
      <formula>50</formula>
    </cfRule>
    <cfRule type="cellIs" dxfId="2943" priority="4879" operator="between">
      <formula>35</formula>
      <formula>50</formula>
    </cfRule>
    <cfRule type="cellIs" dxfId="2942" priority="4880" operator="lessThan">
      <formula>35</formula>
    </cfRule>
  </conditionalFormatting>
  <conditionalFormatting sqref="B840">
    <cfRule type="cellIs" dxfId="2941" priority="4881" operator="greaterThan">
      <formula>350</formula>
    </cfRule>
    <cfRule type="cellIs" dxfId="2940" priority="4882" operator="between">
      <formula>250</formula>
      <formula>350</formula>
    </cfRule>
    <cfRule type="cellIs" dxfId="2939" priority="4883" operator="lessThan">
      <formula>250</formula>
    </cfRule>
  </conditionalFormatting>
  <conditionalFormatting sqref="B842">
    <cfRule type="cellIs" dxfId="2938" priority="3587" operator="lessThan">
      <formula>0.8</formula>
    </cfRule>
    <cfRule type="cellIs" dxfId="2937" priority="3588" operator="between">
      <formula>0.8</formula>
      <formula>0.99999</formula>
    </cfRule>
    <cfRule type="cellIs" dxfId="2936" priority="3589" operator="between">
      <formula>1</formula>
      <formula>1.3</formula>
    </cfRule>
    <cfRule type="cellIs" dxfId="2935" priority="3590" operator="between">
      <formula>1.3</formula>
      <formula>1.5</formula>
    </cfRule>
    <cfRule type="cellIs" dxfId="2934" priority="3591" operator="greaterThan">
      <formula>1.5</formula>
    </cfRule>
  </conditionalFormatting>
  <conditionalFormatting sqref="B845">
    <cfRule type="cellIs" dxfId="2933" priority="4867" operator="greaterThan">
      <formula>50</formula>
    </cfRule>
    <cfRule type="cellIs" dxfId="2932" priority="4868" operator="between">
      <formula>35</formula>
      <formula>50</formula>
    </cfRule>
    <cfRule type="cellIs" dxfId="2931" priority="4869" operator="lessThan">
      <formula>35</formula>
    </cfRule>
  </conditionalFormatting>
  <conditionalFormatting sqref="B847">
    <cfRule type="cellIs" dxfId="2930" priority="4870" operator="greaterThan">
      <formula>350</formula>
    </cfRule>
    <cfRule type="cellIs" dxfId="2929" priority="4871" operator="between">
      <formula>250</formula>
      <formula>350</formula>
    </cfRule>
    <cfRule type="cellIs" dxfId="2928" priority="4872" operator="lessThan">
      <formula>250</formula>
    </cfRule>
  </conditionalFormatting>
  <conditionalFormatting sqref="B849">
    <cfRule type="cellIs" dxfId="2927" priority="3582" operator="lessThan">
      <formula>0.8</formula>
    </cfRule>
    <cfRule type="cellIs" dxfId="2926" priority="3583" operator="between">
      <formula>0.8</formula>
      <formula>0.99999</formula>
    </cfRule>
    <cfRule type="cellIs" dxfId="2925" priority="3584" operator="between">
      <formula>1</formula>
      <formula>1.3</formula>
    </cfRule>
    <cfRule type="cellIs" dxfId="2924" priority="3585" operator="between">
      <formula>1.3</formula>
      <formula>1.5</formula>
    </cfRule>
    <cfRule type="cellIs" dxfId="2923" priority="3586" operator="greaterThan">
      <formula>1.5</formula>
    </cfRule>
  </conditionalFormatting>
  <conditionalFormatting sqref="B852">
    <cfRule type="cellIs" dxfId="2922" priority="4856" operator="greaterThan">
      <formula>50</formula>
    </cfRule>
    <cfRule type="cellIs" dxfId="2921" priority="4857" operator="between">
      <formula>35</formula>
      <formula>50</formula>
    </cfRule>
    <cfRule type="cellIs" dxfId="2920" priority="4858" operator="lessThan">
      <formula>35</formula>
    </cfRule>
  </conditionalFormatting>
  <conditionalFormatting sqref="B854">
    <cfRule type="cellIs" dxfId="2919" priority="4859" operator="greaterThan">
      <formula>350</formula>
    </cfRule>
    <cfRule type="cellIs" dxfId="2918" priority="4860" operator="between">
      <formula>250</formula>
      <formula>350</formula>
    </cfRule>
    <cfRule type="cellIs" dxfId="2917" priority="4861" operator="lessThan">
      <formula>250</formula>
    </cfRule>
  </conditionalFormatting>
  <conditionalFormatting sqref="B856">
    <cfRule type="cellIs" dxfId="2916" priority="3577" operator="lessThan">
      <formula>0.8</formula>
    </cfRule>
    <cfRule type="cellIs" dxfId="2915" priority="3578" operator="between">
      <formula>0.8</formula>
      <formula>0.99999</formula>
    </cfRule>
    <cfRule type="cellIs" dxfId="2914" priority="3579" operator="between">
      <formula>1</formula>
      <formula>1.3</formula>
    </cfRule>
    <cfRule type="cellIs" dxfId="2913" priority="3580" operator="between">
      <formula>1.3</formula>
      <formula>1.5</formula>
    </cfRule>
    <cfRule type="cellIs" dxfId="2912" priority="3581" operator="greaterThan">
      <formula>1.5</formula>
    </cfRule>
  </conditionalFormatting>
  <conditionalFormatting sqref="B859">
    <cfRule type="cellIs" dxfId="2911" priority="4845" operator="greaterThan">
      <formula>50</formula>
    </cfRule>
    <cfRule type="cellIs" dxfId="2910" priority="4846" operator="between">
      <formula>35</formula>
      <formula>50</formula>
    </cfRule>
    <cfRule type="cellIs" dxfId="2909" priority="4847" operator="lessThan">
      <formula>35</formula>
    </cfRule>
  </conditionalFormatting>
  <conditionalFormatting sqref="B861">
    <cfRule type="cellIs" dxfId="2908" priority="4848" operator="greaterThan">
      <formula>350</formula>
    </cfRule>
    <cfRule type="cellIs" dxfId="2907" priority="4849" operator="between">
      <formula>250</formula>
      <formula>350</formula>
    </cfRule>
    <cfRule type="cellIs" dxfId="2906" priority="4850" operator="lessThan">
      <formula>250</formula>
    </cfRule>
  </conditionalFormatting>
  <conditionalFormatting sqref="B863">
    <cfRule type="cellIs" dxfId="2905" priority="3572" operator="lessThan">
      <formula>0.8</formula>
    </cfRule>
    <cfRule type="cellIs" dxfId="2904" priority="3573" operator="between">
      <formula>0.8</formula>
      <formula>0.99999</formula>
    </cfRule>
    <cfRule type="cellIs" dxfId="2903" priority="3574" operator="between">
      <formula>1</formula>
      <formula>1.3</formula>
    </cfRule>
    <cfRule type="cellIs" dxfId="2902" priority="3575" operator="between">
      <formula>1.3</formula>
      <formula>1.5</formula>
    </cfRule>
    <cfRule type="cellIs" dxfId="2901" priority="3576" operator="greaterThan">
      <formula>1.5</formula>
    </cfRule>
  </conditionalFormatting>
  <conditionalFormatting sqref="B866">
    <cfRule type="cellIs" dxfId="2900" priority="4834" operator="greaterThan">
      <formula>50</formula>
    </cfRule>
    <cfRule type="cellIs" dxfId="2899" priority="4835" operator="between">
      <formula>35</formula>
      <formula>50</formula>
    </cfRule>
    <cfRule type="cellIs" dxfId="2898" priority="4836" operator="lessThan">
      <formula>35</formula>
    </cfRule>
  </conditionalFormatting>
  <conditionalFormatting sqref="B868">
    <cfRule type="cellIs" dxfId="2897" priority="4837" operator="greaterThan">
      <formula>350</formula>
    </cfRule>
    <cfRule type="cellIs" dxfId="2896" priority="4838" operator="between">
      <formula>250</formula>
      <formula>350</formula>
    </cfRule>
    <cfRule type="cellIs" dxfId="2895" priority="4839" operator="lessThan">
      <formula>250</formula>
    </cfRule>
  </conditionalFormatting>
  <conditionalFormatting sqref="B870">
    <cfRule type="cellIs" dxfId="2894" priority="3567" operator="lessThan">
      <formula>0.8</formula>
    </cfRule>
    <cfRule type="cellIs" dxfId="2893" priority="3568" operator="between">
      <formula>0.8</formula>
      <formula>0.99999</formula>
    </cfRule>
    <cfRule type="cellIs" dxfId="2892" priority="3569" operator="between">
      <formula>1</formula>
      <formula>1.3</formula>
    </cfRule>
    <cfRule type="cellIs" dxfId="2891" priority="3570" operator="between">
      <formula>1.3</formula>
      <formula>1.5</formula>
    </cfRule>
    <cfRule type="cellIs" dxfId="2890" priority="3571" operator="greaterThan">
      <formula>1.5</formula>
    </cfRule>
  </conditionalFormatting>
  <conditionalFormatting sqref="B873">
    <cfRule type="cellIs" dxfId="2889" priority="4823" operator="greaterThan">
      <formula>50</formula>
    </cfRule>
    <cfRule type="cellIs" dxfId="2888" priority="4824" operator="between">
      <formula>35</formula>
      <formula>50</formula>
    </cfRule>
    <cfRule type="cellIs" dxfId="2887" priority="4825" operator="lessThan">
      <formula>35</formula>
    </cfRule>
  </conditionalFormatting>
  <conditionalFormatting sqref="B875">
    <cfRule type="cellIs" dxfId="2886" priority="4826" operator="greaterThan">
      <formula>350</formula>
    </cfRule>
    <cfRule type="cellIs" dxfId="2885" priority="4827" operator="between">
      <formula>250</formula>
      <formula>350</formula>
    </cfRule>
    <cfRule type="cellIs" dxfId="2884" priority="4828" operator="lessThan">
      <formula>250</formula>
    </cfRule>
  </conditionalFormatting>
  <conditionalFormatting sqref="B877">
    <cfRule type="cellIs" dxfId="2883" priority="3829" operator="lessThan">
      <formula>0.8</formula>
    </cfRule>
    <cfRule type="cellIs" dxfId="2882" priority="3830" operator="between">
      <formula>0.8</formula>
      <formula>0.99999</formula>
    </cfRule>
    <cfRule type="cellIs" dxfId="2881" priority="3831" operator="between">
      <formula>1</formula>
      <formula>1.3</formula>
    </cfRule>
    <cfRule type="cellIs" dxfId="2880" priority="3832" operator="between">
      <formula>1.3</formula>
      <formula>1.5</formula>
    </cfRule>
    <cfRule type="cellIs" dxfId="2879" priority="3833" operator="greaterThan">
      <formula>1.5</formula>
    </cfRule>
  </conditionalFormatting>
  <conditionalFormatting sqref="B880">
    <cfRule type="cellIs" dxfId="2878" priority="4812" operator="greaterThan">
      <formula>50</formula>
    </cfRule>
    <cfRule type="cellIs" dxfId="2877" priority="4813" operator="between">
      <formula>35</formula>
      <formula>50</formula>
    </cfRule>
    <cfRule type="cellIs" dxfId="2876" priority="4814" operator="lessThan">
      <formula>35</formula>
    </cfRule>
  </conditionalFormatting>
  <conditionalFormatting sqref="B882">
    <cfRule type="cellIs" dxfId="2875" priority="4815" operator="greaterThan">
      <formula>350</formula>
    </cfRule>
    <cfRule type="cellIs" dxfId="2874" priority="4816" operator="between">
      <formula>250</formula>
      <formula>350</formula>
    </cfRule>
    <cfRule type="cellIs" dxfId="2873" priority="4817" operator="lessThan">
      <formula>250</formula>
    </cfRule>
  </conditionalFormatting>
  <conditionalFormatting sqref="B884">
    <cfRule type="cellIs" dxfId="2872" priority="3824" operator="lessThan">
      <formula>0.8</formula>
    </cfRule>
    <cfRule type="cellIs" dxfId="2871" priority="3825" operator="between">
      <formula>0.8</formula>
      <formula>0.99999</formula>
    </cfRule>
    <cfRule type="cellIs" dxfId="2870" priority="3826" operator="between">
      <formula>1</formula>
      <formula>1.3</formula>
    </cfRule>
    <cfRule type="cellIs" dxfId="2869" priority="3827" operator="between">
      <formula>1.3</formula>
      <formula>1.5</formula>
    </cfRule>
    <cfRule type="cellIs" dxfId="2868" priority="3828" operator="greaterThan">
      <formula>1.5</formula>
    </cfRule>
  </conditionalFormatting>
  <conditionalFormatting sqref="B887">
    <cfRule type="cellIs" dxfId="2867" priority="4801" operator="greaterThan">
      <formula>50</formula>
    </cfRule>
    <cfRule type="cellIs" dxfId="2866" priority="4802" operator="between">
      <formula>35</formula>
      <formula>50</formula>
    </cfRule>
    <cfRule type="cellIs" dxfId="2865" priority="4803" operator="lessThan">
      <formula>35</formula>
    </cfRule>
  </conditionalFormatting>
  <conditionalFormatting sqref="B889">
    <cfRule type="cellIs" dxfId="2864" priority="4804" operator="greaterThan">
      <formula>350</formula>
    </cfRule>
    <cfRule type="cellIs" dxfId="2863" priority="4805" operator="between">
      <formula>250</formula>
      <formula>350</formula>
    </cfRule>
    <cfRule type="cellIs" dxfId="2862" priority="4806" operator="lessThan">
      <formula>250</formula>
    </cfRule>
  </conditionalFormatting>
  <conditionalFormatting sqref="B891">
    <cfRule type="cellIs" dxfId="2861" priority="3819" operator="lessThan">
      <formula>0.8</formula>
    </cfRule>
    <cfRule type="cellIs" dxfId="2860" priority="3820" operator="between">
      <formula>0.8</formula>
      <formula>0.99999</formula>
    </cfRule>
    <cfRule type="cellIs" dxfId="2859" priority="3821" operator="between">
      <formula>1</formula>
      <formula>1.3</formula>
    </cfRule>
    <cfRule type="cellIs" dxfId="2858" priority="3822" operator="between">
      <formula>1.3</formula>
      <formula>1.5</formula>
    </cfRule>
    <cfRule type="cellIs" dxfId="2857" priority="3823" operator="greaterThan">
      <formula>1.5</formula>
    </cfRule>
  </conditionalFormatting>
  <conditionalFormatting sqref="B894">
    <cfRule type="cellIs" dxfId="2856" priority="4790" operator="greaterThan">
      <formula>50</formula>
    </cfRule>
    <cfRule type="cellIs" dxfId="2855" priority="4791" operator="between">
      <formula>35</formula>
      <formula>50</formula>
    </cfRule>
    <cfRule type="cellIs" dxfId="2854" priority="4792" operator="lessThan">
      <formula>35</formula>
    </cfRule>
  </conditionalFormatting>
  <conditionalFormatting sqref="B896">
    <cfRule type="cellIs" dxfId="2853" priority="4793" operator="greaterThan">
      <formula>350</formula>
    </cfRule>
    <cfRule type="cellIs" dxfId="2852" priority="4794" operator="between">
      <formula>250</formula>
      <formula>350</formula>
    </cfRule>
    <cfRule type="cellIs" dxfId="2851" priority="4795" operator="lessThan">
      <formula>250</formula>
    </cfRule>
  </conditionalFormatting>
  <conditionalFormatting sqref="B898">
    <cfRule type="cellIs" dxfId="2850" priority="3814" operator="lessThan">
      <formula>0.8</formula>
    </cfRule>
    <cfRule type="cellIs" dxfId="2849" priority="3815" operator="between">
      <formula>0.8</formula>
      <formula>0.99999</formula>
    </cfRule>
    <cfRule type="cellIs" dxfId="2848" priority="3816" operator="between">
      <formula>1</formula>
      <formula>1.3</formula>
    </cfRule>
    <cfRule type="cellIs" dxfId="2847" priority="3817" operator="between">
      <formula>1.3</formula>
      <formula>1.5</formula>
    </cfRule>
    <cfRule type="cellIs" dxfId="2846" priority="3818" operator="greaterThan">
      <formula>1.5</formula>
    </cfRule>
  </conditionalFormatting>
  <conditionalFormatting sqref="B901">
    <cfRule type="cellIs" dxfId="2845" priority="4779" operator="greaterThan">
      <formula>50</formula>
    </cfRule>
    <cfRule type="cellIs" dxfId="2844" priority="4780" operator="between">
      <formula>35</formula>
      <formula>50</formula>
    </cfRule>
    <cfRule type="cellIs" dxfId="2843" priority="4781" operator="lessThan">
      <formula>35</formula>
    </cfRule>
  </conditionalFormatting>
  <conditionalFormatting sqref="B903">
    <cfRule type="cellIs" dxfId="2842" priority="4782" operator="greaterThan">
      <formula>350</formula>
    </cfRule>
    <cfRule type="cellIs" dxfId="2841" priority="4783" operator="between">
      <formula>250</formula>
      <formula>350</formula>
    </cfRule>
    <cfRule type="cellIs" dxfId="2840" priority="4784" operator="lessThan">
      <formula>250</formula>
    </cfRule>
  </conditionalFormatting>
  <conditionalFormatting sqref="B905">
    <cfRule type="cellIs" dxfId="2839" priority="3809" operator="lessThan">
      <formula>0.8</formula>
    </cfRule>
    <cfRule type="cellIs" dxfId="2838" priority="3810" operator="between">
      <formula>0.8</formula>
      <formula>0.99999</formula>
    </cfRule>
    <cfRule type="cellIs" dxfId="2837" priority="3811" operator="between">
      <formula>1</formula>
      <formula>1.3</formula>
    </cfRule>
    <cfRule type="cellIs" dxfId="2836" priority="3812" operator="between">
      <formula>1.3</formula>
      <formula>1.5</formula>
    </cfRule>
    <cfRule type="cellIs" dxfId="2835" priority="3813" operator="greaterThan">
      <formula>1.5</formula>
    </cfRule>
  </conditionalFormatting>
  <conditionalFormatting sqref="B908">
    <cfRule type="cellIs" dxfId="2834" priority="4768" operator="greaterThan">
      <formula>50</formula>
    </cfRule>
    <cfRule type="cellIs" dxfId="2833" priority="4769" operator="between">
      <formula>35</formula>
      <formula>50</formula>
    </cfRule>
    <cfRule type="cellIs" dxfId="2832" priority="4770" operator="lessThan">
      <formula>35</formula>
    </cfRule>
  </conditionalFormatting>
  <conditionalFormatting sqref="B910">
    <cfRule type="cellIs" dxfId="2831" priority="4771" operator="greaterThan">
      <formula>350</formula>
    </cfRule>
    <cfRule type="cellIs" dxfId="2830" priority="4772" operator="between">
      <formula>250</formula>
      <formula>350</formula>
    </cfRule>
    <cfRule type="cellIs" dxfId="2829" priority="4773" operator="lessThan">
      <formula>250</formula>
    </cfRule>
  </conditionalFormatting>
  <conditionalFormatting sqref="B912">
    <cfRule type="cellIs" dxfId="2828" priority="3804" operator="lessThan">
      <formula>0.8</formula>
    </cfRule>
    <cfRule type="cellIs" dxfId="2827" priority="3805" operator="between">
      <formula>0.8</formula>
      <formula>0.99999</formula>
    </cfRule>
    <cfRule type="cellIs" dxfId="2826" priority="3806" operator="between">
      <formula>1</formula>
      <formula>1.3</formula>
    </cfRule>
    <cfRule type="cellIs" dxfId="2825" priority="3807" operator="between">
      <formula>1.3</formula>
      <formula>1.5</formula>
    </cfRule>
    <cfRule type="cellIs" dxfId="2824" priority="3808" operator="greaterThan">
      <formula>1.5</formula>
    </cfRule>
  </conditionalFormatting>
  <conditionalFormatting sqref="B915">
    <cfRule type="cellIs" dxfId="2823" priority="4757" operator="greaterThan">
      <formula>50</formula>
    </cfRule>
    <cfRule type="cellIs" dxfId="2822" priority="4758" operator="between">
      <formula>35</formula>
      <formula>50</formula>
    </cfRule>
    <cfRule type="cellIs" dxfId="2821" priority="4759" operator="lessThan">
      <formula>35</formula>
    </cfRule>
  </conditionalFormatting>
  <conditionalFormatting sqref="B917">
    <cfRule type="cellIs" dxfId="2820" priority="4760" operator="greaterThan">
      <formula>350</formula>
    </cfRule>
    <cfRule type="cellIs" dxfId="2819" priority="4761" operator="between">
      <formula>250</formula>
      <formula>350</formula>
    </cfRule>
    <cfRule type="cellIs" dxfId="2818" priority="4762" operator="lessThan">
      <formula>250</formula>
    </cfRule>
  </conditionalFormatting>
  <conditionalFormatting sqref="B919">
    <cfRule type="cellIs" dxfId="2817" priority="3799" operator="lessThan">
      <formula>0.8</formula>
    </cfRule>
    <cfRule type="cellIs" dxfId="2816" priority="3800" operator="between">
      <formula>0.8</formula>
      <formula>0.99999</formula>
    </cfRule>
    <cfRule type="cellIs" dxfId="2815" priority="3801" operator="between">
      <formula>1</formula>
      <formula>1.3</formula>
    </cfRule>
    <cfRule type="cellIs" dxfId="2814" priority="3802" operator="between">
      <formula>1.3</formula>
      <formula>1.5</formula>
    </cfRule>
    <cfRule type="cellIs" dxfId="2813" priority="3803" operator="greaterThan">
      <formula>1.5</formula>
    </cfRule>
  </conditionalFormatting>
  <conditionalFormatting sqref="B922">
    <cfRule type="cellIs" dxfId="2812" priority="4746" operator="greaterThan">
      <formula>50</formula>
    </cfRule>
    <cfRule type="cellIs" dxfId="2811" priority="4747" operator="between">
      <formula>35</formula>
      <formula>50</formula>
    </cfRule>
    <cfRule type="cellIs" dxfId="2810" priority="4748" operator="lessThan">
      <formula>35</formula>
    </cfRule>
  </conditionalFormatting>
  <conditionalFormatting sqref="B924">
    <cfRule type="cellIs" dxfId="2809" priority="4749" operator="greaterThan">
      <formula>350</formula>
    </cfRule>
    <cfRule type="cellIs" dxfId="2808" priority="4750" operator="between">
      <formula>250</formula>
      <formula>350</formula>
    </cfRule>
    <cfRule type="cellIs" dxfId="2807" priority="4751" operator="lessThan">
      <formula>250</formula>
    </cfRule>
  </conditionalFormatting>
  <conditionalFormatting sqref="B926">
    <cfRule type="cellIs" dxfId="2806" priority="3794" operator="lessThan">
      <formula>0.8</formula>
    </cfRule>
    <cfRule type="cellIs" dxfId="2805" priority="3795" operator="between">
      <formula>0.8</formula>
      <formula>0.99999</formula>
    </cfRule>
    <cfRule type="cellIs" dxfId="2804" priority="3796" operator="between">
      <formula>1</formula>
      <formula>1.3</formula>
    </cfRule>
    <cfRule type="cellIs" dxfId="2803" priority="3797" operator="between">
      <formula>1.3</formula>
      <formula>1.5</formula>
    </cfRule>
    <cfRule type="cellIs" dxfId="2802" priority="3798" operator="greaterThan">
      <formula>1.5</formula>
    </cfRule>
  </conditionalFormatting>
  <conditionalFormatting sqref="B929">
    <cfRule type="cellIs" dxfId="2801" priority="4735" operator="greaterThan">
      <formula>50</formula>
    </cfRule>
    <cfRule type="cellIs" dxfId="2800" priority="4736" operator="between">
      <formula>35</formula>
      <formula>50</formula>
    </cfRule>
    <cfRule type="cellIs" dxfId="2799" priority="4737" operator="lessThan">
      <formula>35</formula>
    </cfRule>
  </conditionalFormatting>
  <conditionalFormatting sqref="B931">
    <cfRule type="cellIs" dxfId="2798" priority="4738" operator="greaterThan">
      <formula>350</formula>
    </cfRule>
    <cfRule type="cellIs" dxfId="2797" priority="4739" operator="between">
      <formula>250</formula>
      <formula>350</formula>
    </cfRule>
    <cfRule type="cellIs" dxfId="2796" priority="4740" operator="lessThan">
      <formula>250</formula>
    </cfRule>
  </conditionalFormatting>
  <conditionalFormatting sqref="B933">
    <cfRule type="cellIs" dxfId="2795" priority="3789" operator="lessThan">
      <formula>0.8</formula>
    </cfRule>
    <cfRule type="cellIs" dxfId="2794" priority="3790" operator="between">
      <formula>0.8</formula>
      <formula>0.99999</formula>
    </cfRule>
    <cfRule type="cellIs" dxfId="2793" priority="3791" operator="between">
      <formula>1</formula>
      <formula>1.3</formula>
    </cfRule>
    <cfRule type="cellIs" dxfId="2792" priority="3792" operator="between">
      <formula>1.3</formula>
      <formula>1.5</formula>
    </cfRule>
    <cfRule type="cellIs" dxfId="2791" priority="3793" operator="greaterThan">
      <formula>1.5</formula>
    </cfRule>
  </conditionalFormatting>
  <conditionalFormatting sqref="B936">
    <cfRule type="cellIs" dxfId="2790" priority="4724" operator="greaterThan">
      <formula>50</formula>
    </cfRule>
    <cfRule type="cellIs" dxfId="2789" priority="4725" operator="between">
      <formula>35</formula>
      <formula>50</formula>
    </cfRule>
    <cfRule type="cellIs" dxfId="2788" priority="4726" operator="lessThan">
      <formula>35</formula>
    </cfRule>
  </conditionalFormatting>
  <conditionalFormatting sqref="B938">
    <cfRule type="cellIs" dxfId="2787" priority="4727" operator="greaterThan">
      <formula>350</formula>
    </cfRule>
    <cfRule type="cellIs" dxfId="2786" priority="4728" operator="between">
      <formula>250</formula>
      <formula>350</formula>
    </cfRule>
    <cfRule type="cellIs" dxfId="2785" priority="4729" operator="lessThan">
      <formula>250</formula>
    </cfRule>
  </conditionalFormatting>
  <conditionalFormatting sqref="B940">
    <cfRule type="cellIs" dxfId="2784" priority="3784" operator="lessThan">
      <formula>0.8</formula>
    </cfRule>
    <cfRule type="cellIs" dxfId="2783" priority="3785" operator="between">
      <formula>0.8</formula>
      <formula>0.99999</formula>
    </cfRule>
    <cfRule type="cellIs" dxfId="2782" priority="3786" operator="between">
      <formula>1</formula>
      <formula>1.3</formula>
    </cfRule>
    <cfRule type="cellIs" dxfId="2781" priority="3787" operator="between">
      <formula>1.3</formula>
      <formula>1.5</formula>
    </cfRule>
    <cfRule type="cellIs" dxfId="2780" priority="3788" operator="greaterThan">
      <formula>1.5</formula>
    </cfRule>
  </conditionalFormatting>
  <conditionalFormatting sqref="B943">
    <cfRule type="cellIs" dxfId="2779" priority="4713" operator="greaterThan">
      <formula>50</formula>
    </cfRule>
    <cfRule type="cellIs" dxfId="2778" priority="4714" operator="between">
      <formula>35</formula>
      <formula>50</formula>
    </cfRule>
    <cfRule type="cellIs" dxfId="2777" priority="4715" operator="lessThan">
      <formula>35</formula>
    </cfRule>
  </conditionalFormatting>
  <conditionalFormatting sqref="B945">
    <cfRule type="cellIs" dxfId="2776" priority="4716" operator="greaterThan">
      <formula>350</formula>
    </cfRule>
    <cfRule type="cellIs" dxfId="2775" priority="4717" operator="between">
      <formula>250</formula>
      <formula>350</formula>
    </cfRule>
    <cfRule type="cellIs" dxfId="2774" priority="4718" operator="lessThan">
      <formula>250</formula>
    </cfRule>
  </conditionalFormatting>
  <conditionalFormatting sqref="B947">
    <cfRule type="cellIs" dxfId="2773" priority="3779" operator="lessThan">
      <formula>0.8</formula>
    </cfRule>
    <cfRule type="cellIs" dxfId="2772" priority="3780" operator="between">
      <formula>0.8</formula>
      <formula>0.99999</formula>
    </cfRule>
    <cfRule type="cellIs" dxfId="2771" priority="3781" operator="between">
      <formula>1</formula>
      <formula>1.3</formula>
    </cfRule>
    <cfRule type="cellIs" dxfId="2770" priority="3782" operator="between">
      <formula>1.3</formula>
      <formula>1.5</formula>
    </cfRule>
    <cfRule type="cellIs" dxfId="2769" priority="3783" operator="greaterThan">
      <formula>1.5</formula>
    </cfRule>
  </conditionalFormatting>
  <conditionalFormatting sqref="B950">
    <cfRule type="cellIs" dxfId="2768" priority="4702" operator="greaterThan">
      <formula>50</formula>
    </cfRule>
    <cfRule type="cellIs" dxfId="2767" priority="4703" operator="between">
      <formula>35</formula>
      <formula>50</formula>
    </cfRule>
    <cfRule type="cellIs" dxfId="2766" priority="4704" operator="lessThan">
      <formula>35</formula>
    </cfRule>
  </conditionalFormatting>
  <conditionalFormatting sqref="B952">
    <cfRule type="cellIs" dxfId="2765" priority="4705" operator="greaterThan">
      <formula>350</formula>
    </cfRule>
    <cfRule type="cellIs" dxfId="2764" priority="4706" operator="between">
      <formula>250</formula>
      <formula>350</formula>
    </cfRule>
    <cfRule type="cellIs" dxfId="2763" priority="4707" operator="lessThan">
      <formula>250</formula>
    </cfRule>
  </conditionalFormatting>
  <conditionalFormatting sqref="B954">
    <cfRule type="cellIs" dxfId="2762" priority="3774" operator="lessThan">
      <formula>0.8</formula>
    </cfRule>
    <cfRule type="cellIs" dxfId="2761" priority="3775" operator="between">
      <formula>0.8</formula>
      <formula>0.99999</formula>
    </cfRule>
    <cfRule type="cellIs" dxfId="2760" priority="3776" operator="between">
      <formula>1</formula>
      <formula>1.3</formula>
    </cfRule>
    <cfRule type="cellIs" dxfId="2759" priority="3777" operator="between">
      <formula>1.3</formula>
      <formula>1.5</formula>
    </cfRule>
    <cfRule type="cellIs" dxfId="2758" priority="3778" operator="greaterThan">
      <formula>1.5</formula>
    </cfRule>
  </conditionalFormatting>
  <conditionalFormatting sqref="B957">
    <cfRule type="cellIs" dxfId="2757" priority="4691" operator="greaterThan">
      <formula>50</formula>
    </cfRule>
    <cfRule type="cellIs" dxfId="2756" priority="4692" operator="between">
      <formula>35</formula>
      <formula>50</formula>
    </cfRule>
    <cfRule type="cellIs" dxfId="2755" priority="4693" operator="lessThan">
      <formula>35</formula>
    </cfRule>
  </conditionalFormatting>
  <conditionalFormatting sqref="B959">
    <cfRule type="cellIs" dxfId="2754" priority="4694" operator="greaterThan">
      <formula>350</formula>
    </cfRule>
    <cfRule type="cellIs" dxfId="2753" priority="4695" operator="between">
      <formula>250</formula>
      <formula>350</formula>
    </cfRule>
    <cfRule type="cellIs" dxfId="2752" priority="4696" operator="lessThan">
      <formula>250</formula>
    </cfRule>
  </conditionalFormatting>
  <conditionalFormatting sqref="B961">
    <cfRule type="cellIs" dxfId="2751" priority="3769" operator="lessThan">
      <formula>0.8</formula>
    </cfRule>
    <cfRule type="cellIs" dxfId="2750" priority="3770" operator="between">
      <formula>0.8</formula>
      <formula>0.99999</formula>
    </cfRule>
    <cfRule type="cellIs" dxfId="2749" priority="3771" operator="between">
      <formula>1</formula>
      <formula>1.3</formula>
    </cfRule>
    <cfRule type="cellIs" dxfId="2748" priority="3772" operator="between">
      <formula>1.3</formula>
      <formula>1.5</formula>
    </cfRule>
    <cfRule type="cellIs" dxfId="2747" priority="3773" operator="greaterThan">
      <formula>1.5</formula>
    </cfRule>
  </conditionalFormatting>
  <conditionalFormatting sqref="B964">
    <cfRule type="cellIs" dxfId="2746" priority="4680" operator="greaterThan">
      <formula>50</formula>
    </cfRule>
    <cfRule type="cellIs" dxfId="2745" priority="4681" operator="between">
      <formula>35</formula>
      <formula>50</formula>
    </cfRule>
    <cfRule type="cellIs" dxfId="2744" priority="4682" operator="lessThan">
      <formula>35</formula>
    </cfRule>
  </conditionalFormatting>
  <conditionalFormatting sqref="B966">
    <cfRule type="cellIs" dxfId="2743" priority="4683" operator="greaterThan">
      <formula>350</formula>
    </cfRule>
    <cfRule type="cellIs" dxfId="2742" priority="4684" operator="between">
      <formula>250</formula>
      <formula>350</formula>
    </cfRule>
    <cfRule type="cellIs" dxfId="2741" priority="4685" operator="lessThan">
      <formula>250</formula>
    </cfRule>
  </conditionalFormatting>
  <conditionalFormatting sqref="B968">
    <cfRule type="cellIs" dxfId="2740" priority="3764" operator="lessThan">
      <formula>0.8</formula>
    </cfRule>
    <cfRule type="cellIs" dxfId="2739" priority="3765" operator="between">
      <formula>0.8</formula>
      <formula>0.99999</formula>
    </cfRule>
    <cfRule type="cellIs" dxfId="2738" priority="3766" operator="between">
      <formula>1</formula>
      <formula>1.3</formula>
    </cfRule>
    <cfRule type="cellIs" dxfId="2737" priority="3767" operator="between">
      <formula>1.3</formula>
      <formula>1.5</formula>
    </cfRule>
    <cfRule type="cellIs" dxfId="2736" priority="3768" operator="greaterThan">
      <formula>1.5</formula>
    </cfRule>
  </conditionalFormatting>
  <conditionalFormatting sqref="B971">
    <cfRule type="cellIs" dxfId="2735" priority="4669" operator="greaterThan">
      <formula>50</formula>
    </cfRule>
    <cfRule type="cellIs" dxfId="2734" priority="4670" operator="between">
      <formula>35</formula>
      <formula>50</formula>
    </cfRule>
    <cfRule type="cellIs" dxfId="2733" priority="4671" operator="lessThan">
      <formula>35</formula>
    </cfRule>
  </conditionalFormatting>
  <conditionalFormatting sqref="B973">
    <cfRule type="cellIs" dxfId="2732" priority="4672" operator="greaterThan">
      <formula>350</formula>
    </cfRule>
    <cfRule type="cellIs" dxfId="2731" priority="4673" operator="between">
      <formula>250</formula>
      <formula>350</formula>
    </cfRule>
    <cfRule type="cellIs" dxfId="2730" priority="4674" operator="lessThan">
      <formula>250</formula>
    </cfRule>
  </conditionalFormatting>
  <conditionalFormatting sqref="B975">
    <cfRule type="cellIs" dxfId="2729" priority="3759" operator="lessThan">
      <formula>0.8</formula>
    </cfRule>
    <cfRule type="cellIs" dxfId="2728" priority="3760" operator="between">
      <formula>0.8</formula>
      <formula>0.99999</formula>
    </cfRule>
    <cfRule type="cellIs" dxfId="2727" priority="3761" operator="between">
      <formula>1</formula>
      <formula>1.3</formula>
    </cfRule>
    <cfRule type="cellIs" dxfId="2726" priority="3762" operator="between">
      <formula>1.3</formula>
      <formula>1.5</formula>
    </cfRule>
    <cfRule type="cellIs" dxfId="2725" priority="3763" operator="greaterThan">
      <formula>1.5</formula>
    </cfRule>
  </conditionalFormatting>
  <conditionalFormatting sqref="B978">
    <cfRule type="cellIs" dxfId="2724" priority="4658" operator="greaterThan">
      <formula>50</formula>
    </cfRule>
    <cfRule type="cellIs" dxfId="2723" priority="4659" operator="between">
      <formula>35</formula>
      <formula>50</formula>
    </cfRule>
    <cfRule type="cellIs" dxfId="2722" priority="4660" operator="lessThan">
      <formula>35</formula>
    </cfRule>
  </conditionalFormatting>
  <conditionalFormatting sqref="B980">
    <cfRule type="cellIs" dxfId="2721" priority="4661" operator="greaterThan">
      <formula>350</formula>
    </cfRule>
    <cfRule type="cellIs" dxfId="2720" priority="4662" operator="between">
      <formula>250</formula>
      <formula>350</formula>
    </cfRule>
    <cfRule type="cellIs" dxfId="2719" priority="4663" operator="lessThan">
      <formula>250</formula>
    </cfRule>
  </conditionalFormatting>
  <conditionalFormatting sqref="B982">
    <cfRule type="cellIs" dxfId="2718" priority="3754" operator="lessThan">
      <formula>0.8</formula>
    </cfRule>
    <cfRule type="cellIs" dxfId="2717" priority="3755" operator="between">
      <formula>0.8</formula>
      <formula>0.99999</formula>
    </cfRule>
    <cfRule type="cellIs" dxfId="2716" priority="3756" operator="between">
      <formula>1</formula>
      <formula>1.3</formula>
    </cfRule>
    <cfRule type="cellIs" dxfId="2715" priority="3757" operator="between">
      <formula>1.3</formula>
      <formula>1.5</formula>
    </cfRule>
    <cfRule type="cellIs" dxfId="2714" priority="3758" operator="greaterThan">
      <formula>1.5</formula>
    </cfRule>
  </conditionalFormatting>
  <conditionalFormatting sqref="B985">
    <cfRule type="cellIs" dxfId="2713" priority="4647" operator="greaterThan">
      <formula>50</formula>
    </cfRule>
    <cfRule type="cellIs" dxfId="2712" priority="4648" operator="between">
      <formula>35</formula>
      <formula>50</formula>
    </cfRule>
    <cfRule type="cellIs" dxfId="2711" priority="4649" operator="lessThan">
      <formula>35</formula>
    </cfRule>
  </conditionalFormatting>
  <conditionalFormatting sqref="B987">
    <cfRule type="cellIs" dxfId="2710" priority="4650" operator="greaterThan">
      <formula>350</formula>
    </cfRule>
    <cfRule type="cellIs" dxfId="2709" priority="4651" operator="between">
      <formula>250</formula>
      <formula>350</formula>
    </cfRule>
    <cfRule type="cellIs" dxfId="2708" priority="4652" operator="lessThan">
      <formula>250</formula>
    </cfRule>
  </conditionalFormatting>
  <conditionalFormatting sqref="B989">
    <cfRule type="cellIs" dxfId="2707" priority="3749" operator="lessThan">
      <formula>0.8</formula>
    </cfRule>
    <cfRule type="cellIs" dxfId="2706" priority="3750" operator="between">
      <formula>0.8</formula>
      <formula>0.99999</formula>
    </cfRule>
    <cfRule type="cellIs" dxfId="2705" priority="3751" operator="between">
      <formula>1</formula>
      <formula>1.3</formula>
    </cfRule>
    <cfRule type="cellIs" dxfId="2704" priority="3752" operator="between">
      <formula>1.3</formula>
      <formula>1.5</formula>
    </cfRule>
    <cfRule type="cellIs" dxfId="2703" priority="3753" operator="greaterThan">
      <formula>1.5</formula>
    </cfRule>
  </conditionalFormatting>
  <conditionalFormatting sqref="B992">
    <cfRule type="cellIs" dxfId="2702" priority="4636" operator="greaterThan">
      <formula>50</formula>
    </cfRule>
    <cfRule type="cellIs" dxfId="2701" priority="4637" operator="between">
      <formula>35</formula>
      <formula>50</formula>
    </cfRule>
    <cfRule type="cellIs" dxfId="2700" priority="4638" operator="lessThan">
      <formula>35</formula>
    </cfRule>
  </conditionalFormatting>
  <conditionalFormatting sqref="B994">
    <cfRule type="cellIs" dxfId="2699" priority="4639" operator="greaterThan">
      <formula>350</formula>
    </cfRule>
    <cfRule type="cellIs" dxfId="2698" priority="4640" operator="between">
      <formula>250</formula>
      <formula>350</formula>
    </cfRule>
    <cfRule type="cellIs" dxfId="2697" priority="4641" operator="lessThan">
      <formula>250</formula>
    </cfRule>
  </conditionalFormatting>
  <conditionalFormatting sqref="B996">
    <cfRule type="cellIs" dxfId="2696" priority="3744" operator="lessThan">
      <formula>0.8</formula>
    </cfRule>
    <cfRule type="cellIs" dxfId="2695" priority="3745" operator="between">
      <formula>0.8</formula>
      <formula>0.99999</formula>
    </cfRule>
    <cfRule type="cellIs" dxfId="2694" priority="3746" operator="between">
      <formula>1</formula>
      <formula>1.3</formula>
    </cfRule>
    <cfRule type="cellIs" dxfId="2693" priority="3747" operator="between">
      <formula>1.3</formula>
      <formula>1.5</formula>
    </cfRule>
    <cfRule type="cellIs" dxfId="2692" priority="3748" operator="greaterThan">
      <formula>1.5</formula>
    </cfRule>
  </conditionalFormatting>
  <conditionalFormatting sqref="B999">
    <cfRule type="cellIs" dxfId="2691" priority="4625" operator="greaterThan">
      <formula>50</formula>
    </cfRule>
    <cfRule type="cellIs" dxfId="2690" priority="4626" operator="between">
      <formula>35</formula>
      <formula>50</formula>
    </cfRule>
    <cfRule type="cellIs" dxfId="2689" priority="4627" operator="lessThan">
      <formula>35</formula>
    </cfRule>
  </conditionalFormatting>
  <conditionalFormatting sqref="B1001">
    <cfRule type="cellIs" dxfId="2688" priority="4628" operator="greaterThan">
      <formula>350</formula>
    </cfRule>
    <cfRule type="cellIs" dxfId="2687" priority="4629" operator="between">
      <formula>250</formula>
      <formula>350</formula>
    </cfRule>
    <cfRule type="cellIs" dxfId="2686" priority="4630" operator="lessThan">
      <formula>250</formula>
    </cfRule>
  </conditionalFormatting>
  <conditionalFormatting sqref="B1003">
    <cfRule type="cellIs" dxfId="2685" priority="3739" operator="lessThan">
      <formula>0.8</formula>
    </cfRule>
    <cfRule type="cellIs" dxfId="2684" priority="3740" operator="between">
      <formula>0.8</formula>
      <formula>0.99999</formula>
    </cfRule>
    <cfRule type="cellIs" dxfId="2683" priority="3741" operator="between">
      <formula>1</formula>
      <formula>1.3</formula>
    </cfRule>
    <cfRule type="cellIs" dxfId="2682" priority="3742" operator="between">
      <formula>1.3</formula>
      <formula>1.5</formula>
    </cfRule>
    <cfRule type="cellIs" dxfId="2681" priority="3743" operator="greaterThan">
      <formula>1.5</formula>
    </cfRule>
  </conditionalFormatting>
  <conditionalFormatting sqref="B1006">
    <cfRule type="cellIs" dxfId="2680" priority="4614" operator="greaterThan">
      <formula>50</formula>
    </cfRule>
    <cfRule type="cellIs" dxfId="2679" priority="4615" operator="between">
      <formula>35</formula>
      <formula>50</formula>
    </cfRule>
    <cfRule type="cellIs" dxfId="2678" priority="4616" operator="lessThan">
      <formula>35</formula>
    </cfRule>
  </conditionalFormatting>
  <conditionalFormatting sqref="B1008">
    <cfRule type="cellIs" dxfId="2677" priority="4617" operator="greaterThan">
      <formula>350</formula>
    </cfRule>
    <cfRule type="cellIs" dxfId="2676" priority="4618" operator="between">
      <formula>250</formula>
      <formula>350</formula>
    </cfRule>
    <cfRule type="cellIs" dxfId="2675" priority="4619" operator="lessThan">
      <formula>250</formula>
    </cfRule>
  </conditionalFormatting>
  <conditionalFormatting sqref="B1010">
    <cfRule type="cellIs" dxfId="2674" priority="3734" operator="lessThan">
      <formula>0.8</formula>
    </cfRule>
    <cfRule type="cellIs" dxfId="2673" priority="3735" operator="between">
      <formula>0.8</formula>
      <formula>0.99999</formula>
    </cfRule>
    <cfRule type="cellIs" dxfId="2672" priority="3736" operator="between">
      <formula>1</formula>
      <formula>1.3</formula>
    </cfRule>
    <cfRule type="cellIs" dxfId="2671" priority="3737" operator="between">
      <formula>1.3</formula>
      <formula>1.5</formula>
    </cfRule>
    <cfRule type="cellIs" dxfId="2670" priority="3738" operator="greaterThan">
      <formula>1.5</formula>
    </cfRule>
  </conditionalFormatting>
  <conditionalFormatting sqref="B1013">
    <cfRule type="cellIs" dxfId="2669" priority="4603" operator="greaterThan">
      <formula>50</formula>
    </cfRule>
    <cfRule type="cellIs" dxfId="2668" priority="4604" operator="between">
      <formula>35</formula>
      <formula>50</formula>
    </cfRule>
    <cfRule type="cellIs" dxfId="2667" priority="4605" operator="lessThan">
      <formula>35</formula>
    </cfRule>
  </conditionalFormatting>
  <conditionalFormatting sqref="B1015">
    <cfRule type="cellIs" dxfId="2666" priority="4606" operator="greaterThan">
      <formula>350</formula>
    </cfRule>
    <cfRule type="cellIs" dxfId="2665" priority="4607" operator="between">
      <formula>250</formula>
      <formula>350</formula>
    </cfRule>
    <cfRule type="cellIs" dxfId="2664" priority="4608" operator="lessThan">
      <formula>250</formula>
    </cfRule>
  </conditionalFormatting>
  <conditionalFormatting sqref="B1017">
    <cfRule type="cellIs" dxfId="2663" priority="3729" operator="lessThan">
      <formula>0.8</formula>
    </cfRule>
    <cfRule type="cellIs" dxfId="2662" priority="3730" operator="between">
      <formula>0.8</formula>
      <formula>0.99999</formula>
    </cfRule>
    <cfRule type="cellIs" dxfId="2661" priority="3731" operator="between">
      <formula>1</formula>
      <formula>1.3</formula>
    </cfRule>
    <cfRule type="cellIs" dxfId="2660" priority="3732" operator="between">
      <formula>1.3</formula>
      <formula>1.5</formula>
    </cfRule>
    <cfRule type="cellIs" dxfId="2659" priority="3733" operator="greaterThan">
      <formula>1.5</formula>
    </cfRule>
  </conditionalFormatting>
  <conditionalFormatting sqref="B1020">
    <cfRule type="cellIs" dxfId="2658" priority="4592" operator="greaterThan">
      <formula>50</formula>
    </cfRule>
    <cfRule type="cellIs" dxfId="2657" priority="4593" operator="between">
      <formula>35</formula>
      <formula>50</formula>
    </cfRule>
    <cfRule type="cellIs" dxfId="2656" priority="4594" operator="lessThan">
      <formula>35</formula>
    </cfRule>
  </conditionalFormatting>
  <conditionalFormatting sqref="B1022">
    <cfRule type="cellIs" dxfId="2655" priority="4595" operator="greaterThan">
      <formula>350</formula>
    </cfRule>
    <cfRule type="cellIs" dxfId="2654" priority="4596" operator="between">
      <formula>250</formula>
      <formula>350</formula>
    </cfRule>
    <cfRule type="cellIs" dxfId="2653" priority="4597" operator="lessThan">
      <formula>250</formula>
    </cfRule>
  </conditionalFormatting>
  <conditionalFormatting sqref="B1024">
    <cfRule type="cellIs" dxfId="2652" priority="3724" operator="lessThan">
      <formula>0.8</formula>
    </cfRule>
    <cfRule type="cellIs" dxfId="2651" priority="3725" operator="between">
      <formula>0.8</formula>
      <formula>0.99999</formula>
    </cfRule>
    <cfRule type="cellIs" dxfId="2650" priority="3726" operator="between">
      <formula>1</formula>
      <formula>1.3</formula>
    </cfRule>
    <cfRule type="cellIs" dxfId="2649" priority="3727" operator="between">
      <formula>1.3</formula>
      <formula>1.5</formula>
    </cfRule>
    <cfRule type="cellIs" dxfId="2648" priority="3728" operator="greaterThan">
      <formula>1.5</formula>
    </cfRule>
  </conditionalFormatting>
  <conditionalFormatting sqref="B1027">
    <cfRule type="cellIs" dxfId="2647" priority="4581" operator="greaterThan">
      <formula>50</formula>
    </cfRule>
    <cfRule type="cellIs" dxfId="2646" priority="4582" operator="between">
      <formula>35</formula>
      <formula>50</formula>
    </cfRule>
    <cfRule type="cellIs" dxfId="2645" priority="4583" operator="lessThan">
      <formula>35</formula>
    </cfRule>
  </conditionalFormatting>
  <conditionalFormatting sqref="B1029">
    <cfRule type="cellIs" dxfId="2644" priority="4584" operator="greaterThan">
      <formula>350</formula>
    </cfRule>
    <cfRule type="cellIs" dxfId="2643" priority="4585" operator="between">
      <formula>250</formula>
      <formula>350</formula>
    </cfRule>
    <cfRule type="cellIs" dxfId="2642" priority="4586" operator="lessThan">
      <formula>250</formula>
    </cfRule>
  </conditionalFormatting>
  <conditionalFormatting sqref="B1031">
    <cfRule type="cellIs" dxfId="2641" priority="3719" operator="lessThan">
      <formula>0.8</formula>
    </cfRule>
    <cfRule type="cellIs" dxfId="2640" priority="3720" operator="between">
      <formula>0.8</formula>
      <formula>0.99999</formula>
    </cfRule>
    <cfRule type="cellIs" dxfId="2639" priority="3721" operator="between">
      <formula>1</formula>
      <formula>1.3</formula>
    </cfRule>
    <cfRule type="cellIs" dxfId="2638" priority="3722" operator="between">
      <formula>1.3</formula>
      <formula>1.5</formula>
    </cfRule>
    <cfRule type="cellIs" dxfId="2637" priority="3723" operator="greaterThan">
      <formula>1.5</formula>
    </cfRule>
  </conditionalFormatting>
  <conditionalFormatting sqref="B1034">
    <cfRule type="cellIs" dxfId="2636" priority="4570" operator="greaterThan">
      <formula>50</formula>
    </cfRule>
    <cfRule type="cellIs" dxfId="2635" priority="4571" operator="between">
      <formula>35</formula>
      <formula>50</formula>
    </cfRule>
    <cfRule type="cellIs" dxfId="2634" priority="4572" operator="lessThan">
      <formula>35</formula>
    </cfRule>
  </conditionalFormatting>
  <conditionalFormatting sqref="B1036">
    <cfRule type="cellIs" dxfId="2633" priority="4573" operator="greaterThan">
      <formula>350</formula>
    </cfRule>
    <cfRule type="cellIs" dxfId="2632" priority="4574" operator="between">
      <formula>250</formula>
      <formula>350</formula>
    </cfRule>
    <cfRule type="cellIs" dxfId="2631" priority="4575" operator="lessThan">
      <formula>250</formula>
    </cfRule>
  </conditionalFormatting>
  <conditionalFormatting sqref="B1038">
    <cfRule type="cellIs" dxfId="2630" priority="4565" operator="lessThan">
      <formula>0.8</formula>
    </cfRule>
    <cfRule type="cellIs" dxfId="2629" priority="4566" operator="between">
      <formula>0.8</formula>
      <formula>0.99999</formula>
    </cfRule>
    <cfRule type="cellIs" dxfId="2628" priority="4567" operator="between">
      <formula>1</formula>
      <formula>1.3</formula>
    </cfRule>
    <cfRule type="cellIs" dxfId="2627" priority="4568" operator="between">
      <formula>1.3</formula>
      <formula>1.5</formula>
    </cfRule>
    <cfRule type="cellIs" dxfId="2626" priority="4569" operator="greaterThan">
      <formula>1.5</formula>
    </cfRule>
  </conditionalFormatting>
  <conditionalFormatting sqref="B1041">
    <cfRule type="cellIs" dxfId="2625" priority="4559" operator="greaterThan">
      <formula>50</formula>
    </cfRule>
    <cfRule type="cellIs" dxfId="2624" priority="4560" operator="between">
      <formula>35</formula>
      <formula>50</formula>
    </cfRule>
    <cfRule type="cellIs" dxfId="2623" priority="4561" operator="lessThan">
      <formula>35</formula>
    </cfRule>
  </conditionalFormatting>
  <conditionalFormatting sqref="B1043">
    <cfRule type="cellIs" dxfId="2622" priority="4562" operator="greaterThan">
      <formula>350</formula>
    </cfRule>
    <cfRule type="cellIs" dxfId="2621" priority="4563" operator="between">
      <formula>250</formula>
      <formula>350</formula>
    </cfRule>
    <cfRule type="cellIs" dxfId="2620" priority="4564" operator="lessThan">
      <formula>250</formula>
    </cfRule>
  </conditionalFormatting>
  <conditionalFormatting sqref="B1045">
    <cfRule type="cellIs" dxfId="2619" priority="4554" operator="lessThan">
      <formula>0.8</formula>
    </cfRule>
    <cfRule type="cellIs" dxfId="2618" priority="4555" operator="between">
      <formula>0.8</formula>
      <formula>0.99999</formula>
    </cfRule>
    <cfRule type="cellIs" dxfId="2617" priority="4556" operator="between">
      <formula>1</formula>
      <formula>1.3</formula>
    </cfRule>
    <cfRule type="cellIs" dxfId="2616" priority="4557" operator="between">
      <formula>1.3</formula>
      <formula>1.5</formula>
    </cfRule>
    <cfRule type="cellIs" dxfId="2615" priority="4558" operator="greaterThan">
      <formula>1.5</formula>
    </cfRule>
  </conditionalFormatting>
  <conditionalFormatting sqref="B1048">
    <cfRule type="cellIs" dxfId="2614" priority="4548" operator="greaterThan">
      <formula>50</formula>
    </cfRule>
    <cfRule type="cellIs" dxfId="2613" priority="4549" operator="between">
      <formula>35</formula>
      <formula>50</formula>
    </cfRule>
    <cfRule type="cellIs" dxfId="2612" priority="4550" operator="lessThan">
      <formula>35</formula>
    </cfRule>
  </conditionalFormatting>
  <conditionalFormatting sqref="B1050">
    <cfRule type="cellIs" dxfId="2611" priority="4551" operator="greaterThan">
      <formula>350</formula>
    </cfRule>
    <cfRule type="cellIs" dxfId="2610" priority="4552" operator="between">
      <formula>250</formula>
      <formula>350</formula>
    </cfRule>
    <cfRule type="cellIs" dxfId="2609" priority="4553" operator="lessThan">
      <formula>250</formula>
    </cfRule>
  </conditionalFormatting>
  <conditionalFormatting sqref="B1052">
    <cfRule type="cellIs" dxfId="2608" priority="4543" operator="lessThan">
      <formula>0.8</formula>
    </cfRule>
    <cfRule type="cellIs" dxfId="2607" priority="4544" operator="between">
      <formula>0.8</formula>
      <formula>0.99999</formula>
    </cfRule>
    <cfRule type="cellIs" dxfId="2606" priority="4545" operator="between">
      <formula>1</formula>
      <formula>1.3</formula>
    </cfRule>
    <cfRule type="cellIs" dxfId="2605" priority="4546" operator="between">
      <formula>1.3</formula>
      <formula>1.5</formula>
    </cfRule>
    <cfRule type="cellIs" dxfId="2604" priority="4547" operator="greaterThan">
      <formula>1.5</formula>
    </cfRule>
  </conditionalFormatting>
  <conditionalFormatting sqref="B1055">
    <cfRule type="cellIs" dxfId="2603" priority="4537" operator="greaterThan">
      <formula>50</formula>
    </cfRule>
    <cfRule type="cellIs" dxfId="2602" priority="4538" operator="between">
      <formula>35</formula>
      <formula>50</formula>
    </cfRule>
    <cfRule type="cellIs" dxfId="2601" priority="4539" operator="lessThan">
      <formula>35</formula>
    </cfRule>
  </conditionalFormatting>
  <conditionalFormatting sqref="B1057">
    <cfRule type="cellIs" dxfId="2600" priority="4540" operator="greaterThan">
      <formula>350</formula>
    </cfRule>
    <cfRule type="cellIs" dxfId="2599" priority="4541" operator="between">
      <formula>250</formula>
      <formula>350</formula>
    </cfRule>
    <cfRule type="cellIs" dxfId="2598" priority="4542" operator="lessThan">
      <formula>250</formula>
    </cfRule>
  </conditionalFormatting>
  <conditionalFormatting sqref="B1059">
    <cfRule type="cellIs" dxfId="2597" priority="4532" operator="lessThan">
      <formula>0.8</formula>
    </cfRule>
    <cfRule type="cellIs" dxfId="2596" priority="4533" operator="between">
      <formula>0.8</formula>
      <formula>0.99999</formula>
    </cfRule>
    <cfRule type="cellIs" dxfId="2595" priority="4534" operator="between">
      <formula>1</formula>
      <formula>1.3</formula>
    </cfRule>
    <cfRule type="cellIs" dxfId="2594" priority="4535" operator="between">
      <formula>1.3</formula>
      <formula>1.5</formula>
    </cfRule>
    <cfRule type="cellIs" dxfId="2593" priority="4536" operator="greaterThan">
      <formula>1.5</formula>
    </cfRule>
  </conditionalFormatting>
  <conditionalFormatting sqref="B1062">
    <cfRule type="cellIs" dxfId="2592" priority="4526" operator="greaterThan">
      <formula>50</formula>
    </cfRule>
    <cfRule type="cellIs" dxfId="2591" priority="4527" operator="between">
      <formula>35</formula>
      <formula>50</formula>
    </cfRule>
    <cfRule type="cellIs" dxfId="2590" priority="4528" operator="lessThan">
      <formula>35</formula>
    </cfRule>
  </conditionalFormatting>
  <conditionalFormatting sqref="B1064">
    <cfRule type="cellIs" dxfId="2589" priority="4529" operator="greaterThan">
      <formula>350</formula>
    </cfRule>
    <cfRule type="cellIs" dxfId="2588" priority="4530" operator="between">
      <formula>250</formula>
      <formula>350</formula>
    </cfRule>
    <cfRule type="cellIs" dxfId="2587" priority="4531" operator="lessThan">
      <formula>250</formula>
    </cfRule>
  </conditionalFormatting>
  <conditionalFormatting sqref="B1066">
    <cfRule type="cellIs" dxfId="2586" priority="4521" operator="lessThan">
      <formula>0.8</formula>
    </cfRule>
    <cfRule type="cellIs" dxfId="2585" priority="4522" operator="between">
      <formula>0.8</formula>
      <formula>0.99999</formula>
    </cfRule>
    <cfRule type="cellIs" dxfId="2584" priority="4523" operator="between">
      <formula>1</formula>
      <formula>1.3</formula>
    </cfRule>
    <cfRule type="cellIs" dxfId="2583" priority="4524" operator="between">
      <formula>1.3</formula>
      <formula>1.5</formula>
    </cfRule>
    <cfRule type="cellIs" dxfId="2582" priority="4525" operator="greaterThan">
      <formula>1.5</formula>
    </cfRule>
  </conditionalFormatting>
  <conditionalFormatting sqref="B1069">
    <cfRule type="cellIs" dxfId="2581" priority="4515" operator="greaterThan">
      <formula>50</formula>
    </cfRule>
    <cfRule type="cellIs" dxfId="2580" priority="4516" operator="between">
      <formula>35</formula>
      <formula>50</formula>
    </cfRule>
    <cfRule type="cellIs" dxfId="2579" priority="4517" operator="lessThan">
      <formula>35</formula>
    </cfRule>
  </conditionalFormatting>
  <conditionalFormatting sqref="B1071">
    <cfRule type="cellIs" dxfId="2578" priority="4518" operator="greaterThan">
      <formula>350</formula>
    </cfRule>
    <cfRule type="cellIs" dxfId="2577" priority="4519" operator="between">
      <formula>250</formula>
      <formula>350</formula>
    </cfRule>
    <cfRule type="cellIs" dxfId="2576" priority="4520" operator="lessThan">
      <formula>250</formula>
    </cfRule>
  </conditionalFormatting>
  <conditionalFormatting sqref="B1073">
    <cfRule type="cellIs" dxfId="2575" priority="4510" operator="lessThan">
      <formula>0.8</formula>
    </cfRule>
    <cfRule type="cellIs" dxfId="2574" priority="4511" operator="between">
      <formula>0.8</formula>
      <formula>0.99999</formula>
    </cfRule>
    <cfRule type="cellIs" dxfId="2573" priority="4512" operator="between">
      <formula>1</formula>
      <formula>1.3</formula>
    </cfRule>
    <cfRule type="cellIs" dxfId="2572" priority="4513" operator="between">
      <formula>1.3</formula>
      <formula>1.5</formula>
    </cfRule>
    <cfRule type="cellIs" dxfId="2571" priority="4514" operator="greaterThan">
      <formula>1.5</formula>
    </cfRule>
  </conditionalFormatting>
  <conditionalFormatting sqref="B1076">
    <cfRule type="cellIs" dxfId="2570" priority="4504" operator="greaterThan">
      <formula>50</formula>
    </cfRule>
    <cfRule type="cellIs" dxfId="2569" priority="4505" operator="between">
      <formula>35</formula>
      <formula>50</formula>
    </cfRule>
    <cfRule type="cellIs" dxfId="2568" priority="4506" operator="lessThan">
      <formula>35</formula>
    </cfRule>
  </conditionalFormatting>
  <conditionalFormatting sqref="B1078">
    <cfRule type="cellIs" dxfId="2567" priority="4507" operator="greaterThan">
      <formula>350</formula>
    </cfRule>
    <cfRule type="cellIs" dxfId="2566" priority="4508" operator="between">
      <formula>250</formula>
      <formula>350</formula>
    </cfRule>
    <cfRule type="cellIs" dxfId="2565" priority="4509" operator="lessThan">
      <formula>250</formula>
    </cfRule>
  </conditionalFormatting>
  <conditionalFormatting sqref="B1080">
    <cfRule type="cellIs" dxfId="2564" priority="4499" operator="lessThan">
      <formula>0.8</formula>
    </cfRule>
    <cfRule type="cellIs" dxfId="2563" priority="4500" operator="between">
      <formula>0.8</formula>
      <formula>0.99999</formula>
    </cfRule>
    <cfRule type="cellIs" dxfId="2562" priority="4501" operator="between">
      <formula>1</formula>
      <formula>1.3</formula>
    </cfRule>
    <cfRule type="cellIs" dxfId="2561" priority="4502" operator="between">
      <formula>1.3</formula>
      <formula>1.5</formula>
    </cfRule>
    <cfRule type="cellIs" dxfId="2560" priority="4503" operator="greaterThan">
      <formula>1.5</formula>
    </cfRule>
  </conditionalFormatting>
  <conditionalFormatting sqref="B1083">
    <cfRule type="cellIs" dxfId="2559" priority="4493" operator="greaterThan">
      <formula>50</formula>
    </cfRule>
    <cfRule type="cellIs" dxfId="2558" priority="4494" operator="between">
      <formula>35</formula>
      <formula>50</formula>
    </cfRule>
    <cfRule type="cellIs" dxfId="2557" priority="4495" operator="lessThan">
      <formula>35</formula>
    </cfRule>
  </conditionalFormatting>
  <conditionalFormatting sqref="B1085">
    <cfRule type="cellIs" dxfId="2556" priority="4496" operator="greaterThan">
      <formula>350</formula>
    </cfRule>
    <cfRule type="cellIs" dxfId="2555" priority="4497" operator="between">
      <formula>250</formula>
      <formula>350</formula>
    </cfRule>
    <cfRule type="cellIs" dxfId="2554" priority="4498" operator="lessThan">
      <formula>250</formula>
    </cfRule>
  </conditionalFormatting>
  <conditionalFormatting sqref="B1087">
    <cfRule type="cellIs" dxfId="2553" priority="4488" operator="lessThan">
      <formula>0.8</formula>
    </cfRule>
    <cfRule type="cellIs" dxfId="2552" priority="4489" operator="between">
      <formula>0.8</formula>
      <formula>0.99999</formula>
    </cfRule>
    <cfRule type="cellIs" dxfId="2551" priority="4490" operator="between">
      <formula>1</formula>
      <formula>1.3</formula>
    </cfRule>
    <cfRule type="cellIs" dxfId="2550" priority="4491" operator="between">
      <formula>1.3</formula>
      <formula>1.5</formula>
    </cfRule>
    <cfRule type="cellIs" dxfId="2549" priority="4492" operator="greaterThan">
      <formula>1.5</formula>
    </cfRule>
  </conditionalFormatting>
  <conditionalFormatting sqref="B1090">
    <cfRule type="cellIs" dxfId="2548" priority="4482" operator="greaterThan">
      <formula>50</formula>
    </cfRule>
    <cfRule type="cellIs" dxfId="2547" priority="4483" operator="between">
      <formula>35</formula>
      <formula>50</formula>
    </cfRule>
    <cfRule type="cellIs" dxfId="2546" priority="4484" operator="lessThan">
      <formula>35</formula>
    </cfRule>
  </conditionalFormatting>
  <conditionalFormatting sqref="B1092">
    <cfRule type="cellIs" dxfId="2545" priority="4485" operator="greaterThan">
      <formula>350</formula>
    </cfRule>
    <cfRule type="cellIs" dxfId="2544" priority="4486" operator="between">
      <formula>250</formula>
      <formula>350</formula>
    </cfRule>
    <cfRule type="cellIs" dxfId="2543" priority="4487" operator="lessThan">
      <formula>250</formula>
    </cfRule>
  </conditionalFormatting>
  <conditionalFormatting sqref="B1094">
    <cfRule type="cellIs" dxfId="2542" priority="4477" operator="lessThan">
      <formula>0.8</formula>
    </cfRule>
    <cfRule type="cellIs" dxfId="2541" priority="4478" operator="between">
      <formula>0.8</formula>
      <formula>0.99999</formula>
    </cfRule>
    <cfRule type="cellIs" dxfId="2540" priority="4479" operator="between">
      <formula>1</formula>
      <formula>1.3</formula>
    </cfRule>
    <cfRule type="cellIs" dxfId="2539" priority="4480" operator="between">
      <formula>1.3</formula>
      <formula>1.5</formula>
    </cfRule>
    <cfRule type="cellIs" dxfId="2538" priority="4481" operator="greaterThan">
      <formula>1.5</formula>
    </cfRule>
  </conditionalFormatting>
  <conditionalFormatting sqref="B1097">
    <cfRule type="cellIs" dxfId="2537" priority="4471" operator="greaterThan">
      <formula>50</formula>
    </cfRule>
    <cfRule type="cellIs" dxfId="2536" priority="4472" operator="between">
      <formula>35</formula>
      <formula>50</formula>
    </cfRule>
    <cfRule type="cellIs" dxfId="2535" priority="4473" operator="lessThan">
      <formula>35</formula>
    </cfRule>
  </conditionalFormatting>
  <conditionalFormatting sqref="B1099">
    <cfRule type="cellIs" dxfId="2534" priority="4474" operator="greaterThan">
      <formula>350</formula>
    </cfRule>
    <cfRule type="cellIs" dxfId="2533" priority="4475" operator="between">
      <formula>250</formula>
      <formula>350</formula>
    </cfRule>
    <cfRule type="cellIs" dxfId="2532" priority="4476" operator="lessThan">
      <formula>250</formula>
    </cfRule>
  </conditionalFormatting>
  <conditionalFormatting sqref="B1101">
    <cfRule type="cellIs" dxfId="2531" priority="4466" operator="lessThan">
      <formula>0.8</formula>
    </cfRule>
    <cfRule type="cellIs" dxfId="2530" priority="4467" operator="between">
      <formula>0.8</formula>
      <formula>0.99999</formula>
    </cfRule>
    <cfRule type="cellIs" dxfId="2529" priority="4468" operator="between">
      <formula>1</formula>
      <formula>1.3</formula>
    </cfRule>
    <cfRule type="cellIs" dxfId="2528" priority="4469" operator="between">
      <formula>1.3</formula>
      <formula>1.5</formula>
    </cfRule>
    <cfRule type="cellIs" dxfId="2527" priority="4470" operator="greaterThan">
      <formula>1.5</formula>
    </cfRule>
  </conditionalFormatting>
  <conditionalFormatting sqref="B1104">
    <cfRule type="cellIs" dxfId="2526" priority="4460" operator="greaterThan">
      <formula>50</formula>
    </cfRule>
    <cfRule type="cellIs" dxfId="2525" priority="4461" operator="between">
      <formula>35</formula>
      <formula>50</formula>
    </cfRule>
    <cfRule type="cellIs" dxfId="2524" priority="4462" operator="lessThan">
      <formula>35</formula>
    </cfRule>
  </conditionalFormatting>
  <conditionalFormatting sqref="B1106">
    <cfRule type="cellIs" dxfId="2523" priority="4463" operator="greaterThan">
      <formula>350</formula>
    </cfRule>
    <cfRule type="cellIs" dxfId="2522" priority="4464" operator="between">
      <formula>250</formula>
      <formula>350</formula>
    </cfRule>
    <cfRule type="cellIs" dxfId="2521" priority="4465" operator="lessThan">
      <formula>250</formula>
    </cfRule>
  </conditionalFormatting>
  <conditionalFormatting sqref="B1108">
    <cfRule type="cellIs" dxfId="2520" priority="4455" operator="lessThan">
      <formula>0.8</formula>
    </cfRule>
    <cfRule type="cellIs" dxfId="2519" priority="4456" operator="between">
      <formula>0.8</formula>
      <formula>0.99999</formula>
    </cfRule>
    <cfRule type="cellIs" dxfId="2518" priority="4457" operator="between">
      <formula>1</formula>
      <formula>1.3</formula>
    </cfRule>
    <cfRule type="cellIs" dxfId="2517" priority="4458" operator="between">
      <formula>1.3</formula>
      <formula>1.5</formula>
    </cfRule>
    <cfRule type="cellIs" dxfId="2516" priority="4459" operator="greaterThan">
      <formula>1.5</formula>
    </cfRule>
  </conditionalFormatting>
  <conditionalFormatting sqref="B1111">
    <cfRule type="cellIs" dxfId="2515" priority="4449" operator="greaterThan">
      <formula>50</formula>
    </cfRule>
    <cfRule type="cellIs" dxfId="2514" priority="4450" operator="between">
      <formula>35</formula>
      <formula>50</formula>
    </cfRule>
    <cfRule type="cellIs" dxfId="2513" priority="4451" operator="lessThan">
      <formula>35</formula>
    </cfRule>
  </conditionalFormatting>
  <conditionalFormatting sqref="B1113">
    <cfRule type="cellIs" dxfId="2512" priority="4452" operator="greaterThan">
      <formula>350</formula>
    </cfRule>
    <cfRule type="cellIs" dxfId="2511" priority="4453" operator="between">
      <formula>250</formula>
      <formula>350</formula>
    </cfRule>
    <cfRule type="cellIs" dxfId="2510" priority="4454" operator="lessThan">
      <formula>250</formula>
    </cfRule>
  </conditionalFormatting>
  <conditionalFormatting sqref="B1115">
    <cfRule type="cellIs" dxfId="2509" priority="4444" operator="lessThan">
      <formula>0.8</formula>
    </cfRule>
    <cfRule type="cellIs" dxfId="2508" priority="4445" operator="between">
      <formula>0.8</formula>
      <formula>0.99999</formula>
    </cfRule>
    <cfRule type="cellIs" dxfId="2507" priority="4446" operator="between">
      <formula>1</formula>
      <formula>1.3</formula>
    </cfRule>
    <cfRule type="cellIs" dxfId="2506" priority="4447" operator="between">
      <formula>1.3</formula>
      <formula>1.5</formula>
    </cfRule>
    <cfRule type="cellIs" dxfId="2505" priority="4448" operator="greaterThan">
      <formula>1.5</formula>
    </cfRule>
  </conditionalFormatting>
  <conditionalFormatting sqref="B1118">
    <cfRule type="cellIs" dxfId="2504" priority="3559" operator="greaterThan">
      <formula>50</formula>
    </cfRule>
    <cfRule type="cellIs" dxfId="2503" priority="3560" operator="between">
      <formula>35</formula>
      <formula>50</formula>
    </cfRule>
    <cfRule type="cellIs" dxfId="2502" priority="3561" operator="lessThan">
      <formula>35</formula>
    </cfRule>
  </conditionalFormatting>
  <conditionalFormatting sqref="B1120">
    <cfRule type="cellIs" dxfId="2501" priority="3562" operator="greaterThan">
      <formula>350</formula>
    </cfRule>
    <cfRule type="cellIs" dxfId="2500" priority="3563" operator="between">
      <formula>250</formula>
      <formula>350</formula>
    </cfRule>
    <cfRule type="cellIs" dxfId="2499" priority="3564" operator="lessThan">
      <formula>250</formula>
    </cfRule>
  </conditionalFormatting>
  <conditionalFormatting sqref="B1122">
    <cfRule type="cellIs" dxfId="2498" priority="3554" operator="lessThan">
      <formula>0.8</formula>
    </cfRule>
    <cfRule type="cellIs" dxfId="2497" priority="3555" operator="between">
      <formula>0.8</formula>
      <formula>0.99999</formula>
    </cfRule>
    <cfRule type="cellIs" dxfId="2496" priority="3556" operator="between">
      <formula>1</formula>
      <formula>1.3</formula>
    </cfRule>
    <cfRule type="cellIs" dxfId="2495" priority="3557" operator="between">
      <formula>1.3</formula>
      <formula>1.5</formula>
    </cfRule>
    <cfRule type="cellIs" dxfId="2494" priority="3558" operator="greaterThan">
      <formula>1.5</formula>
    </cfRule>
  </conditionalFormatting>
  <conditionalFormatting sqref="B1125">
    <cfRule type="cellIs" dxfId="2493" priority="3548" operator="greaterThan">
      <formula>50</formula>
    </cfRule>
    <cfRule type="cellIs" dxfId="2492" priority="3549" operator="between">
      <formula>35</formula>
      <formula>50</formula>
    </cfRule>
    <cfRule type="cellIs" dxfId="2491" priority="3550" operator="lessThan">
      <formula>35</formula>
    </cfRule>
  </conditionalFormatting>
  <conditionalFormatting sqref="B1127">
    <cfRule type="cellIs" dxfId="2490" priority="3551" operator="greaterThan">
      <formula>350</formula>
    </cfRule>
    <cfRule type="cellIs" dxfId="2489" priority="3552" operator="between">
      <formula>250</formula>
      <formula>350</formula>
    </cfRule>
    <cfRule type="cellIs" dxfId="2488" priority="3553" operator="lessThan">
      <formula>250</formula>
    </cfRule>
  </conditionalFormatting>
  <conditionalFormatting sqref="B1129">
    <cfRule type="cellIs" dxfId="2487" priority="3543" operator="lessThan">
      <formula>0.8</formula>
    </cfRule>
    <cfRule type="cellIs" dxfId="2486" priority="3544" operator="between">
      <formula>0.8</formula>
      <formula>0.99999</formula>
    </cfRule>
    <cfRule type="cellIs" dxfId="2485" priority="3545" operator="between">
      <formula>1</formula>
      <formula>1.3</formula>
    </cfRule>
    <cfRule type="cellIs" dxfId="2484" priority="3546" operator="between">
      <formula>1.3</formula>
      <formula>1.5</formula>
    </cfRule>
    <cfRule type="cellIs" dxfId="2483" priority="3547" operator="greaterThan">
      <formula>1.5</formula>
    </cfRule>
  </conditionalFormatting>
  <conditionalFormatting sqref="B1132">
    <cfRule type="cellIs" dxfId="2482" priority="3537" operator="greaterThan">
      <formula>50</formula>
    </cfRule>
    <cfRule type="cellIs" dxfId="2481" priority="3538" operator="between">
      <formula>35</formula>
      <formula>50</formula>
    </cfRule>
    <cfRule type="cellIs" dxfId="2480" priority="3539" operator="lessThan">
      <formula>35</formula>
    </cfRule>
  </conditionalFormatting>
  <conditionalFormatting sqref="B1134">
    <cfRule type="cellIs" dxfId="2479" priority="3540" operator="greaterThan">
      <formula>350</formula>
    </cfRule>
    <cfRule type="cellIs" dxfId="2478" priority="3541" operator="between">
      <formula>250</formula>
      <formula>350</formula>
    </cfRule>
    <cfRule type="cellIs" dxfId="2477" priority="3542" operator="lessThan">
      <formula>250</formula>
    </cfRule>
  </conditionalFormatting>
  <conditionalFormatting sqref="B1136">
    <cfRule type="cellIs" dxfId="2476" priority="3532" operator="lessThan">
      <formula>0.8</formula>
    </cfRule>
    <cfRule type="cellIs" dxfId="2475" priority="3533" operator="between">
      <formula>0.8</formula>
      <formula>0.99999</formula>
    </cfRule>
    <cfRule type="cellIs" dxfId="2474" priority="3534" operator="between">
      <formula>1</formula>
      <formula>1.3</formula>
    </cfRule>
    <cfRule type="cellIs" dxfId="2473" priority="3535" operator="between">
      <formula>1.3</formula>
      <formula>1.5</formula>
    </cfRule>
    <cfRule type="cellIs" dxfId="2472" priority="3536" operator="greaterThan">
      <formula>1.5</formula>
    </cfRule>
  </conditionalFormatting>
  <conditionalFormatting sqref="B1139">
    <cfRule type="cellIs" dxfId="2471" priority="3526" operator="greaterThan">
      <formula>50</formula>
    </cfRule>
    <cfRule type="cellIs" dxfId="2470" priority="3527" operator="between">
      <formula>35</formula>
      <formula>50</formula>
    </cfRule>
    <cfRule type="cellIs" dxfId="2469" priority="3528" operator="lessThan">
      <formula>35</formula>
    </cfRule>
  </conditionalFormatting>
  <conditionalFormatting sqref="B1141">
    <cfRule type="cellIs" dxfId="2468" priority="3529" operator="greaterThan">
      <formula>350</formula>
    </cfRule>
    <cfRule type="cellIs" dxfId="2467" priority="3530" operator="between">
      <formula>250</formula>
      <formula>350</formula>
    </cfRule>
    <cfRule type="cellIs" dxfId="2466" priority="3531" operator="lessThan">
      <formula>250</formula>
    </cfRule>
  </conditionalFormatting>
  <conditionalFormatting sqref="B1143">
    <cfRule type="cellIs" dxfId="2465" priority="3521" operator="lessThan">
      <formula>0.8</formula>
    </cfRule>
    <cfRule type="cellIs" dxfId="2464" priority="3522" operator="between">
      <formula>0.8</formula>
      <formula>0.99999</formula>
    </cfRule>
    <cfRule type="cellIs" dxfId="2463" priority="3523" operator="between">
      <formula>1</formula>
      <formula>1.3</formula>
    </cfRule>
    <cfRule type="cellIs" dxfId="2462" priority="3524" operator="between">
      <formula>1.3</formula>
      <formula>1.5</formula>
    </cfRule>
    <cfRule type="cellIs" dxfId="2461" priority="3525" operator="greaterThan">
      <formula>1.5</formula>
    </cfRule>
  </conditionalFormatting>
  <conditionalFormatting sqref="B1146">
    <cfRule type="cellIs" dxfId="2460" priority="3515" operator="greaterThan">
      <formula>50</formula>
    </cfRule>
    <cfRule type="cellIs" dxfId="2459" priority="3516" operator="between">
      <formula>35</formula>
      <formula>50</formula>
    </cfRule>
    <cfRule type="cellIs" dxfId="2458" priority="3517" operator="lessThan">
      <formula>35</formula>
    </cfRule>
  </conditionalFormatting>
  <conditionalFormatting sqref="B1148">
    <cfRule type="cellIs" dxfId="2457" priority="3518" operator="greaterThan">
      <formula>350</formula>
    </cfRule>
    <cfRule type="cellIs" dxfId="2456" priority="3519" operator="between">
      <formula>250</formula>
      <formula>350</formula>
    </cfRule>
    <cfRule type="cellIs" dxfId="2455" priority="3520" operator="lessThan">
      <formula>250</formula>
    </cfRule>
  </conditionalFormatting>
  <conditionalFormatting sqref="B1150">
    <cfRule type="cellIs" dxfId="2454" priority="3510" operator="lessThan">
      <formula>0.8</formula>
    </cfRule>
    <cfRule type="cellIs" dxfId="2453" priority="3511" operator="between">
      <formula>0.8</formula>
      <formula>0.99999</formula>
    </cfRule>
    <cfRule type="cellIs" dxfId="2452" priority="3512" operator="between">
      <formula>1</formula>
      <formula>1.3</formula>
    </cfRule>
    <cfRule type="cellIs" dxfId="2451" priority="3513" operator="between">
      <formula>1.3</formula>
      <formula>1.5</formula>
    </cfRule>
    <cfRule type="cellIs" dxfId="2450" priority="3514" operator="greaterThan">
      <formula>1.5</formula>
    </cfRule>
  </conditionalFormatting>
  <conditionalFormatting sqref="B1153">
    <cfRule type="cellIs" dxfId="2449" priority="3504" operator="greaterThan">
      <formula>50</formula>
    </cfRule>
    <cfRule type="cellIs" dxfId="2448" priority="3505" operator="between">
      <formula>35</formula>
      <formula>50</formula>
    </cfRule>
    <cfRule type="cellIs" dxfId="2447" priority="3506" operator="lessThan">
      <formula>35</formula>
    </cfRule>
  </conditionalFormatting>
  <conditionalFormatting sqref="B1155">
    <cfRule type="cellIs" dxfId="2446" priority="3507" operator="greaterThan">
      <formula>350</formula>
    </cfRule>
    <cfRule type="cellIs" dxfId="2445" priority="3508" operator="between">
      <formula>250</formula>
      <formula>350</formula>
    </cfRule>
    <cfRule type="cellIs" dxfId="2444" priority="3509" operator="lessThan">
      <formula>250</formula>
    </cfRule>
  </conditionalFormatting>
  <conditionalFormatting sqref="B1157">
    <cfRule type="cellIs" dxfId="2443" priority="3499" operator="lessThan">
      <formula>0.8</formula>
    </cfRule>
    <cfRule type="cellIs" dxfId="2442" priority="3500" operator="between">
      <formula>0.8</formula>
      <formula>0.99999</formula>
    </cfRule>
    <cfRule type="cellIs" dxfId="2441" priority="3501" operator="between">
      <formula>1</formula>
      <formula>1.3</formula>
    </cfRule>
    <cfRule type="cellIs" dxfId="2440" priority="3502" operator="between">
      <formula>1.3</formula>
      <formula>1.5</formula>
    </cfRule>
    <cfRule type="cellIs" dxfId="2439" priority="3503" operator="greaterThan">
      <formula>1.5</formula>
    </cfRule>
  </conditionalFormatting>
  <conditionalFormatting sqref="B1160">
    <cfRule type="cellIs" dxfId="2438" priority="3493" operator="greaterThan">
      <formula>50</formula>
    </cfRule>
    <cfRule type="cellIs" dxfId="2437" priority="3494" operator="between">
      <formula>35</formula>
      <formula>50</formula>
    </cfRule>
    <cfRule type="cellIs" dxfId="2436" priority="3495" operator="lessThan">
      <formula>35</formula>
    </cfRule>
  </conditionalFormatting>
  <conditionalFormatting sqref="B1162">
    <cfRule type="cellIs" dxfId="2435" priority="3496" operator="greaterThan">
      <formula>350</formula>
    </cfRule>
    <cfRule type="cellIs" dxfId="2434" priority="3497" operator="between">
      <formula>250</formula>
      <formula>350</formula>
    </cfRule>
    <cfRule type="cellIs" dxfId="2433" priority="3498" operator="lessThan">
      <formula>250</formula>
    </cfRule>
  </conditionalFormatting>
  <conditionalFormatting sqref="B1164">
    <cfRule type="cellIs" dxfId="2432" priority="3488" operator="lessThan">
      <formula>0.8</formula>
    </cfRule>
    <cfRule type="cellIs" dxfId="2431" priority="3489" operator="between">
      <formula>0.8</formula>
      <formula>0.99999</formula>
    </cfRule>
    <cfRule type="cellIs" dxfId="2430" priority="3490" operator="between">
      <formula>1</formula>
      <formula>1.3</formula>
    </cfRule>
    <cfRule type="cellIs" dxfId="2429" priority="3491" operator="between">
      <formula>1.3</formula>
      <formula>1.5</formula>
    </cfRule>
    <cfRule type="cellIs" dxfId="2428" priority="3492" operator="greaterThan">
      <formula>1.5</formula>
    </cfRule>
  </conditionalFormatting>
  <conditionalFormatting sqref="B1167">
    <cfRule type="cellIs" dxfId="2427" priority="3482" operator="greaterThan">
      <formula>50</formula>
    </cfRule>
    <cfRule type="cellIs" dxfId="2426" priority="3483" operator="between">
      <formula>35</formula>
      <formula>50</formula>
    </cfRule>
    <cfRule type="cellIs" dxfId="2425" priority="3484" operator="lessThan">
      <formula>35</formula>
    </cfRule>
  </conditionalFormatting>
  <conditionalFormatting sqref="B1169">
    <cfRule type="cellIs" dxfId="2424" priority="3485" operator="greaterThan">
      <formula>350</formula>
    </cfRule>
    <cfRule type="cellIs" dxfId="2423" priority="3486" operator="between">
      <formula>250</formula>
      <formula>350</formula>
    </cfRule>
    <cfRule type="cellIs" dxfId="2422" priority="3487" operator="lessThan">
      <formula>250</formula>
    </cfRule>
  </conditionalFormatting>
  <conditionalFormatting sqref="B1171">
    <cfRule type="cellIs" dxfId="2421" priority="3477" operator="lessThan">
      <formula>0.8</formula>
    </cfRule>
    <cfRule type="cellIs" dxfId="2420" priority="3478" operator="between">
      <formula>0.8</formula>
      <formula>0.99999</formula>
    </cfRule>
    <cfRule type="cellIs" dxfId="2419" priority="3479" operator="between">
      <formula>1</formula>
      <formula>1.3</formula>
    </cfRule>
    <cfRule type="cellIs" dxfId="2418" priority="3480" operator="between">
      <formula>1.3</formula>
      <formula>1.5</formula>
    </cfRule>
    <cfRule type="cellIs" dxfId="2417" priority="3481" operator="greaterThan">
      <formula>1.5</formula>
    </cfRule>
  </conditionalFormatting>
  <conditionalFormatting sqref="B1174">
    <cfRule type="cellIs" dxfId="2416" priority="3471" operator="greaterThan">
      <formula>50</formula>
    </cfRule>
    <cfRule type="cellIs" dxfId="2415" priority="3472" operator="between">
      <formula>35</formula>
      <formula>50</formula>
    </cfRule>
    <cfRule type="cellIs" dxfId="2414" priority="3473" operator="lessThan">
      <formula>35</formula>
    </cfRule>
  </conditionalFormatting>
  <conditionalFormatting sqref="B1176">
    <cfRule type="cellIs" dxfId="2413" priority="3474" operator="greaterThan">
      <formula>350</formula>
    </cfRule>
    <cfRule type="cellIs" dxfId="2412" priority="3475" operator="between">
      <formula>250</formula>
      <formula>350</formula>
    </cfRule>
    <cfRule type="cellIs" dxfId="2411" priority="3476" operator="lessThan">
      <formula>250</formula>
    </cfRule>
  </conditionalFormatting>
  <conditionalFormatting sqref="B1178">
    <cfRule type="cellIs" dxfId="2410" priority="3466" operator="lessThan">
      <formula>0.8</formula>
    </cfRule>
    <cfRule type="cellIs" dxfId="2409" priority="3467" operator="between">
      <formula>0.8</formula>
      <formula>0.99999</formula>
    </cfRule>
    <cfRule type="cellIs" dxfId="2408" priority="3468" operator="between">
      <formula>1</formula>
      <formula>1.3</formula>
    </cfRule>
    <cfRule type="cellIs" dxfId="2407" priority="3469" operator="between">
      <formula>1.3</formula>
      <formula>1.5</formula>
    </cfRule>
    <cfRule type="cellIs" dxfId="2406" priority="3470" operator="greaterThan">
      <formula>1.5</formula>
    </cfRule>
  </conditionalFormatting>
  <conditionalFormatting sqref="B1181">
    <cfRule type="cellIs" dxfId="2405" priority="3460" operator="greaterThan">
      <formula>50</formula>
    </cfRule>
    <cfRule type="cellIs" dxfId="2404" priority="3461" operator="between">
      <formula>35</formula>
      <formula>50</formula>
    </cfRule>
    <cfRule type="cellIs" dxfId="2403" priority="3462" operator="lessThan">
      <formula>35</formula>
    </cfRule>
  </conditionalFormatting>
  <conditionalFormatting sqref="B1183">
    <cfRule type="cellIs" dxfId="2402" priority="3463" operator="greaterThan">
      <formula>350</formula>
    </cfRule>
    <cfRule type="cellIs" dxfId="2401" priority="3464" operator="between">
      <formula>250</formula>
      <formula>350</formula>
    </cfRule>
    <cfRule type="cellIs" dxfId="2400" priority="3465" operator="lessThan">
      <formula>250</formula>
    </cfRule>
  </conditionalFormatting>
  <conditionalFormatting sqref="B1185">
    <cfRule type="cellIs" dxfId="2399" priority="3455" operator="lessThan">
      <formula>0.8</formula>
    </cfRule>
    <cfRule type="cellIs" dxfId="2398" priority="3456" operator="between">
      <formula>0.8</formula>
      <formula>0.99999</formula>
    </cfRule>
    <cfRule type="cellIs" dxfId="2397" priority="3457" operator="between">
      <formula>1</formula>
      <formula>1.3</formula>
    </cfRule>
    <cfRule type="cellIs" dxfId="2396" priority="3458" operator="between">
      <formula>1.3</formula>
      <formula>1.5</formula>
    </cfRule>
    <cfRule type="cellIs" dxfId="2395" priority="3459" operator="greaterThan">
      <formula>1.5</formula>
    </cfRule>
  </conditionalFormatting>
  <conditionalFormatting sqref="B1188">
    <cfRule type="cellIs" dxfId="2394" priority="3449" operator="greaterThan">
      <formula>50</formula>
    </cfRule>
    <cfRule type="cellIs" dxfId="2393" priority="3450" operator="between">
      <formula>35</formula>
      <formula>50</formula>
    </cfRule>
    <cfRule type="cellIs" dxfId="2392" priority="3451" operator="lessThan">
      <formula>35</formula>
    </cfRule>
  </conditionalFormatting>
  <conditionalFormatting sqref="B1190">
    <cfRule type="cellIs" dxfId="2391" priority="3452" operator="greaterThan">
      <formula>350</formula>
    </cfRule>
    <cfRule type="cellIs" dxfId="2390" priority="3453" operator="between">
      <formula>250</formula>
      <formula>350</formula>
    </cfRule>
    <cfRule type="cellIs" dxfId="2389" priority="3454" operator="lessThan">
      <formula>250</formula>
    </cfRule>
  </conditionalFormatting>
  <conditionalFormatting sqref="B1192">
    <cfRule type="cellIs" dxfId="2388" priority="3444" operator="lessThan">
      <formula>0.8</formula>
    </cfRule>
    <cfRule type="cellIs" dxfId="2387" priority="3445" operator="between">
      <formula>0.8</formula>
      <formula>0.99999</formula>
    </cfRule>
    <cfRule type="cellIs" dxfId="2386" priority="3446" operator="between">
      <formula>1</formula>
      <formula>1.3</formula>
    </cfRule>
    <cfRule type="cellIs" dxfId="2385" priority="3447" operator="between">
      <formula>1.3</formula>
      <formula>1.5</formula>
    </cfRule>
    <cfRule type="cellIs" dxfId="2384" priority="3448" operator="greaterThan">
      <formula>1.5</formula>
    </cfRule>
  </conditionalFormatting>
  <conditionalFormatting sqref="B1195">
    <cfRule type="cellIs" dxfId="2383" priority="3438" operator="greaterThan">
      <formula>50</formula>
    </cfRule>
    <cfRule type="cellIs" dxfId="2382" priority="3439" operator="between">
      <formula>35</formula>
      <formula>50</formula>
    </cfRule>
    <cfRule type="cellIs" dxfId="2381" priority="3440" operator="lessThan">
      <formula>35</formula>
    </cfRule>
  </conditionalFormatting>
  <conditionalFormatting sqref="B1197">
    <cfRule type="cellIs" dxfId="2380" priority="3441" operator="greaterThan">
      <formula>350</formula>
    </cfRule>
    <cfRule type="cellIs" dxfId="2379" priority="3442" operator="between">
      <formula>250</formula>
      <formula>350</formula>
    </cfRule>
    <cfRule type="cellIs" dxfId="2378" priority="3443" operator="lessThan">
      <formula>250</formula>
    </cfRule>
  </conditionalFormatting>
  <conditionalFormatting sqref="B1199">
    <cfRule type="cellIs" dxfId="2377" priority="3433" operator="lessThan">
      <formula>0.8</formula>
    </cfRule>
    <cfRule type="cellIs" dxfId="2376" priority="3434" operator="between">
      <formula>0.8</formula>
      <formula>0.99999</formula>
    </cfRule>
    <cfRule type="cellIs" dxfId="2375" priority="3435" operator="between">
      <formula>1</formula>
      <formula>1.3</formula>
    </cfRule>
    <cfRule type="cellIs" dxfId="2374" priority="3436" operator="between">
      <formula>1.3</formula>
      <formula>1.5</formula>
    </cfRule>
    <cfRule type="cellIs" dxfId="2373" priority="3437" operator="greaterThan">
      <formula>1.5</formula>
    </cfRule>
  </conditionalFormatting>
  <conditionalFormatting sqref="B1202">
    <cfRule type="cellIs" dxfId="2372" priority="3427" operator="greaterThan">
      <formula>50</formula>
    </cfRule>
    <cfRule type="cellIs" dxfId="2371" priority="3428" operator="between">
      <formula>35</formula>
      <formula>50</formula>
    </cfRule>
    <cfRule type="cellIs" dxfId="2370" priority="3429" operator="lessThan">
      <formula>35</formula>
    </cfRule>
  </conditionalFormatting>
  <conditionalFormatting sqref="B1204">
    <cfRule type="cellIs" dxfId="2369" priority="3430" operator="greaterThan">
      <formula>350</formula>
    </cfRule>
    <cfRule type="cellIs" dxfId="2368" priority="3431" operator="between">
      <formula>250</formula>
      <formula>350</formula>
    </cfRule>
    <cfRule type="cellIs" dxfId="2367" priority="3432" operator="lessThan">
      <formula>250</formula>
    </cfRule>
  </conditionalFormatting>
  <conditionalFormatting sqref="B1206">
    <cfRule type="cellIs" dxfId="2366" priority="3422" operator="lessThan">
      <formula>0.8</formula>
    </cfRule>
    <cfRule type="cellIs" dxfId="2365" priority="3423" operator="between">
      <formula>0.8</formula>
      <formula>0.99999</formula>
    </cfRule>
    <cfRule type="cellIs" dxfId="2364" priority="3424" operator="between">
      <formula>1</formula>
      <formula>1.3</formula>
    </cfRule>
    <cfRule type="cellIs" dxfId="2363" priority="3425" operator="between">
      <formula>1.3</formula>
      <formula>1.5</formula>
    </cfRule>
    <cfRule type="cellIs" dxfId="2362" priority="3426" operator="greaterThan">
      <formula>1.5</formula>
    </cfRule>
  </conditionalFormatting>
  <conditionalFormatting sqref="B1209">
    <cfRule type="cellIs" dxfId="2361" priority="3416" operator="greaterThan">
      <formula>50</formula>
    </cfRule>
    <cfRule type="cellIs" dxfId="2360" priority="3417" operator="between">
      <formula>35</formula>
      <formula>50</formula>
    </cfRule>
    <cfRule type="cellIs" dxfId="2359" priority="3418" operator="lessThan">
      <formula>35</formula>
    </cfRule>
  </conditionalFormatting>
  <conditionalFormatting sqref="B1211">
    <cfRule type="cellIs" dxfId="2358" priority="3419" operator="greaterThan">
      <formula>350</formula>
    </cfRule>
    <cfRule type="cellIs" dxfId="2357" priority="3420" operator="between">
      <formula>250</formula>
      <formula>350</formula>
    </cfRule>
    <cfRule type="cellIs" dxfId="2356" priority="3421" operator="lessThan">
      <formula>250</formula>
    </cfRule>
  </conditionalFormatting>
  <conditionalFormatting sqref="B1213">
    <cfRule type="cellIs" dxfId="2355" priority="3411" operator="lessThan">
      <formula>0.8</formula>
    </cfRule>
    <cfRule type="cellIs" dxfId="2354" priority="3412" operator="between">
      <formula>0.8</formula>
      <formula>0.99999</formula>
    </cfRule>
    <cfRule type="cellIs" dxfId="2353" priority="3413" operator="between">
      <formula>1</formula>
      <formula>1.3</formula>
    </cfRule>
    <cfRule type="cellIs" dxfId="2352" priority="3414" operator="between">
      <formula>1.3</formula>
      <formula>1.5</formula>
    </cfRule>
    <cfRule type="cellIs" dxfId="2351" priority="3415" operator="greaterThan">
      <formula>1.5</formula>
    </cfRule>
  </conditionalFormatting>
  <conditionalFormatting sqref="B1216">
    <cfRule type="cellIs" dxfId="2350" priority="3405" operator="greaterThan">
      <formula>50</formula>
    </cfRule>
    <cfRule type="cellIs" dxfId="2349" priority="3406" operator="between">
      <formula>35</formula>
      <formula>50</formula>
    </cfRule>
    <cfRule type="cellIs" dxfId="2348" priority="3407" operator="lessThan">
      <formula>35</formula>
    </cfRule>
  </conditionalFormatting>
  <conditionalFormatting sqref="B1218">
    <cfRule type="cellIs" dxfId="2347" priority="3408" operator="greaterThan">
      <formula>350</formula>
    </cfRule>
    <cfRule type="cellIs" dxfId="2346" priority="3409" operator="between">
      <formula>250</formula>
      <formula>350</formula>
    </cfRule>
    <cfRule type="cellIs" dxfId="2345" priority="3410" operator="lessThan">
      <formula>250</formula>
    </cfRule>
  </conditionalFormatting>
  <conditionalFormatting sqref="B1220">
    <cfRule type="cellIs" dxfId="2344" priority="3400" operator="lessThan">
      <formula>0.8</formula>
    </cfRule>
    <cfRule type="cellIs" dxfId="2343" priority="3401" operator="between">
      <formula>0.8</formula>
      <formula>0.99999</formula>
    </cfRule>
    <cfRule type="cellIs" dxfId="2342" priority="3402" operator="between">
      <formula>1</formula>
      <formula>1.3</formula>
    </cfRule>
    <cfRule type="cellIs" dxfId="2341" priority="3403" operator="between">
      <formula>1.3</formula>
      <formula>1.5</formula>
    </cfRule>
    <cfRule type="cellIs" dxfId="2340" priority="3404" operator="greaterThan">
      <formula>1.5</formula>
    </cfRule>
  </conditionalFormatting>
  <conditionalFormatting sqref="B1223">
    <cfRule type="cellIs" dxfId="2339" priority="3394" operator="greaterThan">
      <formula>50</formula>
    </cfRule>
    <cfRule type="cellIs" dxfId="2338" priority="3395" operator="between">
      <formula>35</formula>
      <formula>50</formula>
    </cfRule>
    <cfRule type="cellIs" dxfId="2337" priority="3396" operator="lessThan">
      <formula>35</formula>
    </cfRule>
  </conditionalFormatting>
  <conditionalFormatting sqref="B1225">
    <cfRule type="cellIs" dxfId="2336" priority="3397" operator="greaterThan">
      <formula>350</formula>
    </cfRule>
    <cfRule type="cellIs" dxfId="2335" priority="3398" operator="between">
      <formula>250</formula>
      <formula>350</formula>
    </cfRule>
    <cfRule type="cellIs" dxfId="2334" priority="3399" operator="lessThan">
      <formula>250</formula>
    </cfRule>
  </conditionalFormatting>
  <conditionalFormatting sqref="B1227">
    <cfRule type="cellIs" dxfId="2333" priority="3389" operator="lessThan">
      <formula>0.8</formula>
    </cfRule>
    <cfRule type="cellIs" dxfId="2332" priority="3390" operator="between">
      <formula>0.8</formula>
      <formula>0.99999</formula>
    </cfRule>
    <cfRule type="cellIs" dxfId="2331" priority="3391" operator="between">
      <formula>1</formula>
      <formula>1.3</formula>
    </cfRule>
    <cfRule type="cellIs" dxfId="2330" priority="3392" operator="between">
      <formula>1.3</formula>
      <formula>1.5</formula>
    </cfRule>
    <cfRule type="cellIs" dxfId="2329" priority="3393" operator="greaterThan">
      <formula>1.5</formula>
    </cfRule>
  </conditionalFormatting>
  <conditionalFormatting sqref="B1230">
    <cfRule type="cellIs" dxfId="2328" priority="3383" operator="greaterThan">
      <formula>50</formula>
    </cfRule>
    <cfRule type="cellIs" dxfId="2327" priority="3384" operator="between">
      <formula>35</formula>
      <formula>50</formula>
    </cfRule>
    <cfRule type="cellIs" dxfId="2326" priority="3385" operator="lessThan">
      <formula>35</formula>
    </cfRule>
  </conditionalFormatting>
  <conditionalFormatting sqref="B1232">
    <cfRule type="cellIs" dxfId="2325" priority="3386" operator="greaterThan">
      <formula>350</formula>
    </cfRule>
    <cfRule type="cellIs" dxfId="2324" priority="3387" operator="between">
      <formula>250</formula>
      <formula>350</formula>
    </cfRule>
    <cfRule type="cellIs" dxfId="2323" priority="3388" operator="lessThan">
      <formula>250</formula>
    </cfRule>
  </conditionalFormatting>
  <conditionalFormatting sqref="B1234">
    <cfRule type="cellIs" dxfId="2322" priority="3378" operator="lessThan">
      <formula>0.8</formula>
    </cfRule>
    <cfRule type="cellIs" dxfId="2321" priority="3379" operator="between">
      <formula>0.8</formula>
      <formula>0.99999</formula>
    </cfRule>
    <cfRule type="cellIs" dxfId="2320" priority="3380" operator="between">
      <formula>1</formula>
      <formula>1.3</formula>
    </cfRule>
    <cfRule type="cellIs" dxfId="2319" priority="3381" operator="between">
      <formula>1.3</formula>
      <formula>1.5</formula>
    </cfRule>
    <cfRule type="cellIs" dxfId="2318" priority="3382" operator="greaterThan">
      <formula>1.5</formula>
    </cfRule>
  </conditionalFormatting>
  <conditionalFormatting sqref="B1237">
    <cfRule type="cellIs" dxfId="2317" priority="3372" operator="greaterThan">
      <formula>50</formula>
    </cfRule>
    <cfRule type="cellIs" dxfId="2316" priority="3373" operator="between">
      <formula>35</formula>
      <formula>50</formula>
    </cfRule>
    <cfRule type="cellIs" dxfId="2315" priority="3374" operator="lessThan">
      <formula>35</formula>
    </cfRule>
  </conditionalFormatting>
  <conditionalFormatting sqref="B1239">
    <cfRule type="cellIs" dxfId="2314" priority="3375" operator="greaterThan">
      <formula>350</formula>
    </cfRule>
    <cfRule type="cellIs" dxfId="2313" priority="3376" operator="between">
      <formula>250</formula>
      <formula>350</formula>
    </cfRule>
    <cfRule type="cellIs" dxfId="2312" priority="3377" operator="lessThan">
      <formula>250</formula>
    </cfRule>
  </conditionalFormatting>
  <conditionalFormatting sqref="B1241">
    <cfRule type="cellIs" dxfId="2311" priority="3367" operator="lessThan">
      <formula>0.8</formula>
    </cfRule>
    <cfRule type="cellIs" dxfId="2310" priority="3368" operator="between">
      <formula>0.8</formula>
      <formula>0.99999</formula>
    </cfRule>
    <cfRule type="cellIs" dxfId="2309" priority="3369" operator="between">
      <formula>1</formula>
      <formula>1.3</formula>
    </cfRule>
    <cfRule type="cellIs" dxfId="2308" priority="3370" operator="between">
      <formula>1.3</formula>
      <formula>1.5</formula>
    </cfRule>
    <cfRule type="cellIs" dxfId="2307" priority="3371" operator="greaterThan">
      <formula>1.5</formula>
    </cfRule>
  </conditionalFormatting>
  <conditionalFormatting sqref="B1244">
    <cfRule type="cellIs" dxfId="2306" priority="3361" operator="greaterThan">
      <formula>50</formula>
    </cfRule>
    <cfRule type="cellIs" dxfId="2305" priority="3362" operator="between">
      <formula>35</formula>
      <formula>50</formula>
    </cfRule>
    <cfRule type="cellIs" dxfId="2304" priority="3363" operator="lessThan">
      <formula>35</formula>
    </cfRule>
  </conditionalFormatting>
  <conditionalFormatting sqref="B1246">
    <cfRule type="cellIs" dxfId="2303" priority="3364" operator="greaterThan">
      <formula>350</formula>
    </cfRule>
    <cfRule type="cellIs" dxfId="2302" priority="3365" operator="between">
      <formula>250</formula>
      <formula>350</formula>
    </cfRule>
    <cfRule type="cellIs" dxfId="2301" priority="3366" operator="lessThan">
      <formula>250</formula>
    </cfRule>
  </conditionalFormatting>
  <conditionalFormatting sqref="B1248">
    <cfRule type="cellIs" dxfId="2300" priority="3356" operator="lessThan">
      <formula>0.8</formula>
    </cfRule>
    <cfRule type="cellIs" dxfId="2299" priority="3357" operator="between">
      <formula>0.8</formula>
      <formula>0.99999</formula>
    </cfRule>
    <cfRule type="cellIs" dxfId="2298" priority="3358" operator="between">
      <formula>1</formula>
      <formula>1.3</formula>
    </cfRule>
    <cfRule type="cellIs" dxfId="2297" priority="3359" operator="between">
      <formula>1.3</formula>
      <formula>1.5</formula>
    </cfRule>
    <cfRule type="cellIs" dxfId="2296" priority="3360" operator="greaterThan">
      <formula>1.5</formula>
    </cfRule>
  </conditionalFormatting>
  <conditionalFormatting sqref="B1251">
    <cfRule type="cellIs" dxfId="2295" priority="3350" operator="greaterThan">
      <formula>50</formula>
    </cfRule>
    <cfRule type="cellIs" dxfId="2294" priority="3351" operator="between">
      <formula>35</formula>
      <formula>50</formula>
    </cfRule>
    <cfRule type="cellIs" dxfId="2293" priority="3352" operator="lessThan">
      <formula>35</formula>
    </cfRule>
  </conditionalFormatting>
  <conditionalFormatting sqref="B1253">
    <cfRule type="cellIs" dxfId="2292" priority="3353" operator="greaterThan">
      <formula>350</formula>
    </cfRule>
    <cfRule type="cellIs" dxfId="2291" priority="3354" operator="between">
      <formula>250</formula>
      <formula>350</formula>
    </cfRule>
    <cfRule type="cellIs" dxfId="2290" priority="3355" operator="lessThan">
      <formula>250</formula>
    </cfRule>
  </conditionalFormatting>
  <conditionalFormatting sqref="B1255">
    <cfRule type="cellIs" dxfId="2289" priority="3345" operator="lessThan">
      <formula>0.8</formula>
    </cfRule>
    <cfRule type="cellIs" dxfId="2288" priority="3346" operator="between">
      <formula>0.8</formula>
      <formula>0.99999</formula>
    </cfRule>
    <cfRule type="cellIs" dxfId="2287" priority="3347" operator="between">
      <formula>1</formula>
      <formula>1.3</formula>
    </cfRule>
    <cfRule type="cellIs" dxfId="2286" priority="3348" operator="between">
      <formula>1.3</formula>
      <formula>1.5</formula>
    </cfRule>
    <cfRule type="cellIs" dxfId="2285" priority="3349" operator="greaterThan">
      <formula>1.5</formula>
    </cfRule>
  </conditionalFormatting>
  <conditionalFormatting sqref="B1258">
    <cfRule type="cellIs" dxfId="2284" priority="3339" operator="greaterThan">
      <formula>50</formula>
    </cfRule>
    <cfRule type="cellIs" dxfId="2283" priority="3340" operator="between">
      <formula>35</formula>
      <formula>50</formula>
    </cfRule>
    <cfRule type="cellIs" dxfId="2282" priority="3341" operator="lessThan">
      <formula>35</formula>
    </cfRule>
  </conditionalFormatting>
  <conditionalFormatting sqref="B1260">
    <cfRule type="cellIs" dxfId="2281" priority="3342" operator="greaterThan">
      <formula>350</formula>
    </cfRule>
    <cfRule type="cellIs" dxfId="2280" priority="3343" operator="between">
      <formula>250</formula>
      <formula>350</formula>
    </cfRule>
    <cfRule type="cellIs" dxfId="2279" priority="3344" operator="lessThan">
      <formula>250</formula>
    </cfRule>
  </conditionalFormatting>
  <conditionalFormatting sqref="B1262">
    <cfRule type="cellIs" dxfId="2278" priority="3334" operator="lessThan">
      <formula>0.8</formula>
    </cfRule>
    <cfRule type="cellIs" dxfId="2277" priority="3335" operator="between">
      <formula>0.8</formula>
      <formula>0.99999</formula>
    </cfRule>
    <cfRule type="cellIs" dxfId="2276" priority="3336" operator="between">
      <formula>1</formula>
      <formula>1.3</formula>
    </cfRule>
    <cfRule type="cellIs" dxfId="2275" priority="3337" operator="between">
      <formula>1.3</formula>
      <formula>1.5</formula>
    </cfRule>
    <cfRule type="cellIs" dxfId="2274" priority="3338" operator="greaterThan">
      <formula>1.5</formula>
    </cfRule>
  </conditionalFormatting>
  <conditionalFormatting sqref="B1265">
    <cfRule type="cellIs" dxfId="2273" priority="3328" operator="greaterThan">
      <formula>50</formula>
    </cfRule>
    <cfRule type="cellIs" dxfId="2272" priority="3329" operator="between">
      <formula>35</formula>
      <formula>50</formula>
    </cfRule>
    <cfRule type="cellIs" dxfId="2271" priority="3330" operator="lessThan">
      <formula>35</formula>
    </cfRule>
  </conditionalFormatting>
  <conditionalFormatting sqref="B1267">
    <cfRule type="cellIs" dxfId="2270" priority="3331" operator="greaterThan">
      <formula>350</formula>
    </cfRule>
    <cfRule type="cellIs" dxfId="2269" priority="3332" operator="between">
      <formula>250</formula>
      <formula>350</formula>
    </cfRule>
    <cfRule type="cellIs" dxfId="2268" priority="3333" operator="lessThan">
      <formula>250</formula>
    </cfRule>
  </conditionalFormatting>
  <conditionalFormatting sqref="B1269">
    <cfRule type="cellIs" dxfId="2267" priority="3323" operator="lessThan">
      <formula>0.8</formula>
    </cfRule>
    <cfRule type="cellIs" dxfId="2266" priority="3324" operator="between">
      <formula>0.8</formula>
      <formula>0.99999</formula>
    </cfRule>
    <cfRule type="cellIs" dxfId="2265" priority="3325" operator="between">
      <formula>1</formula>
      <formula>1.3</formula>
    </cfRule>
    <cfRule type="cellIs" dxfId="2264" priority="3326" operator="between">
      <formula>1.3</formula>
      <formula>1.5</formula>
    </cfRule>
    <cfRule type="cellIs" dxfId="2263" priority="3327" operator="greaterThan">
      <formula>1.5</formula>
    </cfRule>
  </conditionalFormatting>
  <conditionalFormatting sqref="B1272">
    <cfRule type="cellIs" dxfId="2262" priority="3317" operator="greaterThan">
      <formula>50</formula>
    </cfRule>
    <cfRule type="cellIs" dxfId="2261" priority="3318" operator="between">
      <formula>35</formula>
      <formula>50</formula>
    </cfRule>
    <cfRule type="cellIs" dxfId="2260" priority="3319" operator="lessThan">
      <formula>35</formula>
    </cfRule>
  </conditionalFormatting>
  <conditionalFormatting sqref="B1274">
    <cfRule type="cellIs" dxfId="2259" priority="3320" operator="greaterThan">
      <formula>350</formula>
    </cfRule>
    <cfRule type="cellIs" dxfId="2258" priority="3321" operator="between">
      <formula>250</formula>
      <formula>350</formula>
    </cfRule>
    <cfRule type="cellIs" dxfId="2257" priority="3322" operator="lessThan">
      <formula>250</formula>
    </cfRule>
  </conditionalFormatting>
  <conditionalFormatting sqref="B1276">
    <cfRule type="cellIs" dxfId="2256" priority="3312" operator="lessThan">
      <formula>0.8</formula>
    </cfRule>
    <cfRule type="cellIs" dxfId="2255" priority="3313" operator="between">
      <formula>0.8</formula>
      <formula>0.99999</formula>
    </cfRule>
    <cfRule type="cellIs" dxfId="2254" priority="3314" operator="between">
      <formula>1</formula>
      <formula>1.3</formula>
    </cfRule>
    <cfRule type="cellIs" dxfId="2253" priority="3315" operator="between">
      <formula>1.3</formula>
      <formula>1.5</formula>
    </cfRule>
    <cfRule type="cellIs" dxfId="2252" priority="3316" operator="greaterThan">
      <formula>1.5</formula>
    </cfRule>
  </conditionalFormatting>
  <conditionalFormatting sqref="B1279">
    <cfRule type="cellIs" dxfId="2251" priority="3306" operator="greaterThan">
      <formula>50</formula>
    </cfRule>
    <cfRule type="cellIs" dxfId="2250" priority="3307" operator="between">
      <formula>35</formula>
      <formula>50</formula>
    </cfRule>
    <cfRule type="cellIs" dxfId="2249" priority="3308" operator="lessThan">
      <formula>35</formula>
    </cfRule>
  </conditionalFormatting>
  <conditionalFormatting sqref="B1281">
    <cfRule type="cellIs" dxfId="2248" priority="3309" operator="greaterThan">
      <formula>350</formula>
    </cfRule>
    <cfRule type="cellIs" dxfId="2247" priority="3310" operator="between">
      <formula>250</formula>
      <formula>350</formula>
    </cfRule>
    <cfRule type="cellIs" dxfId="2246" priority="3311" operator="lessThan">
      <formula>250</formula>
    </cfRule>
  </conditionalFormatting>
  <conditionalFormatting sqref="B1283">
    <cfRule type="cellIs" dxfId="2245" priority="3301" operator="lessThan">
      <formula>0.8</formula>
    </cfRule>
    <cfRule type="cellIs" dxfId="2244" priority="3302" operator="between">
      <formula>0.8</formula>
      <formula>0.99999</formula>
    </cfRule>
    <cfRule type="cellIs" dxfId="2243" priority="3303" operator="between">
      <formula>1</formula>
      <formula>1.3</formula>
    </cfRule>
    <cfRule type="cellIs" dxfId="2242" priority="3304" operator="between">
      <formula>1.3</formula>
      <formula>1.5</formula>
    </cfRule>
    <cfRule type="cellIs" dxfId="2241" priority="3305" operator="greaterThan">
      <formula>1.5</formula>
    </cfRule>
  </conditionalFormatting>
  <conditionalFormatting sqref="B1286">
    <cfRule type="cellIs" dxfId="2240" priority="3295" operator="greaterThan">
      <formula>50</formula>
    </cfRule>
    <cfRule type="cellIs" dxfId="2239" priority="3296" operator="between">
      <formula>35</formula>
      <formula>50</formula>
    </cfRule>
    <cfRule type="cellIs" dxfId="2238" priority="3297" operator="lessThan">
      <formula>35</formula>
    </cfRule>
  </conditionalFormatting>
  <conditionalFormatting sqref="B1288">
    <cfRule type="cellIs" dxfId="2237" priority="3298" operator="greaterThan">
      <formula>350</formula>
    </cfRule>
    <cfRule type="cellIs" dxfId="2236" priority="3299" operator="between">
      <formula>250</formula>
      <formula>350</formula>
    </cfRule>
    <cfRule type="cellIs" dxfId="2235" priority="3300" operator="lessThan">
      <formula>250</formula>
    </cfRule>
  </conditionalFormatting>
  <conditionalFormatting sqref="B1290">
    <cfRule type="cellIs" dxfId="2234" priority="3290" operator="lessThan">
      <formula>0.8</formula>
    </cfRule>
    <cfRule type="cellIs" dxfId="2233" priority="3291" operator="between">
      <formula>0.8</formula>
      <formula>0.99999</formula>
    </cfRule>
    <cfRule type="cellIs" dxfId="2232" priority="3292" operator="between">
      <formula>1</formula>
      <formula>1.3</formula>
    </cfRule>
    <cfRule type="cellIs" dxfId="2231" priority="3293" operator="between">
      <formula>1.3</formula>
      <formula>1.5</formula>
    </cfRule>
    <cfRule type="cellIs" dxfId="2230" priority="3294" operator="greaterThan">
      <formula>1.5</formula>
    </cfRule>
  </conditionalFormatting>
  <conditionalFormatting sqref="B1293">
    <cfRule type="cellIs" dxfId="2229" priority="3284" operator="greaterThan">
      <formula>50</formula>
    </cfRule>
    <cfRule type="cellIs" dxfId="2228" priority="3285" operator="between">
      <formula>35</formula>
      <formula>50</formula>
    </cfRule>
    <cfRule type="cellIs" dxfId="2227" priority="3286" operator="lessThan">
      <formula>35</formula>
    </cfRule>
  </conditionalFormatting>
  <conditionalFormatting sqref="B1295">
    <cfRule type="cellIs" dxfId="2226" priority="3287" operator="greaterThan">
      <formula>350</formula>
    </cfRule>
    <cfRule type="cellIs" dxfId="2225" priority="3288" operator="between">
      <formula>250</formula>
      <formula>350</formula>
    </cfRule>
    <cfRule type="cellIs" dxfId="2224" priority="3289" operator="lessThan">
      <formula>250</formula>
    </cfRule>
  </conditionalFormatting>
  <conditionalFormatting sqref="B1297">
    <cfRule type="cellIs" dxfId="2223" priority="3279" operator="lessThan">
      <formula>0.8</formula>
    </cfRule>
    <cfRule type="cellIs" dxfId="2222" priority="3280" operator="between">
      <formula>0.8</formula>
      <formula>0.99999</formula>
    </cfRule>
    <cfRule type="cellIs" dxfId="2221" priority="3281" operator="between">
      <formula>1</formula>
      <formula>1.3</formula>
    </cfRule>
    <cfRule type="cellIs" dxfId="2220" priority="3282" operator="between">
      <formula>1.3</formula>
      <formula>1.5</formula>
    </cfRule>
    <cfRule type="cellIs" dxfId="2219" priority="3283" operator="greaterThan">
      <formula>1.5</formula>
    </cfRule>
  </conditionalFormatting>
  <conditionalFormatting sqref="B1300">
    <cfRule type="cellIs" dxfId="2218" priority="3273" operator="greaterThan">
      <formula>50</formula>
    </cfRule>
    <cfRule type="cellIs" dxfId="2217" priority="3274" operator="between">
      <formula>35</formula>
      <formula>50</formula>
    </cfRule>
    <cfRule type="cellIs" dxfId="2216" priority="3275" operator="lessThan">
      <formula>35</formula>
    </cfRule>
  </conditionalFormatting>
  <conditionalFormatting sqref="B1302">
    <cfRule type="cellIs" dxfId="2215" priority="3276" operator="greaterThan">
      <formula>350</formula>
    </cfRule>
    <cfRule type="cellIs" dxfId="2214" priority="3277" operator="between">
      <formula>250</formula>
      <formula>350</formula>
    </cfRule>
    <cfRule type="cellIs" dxfId="2213" priority="3278" operator="lessThan">
      <formula>250</formula>
    </cfRule>
  </conditionalFormatting>
  <conditionalFormatting sqref="B1304">
    <cfRule type="cellIs" dxfId="2212" priority="3268" operator="lessThan">
      <formula>0.8</formula>
    </cfRule>
    <cfRule type="cellIs" dxfId="2211" priority="3269" operator="between">
      <formula>0.8</formula>
      <formula>0.99999</formula>
    </cfRule>
    <cfRule type="cellIs" dxfId="2210" priority="3270" operator="between">
      <formula>1</formula>
      <formula>1.3</formula>
    </cfRule>
    <cfRule type="cellIs" dxfId="2209" priority="3271" operator="between">
      <formula>1.3</formula>
      <formula>1.5</formula>
    </cfRule>
    <cfRule type="cellIs" dxfId="2208" priority="3272" operator="greaterThan">
      <formula>1.5</formula>
    </cfRule>
  </conditionalFormatting>
  <conditionalFormatting sqref="B1307">
    <cfRule type="cellIs" dxfId="2207" priority="3262" operator="greaterThan">
      <formula>50</formula>
    </cfRule>
    <cfRule type="cellIs" dxfId="2206" priority="3263" operator="between">
      <formula>35</formula>
      <formula>50</formula>
    </cfRule>
    <cfRule type="cellIs" dxfId="2205" priority="3264" operator="lessThan">
      <formula>35</formula>
    </cfRule>
  </conditionalFormatting>
  <conditionalFormatting sqref="B1309">
    <cfRule type="cellIs" dxfId="2204" priority="3265" operator="greaterThan">
      <formula>350</formula>
    </cfRule>
    <cfRule type="cellIs" dxfId="2203" priority="3266" operator="between">
      <formula>250</formula>
      <formula>350</formula>
    </cfRule>
    <cfRule type="cellIs" dxfId="2202" priority="3267" operator="lessThan">
      <formula>250</formula>
    </cfRule>
  </conditionalFormatting>
  <conditionalFormatting sqref="B1311">
    <cfRule type="cellIs" dxfId="2201" priority="3257" operator="lessThan">
      <formula>0.8</formula>
    </cfRule>
    <cfRule type="cellIs" dxfId="2200" priority="3258" operator="between">
      <formula>0.8</formula>
      <formula>0.99999</formula>
    </cfRule>
    <cfRule type="cellIs" dxfId="2199" priority="3259" operator="between">
      <formula>1</formula>
      <formula>1.3</formula>
    </cfRule>
    <cfRule type="cellIs" dxfId="2198" priority="3260" operator="between">
      <formula>1.3</formula>
      <formula>1.5</formula>
    </cfRule>
    <cfRule type="cellIs" dxfId="2197" priority="3261" operator="greaterThan">
      <formula>1.5</formula>
    </cfRule>
  </conditionalFormatting>
  <conditionalFormatting sqref="B1314">
    <cfRule type="cellIs" dxfId="2196" priority="3251" operator="greaterThan">
      <formula>50</formula>
    </cfRule>
    <cfRule type="cellIs" dxfId="2195" priority="3252" operator="between">
      <formula>35</formula>
      <formula>50</formula>
    </cfRule>
    <cfRule type="cellIs" dxfId="2194" priority="3253" operator="lessThan">
      <formula>35</formula>
    </cfRule>
  </conditionalFormatting>
  <conditionalFormatting sqref="B1316">
    <cfRule type="cellIs" dxfId="2193" priority="3254" operator="greaterThan">
      <formula>350</formula>
    </cfRule>
    <cfRule type="cellIs" dxfId="2192" priority="3255" operator="between">
      <formula>250</formula>
      <formula>350</formula>
    </cfRule>
    <cfRule type="cellIs" dxfId="2191" priority="3256" operator="lessThan">
      <formula>250</formula>
    </cfRule>
  </conditionalFormatting>
  <conditionalFormatting sqref="B1318">
    <cfRule type="cellIs" dxfId="2190" priority="3004" operator="lessThan">
      <formula>0.8</formula>
    </cfRule>
    <cfRule type="cellIs" dxfId="2189" priority="3005" operator="between">
      <formula>0.8</formula>
      <formula>0.99999</formula>
    </cfRule>
    <cfRule type="cellIs" dxfId="2188" priority="3006" operator="between">
      <formula>1</formula>
      <formula>1.3</formula>
    </cfRule>
    <cfRule type="cellIs" dxfId="2187" priority="3007" operator="between">
      <formula>1.3</formula>
      <formula>1.5</formula>
    </cfRule>
    <cfRule type="cellIs" dxfId="2186" priority="3008" operator="greaterThan">
      <formula>1.5</formula>
    </cfRule>
  </conditionalFormatting>
  <conditionalFormatting sqref="B1321">
    <cfRule type="cellIs" dxfId="2185" priority="3240" operator="greaterThan">
      <formula>50</formula>
    </cfRule>
    <cfRule type="cellIs" dxfId="2184" priority="3241" operator="between">
      <formula>35</formula>
      <formula>50</formula>
    </cfRule>
    <cfRule type="cellIs" dxfId="2183" priority="3242" operator="lessThan">
      <formula>35</formula>
    </cfRule>
  </conditionalFormatting>
  <conditionalFormatting sqref="B1323">
    <cfRule type="cellIs" dxfId="2182" priority="3243" operator="greaterThan">
      <formula>350</formula>
    </cfRule>
    <cfRule type="cellIs" dxfId="2181" priority="3244" operator="between">
      <formula>250</formula>
      <formula>350</formula>
    </cfRule>
    <cfRule type="cellIs" dxfId="2180" priority="3245" operator="lessThan">
      <formula>250</formula>
    </cfRule>
  </conditionalFormatting>
  <conditionalFormatting sqref="B1325">
    <cfRule type="cellIs" dxfId="2179" priority="2999" operator="lessThan">
      <formula>0.8</formula>
    </cfRule>
    <cfRule type="cellIs" dxfId="2178" priority="3000" operator="between">
      <formula>0.8</formula>
      <formula>0.99999</formula>
    </cfRule>
    <cfRule type="cellIs" dxfId="2177" priority="3001" operator="between">
      <formula>1</formula>
      <formula>1.3</formula>
    </cfRule>
    <cfRule type="cellIs" dxfId="2176" priority="3002" operator="between">
      <formula>1.3</formula>
      <formula>1.5</formula>
    </cfRule>
    <cfRule type="cellIs" dxfId="2175" priority="3003" operator="greaterThan">
      <formula>1.5</formula>
    </cfRule>
  </conditionalFormatting>
  <conditionalFormatting sqref="B1328">
    <cfRule type="cellIs" dxfId="2174" priority="3229" operator="greaterThan">
      <formula>50</formula>
    </cfRule>
    <cfRule type="cellIs" dxfId="2173" priority="3230" operator="between">
      <formula>35</formula>
      <formula>50</formula>
    </cfRule>
    <cfRule type="cellIs" dxfId="2172" priority="3231" operator="lessThan">
      <formula>35</formula>
    </cfRule>
  </conditionalFormatting>
  <conditionalFormatting sqref="B1330">
    <cfRule type="cellIs" dxfId="2171" priority="3232" operator="greaterThan">
      <formula>350</formula>
    </cfRule>
    <cfRule type="cellIs" dxfId="2170" priority="3233" operator="between">
      <formula>250</formula>
      <formula>350</formula>
    </cfRule>
    <cfRule type="cellIs" dxfId="2169" priority="3234" operator="lessThan">
      <formula>250</formula>
    </cfRule>
  </conditionalFormatting>
  <conditionalFormatting sqref="B1332">
    <cfRule type="cellIs" dxfId="2168" priority="2994" operator="lessThan">
      <formula>0.8</formula>
    </cfRule>
    <cfRule type="cellIs" dxfId="2167" priority="2995" operator="between">
      <formula>0.8</formula>
      <formula>0.99999</formula>
    </cfRule>
    <cfRule type="cellIs" dxfId="2166" priority="2996" operator="between">
      <formula>1</formula>
      <formula>1.3</formula>
    </cfRule>
    <cfRule type="cellIs" dxfId="2165" priority="2997" operator="between">
      <formula>1.3</formula>
      <formula>1.5</formula>
    </cfRule>
    <cfRule type="cellIs" dxfId="2164" priority="2998" operator="greaterThan">
      <formula>1.5</formula>
    </cfRule>
  </conditionalFormatting>
  <conditionalFormatting sqref="B1335">
    <cfRule type="cellIs" dxfId="2163" priority="3218" operator="greaterThan">
      <formula>50</formula>
    </cfRule>
    <cfRule type="cellIs" dxfId="2162" priority="3219" operator="between">
      <formula>35</formula>
      <formula>50</formula>
    </cfRule>
    <cfRule type="cellIs" dxfId="2161" priority="3220" operator="lessThan">
      <formula>35</formula>
    </cfRule>
  </conditionalFormatting>
  <conditionalFormatting sqref="B1337">
    <cfRule type="cellIs" dxfId="2160" priority="3221" operator="greaterThan">
      <formula>350</formula>
    </cfRule>
    <cfRule type="cellIs" dxfId="2159" priority="3222" operator="between">
      <formula>250</formula>
      <formula>350</formula>
    </cfRule>
    <cfRule type="cellIs" dxfId="2158" priority="3223" operator="lessThan">
      <formula>250</formula>
    </cfRule>
  </conditionalFormatting>
  <conditionalFormatting sqref="B1339">
    <cfRule type="cellIs" dxfId="2157" priority="2989" operator="lessThan">
      <formula>0.8</formula>
    </cfRule>
    <cfRule type="cellIs" dxfId="2156" priority="2990" operator="between">
      <formula>0.8</formula>
      <formula>0.99999</formula>
    </cfRule>
    <cfRule type="cellIs" dxfId="2155" priority="2991" operator="between">
      <formula>1</formula>
      <formula>1.3</formula>
    </cfRule>
    <cfRule type="cellIs" dxfId="2154" priority="2992" operator="between">
      <formula>1.3</formula>
      <formula>1.5</formula>
    </cfRule>
    <cfRule type="cellIs" dxfId="2153" priority="2993" operator="greaterThan">
      <formula>1.5</formula>
    </cfRule>
  </conditionalFormatting>
  <conditionalFormatting sqref="B1342">
    <cfRule type="cellIs" dxfId="2152" priority="3207" operator="greaterThan">
      <formula>50</formula>
    </cfRule>
    <cfRule type="cellIs" dxfId="2151" priority="3208" operator="between">
      <formula>35</formula>
      <formula>50</formula>
    </cfRule>
    <cfRule type="cellIs" dxfId="2150" priority="3209" operator="lessThan">
      <formula>35</formula>
    </cfRule>
  </conditionalFormatting>
  <conditionalFormatting sqref="B1344">
    <cfRule type="cellIs" dxfId="2149" priority="3210" operator="greaterThan">
      <formula>350</formula>
    </cfRule>
    <cfRule type="cellIs" dxfId="2148" priority="3211" operator="between">
      <formula>250</formula>
      <formula>350</formula>
    </cfRule>
    <cfRule type="cellIs" dxfId="2147" priority="3212" operator="lessThan">
      <formula>250</formula>
    </cfRule>
  </conditionalFormatting>
  <conditionalFormatting sqref="B1346">
    <cfRule type="cellIs" dxfId="2146" priority="2984" operator="lessThan">
      <formula>0.8</formula>
    </cfRule>
    <cfRule type="cellIs" dxfId="2145" priority="2985" operator="between">
      <formula>0.8</formula>
      <formula>0.99999</formula>
    </cfRule>
    <cfRule type="cellIs" dxfId="2144" priority="2986" operator="between">
      <formula>1</formula>
      <formula>1.3</formula>
    </cfRule>
    <cfRule type="cellIs" dxfId="2143" priority="2987" operator="between">
      <formula>1.3</formula>
      <formula>1.5</formula>
    </cfRule>
    <cfRule type="cellIs" dxfId="2142" priority="2988" operator="greaterThan">
      <formula>1.5</formula>
    </cfRule>
  </conditionalFormatting>
  <conditionalFormatting sqref="B1349">
    <cfRule type="cellIs" dxfId="2141" priority="3196" operator="greaterThan">
      <formula>50</formula>
    </cfRule>
    <cfRule type="cellIs" dxfId="2140" priority="3197" operator="between">
      <formula>35</formula>
      <formula>50</formula>
    </cfRule>
    <cfRule type="cellIs" dxfId="2139" priority="3198" operator="lessThan">
      <formula>35</formula>
    </cfRule>
  </conditionalFormatting>
  <conditionalFormatting sqref="B1351">
    <cfRule type="cellIs" dxfId="2138" priority="3199" operator="greaterThan">
      <formula>350</formula>
    </cfRule>
    <cfRule type="cellIs" dxfId="2137" priority="3200" operator="between">
      <formula>250</formula>
      <formula>350</formula>
    </cfRule>
    <cfRule type="cellIs" dxfId="2136" priority="3201" operator="lessThan">
      <formula>250</formula>
    </cfRule>
  </conditionalFormatting>
  <conditionalFormatting sqref="B1353">
    <cfRule type="cellIs" dxfId="2135" priority="2979" operator="lessThan">
      <formula>0.8</formula>
    </cfRule>
    <cfRule type="cellIs" dxfId="2134" priority="2980" operator="between">
      <formula>0.8</formula>
      <formula>0.99999</formula>
    </cfRule>
    <cfRule type="cellIs" dxfId="2133" priority="2981" operator="between">
      <formula>1</formula>
      <formula>1.3</formula>
    </cfRule>
    <cfRule type="cellIs" dxfId="2132" priority="2982" operator="between">
      <formula>1.3</formula>
      <formula>1.5</formula>
    </cfRule>
    <cfRule type="cellIs" dxfId="2131" priority="2983" operator="greaterThan">
      <formula>1.5</formula>
    </cfRule>
  </conditionalFormatting>
  <conditionalFormatting sqref="B1356">
    <cfRule type="cellIs" dxfId="2130" priority="3185" operator="greaterThan">
      <formula>50</formula>
    </cfRule>
    <cfRule type="cellIs" dxfId="2129" priority="3186" operator="between">
      <formula>35</formula>
      <formula>50</formula>
    </cfRule>
    <cfRule type="cellIs" dxfId="2128" priority="3187" operator="lessThan">
      <formula>35</formula>
    </cfRule>
  </conditionalFormatting>
  <conditionalFormatting sqref="B1358">
    <cfRule type="cellIs" dxfId="2127" priority="3188" operator="greaterThan">
      <formula>350</formula>
    </cfRule>
    <cfRule type="cellIs" dxfId="2126" priority="3189" operator="between">
      <formula>250</formula>
      <formula>350</formula>
    </cfRule>
    <cfRule type="cellIs" dxfId="2125" priority="3190" operator="lessThan">
      <formula>250</formula>
    </cfRule>
  </conditionalFormatting>
  <conditionalFormatting sqref="B1360">
    <cfRule type="cellIs" dxfId="2124" priority="3180" operator="lessThan">
      <formula>0.8</formula>
    </cfRule>
    <cfRule type="cellIs" dxfId="2123" priority="3181" operator="between">
      <formula>0.8</formula>
      <formula>0.99999</formula>
    </cfRule>
    <cfRule type="cellIs" dxfId="2122" priority="3182" operator="between">
      <formula>1</formula>
      <formula>1.3</formula>
    </cfRule>
    <cfRule type="cellIs" dxfId="2121" priority="3183" operator="between">
      <formula>1.3</formula>
      <formula>1.5</formula>
    </cfRule>
    <cfRule type="cellIs" dxfId="2120" priority="3184" operator="greaterThan">
      <formula>1.5</formula>
    </cfRule>
  </conditionalFormatting>
  <conditionalFormatting sqref="B1363">
    <cfRule type="cellIs" dxfId="2119" priority="3174" operator="greaterThan">
      <formula>50</formula>
    </cfRule>
    <cfRule type="cellIs" dxfId="2118" priority="3175" operator="between">
      <formula>35</formula>
      <formula>50</formula>
    </cfRule>
    <cfRule type="cellIs" dxfId="2117" priority="3176" operator="lessThan">
      <formula>35</formula>
    </cfRule>
  </conditionalFormatting>
  <conditionalFormatting sqref="B1365">
    <cfRule type="cellIs" dxfId="2116" priority="3177" operator="greaterThan">
      <formula>350</formula>
    </cfRule>
    <cfRule type="cellIs" dxfId="2115" priority="3178" operator="between">
      <formula>250</formula>
      <formula>350</formula>
    </cfRule>
    <cfRule type="cellIs" dxfId="2114" priority="3179" operator="lessThan">
      <formula>250</formula>
    </cfRule>
  </conditionalFormatting>
  <conditionalFormatting sqref="B1367">
    <cfRule type="cellIs" dxfId="2113" priority="2949" operator="lessThan">
      <formula>0.8</formula>
    </cfRule>
    <cfRule type="cellIs" dxfId="2112" priority="2950" operator="between">
      <formula>0.8</formula>
      <formula>0.99999</formula>
    </cfRule>
    <cfRule type="cellIs" dxfId="2111" priority="2951" operator="between">
      <formula>1</formula>
      <formula>1.3</formula>
    </cfRule>
    <cfRule type="cellIs" dxfId="2110" priority="2952" operator="between">
      <formula>1.3</formula>
      <formula>1.5</formula>
    </cfRule>
    <cfRule type="cellIs" dxfId="2109" priority="2953" operator="greaterThan">
      <formula>1.5</formula>
    </cfRule>
  </conditionalFormatting>
  <conditionalFormatting sqref="B1370">
    <cfRule type="cellIs" dxfId="2108" priority="3163" operator="greaterThan">
      <formula>50</formula>
    </cfRule>
    <cfRule type="cellIs" dxfId="2107" priority="3164" operator="between">
      <formula>35</formula>
      <formula>50</formula>
    </cfRule>
    <cfRule type="cellIs" dxfId="2106" priority="3165" operator="lessThan">
      <formula>35</formula>
    </cfRule>
  </conditionalFormatting>
  <conditionalFormatting sqref="B1372">
    <cfRule type="cellIs" dxfId="2105" priority="3166" operator="greaterThan">
      <formula>350</formula>
    </cfRule>
    <cfRule type="cellIs" dxfId="2104" priority="3167" operator="between">
      <formula>250</formula>
      <formula>350</formula>
    </cfRule>
    <cfRule type="cellIs" dxfId="2103" priority="3168" operator="lessThan">
      <formula>250</formula>
    </cfRule>
  </conditionalFormatting>
  <conditionalFormatting sqref="B1374">
    <cfRule type="cellIs" dxfId="2102" priority="2939" operator="lessThan">
      <formula>0.8</formula>
    </cfRule>
    <cfRule type="cellIs" dxfId="2101" priority="2940" operator="between">
      <formula>0.8</formula>
      <formula>0.99999</formula>
    </cfRule>
    <cfRule type="cellIs" dxfId="2100" priority="2941" operator="between">
      <formula>1</formula>
      <formula>1.3</formula>
    </cfRule>
    <cfRule type="cellIs" dxfId="2099" priority="2942" operator="between">
      <formula>1.3</formula>
      <formula>1.5</formula>
    </cfRule>
    <cfRule type="cellIs" dxfId="2098" priority="2943" operator="greaterThan">
      <formula>1.5</formula>
    </cfRule>
  </conditionalFormatting>
  <conditionalFormatting sqref="B1377">
    <cfRule type="cellIs" dxfId="2097" priority="3152" operator="greaterThan">
      <formula>50</formula>
    </cfRule>
    <cfRule type="cellIs" dxfId="2096" priority="3153" operator="between">
      <formula>35</formula>
      <formula>50</formula>
    </cfRule>
    <cfRule type="cellIs" dxfId="2095" priority="3154" operator="lessThan">
      <formula>35</formula>
    </cfRule>
  </conditionalFormatting>
  <conditionalFormatting sqref="B1379">
    <cfRule type="cellIs" dxfId="2094" priority="3155" operator="greaterThan">
      <formula>350</formula>
    </cfRule>
    <cfRule type="cellIs" dxfId="2093" priority="3156" operator="between">
      <formula>250</formula>
      <formula>350</formula>
    </cfRule>
    <cfRule type="cellIs" dxfId="2092" priority="3157" operator="lessThan">
      <formula>250</formula>
    </cfRule>
  </conditionalFormatting>
  <conditionalFormatting sqref="B1381">
    <cfRule type="cellIs" dxfId="2091" priority="2934" operator="lessThan">
      <formula>0.8</formula>
    </cfRule>
    <cfRule type="cellIs" dxfId="2090" priority="2935" operator="between">
      <formula>0.8</formula>
      <formula>0.99999</formula>
    </cfRule>
    <cfRule type="cellIs" dxfId="2089" priority="2936" operator="between">
      <formula>1</formula>
      <formula>1.3</formula>
    </cfRule>
    <cfRule type="cellIs" dxfId="2088" priority="2937" operator="between">
      <formula>1.3</formula>
      <formula>1.5</formula>
    </cfRule>
    <cfRule type="cellIs" dxfId="2087" priority="2938" operator="greaterThan">
      <formula>1.5</formula>
    </cfRule>
  </conditionalFormatting>
  <conditionalFormatting sqref="B1384">
    <cfRule type="cellIs" dxfId="2086" priority="3141" operator="greaterThan">
      <formula>50</formula>
    </cfRule>
    <cfRule type="cellIs" dxfId="2085" priority="3142" operator="between">
      <formula>35</formula>
      <formula>50</formula>
    </cfRule>
    <cfRule type="cellIs" dxfId="2084" priority="3143" operator="lessThan">
      <formula>35</formula>
    </cfRule>
  </conditionalFormatting>
  <conditionalFormatting sqref="B1386">
    <cfRule type="cellIs" dxfId="2083" priority="3144" operator="greaterThan">
      <formula>350</formula>
    </cfRule>
    <cfRule type="cellIs" dxfId="2082" priority="3145" operator="between">
      <formula>250</formula>
      <formula>350</formula>
    </cfRule>
    <cfRule type="cellIs" dxfId="2081" priority="3146" operator="lessThan">
      <formula>250</formula>
    </cfRule>
  </conditionalFormatting>
  <conditionalFormatting sqref="B1388">
    <cfRule type="cellIs" dxfId="2080" priority="3136" operator="lessThan">
      <formula>0.8</formula>
    </cfRule>
    <cfRule type="cellIs" dxfId="2079" priority="3137" operator="between">
      <formula>0.8</formula>
      <formula>0.99999</formula>
    </cfRule>
    <cfRule type="cellIs" dxfId="2078" priority="3138" operator="between">
      <formula>1</formula>
      <formula>1.3</formula>
    </cfRule>
    <cfRule type="cellIs" dxfId="2077" priority="3139" operator="between">
      <formula>1.3</formula>
      <formula>1.5</formula>
    </cfRule>
    <cfRule type="cellIs" dxfId="2076" priority="3140" operator="greaterThan">
      <formula>1.5</formula>
    </cfRule>
  </conditionalFormatting>
  <conditionalFormatting sqref="B1391">
    <cfRule type="cellIs" dxfId="2075" priority="3130" operator="greaterThan">
      <formula>50</formula>
    </cfRule>
    <cfRule type="cellIs" dxfId="2074" priority="3131" operator="between">
      <formula>35</formula>
      <formula>50</formula>
    </cfRule>
    <cfRule type="cellIs" dxfId="2073" priority="3132" operator="lessThan">
      <formula>35</formula>
    </cfRule>
  </conditionalFormatting>
  <conditionalFormatting sqref="B1393">
    <cfRule type="cellIs" dxfId="2072" priority="3133" operator="greaterThan">
      <formula>350</formula>
    </cfRule>
    <cfRule type="cellIs" dxfId="2071" priority="3134" operator="between">
      <formula>250</formula>
      <formula>350</formula>
    </cfRule>
    <cfRule type="cellIs" dxfId="2070" priority="3135" operator="lessThan">
      <formula>250</formula>
    </cfRule>
  </conditionalFormatting>
  <conditionalFormatting sqref="B1395">
    <cfRule type="cellIs" dxfId="2069" priority="3125" operator="lessThan">
      <formula>0.8</formula>
    </cfRule>
    <cfRule type="cellIs" dxfId="2068" priority="3126" operator="between">
      <formula>0.8</formula>
      <formula>0.99999</formula>
    </cfRule>
    <cfRule type="cellIs" dxfId="2067" priority="3127" operator="between">
      <formula>1</formula>
      <formula>1.3</formula>
    </cfRule>
    <cfRule type="cellIs" dxfId="2066" priority="3128" operator="between">
      <formula>1.3</formula>
      <formula>1.5</formula>
    </cfRule>
    <cfRule type="cellIs" dxfId="2065" priority="3129" operator="greaterThan">
      <formula>1.5</formula>
    </cfRule>
  </conditionalFormatting>
  <conditionalFormatting sqref="B1398">
    <cfRule type="cellIs" dxfId="2064" priority="3119" operator="greaterThan">
      <formula>50</formula>
    </cfRule>
    <cfRule type="cellIs" dxfId="2063" priority="3120" operator="between">
      <formula>35</formula>
      <formula>50</formula>
    </cfRule>
    <cfRule type="cellIs" dxfId="2062" priority="3121" operator="lessThan">
      <formula>35</formula>
    </cfRule>
  </conditionalFormatting>
  <conditionalFormatting sqref="B1400">
    <cfRule type="cellIs" dxfId="2061" priority="3122" operator="greaterThan">
      <formula>350</formula>
    </cfRule>
    <cfRule type="cellIs" dxfId="2060" priority="3123" operator="between">
      <formula>250</formula>
      <formula>350</formula>
    </cfRule>
    <cfRule type="cellIs" dxfId="2059" priority="3124" operator="lessThan">
      <formula>250</formula>
    </cfRule>
  </conditionalFormatting>
  <conditionalFormatting sqref="B1402">
    <cfRule type="cellIs" dxfId="2058" priority="2974" operator="lessThan">
      <formula>0.8</formula>
    </cfRule>
    <cfRule type="cellIs" dxfId="2057" priority="2975" operator="between">
      <formula>0.8</formula>
      <formula>0.99999</formula>
    </cfRule>
    <cfRule type="cellIs" dxfId="2056" priority="2976" operator="between">
      <formula>1</formula>
      <formula>1.3</formula>
    </cfRule>
    <cfRule type="cellIs" dxfId="2055" priority="2977" operator="between">
      <formula>1.3</formula>
      <formula>1.5</formula>
    </cfRule>
    <cfRule type="cellIs" dxfId="2054" priority="2978" operator="greaterThan">
      <formula>1.5</formula>
    </cfRule>
  </conditionalFormatting>
  <conditionalFormatting sqref="B1405">
    <cfRule type="cellIs" dxfId="2053" priority="3108" operator="greaterThan">
      <formula>50</formula>
    </cfRule>
    <cfRule type="cellIs" dxfId="2052" priority="3109" operator="between">
      <formula>35</formula>
      <formula>50</formula>
    </cfRule>
    <cfRule type="cellIs" dxfId="2051" priority="3110" operator="lessThan">
      <formula>35</formula>
    </cfRule>
  </conditionalFormatting>
  <conditionalFormatting sqref="B1407">
    <cfRule type="cellIs" dxfId="2050" priority="3111" operator="greaterThan">
      <formula>350</formula>
    </cfRule>
    <cfRule type="cellIs" dxfId="2049" priority="3112" operator="between">
      <formula>250</formula>
      <formula>350</formula>
    </cfRule>
    <cfRule type="cellIs" dxfId="2048" priority="3113" operator="lessThan">
      <formula>250</formula>
    </cfRule>
  </conditionalFormatting>
  <conditionalFormatting sqref="B1409">
    <cfRule type="cellIs" dxfId="2047" priority="2969" operator="lessThan">
      <formula>0.8</formula>
    </cfRule>
    <cfRule type="cellIs" dxfId="2046" priority="2970" operator="between">
      <formula>0.8</formula>
      <formula>0.99999</formula>
    </cfRule>
    <cfRule type="cellIs" dxfId="2045" priority="2971" operator="between">
      <formula>1</formula>
      <formula>1.3</formula>
    </cfRule>
    <cfRule type="cellIs" dxfId="2044" priority="2972" operator="between">
      <formula>1.3</formula>
      <formula>1.5</formula>
    </cfRule>
    <cfRule type="cellIs" dxfId="2043" priority="2973" operator="greaterThan">
      <formula>1.5</formula>
    </cfRule>
  </conditionalFormatting>
  <conditionalFormatting sqref="B1412">
    <cfRule type="cellIs" dxfId="2042" priority="3097" operator="greaterThan">
      <formula>50</formula>
    </cfRule>
    <cfRule type="cellIs" dxfId="2041" priority="3098" operator="between">
      <formula>35</formula>
      <formula>50</formula>
    </cfRule>
    <cfRule type="cellIs" dxfId="2040" priority="3099" operator="lessThan">
      <formula>35</formula>
    </cfRule>
  </conditionalFormatting>
  <conditionalFormatting sqref="B1414">
    <cfRule type="cellIs" dxfId="2039" priority="3100" operator="greaterThan">
      <formula>350</formula>
    </cfRule>
    <cfRule type="cellIs" dxfId="2038" priority="3101" operator="between">
      <formula>250</formula>
      <formula>350</formula>
    </cfRule>
    <cfRule type="cellIs" dxfId="2037" priority="3102" operator="lessThan">
      <formula>250</formula>
    </cfRule>
  </conditionalFormatting>
  <conditionalFormatting sqref="B1416">
    <cfRule type="cellIs" dxfId="2036" priority="2929" operator="lessThan">
      <formula>0.8</formula>
    </cfRule>
    <cfRule type="cellIs" dxfId="2035" priority="2930" operator="between">
      <formula>0.8</formula>
      <formula>0.99999</formula>
    </cfRule>
    <cfRule type="cellIs" dxfId="2034" priority="2931" operator="between">
      <formula>1</formula>
      <formula>1.3</formula>
    </cfRule>
    <cfRule type="cellIs" dxfId="2033" priority="2932" operator="between">
      <formula>1.3</formula>
      <formula>1.5</formula>
    </cfRule>
    <cfRule type="cellIs" dxfId="2032" priority="2933" operator="greaterThan">
      <formula>1.5</formula>
    </cfRule>
  </conditionalFormatting>
  <conditionalFormatting sqref="B1419">
    <cfRule type="cellIs" dxfId="2031" priority="3086" operator="greaterThan">
      <formula>50</formula>
    </cfRule>
    <cfRule type="cellIs" dxfId="2030" priority="3087" operator="between">
      <formula>35</formula>
      <formula>50</formula>
    </cfRule>
    <cfRule type="cellIs" dxfId="2029" priority="3088" operator="lessThan">
      <formula>35</formula>
    </cfRule>
  </conditionalFormatting>
  <conditionalFormatting sqref="B1421">
    <cfRule type="cellIs" dxfId="2028" priority="3089" operator="greaterThan">
      <formula>350</formula>
    </cfRule>
    <cfRule type="cellIs" dxfId="2027" priority="3090" operator="between">
      <formula>250</formula>
      <formula>350</formula>
    </cfRule>
    <cfRule type="cellIs" dxfId="2026" priority="3091" operator="lessThan">
      <formula>250</formula>
    </cfRule>
  </conditionalFormatting>
  <conditionalFormatting sqref="B1423">
    <cfRule type="cellIs" dxfId="2025" priority="2924" operator="lessThan">
      <formula>0.8</formula>
    </cfRule>
    <cfRule type="cellIs" dxfId="2024" priority="2925" operator="between">
      <formula>0.8</formula>
      <formula>0.99999</formula>
    </cfRule>
    <cfRule type="cellIs" dxfId="2023" priority="2926" operator="between">
      <formula>1</formula>
      <formula>1.3</formula>
    </cfRule>
    <cfRule type="cellIs" dxfId="2022" priority="2927" operator="between">
      <formula>1.3</formula>
      <formula>1.5</formula>
    </cfRule>
    <cfRule type="cellIs" dxfId="2021" priority="2928" operator="greaterThan">
      <formula>1.5</formula>
    </cfRule>
  </conditionalFormatting>
  <conditionalFormatting sqref="B1426">
    <cfRule type="cellIs" dxfId="2020" priority="3075" operator="greaterThan">
      <formula>50</formula>
    </cfRule>
    <cfRule type="cellIs" dxfId="2019" priority="3076" operator="between">
      <formula>35</formula>
      <formula>50</formula>
    </cfRule>
    <cfRule type="cellIs" dxfId="2018" priority="3077" operator="lessThan">
      <formula>35</formula>
    </cfRule>
  </conditionalFormatting>
  <conditionalFormatting sqref="B1428">
    <cfRule type="cellIs" dxfId="2017" priority="3078" operator="greaterThan">
      <formula>350</formula>
    </cfRule>
    <cfRule type="cellIs" dxfId="2016" priority="3079" operator="between">
      <formula>250</formula>
      <formula>350</formula>
    </cfRule>
    <cfRule type="cellIs" dxfId="2015" priority="3080" operator="lessThan">
      <formula>250</formula>
    </cfRule>
  </conditionalFormatting>
  <conditionalFormatting sqref="B1430">
    <cfRule type="cellIs" dxfId="2014" priority="2899" operator="lessThan">
      <formula>0.8</formula>
    </cfRule>
    <cfRule type="cellIs" dxfId="2013" priority="2900" operator="between">
      <formula>0.8</formula>
      <formula>0.99999</formula>
    </cfRule>
    <cfRule type="cellIs" dxfId="2012" priority="2901" operator="between">
      <formula>1</formula>
      <formula>1.3</formula>
    </cfRule>
    <cfRule type="cellIs" dxfId="2011" priority="2902" operator="between">
      <formula>1.3</formula>
      <formula>1.5</formula>
    </cfRule>
    <cfRule type="cellIs" dxfId="2010" priority="2903" operator="greaterThan">
      <formula>1.5</formula>
    </cfRule>
  </conditionalFormatting>
  <conditionalFormatting sqref="B1433">
    <cfRule type="cellIs" dxfId="2009" priority="3064" operator="greaterThan">
      <formula>50</formula>
    </cfRule>
    <cfRule type="cellIs" dxfId="2008" priority="3065" operator="between">
      <formula>35</formula>
      <formula>50</formula>
    </cfRule>
    <cfRule type="cellIs" dxfId="2007" priority="3066" operator="lessThan">
      <formula>35</formula>
    </cfRule>
  </conditionalFormatting>
  <conditionalFormatting sqref="B1435">
    <cfRule type="cellIs" dxfId="2006" priority="3067" operator="greaterThan">
      <formula>350</formula>
    </cfRule>
    <cfRule type="cellIs" dxfId="2005" priority="3068" operator="between">
      <formula>250</formula>
      <formula>350</formula>
    </cfRule>
    <cfRule type="cellIs" dxfId="2004" priority="3069" operator="lessThan">
      <formula>250</formula>
    </cfRule>
  </conditionalFormatting>
  <conditionalFormatting sqref="B1437">
    <cfRule type="cellIs" dxfId="2003" priority="2884" operator="lessThan">
      <formula>0.8</formula>
    </cfRule>
    <cfRule type="cellIs" dxfId="2002" priority="2885" operator="between">
      <formula>0.8</formula>
      <formula>0.99999</formula>
    </cfRule>
    <cfRule type="cellIs" dxfId="2001" priority="2886" operator="between">
      <formula>1</formula>
      <formula>1.3</formula>
    </cfRule>
    <cfRule type="cellIs" dxfId="2000" priority="2887" operator="between">
      <formula>1.3</formula>
      <formula>1.5</formula>
    </cfRule>
    <cfRule type="cellIs" dxfId="1999" priority="2888" operator="greaterThan">
      <formula>1.5</formula>
    </cfRule>
  </conditionalFormatting>
  <conditionalFormatting sqref="B1440">
    <cfRule type="cellIs" dxfId="1998" priority="3053" operator="greaterThan">
      <formula>50</formula>
    </cfRule>
    <cfRule type="cellIs" dxfId="1997" priority="3054" operator="between">
      <formula>35</formula>
      <formula>50</formula>
    </cfRule>
    <cfRule type="cellIs" dxfId="1996" priority="3055" operator="lessThan">
      <formula>35</formula>
    </cfRule>
  </conditionalFormatting>
  <conditionalFormatting sqref="B1442">
    <cfRule type="cellIs" dxfId="1995" priority="3056" operator="greaterThan">
      <formula>350</formula>
    </cfRule>
    <cfRule type="cellIs" dxfId="1994" priority="3057" operator="between">
      <formula>250</formula>
      <formula>350</formula>
    </cfRule>
    <cfRule type="cellIs" dxfId="1993" priority="3058" operator="lessThan">
      <formula>250</formula>
    </cfRule>
  </conditionalFormatting>
  <conditionalFormatting sqref="B1444">
    <cfRule type="cellIs" dxfId="1992" priority="2879" operator="lessThan">
      <formula>0.8</formula>
    </cfRule>
    <cfRule type="cellIs" dxfId="1991" priority="2880" operator="between">
      <formula>0.8</formula>
      <formula>0.99999</formula>
    </cfRule>
    <cfRule type="cellIs" dxfId="1990" priority="2881" operator="between">
      <formula>1</formula>
      <formula>1.3</formula>
    </cfRule>
    <cfRule type="cellIs" dxfId="1989" priority="2882" operator="between">
      <formula>1.3</formula>
      <formula>1.5</formula>
    </cfRule>
    <cfRule type="cellIs" dxfId="1988" priority="2883" operator="greaterThan">
      <formula>1.5</formula>
    </cfRule>
  </conditionalFormatting>
  <conditionalFormatting sqref="B1447">
    <cfRule type="cellIs" dxfId="1987" priority="3042" operator="greaterThan">
      <formula>50</formula>
    </cfRule>
    <cfRule type="cellIs" dxfId="1986" priority="3043" operator="between">
      <formula>35</formula>
      <formula>50</formula>
    </cfRule>
    <cfRule type="cellIs" dxfId="1985" priority="3044" operator="lessThan">
      <formula>35</formula>
    </cfRule>
  </conditionalFormatting>
  <conditionalFormatting sqref="B1449">
    <cfRule type="cellIs" dxfId="1984" priority="3045" operator="greaterThan">
      <formula>350</formula>
    </cfRule>
    <cfRule type="cellIs" dxfId="1983" priority="3046" operator="between">
      <formula>250</formula>
      <formula>350</formula>
    </cfRule>
    <cfRule type="cellIs" dxfId="1982" priority="3047" operator="lessThan">
      <formula>250</formula>
    </cfRule>
  </conditionalFormatting>
  <conditionalFormatting sqref="B1451">
    <cfRule type="cellIs" dxfId="1981" priority="2859" operator="lessThan">
      <formula>0.8</formula>
    </cfRule>
    <cfRule type="cellIs" dxfId="1980" priority="2860" operator="between">
      <formula>0.8</formula>
      <formula>0.99999</formula>
    </cfRule>
    <cfRule type="cellIs" dxfId="1979" priority="2861" operator="between">
      <formula>1</formula>
      <formula>1.3</formula>
    </cfRule>
    <cfRule type="cellIs" dxfId="1978" priority="2862" operator="between">
      <formula>1.3</formula>
      <formula>1.5</formula>
    </cfRule>
    <cfRule type="cellIs" dxfId="1977" priority="2863" operator="greaterThan">
      <formula>1.5</formula>
    </cfRule>
  </conditionalFormatting>
  <conditionalFormatting sqref="B1454">
    <cfRule type="cellIs" dxfId="1976" priority="3031" operator="greaterThan">
      <formula>50</formula>
    </cfRule>
    <cfRule type="cellIs" dxfId="1975" priority="3032" operator="between">
      <formula>35</formula>
      <formula>50</formula>
    </cfRule>
    <cfRule type="cellIs" dxfId="1974" priority="3033" operator="lessThan">
      <formula>35</formula>
    </cfRule>
  </conditionalFormatting>
  <conditionalFormatting sqref="B1456">
    <cfRule type="cellIs" dxfId="1973" priority="3034" operator="greaterThan">
      <formula>350</formula>
    </cfRule>
    <cfRule type="cellIs" dxfId="1972" priority="3035" operator="between">
      <formula>250</formula>
      <formula>350</formula>
    </cfRule>
    <cfRule type="cellIs" dxfId="1971" priority="3036" operator="lessThan">
      <formula>250</formula>
    </cfRule>
  </conditionalFormatting>
  <conditionalFormatting sqref="B1458">
    <cfRule type="cellIs" dxfId="1970" priority="2854" operator="lessThan">
      <formula>0.8</formula>
    </cfRule>
    <cfRule type="cellIs" dxfId="1969" priority="2855" operator="between">
      <formula>0.8</formula>
      <formula>0.99999</formula>
    </cfRule>
    <cfRule type="cellIs" dxfId="1968" priority="2856" operator="between">
      <formula>1</formula>
      <formula>1.3</formula>
    </cfRule>
    <cfRule type="cellIs" dxfId="1967" priority="2857" operator="between">
      <formula>1.3</formula>
      <formula>1.5</formula>
    </cfRule>
    <cfRule type="cellIs" dxfId="1966" priority="2858" operator="greaterThan">
      <formula>1.5</formula>
    </cfRule>
  </conditionalFormatting>
  <conditionalFormatting sqref="B1461 B1468 B1475 B1482 B1489 B1496 B1503 B1510 B1517 B1524 B1531 B1538 B1545 B1552 B1559 B1566 B1573 B1580 B1587 B1594 B1601 B1608 B1615 B1622 B1629 B1636 B1643 B1650 B1657 B1664 B1671 B1678 B1685 B1692 B1699 B1706 B1713 B1720 B1727 B1734 B1741 B1748 B1755 B1762 B1769 B1776 B1783 B1790 B1797 B1804 B1811 B1818 B1825">
    <cfRule type="cellIs" dxfId="1965" priority="3020" operator="greaterThan">
      <formula>50</formula>
    </cfRule>
    <cfRule type="cellIs" dxfId="1964" priority="3021" operator="between">
      <formula>35</formula>
      <formula>50</formula>
    </cfRule>
    <cfRule type="cellIs" dxfId="1963" priority="3022" operator="lessThan">
      <formula>35</formula>
    </cfRule>
  </conditionalFormatting>
  <conditionalFormatting sqref="B1463 B1470 B1477 B1484 B1491 B1498 B1505 B1512 B1519 B1526 B1533 B1540 B1547 B1554 B1561 B1568 B1575 B1582 B1589 B1596 B1603 B1610 B1617 B1624 B1631 B1638 B1645 B1652 B1659 B1666 B1673 B1680 B1687 B1694 B1701 B1708 B1715 B1722 B1729 B1736 B1743 B1750 B1757 B1764 B1771 B1778 B1785 B1792 B1799 B1806 B1813 B1820 B1827">
    <cfRule type="cellIs" dxfId="1962" priority="3023" operator="greaterThan">
      <formula>350</formula>
    </cfRule>
    <cfRule type="cellIs" dxfId="1961" priority="3024" operator="between">
      <formula>250</formula>
      <formula>350</formula>
    </cfRule>
    <cfRule type="cellIs" dxfId="1960" priority="3025" operator="lessThan">
      <formula>250</formula>
    </cfRule>
  </conditionalFormatting>
  <conditionalFormatting sqref="B1465">
    <cfRule type="cellIs" dxfId="1959" priority="2864" operator="lessThan">
      <formula>0.8</formula>
    </cfRule>
    <cfRule type="cellIs" dxfId="1958" priority="2865" operator="between">
      <formula>0.8</formula>
      <formula>0.99999</formula>
    </cfRule>
    <cfRule type="cellIs" dxfId="1957" priority="2866" operator="between">
      <formula>1</formula>
      <formula>1.3</formula>
    </cfRule>
    <cfRule type="cellIs" dxfId="1956" priority="2867" operator="between">
      <formula>1.3</formula>
      <formula>1.5</formula>
    </cfRule>
    <cfRule type="cellIs" dxfId="1955" priority="2868" operator="greaterThan">
      <formula>1.5</formula>
    </cfRule>
  </conditionalFormatting>
  <conditionalFormatting sqref="B1472">
    <cfRule type="cellIs" dxfId="1954" priority="2919" operator="lessThan">
      <formula>0.8</formula>
    </cfRule>
    <cfRule type="cellIs" dxfId="1953" priority="2920" operator="between">
      <formula>0.8</formula>
      <formula>0.99999</formula>
    </cfRule>
    <cfRule type="cellIs" dxfId="1952" priority="2921" operator="between">
      <formula>1</formula>
      <formula>1.3</formula>
    </cfRule>
    <cfRule type="cellIs" dxfId="1951" priority="2922" operator="between">
      <formula>1.3</formula>
      <formula>1.5</formula>
    </cfRule>
    <cfRule type="cellIs" dxfId="1950" priority="2923" operator="greaterThan">
      <formula>1.5</formula>
    </cfRule>
  </conditionalFormatting>
  <conditionalFormatting sqref="B1479">
    <cfRule type="cellIs" dxfId="1949" priority="2824" operator="lessThan">
      <formula>0.8</formula>
    </cfRule>
    <cfRule type="cellIs" dxfId="1948" priority="2825" operator="between">
      <formula>0.8</formula>
      <formula>0.99999</formula>
    </cfRule>
    <cfRule type="cellIs" dxfId="1947" priority="2826" operator="between">
      <formula>1</formula>
      <formula>1.3</formula>
    </cfRule>
    <cfRule type="cellIs" dxfId="1946" priority="2827" operator="between">
      <formula>1.3</formula>
      <formula>1.5</formula>
    </cfRule>
    <cfRule type="cellIs" dxfId="1945" priority="2828" operator="greaterThan">
      <formula>1.5</formula>
    </cfRule>
  </conditionalFormatting>
  <conditionalFormatting sqref="B1486">
    <cfRule type="cellIs" dxfId="1944" priority="2834" operator="lessThan">
      <formula>0.8</formula>
    </cfRule>
    <cfRule type="cellIs" dxfId="1943" priority="2835" operator="between">
      <formula>0.8</formula>
      <formula>0.99999</formula>
    </cfRule>
    <cfRule type="cellIs" dxfId="1942" priority="2836" operator="between">
      <formula>1</formula>
      <formula>1.3</formula>
    </cfRule>
    <cfRule type="cellIs" dxfId="1941" priority="2837" operator="between">
      <formula>1.3</formula>
      <formula>1.5</formula>
    </cfRule>
    <cfRule type="cellIs" dxfId="1940" priority="2838" operator="greaterThan">
      <formula>1.5</formula>
    </cfRule>
  </conditionalFormatting>
  <conditionalFormatting sqref="B1493">
    <cfRule type="cellIs" dxfId="1939" priority="2759" operator="lessThan">
      <formula>0.8</formula>
    </cfRule>
    <cfRule type="cellIs" dxfId="1938" priority="2760" operator="between">
      <formula>0.8</formula>
      <formula>0.99999</formula>
    </cfRule>
    <cfRule type="cellIs" dxfId="1937" priority="2761" operator="between">
      <formula>1</formula>
      <formula>1.3</formula>
    </cfRule>
    <cfRule type="cellIs" dxfId="1936" priority="2762" operator="between">
      <formula>1.3</formula>
      <formula>1.5</formula>
    </cfRule>
    <cfRule type="cellIs" dxfId="1935" priority="2763" operator="greaterThan">
      <formula>1.5</formula>
    </cfRule>
  </conditionalFormatting>
  <conditionalFormatting sqref="B1500">
    <cfRule type="cellIs" dxfId="1934" priority="2754" operator="lessThan">
      <formula>0.8</formula>
    </cfRule>
    <cfRule type="cellIs" dxfId="1933" priority="2755" operator="between">
      <formula>0.8</formula>
      <formula>0.99999</formula>
    </cfRule>
    <cfRule type="cellIs" dxfId="1932" priority="2756" operator="between">
      <formula>1</formula>
      <formula>1.3</formula>
    </cfRule>
    <cfRule type="cellIs" dxfId="1931" priority="2757" operator="between">
      <formula>1.3</formula>
      <formula>1.5</formula>
    </cfRule>
    <cfRule type="cellIs" dxfId="1930" priority="2758" operator="greaterThan">
      <formula>1.5</formula>
    </cfRule>
  </conditionalFormatting>
  <conditionalFormatting sqref="B1507">
    <cfRule type="cellIs" dxfId="1929" priority="2749" operator="lessThan">
      <formula>0.8</formula>
    </cfRule>
    <cfRule type="cellIs" dxfId="1928" priority="2750" operator="between">
      <formula>0.8</formula>
      <formula>0.99999</formula>
    </cfRule>
    <cfRule type="cellIs" dxfId="1927" priority="2751" operator="between">
      <formula>1</formula>
      <formula>1.3</formula>
    </cfRule>
    <cfRule type="cellIs" dxfId="1926" priority="2752" operator="between">
      <formula>1.3</formula>
      <formula>1.5</formula>
    </cfRule>
    <cfRule type="cellIs" dxfId="1925" priority="2753" operator="greaterThan">
      <formula>1.5</formula>
    </cfRule>
  </conditionalFormatting>
  <conditionalFormatting sqref="B1514">
    <cfRule type="cellIs" dxfId="1924" priority="2744" operator="lessThan">
      <formula>0.8</formula>
    </cfRule>
    <cfRule type="cellIs" dxfId="1923" priority="2745" operator="between">
      <formula>0.8</formula>
      <formula>0.99999</formula>
    </cfRule>
    <cfRule type="cellIs" dxfId="1922" priority="2746" operator="between">
      <formula>1</formula>
      <formula>1.3</formula>
    </cfRule>
    <cfRule type="cellIs" dxfId="1921" priority="2747" operator="between">
      <formula>1.3</formula>
      <formula>1.5</formula>
    </cfRule>
    <cfRule type="cellIs" dxfId="1920" priority="2748" operator="greaterThan">
      <formula>1.5</formula>
    </cfRule>
  </conditionalFormatting>
  <conditionalFormatting sqref="B1521">
    <cfRule type="cellIs" dxfId="1919" priority="2739" operator="lessThan">
      <formula>0.8</formula>
    </cfRule>
    <cfRule type="cellIs" dxfId="1918" priority="2740" operator="between">
      <formula>0.8</formula>
      <formula>0.99999</formula>
    </cfRule>
    <cfRule type="cellIs" dxfId="1917" priority="2741" operator="between">
      <formula>1</formula>
      <formula>1.3</formula>
    </cfRule>
    <cfRule type="cellIs" dxfId="1916" priority="2742" operator="between">
      <formula>1.3</formula>
      <formula>1.5</formula>
    </cfRule>
    <cfRule type="cellIs" dxfId="1915" priority="2743" operator="greaterThan">
      <formula>1.5</formula>
    </cfRule>
  </conditionalFormatting>
  <conditionalFormatting sqref="B1528">
    <cfRule type="cellIs" dxfId="1914" priority="2734" operator="lessThan">
      <formula>0.8</formula>
    </cfRule>
    <cfRule type="cellIs" dxfId="1913" priority="2735" operator="between">
      <formula>0.8</formula>
      <formula>0.99999</formula>
    </cfRule>
    <cfRule type="cellIs" dxfId="1912" priority="2736" operator="between">
      <formula>1</formula>
      <formula>1.3</formula>
    </cfRule>
    <cfRule type="cellIs" dxfId="1911" priority="2737" operator="between">
      <formula>1.3</formula>
      <formula>1.5</formula>
    </cfRule>
    <cfRule type="cellIs" dxfId="1910" priority="2738" operator="greaterThan">
      <formula>1.5</formula>
    </cfRule>
  </conditionalFormatting>
  <conditionalFormatting sqref="B1535">
    <cfRule type="cellIs" dxfId="1909" priority="2729" operator="lessThan">
      <formula>0.8</formula>
    </cfRule>
    <cfRule type="cellIs" dxfId="1908" priority="2730" operator="between">
      <formula>0.8</formula>
      <formula>0.99999</formula>
    </cfRule>
    <cfRule type="cellIs" dxfId="1907" priority="2731" operator="between">
      <formula>1</formula>
      <formula>1.3</formula>
    </cfRule>
    <cfRule type="cellIs" dxfId="1906" priority="2732" operator="between">
      <formula>1.3</formula>
      <formula>1.5</formula>
    </cfRule>
    <cfRule type="cellIs" dxfId="1905" priority="2733" operator="greaterThan">
      <formula>1.5</formula>
    </cfRule>
  </conditionalFormatting>
  <conditionalFormatting sqref="B1542">
    <cfRule type="cellIs" dxfId="1904" priority="2724" operator="lessThan">
      <formula>0.8</formula>
    </cfRule>
    <cfRule type="cellIs" dxfId="1903" priority="2725" operator="between">
      <formula>0.8</formula>
      <formula>0.99999</formula>
    </cfRule>
    <cfRule type="cellIs" dxfId="1902" priority="2726" operator="between">
      <formula>1</formula>
      <formula>1.3</formula>
    </cfRule>
    <cfRule type="cellIs" dxfId="1901" priority="2727" operator="between">
      <formula>1.3</formula>
      <formula>1.5</formula>
    </cfRule>
    <cfRule type="cellIs" dxfId="1900" priority="2728" operator="greaterThan">
      <formula>1.5</formula>
    </cfRule>
  </conditionalFormatting>
  <conditionalFormatting sqref="B1549">
    <cfRule type="cellIs" dxfId="1899" priority="2719" operator="lessThan">
      <formula>0.8</formula>
    </cfRule>
    <cfRule type="cellIs" dxfId="1898" priority="2720" operator="between">
      <formula>0.8</formula>
      <formula>0.99999</formula>
    </cfRule>
    <cfRule type="cellIs" dxfId="1897" priority="2721" operator="between">
      <formula>1</formula>
      <formula>1.3</formula>
    </cfRule>
    <cfRule type="cellIs" dxfId="1896" priority="2722" operator="between">
      <formula>1.3</formula>
      <formula>1.5</formula>
    </cfRule>
    <cfRule type="cellIs" dxfId="1895" priority="2723" operator="greaterThan">
      <formula>1.5</formula>
    </cfRule>
  </conditionalFormatting>
  <conditionalFormatting sqref="B1556">
    <cfRule type="cellIs" dxfId="1894" priority="2714" operator="lessThan">
      <formula>0.8</formula>
    </cfRule>
    <cfRule type="cellIs" dxfId="1893" priority="2715" operator="between">
      <formula>0.8</formula>
      <formula>0.99999</formula>
    </cfRule>
    <cfRule type="cellIs" dxfId="1892" priority="2716" operator="between">
      <formula>1</formula>
      <formula>1.3</formula>
    </cfRule>
    <cfRule type="cellIs" dxfId="1891" priority="2717" operator="between">
      <formula>1.3</formula>
      <formula>1.5</formula>
    </cfRule>
    <cfRule type="cellIs" dxfId="1890" priority="2718" operator="greaterThan">
      <formula>1.5</formula>
    </cfRule>
  </conditionalFormatting>
  <conditionalFormatting sqref="B1563">
    <cfRule type="cellIs" dxfId="1889" priority="2709" operator="lessThan">
      <formula>0.8</formula>
    </cfRule>
    <cfRule type="cellIs" dxfId="1888" priority="2710" operator="between">
      <formula>0.8</formula>
      <formula>0.99999</formula>
    </cfRule>
    <cfRule type="cellIs" dxfId="1887" priority="2711" operator="between">
      <formula>1</formula>
      <formula>1.3</formula>
    </cfRule>
    <cfRule type="cellIs" dxfId="1886" priority="2712" operator="between">
      <formula>1.3</formula>
      <formula>1.5</formula>
    </cfRule>
    <cfRule type="cellIs" dxfId="1885" priority="2713" operator="greaterThan">
      <formula>1.5</formula>
    </cfRule>
  </conditionalFormatting>
  <conditionalFormatting sqref="B1570">
    <cfRule type="cellIs" dxfId="1884" priority="2704" operator="lessThan">
      <formula>0.8</formula>
    </cfRule>
    <cfRule type="cellIs" dxfId="1883" priority="2705" operator="between">
      <formula>0.8</formula>
      <formula>0.99999</formula>
    </cfRule>
    <cfRule type="cellIs" dxfId="1882" priority="2706" operator="between">
      <formula>1</formula>
      <formula>1.3</formula>
    </cfRule>
    <cfRule type="cellIs" dxfId="1881" priority="2707" operator="between">
      <formula>1.3</formula>
      <formula>1.5</formula>
    </cfRule>
    <cfRule type="cellIs" dxfId="1880" priority="2708" operator="greaterThan">
      <formula>1.5</formula>
    </cfRule>
  </conditionalFormatting>
  <conditionalFormatting sqref="B1577">
    <cfRule type="cellIs" dxfId="1879" priority="2699" operator="lessThan">
      <formula>0.8</formula>
    </cfRule>
    <cfRule type="cellIs" dxfId="1878" priority="2700" operator="between">
      <formula>0.8</formula>
      <formula>0.99999</formula>
    </cfRule>
    <cfRule type="cellIs" dxfId="1877" priority="2701" operator="between">
      <formula>1</formula>
      <formula>1.3</formula>
    </cfRule>
    <cfRule type="cellIs" dxfId="1876" priority="2702" operator="between">
      <formula>1.3</formula>
      <formula>1.5</formula>
    </cfRule>
    <cfRule type="cellIs" dxfId="1875" priority="2703" operator="greaterThan">
      <formula>1.5</formula>
    </cfRule>
  </conditionalFormatting>
  <conditionalFormatting sqref="B1584">
    <cfRule type="cellIs" dxfId="1874" priority="2694" operator="lessThan">
      <formula>0.8</formula>
    </cfRule>
    <cfRule type="cellIs" dxfId="1873" priority="2695" operator="between">
      <formula>0.8</formula>
      <formula>0.99999</formula>
    </cfRule>
    <cfRule type="cellIs" dxfId="1872" priority="2696" operator="between">
      <formula>1</formula>
      <formula>1.3</formula>
    </cfRule>
    <cfRule type="cellIs" dxfId="1871" priority="2697" operator="between">
      <formula>1.3</formula>
      <formula>1.5</formula>
    </cfRule>
    <cfRule type="cellIs" dxfId="1870" priority="2698" operator="greaterThan">
      <formula>1.5</formula>
    </cfRule>
  </conditionalFormatting>
  <conditionalFormatting sqref="B1591">
    <cfRule type="cellIs" dxfId="1869" priority="2689" operator="lessThan">
      <formula>0.8</formula>
    </cfRule>
    <cfRule type="cellIs" dxfId="1868" priority="2690" operator="between">
      <formula>0.8</formula>
      <formula>0.99999</formula>
    </cfRule>
    <cfRule type="cellIs" dxfId="1867" priority="2691" operator="between">
      <formula>1</formula>
      <formula>1.3</formula>
    </cfRule>
    <cfRule type="cellIs" dxfId="1866" priority="2692" operator="between">
      <formula>1.3</formula>
      <formula>1.5</formula>
    </cfRule>
    <cfRule type="cellIs" dxfId="1865" priority="2693" operator="greaterThan">
      <formula>1.5</formula>
    </cfRule>
  </conditionalFormatting>
  <conditionalFormatting sqref="B1598">
    <cfRule type="cellIs" dxfId="1864" priority="2684" operator="lessThan">
      <formula>0.8</formula>
    </cfRule>
    <cfRule type="cellIs" dxfId="1863" priority="2685" operator="between">
      <formula>0.8</formula>
      <formula>0.99999</formula>
    </cfRule>
    <cfRule type="cellIs" dxfId="1862" priority="2686" operator="between">
      <formula>1</formula>
      <formula>1.3</formula>
    </cfRule>
    <cfRule type="cellIs" dxfId="1861" priority="2687" operator="between">
      <formula>1.3</formula>
      <formula>1.5</formula>
    </cfRule>
    <cfRule type="cellIs" dxfId="1860" priority="2688" operator="greaterThan">
      <formula>1.5</formula>
    </cfRule>
  </conditionalFormatting>
  <conditionalFormatting sqref="B1605">
    <cfRule type="cellIs" dxfId="1859" priority="2679" operator="lessThan">
      <formula>0.8</formula>
    </cfRule>
    <cfRule type="cellIs" dxfId="1858" priority="2680" operator="between">
      <formula>0.8</formula>
      <formula>0.99999</formula>
    </cfRule>
    <cfRule type="cellIs" dxfId="1857" priority="2681" operator="between">
      <formula>1</formula>
      <formula>1.3</formula>
    </cfRule>
    <cfRule type="cellIs" dxfId="1856" priority="2682" operator="between">
      <formula>1.3</formula>
      <formula>1.5</formula>
    </cfRule>
    <cfRule type="cellIs" dxfId="1855" priority="2683" operator="greaterThan">
      <formula>1.5</formula>
    </cfRule>
  </conditionalFormatting>
  <conditionalFormatting sqref="B1612">
    <cfRule type="cellIs" dxfId="1854" priority="2674" operator="lessThan">
      <formula>0.8</formula>
    </cfRule>
    <cfRule type="cellIs" dxfId="1853" priority="2675" operator="between">
      <formula>0.8</formula>
      <formula>0.99999</formula>
    </cfRule>
    <cfRule type="cellIs" dxfId="1852" priority="2676" operator="between">
      <formula>1</formula>
      <formula>1.3</formula>
    </cfRule>
    <cfRule type="cellIs" dxfId="1851" priority="2677" operator="between">
      <formula>1.3</formula>
      <formula>1.5</formula>
    </cfRule>
    <cfRule type="cellIs" dxfId="1850" priority="2678" operator="greaterThan">
      <formula>1.5</formula>
    </cfRule>
  </conditionalFormatting>
  <conditionalFormatting sqref="B1619">
    <cfRule type="cellIs" dxfId="1849" priority="2669" operator="lessThan">
      <formula>0.8</formula>
    </cfRule>
    <cfRule type="cellIs" dxfId="1848" priority="2670" operator="between">
      <formula>0.8</formula>
      <formula>0.99999</formula>
    </cfRule>
    <cfRule type="cellIs" dxfId="1847" priority="2671" operator="between">
      <formula>1</formula>
      <formula>1.3</formula>
    </cfRule>
    <cfRule type="cellIs" dxfId="1846" priority="2672" operator="between">
      <formula>1.3</formula>
      <formula>1.5</formula>
    </cfRule>
    <cfRule type="cellIs" dxfId="1845" priority="2673" operator="greaterThan">
      <formula>1.5</formula>
    </cfRule>
  </conditionalFormatting>
  <conditionalFormatting sqref="B1626 B1633 B1640 B1647 B1654 B1661 B1668 B1675 B1682 B1689 B1696 B1703 B1710 B1717 B1724 B1731 B1738 B1745 B1752 B1815 B1822">
    <cfRule type="cellIs" dxfId="1844" priority="3015" operator="lessThan">
      <formula>0.8</formula>
    </cfRule>
    <cfRule type="cellIs" dxfId="1843" priority="3016" operator="between">
      <formula>0.8</formula>
      <formula>0.99999</formula>
    </cfRule>
    <cfRule type="cellIs" dxfId="1842" priority="3017" operator="between">
      <formula>1</formula>
      <formula>1.3</formula>
    </cfRule>
    <cfRule type="cellIs" dxfId="1841" priority="3018" operator="between">
      <formula>1.3</formula>
      <formula>1.5</formula>
    </cfRule>
    <cfRule type="cellIs" dxfId="1840" priority="3019" operator="greaterThan">
      <formula>1.5</formula>
    </cfRule>
  </conditionalFormatting>
  <conditionalFormatting sqref="B1759">
    <cfRule type="cellIs" dxfId="1839" priority="2597" operator="lessThan">
      <formula>0.8</formula>
    </cfRule>
    <cfRule type="cellIs" dxfId="1838" priority="2598" operator="between">
      <formula>0.8</formula>
      <formula>0.99999</formula>
    </cfRule>
    <cfRule type="cellIs" dxfId="1837" priority="2599" operator="between">
      <formula>1</formula>
      <formula>1.3</formula>
    </cfRule>
    <cfRule type="cellIs" dxfId="1836" priority="2600" operator="between">
      <formula>1.3</formula>
      <formula>1.5</formula>
    </cfRule>
    <cfRule type="cellIs" dxfId="1835" priority="2601" operator="greaterThan">
      <formula>1.5</formula>
    </cfRule>
  </conditionalFormatting>
  <conditionalFormatting sqref="B1766">
    <cfRule type="cellIs" dxfId="1834" priority="2562" operator="lessThan">
      <formula>0.8</formula>
    </cfRule>
    <cfRule type="cellIs" dxfId="1833" priority="2563" operator="between">
      <formula>0.8</formula>
      <formula>0.99999</formula>
    </cfRule>
    <cfRule type="cellIs" dxfId="1832" priority="2564" operator="between">
      <formula>1</formula>
      <formula>1.3</formula>
    </cfRule>
    <cfRule type="cellIs" dxfId="1831" priority="2565" operator="between">
      <formula>1.3</formula>
      <formula>1.5</formula>
    </cfRule>
    <cfRule type="cellIs" dxfId="1830" priority="2566" operator="greaterThan">
      <formula>1.5</formula>
    </cfRule>
  </conditionalFormatting>
  <conditionalFormatting sqref="B1773">
    <cfRule type="cellIs" dxfId="1829" priority="2567" operator="lessThan">
      <formula>0.8</formula>
    </cfRule>
    <cfRule type="cellIs" dxfId="1828" priority="2568" operator="between">
      <formula>0.8</formula>
      <formula>0.99999</formula>
    </cfRule>
    <cfRule type="cellIs" dxfId="1827" priority="2569" operator="between">
      <formula>1</formula>
      <formula>1.3</formula>
    </cfRule>
    <cfRule type="cellIs" dxfId="1826" priority="2570" operator="between">
      <formula>1.3</formula>
      <formula>1.5</formula>
    </cfRule>
    <cfRule type="cellIs" dxfId="1825" priority="2571" operator="greaterThan">
      <formula>1.5</formula>
    </cfRule>
  </conditionalFormatting>
  <conditionalFormatting sqref="B1780">
    <cfRule type="cellIs" dxfId="1824" priority="2572" operator="lessThan">
      <formula>0.8</formula>
    </cfRule>
    <cfRule type="cellIs" dxfId="1823" priority="2573" operator="between">
      <formula>0.8</formula>
      <formula>0.99999</formula>
    </cfRule>
    <cfRule type="cellIs" dxfId="1822" priority="2574" operator="between">
      <formula>1</formula>
      <formula>1.3</formula>
    </cfRule>
    <cfRule type="cellIs" dxfId="1821" priority="2575" operator="between">
      <formula>1.3</formula>
      <formula>1.5</formula>
    </cfRule>
    <cfRule type="cellIs" dxfId="1820" priority="2576" operator="greaterThan">
      <formula>1.5</formula>
    </cfRule>
  </conditionalFormatting>
  <conditionalFormatting sqref="B1787">
    <cfRule type="cellIs" dxfId="1819" priority="2577" operator="lessThan">
      <formula>0.8</formula>
    </cfRule>
    <cfRule type="cellIs" dxfId="1818" priority="2578" operator="between">
      <formula>0.8</formula>
      <formula>0.99999</formula>
    </cfRule>
    <cfRule type="cellIs" dxfId="1817" priority="2579" operator="between">
      <formula>1</formula>
      <formula>1.3</formula>
    </cfRule>
    <cfRule type="cellIs" dxfId="1816" priority="2580" operator="between">
      <formula>1.3</formula>
      <formula>1.5</formula>
    </cfRule>
    <cfRule type="cellIs" dxfId="1815" priority="2581" operator="greaterThan">
      <formula>1.5</formula>
    </cfRule>
  </conditionalFormatting>
  <conditionalFormatting sqref="B1794">
    <cfRule type="cellIs" dxfId="1814" priority="2547" operator="lessThan">
      <formula>0.8</formula>
    </cfRule>
    <cfRule type="cellIs" dxfId="1813" priority="2548" operator="between">
      <formula>0.8</formula>
      <formula>0.99999</formula>
    </cfRule>
    <cfRule type="cellIs" dxfId="1812" priority="2549" operator="between">
      <formula>1</formula>
      <formula>1.3</formula>
    </cfRule>
    <cfRule type="cellIs" dxfId="1811" priority="2550" operator="between">
      <formula>1.3</formula>
      <formula>1.5</formula>
    </cfRule>
    <cfRule type="cellIs" dxfId="1810" priority="2551" operator="greaterThan">
      <formula>1.5</formula>
    </cfRule>
  </conditionalFormatting>
  <conditionalFormatting sqref="B1801">
    <cfRule type="cellIs" dxfId="1809" priority="2542" operator="lessThan">
      <formula>0.8</formula>
    </cfRule>
    <cfRule type="cellIs" dxfId="1808" priority="2543" operator="between">
      <formula>0.8</formula>
      <formula>0.99999</formula>
    </cfRule>
    <cfRule type="cellIs" dxfId="1807" priority="2544" operator="between">
      <formula>1</formula>
      <formula>1.3</formula>
    </cfRule>
    <cfRule type="cellIs" dxfId="1806" priority="2545" operator="between">
      <formula>1.3</formula>
      <formula>1.5</formula>
    </cfRule>
    <cfRule type="cellIs" dxfId="1805" priority="2546" operator="greaterThan">
      <formula>1.5</formula>
    </cfRule>
  </conditionalFormatting>
  <conditionalFormatting sqref="B1808">
    <cfRule type="cellIs" dxfId="1804" priority="2552" operator="lessThan">
      <formula>0.8</formula>
    </cfRule>
    <cfRule type="cellIs" dxfId="1803" priority="2553" operator="between">
      <formula>0.8</formula>
      <formula>0.99999</formula>
    </cfRule>
    <cfRule type="cellIs" dxfId="1802" priority="2554" operator="between">
      <formula>1</formula>
      <formula>1.3</formula>
    </cfRule>
    <cfRule type="cellIs" dxfId="1801" priority="2555" operator="between">
      <formula>1.3</formula>
      <formula>1.5</formula>
    </cfRule>
    <cfRule type="cellIs" dxfId="1800" priority="2556" operator="greaterThan">
      <formula>1.5</formula>
    </cfRule>
  </conditionalFormatting>
  <conditionalFormatting sqref="B1829">
    <cfRule type="cellIs" dxfId="1799" priority="2904" operator="lessThan">
      <formula>0.8</formula>
    </cfRule>
    <cfRule type="cellIs" dxfId="1798" priority="2905" operator="between">
      <formula>0.8</formula>
      <formula>0.99999</formula>
    </cfRule>
    <cfRule type="cellIs" dxfId="1797" priority="2906" operator="between">
      <formula>1</formula>
      <formula>1.3</formula>
    </cfRule>
    <cfRule type="cellIs" dxfId="1796" priority="2907" operator="between">
      <formula>1.3</formula>
      <formula>1.5</formula>
    </cfRule>
    <cfRule type="cellIs" dxfId="1795" priority="2908" operator="greaterThan">
      <formula>1.5</formula>
    </cfRule>
  </conditionalFormatting>
  <conditionalFormatting sqref="B1831">
    <cfRule type="cellIs" dxfId="1794" priority="2456" operator="greaterThan">
      <formula>50</formula>
    </cfRule>
    <cfRule type="cellIs" dxfId="1793" priority="2457" operator="between">
      <formula>35</formula>
      <formula>50</formula>
    </cfRule>
    <cfRule type="cellIs" dxfId="1792" priority="2458" operator="lessThan">
      <formula>35</formula>
    </cfRule>
  </conditionalFormatting>
  <conditionalFormatting sqref="B1832">
    <cfRule type="cellIs" dxfId="1791" priority="2453" operator="greaterThan">
      <formula>350</formula>
    </cfRule>
    <cfRule type="cellIs" dxfId="1790" priority="2454" operator="between">
      <formula>250</formula>
      <formula>350</formula>
    </cfRule>
    <cfRule type="cellIs" dxfId="1789" priority="2455" operator="lessThan">
      <formula>250</formula>
    </cfRule>
  </conditionalFormatting>
  <conditionalFormatting sqref="B1833">
    <cfRule type="cellIs" dxfId="1788" priority="2448" operator="lessThan">
      <formula>0.8</formula>
    </cfRule>
    <cfRule type="cellIs" dxfId="1787" priority="2449" operator="between">
      <formula>0.8</formula>
      <formula>0.99999</formula>
    </cfRule>
    <cfRule type="cellIs" dxfId="1786" priority="2450" operator="between">
      <formula>1</formula>
      <formula>1.3</formula>
    </cfRule>
    <cfRule type="cellIs" dxfId="1785" priority="2451" operator="between">
      <formula>1.3</formula>
      <formula>1.5</formula>
    </cfRule>
    <cfRule type="cellIs" dxfId="1784" priority="2452" operator="greaterThan">
      <formula>1.5</formula>
    </cfRule>
  </conditionalFormatting>
  <conditionalFormatting sqref="B1835">
    <cfRule type="cellIs" dxfId="1783" priority="1790" operator="greaterThan">
      <formula>1.6</formula>
    </cfRule>
    <cfRule type="cellIs" dxfId="1782" priority="1791" operator="between">
      <formula>1.5</formula>
      <formula>1.6</formula>
    </cfRule>
    <cfRule type="cellIs" dxfId="1781" priority="1792" operator="lessThan">
      <formula>1.5</formula>
    </cfRule>
  </conditionalFormatting>
  <conditionalFormatting sqref="B1836">
    <cfRule type="cellIs" dxfId="1780" priority="1055" operator="between">
      <formula>500</formula>
      <formula>10000</formula>
    </cfRule>
    <cfRule type="cellIs" dxfId="1779" priority="1056" operator="between">
      <formula>200</formula>
      <formula>499</formula>
    </cfRule>
    <cfRule type="cellIs" dxfId="1778" priority="1057" operator="between">
      <formula>1</formula>
      <formula>199</formula>
    </cfRule>
  </conditionalFormatting>
  <conditionalFormatting sqref="B1838">
    <cfRule type="cellIs" dxfId="1777" priority="1787" operator="greaterThan">
      <formula>50</formula>
    </cfRule>
    <cfRule type="cellIs" dxfId="1776" priority="1788" operator="between">
      <formula>35</formula>
      <formula>50</formula>
    </cfRule>
    <cfRule type="cellIs" dxfId="1775" priority="1789" operator="lessThan">
      <formula>35</formula>
    </cfRule>
  </conditionalFormatting>
  <conditionalFormatting sqref="B1839">
    <cfRule type="cellIs" dxfId="1774" priority="1784" operator="greaterThan">
      <formula>350</formula>
    </cfRule>
    <cfRule type="cellIs" dxfId="1773" priority="1785" operator="between">
      <formula>250</formula>
      <formula>350</formula>
    </cfRule>
    <cfRule type="cellIs" dxfId="1772" priority="1786" operator="lessThan">
      <formula>250</formula>
    </cfRule>
  </conditionalFormatting>
  <conditionalFormatting sqref="B1840">
    <cfRule type="cellIs" dxfId="1771" priority="1779" operator="lessThan">
      <formula>0.8</formula>
    </cfRule>
    <cfRule type="cellIs" dxfId="1770" priority="1780" operator="between">
      <formula>0.8</formula>
      <formula>0.99999</formula>
    </cfRule>
    <cfRule type="cellIs" dxfId="1769" priority="1781" operator="between">
      <formula>1</formula>
      <formula>1.3</formula>
    </cfRule>
    <cfRule type="cellIs" dxfId="1768" priority="1782" operator="between">
      <formula>1.3</formula>
      <formula>1.5</formula>
    </cfRule>
    <cfRule type="cellIs" dxfId="1767" priority="1783" operator="greaterThan">
      <formula>1.5</formula>
    </cfRule>
  </conditionalFormatting>
  <conditionalFormatting sqref="B1842">
    <cfRule type="cellIs" dxfId="1766" priority="1776" operator="greaterThan">
      <formula>1.6</formula>
    </cfRule>
    <cfRule type="cellIs" dxfId="1765" priority="1777" operator="between">
      <formula>1.5</formula>
      <formula>1.6</formula>
    </cfRule>
    <cfRule type="cellIs" dxfId="1764" priority="1778" operator="lessThan">
      <formula>1.5</formula>
    </cfRule>
  </conditionalFormatting>
  <conditionalFormatting sqref="B1843">
    <cfRule type="cellIs" dxfId="1763" priority="1052" operator="between">
      <formula>500</formula>
      <formula>10000</formula>
    </cfRule>
    <cfRule type="cellIs" dxfId="1762" priority="1053" operator="between">
      <formula>200</formula>
      <formula>499</formula>
    </cfRule>
    <cfRule type="cellIs" dxfId="1761" priority="1054" operator="between">
      <formula>1</formula>
      <formula>199</formula>
    </cfRule>
  </conditionalFormatting>
  <conditionalFormatting sqref="B1845">
    <cfRule type="cellIs" dxfId="1760" priority="1773" operator="greaterThan">
      <formula>50</formula>
    </cfRule>
    <cfRule type="cellIs" dxfId="1759" priority="1774" operator="between">
      <formula>35</formula>
      <formula>50</formula>
    </cfRule>
    <cfRule type="cellIs" dxfId="1758" priority="1775" operator="lessThan">
      <formula>35</formula>
    </cfRule>
  </conditionalFormatting>
  <conditionalFormatting sqref="B1846">
    <cfRule type="cellIs" dxfId="1757" priority="1770" operator="greaterThan">
      <formula>350</formula>
    </cfRule>
    <cfRule type="cellIs" dxfId="1756" priority="1771" operator="between">
      <formula>250</formula>
      <formula>350</formula>
    </cfRule>
    <cfRule type="cellIs" dxfId="1755" priority="1772" operator="lessThan">
      <formula>250</formula>
    </cfRule>
  </conditionalFormatting>
  <conditionalFormatting sqref="B1847">
    <cfRule type="cellIs" dxfId="1754" priority="1765" operator="lessThan">
      <formula>0.8</formula>
    </cfRule>
    <cfRule type="cellIs" dxfId="1753" priority="1766" operator="between">
      <formula>0.8</formula>
      <formula>0.99999</formula>
    </cfRule>
    <cfRule type="cellIs" dxfId="1752" priority="1767" operator="between">
      <formula>1</formula>
      <formula>1.3</formula>
    </cfRule>
    <cfRule type="cellIs" dxfId="1751" priority="1768" operator="between">
      <formula>1.3</formula>
      <formula>1.5</formula>
    </cfRule>
    <cfRule type="cellIs" dxfId="1750" priority="1769" operator="greaterThan">
      <formula>1.5</formula>
    </cfRule>
  </conditionalFormatting>
  <conditionalFormatting sqref="B1849">
    <cfRule type="cellIs" dxfId="1749" priority="1762" operator="greaterThan">
      <formula>1.6</formula>
    </cfRule>
    <cfRule type="cellIs" dxfId="1748" priority="1763" operator="between">
      <formula>1.5</formula>
      <formula>1.6</formula>
    </cfRule>
    <cfRule type="cellIs" dxfId="1747" priority="1764" operator="lessThan">
      <formula>1.5</formula>
    </cfRule>
  </conditionalFormatting>
  <conditionalFormatting sqref="B1850">
    <cfRule type="cellIs" dxfId="1746" priority="1049" operator="between">
      <formula>500</formula>
      <formula>10000</formula>
    </cfRule>
    <cfRule type="cellIs" dxfId="1745" priority="1050" operator="between">
      <formula>200</formula>
      <formula>499</formula>
    </cfRule>
    <cfRule type="cellIs" dxfId="1744" priority="1051" operator="between">
      <formula>1</formula>
      <formula>199</formula>
    </cfRule>
  </conditionalFormatting>
  <conditionalFormatting sqref="B1852">
    <cfRule type="cellIs" dxfId="1743" priority="1759" operator="greaterThan">
      <formula>50</formula>
    </cfRule>
    <cfRule type="cellIs" dxfId="1742" priority="1760" operator="between">
      <formula>35</formula>
      <formula>50</formula>
    </cfRule>
    <cfRule type="cellIs" dxfId="1741" priority="1761" operator="lessThan">
      <formula>35</formula>
    </cfRule>
  </conditionalFormatting>
  <conditionalFormatting sqref="B1853">
    <cfRule type="cellIs" dxfId="1740" priority="1756" operator="greaterThan">
      <formula>350</formula>
    </cfRule>
    <cfRule type="cellIs" dxfId="1739" priority="1757" operator="between">
      <formula>250</formula>
      <formula>350</formula>
    </cfRule>
    <cfRule type="cellIs" dxfId="1738" priority="1758" operator="lessThan">
      <formula>250</formula>
    </cfRule>
  </conditionalFormatting>
  <conditionalFormatting sqref="B1854">
    <cfRule type="cellIs" dxfId="1737" priority="1751" operator="lessThan">
      <formula>0.8</formula>
    </cfRule>
    <cfRule type="cellIs" dxfId="1736" priority="1752" operator="between">
      <formula>0.8</formula>
      <formula>0.99999</formula>
    </cfRule>
    <cfRule type="cellIs" dxfId="1735" priority="1753" operator="between">
      <formula>1</formula>
      <formula>1.3</formula>
    </cfRule>
    <cfRule type="cellIs" dxfId="1734" priority="1754" operator="between">
      <formula>1.3</formula>
      <formula>1.5</formula>
    </cfRule>
    <cfRule type="cellIs" dxfId="1733" priority="1755" operator="greaterThan">
      <formula>1.5</formula>
    </cfRule>
  </conditionalFormatting>
  <conditionalFormatting sqref="B1856">
    <cfRule type="cellIs" dxfId="1732" priority="1748" operator="greaterThan">
      <formula>1.6</formula>
    </cfRule>
    <cfRule type="cellIs" dxfId="1731" priority="1749" operator="between">
      <formula>1.5</formula>
      <formula>1.6</formula>
    </cfRule>
    <cfRule type="cellIs" dxfId="1730" priority="1750" operator="lessThan">
      <formula>1.5</formula>
    </cfRule>
  </conditionalFormatting>
  <conditionalFormatting sqref="B1857">
    <cfRule type="cellIs" dxfId="1729" priority="1046" operator="between">
      <formula>500</formula>
      <formula>10000</formula>
    </cfRule>
    <cfRule type="cellIs" dxfId="1728" priority="1047" operator="between">
      <formula>200</formula>
      <formula>499</formula>
    </cfRule>
    <cfRule type="cellIs" dxfId="1727" priority="1048" operator="between">
      <formula>1</formula>
      <formula>199</formula>
    </cfRule>
  </conditionalFormatting>
  <conditionalFormatting sqref="B1859">
    <cfRule type="cellIs" dxfId="1726" priority="1745" operator="greaterThan">
      <formula>50</formula>
    </cfRule>
    <cfRule type="cellIs" dxfId="1725" priority="1746" operator="between">
      <formula>35</formula>
      <formula>50</formula>
    </cfRule>
    <cfRule type="cellIs" dxfId="1724" priority="1747" operator="lessThan">
      <formula>35</formula>
    </cfRule>
  </conditionalFormatting>
  <conditionalFormatting sqref="B1860">
    <cfRule type="cellIs" dxfId="1723" priority="1742" operator="greaterThan">
      <formula>350</formula>
    </cfRule>
    <cfRule type="cellIs" dxfId="1722" priority="1743" operator="between">
      <formula>250</formula>
      <formula>350</formula>
    </cfRule>
    <cfRule type="cellIs" dxfId="1721" priority="1744" operator="lessThan">
      <formula>250</formula>
    </cfRule>
  </conditionalFormatting>
  <conditionalFormatting sqref="B1861">
    <cfRule type="cellIs" dxfId="1720" priority="1737" operator="lessThan">
      <formula>0.8</formula>
    </cfRule>
    <cfRule type="cellIs" dxfId="1719" priority="1738" operator="between">
      <formula>0.8</formula>
      <formula>0.99999</formula>
    </cfRule>
    <cfRule type="cellIs" dxfId="1718" priority="1739" operator="between">
      <formula>1</formula>
      <formula>1.3</formula>
    </cfRule>
    <cfRule type="cellIs" dxfId="1717" priority="1740" operator="between">
      <formula>1.3</formula>
      <formula>1.5</formula>
    </cfRule>
    <cfRule type="cellIs" dxfId="1716" priority="1741" operator="greaterThan">
      <formula>1.5</formula>
    </cfRule>
  </conditionalFormatting>
  <conditionalFormatting sqref="B1863">
    <cfRule type="cellIs" dxfId="1715" priority="1734" operator="greaterThan">
      <formula>1.6</formula>
    </cfRule>
    <cfRule type="cellIs" dxfId="1714" priority="1735" operator="between">
      <formula>1.5</formula>
      <formula>1.6</formula>
    </cfRule>
    <cfRule type="cellIs" dxfId="1713" priority="1736" operator="lessThan">
      <formula>1.5</formula>
    </cfRule>
  </conditionalFormatting>
  <conditionalFormatting sqref="B1864">
    <cfRule type="cellIs" dxfId="1712" priority="1043" operator="between">
      <formula>500</formula>
      <formula>10000</formula>
    </cfRule>
    <cfRule type="cellIs" dxfId="1711" priority="1044" operator="between">
      <formula>200</formula>
      <formula>499</formula>
    </cfRule>
    <cfRule type="cellIs" dxfId="1710" priority="1045" operator="between">
      <formula>1</formula>
      <formula>199</formula>
    </cfRule>
  </conditionalFormatting>
  <conditionalFormatting sqref="B1866">
    <cfRule type="cellIs" dxfId="1709" priority="1731" operator="greaterThan">
      <formula>50</formula>
    </cfRule>
    <cfRule type="cellIs" dxfId="1708" priority="1732" operator="between">
      <formula>35</formula>
      <formula>50</formula>
    </cfRule>
    <cfRule type="cellIs" dxfId="1707" priority="1733" operator="lessThan">
      <formula>35</formula>
    </cfRule>
  </conditionalFormatting>
  <conditionalFormatting sqref="B1867">
    <cfRule type="cellIs" dxfId="1706" priority="1728" operator="greaterThan">
      <formula>350</formula>
    </cfRule>
    <cfRule type="cellIs" dxfId="1705" priority="1729" operator="between">
      <formula>250</formula>
      <formula>350</formula>
    </cfRule>
    <cfRule type="cellIs" dxfId="1704" priority="1730" operator="lessThan">
      <formula>250</formula>
    </cfRule>
  </conditionalFormatting>
  <conditionalFormatting sqref="B1868">
    <cfRule type="cellIs" dxfId="1703" priority="1723" operator="lessThan">
      <formula>0.8</formula>
    </cfRule>
    <cfRule type="cellIs" dxfId="1702" priority="1724" operator="between">
      <formula>0.8</formula>
      <formula>0.99999</formula>
    </cfRule>
    <cfRule type="cellIs" dxfId="1701" priority="1725" operator="between">
      <formula>1</formula>
      <formula>1.3</formula>
    </cfRule>
    <cfRule type="cellIs" dxfId="1700" priority="1726" operator="between">
      <formula>1.3</formula>
      <formula>1.5</formula>
    </cfRule>
    <cfRule type="cellIs" dxfId="1699" priority="1727" operator="greaterThan">
      <formula>1.5</formula>
    </cfRule>
  </conditionalFormatting>
  <conditionalFormatting sqref="B1870">
    <cfRule type="cellIs" dxfId="1698" priority="1720" operator="greaterThan">
      <formula>1.6</formula>
    </cfRule>
    <cfRule type="cellIs" dxfId="1697" priority="1721" operator="between">
      <formula>1.5</formula>
      <formula>1.6</formula>
    </cfRule>
    <cfRule type="cellIs" dxfId="1696" priority="1722" operator="lessThan">
      <formula>1.5</formula>
    </cfRule>
  </conditionalFormatting>
  <conditionalFormatting sqref="B1871">
    <cfRule type="cellIs" dxfId="1695" priority="1040" operator="between">
      <formula>500</formula>
      <formula>10000</formula>
    </cfRule>
    <cfRule type="cellIs" dxfId="1694" priority="1041" operator="between">
      <formula>200</formula>
      <formula>499</formula>
    </cfRule>
    <cfRule type="cellIs" dxfId="1693" priority="1042" operator="between">
      <formula>1</formula>
      <formula>199</formula>
    </cfRule>
  </conditionalFormatting>
  <conditionalFormatting sqref="B1873">
    <cfRule type="cellIs" dxfId="1692" priority="1717" operator="greaterThan">
      <formula>50</formula>
    </cfRule>
    <cfRule type="cellIs" dxfId="1691" priority="1718" operator="between">
      <formula>35</formula>
      <formula>50</formula>
    </cfRule>
    <cfRule type="cellIs" dxfId="1690" priority="1719" operator="lessThan">
      <formula>35</formula>
    </cfRule>
  </conditionalFormatting>
  <conditionalFormatting sqref="B1874">
    <cfRule type="cellIs" dxfId="1689" priority="1714" operator="greaterThan">
      <formula>350</formula>
    </cfRule>
    <cfRule type="cellIs" dxfId="1688" priority="1715" operator="between">
      <formula>250</formula>
      <formula>350</formula>
    </cfRule>
    <cfRule type="cellIs" dxfId="1687" priority="1716" operator="lessThan">
      <formula>250</formula>
    </cfRule>
  </conditionalFormatting>
  <conditionalFormatting sqref="B1875">
    <cfRule type="cellIs" dxfId="1686" priority="1709" operator="lessThan">
      <formula>0.8</formula>
    </cfRule>
    <cfRule type="cellIs" dxfId="1685" priority="1710" operator="between">
      <formula>0.8</formula>
      <formula>0.99999</formula>
    </cfRule>
    <cfRule type="cellIs" dxfId="1684" priority="1711" operator="between">
      <formula>1</formula>
      <formula>1.3</formula>
    </cfRule>
    <cfRule type="cellIs" dxfId="1683" priority="1712" operator="between">
      <formula>1.3</formula>
      <formula>1.5</formula>
    </cfRule>
    <cfRule type="cellIs" dxfId="1682" priority="1713" operator="greaterThan">
      <formula>1.5</formula>
    </cfRule>
  </conditionalFormatting>
  <conditionalFormatting sqref="B1877">
    <cfRule type="cellIs" dxfId="1681" priority="1706" operator="greaterThan">
      <formula>1.6</formula>
    </cfRule>
    <cfRule type="cellIs" dxfId="1680" priority="1707" operator="between">
      <formula>1.5</formula>
      <formula>1.6</formula>
    </cfRule>
    <cfRule type="cellIs" dxfId="1679" priority="1708" operator="lessThan">
      <formula>1.5</formula>
    </cfRule>
  </conditionalFormatting>
  <conditionalFormatting sqref="B1878">
    <cfRule type="cellIs" dxfId="1678" priority="1037" operator="between">
      <formula>500</formula>
      <formula>10000</formula>
    </cfRule>
    <cfRule type="cellIs" dxfId="1677" priority="1038" operator="between">
      <formula>200</formula>
      <formula>499</formula>
    </cfRule>
    <cfRule type="cellIs" dxfId="1676" priority="1039" operator="between">
      <formula>1</formula>
      <formula>199</formula>
    </cfRule>
  </conditionalFormatting>
  <conditionalFormatting sqref="B1880">
    <cfRule type="cellIs" dxfId="1675" priority="1703" operator="greaterThan">
      <formula>50</formula>
    </cfRule>
    <cfRule type="cellIs" dxfId="1674" priority="1704" operator="between">
      <formula>35</formula>
      <formula>50</formula>
    </cfRule>
    <cfRule type="cellIs" dxfId="1673" priority="1705" operator="lessThan">
      <formula>35</formula>
    </cfRule>
  </conditionalFormatting>
  <conditionalFormatting sqref="B1881">
    <cfRule type="cellIs" dxfId="1672" priority="1700" operator="greaterThan">
      <formula>350</formula>
    </cfRule>
    <cfRule type="cellIs" dxfId="1671" priority="1701" operator="between">
      <formula>250</formula>
      <formula>350</formula>
    </cfRule>
    <cfRule type="cellIs" dxfId="1670" priority="1702" operator="lessThan">
      <formula>250</formula>
    </cfRule>
  </conditionalFormatting>
  <conditionalFormatting sqref="B1882">
    <cfRule type="cellIs" dxfId="1669" priority="1695" operator="lessThan">
      <formula>0.8</formula>
    </cfRule>
    <cfRule type="cellIs" dxfId="1668" priority="1696" operator="between">
      <formula>0.8</formula>
      <formula>0.99999</formula>
    </cfRule>
    <cfRule type="cellIs" dxfId="1667" priority="1697" operator="between">
      <formula>1</formula>
      <formula>1.3</formula>
    </cfRule>
    <cfRule type="cellIs" dxfId="1666" priority="1698" operator="between">
      <formula>1.3</formula>
      <formula>1.5</formula>
    </cfRule>
    <cfRule type="cellIs" dxfId="1665" priority="1699" operator="greaterThan">
      <formula>1.5</formula>
    </cfRule>
  </conditionalFormatting>
  <conditionalFormatting sqref="B1884">
    <cfRule type="cellIs" dxfId="1664" priority="1692" operator="greaterThan">
      <formula>1.6</formula>
    </cfRule>
    <cfRule type="cellIs" dxfId="1663" priority="1693" operator="between">
      <formula>1.5</formula>
      <formula>1.6</formula>
    </cfRule>
    <cfRule type="cellIs" dxfId="1662" priority="1694" operator="lessThan">
      <formula>1.5</formula>
    </cfRule>
  </conditionalFormatting>
  <conditionalFormatting sqref="B1885">
    <cfRule type="cellIs" dxfId="1661" priority="1034" operator="between">
      <formula>500</formula>
      <formula>10000</formula>
    </cfRule>
    <cfRule type="cellIs" dxfId="1660" priority="1035" operator="between">
      <formula>200</formula>
      <formula>499</formula>
    </cfRule>
    <cfRule type="cellIs" dxfId="1659" priority="1036" operator="between">
      <formula>1</formula>
      <formula>199</formula>
    </cfRule>
  </conditionalFormatting>
  <conditionalFormatting sqref="B1887">
    <cfRule type="cellIs" dxfId="1658" priority="1689" operator="greaterThan">
      <formula>50</formula>
    </cfRule>
    <cfRule type="cellIs" dxfId="1657" priority="1690" operator="between">
      <formula>35</formula>
      <formula>50</formula>
    </cfRule>
    <cfRule type="cellIs" dxfId="1656" priority="1691" operator="lessThan">
      <formula>35</formula>
    </cfRule>
  </conditionalFormatting>
  <conditionalFormatting sqref="B1888">
    <cfRule type="cellIs" dxfId="1655" priority="1686" operator="greaterThan">
      <formula>350</formula>
    </cfRule>
    <cfRule type="cellIs" dxfId="1654" priority="1687" operator="between">
      <formula>250</formula>
      <formula>350</formula>
    </cfRule>
    <cfRule type="cellIs" dxfId="1653" priority="1688" operator="lessThan">
      <formula>250</formula>
    </cfRule>
  </conditionalFormatting>
  <conditionalFormatting sqref="B1889">
    <cfRule type="cellIs" dxfId="1652" priority="1681" operator="lessThan">
      <formula>0.8</formula>
    </cfRule>
    <cfRule type="cellIs" dxfId="1651" priority="1682" operator="between">
      <formula>0.8</formula>
      <formula>0.99999</formula>
    </cfRule>
    <cfRule type="cellIs" dxfId="1650" priority="1683" operator="between">
      <formula>1</formula>
      <formula>1.3</formula>
    </cfRule>
    <cfRule type="cellIs" dxfId="1649" priority="1684" operator="between">
      <formula>1.3</formula>
      <formula>1.5</formula>
    </cfRule>
    <cfRule type="cellIs" dxfId="1648" priority="1685" operator="greaterThan">
      <formula>1.5</formula>
    </cfRule>
  </conditionalFormatting>
  <conditionalFormatting sqref="B1891">
    <cfRule type="cellIs" dxfId="1647" priority="1678" operator="greaterThan">
      <formula>1.6</formula>
    </cfRule>
    <cfRule type="cellIs" dxfId="1646" priority="1679" operator="between">
      <formula>1.5</formula>
      <formula>1.6</formula>
    </cfRule>
    <cfRule type="cellIs" dxfId="1645" priority="1680" operator="lessThan">
      <formula>1.5</formula>
    </cfRule>
  </conditionalFormatting>
  <conditionalFormatting sqref="B1892">
    <cfRule type="cellIs" dxfId="1644" priority="1031" operator="between">
      <formula>500</formula>
      <formula>10000</formula>
    </cfRule>
    <cfRule type="cellIs" dxfId="1643" priority="1032" operator="between">
      <formula>200</formula>
      <formula>499</formula>
    </cfRule>
    <cfRule type="cellIs" dxfId="1642" priority="1033" operator="between">
      <formula>1</formula>
      <formula>199</formula>
    </cfRule>
  </conditionalFormatting>
  <conditionalFormatting sqref="B1894">
    <cfRule type="cellIs" dxfId="1641" priority="1675" operator="greaterThan">
      <formula>50</formula>
    </cfRule>
    <cfRule type="cellIs" dxfId="1640" priority="1676" operator="between">
      <formula>35</formula>
      <formula>50</formula>
    </cfRule>
    <cfRule type="cellIs" dxfId="1639" priority="1677" operator="lessThan">
      <formula>35</formula>
    </cfRule>
  </conditionalFormatting>
  <conditionalFormatting sqref="B1895">
    <cfRule type="cellIs" dxfId="1638" priority="1672" operator="greaterThan">
      <formula>350</formula>
    </cfRule>
    <cfRule type="cellIs" dxfId="1637" priority="1673" operator="between">
      <formula>250</formula>
      <formula>350</formula>
    </cfRule>
    <cfRule type="cellIs" dxfId="1636" priority="1674" operator="lessThan">
      <formula>250</formula>
    </cfRule>
  </conditionalFormatting>
  <conditionalFormatting sqref="B1896">
    <cfRule type="cellIs" dxfId="1635" priority="1667" operator="lessThan">
      <formula>0.8</formula>
    </cfRule>
    <cfRule type="cellIs" dxfId="1634" priority="1668" operator="between">
      <formula>0.8</formula>
      <formula>0.99999</formula>
    </cfRule>
    <cfRule type="cellIs" dxfId="1633" priority="1669" operator="between">
      <formula>1</formula>
      <formula>1.3</formula>
    </cfRule>
    <cfRule type="cellIs" dxfId="1632" priority="1670" operator="between">
      <formula>1.3</formula>
      <formula>1.5</formula>
    </cfRule>
    <cfRule type="cellIs" dxfId="1631" priority="1671" operator="greaterThan">
      <formula>1.5</formula>
    </cfRule>
  </conditionalFormatting>
  <conditionalFormatting sqref="B1898">
    <cfRule type="cellIs" dxfId="1630" priority="1664" operator="greaterThan">
      <formula>1.6</formula>
    </cfRule>
    <cfRule type="cellIs" dxfId="1629" priority="1665" operator="between">
      <formula>1.5</formula>
      <formula>1.6</formula>
    </cfRule>
    <cfRule type="cellIs" dxfId="1628" priority="1666" operator="lessThan">
      <formula>1.5</formula>
    </cfRule>
  </conditionalFormatting>
  <conditionalFormatting sqref="B1899">
    <cfRule type="cellIs" dxfId="1627" priority="1028" operator="between">
      <formula>500</formula>
      <formula>10000</formula>
    </cfRule>
    <cfRule type="cellIs" dxfId="1626" priority="1029" operator="between">
      <formula>200</formula>
      <formula>499</formula>
    </cfRule>
    <cfRule type="cellIs" dxfId="1625" priority="1030" operator="between">
      <formula>1</formula>
      <formula>199</formula>
    </cfRule>
  </conditionalFormatting>
  <conditionalFormatting sqref="B1901">
    <cfRule type="cellIs" dxfId="1624" priority="1661" operator="greaterThan">
      <formula>50</formula>
    </cfRule>
    <cfRule type="cellIs" dxfId="1623" priority="1662" operator="between">
      <formula>35</formula>
      <formula>50</formula>
    </cfRule>
    <cfRule type="cellIs" dxfId="1622" priority="1663" operator="lessThan">
      <formula>35</formula>
    </cfRule>
  </conditionalFormatting>
  <conditionalFormatting sqref="B1902">
    <cfRule type="cellIs" dxfId="1621" priority="1658" operator="greaterThan">
      <formula>350</formula>
    </cfRule>
    <cfRule type="cellIs" dxfId="1620" priority="1659" operator="between">
      <formula>250</formula>
      <formula>350</formula>
    </cfRule>
    <cfRule type="cellIs" dxfId="1619" priority="1660" operator="lessThan">
      <formula>250</formula>
    </cfRule>
  </conditionalFormatting>
  <conditionalFormatting sqref="B1903">
    <cfRule type="cellIs" dxfId="1618" priority="1653" operator="lessThan">
      <formula>0.8</formula>
    </cfRule>
    <cfRule type="cellIs" dxfId="1617" priority="1654" operator="between">
      <formula>0.8</formula>
      <formula>0.99999</formula>
    </cfRule>
    <cfRule type="cellIs" dxfId="1616" priority="1655" operator="between">
      <formula>1</formula>
      <formula>1.3</formula>
    </cfRule>
    <cfRule type="cellIs" dxfId="1615" priority="1656" operator="between">
      <formula>1.3</formula>
      <formula>1.5</formula>
    </cfRule>
    <cfRule type="cellIs" dxfId="1614" priority="1657" operator="greaterThan">
      <formula>1.5</formula>
    </cfRule>
  </conditionalFormatting>
  <conditionalFormatting sqref="B1905">
    <cfRule type="cellIs" dxfId="1613" priority="1650" operator="greaterThan">
      <formula>1.6</formula>
    </cfRule>
    <cfRule type="cellIs" dxfId="1612" priority="1651" operator="between">
      <formula>1.5</formula>
      <formula>1.6</formula>
    </cfRule>
    <cfRule type="cellIs" dxfId="1611" priority="1652" operator="lessThan">
      <formula>1.5</formula>
    </cfRule>
  </conditionalFormatting>
  <conditionalFormatting sqref="B1906">
    <cfRule type="cellIs" dxfId="1610" priority="1025" operator="between">
      <formula>500</formula>
      <formula>10000</formula>
    </cfRule>
    <cfRule type="cellIs" dxfId="1609" priority="1026" operator="between">
      <formula>200</formula>
      <formula>499</formula>
    </cfRule>
    <cfRule type="cellIs" dxfId="1608" priority="1027" operator="between">
      <formula>1</formula>
      <formula>199</formula>
    </cfRule>
  </conditionalFormatting>
  <conditionalFormatting sqref="B1908">
    <cfRule type="cellIs" dxfId="1607" priority="1647" operator="greaterThan">
      <formula>50</formula>
    </cfRule>
    <cfRule type="cellIs" dxfId="1606" priority="1648" operator="between">
      <formula>35</formula>
      <formula>50</formula>
    </cfRule>
    <cfRule type="cellIs" dxfId="1605" priority="1649" operator="lessThan">
      <formula>35</formula>
    </cfRule>
  </conditionalFormatting>
  <conditionalFormatting sqref="B1909">
    <cfRule type="cellIs" dxfId="1604" priority="1644" operator="greaterThan">
      <formula>350</formula>
    </cfRule>
    <cfRule type="cellIs" dxfId="1603" priority="1645" operator="between">
      <formula>250</formula>
      <formula>350</formula>
    </cfRule>
    <cfRule type="cellIs" dxfId="1602" priority="1646" operator="lessThan">
      <formula>250</formula>
    </cfRule>
  </conditionalFormatting>
  <conditionalFormatting sqref="B1910">
    <cfRule type="cellIs" dxfId="1601" priority="1639" operator="lessThan">
      <formula>0.8</formula>
    </cfRule>
    <cfRule type="cellIs" dxfId="1600" priority="1640" operator="between">
      <formula>0.8</formula>
      <formula>0.99999</formula>
    </cfRule>
    <cfRule type="cellIs" dxfId="1599" priority="1641" operator="between">
      <formula>1</formula>
      <formula>1.3</formula>
    </cfRule>
    <cfRule type="cellIs" dxfId="1598" priority="1642" operator="between">
      <formula>1.3</formula>
      <formula>1.5</formula>
    </cfRule>
    <cfRule type="cellIs" dxfId="1597" priority="1643" operator="greaterThan">
      <formula>1.5</formula>
    </cfRule>
  </conditionalFormatting>
  <conditionalFormatting sqref="B1912">
    <cfRule type="cellIs" dxfId="1596" priority="1636" operator="greaterThan">
      <formula>1.6</formula>
    </cfRule>
    <cfRule type="cellIs" dxfId="1595" priority="1637" operator="between">
      <formula>1.5</formula>
      <formula>1.6</formula>
    </cfRule>
    <cfRule type="cellIs" dxfId="1594" priority="1638" operator="lessThan">
      <formula>1.5</formula>
    </cfRule>
  </conditionalFormatting>
  <conditionalFormatting sqref="B1913">
    <cfRule type="cellIs" dxfId="1593" priority="1022" operator="between">
      <formula>500</formula>
      <formula>10000</formula>
    </cfRule>
    <cfRule type="cellIs" dxfId="1592" priority="1023" operator="between">
      <formula>200</formula>
      <formula>499</formula>
    </cfRule>
    <cfRule type="cellIs" dxfId="1591" priority="1024" operator="between">
      <formula>1</formula>
      <formula>199</formula>
    </cfRule>
  </conditionalFormatting>
  <conditionalFormatting sqref="B1915">
    <cfRule type="cellIs" dxfId="1590" priority="1633" operator="greaterThan">
      <formula>50</formula>
    </cfRule>
    <cfRule type="cellIs" dxfId="1589" priority="1634" operator="between">
      <formula>35</formula>
      <formula>50</formula>
    </cfRule>
    <cfRule type="cellIs" dxfId="1588" priority="1635" operator="lessThan">
      <formula>35</formula>
    </cfRule>
  </conditionalFormatting>
  <conditionalFormatting sqref="B1916">
    <cfRule type="cellIs" dxfId="1587" priority="1630" operator="greaterThan">
      <formula>350</formula>
    </cfRule>
    <cfRule type="cellIs" dxfId="1586" priority="1631" operator="between">
      <formula>250</formula>
      <formula>350</formula>
    </cfRule>
    <cfRule type="cellIs" dxfId="1585" priority="1632" operator="lessThan">
      <formula>250</formula>
    </cfRule>
  </conditionalFormatting>
  <conditionalFormatting sqref="B1917">
    <cfRule type="cellIs" dxfId="1584" priority="1625" operator="lessThan">
      <formula>0.8</formula>
    </cfRule>
    <cfRule type="cellIs" dxfId="1583" priority="1626" operator="between">
      <formula>0.8</formula>
      <formula>0.99999</formula>
    </cfRule>
    <cfRule type="cellIs" dxfId="1582" priority="1627" operator="between">
      <formula>1</formula>
      <formula>1.3</formula>
    </cfRule>
    <cfRule type="cellIs" dxfId="1581" priority="1628" operator="between">
      <formula>1.3</formula>
      <formula>1.5</formula>
    </cfRule>
    <cfRule type="cellIs" dxfId="1580" priority="1629" operator="greaterThan">
      <formula>1.5</formula>
    </cfRule>
  </conditionalFormatting>
  <conditionalFormatting sqref="B1919">
    <cfRule type="cellIs" dxfId="1579" priority="1622" operator="greaterThan">
      <formula>1.6</formula>
    </cfRule>
    <cfRule type="cellIs" dxfId="1578" priority="1623" operator="between">
      <formula>1.5</formula>
      <formula>1.6</formula>
    </cfRule>
    <cfRule type="cellIs" dxfId="1577" priority="1624" operator="lessThan">
      <formula>1.5</formula>
    </cfRule>
  </conditionalFormatting>
  <conditionalFormatting sqref="B1920">
    <cfRule type="cellIs" dxfId="1576" priority="1019" operator="between">
      <formula>500</formula>
      <formula>10000</formula>
    </cfRule>
    <cfRule type="cellIs" dxfId="1575" priority="1020" operator="between">
      <formula>200</formula>
      <formula>499</formula>
    </cfRule>
    <cfRule type="cellIs" dxfId="1574" priority="1021" operator="between">
      <formula>1</formula>
      <formula>199</formula>
    </cfRule>
  </conditionalFormatting>
  <conditionalFormatting sqref="B1922">
    <cfRule type="cellIs" dxfId="1573" priority="1619" operator="greaterThan">
      <formula>50</formula>
    </cfRule>
    <cfRule type="cellIs" dxfId="1572" priority="1620" operator="between">
      <formula>35</formula>
      <formula>50</formula>
    </cfRule>
    <cfRule type="cellIs" dxfId="1571" priority="1621" operator="lessThan">
      <formula>35</formula>
    </cfRule>
  </conditionalFormatting>
  <conditionalFormatting sqref="B1923">
    <cfRule type="cellIs" dxfId="1570" priority="1616" operator="greaterThan">
      <formula>350</formula>
    </cfRule>
    <cfRule type="cellIs" dxfId="1569" priority="1617" operator="between">
      <formula>250</formula>
      <formula>350</formula>
    </cfRule>
    <cfRule type="cellIs" dxfId="1568" priority="1618" operator="lessThan">
      <formula>250</formula>
    </cfRule>
  </conditionalFormatting>
  <conditionalFormatting sqref="B1924">
    <cfRule type="cellIs" dxfId="1567" priority="1611" operator="lessThan">
      <formula>0.8</formula>
    </cfRule>
    <cfRule type="cellIs" dxfId="1566" priority="1612" operator="between">
      <formula>0.8</formula>
      <formula>0.99999</formula>
    </cfRule>
    <cfRule type="cellIs" dxfId="1565" priority="1613" operator="between">
      <formula>1</formula>
      <formula>1.3</formula>
    </cfRule>
    <cfRule type="cellIs" dxfId="1564" priority="1614" operator="between">
      <formula>1.3</formula>
      <formula>1.5</formula>
    </cfRule>
    <cfRule type="cellIs" dxfId="1563" priority="1615" operator="greaterThan">
      <formula>1.5</formula>
    </cfRule>
  </conditionalFormatting>
  <conditionalFormatting sqref="B1926">
    <cfRule type="cellIs" dxfId="1562" priority="1608" operator="greaterThan">
      <formula>1.6</formula>
    </cfRule>
    <cfRule type="cellIs" dxfId="1561" priority="1609" operator="between">
      <formula>1.5</formula>
      <formula>1.6</formula>
    </cfRule>
    <cfRule type="cellIs" dxfId="1560" priority="1610" operator="lessThan">
      <formula>1.5</formula>
    </cfRule>
  </conditionalFormatting>
  <conditionalFormatting sqref="B1927">
    <cfRule type="cellIs" dxfId="1559" priority="1016" operator="between">
      <formula>500</formula>
      <formula>10000</formula>
    </cfRule>
    <cfRule type="cellIs" dxfId="1558" priority="1017" operator="between">
      <formula>200</formula>
      <formula>499</formula>
    </cfRule>
    <cfRule type="cellIs" dxfId="1557" priority="1018" operator="between">
      <formula>1</formula>
      <formula>199</formula>
    </cfRule>
  </conditionalFormatting>
  <conditionalFormatting sqref="B1929">
    <cfRule type="cellIs" dxfId="1556" priority="1605" operator="greaterThan">
      <formula>50</formula>
    </cfRule>
    <cfRule type="cellIs" dxfId="1555" priority="1606" operator="between">
      <formula>35</formula>
      <formula>50</formula>
    </cfRule>
    <cfRule type="cellIs" dxfId="1554" priority="1607" operator="lessThan">
      <formula>35</formula>
    </cfRule>
  </conditionalFormatting>
  <conditionalFormatting sqref="B1930">
    <cfRule type="cellIs" dxfId="1553" priority="1602" operator="greaterThan">
      <formula>350</formula>
    </cfRule>
    <cfRule type="cellIs" dxfId="1552" priority="1603" operator="between">
      <formula>250</formula>
      <formula>350</formula>
    </cfRule>
    <cfRule type="cellIs" dxfId="1551" priority="1604" operator="lessThan">
      <formula>250</formula>
    </cfRule>
  </conditionalFormatting>
  <conditionalFormatting sqref="B1931">
    <cfRule type="cellIs" dxfId="1550" priority="1597" operator="lessThan">
      <formula>0.8</formula>
    </cfRule>
    <cfRule type="cellIs" dxfId="1549" priority="1598" operator="between">
      <formula>0.8</formula>
      <formula>0.99999</formula>
    </cfRule>
    <cfRule type="cellIs" dxfId="1548" priority="1599" operator="between">
      <formula>1</formula>
      <formula>1.3</formula>
    </cfRule>
    <cfRule type="cellIs" dxfId="1547" priority="1600" operator="between">
      <formula>1.3</formula>
      <formula>1.5</formula>
    </cfRule>
    <cfRule type="cellIs" dxfId="1546" priority="1601" operator="greaterThan">
      <formula>1.5</formula>
    </cfRule>
  </conditionalFormatting>
  <conditionalFormatting sqref="B1933">
    <cfRule type="cellIs" dxfId="1545" priority="1594" operator="greaterThan">
      <formula>1.6</formula>
    </cfRule>
    <cfRule type="cellIs" dxfId="1544" priority="1595" operator="between">
      <formula>1.5</formula>
      <formula>1.6</formula>
    </cfRule>
    <cfRule type="cellIs" dxfId="1543" priority="1596" operator="lessThan">
      <formula>1.5</formula>
    </cfRule>
  </conditionalFormatting>
  <conditionalFormatting sqref="B1934">
    <cfRule type="cellIs" dxfId="1542" priority="1013" operator="between">
      <formula>500</formula>
      <formula>10000</formula>
    </cfRule>
    <cfRule type="cellIs" dxfId="1541" priority="1014" operator="between">
      <formula>200</formula>
      <formula>499</formula>
    </cfRule>
    <cfRule type="cellIs" dxfId="1540" priority="1015" operator="between">
      <formula>1</formula>
      <formula>199</formula>
    </cfRule>
  </conditionalFormatting>
  <conditionalFormatting sqref="B1936">
    <cfRule type="cellIs" dxfId="1539" priority="1591" operator="greaterThan">
      <formula>50</formula>
    </cfRule>
    <cfRule type="cellIs" dxfId="1538" priority="1592" operator="between">
      <formula>35</formula>
      <formula>50</formula>
    </cfRule>
    <cfRule type="cellIs" dxfId="1537" priority="1593" operator="lessThan">
      <formula>35</formula>
    </cfRule>
  </conditionalFormatting>
  <conditionalFormatting sqref="B1937">
    <cfRule type="cellIs" dxfId="1536" priority="1588" operator="greaterThan">
      <formula>350</formula>
    </cfRule>
    <cfRule type="cellIs" dxfId="1535" priority="1589" operator="between">
      <formula>250</formula>
      <formula>350</formula>
    </cfRule>
    <cfRule type="cellIs" dxfId="1534" priority="1590" operator="lessThan">
      <formula>250</formula>
    </cfRule>
  </conditionalFormatting>
  <conditionalFormatting sqref="B1938">
    <cfRule type="cellIs" dxfId="1533" priority="1583" operator="lessThan">
      <formula>0.8</formula>
    </cfRule>
    <cfRule type="cellIs" dxfId="1532" priority="1584" operator="between">
      <formula>0.8</formula>
      <formula>0.99999</formula>
    </cfRule>
    <cfRule type="cellIs" dxfId="1531" priority="1585" operator="between">
      <formula>1</formula>
      <formula>1.3</formula>
    </cfRule>
    <cfRule type="cellIs" dxfId="1530" priority="1586" operator="between">
      <formula>1.3</formula>
      <formula>1.5</formula>
    </cfRule>
    <cfRule type="cellIs" dxfId="1529" priority="1587" operator="greaterThan">
      <formula>1.5</formula>
    </cfRule>
  </conditionalFormatting>
  <conditionalFormatting sqref="B1940">
    <cfRule type="cellIs" dxfId="1528" priority="1580" operator="greaterThan">
      <formula>1.6</formula>
    </cfRule>
    <cfRule type="cellIs" dxfId="1527" priority="1581" operator="between">
      <formula>1.5</formula>
      <formula>1.6</formula>
    </cfRule>
    <cfRule type="cellIs" dxfId="1526" priority="1582" operator="lessThan">
      <formula>1.5</formula>
    </cfRule>
  </conditionalFormatting>
  <conditionalFormatting sqref="B1941">
    <cfRule type="cellIs" dxfId="1525" priority="1010" operator="between">
      <formula>500</formula>
      <formula>10000</formula>
    </cfRule>
    <cfRule type="cellIs" dxfId="1524" priority="1011" operator="between">
      <formula>200</formula>
      <formula>499</formula>
    </cfRule>
    <cfRule type="cellIs" dxfId="1523" priority="1012" operator="between">
      <formula>1</formula>
      <formula>199</formula>
    </cfRule>
  </conditionalFormatting>
  <conditionalFormatting sqref="B1943">
    <cfRule type="cellIs" dxfId="1522" priority="1577" operator="greaterThan">
      <formula>50</formula>
    </cfRule>
    <cfRule type="cellIs" dxfId="1521" priority="1578" operator="between">
      <formula>35</formula>
      <formula>50</formula>
    </cfRule>
    <cfRule type="cellIs" dxfId="1520" priority="1579" operator="lessThan">
      <formula>35</formula>
    </cfRule>
  </conditionalFormatting>
  <conditionalFormatting sqref="B1944">
    <cfRule type="cellIs" dxfId="1519" priority="1574" operator="greaterThan">
      <formula>350</formula>
    </cfRule>
    <cfRule type="cellIs" dxfId="1518" priority="1575" operator="between">
      <formula>250</formula>
      <formula>350</formula>
    </cfRule>
    <cfRule type="cellIs" dxfId="1517" priority="1576" operator="lessThan">
      <formula>250</formula>
    </cfRule>
  </conditionalFormatting>
  <conditionalFormatting sqref="B1945">
    <cfRule type="cellIs" dxfId="1516" priority="1569" operator="lessThan">
      <formula>0.8</formula>
    </cfRule>
    <cfRule type="cellIs" dxfId="1515" priority="1570" operator="between">
      <formula>0.8</formula>
      <formula>0.99999</formula>
    </cfRule>
    <cfRule type="cellIs" dxfId="1514" priority="1571" operator="between">
      <formula>1</formula>
      <formula>1.3</formula>
    </cfRule>
    <cfRule type="cellIs" dxfId="1513" priority="1572" operator="between">
      <formula>1.3</formula>
      <formula>1.5</formula>
    </cfRule>
    <cfRule type="cellIs" dxfId="1512" priority="1573" operator="greaterThan">
      <formula>1.5</formula>
    </cfRule>
  </conditionalFormatting>
  <conditionalFormatting sqref="B1947">
    <cfRule type="cellIs" dxfId="1511" priority="1566" operator="greaterThan">
      <formula>1.6</formula>
    </cfRule>
    <cfRule type="cellIs" dxfId="1510" priority="1567" operator="between">
      <formula>1.5</formula>
      <formula>1.6</formula>
    </cfRule>
    <cfRule type="cellIs" dxfId="1509" priority="1568" operator="lessThan">
      <formula>1.5</formula>
    </cfRule>
  </conditionalFormatting>
  <conditionalFormatting sqref="B1948">
    <cfRule type="cellIs" dxfId="1508" priority="1007" operator="between">
      <formula>500</formula>
      <formula>10000</formula>
    </cfRule>
    <cfRule type="cellIs" dxfId="1507" priority="1008" operator="between">
      <formula>200</formula>
      <formula>499</formula>
    </cfRule>
    <cfRule type="cellIs" dxfId="1506" priority="1009" operator="between">
      <formula>1</formula>
      <formula>199</formula>
    </cfRule>
  </conditionalFormatting>
  <conditionalFormatting sqref="B1950">
    <cfRule type="cellIs" dxfId="1505" priority="1563" operator="greaterThan">
      <formula>50</formula>
    </cfRule>
    <cfRule type="cellIs" dxfId="1504" priority="1564" operator="between">
      <formula>35</formula>
      <formula>50</formula>
    </cfRule>
    <cfRule type="cellIs" dxfId="1503" priority="1565" operator="lessThan">
      <formula>35</formula>
    </cfRule>
  </conditionalFormatting>
  <conditionalFormatting sqref="B1951">
    <cfRule type="cellIs" dxfId="1502" priority="1560" operator="greaterThan">
      <formula>350</formula>
    </cfRule>
    <cfRule type="cellIs" dxfId="1501" priority="1561" operator="between">
      <formula>250</formula>
      <formula>350</formula>
    </cfRule>
    <cfRule type="cellIs" dxfId="1500" priority="1562" operator="lessThan">
      <formula>250</formula>
    </cfRule>
  </conditionalFormatting>
  <conditionalFormatting sqref="B1952">
    <cfRule type="cellIs" dxfId="1499" priority="1555" operator="lessThan">
      <formula>0.8</formula>
    </cfRule>
    <cfRule type="cellIs" dxfId="1498" priority="1556" operator="between">
      <formula>0.8</formula>
      <formula>0.99999</formula>
    </cfRule>
    <cfRule type="cellIs" dxfId="1497" priority="1557" operator="between">
      <formula>1</formula>
      <formula>1.3</formula>
    </cfRule>
    <cfRule type="cellIs" dxfId="1496" priority="1558" operator="between">
      <formula>1.3</formula>
      <formula>1.5</formula>
    </cfRule>
    <cfRule type="cellIs" dxfId="1495" priority="1559" operator="greaterThan">
      <formula>1.5</formula>
    </cfRule>
  </conditionalFormatting>
  <conditionalFormatting sqref="B1954">
    <cfRule type="cellIs" dxfId="1494" priority="1552" operator="greaterThan">
      <formula>1.6</formula>
    </cfRule>
    <cfRule type="cellIs" dxfId="1493" priority="1553" operator="between">
      <formula>1.5</formula>
      <formula>1.6</formula>
    </cfRule>
    <cfRule type="cellIs" dxfId="1492" priority="1554" operator="lessThan">
      <formula>1.5</formula>
    </cfRule>
  </conditionalFormatting>
  <conditionalFormatting sqref="B1955">
    <cfRule type="cellIs" dxfId="1491" priority="1004" operator="between">
      <formula>500</formula>
      <formula>10000</formula>
    </cfRule>
    <cfRule type="cellIs" dxfId="1490" priority="1005" operator="between">
      <formula>200</formula>
      <formula>499</formula>
    </cfRule>
    <cfRule type="cellIs" dxfId="1489" priority="1006" operator="between">
      <formula>1</formula>
      <formula>199</formula>
    </cfRule>
  </conditionalFormatting>
  <conditionalFormatting sqref="B1957">
    <cfRule type="cellIs" dxfId="1488" priority="1549" operator="greaterThan">
      <formula>50</formula>
    </cfRule>
    <cfRule type="cellIs" dxfId="1487" priority="1550" operator="between">
      <formula>35</formula>
      <formula>50</formula>
    </cfRule>
    <cfRule type="cellIs" dxfId="1486" priority="1551" operator="lessThan">
      <formula>35</formula>
    </cfRule>
  </conditionalFormatting>
  <conditionalFormatting sqref="B1958">
    <cfRule type="cellIs" dxfId="1485" priority="1546" operator="greaterThan">
      <formula>350</formula>
    </cfRule>
    <cfRule type="cellIs" dxfId="1484" priority="1547" operator="between">
      <formula>250</formula>
      <formula>350</formula>
    </cfRule>
    <cfRule type="cellIs" dxfId="1483" priority="1548" operator="lessThan">
      <formula>250</formula>
    </cfRule>
  </conditionalFormatting>
  <conditionalFormatting sqref="B1959">
    <cfRule type="cellIs" dxfId="1482" priority="1541" operator="lessThan">
      <formula>0.8</formula>
    </cfRule>
    <cfRule type="cellIs" dxfId="1481" priority="1542" operator="between">
      <formula>0.8</formula>
      <formula>0.99999</formula>
    </cfRule>
    <cfRule type="cellIs" dxfId="1480" priority="1543" operator="between">
      <formula>1</formula>
      <formula>1.3</formula>
    </cfRule>
    <cfRule type="cellIs" dxfId="1479" priority="1544" operator="between">
      <formula>1.3</formula>
      <formula>1.5</formula>
    </cfRule>
    <cfRule type="cellIs" dxfId="1478" priority="1545" operator="greaterThan">
      <formula>1.5</formula>
    </cfRule>
  </conditionalFormatting>
  <conditionalFormatting sqref="B1961">
    <cfRule type="cellIs" dxfId="1477" priority="1538" operator="greaterThan">
      <formula>1.6</formula>
    </cfRule>
    <cfRule type="cellIs" dxfId="1476" priority="1539" operator="between">
      <formula>1.5</formula>
      <formula>1.6</formula>
    </cfRule>
    <cfRule type="cellIs" dxfId="1475" priority="1540" operator="lessThan">
      <formula>1.5</formula>
    </cfRule>
  </conditionalFormatting>
  <conditionalFormatting sqref="B1962">
    <cfRule type="cellIs" dxfId="1474" priority="1001" operator="between">
      <formula>500</formula>
      <formula>10000</formula>
    </cfRule>
    <cfRule type="cellIs" dxfId="1473" priority="1002" operator="between">
      <formula>200</formula>
      <formula>499</formula>
    </cfRule>
    <cfRule type="cellIs" dxfId="1472" priority="1003" operator="between">
      <formula>1</formula>
      <formula>199</formula>
    </cfRule>
  </conditionalFormatting>
  <conditionalFormatting sqref="B1964">
    <cfRule type="cellIs" dxfId="1471" priority="1535" operator="greaterThan">
      <formula>50</formula>
    </cfRule>
    <cfRule type="cellIs" dxfId="1470" priority="1536" operator="between">
      <formula>35</formula>
      <formula>50</formula>
    </cfRule>
    <cfRule type="cellIs" dxfId="1469" priority="1537" operator="lessThan">
      <formula>35</formula>
    </cfRule>
  </conditionalFormatting>
  <conditionalFormatting sqref="B1965">
    <cfRule type="cellIs" dxfId="1468" priority="1532" operator="greaterThan">
      <formula>350</formula>
    </cfRule>
    <cfRule type="cellIs" dxfId="1467" priority="1533" operator="between">
      <formula>250</formula>
      <formula>350</formula>
    </cfRule>
    <cfRule type="cellIs" dxfId="1466" priority="1534" operator="lessThan">
      <formula>250</formula>
    </cfRule>
  </conditionalFormatting>
  <conditionalFormatting sqref="B1966">
    <cfRule type="cellIs" dxfId="1465" priority="1527" operator="lessThan">
      <formula>0.8</formula>
    </cfRule>
    <cfRule type="cellIs" dxfId="1464" priority="1528" operator="between">
      <formula>0.8</formula>
      <formula>0.99999</formula>
    </cfRule>
    <cfRule type="cellIs" dxfId="1463" priority="1529" operator="between">
      <formula>1</formula>
      <formula>1.3</formula>
    </cfRule>
    <cfRule type="cellIs" dxfId="1462" priority="1530" operator="between">
      <formula>1.3</formula>
      <formula>1.5</formula>
    </cfRule>
    <cfRule type="cellIs" dxfId="1461" priority="1531" operator="greaterThan">
      <formula>1.5</formula>
    </cfRule>
  </conditionalFormatting>
  <conditionalFormatting sqref="B1968">
    <cfRule type="cellIs" dxfId="1460" priority="1524" operator="greaterThan">
      <formula>1.6</formula>
    </cfRule>
    <cfRule type="cellIs" dxfId="1459" priority="1525" operator="between">
      <formula>1.5</formula>
      <formula>1.6</formula>
    </cfRule>
    <cfRule type="cellIs" dxfId="1458" priority="1526" operator="lessThan">
      <formula>1.5</formula>
    </cfRule>
  </conditionalFormatting>
  <conditionalFormatting sqref="B1969">
    <cfRule type="cellIs" dxfId="1457" priority="998" operator="between">
      <formula>500</formula>
      <formula>10000</formula>
    </cfRule>
    <cfRule type="cellIs" dxfId="1456" priority="999" operator="between">
      <formula>200</formula>
      <formula>499</formula>
    </cfRule>
    <cfRule type="cellIs" dxfId="1455" priority="1000" operator="between">
      <formula>1</formula>
      <formula>199</formula>
    </cfRule>
  </conditionalFormatting>
  <conditionalFormatting sqref="B1971">
    <cfRule type="cellIs" dxfId="1454" priority="1521" operator="greaterThan">
      <formula>50</formula>
    </cfRule>
    <cfRule type="cellIs" dxfId="1453" priority="1522" operator="between">
      <formula>35</formula>
      <formula>50</formula>
    </cfRule>
    <cfRule type="cellIs" dxfId="1452" priority="1523" operator="lessThan">
      <formula>35</formula>
    </cfRule>
  </conditionalFormatting>
  <conditionalFormatting sqref="B1972">
    <cfRule type="cellIs" dxfId="1451" priority="1518" operator="greaterThan">
      <formula>350</formula>
    </cfRule>
    <cfRule type="cellIs" dxfId="1450" priority="1519" operator="between">
      <formula>250</formula>
      <formula>350</formula>
    </cfRule>
    <cfRule type="cellIs" dxfId="1449" priority="1520" operator="lessThan">
      <formula>250</formula>
    </cfRule>
  </conditionalFormatting>
  <conditionalFormatting sqref="B1973">
    <cfRule type="cellIs" dxfId="1448" priority="1513" operator="lessThan">
      <formula>0.8</formula>
    </cfRule>
    <cfRule type="cellIs" dxfId="1447" priority="1514" operator="between">
      <formula>0.8</formula>
      <formula>0.99999</formula>
    </cfRule>
    <cfRule type="cellIs" dxfId="1446" priority="1515" operator="between">
      <formula>1</formula>
      <formula>1.3</formula>
    </cfRule>
    <cfRule type="cellIs" dxfId="1445" priority="1516" operator="between">
      <formula>1.3</formula>
      <formula>1.5</formula>
    </cfRule>
    <cfRule type="cellIs" dxfId="1444" priority="1517" operator="greaterThan">
      <formula>1.5</formula>
    </cfRule>
  </conditionalFormatting>
  <conditionalFormatting sqref="B1975">
    <cfRule type="cellIs" dxfId="1443" priority="1510" operator="greaterThan">
      <formula>1.6</formula>
    </cfRule>
    <cfRule type="cellIs" dxfId="1442" priority="1511" operator="between">
      <formula>1.5</formula>
      <formula>1.6</formula>
    </cfRule>
    <cfRule type="cellIs" dxfId="1441" priority="1512" operator="lessThan">
      <formula>1.5</formula>
    </cfRule>
  </conditionalFormatting>
  <conditionalFormatting sqref="B1976">
    <cfRule type="cellIs" dxfId="1440" priority="995" operator="between">
      <formula>500</formula>
      <formula>10000</formula>
    </cfRule>
    <cfRule type="cellIs" dxfId="1439" priority="996" operator="between">
      <formula>200</formula>
      <formula>499</formula>
    </cfRule>
    <cfRule type="cellIs" dxfId="1438" priority="997" operator="between">
      <formula>1</formula>
      <formula>199</formula>
    </cfRule>
  </conditionalFormatting>
  <conditionalFormatting sqref="B1978">
    <cfRule type="cellIs" dxfId="1437" priority="1507" operator="greaterThan">
      <formula>50</formula>
    </cfRule>
    <cfRule type="cellIs" dxfId="1436" priority="1508" operator="between">
      <formula>35</formula>
      <formula>50</formula>
    </cfRule>
    <cfRule type="cellIs" dxfId="1435" priority="1509" operator="lessThan">
      <formula>35</formula>
    </cfRule>
  </conditionalFormatting>
  <conditionalFormatting sqref="B1979">
    <cfRule type="cellIs" dxfId="1434" priority="1504" operator="greaterThan">
      <formula>350</formula>
    </cfRule>
    <cfRule type="cellIs" dxfId="1433" priority="1505" operator="between">
      <formula>250</formula>
      <formula>350</formula>
    </cfRule>
    <cfRule type="cellIs" dxfId="1432" priority="1506" operator="lessThan">
      <formula>250</formula>
    </cfRule>
  </conditionalFormatting>
  <conditionalFormatting sqref="B1980">
    <cfRule type="cellIs" dxfId="1431" priority="1499" operator="lessThan">
      <formula>0.8</formula>
    </cfRule>
    <cfRule type="cellIs" dxfId="1430" priority="1500" operator="between">
      <formula>0.8</formula>
      <formula>0.99999</formula>
    </cfRule>
    <cfRule type="cellIs" dxfId="1429" priority="1501" operator="between">
      <formula>1</formula>
      <formula>1.3</formula>
    </cfRule>
    <cfRule type="cellIs" dxfId="1428" priority="1502" operator="between">
      <formula>1.3</formula>
      <formula>1.5</formula>
    </cfRule>
    <cfRule type="cellIs" dxfId="1427" priority="1503" operator="greaterThan">
      <formula>1.5</formula>
    </cfRule>
  </conditionalFormatting>
  <conditionalFormatting sqref="B1982">
    <cfRule type="cellIs" dxfId="1426" priority="1496" operator="greaterThan">
      <formula>1.6</formula>
    </cfRule>
    <cfRule type="cellIs" dxfId="1425" priority="1497" operator="between">
      <formula>1.5</formula>
      <formula>1.6</formula>
    </cfRule>
    <cfRule type="cellIs" dxfId="1424" priority="1498" operator="lessThan">
      <formula>1.5</formula>
    </cfRule>
  </conditionalFormatting>
  <conditionalFormatting sqref="B1983">
    <cfRule type="cellIs" dxfId="1423" priority="992" operator="between">
      <formula>500</formula>
      <formula>10000</formula>
    </cfRule>
    <cfRule type="cellIs" dxfId="1422" priority="993" operator="between">
      <formula>200</formula>
      <formula>499</formula>
    </cfRule>
    <cfRule type="cellIs" dxfId="1421" priority="994" operator="between">
      <formula>1</formula>
      <formula>199</formula>
    </cfRule>
  </conditionalFormatting>
  <conditionalFormatting sqref="B1985">
    <cfRule type="cellIs" dxfId="1420" priority="1493" operator="greaterThan">
      <formula>50</formula>
    </cfRule>
    <cfRule type="cellIs" dxfId="1419" priority="1494" operator="between">
      <formula>35</formula>
      <formula>50</formula>
    </cfRule>
    <cfRule type="cellIs" dxfId="1418" priority="1495" operator="lessThan">
      <formula>35</formula>
    </cfRule>
  </conditionalFormatting>
  <conditionalFormatting sqref="B1986">
    <cfRule type="cellIs" dxfId="1417" priority="1490" operator="greaterThan">
      <formula>350</formula>
    </cfRule>
    <cfRule type="cellIs" dxfId="1416" priority="1491" operator="between">
      <formula>250</formula>
      <formula>350</formula>
    </cfRule>
    <cfRule type="cellIs" dxfId="1415" priority="1492" operator="lessThan">
      <formula>250</formula>
    </cfRule>
  </conditionalFormatting>
  <conditionalFormatting sqref="B1987">
    <cfRule type="cellIs" dxfId="1414" priority="1485" operator="lessThan">
      <formula>0.8</formula>
    </cfRule>
    <cfRule type="cellIs" dxfId="1413" priority="1486" operator="between">
      <formula>0.8</formula>
      <formula>0.99999</formula>
    </cfRule>
    <cfRule type="cellIs" dxfId="1412" priority="1487" operator="between">
      <formula>1</formula>
      <formula>1.3</formula>
    </cfRule>
    <cfRule type="cellIs" dxfId="1411" priority="1488" operator="between">
      <formula>1.3</formula>
      <formula>1.5</formula>
    </cfRule>
    <cfRule type="cellIs" dxfId="1410" priority="1489" operator="greaterThan">
      <formula>1.5</formula>
    </cfRule>
  </conditionalFormatting>
  <conditionalFormatting sqref="B1989">
    <cfRule type="cellIs" dxfId="1409" priority="1482" operator="greaterThan">
      <formula>1.6</formula>
    </cfRule>
    <cfRule type="cellIs" dxfId="1408" priority="1483" operator="between">
      <formula>1.5</formula>
      <formula>1.6</formula>
    </cfRule>
    <cfRule type="cellIs" dxfId="1407" priority="1484" operator="lessThan">
      <formula>1.5</formula>
    </cfRule>
  </conditionalFormatting>
  <conditionalFormatting sqref="B1990">
    <cfRule type="cellIs" dxfId="1406" priority="989" operator="between">
      <formula>500</formula>
      <formula>10000</formula>
    </cfRule>
    <cfRule type="cellIs" dxfId="1405" priority="990" operator="between">
      <formula>200</formula>
      <formula>499</formula>
    </cfRule>
    <cfRule type="cellIs" dxfId="1404" priority="991" operator="between">
      <formula>1</formula>
      <formula>199</formula>
    </cfRule>
  </conditionalFormatting>
  <conditionalFormatting sqref="B1992">
    <cfRule type="cellIs" dxfId="1403" priority="1479" operator="greaterThan">
      <formula>50</formula>
    </cfRule>
    <cfRule type="cellIs" dxfId="1402" priority="1480" operator="between">
      <formula>35</formula>
      <formula>50</formula>
    </cfRule>
    <cfRule type="cellIs" dxfId="1401" priority="1481" operator="lessThan">
      <formula>35</formula>
    </cfRule>
  </conditionalFormatting>
  <conditionalFormatting sqref="B1993">
    <cfRule type="cellIs" dxfId="1400" priority="1476" operator="greaterThan">
      <formula>350</formula>
    </cfRule>
    <cfRule type="cellIs" dxfId="1399" priority="1477" operator="between">
      <formula>250</formula>
      <formula>350</formula>
    </cfRule>
    <cfRule type="cellIs" dxfId="1398" priority="1478" operator="lessThan">
      <formula>250</formula>
    </cfRule>
  </conditionalFormatting>
  <conditionalFormatting sqref="B1994">
    <cfRule type="cellIs" dxfId="1397" priority="1471" operator="lessThan">
      <formula>0.8</formula>
    </cfRule>
    <cfRule type="cellIs" dxfId="1396" priority="1472" operator="between">
      <formula>0.8</formula>
      <formula>0.99999</formula>
    </cfRule>
    <cfRule type="cellIs" dxfId="1395" priority="1473" operator="between">
      <formula>1</formula>
      <formula>1.3</formula>
    </cfRule>
    <cfRule type="cellIs" dxfId="1394" priority="1474" operator="between">
      <formula>1.3</formula>
      <formula>1.5</formula>
    </cfRule>
    <cfRule type="cellIs" dxfId="1393" priority="1475" operator="greaterThan">
      <formula>1.5</formula>
    </cfRule>
  </conditionalFormatting>
  <conditionalFormatting sqref="B1996">
    <cfRule type="cellIs" dxfId="1392" priority="1468" operator="greaterThan">
      <formula>1.6</formula>
    </cfRule>
    <cfRule type="cellIs" dxfId="1391" priority="1469" operator="between">
      <formula>1.5</formula>
      <formula>1.6</formula>
    </cfRule>
    <cfRule type="cellIs" dxfId="1390" priority="1470" operator="lessThan">
      <formula>1.5</formula>
    </cfRule>
  </conditionalFormatting>
  <conditionalFormatting sqref="B1997">
    <cfRule type="cellIs" dxfId="1389" priority="986" operator="between">
      <formula>500</formula>
      <formula>10000</formula>
    </cfRule>
    <cfRule type="cellIs" dxfId="1388" priority="987" operator="between">
      <formula>200</formula>
      <formula>499</formula>
    </cfRule>
    <cfRule type="cellIs" dxfId="1387" priority="988" operator="between">
      <formula>1</formula>
      <formula>199</formula>
    </cfRule>
  </conditionalFormatting>
  <conditionalFormatting sqref="B1999">
    <cfRule type="cellIs" dxfId="1386" priority="1465" operator="greaterThan">
      <formula>50</formula>
    </cfRule>
    <cfRule type="cellIs" dxfId="1385" priority="1466" operator="between">
      <formula>35</formula>
      <formula>50</formula>
    </cfRule>
    <cfRule type="cellIs" dxfId="1384" priority="1467" operator="lessThan">
      <formula>35</formula>
    </cfRule>
  </conditionalFormatting>
  <conditionalFormatting sqref="B2000">
    <cfRule type="cellIs" dxfId="1383" priority="1462" operator="greaterThan">
      <formula>350</formula>
    </cfRule>
    <cfRule type="cellIs" dxfId="1382" priority="1463" operator="between">
      <formula>250</formula>
      <formula>350</formula>
    </cfRule>
    <cfRule type="cellIs" dxfId="1381" priority="1464" operator="lessThan">
      <formula>250</formula>
    </cfRule>
  </conditionalFormatting>
  <conditionalFormatting sqref="B2001">
    <cfRule type="cellIs" dxfId="1380" priority="1457" operator="lessThan">
      <formula>0.8</formula>
    </cfRule>
    <cfRule type="cellIs" dxfId="1379" priority="1458" operator="between">
      <formula>0.8</formula>
      <formula>0.99999</formula>
    </cfRule>
    <cfRule type="cellIs" dxfId="1378" priority="1459" operator="between">
      <formula>1</formula>
      <formula>1.3</formula>
    </cfRule>
    <cfRule type="cellIs" dxfId="1377" priority="1460" operator="between">
      <formula>1.3</formula>
      <formula>1.5</formula>
    </cfRule>
    <cfRule type="cellIs" dxfId="1376" priority="1461" operator="greaterThan">
      <formula>1.5</formula>
    </cfRule>
  </conditionalFormatting>
  <conditionalFormatting sqref="B2003">
    <cfRule type="cellIs" dxfId="1375" priority="1454" operator="greaterThan">
      <formula>1.6</formula>
    </cfRule>
    <cfRule type="cellIs" dxfId="1374" priority="1455" operator="between">
      <formula>1.5</formula>
      <formula>1.6</formula>
    </cfRule>
    <cfRule type="cellIs" dxfId="1373" priority="1456" operator="lessThan">
      <formula>1.5</formula>
    </cfRule>
  </conditionalFormatting>
  <conditionalFormatting sqref="B2004">
    <cfRule type="cellIs" dxfId="1372" priority="983" operator="between">
      <formula>500</formula>
      <formula>10000</formula>
    </cfRule>
    <cfRule type="cellIs" dxfId="1371" priority="984" operator="between">
      <formula>200</formula>
      <formula>499</formula>
    </cfRule>
    <cfRule type="cellIs" dxfId="1370" priority="985" operator="between">
      <formula>1</formula>
      <formula>199</formula>
    </cfRule>
  </conditionalFormatting>
  <conditionalFormatting sqref="B2006">
    <cfRule type="cellIs" dxfId="1369" priority="1451" operator="greaterThan">
      <formula>50</formula>
    </cfRule>
    <cfRule type="cellIs" dxfId="1368" priority="1452" operator="between">
      <formula>35</formula>
      <formula>50</formula>
    </cfRule>
    <cfRule type="cellIs" dxfId="1367" priority="1453" operator="lessThan">
      <formula>35</formula>
    </cfRule>
  </conditionalFormatting>
  <conditionalFormatting sqref="B2007">
    <cfRule type="cellIs" dxfId="1366" priority="1448" operator="greaterThan">
      <formula>350</formula>
    </cfRule>
    <cfRule type="cellIs" dxfId="1365" priority="1449" operator="between">
      <formula>250</formula>
      <formula>350</formula>
    </cfRule>
    <cfRule type="cellIs" dxfId="1364" priority="1450" operator="lessThan">
      <formula>250</formula>
    </cfRule>
  </conditionalFormatting>
  <conditionalFormatting sqref="B2008">
    <cfRule type="cellIs" dxfId="1363" priority="1443" operator="lessThan">
      <formula>0.8</formula>
    </cfRule>
    <cfRule type="cellIs" dxfId="1362" priority="1444" operator="between">
      <formula>0.8</formula>
      <formula>0.99999</formula>
    </cfRule>
    <cfRule type="cellIs" dxfId="1361" priority="1445" operator="between">
      <formula>1</formula>
      <formula>1.3</formula>
    </cfRule>
    <cfRule type="cellIs" dxfId="1360" priority="1446" operator="between">
      <formula>1.3</formula>
      <formula>1.5</formula>
    </cfRule>
    <cfRule type="cellIs" dxfId="1359" priority="1447" operator="greaterThan">
      <formula>1.5</formula>
    </cfRule>
  </conditionalFormatting>
  <conditionalFormatting sqref="B2010">
    <cfRule type="cellIs" dxfId="1358" priority="1440" operator="greaterThan">
      <formula>1.6</formula>
    </cfRule>
    <cfRule type="cellIs" dxfId="1357" priority="1441" operator="between">
      <formula>1.5</formula>
      <formula>1.6</formula>
    </cfRule>
    <cfRule type="cellIs" dxfId="1356" priority="1442" operator="lessThan">
      <formula>1.5</formula>
    </cfRule>
  </conditionalFormatting>
  <conditionalFormatting sqref="B2011">
    <cfRule type="cellIs" dxfId="1355" priority="980" operator="between">
      <formula>500</formula>
      <formula>10000</formula>
    </cfRule>
    <cfRule type="cellIs" dxfId="1354" priority="981" operator="between">
      <formula>200</formula>
      <formula>499</formula>
    </cfRule>
    <cfRule type="cellIs" dxfId="1353" priority="982" operator="between">
      <formula>1</formula>
      <formula>199</formula>
    </cfRule>
  </conditionalFormatting>
  <conditionalFormatting sqref="B2013">
    <cfRule type="cellIs" dxfId="1352" priority="1437" operator="greaterThan">
      <formula>50</formula>
    </cfRule>
    <cfRule type="cellIs" dxfId="1351" priority="1438" operator="between">
      <formula>35</formula>
      <formula>50</formula>
    </cfRule>
    <cfRule type="cellIs" dxfId="1350" priority="1439" operator="lessThan">
      <formula>35</formula>
    </cfRule>
  </conditionalFormatting>
  <conditionalFormatting sqref="B2014">
    <cfRule type="cellIs" dxfId="1349" priority="1434" operator="greaterThan">
      <formula>350</formula>
    </cfRule>
    <cfRule type="cellIs" dxfId="1348" priority="1435" operator="between">
      <formula>250</formula>
      <formula>350</formula>
    </cfRule>
    <cfRule type="cellIs" dxfId="1347" priority="1436" operator="lessThan">
      <formula>250</formula>
    </cfRule>
  </conditionalFormatting>
  <conditionalFormatting sqref="B2015">
    <cfRule type="cellIs" dxfId="1346" priority="1429" operator="lessThan">
      <formula>0.8</formula>
    </cfRule>
    <cfRule type="cellIs" dxfId="1345" priority="1430" operator="between">
      <formula>0.8</formula>
      <formula>0.99999</formula>
    </cfRule>
    <cfRule type="cellIs" dxfId="1344" priority="1431" operator="between">
      <formula>1</formula>
      <formula>1.3</formula>
    </cfRule>
    <cfRule type="cellIs" dxfId="1343" priority="1432" operator="between">
      <formula>1.3</formula>
      <formula>1.5</formula>
    </cfRule>
    <cfRule type="cellIs" dxfId="1342" priority="1433" operator="greaterThan">
      <formula>1.5</formula>
    </cfRule>
  </conditionalFormatting>
  <conditionalFormatting sqref="B2017">
    <cfRule type="cellIs" dxfId="1341" priority="1426" operator="greaterThan">
      <formula>1.6</formula>
    </cfRule>
    <cfRule type="cellIs" dxfId="1340" priority="1427" operator="between">
      <formula>1.5</formula>
      <formula>1.6</formula>
    </cfRule>
    <cfRule type="cellIs" dxfId="1339" priority="1428" operator="lessThan">
      <formula>1.5</formula>
    </cfRule>
  </conditionalFormatting>
  <conditionalFormatting sqref="B2018">
    <cfRule type="cellIs" dxfId="1338" priority="977" operator="between">
      <formula>500</formula>
      <formula>10000</formula>
    </cfRule>
    <cfRule type="cellIs" dxfId="1337" priority="978" operator="between">
      <formula>200</formula>
      <formula>499</formula>
    </cfRule>
    <cfRule type="cellIs" dxfId="1336" priority="979" operator="between">
      <formula>1</formula>
      <formula>199</formula>
    </cfRule>
  </conditionalFormatting>
  <conditionalFormatting sqref="B2020">
    <cfRule type="cellIs" dxfId="1335" priority="1423" operator="greaterThan">
      <formula>50</formula>
    </cfRule>
    <cfRule type="cellIs" dxfId="1334" priority="1424" operator="between">
      <formula>35</formula>
      <formula>50</formula>
    </cfRule>
    <cfRule type="cellIs" dxfId="1333" priority="1425" operator="lessThan">
      <formula>35</formula>
    </cfRule>
  </conditionalFormatting>
  <conditionalFormatting sqref="B2021">
    <cfRule type="cellIs" dxfId="1332" priority="1420" operator="greaterThan">
      <formula>350</formula>
    </cfRule>
    <cfRule type="cellIs" dxfId="1331" priority="1421" operator="between">
      <formula>250</formula>
      <formula>350</formula>
    </cfRule>
    <cfRule type="cellIs" dxfId="1330" priority="1422" operator="lessThan">
      <formula>250</formula>
    </cfRule>
  </conditionalFormatting>
  <conditionalFormatting sqref="B2022">
    <cfRule type="cellIs" dxfId="1329" priority="1415" operator="lessThan">
      <formula>0.8</formula>
    </cfRule>
    <cfRule type="cellIs" dxfId="1328" priority="1416" operator="between">
      <formula>0.8</formula>
      <formula>0.99999</formula>
    </cfRule>
    <cfRule type="cellIs" dxfId="1327" priority="1417" operator="between">
      <formula>1</formula>
      <formula>1.3</formula>
    </cfRule>
    <cfRule type="cellIs" dxfId="1326" priority="1418" operator="between">
      <formula>1.3</formula>
      <formula>1.5</formula>
    </cfRule>
    <cfRule type="cellIs" dxfId="1325" priority="1419" operator="greaterThan">
      <formula>1.5</formula>
    </cfRule>
  </conditionalFormatting>
  <conditionalFormatting sqref="B2024">
    <cfRule type="cellIs" dxfId="1324" priority="1412" operator="greaterThan">
      <formula>1.6</formula>
    </cfRule>
    <cfRule type="cellIs" dxfId="1323" priority="1413" operator="between">
      <formula>1.5</formula>
      <formula>1.6</formula>
    </cfRule>
    <cfRule type="cellIs" dxfId="1322" priority="1414" operator="lessThan">
      <formula>1.5</formula>
    </cfRule>
  </conditionalFormatting>
  <conditionalFormatting sqref="B2025">
    <cfRule type="cellIs" dxfId="1321" priority="974" operator="between">
      <formula>500</formula>
      <formula>10000</formula>
    </cfRule>
    <cfRule type="cellIs" dxfId="1320" priority="975" operator="between">
      <formula>200</formula>
      <formula>499</formula>
    </cfRule>
    <cfRule type="cellIs" dxfId="1319" priority="976" operator="between">
      <formula>1</formula>
      <formula>199</formula>
    </cfRule>
  </conditionalFormatting>
  <conditionalFormatting sqref="B2027">
    <cfRule type="cellIs" dxfId="1318" priority="1409" operator="greaterThan">
      <formula>50</formula>
    </cfRule>
    <cfRule type="cellIs" dxfId="1317" priority="1410" operator="between">
      <formula>35</formula>
      <formula>50</formula>
    </cfRule>
    <cfRule type="cellIs" dxfId="1316" priority="1411" operator="lessThan">
      <formula>35</formula>
    </cfRule>
  </conditionalFormatting>
  <conditionalFormatting sqref="B2028">
    <cfRule type="cellIs" dxfId="1315" priority="1406" operator="greaterThan">
      <formula>350</formula>
    </cfRule>
    <cfRule type="cellIs" dxfId="1314" priority="1407" operator="between">
      <formula>250</formula>
      <formula>350</formula>
    </cfRule>
    <cfRule type="cellIs" dxfId="1313" priority="1408" operator="lessThan">
      <formula>250</formula>
    </cfRule>
  </conditionalFormatting>
  <conditionalFormatting sqref="B2029">
    <cfRule type="cellIs" dxfId="1312" priority="1401" operator="lessThan">
      <formula>0.8</formula>
    </cfRule>
    <cfRule type="cellIs" dxfId="1311" priority="1402" operator="between">
      <formula>0.8</formula>
      <formula>0.99999</formula>
    </cfRule>
    <cfRule type="cellIs" dxfId="1310" priority="1403" operator="between">
      <formula>1</formula>
      <formula>1.3</formula>
    </cfRule>
    <cfRule type="cellIs" dxfId="1309" priority="1404" operator="between">
      <formula>1.3</formula>
      <formula>1.5</formula>
    </cfRule>
    <cfRule type="cellIs" dxfId="1308" priority="1405" operator="greaterThan">
      <formula>1.5</formula>
    </cfRule>
  </conditionalFormatting>
  <conditionalFormatting sqref="B2031">
    <cfRule type="cellIs" dxfId="1307" priority="1398" operator="greaterThan">
      <formula>1.6</formula>
    </cfRule>
    <cfRule type="cellIs" dxfId="1306" priority="1399" operator="between">
      <formula>1.5</formula>
      <formula>1.6</formula>
    </cfRule>
    <cfRule type="cellIs" dxfId="1305" priority="1400" operator="lessThan">
      <formula>1.5</formula>
    </cfRule>
  </conditionalFormatting>
  <conditionalFormatting sqref="B2032">
    <cfRule type="cellIs" dxfId="1304" priority="971" operator="between">
      <formula>500</formula>
      <formula>10000</formula>
    </cfRule>
    <cfRule type="cellIs" dxfId="1303" priority="972" operator="between">
      <formula>200</formula>
      <formula>499</formula>
    </cfRule>
    <cfRule type="cellIs" dxfId="1302" priority="973" operator="between">
      <formula>1</formula>
      <formula>199</formula>
    </cfRule>
  </conditionalFormatting>
  <conditionalFormatting sqref="B2034">
    <cfRule type="cellIs" dxfId="1301" priority="1395" operator="greaterThan">
      <formula>50</formula>
    </cfRule>
    <cfRule type="cellIs" dxfId="1300" priority="1396" operator="between">
      <formula>35</formula>
      <formula>50</formula>
    </cfRule>
    <cfRule type="cellIs" dxfId="1299" priority="1397" operator="lessThan">
      <formula>35</formula>
    </cfRule>
  </conditionalFormatting>
  <conditionalFormatting sqref="B2035">
    <cfRule type="cellIs" dxfId="1298" priority="1392" operator="greaterThan">
      <formula>350</formula>
    </cfRule>
    <cfRule type="cellIs" dxfId="1297" priority="1393" operator="between">
      <formula>250</formula>
      <formula>350</formula>
    </cfRule>
    <cfRule type="cellIs" dxfId="1296" priority="1394" operator="lessThan">
      <formula>250</formula>
    </cfRule>
  </conditionalFormatting>
  <conditionalFormatting sqref="B2036">
    <cfRule type="cellIs" dxfId="1295" priority="1387" operator="lessThan">
      <formula>0.8</formula>
    </cfRule>
    <cfRule type="cellIs" dxfId="1294" priority="1388" operator="between">
      <formula>0.8</formula>
      <formula>0.99999</formula>
    </cfRule>
    <cfRule type="cellIs" dxfId="1293" priority="1389" operator="between">
      <formula>1</formula>
      <formula>1.3</formula>
    </cfRule>
    <cfRule type="cellIs" dxfId="1292" priority="1390" operator="between">
      <formula>1.3</formula>
      <formula>1.5</formula>
    </cfRule>
    <cfRule type="cellIs" dxfId="1291" priority="1391" operator="greaterThan">
      <formula>1.5</formula>
    </cfRule>
  </conditionalFormatting>
  <conditionalFormatting sqref="B2038">
    <cfRule type="cellIs" dxfId="1290" priority="1384" operator="greaterThan">
      <formula>1.6</formula>
    </cfRule>
    <cfRule type="cellIs" dxfId="1289" priority="1385" operator="between">
      <formula>1.5</formula>
      <formula>1.6</formula>
    </cfRule>
    <cfRule type="cellIs" dxfId="1288" priority="1386" operator="lessThan">
      <formula>1.5</formula>
    </cfRule>
  </conditionalFormatting>
  <conditionalFormatting sqref="B2039">
    <cfRule type="cellIs" dxfId="1287" priority="968" operator="between">
      <formula>500</formula>
      <formula>10000</formula>
    </cfRule>
    <cfRule type="cellIs" dxfId="1286" priority="969" operator="between">
      <formula>200</formula>
      <formula>499</formula>
    </cfRule>
    <cfRule type="cellIs" dxfId="1285" priority="970" operator="between">
      <formula>1</formula>
      <formula>199</formula>
    </cfRule>
  </conditionalFormatting>
  <conditionalFormatting sqref="B2041">
    <cfRule type="cellIs" dxfId="1284" priority="1381" operator="greaterThan">
      <formula>50</formula>
    </cfRule>
    <cfRule type="cellIs" dxfId="1283" priority="1382" operator="between">
      <formula>35</formula>
      <formula>50</formula>
    </cfRule>
    <cfRule type="cellIs" dxfId="1282" priority="1383" operator="lessThan">
      <formula>35</formula>
    </cfRule>
  </conditionalFormatting>
  <conditionalFormatting sqref="B2042">
    <cfRule type="cellIs" dxfId="1281" priority="1378" operator="greaterThan">
      <formula>350</formula>
    </cfRule>
    <cfRule type="cellIs" dxfId="1280" priority="1379" operator="between">
      <formula>250</formula>
      <formula>350</formula>
    </cfRule>
    <cfRule type="cellIs" dxfId="1279" priority="1380" operator="lessThan">
      <formula>250</formula>
    </cfRule>
  </conditionalFormatting>
  <conditionalFormatting sqref="B2043">
    <cfRule type="cellIs" dxfId="1278" priority="1373" operator="lessThan">
      <formula>0.8</formula>
    </cfRule>
    <cfRule type="cellIs" dxfId="1277" priority="1374" operator="between">
      <formula>0.8</formula>
      <formula>0.99999</formula>
    </cfRule>
    <cfRule type="cellIs" dxfId="1276" priority="1375" operator="between">
      <formula>1</formula>
      <formula>1.3</formula>
    </cfRule>
    <cfRule type="cellIs" dxfId="1275" priority="1376" operator="between">
      <formula>1.3</formula>
      <formula>1.5</formula>
    </cfRule>
    <cfRule type="cellIs" dxfId="1274" priority="1377" operator="greaterThan">
      <formula>1.5</formula>
    </cfRule>
  </conditionalFormatting>
  <conditionalFormatting sqref="B2045">
    <cfRule type="cellIs" dxfId="1273" priority="1370" operator="greaterThan">
      <formula>1.6</formula>
    </cfRule>
    <cfRule type="cellIs" dxfId="1272" priority="1371" operator="between">
      <formula>1.5</formula>
      <formula>1.6</formula>
    </cfRule>
    <cfRule type="cellIs" dxfId="1271" priority="1372" operator="lessThan">
      <formula>1.5</formula>
    </cfRule>
  </conditionalFormatting>
  <conditionalFormatting sqref="B2046">
    <cfRule type="cellIs" dxfId="1270" priority="965" operator="between">
      <formula>500</formula>
      <formula>10000</formula>
    </cfRule>
    <cfRule type="cellIs" dxfId="1269" priority="966" operator="between">
      <formula>200</formula>
      <formula>499</formula>
    </cfRule>
    <cfRule type="cellIs" dxfId="1268" priority="967" operator="between">
      <formula>1</formula>
      <formula>199</formula>
    </cfRule>
  </conditionalFormatting>
  <conditionalFormatting sqref="B2048">
    <cfRule type="cellIs" dxfId="1267" priority="1367" operator="greaterThan">
      <formula>50</formula>
    </cfRule>
    <cfRule type="cellIs" dxfId="1266" priority="1368" operator="between">
      <formula>35</formula>
      <formula>50</formula>
    </cfRule>
    <cfRule type="cellIs" dxfId="1265" priority="1369" operator="lessThan">
      <formula>35</formula>
    </cfRule>
  </conditionalFormatting>
  <conditionalFormatting sqref="B2049">
    <cfRule type="cellIs" dxfId="1264" priority="1364" operator="greaterThan">
      <formula>350</formula>
    </cfRule>
    <cfRule type="cellIs" dxfId="1263" priority="1365" operator="between">
      <formula>250</formula>
      <formula>350</formula>
    </cfRule>
    <cfRule type="cellIs" dxfId="1262" priority="1366" operator="lessThan">
      <formula>250</formula>
    </cfRule>
  </conditionalFormatting>
  <conditionalFormatting sqref="B2050">
    <cfRule type="cellIs" dxfId="1261" priority="1359" operator="lessThan">
      <formula>0.8</formula>
    </cfRule>
    <cfRule type="cellIs" dxfId="1260" priority="1360" operator="between">
      <formula>0.8</formula>
      <formula>0.99999</formula>
    </cfRule>
    <cfRule type="cellIs" dxfId="1259" priority="1361" operator="between">
      <formula>1</formula>
      <formula>1.3</formula>
    </cfRule>
    <cfRule type="cellIs" dxfId="1258" priority="1362" operator="between">
      <formula>1.3</formula>
      <formula>1.5</formula>
    </cfRule>
    <cfRule type="cellIs" dxfId="1257" priority="1363" operator="greaterThan">
      <formula>1.5</formula>
    </cfRule>
  </conditionalFormatting>
  <conditionalFormatting sqref="B2052">
    <cfRule type="cellIs" dxfId="1256" priority="1356" operator="greaterThan">
      <formula>1.6</formula>
    </cfRule>
    <cfRule type="cellIs" dxfId="1255" priority="1357" operator="between">
      <formula>1.5</formula>
      <formula>1.6</formula>
    </cfRule>
    <cfRule type="cellIs" dxfId="1254" priority="1358" operator="lessThan">
      <formula>1.5</formula>
    </cfRule>
  </conditionalFormatting>
  <conditionalFormatting sqref="B2053">
    <cfRule type="cellIs" dxfId="1253" priority="962" operator="between">
      <formula>500</formula>
      <formula>10000</formula>
    </cfRule>
    <cfRule type="cellIs" dxfId="1252" priority="963" operator="between">
      <formula>200</formula>
      <formula>499</formula>
    </cfRule>
    <cfRule type="cellIs" dxfId="1251" priority="964" operator="between">
      <formula>1</formula>
      <formula>199</formula>
    </cfRule>
  </conditionalFormatting>
  <conditionalFormatting sqref="B2055">
    <cfRule type="cellIs" dxfId="1250" priority="1353" operator="greaterThan">
      <formula>50</formula>
    </cfRule>
    <cfRule type="cellIs" dxfId="1249" priority="1354" operator="between">
      <formula>35</formula>
      <formula>50</formula>
    </cfRule>
    <cfRule type="cellIs" dxfId="1248" priority="1355" operator="lessThan">
      <formula>35</formula>
    </cfRule>
  </conditionalFormatting>
  <conditionalFormatting sqref="B2056">
    <cfRule type="cellIs" dxfId="1247" priority="1350" operator="greaterThan">
      <formula>350</formula>
    </cfRule>
    <cfRule type="cellIs" dxfId="1246" priority="1351" operator="between">
      <formula>250</formula>
      <formula>350</formula>
    </cfRule>
    <cfRule type="cellIs" dxfId="1245" priority="1352" operator="lessThan">
      <formula>250</formula>
    </cfRule>
  </conditionalFormatting>
  <conditionalFormatting sqref="B2057">
    <cfRule type="cellIs" dxfId="1244" priority="1345" operator="lessThan">
      <formula>0.8</formula>
    </cfRule>
    <cfRule type="cellIs" dxfId="1243" priority="1346" operator="between">
      <formula>0.8</formula>
      <formula>0.99999</formula>
    </cfRule>
    <cfRule type="cellIs" dxfId="1242" priority="1347" operator="between">
      <formula>1</formula>
      <formula>1.3</formula>
    </cfRule>
    <cfRule type="cellIs" dxfId="1241" priority="1348" operator="between">
      <formula>1.3</formula>
      <formula>1.5</formula>
    </cfRule>
    <cfRule type="cellIs" dxfId="1240" priority="1349" operator="greaterThan">
      <formula>1.5</formula>
    </cfRule>
  </conditionalFormatting>
  <conditionalFormatting sqref="B2059">
    <cfRule type="cellIs" dxfId="1239" priority="1342" operator="greaterThan">
      <formula>1.6</formula>
    </cfRule>
    <cfRule type="cellIs" dxfId="1238" priority="1343" operator="between">
      <formula>1.5</formula>
      <formula>1.6</formula>
    </cfRule>
    <cfRule type="cellIs" dxfId="1237" priority="1344" operator="lessThan">
      <formula>1.5</formula>
    </cfRule>
  </conditionalFormatting>
  <conditionalFormatting sqref="B2060">
    <cfRule type="cellIs" dxfId="1236" priority="959" operator="between">
      <formula>500</formula>
      <formula>10000</formula>
    </cfRule>
    <cfRule type="cellIs" dxfId="1235" priority="960" operator="between">
      <formula>200</formula>
      <formula>499</formula>
    </cfRule>
    <cfRule type="cellIs" dxfId="1234" priority="961" operator="between">
      <formula>1</formula>
      <formula>199</formula>
    </cfRule>
  </conditionalFormatting>
  <conditionalFormatting sqref="B2062">
    <cfRule type="cellIs" dxfId="1233" priority="1339" operator="greaterThan">
      <formula>50</formula>
    </cfRule>
    <cfRule type="cellIs" dxfId="1232" priority="1340" operator="between">
      <formula>35</formula>
      <formula>50</formula>
    </cfRule>
    <cfRule type="cellIs" dxfId="1231" priority="1341" operator="lessThan">
      <formula>35</formula>
    </cfRule>
  </conditionalFormatting>
  <conditionalFormatting sqref="B2063">
    <cfRule type="cellIs" dxfId="1230" priority="1336" operator="greaterThan">
      <formula>350</formula>
    </cfRule>
    <cfRule type="cellIs" dxfId="1229" priority="1337" operator="between">
      <formula>250</formula>
      <formula>350</formula>
    </cfRule>
    <cfRule type="cellIs" dxfId="1228" priority="1338" operator="lessThan">
      <formula>250</formula>
    </cfRule>
  </conditionalFormatting>
  <conditionalFormatting sqref="B2064">
    <cfRule type="cellIs" dxfId="1227" priority="1331" operator="lessThan">
      <formula>0.8</formula>
    </cfRule>
    <cfRule type="cellIs" dxfId="1226" priority="1332" operator="between">
      <formula>0.8</formula>
      <formula>0.99999</formula>
    </cfRule>
    <cfRule type="cellIs" dxfId="1225" priority="1333" operator="between">
      <formula>1</formula>
      <formula>1.3</formula>
    </cfRule>
    <cfRule type="cellIs" dxfId="1224" priority="1334" operator="between">
      <formula>1.3</formula>
      <formula>1.5</formula>
    </cfRule>
    <cfRule type="cellIs" dxfId="1223" priority="1335" operator="greaterThan">
      <formula>1.5</formula>
    </cfRule>
  </conditionalFormatting>
  <conditionalFormatting sqref="B2066">
    <cfRule type="cellIs" dxfId="1222" priority="1328" operator="greaterThan">
      <formula>1.6</formula>
    </cfRule>
    <cfRule type="cellIs" dxfId="1221" priority="1329" operator="between">
      <formula>1.5</formula>
      <formula>1.6</formula>
    </cfRule>
    <cfRule type="cellIs" dxfId="1220" priority="1330" operator="lessThan">
      <formula>1.5</formula>
    </cfRule>
  </conditionalFormatting>
  <conditionalFormatting sqref="B2067">
    <cfRule type="cellIs" dxfId="1219" priority="956" operator="between">
      <formula>500</formula>
      <formula>10000</formula>
    </cfRule>
    <cfRule type="cellIs" dxfId="1218" priority="957" operator="between">
      <formula>200</formula>
      <formula>499</formula>
    </cfRule>
    <cfRule type="cellIs" dxfId="1217" priority="958" operator="between">
      <formula>1</formula>
      <formula>199</formula>
    </cfRule>
  </conditionalFormatting>
  <conditionalFormatting sqref="B2069">
    <cfRule type="cellIs" dxfId="1216" priority="1325" operator="greaterThan">
      <formula>50</formula>
    </cfRule>
    <cfRule type="cellIs" dxfId="1215" priority="1326" operator="between">
      <formula>35</formula>
      <formula>50</formula>
    </cfRule>
    <cfRule type="cellIs" dxfId="1214" priority="1327" operator="lessThan">
      <formula>35</formula>
    </cfRule>
  </conditionalFormatting>
  <conditionalFormatting sqref="B2070">
    <cfRule type="cellIs" dxfId="1213" priority="1322" operator="greaterThan">
      <formula>350</formula>
    </cfRule>
    <cfRule type="cellIs" dxfId="1212" priority="1323" operator="between">
      <formula>250</formula>
      <formula>350</formula>
    </cfRule>
    <cfRule type="cellIs" dxfId="1211" priority="1324" operator="lessThan">
      <formula>250</formula>
    </cfRule>
  </conditionalFormatting>
  <conditionalFormatting sqref="B2071">
    <cfRule type="cellIs" dxfId="1210" priority="1317" operator="lessThan">
      <formula>0.8</formula>
    </cfRule>
    <cfRule type="cellIs" dxfId="1209" priority="1318" operator="between">
      <formula>0.8</formula>
      <formula>0.99999</formula>
    </cfRule>
    <cfRule type="cellIs" dxfId="1208" priority="1319" operator="between">
      <formula>1</formula>
      <formula>1.3</formula>
    </cfRule>
    <cfRule type="cellIs" dxfId="1207" priority="1320" operator="between">
      <formula>1.3</formula>
      <formula>1.5</formula>
    </cfRule>
    <cfRule type="cellIs" dxfId="1206" priority="1321" operator="greaterThan">
      <formula>1.5</formula>
    </cfRule>
  </conditionalFormatting>
  <conditionalFormatting sqref="B2073">
    <cfRule type="cellIs" dxfId="1205" priority="1314" operator="greaterThan">
      <formula>1.6</formula>
    </cfRule>
    <cfRule type="cellIs" dxfId="1204" priority="1315" operator="between">
      <formula>1.5</formula>
      <formula>1.6</formula>
    </cfRule>
    <cfRule type="cellIs" dxfId="1203" priority="1316" operator="lessThan">
      <formula>1.5</formula>
    </cfRule>
  </conditionalFormatting>
  <conditionalFormatting sqref="B2074">
    <cfRule type="cellIs" dxfId="1202" priority="953" operator="between">
      <formula>500</formula>
      <formula>10000</formula>
    </cfRule>
    <cfRule type="cellIs" dxfId="1201" priority="954" operator="between">
      <formula>200</formula>
      <formula>499</formula>
    </cfRule>
    <cfRule type="cellIs" dxfId="1200" priority="955" operator="between">
      <formula>1</formula>
      <formula>199</formula>
    </cfRule>
  </conditionalFormatting>
  <conditionalFormatting sqref="B2076">
    <cfRule type="cellIs" dxfId="1199" priority="1311" operator="greaterThan">
      <formula>50</formula>
    </cfRule>
    <cfRule type="cellIs" dxfId="1198" priority="1312" operator="between">
      <formula>35</formula>
      <formula>50</formula>
    </cfRule>
    <cfRule type="cellIs" dxfId="1197" priority="1313" operator="lessThan">
      <formula>35</formula>
    </cfRule>
  </conditionalFormatting>
  <conditionalFormatting sqref="B2077">
    <cfRule type="cellIs" dxfId="1196" priority="1308" operator="greaterThan">
      <formula>350</formula>
    </cfRule>
    <cfRule type="cellIs" dxfId="1195" priority="1309" operator="between">
      <formula>250</formula>
      <formula>350</formula>
    </cfRule>
    <cfRule type="cellIs" dxfId="1194" priority="1310" operator="lessThan">
      <formula>250</formula>
    </cfRule>
  </conditionalFormatting>
  <conditionalFormatting sqref="B2078">
    <cfRule type="cellIs" dxfId="1193" priority="1303" operator="lessThan">
      <formula>0.8</formula>
    </cfRule>
    <cfRule type="cellIs" dxfId="1192" priority="1304" operator="between">
      <formula>0.8</formula>
      <formula>0.99999</formula>
    </cfRule>
    <cfRule type="cellIs" dxfId="1191" priority="1305" operator="between">
      <formula>1</formula>
      <formula>1.3</formula>
    </cfRule>
    <cfRule type="cellIs" dxfId="1190" priority="1306" operator="between">
      <formula>1.3</formula>
      <formula>1.5</formula>
    </cfRule>
    <cfRule type="cellIs" dxfId="1189" priority="1307" operator="greaterThan">
      <formula>1.5</formula>
    </cfRule>
  </conditionalFormatting>
  <conditionalFormatting sqref="B2080">
    <cfRule type="cellIs" dxfId="1188" priority="1300" operator="greaterThan">
      <formula>1.6</formula>
    </cfRule>
    <cfRule type="cellIs" dxfId="1187" priority="1301" operator="between">
      <formula>1.5</formula>
      <formula>1.6</formula>
    </cfRule>
    <cfRule type="cellIs" dxfId="1186" priority="1302" operator="lessThan">
      <formula>1.5</formula>
    </cfRule>
  </conditionalFormatting>
  <conditionalFormatting sqref="B2081">
    <cfRule type="cellIs" dxfId="1185" priority="950" operator="between">
      <formula>500</formula>
      <formula>10000</formula>
    </cfRule>
    <cfRule type="cellIs" dxfId="1184" priority="951" operator="between">
      <formula>200</formula>
      <formula>499</formula>
    </cfRule>
    <cfRule type="cellIs" dxfId="1183" priority="952" operator="between">
      <formula>1</formula>
      <formula>199</formula>
    </cfRule>
  </conditionalFormatting>
  <conditionalFormatting sqref="B2083">
    <cfRule type="cellIs" dxfId="1182" priority="1297" operator="greaterThan">
      <formula>50</formula>
    </cfRule>
    <cfRule type="cellIs" dxfId="1181" priority="1298" operator="between">
      <formula>35</formula>
      <formula>50</formula>
    </cfRule>
    <cfRule type="cellIs" dxfId="1180" priority="1299" operator="lessThan">
      <formula>35</formula>
    </cfRule>
  </conditionalFormatting>
  <conditionalFormatting sqref="B2084">
    <cfRule type="cellIs" dxfId="1179" priority="1294" operator="greaterThan">
      <formula>350</formula>
    </cfRule>
    <cfRule type="cellIs" dxfId="1178" priority="1295" operator="between">
      <formula>250</formula>
      <formula>350</formula>
    </cfRule>
    <cfRule type="cellIs" dxfId="1177" priority="1296" operator="lessThan">
      <formula>250</formula>
    </cfRule>
  </conditionalFormatting>
  <conditionalFormatting sqref="B2085">
    <cfRule type="cellIs" dxfId="1176" priority="1289" operator="lessThan">
      <formula>0.8</formula>
    </cfRule>
    <cfRule type="cellIs" dxfId="1175" priority="1290" operator="between">
      <formula>0.8</formula>
      <formula>0.99999</formula>
    </cfRule>
    <cfRule type="cellIs" dxfId="1174" priority="1291" operator="between">
      <formula>1</formula>
      <formula>1.3</formula>
    </cfRule>
    <cfRule type="cellIs" dxfId="1173" priority="1292" operator="between">
      <formula>1.3</formula>
      <formula>1.5</formula>
    </cfRule>
    <cfRule type="cellIs" dxfId="1172" priority="1293" operator="greaterThan">
      <formula>1.5</formula>
    </cfRule>
  </conditionalFormatting>
  <conditionalFormatting sqref="B2087">
    <cfRule type="cellIs" dxfId="1171" priority="1286" operator="greaterThan">
      <formula>1.6</formula>
    </cfRule>
    <cfRule type="cellIs" dxfId="1170" priority="1287" operator="between">
      <formula>1.5</formula>
      <formula>1.6</formula>
    </cfRule>
    <cfRule type="cellIs" dxfId="1169" priority="1288" operator="lessThan">
      <formula>1.5</formula>
    </cfRule>
  </conditionalFormatting>
  <conditionalFormatting sqref="B2088">
    <cfRule type="cellIs" dxfId="1168" priority="947" operator="between">
      <formula>500</formula>
      <formula>10000</formula>
    </cfRule>
    <cfRule type="cellIs" dxfId="1167" priority="948" operator="between">
      <formula>200</formula>
      <formula>499</formula>
    </cfRule>
    <cfRule type="cellIs" dxfId="1166" priority="949" operator="between">
      <formula>1</formula>
      <formula>199</formula>
    </cfRule>
  </conditionalFormatting>
  <conditionalFormatting sqref="B2090">
    <cfRule type="cellIs" dxfId="1165" priority="1283" operator="greaterThan">
      <formula>50</formula>
    </cfRule>
    <cfRule type="cellIs" dxfId="1164" priority="1284" operator="between">
      <formula>35</formula>
      <formula>50</formula>
    </cfRule>
    <cfRule type="cellIs" dxfId="1163" priority="1285" operator="lessThan">
      <formula>35</formula>
    </cfRule>
  </conditionalFormatting>
  <conditionalFormatting sqref="B2091">
    <cfRule type="cellIs" dxfId="1162" priority="1280" operator="greaterThan">
      <formula>350</formula>
    </cfRule>
    <cfRule type="cellIs" dxfId="1161" priority="1281" operator="between">
      <formula>250</formula>
      <formula>350</formula>
    </cfRule>
    <cfRule type="cellIs" dxfId="1160" priority="1282" operator="lessThan">
      <formula>250</formula>
    </cfRule>
  </conditionalFormatting>
  <conditionalFormatting sqref="B2092">
    <cfRule type="cellIs" dxfId="1159" priority="1275" operator="lessThan">
      <formula>0.8</formula>
    </cfRule>
    <cfRule type="cellIs" dxfId="1158" priority="1276" operator="between">
      <formula>0.8</formula>
      <formula>0.99999</formula>
    </cfRule>
    <cfRule type="cellIs" dxfId="1157" priority="1277" operator="between">
      <formula>1</formula>
      <formula>1.3</formula>
    </cfRule>
    <cfRule type="cellIs" dxfId="1156" priority="1278" operator="between">
      <formula>1.3</formula>
      <formula>1.5</formula>
    </cfRule>
    <cfRule type="cellIs" dxfId="1155" priority="1279" operator="greaterThan">
      <formula>1.5</formula>
    </cfRule>
  </conditionalFormatting>
  <conditionalFormatting sqref="B2094">
    <cfRule type="cellIs" dxfId="1154" priority="1272" operator="greaterThan">
      <formula>1.6</formula>
    </cfRule>
    <cfRule type="cellIs" dxfId="1153" priority="1273" operator="between">
      <formula>1.5</formula>
      <formula>1.6</formula>
    </cfRule>
    <cfRule type="cellIs" dxfId="1152" priority="1274" operator="lessThan">
      <formula>1.5</formula>
    </cfRule>
  </conditionalFormatting>
  <conditionalFormatting sqref="B2095">
    <cfRule type="cellIs" dxfId="1151" priority="944" operator="between">
      <formula>500</formula>
      <formula>10000</formula>
    </cfRule>
    <cfRule type="cellIs" dxfId="1150" priority="945" operator="between">
      <formula>200</formula>
      <formula>499</formula>
    </cfRule>
    <cfRule type="cellIs" dxfId="1149" priority="946" operator="between">
      <formula>1</formula>
      <formula>199</formula>
    </cfRule>
  </conditionalFormatting>
  <conditionalFormatting sqref="B2097">
    <cfRule type="cellIs" dxfId="1148" priority="1269" operator="greaterThan">
      <formula>50</formula>
    </cfRule>
    <cfRule type="cellIs" dxfId="1147" priority="1270" operator="between">
      <formula>35</formula>
      <formula>50</formula>
    </cfRule>
    <cfRule type="cellIs" dxfId="1146" priority="1271" operator="lessThan">
      <formula>35</formula>
    </cfRule>
  </conditionalFormatting>
  <conditionalFormatting sqref="B2098">
    <cfRule type="cellIs" dxfId="1145" priority="1266" operator="greaterThan">
      <formula>350</formula>
    </cfRule>
    <cfRule type="cellIs" dxfId="1144" priority="1267" operator="between">
      <formula>250</formula>
      <formula>350</formula>
    </cfRule>
    <cfRule type="cellIs" dxfId="1143" priority="1268" operator="lessThan">
      <formula>250</formula>
    </cfRule>
  </conditionalFormatting>
  <conditionalFormatting sqref="B2099">
    <cfRule type="cellIs" dxfId="1142" priority="1261" operator="lessThan">
      <formula>0.8</formula>
    </cfRule>
    <cfRule type="cellIs" dxfId="1141" priority="1262" operator="between">
      <formula>0.8</formula>
      <formula>0.99999</formula>
    </cfRule>
    <cfRule type="cellIs" dxfId="1140" priority="1263" operator="between">
      <formula>1</formula>
      <formula>1.3</formula>
    </cfRule>
    <cfRule type="cellIs" dxfId="1139" priority="1264" operator="between">
      <formula>1.3</formula>
      <formula>1.5</formula>
    </cfRule>
    <cfRule type="cellIs" dxfId="1138" priority="1265" operator="greaterThan">
      <formula>1.5</formula>
    </cfRule>
  </conditionalFormatting>
  <conditionalFormatting sqref="B2101">
    <cfRule type="cellIs" dxfId="1137" priority="1258" operator="greaterThan">
      <formula>1.6</formula>
    </cfRule>
    <cfRule type="cellIs" dxfId="1136" priority="1259" operator="between">
      <formula>1.5</formula>
      <formula>1.6</formula>
    </cfRule>
    <cfRule type="cellIs" dxfId="1135" priority="1260" operator="lessThan">
      <formula>1.5</formula>
    </cfRule>
  </conditionalFormatting>
  <conditionalFormatting sqref="B2102">
    <cfRule type="cellIs" dxfId="1134" priority="941" operator="between">
      <formula>500</formula>
      <formula>10000</formula>
    </cfRule>
    <cfRule type="cellIs" dxfId="1133" priority="942" operator="between">
      <formula>200</formula>
      <formula>499</formula>
    </cfRule>
    <cfRule type="cellIs" dxfId="1132" priority="943" operator="between">
      <formula>1</formula>
      <formula>199</formula>
    </cfRule>
  </conditionalFormatting>
  <conditionalFormatting sqref="B2104">
    <cfRule type="cellIs" dxfId="1131" priority="1255" operator="greaterThan">
      <formula>50</formula>
    </cfRule>
    <cfRule type="cellIs" dxfId="1130" priority="1256" operator="between">
      <formula>35</formula>
      <formula>50</formula>
    </cfRule>
    <cfRule type="cellIs" dxfId="1129" priority="1257" operator="lessThan">
      <formula>35</formula>
    </cfRule>
  </conditionalFormatting>
  <conditionalFormatting sqref="B2105">
    <cfRule type="cellIs" dxfId="1128" priority="1252" operator="greaterThan">
      <formula>350</formula>
    </cfRule>
    <cfRule type="cellIs" dxfId="1127" priority="1253" operator="between">
      <formula>250</formula>
      <formula>350</formula>
    </cfRule>
    <cfRule type="cellIs" dxfId="1126" priority="1254" operator="lessThan">
      <formula>250</formula>
    </cfRule>
  </conditionalFormatting>
  <conditionalFormatting sqref="B2106">
    <cfRule type="cellIs" dxfId="1125" priority="1247" operator="lessThan">
      <formula>0.8</formula>
    </cfRule>
    <cfRule type="cellIs" dxfId="1124" priority="1248" operator="between">
      <formula>0.8</formula>
      <formula>0.99999</formula>
    </cfRule>
    <cfRule type="cellIs" dxfId="1123" priority="1249" operator="between">
      <formula>1</formula>
      <formula>1.3</formula>
    </cfRule>
    <cfRule type="cellIs" dxfId="1122" priority="1250" operator="between">
      <formula>1.3</formula>
      <formula>1.5</formula>
    </cfRule>
    <cfRule type="cellIs" dxfId="1121" priority="1251" operator="greaterThan">
      <formula>1.5</formula>
    </cfRule>
  </conditionalFormatting>
  <conditionalFormatting sqref="B2108">
    <cfRule type="cellIs" dxfId="1120" priority="1244" operator="greaterThan">
      <formula>1.6</formula>
    </cfRule>
    <cfRule type="cellIs" dxfId="1119" priority="1245" operator="between">
      <formula>1.5</formula>
      <formula>1.6</formula>
    </cfRule>
    <cfRule type="cellIs" dxfId="1118" priority="1246" operator="lessThan">
      <formula>1.5</formula>
    </cfRule>
  </conditionalFormatting>
  <conditionalFormatting sqref="B2109">
    <cfRule type="cellIs" dxfId="1117" priority="938" operator="between">
      <formula>500</formula>
      <formula>10000</formula>
    </cfRule>
    <cfRule type="cellIs" dxfId="1116" priority="939" operator="between">
      <formula>200</formula>
      <formula>499</formula>
    </cfRule>
    <cfRule type="cellIs" dxfId="1115" priority="940" operator="between">
      <formula>1</formula>
      <formula>199</formula>
    </cfRule>
  </conditionalFormatting>
  <conditionalFormatting sqref="B2111">
    <cfRule type="cellIs" dxfId="1114" priority="1241" operator="greaterThan">
      <formula>50</formula>
    </cfRule>
    <cfRule type="cellIs" dxfId="1113" priority="1242" operator="between">
      <formula>35</formula>
      <formula>50</formula>
    </cfRule>
    <cfRule type="cellIs" dxfId="1112" priority="1243" operator="lessThan">
      <formula>35</formula>
    </cfRule>
  </conditionalFormatting>
  <conditionalFormatting sqref="B2112">
    <cfRule type="cellIs" dxfId="1111" priority="1238" operator="greaterThan">
      <formula>350</formula>
    </cfRule>
    <cfRule type="cellIs" dxfId="1110" priority="1239" operator="between">
      <formula>250</formula>
      <formula>350</formula>
    </cfRule>
    <cfRule type="cellIs" dxfId="1109" priority="1240" operator="lessThan">
      <formula>250</formula>
    </cfRule>
  </conditionalFormatting>
  <conditionalFormatting sqref="B2113">
    <cfRule type="cellIs" dxfId="1108" priority="1233" operator="lessThan">
      <formula>0.8</formula>
    </cfRule>
    <cfRule type="cellIs" dxfId="1107" priority="1234" operator="between">
      <formula>0.8</formula>
      <formula>0.99999</formula>
    </cfRule>
    <cfRule type="cellIs" dxfId="1106" priority="1235" operator="between">
      <formula>1</formula>
      <formula>1.3</formula>
    </cfRule>
    <cfRule type="cellIs" dxfId="1105" priority="1236" operator="between">
      <formula>1.3</formula>
      <formula>1.5</formula>
    </cfRule>
    <cfRule type="cellIs" dxfId="1104" priority="1237" operator="greaterThan">
      <formula>1.5</formula>
    </cfRule>
  </conditionalFormatting>
  <conditionalFormatting sqref="B2115">
    <cfRule type="cellIs" dxfId="1103" priority="1230" operator="greaterThan">
      <formula>1.6</formula>
    </cfRule>
    <cfRule type="cellIs" dxfId="1102" priority="1231" operator="between">
      <formula>1.5</formula>
      <formula>1.6</formula>
    </cfRule>
    <cfRule type="cellIs" dxfId="1101" priority="1232" operator="lessThan">
      <formula>1.5</formula>
    </cfRule>
  </conditionalFormatting>
  <conditionalFormatting sqref="B2116">
    <cfRule type="cellIs" dxfId="1100" priority="935" operator="between">
      <formula>500</formula>
      <formula>10000</formula>
    </cfRule>
    <cfRule type="cellIs" dxfId="1099" priority="936" operator="between">
      <formula>200</formula>
      <formula>499</formula>
    </cfRule>
    <cfRule type="cellIs" dxfId="1098" priority="937" operator="between">
      <formula>1</formula>
      <formula>199</formula>
    </cfRule>
  </conditionalFormatting>
  <conditionalFormatting sqref="B2118">
    <cfRule type="cellIs" dxfId="1097" priority="1227" operator="greaterThan">
      <formula>50</formula>
    </cfRule>
    <cfRule type="cellIs" dxfId="1096" priority="1228" operator="between">
      <formula>35</formula>
      <formula>50</formula>
    </cfRule>
    <cfRule type="cellIs" dxfId="1095" priority="1229" operator="lessThan">
      <formula>35</formula>
    </cfRule>
  </conditionalFormatting>
  <conditionalFormatting sqref="B2119">
    <cfRule type="cellIs" dxfId="1094" priority="1224" operator="greaterThan">
      <formula>350</formula>
    </cfRule>
    <cfRule type="cellIs" dxfId="1093" priority="1225" operator="between">
      <formula>250</formula>
      <formula>350</formula>
    </cfRule>
    <cfRule type="cellIs" dxfId="1092" priority="1226" operator="lessThan">
      <formula>250</formula>
    </cfRule>
  </conditionalFormatting>
  <conditionalFormatting sqref="B2120">
    <cfRule type="cellIs" dxfId="1091" priority="1219" operator="lessThan">
      <formula>0.8</formula>
    </cfRule>
    <cfRule type="cellIs" dxfId="1090" priority="1220" operator="between">
      <formula>0.8</formula>
      <formula>0.99999</formula>
    </cfRule>
    <cfRule type="cellIs" dxfId="1089" priority="1221" operator="between">
      <formula>1</formula>
      <formula>1.3</formula>
    </cfRule>
    <cfRule type="cellIs" dxfId="1088" priority="1222" operator="between">
      <formula>1.3</formula>
      <formula>1.5</formula>
    </cfRule>
    <cfRule type="cellIs" dxfId="1087" priority="1223" operator="greaterThan">
      <formula>1.5</formula>
    </cfRule>
  </conditionalFormatting>
  <conditionalFormatting sqref="B2122">
    <cfRule type="cellIs" dxfId="1086" priority="1216" operator="greaterThan">
      <formula>1.6</formula>
    </cfRule>
    <cfRule type="cellIs" dxfId="1085" priority="1217" operator="between">
      <formula>1.5</formula>
      <formula>1.6</formula>
    </cfRule>
    <cfRule type="cellIs" dxfId="1084" priority="1218" operator="lessThan">
      <formula>1.5</formula>
    </cfRule>
  </conditionalFormatting>
  <conditionalFormatting sqref="B2123">
    <cfRule type="cellIs" dxfId="1083" priority="932" operator="between">
      <formula>500</formula>
      <formula>10000</formula>
    </cfRule>
    <cfRule type="cellIs" dxfId="1082" priority="933" operator="between">
      <formula>200</formula>
      <formula>499</formula>
    </cfRule>
    <cfRule type="cellIs" dxfId="1081" priority="934" operator="between">
      <formula>1</formula>
      <formula>199</formula>
    </cfRule>
  </conditionalFormatting>
  <conditionalFormatting sqref="B2125">
    <cfRule type="cellIs" dxfId="1080" priority="1213" operator="greaterThan">
      <formula>50</formula>
    </cfRule>
    <cfRule type="cellIs" dxfId="1079" priority="1214" operator="between">
      <formula>35</formula>
      <formula>50</formula>
    </cfRule>
    <cfRule type="cellIs" dxfId="1078" priority="1215" operator="lessThan">
      <formula>35</formula>
    </cfRule>
  </conditionalFormatting>
  <conditionalFormatting sqref="B2126">
    <cfRule type="cellIs" dxfId="1077" priority="1210" operator="greaterThan">
      <formula>350</formula>
    </cfRule>
    <cfRule type="cellIs" dxfId="1076" priority="1211" operator="between">
      <formula>250</formula>
      <formula>350</formula>
    </cfRule>
    <cfRule type="cellIs" dxfId="1075" priority="1212" operator="lessThan">
      <formula>250</formula>
    </cfRule>
  </conditionalFormatting>
  <conditionalFormatting sqref="B2127">
    <cfRule type="cellIs" dxfId="1074" priority="1205" operator="lessThan">
      <formula>0.8</formula>
    </cfRule>
    <cfRule type="cellIs" dxfId="1073" priority="1206" operator="between">
      <formula>0.8</formula>
      <formula>0.99999</formula>
    </cfRule>
    <cfRule type="cellIs" dxfId="1072" priority="1207" operator="between">
      <formula>1</formula>
      <formula>1.3</formula>
    </cfRule>
    <cfRule type="cellIs" dxfId="1071" priority="1208" operator="between">
      <formula>1.3</formula>
      <formula>1.5</formula>
    </cfRule>
    <cfRule type="cellIs" dxfId="1070" priority="1209" operator="greaterThan">
      <formula>1.5</formula>
    </cfRule>
  </conditionalFormatting>
  <conditionalFormatting sqref="B2129">
    <cfRule type="cellIs" dxfId="1069" priority="1202" operator="greaterThan">
      <formula>1.6</formula>
    </cfRule>
    <cfRule type="cellIs" dxfId="1068" priority="1203" operator="between">
      <formula>1.5</formula>
      <formula>1.6</formula>
    </cfRule>
    <cfRule type="cellIs" dxfId="1067" priority="1204" operator="lessThan">
      <formula>1.5</formula>
    </cfRule>
  </conditionalFormatting>
  <conditionalFormatting sqref="B2130">
    <cfRule type="cellIs" dxfId="1066" priority="929" operator="between">
      <formula>500</formula>
      <formula>10000</formula>
    </cfRule>
    <cfRule type="cellIs" dxfId="1065" priority="930" operator="between">
      <formula>200</formula>
      <formula>499</formula>
    </cfRule>
    <cfRule type="cellIs" dxfId="1064" priority="931" operator="between">
      <formula>1</formula>
      <formula>199</formula>
    </cfRule>
  </conditionalFormatting>
  <conditionalFormatting sqref="B2132">
    <cfRule type="cellIs" dxfId="1063" priority="1199" operator="greaterThan">
      <formula>50</formula>
    </cfRule>
    <cfRule type="cellIs" dxfId="1062" priority="1200" operator="between">
      <formula>35</formula>
      <formula>50</formula>
    </cfRule>
    <cfRule type="cellIs" dxfId="1061" priority="1201" operator="lessThan">
      <formula>35</formula>
    </cfRule>
  </conditionalFormatting>
  <conditionalFormatting sqref="B2133">
    <cfRule type="cellIs" dxfId="1060" priority="1196" operator="greaterThan">
      <formula>350</formula>
    </cfRule>
    <cfRule type="cellIs" dxfId="1059" priority="1197" operator="between">
      <formula>250</formula>
      <formula>350</formula>
    </cfRule>
    <cfRule type="cellIs" dxfId="1058" priority="1198" operator="lessThan">
      <formula>250</formula>
    </cfRule>
  </conditionalFormatting>
  <conditionalFormatting sqref="B2134">
    <cfRule type="cellIs" dxfId="1057" priority="1191" operator="lessThan">
      <formula>0.8</formula>
    </cfRule>
    <cfRule type="cellIs" dxfId="1056" priority="1192" operator="between">
      <formula>0.8</formula>
      <formula>0.99999</formula>
    </cfRule>
    <cfRule type="cellIs" dxfId="1055" priority="1193" operator="between">
      <formula>1</formula>
      <formula>1.3</formula>
    </cfRule>
    <cfRule type="cellIs" dxfId="1054" priority="1194" operator="between">
      <formula>1.3</formula>
      <formula>1.5</formula>
    </cfRule>
    <cfRule type="cellIs" dxfId="1053" priority="1195" operator="greaterThan">
      <formula>1.5</formula>
    </cfRule>
  </conditionalFormatting>
  <conditionalFormatting sqref="B2136">
    <cfRule type="cellIs" dxfId="1052" priority="1188" operator="greaterThan">
      <formula>1.6</formula>
    </cfRule>
    <cfRule type="cellIs" dxfId="1051" priority="1189" operator="between">
      <formula>1.5</formula>
      <formula>1.6</formula>
    </cfRule>
    <cfRule type="cellIs" dxfId="1050" priority="1190" operator="lessThan">
      <formula>1.5</formula>
    </cfRule>
  </conditionalFormatting>
  <conditionalFormatting sqref="B2137">
    <cfRule type="cellIs" dxfId="1049" priority="926" operator="between">
      <formula>500</formula>
      <formula>10000</formula>
    </cfRule>
    <cfRule type="cellIs" dxfId="1048" priority="927" operator="between">
      <formula>200</formula>
      <formula>499</formula>
    </cfRule>
    <cfRule type="cellIs" dxfId="1047" priority="928" operator="between">
      <formula>1</formula>
      <formula>199</formula>
    </cfRule>
  </conditionalFormatting>
  <conditionalFormatting sqref="B2139">
    <cfRule type="cellIs" dxfId="1046" priority="1185" operator="greaterThan">
      <formula>50</formula>
    </cfRule>
    <cfRule type="cellIs" dxfId="1045" priority="1186" operator="between">
      <formula>35</formula>
      <formula>50</formula>
    </cfRule>
    <cfRule type="cellIs" dxfId="1044" priority="1187" operator="lessThan">
      <formula>35</formula>
    </cfRule>
  </conditionalFormatting>
  <conditionalFormatting sqref="B2140">
    <cfRule type="cellIs" dxfId="1043" priority="1182" operator="greaterThan">
      <formula>350</formula>
    </cfRule>
    <cfRule type="cellIs" dxfId="1042" priority="1183" operator="between">
      <formula>250</formula>
      <formula>350</formula>
    </cfRule>
    <cfRule type="cellIs" dxfId="1041" priority="1184" operator="lessThan">
      <formula>250</formula>
    </cfRule>
  </conditionalFormatting>
  <conditionalFormatting sqref="B2141">
    <cfRule type="cellIs" dxfId="1040" priority="1177" operator="lessThan">
      <formula>0.8</formula>
    </cfRule>
    <cfRule type="cellIs" dxfId="1039" priority="1178" operator="between">
      <formula>0.8</formula>
      <formula>0.99999</formula>
    </cfRule>
    <cfRule type="cellIs" dxfId="1038" priority="1179" operator="between">
      <formula>1</formula>
      <formula>1.3</formula>
    </cfRule>
    <cfRule type="cellIs" dxfId="1037" priority="1180" operator="between">
      <formula>1.3</formula>
      <formula>1.5</formula>
    </cfRule>
    <cfRule type="cellIs" dxfId="1036" priority="1181" operator="greaterThan">
      <formula>1.5</formula>
    </cfRule>
  </conditionalFormatting>
  <conditionalFormatting sqref="B2143">
    <cfRule type="cellIs" dxfId="1035" priority="1174" operator="greaterThan">
      <formula>1.6</formula>
    </cfRule>
    <cfRule type="cellIs" dxfId="1034" priority="1175" operator="between">
      <formula>1.5</formula>
      <formula>1.6</formula>
    </cfRule>
    <cfRule type="cellIs" dxfId="1033" priority="1176" operator="lessThan">
      <formula>1.5</formula>
    </cfRule>
  </conditionalFormatting>
  <conditionalFormatting sqref="B2144">
    <cfRule type="cellIs" dxfId="1032" priority="923" operator="between">
      <formula>500</formula>
      <formula>10000</formula>
    </cfRule>
    <cfRule type="cellIs" dxfId="1031" priority="924" operator="between">
      <formula>200</formula>
      <formula>499</formula>
    </cfRule>
    <cfRule type="cellIs" dxfId="1030" priority="925" operator="between">
      <formula>1</formula>
      <formula>199</formula>
    </cfRule>
  </conditionalFormatting>
  <conditionalFormatting sqref="B2146">
    <cfRule type="cellIs" dxfId="1029" priority="1171" operator="greaterThan">
      <formula>50</formula>
    </cfRule>
    <cfRule type="cellIs" dxfId="1028" priority="1172" operator="between">
      <formula>35</formula>
      <formula>50</formula>
    </cfRule>
    <cfRule type="cellIs" dxfId="1027" priority="1173" operator="lessThan">
      <formula>35</formula>
    </cfRule>
  </conditionalFormatting>
  <conditionalFormatting sqref="B2147">
    <cfRule type="cellIs" dxfId="1026" priority="1168" operator="greaterThan">
      <formula>350</formula>
    </cfRule>
    <cfRule type="cellIs" dxfId="1025" priority="1169" operator="between">
      <formula>250</formula>
      <formula>350</formula>
    </cfRule>
    <cfRule type="cellIs" dxfId="1024" priority="1170" operator="lessThan">
      <formula>250</formula>
    </cfRule>
  </conditionalFormatting>
  <conditionalFormatting sqref="B2148">
    <cfRule type="cellIs" dxfId="1023" priority="1163" operator="lessThan">
      <formula>0.8</formula>
    </cfRule>
    <cfRule type="cellIs" dxfId="1022" priority="1164" operator="between">
      <formula>0.8</formula>
      <formula>0.99999</formula>
    </cfRule>
    <cfRule type="cellIs" dxfId="1021" priority="1165" operator="between">
      <formula>1</formula>
      <formula>1.3</formula>
    </cfRule>
    <cfRule type="cellIs" dxfId="1020" priority="1166" operator="between">
      <formula>1.3</formula>
      <formula>1.5</formula>
    </cfRule>
    <cfRule type="cellIs" dxfId="1019" priority="1167" operator="greaterThan">
      <formula>1.5</formula>
    </cfRule>
  </conditionalFormatting>
  <conditionalFormatting sqref="B2150">
    <cfRule type="cellIs" dxfId="1018" priority="1160" operator="greaterThan">
      <formula>1.6</formula>
    </cfRule>
    <cfRule type="cellIs" dxfId="1017" priority="1161" operator="between">
      <formula>1.5</formula>
      <formula>1.6</formula>
    </cfRule>
    <cfRule type="cellIs" dxfId="1016" priority="1162" operator="lessThan">
      <formula>1.5</formula>
    </cfRule>
  </conditionalFormatting>
  <conditionalFormatting sqref="B2151">
    <cfRule type="cellIs" dxfId="1015" priority="762" operator="between">
      <formula>500</formula>
      <formula>10000</formula>
    </cfRule>
    <cfRule type="cellIs" dxfId="1014" priority="763" operator="between">
      <formula>200</formula>
      <formula>499</formula>
    </cfRule>
    <cfRule type="cellIs" dxfId="1013" priority="764" operator="between">
      <formula>1</formula>
      <formula>199</formula>
    </cfRule>
  </conditionalFormatting>
  <conditionalFormatting sqref="B2153">
    <cfRule type="cellIs" dxfId="1012" priority="1157" operator="greaterThan">
      <formula>50</formula>
    </cfRule>
    <cfRule type="cellIs" dxfId="1011" priority="1158" operator="between">
      <formula>35</formula>
      <formula>50</formula>
    </cfRule>
    <cfRule type="cellIs" dxfId="1010" priority="1159" operator="lessThan">
      <formula>35</formula>
    </cfRule>
  </conditionalFormatting>
  <conditionalFormatting sqref="B2154">
    <cfRule type="cellIs" dxfId="1009" priority="1154" operator="greaterThan">
      <formula>350</formula>
    </cfRule>
    <cfRule type="cellIs" dxfId="1008" priority="1155" operator="between">
      <formula>250</formula>
      <formula>350</formula>
    </cfRule>
    <cfRule type="cellIs" dxfId="1007" priority="1156" operator="lessThan">
      <formula>250</formula>
    </cfRule>
  </conditionalFormatting>
  <conditionalFormatting sqref="B2155">
    <cfRule type="cellIs" dxfId="1006" priority="1149" operator="lessThan">
      <formula>0.8</formula>
    </cfRule>
    <cfRule type="cellIs" dxfId="1005" priority="1150" operator="between">
      <formula>0.8</formula>
      <formula>0.99999</formula>
    </cfRule>
    <cfRule type="cellIs" dxfId="1004" priority="1151" operator="between">
      <formula>1</formula>
      <formula>1.3</formula>
    </cfRule>
    <cfRule type="cellIs" dxfId="1003" priority="1152" operator="between">
      <formula>1.3</formula>
      <formula>1.5</formula>
    </cfRule>
    <cfRule type="cellIs" dxfId="1002" priority="1153" operator="greaterThan">
      <formula>1.5</formula>
    </cfRule>
  </conditionalFormatting>
  <conditionalFormatting sqref="B2157">
    <cfRule type="cellIs" dxfId="1001" priority="1146" operator="greaterThan">
      <formula>1.6</formula>
    </cfRule>
    <cfRule type="cellIs" dxfId="1000" priority="1147" operator="between">
      <formula>1.5</formula>
      <formula>1.6</formula>
    </cfRule>
    <cfRule type="cellIs" dxfId="999" priority="1148" operator="lessThan">
      <formula>1.5</formula>
    </cfRule>
  </conditionalFormatting>
  <conditionalFormatting sqref="B2158">
    <cfRule type="cellIs" dxfId="998" priority="759" operator="between">
      <formula>500</formula>
      <formula>10000</formula>
    </cfRule>
    <cfRule type="cellIs" dxfId="997" priority="760" operator="between">
      <formula>200</formula>
      <formula>499</formula>
    </cfRule>
    <cfRule type="cellIs" dxfId="996" priority="761" operator="between">
      <formula>1</formula>
      <formula>199</formula>
    </cfRule>
  </conditionalFormatting>
  <conditionalFormatting sqref="B2160">
    <cfRule type="cellIs" dxfId="995" priority="1143" operator="greaterThan">
      <formula>50</formula>
    </cfRule>
    <cfRule type="cellIs" dxfId="994" priority="1144" operator="between">
      <formula>35</formula>
      <formula>50</formula>
    </cfRule>
    <cfRule type="cellIs" dxfId="993" priority="1145" operator="lessThan">
      <formula>35</formula>
    </cfRule>
  </conditionalFormatting>
  <conditionalFormatting sqref="B2161">
    <cfRule type="cellIs" dxfId="992" priority="1140" operator="greaterThan">
      <formula>350</formula>
    </cfRule>
    <cfRule type="cellIs" dxfId="991" priority="1141" operator="between">
      <formula>250</formula>
      <formula>350</formula>
    </cfRule>
    <cfRule type="cellIs" dxfId="990" priority="1142" operator="lessThan">
      <formula>250</formula>
    </cfRule>
  </conditionalFormatting>
  <conditionalFormatting sqref="B2162">
    <cfRule type="cellIs" dxfId="989" priority="1135" operator="lessThan">
      <formula>0.8</formula>
    </cfRule>
    <cfRule type="cellIs" dxfId="988" priority="1136" operator="between">
      <formula>0.8</formula>
      <formula>0.99999</formula>
    </cfRule>
    <cfRule type="cellIs" dxfId="987" priority="1137" operator="between">
      <formula>1</formula>
      <formula>1.3</formula>
    </cfRule>
    <cfRule type="cellIs" dxfId="986" priority="1138" operator="between">
      <formula>1.3</formula>
      <formula>1.5</formula>
    </cfRule>
    <cfRule type="cellIs" dxfId="985" priority="1139" operator="greaterThan">
      <formula>1.5</formula>
    </cfRule>
  </conditionalFormatting>
  <conditionalFormatting sqref="B2164">
    <cfRule type="cellIs" dxfId="984" priority="1132" operator="greaterThan">
      <formula>1.6</formula>
    </cfRule>
    <cfRule type="cellIs" dxfId="983" priority="1133" operator="between">
      <formula>1.5</formula>
      <formula>1.6</formula>
    </cfRule>
    <cfRule type="cellIs" dxfId="982" priority="1134" operator="lessThan">
      <formula>1.5</formula>
    </cfRule>
  </conditionalFormatting>
  <conditionalFormatting sqref="B2165">
    <cfRule type="cellIs" dxfId="981" priority="917" operator="between">
      <formula>500</formula>
      <formula>10000</formula>
    </cfRule>
    <cfRule type="cellIs" dxfId="980" priority="918" operator="between">
      <formula>200</formula>
      <formula>499</formula>
    </cfRule>
    <cfRule type="cellIs" dxfId="979" priority="919" operator="between">
      <formula>1</formula>
      <formula>199</formula>
    </cfRule>
  </conditionalFormatting>
  <conditionalFormatting sqref="B2167">
    <cfRule type="cellIs" dxfId="978" priority="1129" operator="greaterThan">
      <formula>50</formula>
    </cfRule>
    <cfRule type="cellIs" dxfId="977" priority="1130" operator="between">
      <formula>35</formula>
      <formula>50</formula>
    </cfRule>
    <cfRule type="cellIs" dxfId="976" priority="1131" operator="lessThan">
      <formula>35</formula>
    </cfRule>
  </conditionalFormatting>
  <conditionalFormatting sqref="B2168">
    <cfRule type="cellIs" dxfId="975" priority="1126" operator="greaterThan">
      <formula>350</formula>
    </cfRule>
    <cfRule type="cellIs" dxfId="974" priority="1127" operator="between">
      <formula>250</formula>
      <formula>350</formula>
    </cfRule>
    <cfRule type="cellIs" dxfId="973" priority="1128" operator="lessThan">
      <formula>250</formula>
    </cfRule>
  </conditionalFormatting>
  <conditionalFormatting sqref="B2169">
    <cfRule type="cellIs" dxfId="972" priority="1121" operator="lessThan">
      <formula>0.8</formula>
    </cfRule>
    <cfRule type="cellIs" dxfId="971" priority="1122" operator="between">
      <formula>0.8</formula>
      <formula>0.99999</formula>
    </cfRule>
    <cfRule type="cellIs" dxfId="970" priority="1123" operator="between">
      <formula>1</formula>
      <formula>1.3</formula>
    </cfRule>
    <cfRule type="cellIs" dxfId="969" priority="1124" operator="between">
      <formula>1.3</formula>
      <formula>1.5</formula>
    </cfRule>
    <cfRule type="cellIs" dxfId="968" priority="1125" operator="greaterThan">
      <formula>1.5</formula>
    </cfRule>
  </conditionalFormatting>
  <conditionalFormatting sqref="B2171">
    <cfRule type="cellIs" dxfId="967" priority="1118" operator="greaterThan">
      <formula>1.6</formula>
    </cfRule>
    <cfRule type="cellIs" dxfId="966" priority="1119" operator="between">
      <formula>1.5</formula>
      <formula>1.6</formula>
    </cfRule>
    <cfRule type="cellIs" dxfId="965" priority="1120" operator="lessThan">
      <formula>1.5</formula>
    </cfRule>
  </conditionalFormatting>
  <conditionalFormatting sqref="B2172">
    <cfRule type="cellIs" dxfId="964" priority="914" operator="between">
      <formula>500</formula>
      <formula>10000</formula>
    </cfRule>
    <cfRule type="cellIs" dxfId="963" priority="915" operator="between">
      <formula>200</formula>
      <formula>499</formula>
    </cfRule>
    <cfRule type="cellIs" dxfId="962" priority="916" operator="between">
      <formula>1</formula>
      <formula>199</formula>
    </cfRule>
  </conditionalFormatting>
  <conditionalFormatting sqref="B2174">
    <cfRule type="cellIs" dxfId="961" priority="1115" operator="greaterThan">
      <formula>50</formula>
    </cfRule>
    <cfRule type="cellIs" dxfId="960" priority="1116" operator="between">
      <formula>35</formula>
      <formula>50</formula>
    </cfRule>
    <cfRule type="cellIs" dxfId="959" priority="1117" operator="lessThan">
      <formula>35</formula>
    </cfRule>
  </conditionalFormatting>
  <conditionalFormatting sqref="B2175">
    <cfRule type="cellIs" dxfId="958" priority="1112" operator="greaterThan">
      <formula>350</formula>
    </cfRule>
    <cfRule type="cellIs" dxfId="957" priority="1113" operator="between">
      <formula>250</formula>
      <formula>350</formula>
    </cfRule>
    <cfRule type="cellIs" dxfId="956" priority="1114" operator="lessThan">
      <formula>250</formula>
    </cfRule>
  </conditionalFormatting>
  <conditionalFormatting sqref="B2176">
    <cfRule type="cellIs" dxfId="955" priority="1107" operator="lessThan">
      <formula>0.8</formula>
    </cfRule>
    <cfRule type="cellIs" dxfId="954" priority="1108" operator="between">
      <formula>0.8</formula>
      <formula>0.99999</formula>
    </cfRule>
    <cfRule type="cellIs" dxfId="953" priority="1109" operator="between">
      <formula>1</formula>
      <formula>1.3</formula>
    </cfRule>
    <cfRule type="cellIs" dxfId="952" priority="1110" operator="between">
      <formula>1.3</formula>
      <formula>1.5</formula>
    </cfRule>
    <cfRule type="cellIs" dxfId="951" priority="1111" operator="greaterThan">
      <formula>1.5</formula>
    </cfRule>
  </conditionalFormatting>
  <conditionalFormatting sqref="B2178">
    <cfRule type="cellIs" dxfId="950" priority="1104" operator="greaterThan">
      <formula>1.6</formula>
    </cfRule>
    <cfRule type="cellIs" dxfId="949" priority="1105" operator="between">
      <formula>1.5</formula>
      <formula>1.6</formula>
    </cfRule>
    <cfRule type="cellIs" dxfId="948" priority="1106" operator="lessThan">
      <formula>1.5</formula>
    </cfRule>
  </conditionalFormatting>
  <conditionalFormatting sqref="B2179">
    <cfRule type="cellIs" dxfId="947" priority="911" operator="between">
      <formula>500</formula>
      <formula>10000</formula>
    </cfRule>
    <cfRule type="cellIs" dxfId="946" priority="912" operator="between">
      <formula>200</formula>
      <formula>499</formula>
    </cfRule>
    <cfRule type="cellIs" dxfId="945" priority="913" operator="between">
      <formula>1</formula>
      <formula>199</formula>
    </cfRule>
  </conditionalFormatting>
  <conditionalFormatting sqref="B2181">
    <cfRule type="cellIs" dxfId="944" priority="1101" operator="greaterThan">
      <formula>50</formula>
    </cfRule>
    <cfRule type="cellIs" dxfId="943" priority="1102" operator="between">
      <formula>35</formula>
      <formula>50</formula>
    </cfRule>
    <cfRule type="cellIs" dxfId="942" priority="1103" operator="lessThan">
      <formula>35</formula>
    </cfRule>
  </conditionalFormatting>
  <conditionalFormatting sqref="B2182">
    <cfRule type="cellIs" dxfId="941" priority="1098" operator="greaterThan">
      <formula>350</formula>
    </cfRule>
    <cfRule type="cellIs" dxfId="940" priority="1099" operator="between">
      <formula>250</formula>
      <formula>350</formula>
    </cfRule>
    <cfRule type="cellIs" dxfId="939" priority="1100" operator="lessThan">
      <formula>250</formula>
    </cfRule>
  </conditionalFormatting>
  <conditionalFormatting sqref="B2183">
    <cfRule type="cellIs" dxfId="938" priority="1093" operator="lessThan">
      <formula>0.8</formula>
    </cfRule>
    <cfRule type="cellIs" dxfId="937" priority="1094" operator="between">
      <formula>0.8</formula>
      <formula>0.99999</formula>
    </cfRule>
    <cfRule type="cellIs" dxfId="936" priority="1095" operator="between">
      <formula>1</formula>
      <formula>1.3</formula>
    </cfRule>
    <cfRule type="cellIs" dxfId="935" priority="1096" operator="between">
      <formula>1.3</formula>
      <formula>1.5</formula>
    </cfRule>
    <cfRule type="cellIs" dxfId="934" priority="1097" operator="greaterThan">
      <formula>1.5</formula>
    </cfRule>
  </conditionalFormatting>
  <conditionalFormatting sqref="B2185">
    <cfRule type="cellIs" dxfId="933" priority="1090" operator="greaterThan">
      <formula>1.6</formula>
    </cfRule>
    <cfRule type="cellIs" dxfId="932" priority="1091" operator="between">
      <formula>1.5</formula>
      <formula>1.6</formula>
    </cfRule>
    <cfRule type="cellIs" dxfId="931" priority="1092" operator="lessThan">
      <formula>1.5</formula>
    </cfRule>
  </conditionalFormatting>
  <conditionalFormatting sqref="B2186">
    <cfRule type="cellIs" dxfId="930" priority="908" operator="between">
      <formula>500</formula>
      <formula>10000</formula>
    </cfRule>
    <cfRule type="cellIs" dxfId="929" priority="909" operator="between">
      <formula>200</formula>
      <formula>499</formula>
    </cfRule>
    <cfRule type="cellIs" dxfId="928" priority="910" operator="between">
      <formula>1</formula>
      <formula>199</formula>
    </cfRule>
  </conditionalFormatting>
  <conditionalFormatting sqref="B2188">
    <cfRule type="cellIs" dxfId="927" priority="1087" operator="greaterThan">
      <formula>50</formula>
    </cfRule>
    <cfRule type="cellIs" dxfId="926" priority="1088" operator="between">
      <formula>35</formula>
      <formula>50</formula>
    </cfRule>
    <cfRule type="cellIs" dxfId="925" priority="1089" operator="lessThan">
      <formula>35</formula>
    </cfRule>
  </conditionalFormatting>
  <conditionalFormatting sqref="B2189">
    <cfRule type="cellIs" dxfId="924" priority="1084" operator="greaterThan">
      <formula>350</formula>
    </cfRule>
    <cfRule type="cellIs" dxfId="923" priority="1085" operator="between">
      <formula>250</formula>
      <formula>350</formula>
    </cfRule>
    <cfRule type="cellIs" dxfId="922" priority="1086" operator="lessThan">
      <formula>250</formula>
    </cfRule>
  </conditionalFormatting>
  <conditionalFormatting sqref="B2190">
    <cfRule type="cellIs" dxfId="921" priority="1079" operator="lessThan">
      <formula>0.8</formula>
    </cfRule>
    <cfRule type="cellIs" dxfId="920" priority="1080" operator="between">
      <formula>0.8</formula>
      <formula>0.99999</formula>
    </cfRule>
    <cfRule type="cellIs" dxfId="919" priority="1081" operator="between">
      <formula>1</formula>
      <formula>1.3</formula>
    </cfRule>
    <cfRule type="cellIs" dxfId="918" priority="1082" operator="between">
      <formula>1.3</formula>
      <formula>1.5</formula>
    </cfRule>
    <cfRule type="cellIs" dxfId="917" priority="1083" operator="greaterThan">
      <formula>1.5</formula>
    </cfRule>
  </conditionalFormatting>
  <conditionalFormatting sqref="B2192">
    <cfRule type="cellIs" dxfId="916" priority="1076" operator="greaterThan">
      <formula>1.6</formula>
    </cfRule>
    <cfRule type="cellIs" dxfId="915" priority="1077" operator="between">
      <formula>1.5</formula>
      <formula>1.6</formula>
    </cfRule>
    <cfRule type="cellIs" dxfId="914" priority="1078" operator="lessThan">
      <formula>1.5</formula>
    </cfRule>
  </conditionalFormatting>
  <conditionalFormatting sqref="B2193">
    <cfRule type="cellIs" dxfId="913" priority="905" operator="between">
      <formula>500</formula>
      <formula>10000</formula>
    </cfRule>
    <cfRule type="cellIs" dxfId="912" priority="906" operator="between">
      <formula>200</formula>
      <formula>499</formula>
    </cfRule>
    <cfRule type="cellIs" dxfId="911" priority="907" operator="between">
      <formula>1</formula>
      <formula>199</formula>
    </cfRule>
  </conditionalFormatting>
  <conditionalFormatting sqref="B2195">
    <cfRule type="cellIs" dxfId="910" priority="1073" operator="greaterThan">
      <formula>50</formula>
    </cfRule>
    <cfRule type="cellIs" dxfId="909" priority="1074" operator="between">
      <formula>35</formula>
      <formula>50</formula>
    </cfRule>
    <cfRule type="cellIs" dxfId="908" priority="1075" operator="lessThan">
      <formula>35</formula>
    </cfRule>
  </conditionalFormatting>
  <conditionalFormatting sqref="B2196">
    <cfRule type="cellIs" dxfId="907" priority="1070" operator="greaterThan">
      <formula>350</formula>
    </cfRule>
    <cfRule type="cellIs" dxfId="906" priority="1071" operator="between">
      <formula>250</formula>
      <formula>350</formula>
    </cfRule>
    <cfRule type="cellIs" dxfId="905" priority="1072" operator="lessThan">
      <formula>250</formula>
    </cfRule>
  </conditionalFormatting>
  <conditionalFormatting sqref="B2197">
    <cfRule type="cellIs" dxfId="904" priority="1065" operator="lessThan">
      <formula>0.8</formula>
    </cfRule>
    <cfRule type="cellIs" dxfId="903" priority="1066" operator="between">
      <formula>0.8</formula>
      <formula>0.99999</formula>
    </cfRule>
    <cfRule type="cellIs" dxfId="902" priority="1067" operator="between">
      <formula>1</formula>
      <formula>1.3</formula>
    </cfRule>
    <cfRule type="cellIs" dxfId="901" priority="1068" operator="between">
      <formula>1.3</formula>
      <formula>1.5</formula>
    </cfRule>
    <cfRule type="cellIs" dxfId="900" priority="1069" operator="greaterThan">
      <formula>1.5</formula>
    </cfRule>
  </conditionalFormatting>
  <conditionalFormatting sqref="B2199">
    <cfRule type="cellIs" dxfId="899" priority="1062" operator="greaterThan">
      <formula>1.6</formula>
    </cfRule>
    <cfRule type="cellIs" dxfId="898" priority="1063" operator="between">
      <formula>1.5</formula>
      <formula>1.6</formula>
    </cfRule>
    <cfRule type="cellIs" dxfId="897" priority="1064" operator="lessThan">
      <formula>1.5</formula>
    </cfRule>
  </conditionalFormatting>
  <conditionalFormatting sqref="B2200">
    <cfRule type="cellIs" dxfId="896" priority="756" operator="between">
      <formula>500</formula>
      <formula>10000</formula>
    </cfRule>
    <cfRule type="cellIs" dxfId="895" priority="757" operator="between">
      <formula>200</formula>
      <formula>499</formula>
    </cfRule>
    <cfRule type="cellIs" dxfId="894" priority="758" operator="between">
      <formula>1</formula>
      <formula>199</formula>
    </cfRule>
  </conditionalFormatting>
  <conditionalFormatting sqref="B2202">
    <cfRule type="cellIs" dxfId="893" priority="902" operator="greaterThan">
      <formula>50</formula>
    </cfRule>
    <cfRule type="cellIs" dxfId="892" priority="903" operator="between">
      <formula>35</formula>
      <formula>50</formula>
    </cfRule>
    <cfRule type="cellIs" dxfId="891" priority="904" operator="lessThan">
      <formula>35</formula>
    </cfRule>
  </conditionalFormatting>
  <conditionalFormatting sqref="B2203">
    <cfRule type="cellIs" dxfId="890" priority="899" operator="greaterThan">
      <formula>350</formula>
    </cfRule>
    <cfRule type="cellIs" dxfId="889" priority="900" operator="between">
      <formula>250</formula>
      <formula>350</formula>
    </cfRule>
    <cfRule type="cellIs" dxfId="888" priority="901" operator="lessThan">
      <formula>250</formula>
    </cfRule>
  </conditionalFormatting>
  <conditionalFormatting sqref="B2204">
    <cfRule type="cellIs" dxfId="887" priority="894" operator="lessThan">
      <formula>0.8</formula>
    </cfRule>
    <cfRule type="cellIs" dxfId="886" priority="895" operator="between">
      <formula>0.8</formula>
      <formula>0.99999</formula>
    </cfRule>
    <cfRule type="cellIs" dxfId="885" priority="896" operator="between">
      <formula>1</formula>
      <formula>1.3</formula>
    </cfRule>
    <cfRule type="cellIs" dxfId="884" priority="897" operator="between">
      <formula>1.3</formula>
      <formula>1.5</formula>
    </cfRule>
    <cfRule type="cellIs" dxfId="883" priority="898" operator="greaterThan">
      <formula>1.5</formula>
    </cfRule>
  </conditionalFormatting>
  <conditionalFormatting sqref="B2206">
    <cfRule type="cellIs" dxfId="882" priority="891" operator="greaterThan">
      <formula>1.6</formula>
    </cfRule>
    <cfRule type="cellIs" dxfId="881" priority="892" operator="between">
      <formula>1.5</formula>
      <formula>1.6</formula>
    </cfRule>
    <cfRule type="cellIs" dxfId="880" priority="893" operator="lessThan">
      <formula>1.5</formula>
    </cfRule>
  </conditionalFormatting>
  <conditionalFormatting sqref="B2207">
    <cfRule type="cellIs" dxfId="879" priority="753" operator="between">
      <formula>500</formula>
      <formula>10000</formula>
    </cfRule>
    <cfRule type="cellIs" dxfId="878" priority="754" operator="between">
      <formula>200</formula>
      <formula>499</formula>
    </cfRule>
    <cfRule type="cellIs" dxfId="877" priority="755" operator="between">
      <formula>1</formula>
      <formula>199</formula>
    </cfRule>
  </conditionalFormatting>
  <conditionalFormatting sqref="B2209 B2216">
    <cfRule type="cellIs" dxfId="876" priority="874" operator="greaterThan">
      <formula>50</formula>
    </cfRule>
    <cfRule type="cellIs" dxfId="875" priority="875" operator="between">
      <formula>35</formula>
      <formula>50</formula>
    </cfRule>
    <cfRule type="cellIs" dxfId="874" priority="876" operator="lessThan">
      <formula>35</formula>
    </cfRule>
  </conditionalFormatting>
  <conditionalFormatting sqref="B2210 B2217">
    <cfRule type="cellIs" dxfId="873" priority="871" operator="greaterThan">
      <formula>350</formula>
    </cfRule>
    <cfRule type="cellIs" dxfId="872" priority="872" operator="between">
      <formula>250</formula>
      <formula>350</formula>
    </cfRule>
    <cfRule type="cellIs" dxfId="871" priority="873" operator="lessThan">
      <formula>250</formula>
    </cfRule>
  </conditionalFormatting>
  <conditionalFormatting sqref="B2211 B2218">
    <cfRule type="cellIs" dxfId="870" priority="866" operator="lessThan">
      <formula>0.8</formula>
    </cfRule>
    <cfRule type="cellIs" dxfId="869" priority="867" operator="between">
      <formula>0.8</formula>
      <formula>0.99999</formula>
    </cfRule>
    <cfRule type="cellIs" dxfId="868" priority="868" operator="between">
      <formula>1</formula>
      <formula>1.3</formula>
    </cfRule>
    <cfRule type="cellIs" dxfId="867" priority="869" operator="between">
      <formula>1.3</formula>
      <formula>1.5</formula>
    </cfRule>
    <cfRule type="cellIs" dxfId="866" priority="870" operator="greaterThan">
      <formula>1.5</formula>
    </cfRule>
  </conditionalFormatting>
  <conditionalFormatting sqref="B2213 B2220">
    <cfRule type="cellIs" dxfId="865" priority="863" operator="greaterThan">
      <formula>1.6</formula>
    </cfRule>
    <cfRule type="cellIs" dxfId="864" priority="864" operator="between">
      <formula>1.5</formula>
      <formula>1.6</formula>
    </cfRule>
    <cfRule type="cellIs" dxfId="863" priority="865" operator="lessThan">
      <formula>1.5</formula>
    </cfRule>
  </conditionalFormatting>
  <conditionalFormatting sqref="B2214">
    <cfRule type="cellIs" dxfId="862" priority="750" operator="between">
      <formula>500</formula>
      <formula>10000</formula>
    </cfRule>
    <cfRule type="cellIs" dxfId="861" priority="751" operator="between">
      <formula>200</formula>
      <formula>499</formula>
    </cfRule>
    <cfRule type="cellIs" dxfId="860" priority="752" operator="between">
      <formula>1</formula>
      <formula>199</formula>
    </cfRule>
  </conditionalFormatting>
  <conditionalFormatting sqref="B2221">
    <cfRule type="cellIs" dxfId="859" priority="747" operator="between">
      <formula>500</formula>
      <formula>10000</formula>
    </cfRule>
    <cfRule type="cellIs" dxfId="858" priority="748" operator="between">
      <formula>200</formula>
      <formula>499</formula>
    </cfRule>
    <cfRule type="cellIs" dxfId="857" priority="749" operator="between">
      <formula>1</formula>
      <formula>199</formula>
    </cfRule>
  </conditionalFormatting>
  <conditionalFormatting sqref="B2223">
    <cfRule type="cellIs" dxfId="856" priority="860" operator="greaterThan">
      <formula>50</formula>
    </cfRule>
    <cfRule type="cellIs" dxfId="855" priority="861" operator="between">
      <formula>35</formula>
      <formula>50</formula>
    </cfRule>
    <cfRule type="cellIs" dxfId="854" priority="862" operator="lessThan">
      <formula>35</formula>
    </cfRule>
  </conditionalFormatting>
  <conditionalFormatting sqref="B2224">
    <cfRule type="cellIs" dxfId="853" priority="857" operator="greaterThan">
      <formula>350</formula>
    </cfRule>
    <cfRule type="cellIs" dxfId="852" priority="858" operator="between">
      <formula>250</formula>
      <formula>350</formula>
    </cfRule>
    <cfRule type="cellIs" dxfId="851" priority="859" operator="lessThan">
      <formula>250</formula>
    </cfRule>
  </conditionalFormatting>
  <conditionalFormatting sqref="B2225">
    <cfRule type="cellIs" dxfId="850" priority="852" operator="lessThan">
      <formula>0.8</formula>
    </cfRule>
    <cfRule type="cellIs" dxfId="849" priority="853" operator="between">
      <formula>0.8</formula>
      <formula>0.99999</formula>
    </cfRule>
    <cfRule type="cellIs" dxfId="848" priority="854" operator="between">
      <formula>1</formula>
      <formula>1.3</formula>
    </cfRule>
    <cfRule type="cellIs" dxfId="847" priority="855" operator="between">
      <formula>1.3</formula>
      <formula>1.5</formula>
    </cfRule>
    <cfRule type="cellIs" dxfId="846" priority="856" operator="greaterThan">
      <formula>1.5</formula>
    </cfRule>
  </conditionalFormatting>
  <conditionalFormatting sqref="B2227">
    <cfRule type="cellIs" dxfId="845" priority="849" operator="greaterThan">
      <formula>1.6</formula>
    </cfRule>
    <cfRule type="cellIs" dxfId="844" priority="850" operator="between">
      <formula>1.5</formula>
      <formula>1.6</formula>
    </cfRule>
    <cfRule type="cellIs" dxfId="843" priority="851" operator="lessThan">
      <formula>1.5</formula>
    </cfRule>
  </conditionalFormatting>
  <conditionalFormatting sqref="B2228">
    <cfRule type="cellIs" dxfId="842" priority="744" operator="between">
      <formula>500</formula>
      <formula>10000</formula>
    </cfRule>
    <cfRule type="cellIs" dxfId="841" priority="745" operator="between">
      <formula>200</formula>
      <formula>499</formula>
    </cfRule>
    <cfRule type="cellIs" dxfId="840" priority="746" operator="between">
      <formula>1</formula>
      <formula>199</formula>
    </cfRule>
  </conditionalFormatting>
  <conditionalFormatting sqref="B2230">
    <cfRule type="cellIs" dxfId="839" priority="846" operator="greaterThan">
      <formula>50</formula>
    </cfRule>
    <cfRule type="cellIs" dxfId="838" priority="847" operator="between">
      <formula>35</formula>
      <formula>50</formula>
    </cfRule>
    <cfRule type="cellIs" dxfId="837" priority="848" operator="lessThan">
      <formula>35</formula>
    </cfRule>
  </conditionalFormatting>
  <conditionalFormatting sqref="B2231">
    <cfRule type="cellIs" dxfId="836" priority="843" operator="greaterThan">
      <formula>350</formula>
    </cfRule>
    <cfRule type="cellIs" dxfId="835" priority="844" operator="between">
      <formula>250</formula>
      <formula>350</formula>
    </cfRule>
    <cfRule type="cellIs" dxfId="834" priority="845" operator="lessThan">
      <formula>250</formula>
    </cfRule>
  </conditionalFormatting>
  <conditionalFormatting sqref="B2232">
    <cfRule type="cellIs" dxfId="833" priority="838" operator="lessThan">
      <formula>0.8</formula>
    </cfRule>
    <cfRule type="cellIs" dxfId="832" priority="839" operator="between">
      <formula>0.8</formula>
      <formula>0.99999</formula>
    </cfRule>
    <cfRule type="cellIs" dxfId="831" priority="840" operator="between">
      <formula>1</formula>
      <formula>1.3</formula>
    </cfRule>
    <cfRule type="cellIs" dxfId="830" priority="841" operator="between">
      <formula>1.3</formula>
      <formula>1.5</formula>
    </cfRule>
    <cfRule type="cellIs" dxfId="829" priority="842" operator="greaterThan">
      <formula>1.5</formula>
    </cfRule>
  </conditionalFormatting>
  <conditionalFormatting sqref="B2234">
    <cfRule type="cellIs" dxfId="828" priority="835" operator="greaterThan">
      <formula>1.6</formula>
    </cfRule>
    <cfRule type="cellIs" dxfId="827" priority="836" operator="between">
      <formula>1.5</formula>
      <formula>1.6</formula>
    </cfRule>
    <cfRule type="cellIs" dxfId="826" priority="837" operator="lessThan">
      <formula>1.5</formula>
    </cfRule>
  </conditionalFormatting>
  <conditionalFormatting sqref="B2235">
    <cfRule type="cellIs" dxfId="825" priority="741" operator="between">
      <formula>500</formula>
      <formula>10000</formula>
    </cfRule>
    <cfRule type="cellIs" dxfId="824" priority="742" operator="between">
      <formula>200</formula>
      <formula>499</formula>
    </cfRule>
    <cfRule type="cellIs" dxfId="823" priority="743" operator="between">
      <formula>1</formula>
      <formula>199</formula>
    </cfRule>
  </conditionalFormatting>
  <conditionalFormatting sqref="B2237">
    <cfRule type="cellIs" dxfId="822" priority="832" operator="greaterThan">
      <formula>50</formula>
    </cfRule>
    <cfRule type="cellIs" dxfId="821" priority="833" operator="between">
      <formula>35</formula>
      <formula>50</formula>
    </cfRule>
    <cfRule type="cellIs" dxfId="820" priority="834" operator="lessThan">
      <formula>35</formula>
    </cfRule>
  </conditionalFormatting>
  <conditionalFormatting sqref="B2238">
    <cfRule type="cellIs" dxfId="819" priority="829" operator="greaterThan">
      <formula>350</formula>
    </cfRule>
    <cfRule type="cellIs" dxfId="818" priority="830" operator="between">
      <formula>250</formula>
      <formula>350</formula>
    </cfRule>
    <cfRule type="cellIs" dxfId="817" priority="831" operator="lessThan">
      <formula>250</formula>
    </cfRule>
  </conditionalFormatting>
  <conditionalFormatting sqref="B2239">
    <cfRule type="cellIs" dxfId="816" priority="824" operator="lessThan">
      <formula>0.8</formula>
    </cfRule>
    <cfRule type="cellIs" dxfId="815" priority="825" operator="between">
      <formula>0.8</formula>
      <formula>0.99999</formula>
    </cfRule>
    <cfRule type="cellIs" dxfId="814" priority="826" operator="between">
      <formula>1</formula>
      <formula>1.3</formula>
    </cfRule>
    <cfRule type="cellIs" dxfId="813" priority="827" operator="between">
      <formula>1.3</formula>
      <formula>1.5</formula>
    </cfRule>
    <cfRule type="cellIs" dxfId="812" priority="828" operator="greaterThan">
      <formula>1.5</formula>
    </cfRule>
  </conditionalFormatting>
  <conditionalFormatting sqref="B2241">
    <cfRule type="cellIs" dxfId="811" priority="821" operator="greaterThan">
      <formula>1.6</formula>
    </cfRule>
    <cfRule type="cellIs" dxfId="810" priority="822" operator="between">
      <formula>1.5</formula>
      <formula>1.6</formula>
    </cfRule>
    <cfRule type="cellIs" dxfId="809" priority="823" operator="lessThan">
      <formula>1.5</formula>
    </cfRule>
  </conditionalFormatting>
  <conditionalFormatting sqref="B2242">
    <cfRule type="cellIs" dxfId="808" priority="738" operator="between">
      <formula>500</formula>
      <formula>10000</formula>
    </cfRule>
    <cfRule type="cellIs" dxfId="807" priority="739" operator="between">
      <formula>200</formula>
      <formula>499</formula>
    </cfRule>
    <cfRule type="cellIs" dxfId="806" priority="740" operator="between">
      <formula>1</formula>
      <formula>199</formula>
    </cfRule>
  </conditionalFormatting>
  <conditionalFormatting sqref="B2244">
    <cfRule type="cellIs" dxfId="805" priority="818" operator="greaterThan">
      <formula>50</formula>
    </cfRule>
    <cfRule type="cellIs" dxfId="804" priority="819" operator="between">
      <formula>35</formula>
      <formula>50</formula>
    </cfRule>
    <cfRule type="cellIs" dxfId="803" priority="820" operator="lessThan">
      <formula>35</formula>
    </cfRule>
  </conditionalFormatting>
  <conditionalFormatting sqref="B2245">
    <cfRule type="cellIs" dxfId="802" priority="815" operator="greaterThan">
      <formula>350</formula>
    </cfRule>
    <cfRule type="cellIs" dxfId="801" priority="816" operator="between">
      <formula>250</formula>
      <formula>350</formula>
    </cfRule>
    <cfRule type="cellIs" dxfId="800" priority="817" operator="lessThan">
      <formula>250</formula>
    </cfRule>
  </conditionalFormatting>
  <conditionalFormatting sqref="B2246">
    <cfRule type="cellIs" dxfId="799" priority="810" operator="lessThan">
      <formula>0.8</formula>
    </cfRule>
    <cfRule type="cellIs" dxfId="798" priority="811" operator="between">
      <formula>0.8</formula>
      <formula>0.99999</formula>
    </cfRule>
    <cfRule type="cellIs" dxfId="797" priority="812" operator="between">
      <formula>1</formula>
      <formula>1.3</formula>
    </cfRule>
    <cfRule type="cellIs" dxfId="796" priority="813" operator="between">
      <formula>1.3</formula>
      <formula>1.5</formula>
    </cfRule>
    <cfRule type="cellIs" dxfId="795" priority="814" operator="greaterThan">
      <formula>1.5</formula>
    </cfRule>
  </conditionalFormatting>
  <conditionalFormatting sqref="B2248">
    <cfRule type="cellIs" dxfId="794" priority="807" operator="greaterThan">
      <formula>1.6</formula>
    </cfRule>
    <cfRule type="cellIs" dxfId="793" priority="808" operator="between">
      <formula>1.5</formula>
      <formula>1.6</formula>
    </cfRule>
    <cfRule type="cellIs" dxfId="792" priority="809" operator="lessThan">
      <formula>1.5</formula>
    </cfRule>
  </conditionalFormatting>
  <conditionalFormatting sqref="B2249">
    <cfRule type="cellIs" dxfId="791" priority="735" operator="between">
      <formula>500</formula>
      <formula>10000</formula>
    </cfRule>
    <cfRule type="cellIs" dxfId="790" priority="736" operator="between">
      <formula>200</formula>
      <formula>499</formula>
    </cfRule>
    <cfRule type="cellIs" dxfId="789" priority="737" operator="between">
      <formula>1</formula>
      <formula>199</formula>
    </cfRule>
  </conditionalFormatting>
  <conditionalFormatting sqref="B2251">
    <cfRule type="cellIs" dxfId="788" priority="804" operator="greaterThan">
      <formula>50</formula>
    </cfRule>
    <cfRule type="cellIs" dxfId="787" priority="805" operator="between">
      <formula>35</formula>
      <formula>50</formula>
    </cfRule>
    <cfRule type="cellIs" dxfId="786" priority="806" operator="lessThan">
      <formula>35</formula>
    </cfRule>
  </conditionalFormatting>
  <conditionalFormatting sqref="B2252">
    <cfRule type="cellIs" dxfId="785" priority="801" operator="greaterThan">
      <formula>350</formula>
    </cfRule>
    <cfRule type="cellIs" dxfId="784" priority="802" operator="between">
      <formula>250</formula>
      <formula>350</formula>
    </cfRule>
    <cfRule type="cellIs" dxfId="783" priority="803" operator="lessThan">
      <formula>250</formula>
    </cfRule>
  </conditionalFormatting>
  <conditionalFormatting sqref="B2253">
    <cfRule type="cellIs" dxfId="782" priority="796" operator="lessThan">
      <formula>0.8</formula>
    </cfRule>
    <cfRule type="cellIs" dxfId="781" priority="797" operator="between">
      <formula>0.8</formula>
      <formula>0.99999</formula>
    </cfRule>
    <cfRule type="cellIs" dxfId="780" priority="798" operator="between">
      <formula>1</formula>
      <formula>1.3</formula>
    </cfRule>
    <cfRule type="cellIs" dxfId="779" priority="799" operator="between">
      <formula>1.3</formula>
      <formula>1.5</formula>
    </cfRule>
    <cfRule type="cellIs" dxfId="778" priority="800" operator="greaterThan">
      <formula>1.5</formula>
    </cfRule>
  </conditionalFormatting>
  <conditionalFormatting sqref="B2255">
    <cfRule type="cellIs" dxfId="777" priority="793" operator="greaterThan">
      <formula>1.6</formula>
    </cfRule>
    <cfRule type="cellIs" dxfId="776" priority="794" operator="between">
      <formula>1.5</formula>
      <formula>1.6</formula>
    </cfRule>
    <cfRule type="cellIs" dxfId="775" priority="795" operator="lessThan">
      <formula>1.5</formula>
    </cfRule>
  </conditionalFormatting>
  <conditionalFormatting sqref="B2256">
    <cfRule type="cellIs" dxfId="774" priority="732" operator="between">
      <formula>500</formula>
      <formula>10000</formula>
    </cfRule>
    <cfRule type="cellIs" dxfId="773" priority="733" operator="between">
      <formula>200</formula>
      <formula>499</formula>
    </cfRule>
    <cfRule type="cellIs" dxfId="772" priority="734" operator="between">
      <formula>1</formula>
      <formula>199</formula>
    </cfRule>
  </conditionalFormatting>
  <conditionalFormatting sqref="B2258">
    <cfRule type="cellIs" dxfId="771" priority="790" operator="greaterThan">
      <formula>50</formula>
    </cfRule>
    <cfRule type="cellIs" dxfId="770" priority="791" operator="between">
      <formula>35</formula>
      <formula>50</formula>
    </cfRule>
    <cfRule type="cellIs" dxfId="769" priority="792" operator="lessThan">
      <formula>35</formula>
    </cfRule>
  </conditionalFormatting>
  <conditionalFormatting sqref="B2259">
    <cfRule type="cellIs" dxfId="768" priority="787" operator="greaterThan">
      <formula>350</formula>
    </cfRule>
    <cfRule type="cellIs" dxfId="767" priority="788" operator="between">
      <formula>250</formula>
      <formula>350</formula>
    </cfRule>
    <cfRule type="cellIs" dxfId="766" priority="789" operator="lessThan">
      <formula>250</formula>
    </cfRule>
  </conditionalFormatting>
  <conditionalFormatting sqref="B2260">
    <cfRule type="cellIs" dxfId="765" priority="782" operator="lessThan">
      <formula>0.8</formula>
    </cfRule>
    <cfRule type="cellIs" dxfId="764" priority="783" operator="between">
      <formula>0.8</formula>
      <formula>0.99999</formula>
    </cfRule>
    <cfRule type="cellIs" dxfId="763" priority="784" operator="between">
      <formula>1</formula>
      <formula>1.3</formula>
    </cfRule>
    <cfRule type="cellIs" dxfId="762" priority="785" operator="between">
      <formula>1.3</formula>
      <formula>1.5</formula>
    </cfRule>
    <cfRule type="cellIs" dxfId="761" priority="786" operator="greaterThan">
      <formula>1.5</formula>
    </cfRule>
  </conditionalFormatting>
  <conditionalFormatting sqref="B2262">
    <cfRule type="cellIs" dxfId="760" priority="779" operator="greaterThan">
      <formula>1.6</formula>
    </cfRule>
    <cfRule type="cellIs" dxfId="759" priority="780" operator="between">
      <formula>1.5</formula>
      <formula>1.6</formula>
    </cfRule>
    <cfRule type="cellIs" dxfId="758" priority="781" operator="lessThan">
      <formula>1.5</formula>
    </cfRule>
  </conditionalFormatting>
  <conditionalFormatting sqref="B2263">
    <cfRule type="cellIs" dxfId="757" priority="729" operator="between">
      <formula>500</formula>
      <formula>10000</formula>
    </cfRule>
    <cfRule type="cellIs" dxfId="756" priority="730" operator="between">
      <formula>200</formula>
      <formula>499</formula>
    </cfRule>
    <cfRule type="cellIs" dxfId="755" priority="731" operator="between">
      <formula>1</formula>
      <formula>199</formula>
    </cfRule>
  </conditionalFormatting>
  <conditionalFormatting sqref="B2265">
    <cfRule type="cellIs" dxfId="754" priority="776" operator="greaterThan">
      <formula>50</formula>
    </cfRule>
    <cfRule type="cellIs" dxfId="753" priority="777" operator="between">
      <formula>35</formula>
      <formula>50</formula>
    </cfRule>
    <cfRule type="cellIs" dxfId="752" priority="778" operator="lessThan">
      <formula>35</formula>
    </cfRule>
  </conditionalFormatting>
  <conditionalFormatting sqref="B2266">
    <cfRule type="cellIs" dxfId="751" priority="773" operator="greaterThan">
      <formula>350</formula>
    </cfRule>
    <cfRule type="cellIs" dxfId="750" priority="774" operator="between">
      <formula>250</formula>
      <formula>350</formula>
    </cfRule>
    <cfRule type="cellIs" dxfId="749" priority="775" operator="lessThan">
      <formula>250</formula>
    </cfRule>
  </conditionalFormatting>
  <conditionalFormatting sqref="B2267">
    <cfRule type="cellIs" dxfId="748" priority="768" operator="lessThan">
      <formula>0.8</formula>
    </cfRule>
    <cfRule type="cellIs" dxfId="747" priority="769" operator="between">
      <formula>0.8</formula>
      <formula>0.99999</formula>
    </cfRule>
    <cfRule type="cellIs" dxfId="746" priority="770" operator="between">
      <formula>1</formula>
      <formula>1.3</formula>
    </cfRule>
    <cfRule type="cellIs" dxfId="745" priority="771" operator="between">
      <formula>1.3</formula>
      <formula>1.5</formula>
    </cfRule>
    <cfRule type="cellIs" dxfId="744" priority="772" operator="greaterThan">
      <formula>1.5</formula>
    </cfRule>
  </conditionalFormatting>
  <conditionalFormatting sqref="B2269">
    <cfRule type="cellIs" dxfId="743" priority="765" operator="greaterThan">
      <formula>1.6</formula>
    </cfRule>
    <cfRule type="cellIs" dxfId="742" priority="766" operator="between">
      <formula>1.5</formula>
      <formula>1.6</formula>
    </cfRule>
    <cfRule type="cellIs" dxfId="741" priority="767" operator="lessThan">
      <formula>1.5</formula>
    </cfRule>
  </conditionalFormatting>
  <conditionalFormatting sqref="B2270">
    <cfRule type="cellIs" dxfId="740" priority="726" operator="between">
      <formula>500</formula>
      <formula>10000</formula>
    </cfRule>
    <cfRule type="cellIs" dxfId="739" priority="727" operator="between">
      <formula>200</formula>
      <formula>499</formula>
    </cfRule>
    <cfRule type="cellIs" dxfId="738" priority="728" operator="between">
      <formula>1</formula>
      <formula>199</formula>
    </cfRule>
  </conditionalFormatting>
  <conditionalFormatting sqref="B2272">
    <cfRule type="cellIs" dxfId="737" priority="723" operator="greaterThan">
      <formula>50</formula>
    </cfRule>
    <cfRule type="cellIs" dxfId="736" priority="724" operator="between">
      <formula>35</formula>
      <formula>50</formula>
    </cfRule>
    <cfRule type="cellIs" dxfId="735" priority="725" operator="lessThan">
      <formula>35</formula>
    </cfRule>
  </conditionalFormatting>
  <conditionalFormatting sqref="B2273">
    <cfRule type="cellIs" dxfId="734" priority="720" operator="greaterThan">
      <formula>350</formula>
    </cfRule>
    <cfRule type="cellIs" dxfId="733" priority="721" operator="between">
      <formula>250</formula>
      <formula>350</formula>
    </cfRule>
    <cfRule type="cellIs" dxfId="732" priority="722" operator="lessThan">
      <formula>250</formula>
    </cfRule>
  </conditionalFormatting>
  <conditionalFormatting sqref="B2274">
    <cfRule type="cellIs" dxfId="731" priority="715" operator="lessThan">
      <formula>0.8</formula>
    </cfRule>
    <cfRule type="cellIs" dxfId="730" priority="716" operator="between">
      <formula>0.8</formula>
      <formula>0.99999</formula>
    </cfRule>
    <cfRule type="cellIs" dxfId="729" priority="717" operator="between">
      <formula>1</formula>
      <formula>1.3</formula>
    </cfRule>
    <cfRule type="cellIs" dxfId="728" priority="718" operator="between">
      <formula>1.3</formula>
      <formula>1.5</formula>
    </cfRule>
    <cfRule type="cellIs" dxfId="727" priority="719" operator="greaterThan">
      <formula>1.5</formula>
    </cfRule>
  </conditionalFormatting>
  <conditionalFormatting sqref="B2276">
    <cfRule type="cellIs" dxfId="726" priority="712" operator="greaterThan">
      <formula>1.6</formula>
    </cfRule>
    <cfRule type="cellIs" dxfId="725" priority="713" operator="between">
      <formula>1.5</formula>
      <formula>1.6</formula>
    </cfRule>
    <cfRule type="cellIs" dxfId="724" priority="714" operator="lessThan">
      <formula>1.5</formula>
    </cfRule>
  </conditionalFormatting>
  <conditionalFormatting sqref="B2277">
    <cfRule type="cellIs" dxfId="723" priority="709" operator="between">
      <formula>500</formula>
      <formula>10000</formula>
    </cfRule>
    <cfRule type="cellIs" dxfId="722" priority="710" operator="between">
      <formula>200</formula>
      <formula>499</formula>
    </cfRule>
    <cfRule type="cellIs" dxfId="721" priority="711" operator="between">
      <formula>1</formula>
      <formula>199</formula>
    </cfRule>
  </conditionalFormatting>
  <conditionalFormatting sqref="B2279">
    <cfRule type="cellIs" dxfId="720" priority="706" operator="greaterThan">
      <formula>50</formula>
    </cfRule>
    <cfRule type="cellIs" dxfId="719" priority="707" operator="between">
      <formula>35</formula>
      <formula>50</formula>
    </cfRule>
    <cfRule type="cellIs" dxfId="718" priority="708" operator="lessThan">
      <formula>35</formula>
    </cfRule>
  </conditionalFormatting>
  <conditionalFormatting sqref="B2280">
    <cfRule type="cellIs" dxfId="717" priority="703" operator="greaterThan">
      <formula>350</formula>
    </cfRule>
    <cfRule type="cellIs" dxfId="716" priority="704" operator="between">
      <formula>250</formula>
      <formula>350</formula>
    </cfRule>
    <cfRule type="cellIs" dxfId="715" priority="705" operator="lessThan">
      <formula>250</formula>
    </cfRule>
  </conditionalFormatting>
  <conditionalFormatting sqref="B2281">
    <cfRule type="cellIs" dxfId="714" priority="698" operator="lessThan">
      <formula>0.8</formula>
    </cfRule>
    <cfRule type="cellIs" dxfId="713" priority="699" operator="between">
      <formula>0.8</formula>
      <formula>0.99999</formula>
    </cfRule>
    <cfRule type="cellIs" dxfId="712" priority="700" operator="between">
      <formula>1</formula>
      <formula>1.3</formula>
    </cfRule>
    <cfRule type="cellIs" dxfId="711" priority="701" operator="between">
      <formula>1.3</formula>
      <formula>1.5</formula>
    </cfRule>
    <cfRule type="cellIs" dxfId="710" priority="702" operator="greaterThan">
      <formula>1.5</formula>
    </cfRule>
  </conditionalFormatting>
  <conditionalFormatting sqref="B2283">
    <cfRule type="cellIs" dxfId="709" priority="695" operator="greaterThan">
      <formula>1.6</formula>
    </cfRule>
    <cfRule type="cellIs" dxfId="708" priority="696" operator="between">
      <formula>1.5</formula>
      <formula>1.6</formula>
    </cfRule>
    <cfRule type="cellIs" dxfId="707" priority="697" operator="lessThan">
      <formula>1.5</formula>
    </cfRule>
  </conditionalFormatting>
  <conditionalFormatting sqref="B2284">
    <cfRule type="cellIs" dxfId="706" priority="692" operator="between">
      <formula>500</formula>
      <formula>10000</formula>
    </cfRule>
    <cfRule type="cellIs" dxfId="705" priority="693" operator="between">
      <formula>200</formula>
      <formula>499</formula>
    </cfRule>
    <cfRule type="cellIs" dxfId="704" priority="694" operator="between">
      <formula>1</formula>
      <formula>199</formula>
    </cfRule>
  </conditionalFormatting>
  <conditionalFormatting sqref="B2286">
    <cfRule type="cellIs" dxfId="703" priority="689" operator="greaterThan">
      <formula>50</formula>
    </cfRule>
    <cfRule type="cellIs" dxfId="702" priority="690" operator="between">
      <formula>35</formula>
      <formula>50</formula>
    </cfRule>
    <cfRule type="cellIs" dxfId="701" priority="691" operator="lessThan">
      <formula>35</formula>
    </cfRule>
  </conditionalFormatting>
  <conditionalFormatting sqref="B2287">
    <cfRule type="cellIs" dxfId="700" priority="686" operator="greaterThan">
      <formula>350</formula>
    </cfRule>
    <cfRule type="cellIs" dxfId="699" priority="687" operator="between">
      <formula>250</formula>
      <formula>350</formula>
    </cfRule>
    <cfRule type="cellIs" dxfId="698" priority="688" operator="lessThan">
      <formula>250</formula>
    </cfRule>
  </conditionalFormatting>
  <conditionalFormatting sqref="B2288">
    <cfRule type="cellIs" dxfId="697" priority="681" operator="lessThan">
      <formula>0.8</formula>
    </cfRule>
    <cfRule type="cellIs" dxfId="696" priority="682" operator="between">
      <formula>0.8</formula>
      <formula>0.99999</formula>
    </cfRule>
    <cfRule type="cellIs" dxfId="695" priority="683" operator="between">
      <formula>1</formula>
      <formula>1.3</formula>
    </cfRule>
    <cfRule type="cellIs" dxfId="694" priority="684" operator="between">
      <formula>1.3</formula>
      <formula>1.5</formula>
    </cfRule>
    <cfRule type="cellIs" dxfId="693" priority="685" operator="greaterThan">
      <formula>1.5</formula>
    </cfRule>
  </conditionalFormatting>
  <conditionalFormatting sqref="B2290">
    <cfRule type="cellIs" dxfId="692" priority="678" operator="greaterThan">
      <formula>1.6</formula>
    </cfRule>
    <cfRule type="cellIs" dxfId="691" priority="679" operator="between">
      <formula>1.5</formula>
      <formula>1.6</formula>
    </cfRule>
    <cfRule type="cellIs" dxfId="690" priority="680" operator="lessThan">
      <formula>1.5</formula>
    </cfRule>
  </conditionalFormatting>
  <conditionalFormatting sqref="B2291">
    <cfRule type="cellIs" dxfId="689" priority="675" operator="between">
      <formula>500</formula>
      <formula>10000</formula>
    </cfRule>
    <cfRule type="cellIs" dxfId="688" priority="676" operator="between">
      <formula>200</formula>
      <formula>499</formula>
    </cfRule>
    <cfRule type="cellIs" dxfId="687" priority="677" operator="between">
      <formula>1</formula>
      <formula>199</formula>
    </cfRule>
  </conditionalFormatting>
  <conditionalFormatting sqref="B2293">
    <cfRule type="cellIs" dxfId="686" priority="672" operator="greaterThan">
      <formula>50</formula>
    </cfRule>
    <cfRule type="cellIs" dxfId="685" priority="673" operator="between">
      <formula>35</formula>
      <formula>50</formula>
    </cfRule>
    <cfRule type="cellIs" dxfId="684" priority="674" operator="lessThan">
      <formula>35</formula>
    </cfRule>
  </conditionalFormatting>
  <conditionalFormatting sqref="B2294">
    <cfRule type="cellIs" dxfId="683" priority="669" operator="greaterThan">
      <formula>350</formula>
    </cfRule>
    <cfRule type="cellIs" dxfId="682" priority="670" operator="between">
      <formula>250</formula>
      <formula>350</formula>
    </cfRule>
    <cfRule type="cellIs" dxfId="681" priority="671" operator="lessThan">
      <formula>250</formula>
    </cfRule>
  </conditionalFormatting>
  <conditionalFormatting sqref="B2295">
    <cfRule type="cellIs" dxfId="680" priority="664" operator="lessThan">
      <formula>0.8</formula>
    </cfRule>
    <cfRule type="cellIs" dxfId="679" priority="665" operator="between">
      <formula>0.8</formula>
      <formula>0.99999</formula>
    </cfRule>
    <cfRule type="cellIs" dxfId="678" priority="666" operator="between">
      <formula>1</formula>
      <formula>1.3</formula>
    </cfRule>
    <cfRule type="cellIs" dxfId="677" priority="667" operator="between">
      <formula>1.3</formula>
      <formula>1.5</formula>
    </cfRule>
    <cfRule type="cellIs" dxfId="676" priority="668" operator="greaterThan">
      <formula>1.5</formula>
    </cfRule>
  </conditionalFormatting>
  <conditionalFormatting sqref="B2297">
    <cfRule type="cellIs" dxfId="675" priority="661" operator="greaterThan">
      <formula>1.6</formula>
    </cfRule>
    <cfRule type="cellIs" dxfId="674" priority="662" operator="between">
      <formula>1.5</formula>
      <formula>1.6</formula>
    </cfRule>
    <cfRule type="cellIs" dxfId="673" priority="663" operator="lessThan">
      <formula>1.5</formula>
    </cfRule>
  </conditionalFormatting>
  <conditionalFormatting sqref="B2298">
    <cfRule type="cellIs" dxfId="672" priority="658" operator="between">
      <formula>500</formula>
      <formula>10000</formula>
    </cfRule>
    <cfRule type="cellIs" dxfId="671" priority="659" operator="between">
      <formula>200</formula>
      <formula>499</formula>
    </cfRule>
    <cfRule type="cellIs" dxfId="670" priority="660" operator="between">
      <formula>1</formula>
      <formula>199</formula>
    </cfRule>
  </conditionalFormatting>
  <conditionalFormatting sqref="B2300">
    <cfRule type="cellIs" dxfId="669" priority="655" operator="greaterThan">
      <formula>50</formula>
    </cfRule>
    <cfRule type="cellIs" dxfId="668" priority="656" operator="between">
      <formula>35</formula>
      <formula>50</formula>
    </cfRule>
    <cfRule type="cellIs" dxfId="667" priority="657" operator="lessThan">
      <formula>35</formula>
    </cfRule>
  </conditionalFormatting>
  <conditionalFormatting sqref="B2301">
    <cfRule type="cellIs" dxfId="666" priority="652" operator="greaterThan">
      <formula>350</formula>
    </cfRule>
    <cfRule type="cellIs" dxfId="665" priority="653" operator="between">
      <formula>250</formula>
      <formula>350</formula>
    </cfRule>
    <cfRule type="cellIs" dxfId="664" priority="654" operator="lessThan">
      <formula>250</formula>
    </cfRule>
  </conditionalFormatting>
  <conditionalFormatting sqref="B2302">
    <cfRule type="cellIs" dxfId="663" priority="647" operator="lessThan">
      <formula>0.8</formula>
    </cfRule>
    <cfRule type="cellIs" dxfId="662" priority="648" operator="between">
      <formula>0.8</formula>
      <formula>0.99999</formula>
    </cfRule>
    <cfRule type="cellIs" dxfId="661" priority="649" operator="between">
      <formula>1</formula>
      <formula>1.3</formula>
    </cfRule>
    <cfRule type="cellIs" dxfId="660" priority="650" operator="between">
      <formula>1.3</formula>
      <formula>1.5</formula>
    </cfRule>
    <cfRule type="cellIs" dxfId="659" priority="651" operator="greaterThan">
      <formula>1.5</formula>
    </cfRule>
  </conditionalFormatting>
  <conditionalFormatting sqref="B2304">
    <cfRule type="cellIs" dxfId="658" priority="644" operator="greaterThan">
      <formula>1.6</formula>
    </cfRule>
    <cfRule type="cellIs" dxfId="657" priority="645" operator="between">
      <formula>1.5</formula>
      <formula>1.6</formula>
    </cfRule>
    <cfRule type="cellIs" dxfId="656" priority="646" operator="lessThan">
      <formula>1.5</formula>
    </cfRule>
  </conditionalFormatting>
  <conditionalFormatting sqref="B2305">
    <cfRule type="cellIs" dxfId="655" priority="641" operator="between">
      <formula>500</formula>
      <formula>10000</formula>
    </cfRule>
    <cfRule type="cellIs" dxfId="654" priority="642" operator="between">
      <formula>200</formula>
      <formula>499</formula>
    </cfRule>
    <cfRule type="cellIs" dxfId="653" priority="643" operator="between">
      <formula>1</formula>
      <formula>199</formula>
    </cfRule>
  </conditionalFormatting>
  <conditionalFormatting sqref="B2307">
    <cfRule type="cellIs" dxfId="652" priority="638" operator="greaterThan">
      <formula>50</formula>
    </cfRule>
    <cfRule type="cellIs" dxfId="651" priority="639" operator="between">
      <formula>35</formula>
      <formula>50</formula>
    </cfRule>
    <cfRule type="cellIs" dxfId="650" priority="640" operator="lessThan">
      <formula>35</formula>
    </cfRule>
  </conditionalFormatting>
  <conditionalFormatting sqref="B2308">
    <cfRule type="cellIs" dxfId="649" priority="635" operator="greaterThan">
      <formula>350</formula>
    </cfRule>
    <cfRule type="cellIs" dxfId="648" priority="636" operator="between">
      <formula>250</formula>
      <formula>350</formula>
    </cfRule>
    <cfRule type="cellIs" dxfId="647" priority="637" operator="lessThan">
      <formula>250</formula>
    </cfRule>
  </conditionalFormatting>
  <conditionalFormatting sqref="B2309">
    <cfRule type="cellIs" dxfId="646" priority="630" operator="lessThan">
      <formula>0.8</formula>
    </cfRule>
    <cfRule type="cellIs" dxfId="645" priority="631" operator="between">
      <formula>0.8</formula>
      <formula>0.99999</formula>
    </cfRule>
    <cfRule type="cellIs" dxfId="644" priority="632" operator="between">
      <formula>1</formula>
      <formula>1.3</formula>
    </cfRule>
    <cfRule type="cellIs" dxfId="643" priority="633" operator="between">
      <formula>1.3</formula>
      <formula>1.5</formula>
    </cfRule>
    <cfRule type="cellIs" dxfId="642" priority="634" operator="greaterThan">
      <formula>1.5</formula>
    </cfRule>
  </conditionalFormatting>
  <conditionalFormatting sqref="B2311">
    <cfRule type="cellIs" dxfId="641" priority="627" operator="greaterThan">
      <formula>1.6</formula>
    </cfRule>
    <cfRule type="cellIs" dxfId="640" priority="628" operator="between">
      <formula>1.5</formula>
      <formula>1.6</formula>
    </cfRule>
    <cfRule type="cellIs" dxfId="639" priority="629" operator="lessThan">
      <formula>1.5</formula>
    </cfRule>
  </conditionalFormatting>
  <conditionalFormatting sqref="B2312">
    <cfRule type="cellIs" dxfId="638" priority="624" operator="between">
      <formula>500</formula>
      <formula>10000</formula>
    </cfRule>
    <cfRule type="cellIs" dxfId="637" priority="625" operator="between">
      <formula>200</formula>
      <formula>499</formula>
    </cfRule>
    <cfRule type="cellIs" dxfId="636" priority="626" operator="between">
      <formula>1</formula>
      <formula>199</formula>
    </cfRule>
  </conditionalFormatting>
  <conditionalFormatting sqref="B2314">
    <cfRule type="cellIs" dxfId="635" priority="621" operator="greaterThan">
      <formula>50</formula>
    </cfRule>
    <cfRule type="cellIs" dxfId="634" priority="622" operator="between">
      <formula>35</formula>
      <formula>50</formula>
    </cfRule>
    <cfRule type="cellIs" dxfId="633" priority="623" operator="lessThan">
      <formula>35</formula>
    </cfRule>
  </conditionalFormatting>
  <conditionalFormatting sqref="B2315">
    <cfRule type="cellIs" dxfId="632" priority="618" operator="greaterThan">
      <formula>350</formula>
    </cfRule>
    <cfRule type="cellIs" dxfId="631" priority="619" operator="between">
      <formula>250</formula>
      <formula>350</formula>
    </cfRule>
    <cfRule type="cellIs" dxfId="630" priority="620" operator="lessThan">
      <formula>250</formula>
    </cfRule>
  </conditionalFormatting>
  <conditionalFormatting sqref="B2316">
    <cfRule type="cellIs" dxfId="629" priority="613" operator="lessThan">
      <formula>0.8</formula>
    </cfRule>
    <cfRule type="cellIs" dxfId="628" priority="614" operator="between">
      <formula>0.8</formula>
      <formula>0.99999</formula>
    </cfRule>
    <cfRule type="cellIs" dxfId="627" priority="615" operator="between">
      <formula>1</formula>
      <formula>1.3</formula>
    </cfRule>
    <cfRule type="cellIs" dxfId="626" priority="616" operator="between">
      <formula>1.3</formula>
      <formula>1.5</formula>
    </cfRule>
    <cfRule type="cellIs" dxfId="625" priority="617" operator="greaterThan">
      <formula>1.5</formula>
    </cfRule>
  </conditionalFormatting>
  <conditionalFormatting sqref="B2318">
    <cfRule type="cellIs" dxfId="624" priority="610" operator="greaterThan">
      <formula>1.6</formula>
    </cfRule>
    <cfRule type="cellIs" dxfId="623" priority="611" operator="between">
      <formula>1.5</formula>
      <formula>1.6</formula>
    </cfRule>
    <cfRule type="cellIs" dxfId="622" priority="612" operator="lessThan">
      <formula>1.5</formula>
    </cfRule>
  </conditionalFormatting>
  <conditionalFormatting sqref="B2319">
    <cfRule type="cellIs" dxfId="621" priority="607" operator="between">
      <formula>500</formula>
      <formula>10000</formula>
    </cfRule>
    <cfRule type="cellIs" dxfId="620" priority="608" operator="between">
      <formula>200</formula>
      <formula>499</formula>
    </cfRule>
    <cfRule type="cellIs" dxfId="619" priority="609" operator="between">
      <formula>1</formula>
      <formula>199</formula>
    </cfRule>
  </conditionalFormatting>
  <conditionalFormatting sqref="B2321">
    <cfRule type="cellIs" dxfId="618" priority="604" operator="greaterThan">
      <formula>50</formula>
    </cfRule>
    <cfRule type="cellIs" dxfId="617" priority="605" operator="between">
      <formula>35</formula>
      <formula>50</formula>
    </cfRule>
    <cfRule type="cellIs" dxfId="616" priority="606" operator="lessThan">
      <formula>35</formula>
    </cfRule>
  </conditionalFormatting>
  <conditionalFormatting sqref="B2322">
    <cfRule type="cellIs" dxfId="615" priority="601" operator="greaterThan">
      <formula>350</formula>
    </cfRule>
    <cfRule type="cellIs" dxfId="614" priority="602" operator="between">
      <formula>250</formula>
      <formula>350</formula>
    </cfRule>
    <cfRule type="cellIs" dxfId="613" priority="603" operator="lessThan">
      <formula>250</formula>
    </cfRule>
  </conditionalFormatting>
  <conditionalFormatting sqref="B2323">
    <cfRule type="cellIs" dxfId="612" priority="596" operator="lessThan">
      <formula>0.8</formula>
    </cfRule>
    <cfRule type="cellIs" dxfId="611" priority="597" operator="between">
      <formula>0.8</formula>
      <formula>0.99999</formula>
    </cfRule>
    <cfRule type="cellIs" dxfId="610" priority="598" operator="between">
      <formula>1</formula>
      <formula>1.3</formula>
    </cfRule>
    <cfRule type="cellIs" dxfId="609" priority="599" operator="between">
      <formula>1.3</formula>
      <formula>1.5</formula>
    </cfRule>
    <cfRule type="cellIs" dxfId="608" priority="600" operator="greaterThan">
      <formula>1.5</formula>
    </cfRule>
  </conditionalFormatting>
  <conditionalFormatting sqref="B2325">
    <cfRule type="cellIs" dxfId="607" priority="593" operator="greaterThan">
      <formula>1.6</formula>
    </cfRule>
    <cfRule type="cellIs" dxfId="606" priority="594" operator="between">
      <formula>1.5</formula>
      <formula>1.6</formula>
    </cfRule>
    <cfRule type="cellIs" dxfId="605" priority="595" operator="lessThan">
      <formula>1.5</formula>
    </cfRule>
  </conditionalFormatting>
  <conditionalFormatting sqref="B2326">
    <cfRule type="cellIs" dxfId="604" priority="590" operator="between">
      <formula>500</formula>
      <formula>10000</formula>
    </cfRule>
    <cfRule type="cellIs" dxfId="603" priority="591" operator="between">
      <formula>200</formula>
      <formula>499</formula>
    </cfRule>
    <cfRule type="cellIs" dxfId="602" priority="592" operator="between">
      <formula>1</formula>
      <formula>199</formula>
    </cfRule>
  </conditionalFormatting>
  <conditionalFormatting sqref="B2328">
    <cfRule type="cellIs" dxfId="601" priority="587" operator="greaterThan">
      <formula>50</formula>
    </cfRule>
    <cfRule type="cellIs" dxfId="600" priority="588" operator="between">
      <formula>35</formula>
      <formula>50</formula>
    </cfRule>
    <cfRule type="cellIs" dxfId="599" priority="589" operator="lessThan">
      <formula>35</formula>
    </cfRule>
  </conditionalFormatting>
  <conditionalFormatting sqref="B2329">
    <cfRule type="cellIs" dxfId="598" priority="584" operator="greaterThan">
      <formula>350</formula>
    </cfRule>
    <cfRule type="cellIs" dxfId="597" priority="585" operator="between">
      <formula>250</formula>
      <formula>350</formula>
    </cfRule>
    <cfRule type="cellIs" dxfId="596" priority="586" operator="lessThan">
      <formula>250</formula>
    </cfRule>
  </conditionalFormatting>
  <conditionalFormatting sqref="B2330">
    <cfRule type="cellIs" dxfId="595" priority="579" operator="lessThan">
      <formula>0.8</formula>
    </cfRule>
    <cfRule type="cellIs" dxfId="594" priority="580" operator="between">
      <formula>0.8</formula>
      <formula>0.99999</formula>
    </cfRule>
    <cfRule type="cellIs" dxfId="593" priority="581" operator="between">
      <formula>1</formula>
      <formula>1.3</formula>
    </cfRule>
    <cfRule type="cellIs" dxfId="592" priority="582" operator="between">
      <formula>1.3</formula>
      <formula>1.5</formula>
    </cfRule>
    <cfRule type="cellIs" dxfId="591" priority="583" operator="greaterThan">
      <formula>1.5</formula>
    </cfRule>
  </conditionalFormatting>
  <conditionalFormatting sqref="B2332">
    <cfRule type="cellIs" dxfId="590" priority="576" operator="greaterThan">
      <formula>1.6</formula>
    </cfRule>
    <cfRule type="cellIs" dxfId="589" priority="577" operator="between">
      <formula>1.5</formula>
      <formula>1.6</formula>
    </cfRule>
    <cfRule type="cellIs" dxfId="588" priority="578" operator="lessThan">
      <formula>1.5</formula>
    </cfRule>
  </conditionalFormatting>
  <conditionalFormatting sqref="B2333">
    <cfRule type="cellIs" dxfId="587" priority="573" operator="between">
      <formula>500</formula>
      <formula>10000</formula>
    </cfRule>
    <cfRule type="cellIs" dxfId="586" priority="574" operator="between">
      <formula>200</formula>
      <formula>499</formula>
    </cfRule>
    <cfRule type="cellIs" dxfId="585" priority="575" operator="between">
      <formula>1</formula>
      <formula>199</formula>
    </cfRule>
  </conditionalFormatting>
  <conditionalFormatting sqref="B2335">
    <cfRule type="cellIs" dxfId="584" priority="570" operator="greaterThan">
      <formula>50</formula>
    </cfRule>
    <cfRule type="cellIs" dxfId="583" priority="571" operator="between">
      <formula>35</formula>
      <formula>50</formula>
    </cfRule>
    <cfRule type="cellIs" dxfId="582" priority="572" operator="lessThan">
      <formula>35</formula>
    </cfRule>
  </conditionalFormatting>
  <conditionalFormatting sqref="B2336">
    <cfRule type="cellIs" dxfId="581" priority="567" operator="greaterThan">
      <formula>350</formula>
    </cfRule>
    <cfRule type="cellIs" dxfId="580" priority="568" operator="between">
      <formula>250</formula>
      <formula>350</formula>
    </cfRule>
    <cfRule type="cellIs" dxfId="579" priority="569" operator="lessThan">
      <formula>250</formula>
    </cfRule>
  </conditionalFormatting>
  <conditionalFormatting sqref="B2337">
    <cfRule type="cellIs" dxfId="578" priority="562" operator="lessThan">
      <formula>0.8</formula>
    </cfRule>
    <cfRule type="cellIs" dxfId="577" priority="563" operator="between">
      <formula>0.8</formula>
      <formula>0.99999</formula>
    </cfRule>
    <cfRule type="cellIs" dxfId="576" priority="564" operator="between">
      <formula>1</formula>
      <formula>1.3</formula>
    </cfRule>
    <cfRule type="cellIs" dxfId="575" priority="565" operator="between">
      <formula>1.3</formula>
      <formula>1.5</formula>
    </cfRule>
    <cfRule type="cellIs" dxfId="574" priority="566" operator="greaterThan">
      <formula>1.5</formula>
    </cfRule>
  </conditionalFormatting>
  <conditionalFormatting sqref="B2339">
    <cfRule type="cellIs" dxfId="573" priority="559" operator="greaterThan">
      <formula>1.6</formula>
    </cfRule>
    <cfRule type="cellIs" dxfId="572" priority="560" operator="between">
      <formula>1.5</formula>
      <formula>1.6</formula>
    </cfRule>
    <cfRule type="cellIs" dxfId="571" priority="561" operator="lessThan">
      <formula>1.5</formula>
    </cfRule>
  </conditionalFormatting>
  <conditionalFormatting sqref="B2340">
    <cfRule type="cellIs" dxfId="570" priority="556" operator="between">
      <formula>500</formula>
      <formula>10000</formula>
    </cfRule>
    <cfRule type="cellIs" dxfId="569" priority="557" operator="between">
      <formula>200</formula>
      <formula>499</formula>
    </cfRule>
    <cfRule type="cellIs" dxfId="568" priority="558" operator="between">
      <formula>1</formula>
      <formula>199</formula>
    </cfRule>
  </conditionalFormatting>
  <conditionalFormatting sqref="B2342">
    <cfRule type="cellIs" dxfId="567" priority="553" operator="greaterThan">
      <formula>50</formula>
    </cfRule>
    <cfRule type="cellIs" dxfId="566" priority="554" operator="between">
      <formula>35</formula>
      <formula>50</formula>
    </cfRule>
    <cfRule type="cellIs" dxfId="565" priority="555" operator="lessThan">
      <formula>35</formula>
    </cfRule>
  </conditionalFormatting>
  <conditionalFormatting sqref="B2343">
    <cfRule type="cellIs" dxfId="564" priority="550" operator="greaterThan">
      <formula>350</formula>
    </cfRule>
    <cfRule type="cellIs" dxfId="563" priority="551" operator="between">
      <formula>250</formula>
      <formula>350</formula>
    </cfRule>
    <cfRule type="cellIs" dxfId="562" priority="552" operator="lessThan">
      <formula>250</formula>
    </cfRule>
  </conditionalFormatting>
  <conditionalFormatting sqref="B2344">
    <cfRule type="cellIs" dxfId="561" priority="545" operator="lessThan">
      <formula>0.8</formula>
    </cfRule>
    <cfRule type="cellIs" dxfId="560" priority="546" operator="between">
      <formula>0.8</formula>
      <formula>0.99999</formula>
    </cfRule>
    <cfRule type="cellIs" dxfId="559" priority="547" operator="between">
      <formula>1</formula>
      <formula>1.3</formula>
    </cfRule>
    <cfRule type="cellIs" dxfId="558" priority="548" operator="between">
      <formula>1.3</formula>
      <formula>1.5</formula>
    </cfRule>
    <cfRule type="cellIs" dxfId="557" priority="549" operator="greaterThan">
      <formula>1.5</formula>
    </cfRule>
  </conditionalFormatting>
  <conditionalFormatting sqref="B2346">
    <cfRule type="cellIs" dxfId="556" priority="542" operator="greaterThan">
      <formula>1.6</formula>
    </cfRule>
    <cfRule type="cellIs" dxfId="555" priority="543" operator="between">
      <formula>1.5</formula>
      <formula>1.6</formula>
    </cfRule>
    <cfRule type="cellIs" dxfId="554" priority="544" operator="lessThan">
      <formula>1.5</formula>
    </cfRule>
  </conditionalFormatting>
  <conditionalFormatting sqref="B2347">
    <cfRule type="cellIs" dxfId="553" priority="539" operator="between">
      <formula>500</formula>
      <formula>10000</formula>
    </cfRule>
    <cfRule type="cellIs" dxfId="552" priority="540" operator="between">
      <formula>200</formula>
      <formula>499</formula>
    </cfRule>
    <cfRule type="cellIs" dxfId="551" priority="541" operator="between">
      <formula>1</formula>
      <formula>199</formula>
    </cfRule>
  </conditionalFormatting>
  <conditionalFormatting sqref="B2349">
    <cfRule type="cellIs" dxfId="550" priority="536" operator="greaterThan">
      <formula>50</formula>
    </cfRule>
    <cfRule type="cellIs" dxfId="549" priority="537" operator="between">
      <formula>35</formula>
      <formula>50</formula>
    </cfRule>
    <cfRule type="cellIs" dxfId="548" priority="538" operator="lessThan">
      <formula>35</formula>
    </cfRule>
  </conditionalFormatting>
  <conditionalFormatting sqref="B2350">
    <cfRule type="cellIs" dxfId="547" priority="533" operator="greaterThan">
      <formula>350</formula>
    </cfRule>
    <cfRule type="cellIs" dxfId="546" priority="534" operator="between">
      <formula>250</formula>
      <formula>350</formula>
    </cfRule>
    <cfRule type="cellIs" dxfId="545" priority="535" operator="lessThan">
      <formula>250</formula>
    </cfRule>
  </conditionalFormatting>
  <conditionalFormatting sqref="B2351">
    <cfRule type="cellIs" dxfId="544" priority="528" operator="lessThan">
      <formula>0.8</formula>
    </cfRule>
    <cfRule type="cellIs" dxfId="543" priority="529" operator="between">
      <formula>0.8</formula>
      <formula>0.99999</formula>
    </cfRule>
    <cfRule type="cellIs" dxfId="542" priority="530" operator="between">
      <formula>1</formula>
      <formula>1.3</formula>
    </cfRule>
    <cfRule type="cellIs" dxfId="541" priority="531" operator="between">
      <formula>1.3</formula>
      <formula>1.5</formula>
    </cfRule>
    <cfRule type="cellIs" dxfId="540" priority="532" operator="greaterThan">
      <formula>1.5</formula>
    </cfRule>
  </conditionalFormatting>
  <conditionalFormatting sqref="B2353">
    <cfRule type="cellIs" dxfId="539" priority="525" operator="greaterThan">
      <formula>1.6</formula>
    </cfRule>
    <cfRule type="cellIs" dxfId="538" priority="526" operator="between">
      <formula>1.5</formula>
      <formula>1.6</formula>
    </cfRule>
    <cfRule type="cellIs" dxfId="537" priority="527" operator="lessThan">
      <formula>1.5</formula>
    </cfRule>
  </conditionalFormatting>
  <conditionalFormatting sqref="B2354">
    <cfRule type="cellIs" dxfId="536" priority="522" operator="between">
      <formula>500</formula>
      <formula>10000</formula>
    </cfRule>
    <cfRule type="cellIs" dxfId="535" priority="523" operator="between">
      <formula>200</formula>
      <formula>499</formula>
    </cfRule>
    <cfRule type="cellIs" dxfId="534" priority="524" operator="between">
      <formula>1</formula>
      <formula>199</formula>
    </cfRule>
  </conditionalFormatting>
  <conditionalFormatting sqref="B2356">
    <cfRule type="cellIs" dxfId="533" priority="519" operator="greaterThan">
      <formula>50</formula>
    </cfRule>
    <cfRule type="cellIs" dxfId="532" priority="520" operator="between">
      <formula>35</formula>
      <formula>50</formula>
    </cfRule>
    <cfRule type="cellIs" dxfId="531" priority="521" operator="lessThan">
      <formula>35</formula>
    </cfRule>
  </conditionalFormatting>
  <conditionalFormatting sqref="B2357">
    <cfRule type="cellIs" dxfId="530" priority="516" operator="greaterThan">
      <formula>350</formula>
    </cfRule>
    <cfRule type="cellIs" dxfId="529" priority="517" operator="between">
      <formula>250</formula>
      <formula>350</formula>
    </cfRule>
    <cfRule type="cellIs" dxfId="528" priority="518" operator="lessThan">
      <formula>250</formula>
    </cfRule>
  </conditionalFormatting>
  <conditionalFormatting sqref="B2358">
    <cfRule type="cellIs" dxfId="527" priority="511" operator="lessThan">
      <formula>0.8</formula>
    </cfRule>
    <cfRule type="cellIs" dxfId="526" priority="512" operator="between">
      <formula>0.8</formula>
      <formula>0.99999</formula>
    </cfRule>
    <cfRule type="cellIs" dxfId="525" priority="513" operator="between">
      <formula>1</formula>
      <formula>1.3</formula>
    </cfRule>
    <cfRule type="cellIs" dxfId="524" priority="514" operator="between">
      <formula>1.3</formula>
      <formula>1.5</formula>
    </cfRule>
    <cfRule type="cellIs" dxfId="523" priority="515" operator="greaterThan">
      <formula>1.5</formula>
    </cfRule>
  </conditionalFormatting>
  <conditionalFormatting sqref="B2360">
    <cfRule type="cellIs" dxfId="522" priority="508" operator="greaterThan">
      <formula>1.6</formula>
    </cfRule>
    <cfRule type="cellIs" dxfId="521" priority="509" operator="between">
      <formula>1.5</formula>
      <formula>1.6</formula>
    </cfRule>
    <cfRule type="cellIs" dxfId="520" priority="510" operator="lessThan">
      <formula>1.5</formula>
    </cfRule>
  </conditionalFormatting>
  <conditionalFormatting sqref="B2361">
    <cfRule type="cellIs" dxfId="519" priority="505" operator="between">
      <formula>500</formula>
      <formula>10000</formula>
    </cfRule>
    <cfRule type="cellIs" dxfId="518" priority="506" operator="between">
      <formula>200</formula>
      <formula>499</formula>
    </cfRule>
    <cfRule type="cellIs" dxfId="517" priority="507" operator="between">
      <formula>1</formula>
      <formula>199</formula>
    </cfRule>
  </conditionalFormatting>
  <conditionalFormatting sqref="B2363">
    <cfRule type="cellIs" dxfId="516" priority="502" operator="greaterThan">
      <formula>50</formula>
    </cfRule>
    <cfRule type="cellIs" dxfId="515" priority="503" operator="between">
      <formula>35</formula>
      <formula>50</formula>
    </cfRule>
    <cfRule type="cellIs" dxfId="514" priority="504" operator="lessThan">
      <formula>35</formula>
    </cfRule>
  </conditionalFormatting>
  <conditionalFormatting sqref="B2364">
    <cfRule type="cellIs" dxfId="513" priority="499" operator="greaterThan">
      <formula>350</formula>
    </cfRule>
    <cfRule type="cellIs" dxfId="512" priority="500" operator="between">
      <formula>250</formula>
      <formula>350</formula>
    </cfRule>
    <cfRule type="cellIs" dxfId="511" priority="501" operator="lessThan">
      <formula>250</formula>
    </cfRule>
  </conditionalFormatting>
  <conditionalFormatting sqref="B2365">
    <cfRule type="cellIs" dxfId="510" priority="494" operator="lessThan">
      <formula>0.8</formula>
    </cfRule>
    <cfRule type="cellIs" dxfId="509" priority="495" operator="between">
      <formula>0.8</formula>
      <formula>0.99999</formula>
    </cfRule>
    <cfRule type="cellIs" dxfId="508" priority="496" operator="between">
      <formula>1</formula>
      <formula>1.3</formula>
    </cfRule>
    <cfRule type="cellIs" dxfId="507" priority="497" operator="between">
      <formula>1.3</formula>
      <formula>1.5</formula>
    </cfRule>
    <cfRule type="cellIs" dxfId="506" priority="498" operator="greaterThan">
      <formula>1.5</formula>
    </cfRule>
  </conditionalFormatting>
  <conditionalFormatting sqref="B2367">
    <cfRule type="cellIs" dxfId="505" priority="491" operator="greaterThan">
      <formula>1.6</formula>
    </cfRule>
    <cfRule type="cellIs" dxfId="504" priority="492" operator="between">
      <formula>1.5</formula>
      <formula>1.6</formula>
    </cfRule>
    <cfRule type="cellIs" dxfId="503" priority="493" operator="lessThan">
      <formula>1.5</formula>
    </cfRule>
  </conditionalFormatting>
  <conditionalFormatting sqref="B2368">
    <cfRule type="cellIs" dxfId="502" priority="488" operator="between">
      <formula>500</formula>
      <formula>10000</formula>
    </cfRule>
    <cfRule type="cellIs" dxfId="501" priority="489" operator="between">
      <formula>200</formula>
      <formula>499</formula>
    </cfRule>
    <cfRule type="cellIs" dxfId="500" priority="490" operator="between">
      <formula>1</formula>
      <formula>199</formula>
    </cfRule>
  </conditionalFormatting>
  <conditionalFormatting sqref="B2370">
    <cfRule type="cellIs" dxfId="499" priority="485" operator="greaterThan">
      <formula>50</formula>
    </cfRule>
    <cfRule type="cellIs" dxfId="498" priority="486" operator="between">
      <formula>35</formula>
      <formula>50</formula>
    </cfRule>
    <cfRule type="cellIs" dxfId="497" priority="487" operator="lessThan">
      <formula>35</formula>
    </cfRule>
  </conditionalFormatting>
  <conditionalFormatting sqref="B2371">
    <cfRule type="cellIs" dxfId="496" priority="482" operator="greaterThan">
      <formula>350</formula>
    </cfRule>
    <cfRule type="cellIs" dxfId="495" priority="483" operator="between">
      <formula>250</formula>
      <formula>350</formula>
    </cfRule>
    <cfRule type="cellIs" dxfId="494" priority="484" operator="lessThan">
      <formula>250</formula>
    </cfRule>
  </conditionalFormatting>
  <conditionalFormatting sqref="B2372">
    <cfRule type="cellIs" dxfId="493" priority="477" operator="lessThan">
      <formula>0.8</formula>
    </cfRule>
    <cfRule type="cellIs" dxfId="492" priority="478" operator="between">
      <formula>0.8</formula>
      <formula>0.99999</formula>
    </cfRule>
    <cfRule type="cellIs" dxfId="491" priority="479" operator="between">
      <formula>1</formula>
      <formula>1.3</formula>
    </cfRule>
    <cfRule type="cellIs" dxfId="490" priority="480" operator="between">
      <formula>1.3</formula>
      <formula>1.5</formula>
    </cfRule>
    <cfRule type="cellIs" dxfId="489" priority="481" operator="greaterThan">
      <formula>1.5</formula>
    </cfRule>
  </conditionalFormatting>
  <conditionalFormatting sqref="B2374">
    <cfRule type="cellIs" dxfId="488" priority="474" operator="greaterThan">
      <formula>1.6</formula>
    </cfRule>
    <cfRule type="cellIs" dxfId="487" priority="475" operator="between">
      <formula>1.5</formula>
      <formula>1.6</formula>
    </cfRule>
    <cfRule type="cellIs" dxfId="486" priority="476" operator="lessThan">
      <formula>1.5</formula>
    </cfRule>
  </conditionalFormatting>
  <conditionalFormatting sqref="B2375">
    <cfRule type="cellIs" dxfId="485" priority="471" operator="between">
      <formula>500</formula>
      <formula>10000</formula>
    </cfRule>
    <cfRule type="cellIs" dxfId="484" priority="472" operator="between">
      <formula>200</formula>
      <formula>499</formula>
    </cfRule>
    <cfRule type="cellIs" dxfId="483" priority="473" operator="between">
      <formula>1</formula>
      <formula>199</formula>
    </cfRule>
  </conditionalFormatting>
  <conditionalFormatting sqref="B2377">
    <cfRule type="cellIs" dxfId="482" priority="468" operator="greaterThan">
      <formula>50</formula>
    </cfRule>
    <cfRule type="cellIs" dxfId="481" priority="469" operator="between">
      <formula>35</formula>
      <formula>50</formula>
    </cfRule>
    <cfRule type="cellIs" dxfId="480" priority="470" operator="lessThan">
      <formula>35</formula>
    </cfRule>
  </conditionalFormatting>
  <conditionalFormatting sqref="B2378">
    <cfRule type="cellIs" dxfId="479" priority="465" operator="greaterThan">
      <formula>350</formula>
    </cfRule>
    <cfRule type="cellIs" dxfId="478" priority="466" operator="between">
      <formula>250</formula>
      <formula>350</formula>
    </cfRule>
    <cfRule type="cellIs" dxfId="477" priority="467" operator="lessThan">
      <formula>250</formula>
    </cfRule>
  </conditionalFormatting>
  <conditionalFormatting sqref="B2379">
    <cfRule type="cellIs" dxfId="476" priority="460" operator="lessThan">
      <formula>0.8</formula>
    </cfRule>
    <cfRule type="cellIs" dxfId="475" priority="461" operator="between">
      <formula>0.8</formula>
      <formula>0.99999</formula>
    </cfRule>
    <cfRule type="cellIs" dxfId="474" priority="462" operator="between">
      <formula>1</formula>
      <formula>1.3</formula>
    </cfRule>
    <cfRule type="cellIs" dxfId="473" priority="463" operator="between">
      <formula>1.3</formula>
      <formula>1.5</formula>
    </cfRule>
    <cfRule type="cellIs" dxfId="472" priority="464" operator="greaterThan">
      <formula>1.5</formula>
    </cfRule>
  </conditionalFormatting>
  <conditionalFormatting sqref="B2381">
    <cfRule type="cellIs" dxfId="471" priority="457" operator="greaterThan">
      <formula>1.6</formula>
    </cfRule>
    <cfRule type="cellIs" dxfId="470" priority="458" operator="between">
      <formula>1.5</formula>
      <formula>1.6</formula>
    </cfRule>
    <cfRule type="cellIs" dxfId="469" priority="459" operator="lessThan">
      <formula>1.5</formula>
    </cfRule>
  </conditionalFormatting>
  <conditionalFormatting sqref="B2382">
    <cfRule type="cellIs" dxfId="468" priority="454" operator="between">
      <formula>500</formula>
      <formula>10000</formula>
    </cfRule>
    <cfRule type="cellIs" dxfId="467" priority="455" operator="between">
      <formula>200</formula>
      <formula>499</formula>
    </cfRule>
    <cfRule type="cellIs" dxfId="466" priority="456" operator="between">
      <formula>1</formula>
      <formula>199</formula>
    </cfRule>
  </conditionalFormatting>
  <conditionalFormatting sqref="B2384">
    <cfRule type="cellIs" dxfId="465" priority="451" operator="greaterThan">
      <formula>50</formula>
    </cfRule>
    <cfRule type="cellIs" dxfId="464" priority="452" operator="between">
      <formula>35</formula>
      <formula>50</formula>
    </cfRule>
    <cfRule type="cellIs" dxfId="463" priority="453" operator="lessThan">
      <formula>35</formula>
    </cfRule>
  </conditionalFormatting>
  <conditionalFormatting sqref="B2385">
    <cfRule type="cellIs" dxfId="462" priority="448" operator="greaterThan">
      <formula>350</formula>
    </cfRule>
    <cfRule type="cellIs" dxfId="461" priority="449" operator="between">
      <formula>250</formula>
      <formula>350</formula>
    </cfRule>
    <cfRule type="cellIs" dxfId="460" priority="450" operator="lessThan">
      <formula>250</formula>
    </cfRule>
  </conditionalFormatting>
  <conditionalFormatting sqref="B2386">
    <cfRule type="cellIs" dxfId="459" priority="443" operator="lessThan">
      <formula>0.8</formula>
    </cfRule>
    <cfRule type="cellIs" dxfId="458" priority="444" operator="between">
      <formula>0.8</formula>
      <formula>0.99999</formula>
    </cfRule>
    <cfRule type="cellIs" dxfId="457" priority="445" operator="between">
      <formula>1</formula>
      <formula>1.3</formula>
    </cfRule>
    <cfRule type="cellIs" dxfId="456" priority="446" operator="between">
      <formula>1.3</formula>
      <formula>1.5</formula>
    </cfRule>
    <cfRule type="cellIs" dxfId="455" priority="447" operator="greaterThan">
      <formula>1.5</formula>
    </cfRule>
  </conditionalFormatting>
  <conditionalFormatting sqref="B2388">
    <cfRule type="cellIs" dxfId="454" priority="440" operator="greaterThan">
      <formula>1.6</formula>
    </cfRule>
    <cfRule type="cellIs" dxfId="453" priority="441" operator="between">
      <formula>1.5</formula>
      <formula>1.6</formula>
    </cfRule>
    <cfRule type="cellIs" dxfId="452" priority="442" operator="lessThan">
      <formula>1.5</formula>
    </cfRule>
  </conditionalFormatting>
  <conditionalFormatting sqref="B2389">
    <cfRule type="cellIs" dxfId="451" priority="437" operator="between">
      <formula>500</formula>
      <formula>10000</formula>
    </cfRule>
    <cfRule type="cellIs" dxfId="450" priority="438" operator="between">
      <formula>200</formula>
      <formula>499</formula>
    </cfRule>
    <cfRule type="cellIs" dxfId="449" priority="439" operator="between">
      <formula>1</formula>
      <formula>199</formula>
    </cfRule>
  </conditionalFormatting>
  <conditionalFormatting sqref="B2391">
    <cfRule type="cellIs" dxfId="448" priority="434" operator="greaterThan">
      <formula>50</formula>
    </cfRule>
    <cfRule type="cellIs" dxfId="447" priority="435" operator="between">
      <formula>35</formula>
      <formula>50</formula>
    </cfRule>
    <cfRule type="cellIs" dxfId="446" priority="436" operator="lessThan">
      <formula>35</formula>
    </cfRule>
  </conditionalFormatting>
  <conditionalFormatting sqref="B2392">
    <cfRule type="cellIs" dxfId="445" priority="431" operator="greaterThan">
      <formula>350</formula>
    </cfRule>
    <cfRule type="cellIs" dxfId="444" priority="432" operator="between">
      <formula>250</formula>
      <formula>350</formula>
    </cfRule>
    <cfRule type="cellIs" dxfId="443" priority="433" operator="lessThan">
      <formula>250</formula>
    </cfRule>
  </conditionalFormatting>
  <conditionalFormatting sqref="B2393">
    <cfRule type="cellIs" dxfId="442" priority="426" operator="lessThan">
      <formula>0.8</formula>
    </cfRule>
    <cfRule type="cellIs" dxfId="441" priority="427" operator="between">
      <formula>0.8</formula>
      <formula>0.99999</formula>
    </cfRule>
    <cfRule type="cellIs" dxfId="440" priority="428" operator="between">
      <formula>1</formula>
      <formula>1.3</formula>
    </cfRule>
    <cfRule type="cellIs" dxfId="439" priority="429" operator="between">
      <formula>1.3</formula>
      <formula>1.5</formula>
    </cfRule>
    <cfRule type="cellIs" dxfId="438" priority="430" operator="greaterThan">
      <formula>1.5</formula>
    </cfRule>
  </conditionalFormatting>
  <conditionalFormatting sqref="B2395">
    <cfRule type="cellIs" dxfId="437" priority="423" operator="greaterThan">
      <formula>1.6</formula>
    </cfRule>
    <cfRule type="cellIs" dxfId="436" priority="424" operator="between">
      <formula>1.5</formula>
      <formula>1.6</formula>
    </cfRule>
    <cfRule type="cellIs" dxfId="435" priority="425" operator="lessThan">
      <formula>1.5</formula>
    </cfRule>
  </conditionalFormatting>
  <conditionalFormatting sqref="B2396">
    <cfRule type="cellIs" dxfId="434" priority="420" operator="between">
      <formula>500</formula>
      <formula>10000</formula>
    </cfRule>
    <cfRule type="cellIs" dxfId="433" priority="421" operator="between">
      <formula>200</formula>
      <formula>499</formula>
    </cfRule>
    <cfRule type="cellIs" dxfId="432" priority="422" operator="between">
      <formula>1</formula>
      <formula>199</formula>
    </cfRule>
  </conditionalFormatting>
  <conditionalFormatting sqref="B2398">
    <cfRule type="cellIs" dxfId="431" priority="417" operator="greaterThan">
      <formula>50</formula>
    </cfRule>
    <cfRule type="cellIs" dxfId="430" priority="418" operator="between">
      <formula>35</formula>
      <formula>50</formula>
    </cfRule>
    <cfRule type="cellIs" dxfId="429" priority="419" operator="lessThan">
      <formula>35</formula>
    </cfRule>
  </conditionalFormatting>
  <conditionalFormatting sqref="B2399">
    <cfRule type="cellIs" dxfId="428" priority="414" operator="greaterThan">
      <formula>350</formula>
    </cfRule>
    <cfRule type="cellIs" dxfId="427" priority="415" operator="between">
      <formula>250</formula>
      <formula>350</formula>
    </cfRule>
    <cfRule type="cellIs" dxfId="426" priority="416" operator="lessThan">
      <formula>250</formula>
    </cfRule>
  </conditionalFormatting>
  <conditionalFormatting sqref="B2400">
    <cfRule type="cellIs" dxfId="425" priority="409" operator="lessThan">
      <formula>0.8</formula>
    </cfRule>
    <cfRule type="cellIs" dxfId="424" priority="410" operator="between">
      <formula>0.8</formula>
      <formula>0.99999</formula>
    </cfRule>
    <cfRule type="cellIs" dxfId="423" priority="411" operator="between">
      <formula>1</formula>
      <formula>1.3</formula>
    </cfRule>
    <cfRule type="cellIs" dxfId="422" priority="412" operator="between">
      <formula>1.3</formula>
      <formula>1.5</formula>
    </cfRule>
    <cfRule type="cellIs" dxfId="421" priority="413" operator="greaterThan">
      <formula>1.5</formula>
    </cfRule>
  </conditionalFormatting>
  <conditionalFormatting sqref="B2402">
    <cfRule type="cellIs" dxfId="420" priority="406" operator="greaterThan">
      <formula>1.6</formula>
    </cfRule>
    <cfRule type="cellIs" dxfId="419" priority="407" operator="between">
      <formula>1.5</formula>
      <formula>1.6</formula>
    </cfRule>
    <cfRule type="cellIs" dxfId="418" priority="408" operator="lessThan">
      <formula>1.5</formula>
    </cfRule>
  </conditionalFormatting>
  <conditionalFormatting sqref="B2403">
    <cfRule type="cellIs" dxfId="417" priority="403" operator="between">
      <formula>500</formula>
      <formula>10000</formula>
    </cfRule>
    <cfRule type="cellIs" dxfId="416" priority="404" operator="between">
      <formula>200</formula>
      <formula>499</formula>
    </cfRule>
    <cfRule type="cellIs" dxfId="415" priority="405" operator="between">
      <formula>1</formula>
      <formula>199</formula>
    </cfRule>
  </conditionalFormatting>
  <conditionalFormatting sqref="B2405">
    <cfRule type="cellIs" dxfId="414" priority="400" operator="greaterThan">
      <formula>50</formula>
    </cfRule>
    <cfRule type="cellIs" dxfId="413" priority="401" operator="between">
      <formula>35</formula>
      <formula>50</formula>
    </cfRule>
    <cfRule type="cellIs" dxfId="412" priority="402" operator="lessThan">
      <formula>35</formula>
    </cfRule>
  </conditionalFormatting>
  <conditionalFormatting sqref="B2406">
    <cfRule type="cellIs" dxfId="411" priority="397" operator="greaterThan">
      <formula>350</formula>
    </cfRule>
    <cfRule type="cellIs" dxfId="410" priority="398" operator="between">
      <formula>250</formula>
      <formula>350</formula>
    </cfRule>
    <cfRule type="cellIs" dxfId="409" priority="399" operator="lessThan">
      <formula>250</formula>
    </cfRule>
  </conditionalFormatting>
  <conditionalFormatting sqref="B2407">
    <cfRule type="cellIs" dxfId="408" priority="392" operator="lessThan">
      <formula>0.8</formula>
    </cfRule>
    <cfRule type="cellIs" dxfId="407" priority="393" operator="between">
      <formula>0.8</formula>
      <formula>0.99999</formula>
    </cfRule>
    <cfRule type="cellIs" dxfId="406" priority="394" operator="between">
      <formula>1</formula>
      <formula>1.3</formula>
    </cfRule>
    <cfRule type="cellIs" dxfId="405" priority="395" operator="between">
      <formula>1.3</formula>
      <formula>1.5</formula>
    </cfRule>
    <cfRule type="cellIs" dxfId="404" priority="396" operator="greaterThan">
      <formula>1.5</formula>
    </cfRule>
  </conditionalFormatting>
  <conditionalFormatting sqref="B2409">
    <cfRule type="cellIs" dxfId="403" priority="389" operator="greaterThan">
      <formula>1.6</formula>
    </cfRule>
    <cfRule type="cellIs" dxfId="402" priority="390" operator="between">
      <formula>1.5</formula>
      <formula>1.6</formula>
    </cfRule>
    <cfRule type="cellIs" dxfId="401" priority="391" operator="lessThan">
      <formula>1.5</formula>
    </cfRule>
  </conditionalFormatting>
  <conditionalFormatting sqref="B2410">
    <cfRule type="cellIs" dxfId="400" priority="386" operator="between">
      <formula>500</formula>
      <formula>10000</formula>
    </cfRule>
    <cfRule type="cellIs" dxfId="399" priority="387" operator="between">
      <formula>200</formula>
      <formula>499</formula>
    </cfRule>
    <cfRule type="cellIs" dxfId="398" priority="388" operator="between">
      <formula>1</formula>
      <formula>199</formula>
    </cfRule>
  </conditionalFormatting>
  <conditionalFormatting sqref="B2412">
    <cfRule type="cellIs" dxfId="397" priority="383" operator="greaterThan">
      <formula>50</formula>
    </cfRule>
    <cfRule type="cellIs" dxfId="396" priority="384" operator="between">
      <formula>35</formula>
      <formula>50</formula>
    </cfRule>
    <cfRule type="cellIs" dxfId="395" priority="385" operator="lessThan">
      <formula>35</formula>
    </cfRule>
  </conditionalFormatting>
  <conditionalFormatting sqref="B2413">
    <cfRule type="cellIs" dxfId="394" priority="380" operator="greaterThan">
      <formula>350</formula>
    </cfRule>
    <cfRule type="cellIs" dxfId="393" priority="381" operator="between">
      <formula>250</formula>
      <formula>350</formula>
    </cfRule>
    <cfRule type="cellIs" dxfId="392" priority="382" operator="lessThan">
      <formula>250</formula>
    </cfRule>
  </conditionalFormatting>
  <conditionalFormatting sqref="B2414">
    <cfRule type="cellIs" dxfId="391" priority="375" operator="lessThan">
      <formula>0.8</formula>
    </cfRule>
    <cfRule type="cellIs" dxfId="390" priority="376" operator="between">
      <formula>0.8</formula>
      <formula>0.99999</formula>
    </cfRule>
    <cfRule type="cellIs" dxfId="389" priority="377" operator="between">
      <formula>1</formula>
      <formula>1.3</formula>
    </cfRule>
    <cfRule type="cellIs" dxfId="388" priority="378" operator="between">
      <formula>1.3</formula>
      <formula>1.5</formula>
    </cfRule>
    <cfRule type="cellIs" dxfId="387" priority="379" operator="greaterThan">
      <formula>1.5</formula>
    </cfRule>
  </conditionalFormatting>
  <conditionalFormatting sqref="B2416">
    <cfRule type="cellIs" dxfId="386" priority="372" operator="greaterThan">
      <formula>1.6</formula>
    </cfRule>
    <cfRule type="cellIs" dxfId="385" priority="373" operator="between">
      <formula>1.5</formula>
      <formula>1.6</formula>
    </cfRule>
    <cfRule type="cellIs" dxfId="384" priority="374" operator="lessThan">
      <formula>1.5</formula>
    </cfRule>
  </conditionalFormatting>
  <conditionalFormatting sqref="B2417">
    <cfRule type="cellIs" dxfId="383" priority="369" operator="between">
      <formula>500</formula>
      <formula>10000</formula>
    </cfRule>
    <cfRule type="cellIs" dxfId="382" priority="370" operator="between">
      <formula>200</formula>
      <formula>499</formula>
    </cfRule>
    <cfRule type="cellIs" dxfId="381" priority="371" operator="between">
      <formula>1</formula>
      <formula>199</formula>
    </cfRule>
  </conditionalFormatting>
  <conditionalFormatting sqref="B2419">
    <cfRule type="cellIs" dxfId="380" priority="366" operator="greaterThan">
      <formula>50</formula>
    </cfRule>
    <cfRule type="cellIs" dxfId="379" priority="367" operator="between">
      <formula>35</formula>
      <formula>50</formula>
    </cfRule>
    <cfRule type="cellIs" dxfId="378" priority="368" operator="lessThan">
      <formula>35</formula>
    </cfRule>
  </conditionalFormatting>
  <conditionalFormatting sqref="B2420">
    <cfRule type="cellIs" dxfId="377" priority="363" operator="greaterThan">
      <formula>350</formula>
    </cfRule>
    <cfRule type="cellIs" dxfId="376" priority="364" operator="between">
      <formula>250</formula>
      <formula>350</formula>
    </cfRule>
    <cfRule type="cellIs" dxfId="375" priority="365" operator="lessThan">
      <formula>250</formula>
    </cfRule>
  </conditionalFormatting>
  <conditionalFormatting sqref="B2421">
    <cfRule type="cellIs" dxfId="374" priority="358" operator="lessThan">
      <formula>0.8</formula>
    </cfRule>
    <cfRule type="cellIs" dxfId="373" priority="359" operator="between">
      <formula>0.8</formula>
      <formula>0.99999</formula>
    </cfRule>
    <cfRule type="cellIs" dxfId="372" priority="360" operator="between">
      <formula>1</formula>
      <formula>1.3</formula>
    </cfRule>
    <cfRule type="cellIs" dxfId="371" priority="361" operator="between">
      <formula>1.3</formula>
      <formula>1.5</formula>
    </cfRule>
    <cfRule type="cellIs" dxfId="370" priority="362" operator="greaterThan">
      <formula>1.5</formula>
    </cfRule>
  </conditionalFormatting>
  <conditionalFormatting sqref="B2423">
    <cfRule type="cellIs" dxfId="369" priority="355" operator="greaterThan">
      <formula>1.6</formula>
    </cfRule>
    <cfRule type="cellIs" dxfId="368" priority="356" operator="between">
      <formula>1.5</formula>
      <formula>1.6</formula>
    </cfRule>
    <cfRule type="cellIs" dxfId="367" priority="357" operator="lessThan">
      <formula>1.5</formula>
    </cfRule>
  </conditionalFormatting>
  <conditionalFormatting sqref="B2424">
    <cfRule type="cellIs" dxfId="366" priority="352" operator="between">
      <formula>500</formula>
      <formula>10000</formula>
    </cfRule>
    <cfRule type="cellIs" dxfId="365" priority="353" operator="between">
      <formula>200</formula>
      <formula>499</formula>
    </cfRule>
    <cfRule type="cellIs" dxfId="364" priority="354" operator="between">
      <formula>1</formula>
      <formula>199</formula>
    </cfRule>
  </conditionalFormatting>
  <conditionalFormatting sqref="B2426">
    <cfRule type="cellIs" dxfId="363" priority="349" operator="greaterThan">
      <formula>50</formula>
    </cfRule>
    <cfRule type="cellIs" dxfId="362" priority="350" operator="between">
      <formula>35</formula>
      <formula>50</formula>
    </cfRule>
    <cfRule type="cellIs" dxfId="361" priority="351" operator="lessThan">
      <formula>35</formula>
    </cfRule>
  </conditionalFormatting>
  <conditionalFormatting sqref="B2427">
    <cfRule type="cellIs" dxfId="360" priority="346" operator="greaterThan">
      <formula>350</formula>
    </cfRule>
    <cfRule type="cellIs" dxfId="359" priority="347" operator="between">
      <formula>250</formula>
      <formula>350</formula>
    </cfRule>
    <cfRule type="cellIs" dxfId="358" priority="348" operator="lessThan">
      <formula>250</formula>
    </cfRule>
  </conditionalFormatting>
  <conditionalFormatting sqref="B2428">
    <cfRule type="cellIs" dxfId="357" priority="341" operator="lessThan">
      <formula>0.8</formula>
    </cfRule>
    <cfRule type="cellIs" dxfId="356" priority="342" operator="between">
      <formula>0.8</formula>
      <formula>0.99999</formula>
    </cfRule>
    <cfRule type="cellIs" dxfId="355" priority="343" operator="between">
      <formula>1</formula>
      <formula>1.3</formula>
    </cfRule>
    <cfRule type="cellIs" dxfId="354" priority="344" operator="between">
      <formula>1.3</formula>
      <formula>1.5</formula>
    </cfRule>
    <cfRule type="cellIs" dxfId="353" priority="345" operator="greaterThan">
      <formula>1.5</formula>
    </cfRule>
  </conditionalFormatting>
  <conditionalFormatting sqref="B2430">
    <cfRule type="cellIs" dxfId="352" priority="338" operator="greaterThan">
      <formula>1.6</formula>
    </cfRule>
    <cfRule type="cellIs" dxfId="351" priority="339" operator="between">
      <formula>1.5</formula>
      <formula>1.6</formula>
    </cfRule>
    <cfRule type="cellIs" dxfId="350" priority="340" operator="lessThan">
      <formula>1.5</formula>
    </cfRule>
  </conditionalFormatting>
  <conditionalFormatting sqref="B2431">
    <cfRule type="cellIs" dxfId="349" priority="335" operator="between">
      <formula>500</formula>
      <formula>10000</formula>
    </cfRule>
    <cfRule type="cellIs" dxfId="348" priority="336" operator="between">
      <formula>200</formula>
      <formula>499</formula>
    </cfRule>
    <cfRule type="cellIs" dxfId="347" priority="337" operator="between">
      <formula>1</formula>
      <formula>199</formula>
    </cfRule>
  </conditionalFormatting>
  <conditionalFormatting sqref="B2433">
    <cfRule type="cellIs" dxfId="346" priority="332" operator="greaterThan">
      <formula>50</formula>
    </cfRule>
    <cfRule type="cellIs" dxfId="345" priority="333" operator="between">
      <formula>35</formula>
      <formula>50</formula>
    </cfRule>
    <cfRule type="cellIs" dxfId="344" priority="334" operator="lessThan">
      <formula>35</formula>
    </cfRule>
  </conditionalFormatting>
  <conditionalFormatting sqref="B2434">
    <cfRule type="cellIs" dxfId="343" priority="329" operator="greaterThan">
      <formula>350</formula>
    </cfRule>
    <cfRule type="cellIs" dxfId="342" priority="330" operator="between">
      <formula>250</formula>
      <formula>350</formula>
    </cfRule>
    <cfRule type="cellIs" dxfId="341" priority="331" operator="lessThan">
      <formula>250</formula>
    </cfRule>
  </conditionalFormatting>
  <conditionalFormatting sqref="B2435">
    <cfRule type="cellIs" dxfId="340" priority="324" operator="lessThan">
      <formula>0.8</formula>
    </cfRule>
    <cfRule type="cellIs" dxfId="339" priority="325" operator="between">
      <formula>0.8</formula>
      <formula>0.99999</formula>
    </cfRule>
    <cfRule type="cellIs" dxfId="338" priority="326" operator="between">
      <formula>1</formula>
      <formula>1.3</formula>
    </cfRule>
    <cfRule type="cellIs" dxfId="337" priority="327" operator="between">
      <formula>1.3</formula>
      <formula>1.5</formula>
    </cfRule>
    <cfRule type="cellIs" dxfId="336" priority="328" operator="greaterThan">
      <formula>1.5</formula>
    </cfRule>
  </conditionalFormatting>
  <conditionalFormatting sqref="B2437">
    <cfRule type="cellIs" dxfId="335" priority="321" operator="greaterThan">
      <formula>1.6</formula>
    </cfRule>
    <cfRule type="cellIs" dxfId="334" priority="322" operator="between">
      <formula>1.5</formula>
      <formula>1.6</formula>
    </cfRule>
    <cfRule type="cellIs" dxfId="333" priority="323" operator="lessThan">
      <formula>1.5</formula>
    </cfRule>
  </conditionalFormatting>
  <conditionalFormatting sqref="B2438">
    <cfRule type="cellIs" dxfId="332" priority="318" operator="between">
      <formula>500</formula>
      <formula>10000</formula>
    </cfRule>
    <cfRule type="cellIs" dxfId="331" priority="319" operator="between">
      <formula>200</formula>
      <formula>499</formula>
    </cfRule>
    <cfRule type="cellIs" dxfId="330" priority="320" operator="between">
      <formula>1</formula>
      <formula>199</formula>
    </cfRule>
  </conditionalFormatting>
  <conditionalFormatting sqref="B2440">
    <cfRule type="cellIs" dxfId="329" priority="315" operator="greaterThan">
      <formula>50</formula>
    </cfRule>
    <cfRule type="cellIs" dxfId="328" priority="316" operator="between">
      <formula>35</formula>
      <formula>50</formula>
    </cfRule>
    <cfRule type="cellIs" dxfId="327" priority="317" operator="lessThan">
      <formula>35</formula>
    </cfRule>
  </conditionalFormatting>
  <conditionalFormatting sqref="B2441">
    <cfRule type="cellIs" dxfId="326" priority="312" operator="greaterThan">
      <formula>350</formula>
    </cfRule>
    <cfRule type="cellIs" dxfId="325" priority="313" operator="between">
      <formula>250</formula>
      <formula>350</formula>
    </cfRule>
    <cfRule type="cellIs" dxfId="324" priority="314" operator="lessThan">
      <formula>250</formula>
    </cfRule>
  </conditionalFormatting>
  <conditionalFormatting sqref="B2442">
    <cfRule type="cellIs" dxfId="323" priority="307" operator="lessThan">
      <formula>0.8</formula>
    </cfRule>
    <cfRule type="cellIs" dxfId="322" priority="308" operator="between">
      <formula>0.8</formula>
      <formula>0.99999</formula>
    </cfRule>
    <cfRule type="cellIs" dxfId="321" priority="309" operator="between">
      <formula>1</formula>
      <formula>1.3</formula>
    </cfRule>
    <cfRule type="cellIs" dxfId="320" priority="310" operator="between">
      <formula>1.3</formula>
      <formula>1.5</formula>
    </cfRule>
    <cfRule type="cellIs" dxfId="319" priority="311" operator="greaterThan">
      <formula>1.5</formula>
    </cfRule>
  </conditionalFormatting>
  <conditionalFormatting sqref="B2444">
    <cfRule type="cellIs" dxfId="318" priority="304" operator="greaterThan">
      <formula>1.6</formula>
    </cfRule>
    <cfRule type="cellIs" dxfId="317" priority="305" operator="between">
      <formula>1.5</formula>
      <formula>1.6</formula>
    </cfRule>
    <cfRule type="cellIs" dxfId="316" priority="306" operator="lessThan">
      <formula>1.5</formula>
    </cfRule>
  </conditionalFormatting>
  <conditionalFormatting sqref="B2445">
    <cfRule type="cellIs" dxfId="315" priority="301" operator="between">
      <formula>500</formula>
      <formula>10000</formula>
    </cfRule>
    <cfRule type="cellIs" dxfId="314" priority="302" operator="between">
      <formula>200</formula>
      <formula>499</formula>
    </cfRule>
    <cfRule type="cellIs" dxfId="313" priority="303" operator="between">
      <formula>1</formula>
      <formula>199</formula>
    </cfRule>
  </conditionalFormatting>
  <conditionalFormatting sqref="B2447">
    <cfRule type="cellIs" dxfId="312" priority="298" operator="greaterThan">
      <formula>50</formula>
    </cfRule>
    <cfRule type="cellIs" dxfId="311" priority="299" operator="between">
      <formula>35</formula>
      <formula>50</formula>
    </cfRule>
    <cfRule type="cellIs" dxfId="310" priority="300" operator="lessThan">
      <formula>35</formula>
    </cfRule>
  </conditionalFormatting>
  <conditionalFormatting sqref="B2448">
    <cfRule type="cellIs" dxfId="309" priority="295" operator="greaterThan">
      <formula>350</formula>
    </cfRule>
    <cfRule type="cellIs" dxfId="308" priority="296" operator="between">
      <formula>250</formula>
      <formula>350</formula>
    </cfRule>
    <cfRule type="cellIs" dxfId="307" priority="297" operator="lessThan">
      <formula>250</formula>
    </cfRule>
  </conditionalFormatting>
  <conditionalFormatting sqref="B2449">
    <cfRule type="cellIs" dxfId="306" priority="290" operator="lessThan">
      <formula>0.8</formula>
    </cfRule>
    <cfRule type="cellIs" dxfId="305" priority="291" operator="between">
      <formula>0.8</formula>
      <formula>0.99999</formula>
    </cfRule>
    <cfRule type="cellIs" dxfId="304" priority="292" operator="between">
      <formula>1</formula>
      <formula>1.3</formula>
    </cfRule>
    <cfRule type="cellIs" dxfId="303" priority="293" operator="between">
      <formula>1.3</formula>
      <formula>1.5</formula>
    </cfRule>
    <cfRule type="cellIs" dxfId="302" priority="294" operator="greaterThan">
      <formula>1.5</formula>
    </cfRule>
  </conditionalFormatting>
  <conditionalFormatting sqref="B2451">
    <cfRule type="cellIs" dxfId="301" priority="287" operator="greaterThan">
      <formula>1.6</formula>
    </cfRule>
    <cfRule type="cellIs" dxfId="300" priority="288" operator="between">
      <formula>1.5</formula>
      <formula>1.6</formula>
    </cfRule>
    <cfRule type="cellIs" dxfId="299" priority="289" operator="lessThan">
      <formula>1.5</formula>
    </cfRule>
  </conditionalFormatting>
  <conditionalFormatting sqref="B2452">
    <cfRule type="cellIs" dxfId="298" priority="284" operator="between">
      <formula>500</formula>
      <formula>10000</formula>
    </cfRule>
    <cfRule type="cellIs" dxfId="297" priority="285" operator="between">
      <formula>200</formula>
      <formula>499</formula>
    </cfRule>
    <cfRule type="cellIs" dxfId="296" priority="286" operator="between">
      <formula>1</formula>
      <formula>199</formula>
    </cfRule>
  </conditionalFormatting>
  <conditionalFormatting sqref="B2454">
    <cfRule type="cellIs" dxfId="295" priority="281" operator="greaterThan">
      <formula>50</formula>
    </cfRule>
    <cfRule type="cellIs" dxfId="294" priority="282" operator="between">
      <formula>35</formula>
      <formula>50</formula>
    </cfRule>
    <cfRule type="cellIs" dxfId="293" priority="283" operator="lessThan">
      <formula>35</formula>
    </cfRule>
  </conditionalFormatting>
  <conditionalFormatting sqref="B2455">
    <cfRule type="cellIs" dxfId="292" priority="278" operator="greaterThan">
      <formula>350</formula>
    </cfRule>
    <cfRule type="cellIs" dxfId="291" priority="279" operator="between">
      <formula>250</formula>
      <formula>350</formula>
    </cfRule>
    <cfRule type="cellIs" dxfId="290" priority="280" operator="lessThan">
      <formula>250</formula>
    </cfRule>
  </conditionalFormatting>
  <conditionalFormatting sqref="B2456">
    <cfRule type="cellIs" dxfId="289" priority="273" operator="lessThan">
      <formula>0.8</formula>
    </cfRule>
    <cfRule type="cellIs" dxfId="288" priority="274" operator="between">
      <formula>0.8</formula>
      <formula>0.99999</formula>
    </cfRule>
    <cfRule type="cellIs" dxfId="287" priority="275" operator="between">
      <formula>1</formula>
      <formula>1.3</formula>
    </cfRule>
    <cfRule type="cellIs" dxfId="286" priority="276" operator="between">
      <formula>1.3</formula>
      <formula>1.5</formula>
    </cfRule>
    <cfRule type="cellIs" dxfId="285" priority="277" operator="greaterThan">
      <formula>1.5</formula>
    </cfRule>
  </conditionalFormatting>
  <conditionalFormatting sqref="B2458">
    <cfRule type="cellIs" dxfId="284" priority="270" operator="greaterThan">
      <formula>1.6</formula>
    </cfRule>
    <cfRule type="cellIs" dxfId="283" priority="271" operator="between">
      <formula>1.5</formula>
      <formula>1.6</formula>
    </cfRule>
    <cfRule type="cellIs" dxfId="282" priority="272" operator="lessThan">
      <formula>1.5</formula>
    </cfRule>
  </conditionalFormatting>
  <conditionalFormatting sqref="B2459">
    <cfRule type="cellIs" dxfId="281" priority="267" operator="between">
      <formula>500</formula>
      <formula>10000</formula>
    </cfRule>
    <cfRule type="cellIs" dxfId="280" priority="268" operator="between">
      <formula>200</formula>
      <formula>499</formula>
    </cfRule>
    <cfRule type="cellIs" dxfId="279" priority="269" operator="between">
      <formula>1</formula>
      <formula>199</formula>
    </cfRule>
  </conditionalFormatting>
  <conditionalFormatting sqref="B2461">
    <cfRule type="cellIs" dxfId="278" priority="264" operator="greaterThan">
      <formula>50</formula>
    </cfRule>
    <cfRule type="cellIs" dxfId="277" priority="265" operator="between">
      <formula>35</formula>
      <formula>50</formula>
    </cfRule>
    <cfRule type="cellIs" dxfId="276" priority="266" operator="lessThan">
      <formula>35</formula>
    </cfRule>
  </conditionalFormatting>
  <conditionalFormatting sqref="B2462">
    <cfRule type="cellIs" dxfId="275" priority="261" operator="greaterThan">
      <formula>350</formula>
    </cfRule>
    <cfRule type="cellIs" dxfId="274" priority="262" operator="between">
      <formula>250</formula>
      <formula>350</formula>
    </cfRule>
    <cfRule type="cellIs" dxfId="273" priority="263" operator="lessThan">
      <formula>250</formula>
    </cfRule>
  </conditionalFormatting>
  <conditionalFormatting sqref="B2463">
    <cfRule type="cellIs" dxfId="272" priority="256" operator="lessThan">
      <formula>0.8</formula>
    </cfRule>
    <cfRule type="cellIs" dxfId="271" priority="257" operator="between">
      <formula>0.8</formula>
      <formula>0.99999</formula>
    </cfRule>
    <cfRule type="cellIs" dxfId="270" priority="258" operator="between">
      <formula>1</formula>
      <formula>1.3</formula>
    </cfRule>
    <cfRule type="cellIs" dxfId="269" priority="259" operator="between">
      <formula>1.3</formula>
      <formula>1.5</formula>
    </cfRule>
    <cfRule type="cellIs" dxfId="268" priority="260" operator="greaterThan">
      <formula>1.5</formula>
    </cfRule>
  </conditionalFormatting>
  <conditionalFormatting sqref="B2465">
    <cfRule type="cellIs" dxfId="267" priority="253" operator="greaterThan">
      <formula>1.6</formula>
    </cfRule>
    <cfRule type="cellIs" dxfId="266" priority="254" operator="between">
      <formula>1.5</formula>
      <formula>1.6</formula>
    </cfRule>
    <cfRule type="cellIs" dxfId="265" priority="255" operator="lessThan">
      <formula>1.5</formula>
    </cfRule>
  </conditionalFormatting>
  <conditionalFormatting sqref="B2466">
    <cfRule type="cellIs" dxfId="264" priority="250" operator="between">
      <formula>500</formula>
      <formula>10000</formula>
    </cfRule>
    <cfRule type="cellIs" dxfId="263" priority="251" operator="between">
      <formula>200</formula>
      <formula>499</formula>
    </cfRule>
    <cfRule type="cellIs" dxfId="262" priority="252" operator="between">
      <formula>1</formula>
      <formula>199</formula>
    </cfRule>
  </conditionalFormatting>
  <conditionalFormatting sqref="B2468">
    <cfRule type="cellIs" dxfId="261" priority="247" operator="greaterThan">
      <formula>50</formula>
    </cfRule>
    <cfRule type="cellIs" dxfId="260" priority="248" operator="between">
      <formula>35</formula>
      <formula>50</formula>
    </cfRule>
    <cfRule type="cellIs" dxfId="259" priority="249" operator="lessThan">
      <formula>35</formula>
    </cfRule>
  </conditionalFormatting>
  <conditionalFormatting sqref="B2469">
    <cfRule type="cellIs" dxfId="258" priority="244" operator="greaterThan">
      <formula>350</formula>
    </cfRule>
    <cfRule type="cellIs" dxfId="257" priority="245" operator="between">
      <formula>250</formula>
      <formula>350</formula>
    </cfRule>
    <cfRule type="cellIs" dxfId="256" priority="246" operator="lessThan">
      <formula>250</formula>
    </cfRule>
  </conditionalFormatting>
  <conditionalFormatting sqref="B2470">
    <cfRule type="cellIs" dxfId="255" priority="239" operator="lessThan">
      <formula>0.8</formula>
    </cfRule>
    <cfRule type="cellIs" dxfId="254" priority="240" operator="between">
      <formula>0.8</formula>
      <formula>0.99999</formula>
    </cfRule>
    <cfRule type="cellIs" dxfId="253" priority="241" operator="between">
      <formula>1</formula>
      <formula>1.3</formula>
    </cfRule>
    <cfRule type="cellIs" dxfId="252" priority="242" operator="between">
      <formula>1.3</formula>
      <formula>1.5</formula>
    </cfRule>
    <cfRule type="cellIs" dxfId="251" priority="243" operator="greaterThan">
      <formula>1.5</formula>
    </cfRule>
  </conditionalFormatting>
  <conditionalFormatting sqref="B2472">
    <cfRule type="cellIs" dxfId="250" priority="236" operator="greaterThan">
      <formula>1.6</formula>
    </cfRule>
    <cfRule type="cellIs" dxfId="249" priority="237" operator="between">
      <formula>1.5</formula>
      <formula>1.6</formula>
    </cfRule>
    <cfRule type="cellIs" dxfId="248" priority="238" operator="lessThan">
      <formula>1.5</formula>
    </cfRule>
  </conditionalFormatting>
  <conditionalFormatting sqref="B2473">
    <cfRule type="cellIs" dxfId="247" priority="233" operator="between">
      <formula>500</formula>
      <formula>10000</formula>
    </cfRule>
    <cfRule type="cellIs" dxfId="246" priority="234" operator="between">
      <formula>200</formula>
      <formula>499</formula>
    </cfRule>
    <cfRule type="cellIs" dxfId="245" priority="235" operator="between">
      <formula>1</formula>
      <formula>199</formula>
    </cfRule>
  </conditionalFormatting>
  <conditionalFormatting sqref="B2475">
    <cfRule type="cellIs" dxfId="244" priority="230" operator="greaterThan">
      <formula>50</formula>
    </cfRule>
    <cfRule type="cellIs" dxfId="243" priority="231" operator="between">
      <formula>35</formula>
      <formula>50</formula>
    </cfRule>
    <cfRule type="cellIs" dxfId="242" priority="232" operator="lessThan">
      <formula>35</formula>
    </cfRule>
  </conditionalFormatting>
  <conditionalFormatting sqref="B2476">
    <cfRule type="cellIs" dxfId="241" priority="227" operator="greaterThan">
      <formula>350</formula>
    </cfRule>
    <cfRule type="cellIs" dxfId="240" priority="228" operator="between">
      <formula>250</formula>
      <formula>350</formula>
    </cfRule>
    <cfRule type="cellIs" dxfId="239" priority="229" operator="lessThan">
      <formula>250</formula>
    </cfRule>
  </conditionalFormatting>
  <conditionalFormatting sqref="B2477">
    <cfRule type="cellIs" dxfId="238" priority="222" operator="lessThan">
      <formula>0.8</formula>
    </cfRule>
    <cfRule type="cellIs" dxfId="237" priority="223" operator="between">
      <formula>0.8</formula>
      <formula>0.99999</formula>
    </cfRule>
    <cfRule type="cellIs" dxfId="236" priority="224" operator="between">
      <formula>1</formula>
      <formula>1.3</formula>
    </cfRule>
    <cfRule type="cellIs" dxfId="235" priority="225" operator="between">
      <formula>1.3</formula>
      <formula>1.5</formula>
    </cfRule>
    <cfRule type="cellIs" dxfId="234" priority="226" operator="greaterThan">
      <formula>1.5</formula>
    </cfRule>
  </conditionalFormatting>
  <conditionalFormatting sqref="B2479">
    <cfRule type="cellIs" dxfId="233" priority="219" operator="greaterThan">
      <formula>1.6</formula>
    </cfRule>
    <cfRule type="cellIs" dxfId="232" priority="220" operator="between">
      <formula>1.5</formula>
      <formula>1.6</formula>
    </cfRule>
    <cfRule type="cellIs" dxfId="231" priority="221" operator="lessThan">
      <formula>1.5</formula>
    </cfRule>
  </conditionalFormatting>
  <conditionalFormatting sqref="B2480">
    <cfRule type="cellIs" dxfId="230" priority="216" operator="between">
      <formula>500</formula>
      <formula>10000</formula>
    </cfRule>
    <cfRule type="cellIs" dxfId="229" priority="217" operator="between">
      <formula>200</formula>
      <formula>499</formula>
    </cfRule>
    <cfRule type="cellIs" dxfId="228" priority="218" operator="between">
      <formula>1</formula>
      <formula>199</formula>
    </cfRule>
  </conditionalFormatting>
  <conditionalFormatting sqref="B2482">
    <cfRule type="cellIs" dxfId="227" priority="213" operator="greaterThan">
      <formula>50</formula>
    </cfRule>
    <cfRule type="cellIs" dxfId="226" priority="214" operator="between">
      <formula>35</formula>
      <formula>50</formula>
    </cfRule>
    <cfRule type="cellIs" dxfId="225" priority="215" operator="lessThan">
      <formula>35</formula>
    </cfRule>
  </conditionalFormatting>
  <conditionalFormatting sqref="B2483">
    <cfRule type="cellIs" dxfId="224" priority="210" operator="greaterThan">
      <formula>350</formula>
    </cfRule>
    <cfRule type="cellIs" dxfId="223" priority="211" operator="between">
      <formula>250</formula>
      <formula>350</formula>
    </cfRule>
    <cfRule type="cellIs" dxfId="222" priority="212" operator="lessThan">
      <formula>250</formula>
    </cfRule>
  </conditionalFormatting>
  <conditionalFormatting sqref="B2484">
    <cfRule type="cellIs" dxfId="221" priority="205" operator="lessThan">
      <formula>0.8</formula>
    </cfRule>
    <cfRule type="cellIs" dxfId="220" priority="206" operator="between">
      <formula>0.8</formula>
      <formula>0.99999</formula>
    </cfRule>
    <cfRule type="cellIs" dxfId="219" priority="207" operator="between">
      <formula>1</formula>
      <formula>1.3</formula>
    </cfRule>
    <cfRule type="cellIs" dxfId="218" priority="208" operator="between">
      <formula>1.3</formula>
      <formula>1.5</formula>
    </cfRule>
    <cfRule type="cellIs" dxfId="217" priority="209" operator="greaterThan">
      <formula>1.5</formula>
    </cfRule>
  </conditionalFormatting>
  <conditionalFormatting sqref="B2486">
    <cfRule type="cellIs" dxfId="216" priority="202" operator="greaterThan">
      <formula>1.6</formula>
    </cfRule>
    <cfRule type="cellIs" dxfId="215" priority="203" operator="between">
      <formula>1.5</formula>
      <formula>1.6</formula>
    </cfRule>
    <cfRule type="cellIs" dxfId="214" priority="204" operator="lessThan">
      <formula>1.5</formula>
    </cfRule>
  </conditionalFormatting>
  <conditionalFormatting sqref="B2487">
    <cfRule type="cellIs" dxfId="213" priority="199" operator="between">
      <formula>500</formula>
      <formula>10000</formula>
    </cfRule>
    <cfRule type="cellIs" dxfId="212" priority="200" operator="between">
      <formula>200</formula>
      <formula>499</formula>
    </cfRule>
    <cfRule type="cellIs" dxfId="211" priority="201" operator="between">
      <formula>1</formula>
      <formula>199</formula>
    </cfRule>
  </conditionalFormatting>
  <conditionalFormatting sqref="B2489">
    <cfRule type="cellIs" dxfId="210" priority="196" operator="greaterThan">
      <formula>50</formula>
    </cfRule>
    <cfRule type="cellIs" dxfId="209" priority="197" operator="between">
      <formula>35</formula>
      <formula>50</formula>
    </cfRule>
    <cfRule type="cellIs" dxfId="208" priority="198" operator="lessThan">
      <formula>35</formula>
    </cfRule>
  </conditionalFormatting>
  <conditionalFormatting sqref="B2490">
    <cfRule type="cellIs" dxfId="207" priority="193" operator="greaterThan">
      <formula>350</formula>
    </cfRule>
    <cfRule type="cellIs" dxfId="206" priority="194" operator="between">
      <formula>250</formula>
      <formula>350</formula>
    </cfRule>
    <cfRule type="cellIs" dxfId="205" priority="195" operator="lessThan">
      <formula>250</formula>
    </cfRule>
  </conditionalFormatting>
  <conditionalFormatting sqref="B2491">
    <cfRule type="cellIs" dxfId="204" priority="188" operator="lessThan">
      <formula>0.8</formula>
    </cfRule>
    <cfRule type="cellIs" dxfId="203" priority="189" operator="between">
      <formula>0.8</formula>
      <formula>0.99999</formula>
    </cfRule>
    <cfRule type="cellIs" dxfId="202" priority="190" operator="between">
      <formula>1</formula>
      <formula>1.3</formula>
    </cfRule>
    <cfRule type="cellIs" dxfId="201" priority="191" operator="between">
      <formula>1.3</formula>
      <formula>1.5</formula>
    </cfRule>
    <cfRule type="cellIs" dxfId="200" priority="192" operator="greaterThan">
      <formula>1.5</formula>
    </cfRule>
  </conditionalFormatting>
  <conditionalFormatting sqref="B2493">
    <cfRule type="cellIs" dxfId="199" priority="185" operator="greaterThan">
      <formula>1.6</formula>
    </cfRule>
    <cfRule type="cellIs" dxfId="198" priority="186" operator="between">
      <formula>1.5</formula>
      <formula>1.6</formula>
    </cfRule>
    <cfRule type="cellIs" dxfId="197" priority="187" operator="lessThan">
      <formula>1.5</formula>
    </cfRule>
  </conditionalFormatting>
  <conditionalFormatting sqref="B2494">
    <cfRule type="cellIs" dxfId="196" priority="182" operator="between">
      <formula>500</formula>
      <formula>10000</formula>
    </cfRule>
    <cfRule type="cellIs" dxfId="195" priority="183" operator="between">
      <formula>200</formula>
      <formula>499</formula>
    </cfRule>
    <cfRule type="cellIs" dxfId="194" priority="184" operator="between">
      <formula>1</formula>
      <formula>199</formula>
    </cfRule>
  </conditionalFormatting>
  <conditionalFormatting sqref="B2496">
    <cfRule type="cellIs" dxfId="193" priority="179" operator="greaterThan">
      <formula>50</formula>
    </cfRule>
    <cfRule type="cellIs" dxfId="192" priority="180" operator="between">
      <formula>35</formula>
      <formula>50</formula>
    </cfRule>
    <cfRule type="cellIs" dxfId="191" priority="181" operator="lessThan">
      <formula>35</formula>
    </cfRule>
  </conditionalFormatting>
  <conditionalFormatting sqref="B2497">
    <cfRule type="cellIs" dxfId="190" priority="176" operator="greaterThan">
      <formula>350</formula>
    </cfRule>
    <cfRule type="cellIs" dxfId="189" priority="177" operator="between">
      <formula>250</formula>
      <formula>350</formula>
    </cfRule>
    <cfRule type="cellIs" dxfId="188" priority="178" operator="lessThan">
      <formula>250</formula>
    </cfRule>
  </conditionalFormatting>
  <conditionalFormatting sqref="B2498">
    <cfRule type="cellIs" dxfId="187" priority="171" operator="lessThan">
      <formula>0.8</formula>
    </cfRule>
    <cfRule type="cellIs" dxfId="186" priority="172" operator="between">
      <formula>0.8</formula>
      <formula>0.99999</formula>
    </cfRule>
    <cfRule type="cellIs" dxfId="185" priority="173" operator="between">
      <formula>1</formula>
      <formula>1.3</formula>
    </cfRule>
    <cfRule type="cellIs" dxfId="184" priority="174" operator="between">
      <formula>1.3</formula>
      <formula>1.5</formula>
    </cfRule>
    <cfRule type="cellIs" dxfId="183" priority="175" operator="greaterThan">
      <formula>1.5</formula>
    </cfRule>
  </conditionalFormatting>
  <conditionalFormatting sqref="B2500">
    <cfRule type="cellIs" dxfId="182" priority="168" operator="greaterThan">
      <formula>1.6</formula>
    </cfRule>
    <cfRule type="cellIs" dxfId="181" priority="169" operator="between">
      <formula>1.5</formula>
      <formula>1.6</formula>
    </cfRule>
    <cfRule type="cellIs" dxfId="180" priority="170" operator="lessThan">
      <formula>1.5</formula>
    </cfRule>
  </conditionalFormatting>
  <conditionalFormatting sqref="B2501">
    <cfRule type="cellIs" dxfId="179" priority="165" operator="between">
      <formula>500</formula>
      <formula>10000</formula>
    </cfRule>
    <cfRule type="cellIs" dxfId="178" priority="166" operator="between">
      <formula>200</formula>
      <formula>499</formula>
    </cfRule>
    <cfRule type="cellIs" dxfId="177" priority="167" operator="between">
      <formula>1</formula>
      <formula>199</formula>
    </cfRule>
  </conditionalFormatting>
  <conditionalFormatting sqref="B2503">
    <cfRule type="cellIs" dxfId="176" priority="162" operator="greaterThan">
      <formula>50</formula>
    </cfRule>
    <cfRule type="cellIs" dxfId="175" priority="163" operator="between">
      <formula>35</formula>
      <formula>50</formula>
    </cfRule>
    <cfRule type="cellIs" dxfId="174" priority="164" operator="lessThan">
      <formula>35</formula>
    </cfRule>
  </conditionalFormatting>
  <conditionalFormatting sqref="B2504">
    <cfRule type="cellIs" dxfId="173" priority="159" operator="greaterThan">
      <formula>350</formula>
    </cfRule>
    <cfRule type="cellIs" dxfId="172" priority="160" operator="between">
      <formula>250</formula>
      <formula>350</formula>
    </cfRule>
    <cfRule type="cellIs" dxfId="171" priority="161" operator="lessThan">
      <formula>250</formula>
    </cfRule>
  </conditionalFormatting>
  <conditionalFormatting sqref="B2505">
    <cfRule type="cellIs" dxfId="170" priority="154" operator="lessThan">
      <formula>0.8</formula>
    </cfRule>
    <cfRule type="cellIs" dxfId="169" priority="155" operator="between">
      <formula>0.8</formula>
      <formula>0.99999</formula>
    </cfRule>
    <cfRule type="cellIs" dxfId="168" priority="156" operator="between">
      <formula>1</formula>
      <formula>1.3</formula>
    </cfRule>
    <cfRule type="cellIs" dxfId="167" priority="157" operator="between">
      <formula>1.3</formula>
      <formula>1.5</formula>
    </cfRule>
    <cfRule type="cellIs" dxfId="166" priority="158" operator="greaterThan">
      <formula>1.5</formula>
    </cfRule>
  </conditionalFormatting>
  <conditionalFormatting sqref="B2507">
    <cfRule type="cellIs" dxfId="165" priority="151" operator="greaterThan">
      <formula>1.6</formula>
    </cfRule>
    <cfRule type="cellIs" dxfId="164" priority="152" operator="between">
      <formula>1.5</formula>
      <formula>1.6</formula>
    </cfRule>
    <cfRule type="cellIs" dxfId="163" priority="153" operator="lessThan">
      <formula>1.5</formula>
    </cfRule>
  </conditionalFormatting>
  <conditionalFormatting sqref="B2508">
    <cfRule type="cellIs" dxfId="162" priority="148" operator="between">
      <formula>500</formula>
      <formula>10000</formula>
    </cfRule>
    <cfRule type="cellIs" dxfId="161" priority="149" operator="between">
      <formula>200</formula>
      <formula>499</formula>
    </cfRule>
    <cfRule type="cellIs" dxfId="160" priority="150" operator="between">
      <formula>1</formula>
      <formula>199</formula>
    </cfRule>
  </conditionalFormatting>
  <conditionalFormatting sqref="B2510">
    <cfRule type="cellIs" dxfId="159" priority="145" operator="greaterThan">
      <formula>50</formula>
    </cfRule>
    <cfRule type="cellIs" dxfId="158" priority="146" operator="between">
      <formula>35</formula>
      <formula>50</formula>
    </cfRule>
    <cfRule type="cellIs" dxfId="157" priority="147" operator="lessThan">
      <formula>35</formula>
    </cfRule>
  </conditionalFormatting>
  <conditionalFormatting sqref="B2511">
    <cfRule type="cellIs" dxfId="156" priority="142" operator="greaterThan">
      <formula>350</formula>
    </cfRule>
    <cfRule type="cellIs" dxfId="155" priority="143" operator="between">
      <formula>250</formula>
      <formula>350</formula>
    </cfRule>
    <cfRule type="cellIs" dxfId="154" priority="144" operator="lessThan">
      <formula>250</formula>
    </cfRule>
  </conditionalFormatting>
  <conditionalFormatting sqref="B2512">
    <cfRule type="cellIs" dxfId="153" priority="137" operator="lessThan">
      <formula>0.8</formula>
    </cfRule>
    <cfRule type="cellIs" dxfId="152" priority="138" operator="between">
      <formula>0.8</formula>
      <formula>0.99999</formula>
    </cfRule>
    <cfRule type="cellIs" dxfId="151" priority="139" operator="between">
      <formula>1</formula>
      <formula>1.3</formula>
    </cfRule>
    <cfRule type="cellIs" dxfId="150" priority="140" operator="between">
      <formula>1.3</formula>
      <formula>1.5</formula>
    </cfRule>
    <cfRule type="cellIs" dxfId="149" priority="141" operator="greaterThan">
      <formula>1.5</formula>
    </cfRule>
  </conditionalFormatting>
  <conditionalFormatting sqref="B2514">
    <cfRule type="cellIs" dxfId="148" priority="134" operator="greaterThan">
      <formula>1.6</formula>
    </cfRule>
    <cfRule type="cellIs" dxfId="147" priority="135" operator="between">
      <formula>1.5</formula>
      <formula>1.6</formula>
    </cfRule>
    <cfRule type="cellIs" dxfId="146" priority="136" operator="lessThan">
      <formula>1.5</formula>
    </cfRule>
  </conditionalFormatting>
  <conditionalFormatting sqref="B2515">
    <cfRule type="cellIs" dxfId="145" priority="131" operator="between">
      <formula>500</formula>
      <formula>10000</formula>
    </cfRule>
    <cfRule type="cellIs" dxfId="144" priority="132" operator="between">
      <formula>200</formula>
      <formula>499</formula>
    </cfRule>
    <cfRule type="cellIs" dxfId="143" priority="133" operator="between">
      <formula>1</formula>
      <formula>199</formula>
    </cfRule>
  </conditionalFormatting>
  <conditionalFormatting sqref="B2517">
    <cfRule type="cellIs" dxfId="142" priority="128" operator="greaterThan">
      <formula>50</formula>
    </cfRule>
    <cfRule type="cellIs" dxfId="141" priority="129" operator="between">
      <formula>35</formula>
      <formula>50</formula>
    </cfRule>
    <cfRule type="cellIs" dxfId="140" priority="130" operator="lessThan">
      <formula>35</formula>
    </cfRule>
  </conditionalFormatting>
  <conditionalFormatting sqref="B2518">
    <cfRule type="cellIs" dxfId="139" priority="125" operator="greaterThan">
      <formula>350</formula>
    </cfRule>
    <cfRule type="cellIs" dxfId="138" priority="126" operator="between">
      <formula>250</formula>
      <formula>350</formula>
    </cfRule>
    <cfRule type="cellIs" dxfId="137" priority="127" operator="lessThan">
      <formula>250</formula>
    </cfRule>
  </conditionalFormatting>
  <conditionalFormatting sqref="B2519">
    <cfRule type="cellIs" dxfId="136" priority="120" operator="lessThan">
      <formula>0.8</formula>
    </cfRule>
    <cfRule type="cellIs" dxfId="135" priority="121" operator="between">
      <formula>0.8</formula>
      <formula>0.99999</formula>
    </cfRule>
    <cfRule type="cellIs" dxfId="134" priority="122" operator="between">
      <formula>1</formula>
      <formula>1.3</formula>
    </cfRule>
    <cfRule type="cellIs" dxfId="133" priority="123" operator="between">
      <formula>1.3</formula>
      <formula>1.5</formula>
    </cfRule>
    <cfRule type="cellIs" dxfId="132" priority="124" operator="greaterThan">
      <formula>1.5</formula>
    </cfRule>
  </conditionalFormatting>
  <conditionalFormatting sqref="B2521">
    <cfRule type="cellIs" dxfId="131" priority="117" operator="greaterThan">
      <formula>1.6</formula>
    </cfRule>
    <cfRule type="cellIs" dxfId="130" priority="118" operator="between">
      <formula>1.5</formula>
      <formula>1.6</formula>
    </cfRule>
    <cfRule type="cellIs" dxfId="129" priority="119" operator="lessThan">
      <formula>1.5</formula>
    </cfRule>
  </conditionalFormatting>
  <conditionalFormatting sqref="B2522">
    <cfRule type="cellIs" dxfId="128" priority="114" operator="between">
      <formula>500</formula>
      <formula>10000</formula>
    </cfRule>
    <cfRule type="cellIs" dxfId="127" priority="115" operator="between">
      <formula>200</formula>
      <formula>499</formula>
    </cfRule>
    <cfRule type="cellIs" dxfId="126" priority="116" operator="between">
      <formula>1</formula>
      <formula>199</formula>
    </cfRule>
  </conditionalFormatting>
  <conditionalFormatting sqref="B2524">
    <cfRule type="cellIs" dxfId="125" priority="111" operator="greaterThan">
      <formula>50</formula>
    </cfRule>
    <cfRule type="cellIs" dxfId="124" priority="112" operator="between">
      <formula>35</formula>
      <formula>50</formula>
    </cfRule>
    <cfRule type="cellIs" dxfId="123" priority="113" operator="lessThan">
      <formula>35</formula>
    </cfRule>
  </conditionalFormatting>
  <conditionalFormatting sqref="B2525">
    <cfRule type="cellIs" dxfId="122" priority="108" operator="greaterThan">
      <formula>350</formula>
    </cfRule>
    <cfRule type="cellIs" dxfId="121" priority="109" operator="between">
      <formula>250</formula>
      <formula>350</formula>
    </cfRule>
    <cfRule type="cellIs" dxfId="120" priority="110" operator="lessThan">
      <formula>250</formula>
    </cfRule>
  </conditionalFormatting>
  <conditionalFormatting sqref="B2526">
    <cfRule type="cellIs" dxfId="119" priority="103" operator="lessThan">
      <formula>0.8</formula>
    </cfRule>
    <cfRule type="cellIs" dxfId="118" priority="104" operator="between">
      <formula>0.8</formula>
      <formula>0.99999</formula>
    </cfRule>
    <cfRule type="cellIs" dxfId="117" priority="105" operator="between">
      <formula>1</formula>
      <formula>1.3</formula>
    </cfRule>
    <cfRule type="cellIs" dxfId="116" priority="106" operator="between">
      <formula>1.3</formula>
      <formula>1.5</formula>
    </cfRule>
    <cfRule type="cellIs" dxfId="115" priority="107" operator="greaterThan">
      <formula>1.5</formula>
    </cfRule>
  </conditionalFormatting>
  <conditionalFormatting sqref="B2528">
    <cfRule type="cellIs" dxfId="114" priority="100" operator="greaterThan">
      <formula>1.6</formula>
    </cfRule>
    <cfRule type="cellIs" dxfId="113" priority="101" operator="between">
      <formula>1.5</formula>
      <formula>1.6</formula>
    </cfRule>
    <cfRule type="cellIs" dxfId="112" priority="102" operator="lessThan">
      <formula>1.5</formula>
    </cfRule>
  </conditionalFormatting>
  <conditionalFormatting sqref="B2529">
    <cfRule type="cellIs" dxfId="111" priority="97" operator="between">
      <formula>500</formula>
      <formula>10000</formula>
    </cfRule>
    <cfRule type="cellIs" dxfId="110" priority="98" operator="between">
      <formula>200</formula>
      <formula>499</formula>
    </cfRule>
    <cfRule type="cellIs" dxfId="109" priority="99" operator="between">
      <formula>1</formula>
      <formula>199</formula>
    </cfRule>
  </conditionalFormatting>
  <conditionalFormatting sqref="B2531">
    <cfRule type="cellIs" dxfId="108" priority="94" operator="greaterThan">
      <formula>50</formula>
    </cfRule>
    <cfRule type="cellIs" dxfId="107" priority="95" operator="between">
      <formula>35</formula>
      <formula>50</formula>
    </cfRule>
    <cfRule type="cellIs" dxfId="106" priority="96" operator="lessThan">
      <formula>35</formula>
    </cfRule>
  </conditionalFormatting>
  <conditionalFormatting sqref="B2532">
    <cfRule type="cellIs" dxfId="105" priority="91" operator="greaterThan">
      <formula>350</formula>
    </cfRule>
    <cfRule type="cellIs" dxfId="104" priority="92" operator="between">
      <formula>250</formula>
      <formula>350</formula>
    </cfRule>
    <cfRule type="cellIs" dxfId="103" priority="93" operator="lessThan">
      <formula>250</formula>
    </cfRule>
  </conditionalFormatting>
  <conditionalFormatting sqref="B2533">
    <cfRule type="cellIs" dxfId="102" priority="86" operator="lessThan">
      <formula>0.8</formula>
    </cfRule>
    <cfRule type="cellIs" dxfId="101" priority="87" operator="between">
      <formula>0.8</formula>
      <formula>0.99999</formula>
    </cfRule>
    <cfRule type="cellIs" dxfId="100" priority="88" operator="between">
      <formula>1</formula>
      <formula>1.3</formula>
    </cfRule>
    <cfRule type="cellIs" dxfId="99" priority="89" operator="between">
      <formula>1.3</formula>
      <formula>1.5</formula>
    </cfRule>
    <cfRule type="cellIs" dxfId="98" priority="90" operator="greaterThan">
      <formula>1.5</formula>
    </cfRule>
  </conditionalFormatting>
  <conditionalFormatting sqref="B2535">
    <cfRule type="cellIs" dxfId="97" priority="83" operator="greaterThan">
      <formula>1.6</formula>
    </cfRule>
    <cfRule type="cellIs" dxfId="96" priority="84" operator="between">
      <formula>1.5</formula>
      <formula>1.6</formula>
    </cfRule>
    <cfRule type="cellIs" dxfId="95" priority="85" operator="lessThan">
      <formula>1.5</formula>
    </cfRule>
  </conditionalFormatting>
  <conditionalFormatting sqref="B2536">
    <cfRule type="cellIs" dxfId="94" priority="80" operator="between">
      <formula>500</formula>
      <formula>10000</formula>
    </cfRule>
    <cfRule type="cellIs" dxfId="93" priority="81" operator="between">
      <formula>200</formula>
      <formula>499</formula>
    </cfRule>
    <cfRule type="cellIs" dxfId="92" priority="82" operator="between">
      <formula>1</formula>
      <formula>199</formula>
    </cfRule>
  </conditionalFormatting>
  <conditionalFormatting sqref="B2538">
    <cfRule type="cellIs" dxfId="91" priority="77" operator="greaterThan">
      <formula>50</formula>
    </cfRule>
    <cfRule type="cellIs" dxfId="90" priority="78" operator="between">
      <formula>35</formula>
      <formula>50</formula>
    </cfRule>
    <cfRule type="cellIs" dxfId="89" priority="79" operator="lessThan">
      <formula>35</formula>
    </cfRule>
  </conditionalFormatting>
  <conditionalFormatting sqref="B2539">
    <cfRule type="cellIs" dxfId="88" priority="74" operator="greaterThan">
      <formula>350</formula>
    </cfRule>
    <cfRule type="cellIs" dxfId="87" priority="75" operator="between">
      <formula>250</formula>
      <formula>350</formula>
    </cfRule>
    <cfRule type="cellIs" dxfId="86" priority="76" operator="lessThan">
      <formula>250</formula>
    </cfRule>
  </conditionalFormatting>
  <conditionalFormatting sqref="B2540">
    <cfRule type="cellIs" dxfId="85" priority="69" operator="lessThan">
      <formula>0.8</formula>
    </cfRule>
    <cfRule type="cellIs" dxfId="84" priority="70" operator="between">
      <formula>0.8</formula>
      <formula>0.99999</formula>
    </cfRule>
    <cfRule type="cellIs" dxfId="83" priority="71" operator="between">
      <formula>1</formula>
      <formula>1.3</formula>
    </cfRule>
    <cfRule type="cellIs" dxfId="82" priority="72" operator="between">
      <formula>1.3</formula>
      <formula>1.5</formula>
    </cfRule>
    <cfRule type="cellIs" dxfId="81" priority="73" operator="greaterThan">
      <formula>1.5</formula>
    </cfRule>
  </conditionalFormatting>
  <conditionalFormatting sqref="B2542">
    <cfRule type="cellIs" dxfId="80" priority="66" operator="greaterThan">
      <formula>1.6</formula>
    </cfRule>
    <cfRule type="cellIs" dxfId="79" priority="67" operator="between">
      <formula>1.5</formula>
      <formula>1.6</formula>
    </cfRule>
    <cfRule type="cellIs" dxfId="78" priority="68" operator="lessThan">
      <formula>1.5</formula>
    </cfRule>
  </conditionalFormatting>
  <conditionalFormatting sqref="B2543">
    <cfRule type="cellIs" dxfId="77" priority="63" operator="between">
      <formula>500</formula>
      <formula>10000</formula>
    </cfRule>
    <cfRule type="cellIs" dxfId="76" priority="64" operator="between">
      <formula>200</formula>
      <formula>499</formula>
    </cfRule>
    <cfRule type="cellIs" dxfId="75" priority="65" operator="between">
      <formula>1</formula>
      <formula>199</formula>
    </cfRule>
  </conditionalFormatting>
  <conditionalFormatting sqref="B2545">
    <cfRule type="cellIs" dxfId="74" priority="60" operator="greaterThan">
      <formula>50</formula>
    </cfRule>
    <cfRule type="cellIs" dxfId="73" priority="61" operator="between">
      <formula>35</formula>
      <formula>50</formula>
    </cfRule>
    <cfRule type="cellIs" dxfId="72" priority="62" operator="lessThan">
      <formula>35</formula>
    </cfRule>
  </conditionalFormatting>
  <conditionalFormatting sqref="B2546">
    <cfRule type="cellIs" dxfId="71" priority="57" operator="greaterThan">
      <formula>350</formula>
    </cfRule>
    <cfRule type="cellIs" dxfId="70" priority="58" operator="between">
      <formula>250</formula>
      <formula>350</formula>
    </cfRule>
    <cfRule type="cellIs" dxfId="69" priority="59" operator="lessThan">
      <formula>250</formula>
    </cfRule>
  </conditionalFormatting>
  <conditionalFormatting sqref="B2547">
    <cfRule type="cellIs" dxfId="68" priority="52" operator="lessThan">
      <formula>0.8</formula>
    </cfRule>
    <cfRule type="cellIs" dxfId="67" priority="53" operator="between">
      <formula>0.8</formula>
      <formula>0.99999</formula>
    </cfRule>
    <cfRule type="cellIs" dxfId="66" priority="54" operator="between">
      <formula>1</formula>
      <formula>1.3</formula>
    </cfRule>
    <cfRule type="cellIs" dxfId="65" priority="55" operator="between">
      <formula>1.3</formula>
      <formula>1.5</formula>
    </cfRule>
    <cfRule type="cellIs" dxfId="64" priority="56" operator="greaterThan">
      <formula>1.5</formula>
    </cfRule>
  </conditionalFormatting>
  <conditionalFormatting sqref="B2549">
    <cfRule type="cellIs" dxfId="63" priority="49" operator="greaterThan">
      <formula>1.6</formula>
    </cfRule>
    <cfRule type="cellIs" dxfId="62" priority="50" operator="between">
      <formula>1.5</formula>
      <formula>1.6</formula>
    </cfRule>
    <cfRule type="cellIs" dxfId="61" priority="51" operator="lessThan">
      <formula>1.5</formula>
    </cfRule>
  </conditionalFormatting>
  <conditionalFormatting sqref="B2550">
    <cfRule type="cellIs" dxfId="60" priority="46" operator="between">
      <formula>500</formula>
      <formula>10000</formula>
    </cfRule>
    <cfRule type="cellIs" dxfId="59" priority="47" operator="between">
      <formula>200</formula>
      <formula>499</formula>
    </cfRule>
    <cfRule type="cellIs" dxfId="58" priority="48" operator="between">
      <formula>1</formula>
      <formula>199</formula>
    </cfRule>
  </conditionalFormatting>
  <conditionalFormatting sqref="B2552">
    <cfRule type="cellIs" dxfId="57" priority="43" operator="greaterThan">
      <formula>50</formula>
    </cfRule>
    <cfRule type="cellIs" dxfId="56" priority="44" operator="between">
      <formula>35</formula>
      <formula>50</formula>
    </cfRule>
    <cfRule type="cellIs" dxfId="55" priority="45" operator="lessThan">
      <formula>35</formula>
    </cfRule>
  </conditionalFormatting>
  <conditionalFormatting sqref="B2553">
    <cfRule type="cellIs" dxfId="54" priority="40" operator="greaterThan">
      <formula>350</formula>
    </cfRule>
    <cfRule type="cellIs" dxfId="53" priority="41" operator="between">
      <formula>250</formula>
      <formula>350</formula>
    </cfRule>
    <cfRule type="cellIs" dxfId="52" priority="42" operator="lessThan">
      <formula>250</formula>
    </cfRule>
  </conditionalFormatting>
  <conditionalFormatting sqref="B2554">
    <cfRule type="cellIs" dxfId="51" priority="35" operator="lessThan">
      <formula>0.8</formula>
    </cfRule>
    <cfRule type="cellIs" dxfId="50" priority="36" operator="between">
      <formula>0.8</formula>
      <formula>0.99999</formula>
    </cfRule>
    <cfRule type="cellIs" dxfId="49" priority="37" operator="between">
      <formula>1</formula>
      <formula>1.3</formula>
    </cfRule>
    <cfRule type="cellIs" dxfId="48" priority="38" operator="between">
      <formula>1.3</formula>
      <formula>1.5</formula>
    </cfRule>
    <cfRule type="cellIs" dxfId="47" priority="39" operator="greaterThan">
      <formula>1.5</formula>
    </cfRule>
  </conditionalFormatting>
  <conditionalFormatting sqref="B2556">
    <cfRule type="cellIs" dxfId="46" priority="32" operator="greaterThan">
      <formula>1.6</formula>
    </cfRule>
    <cfRule type="cellIs" dxfId="45" priority="33" operator="between">
      <formula>1.5</formula>
      <formula>1.6</formula>
    </cfRule>
    <cfRule type="cellIs" dxfId="44" priority="34" operator="lessThan">
      <formula>1.5</formula>
    </cfRule>
  </conditionalFormatting>
  <conditionalFormatting sqref="B2557">
    <cfRule type="cellIs" dxfId="43" priority="29" operator="between">
      <formula>500</formula>
      <formula>10000</formula>
    </cfRule>
    <cfRule type="cellIs" dxfId="42" priority="30" operator="between">
      <formula>200</formula>
      <formula>499</formula>
    </cfRule>
    <cfRule type="cellIs" dxfId="41" priority="31" operator="between">
      <formula>1</formula>
      <formula>199</formula>
    </cfRule>
  </conditionalFormatting>
  <conditionalFormatting sqref="B2559">
    <cfRule type="cellIs" dxfId="40" priority="26" operator="greaterThan">
      <formula>50</formula>
    </cfRule>
    <cfRule type="cellIs" dxfId="39" priority="27" operator="between">
      <formula>35</formula>
      <formula>50</formula>
    </cfRule>
    <cfRule type="cellIs" dxfId="38" priority="28" operator="lessThan">
      <formula>35</formula>
    </cfRule>
  </conditionalFormatting>
  <conditionalFormatting sqref="B2560">
    <cfRule type="cellIs" dxfId="37" priority="23" operator="greaterThan">
      <formula>350</formula>
    </cfRule>
    <cfRule type="cellIs" dxfId="36" priority="24" operator="between">
      <formula>250</formula>
      <formula>350</formula>
    </cfRule>
    <cfRule type="cellIs" dxfId="35" priority="25" operator="lessThan">
      <formula>250</formula>
    </cfRule>
  </conditionalFormatting>
  <conditionalFormatting sqref="B2561">
    <cfRule type="cellIs" dxfId="34" priority="18" operator="lessThan">
      <formula>0.8</formula>
    </cfRule>
    <cfRule type="cellIs" dxfId="33" priority="19" operator="between">
      <formula>0.8</formula>
      <formula>0.99999</formula>
    </cfRule>
    <cfRule type="cellIs" dxfId="32" priority="20" operator="between">
      <formula>1</formula>
      <formula>1.3</formula>
    </cfRule>
    <cfRule type="cellIs" dxfId="31" priority="21" operator="between">
      <formula>1.3</formula>
      <formula>1.5</formula>
    </cfRule>
    <cfRule type="cellIs" dxfId="30" priority="22" operator="greaterThan">
      <formula>1.5</formula>
    </cfRule>
  </conditionalFormatting>
  <conditionalFormatting sqref="B2563">
    <cfRule type="cellIs" dxfId="29" priority="15" operator="greaterThan">
      <formula>1.6</formula>
    </cfRule>
    <cfRule type="cellIs" dxfId="28" priority="16" operator="between">
      <formula>1.5</formula>
      <formula>1.6</formula>
    </cfRule>
    <cfRule type="cellIs" dxfId="27" priority="17" operator="lessThan">
      <formula>1.5</formula>
    </cfRule>
  </conditionalFormatting>
  <conditionalFormatting sqref="B2564">
    <cfRule type="cellIs" dxfId="26" priority="12" operator="between">
      <formula>500</formula>
      <formula>10000</formula>
    </cfRule>
    <cfRule type="cellIs" dxfId="25" priority="13" operator="between">
      <formula>200</formula>
      <formula>499</formula>
    </cfRule>
    <cfRule type="cellIs" dxfId="24" priority="14" operator="between">
      <formula>1</formula>
      <formula>199</formula>
    </cfRule>
  </conditionalFormatting>
  <conditionalFormatting sqref="K1:K1048576">
    <cfRule type="colorScale" priority="6366">
      <colorScale>
        <cfvo type="min"/>
        <cfvo type="percentile" val="50"/>
        <cfvo type="max"/>
        <color rgb="FF63BE7B"/>
        <color rgb="FFFCFCFF"/>
        <color rgb="FFF8696B"/>
      </colorScale>
    </cfRule>
  </conditionalFormatting>
  <conditionalFormatting sqref="M1:M1048576">
    <cfRule type="colorScale" priority="2668">
      <colorScale>
        <cfvo type="min"/>
        <cfvo type="percentile" val="50"/>
        <cfvo type="max"/>
        <color rgb="FF63BE7B"/>
        <color rgb="FFFFEB84"/>
        <color rgb="FFF8696B"/>
      </colorScale>
    </cfRule>
  </conditionalFormatting>
  <conditionalFormatting sqref="N1512:N9999">
    <cfRule type="colorScale" priority="3013">
      <colorScale>
        <cfvo type="min"/>
        <cfvo type="percentile" val="50"/>
        <cfvo type="max"/>
        <color rgb="FF63BE7B"/>
        <color rgb="FFFFEB84"/>
        <color rgb="FFF8696B"/>
      </colorScale>
    </cfRule>
  </conditionalFormatting>
  <conditionalFormatting sqref="S1:S1048576">
    <cfRule type="cellIs" dxfId="23" priority="1058" operator="between">
      <formula>0.1</formula>
      <formula>1.5</formula>
    </cfRule>
    <cfRule type="cellIs" dxfId="22" priority="1059" operator="between">
      <formula>1.5</formula>
      <formula>1.6</formula>
    </cfRule>
    <cfRule type="cellIs" dxfId="21" priority="1060" operator="between">
      <formula>1.6</formula>
      <formula>3</formula>
    </cfRule>
  </conditionalFormatting>
  <conditionalFormatting sqref="T1:T1048576">
    <cfRule type="colorScale" priority="6363">
      <colorScale>
        <cfvo type="min"/>
        <cfvo type="percentile" val="50"/>
        <cfvo type="max"/>
        <color rgb="FF63BE7B"/>
        <color rgb="FFFFEB84"/>
        <color rgb="FFF8696B"/>
      </colorScale>
    </cfRule>
  </conditionalFormatting>
  <conditionalFormatting sqref="U1:U1048576">
    <cfRule type="colorScale" priority="6362">
      <colorScale>
        <cfvo type="min"/>
        <cfvo type="percentile" val="50"/>
        <cfvo type="max"/>
        <color rgb="FF63BE7B"/>
        <color rgb="FFFFEB84"/>
        <color rgb="FFF8696B"/>
      </colorScale>
    </cfRule>
  </conditionalFormatting>
  <conditionalFormatting sqref="V2:V1048576">
    <cfRule type="cellIs" dxfId="20" priority="3010" operator="greaterThan">
      <formula>5</formula>
    </cfRule>
    <cfRule type="cellIs" dxfId="19" priority="3011" operator="between">
      <formula>-25</formula>
      <formula>5</formula>
    </cfRule>
    <cfRule type="cellIs" dxfId="18" priority="3012" operator="lessThan">
      <formula>-25</formula>
    </cfRule>
  </conditionalFormatting>
  <conditionalFormatting sqref="W2:W2564">
    <cfRule type="cellIs" dxfId="17" priority="3718" operator="lessThan">
      <formula>0.8</formula>
    </cfRule>
    <cfRule type="cellIs" dxfId="16" priority="4439" operator="between">
      <formula>0.8</formula>
      <formula>0.99999</formula>
    </cfRule>
    <cfRule type="cellIs" dxfId="15" priority="4440" operator="between">
      <formula>1</formula>
      <formula>1.3</formula>
    </cfRule>
    <cfRule type="cellIs" dxfId="14" priority="4441" operator="between">
      <formula>1.3</formula>
      <formula>1.5</formula>
    </cfRule>
    <cfRule type="cellIs" dxfId="13" priority="4443" operator="greaterThan">
      <formula>1.5</formula>
    </cfRule>
  </conditionalFormatting>
  <conditionalFormatting sqref="X1:X1048576">
    <cfRule type="colorScale" priority="1">
      <colorScale>
        <cfvo type="min"/>
        <cfvo type="percentile" val="50"/>
        <cfvo type="max"/>
        <color rgb="FF63BE7B"/>
        <color rgb="FFFCFCFF"/>
        <color rgb="FFF8696B"/>
      </colorScale>
    </cfRule>
  </conditionalFormatting>
  <conditionalFormatting sqref="Z1:Z1048576">
    <cfRule type="colorScale" priority="2">
      <colorScale>
        <cfvo type="min"/>
        <cfvo type="percentile" val="50"/>
        <cfvo type="max"/>
        <color rgb="FF63BE7B"/>
        <color rgb="FFFFEB84"/>
        <color rgb="FFF8696B"/>
      </colorScale>
    </cfRule>
  </conditionalFormatting>
  <conditionalFormatting sqref="AA2131:AA2138">
    <cfRule type="colorScale" priority="10">
      <colorScale>
        <cfvo type="min"/>
        <cfvo type="percentile" val="50"/>
        <cfvo type="max"/>
        <color rgb="FF63BE7B"/>
        <color rgb="FFFFEB84"/>
        <color rgb="FFF8696B"/>
      </colorScale>
    </cfRule>
  </conditionalFormatting>
  <conditionalFormatting sqref="AA2139:AA2564">
    <cfRule type="colorScale" priority="8">
      <colorScale>
        <cfvo type="min"/>
        <cfvo type="percentile" val="50"/>
        <cfvo type="max"/>
        <color rgb="FF63BE7B"/>
        <color rgb="FFFFEB84"/>
        <color rgb="FFF8696B"/>
      </colorScale>
    </cfRule>
  </conditionalFormatting>
  <conditionalFormatting sqref="AB2:AD1048576">
    <cfRule type="cellIs" dxfId="12" priority="3" operator="lessThan">
      <formula>0.8</formula>
    </cfRule>
    <cfRule type="cellIs" dxfId="11" priority="4" operator="between">
      <formula>0.8</formula>
      <formula>0.99999</formula>
    </cfRule>
    <cfRule type="cellIs" dxfId="10" priority="5" operator="between">
      <formula>1</formula>
      <formula>1.3</formula>
    </cfRule>
    <cfRule type="cellIs" dxfId="9" priority="6" operator="between">
      <formula>1.3</formula>
      <formula>1.5</formula>
    </cfRule>
    <cfRule type="cellIs" dxfId="8" priority="7" operator="greaterThan">
      <formula>1.5</formula>
    </cfRule>
  </conditionalFormatting>
  <dataValidations count="2">
    <dataValidation type="list" operator="equal" allowBlank="1" showDropDown="1" sqref="G150:H150 F154:G159 C68:H68 F77:G78 F80:G81 F85:G89 F5:H46 C2:E67 F91:G93 F95:G96 F123:G124 F133:G138 F98:G103 C69:E82 C84:E121 C123:E139 C141:E141 F112:G117 F126:G131 F250:I250 F143:F150 F151:G152 D171:H171 F2:N2 F3:H3 G262:G263 F259:G260 F246:F248 F252:G256 G267:G278 F175:G180 F161:G166 F182:G187 F189:G194 F287:G292 F48:H67 F298:F299 F172:G173 D143:E170 F119:G121 F168:G170 J67:J148 F322:F324 F354:F355 F224:F228 G143:G148 F70:G74 C83:G83 J3:M66 G265:I265 F270:F271 F301:G306 F308:F310 F350:F352 F343:G348 C140:G140 F294:F296 F336:F338 G308:G313 F273:F278 F262:F264 F266:F268 F284:F285 G294:G299 F312:F313 F315:G320 G322:G327 F326:F327 F329:G334 G336:G341 F340:F341 G350:G355 H70:H149 B135:B140 C122:G122 H151:H170 H172:H249 F105:G110 F357:F361 G357:G366 C143:C366 B1108:B1113 I3:I140 G230:G248 F230:F236 G196:G228 F196:F222 I142:I249 H251:I264 L67:M148 F1179:F1180 D172:E366 G280:G285 F280:F282 K67:K366 H266:I366 B870:B875 L150:M366 J150:J366 F363:F366 F553:F558 F623:F628 F581:F586 F416:F418 F676:F677 F448:F453 F367:I367 F574:F579 F652:F656 F567:F572 F630:F635 F704:F705 F644:F645 F647:F648 F588:F593 F616:F621 F650 F609:F614 F595:F600 F602:F607 F637:F641 F725:F726 F707:F709 F369:F373 F490:F495 F462:F467 F441:F446 F434:F439 F511:F512 F514:F515 F721:F723 F476:F481 F519:F520 F517 F683:F684 F560:F565 F469:F474 F504:F508 F497:F502 F427:F432 F420:F425 F549:F551 F662:F663 F665:F667 F686:F688 F669:F670 F483:F488 F718:F719 F728:F733 F658:F660 F679:F681 F697:F698 C367:E732 F700:F702 F455:F460 F672:F674 F690:F691 F693:F695 F711:F712 F714:F716 B79:B84 B646:B651 B653:B658 B660:B665 B667:B672 B674:B679 B681:B686 B688:B693 B695:B700 B702:B707 B709:B714 B716:B721 B9:B14 B723:B728 B639:B644 B632:B637 B625:B630 B618:B623 B611:B616 B604:B609 B597:B602 B590:B595 B583:B588 B576:B581 B569:B574 B562:B567 B555:B560 B548:B553 B541:B546 B534:B539 B527:B532 B520:B525 B513:B518 B506:B511 B499:B504 B492:B497 B485:B490 B478:B483 B471:B476 B464:B469 B457:B462 B450:B455 B443:B448 B436:B441 B429:B434 B422:B427 B415:B420 B408:B413 B401:B406 B394:B399 B387:B392 B380:B385 B373:B378 B366:B371 B359:B364 B352:B357 B345:B350 B338:B343 B331:B336 B324:B329 B317:B322 B310:B315 B303:B308 B296:B301 B289:B294 B282:B287 B275:B280 B268:B273 B261:B266 B254:B259 B247:B252 B240:B245 B233:B238 B226:B231 B219:B224 B212:B217 B205:B210 B198:B203 B191:B196 B184:B189 B177:B182 B170:B175 B163:B168 B156:B161 B149:B154 B44:B49 B142:B147 B128:B133 B121:B126 B114:B119 B107:B112 B100:B105 B93:B98 B86:B91 B72:B77 B65:B70 B58:B63 B51:B56 C142:G142 B37:B42 F811:F816 B30:B35 B23:B28 B16:B21 B2:B7 B730:B735 A2194 F735:F747 F749:F754 F756:F761 F763:F768 F770:F775 F777:F782 F784:F789 X840:Y841 X812:Y817 X798:Y803 X791:Y796 F791:F795 B1031:B1036 X826:Y831 X833:Y838 X819:Y822 F881:F886 X805:Y810 F910:F922 F902:F908 F825:F830 B737:B742 B744:B749 B751:B756 B758:B763 B765:B770 B772:B777 B779:B784 B786:B791 B793:B798 B800:B805 B807:B812 B814:B819 B821:B826 B828:B833 B835:B840 B842:B847 B849:B854 B856:B861 B863:B868 F804:F809 B877:B882 B884:B889 B891:B896 B898:B903 B905:B910 B912:B917 B919:B924 B926:B931 B933:B938 B940:B945 B947:B952 B954:B959 B961:B966 B968:B973 B975:B980 B982:B987 B989:B994 B996:B1001 B1003:B1008 B1010:B1015 B1017:B1022 B1024:B1029 B1038:B1043 B1045:B1050 B1052:B1057 B1059:B1064 B1066:B1071 B1073:B1078 B1080:B1085 B1087:B1092 B1094:B1099 B1101:B1106 G368:I732 F1028 F1022:F1023 F1025:F1026 F1078:F1081 F1085:F1088 F1050:F1053 F1071:F1074 F1041 F1099:F1173 F1092:F1097 F1030:F1039 F818:F823 F797:F802 X930:Y932 J367:M732 X766:Y768 X770:Y775 X777:Y782 X784:Y789 F839:F844 F846:F851 F874:F879 F860:F865 F888:F893 F895:F900 F832:F837 F853:F858 F867:F872 F1048 F924:F1019 F1090 B1115:B1120 F1462 F1069 F1055 F1182 F1176:F1177 B1122:B1127 B1129:B1134 B1136:B1141 B1143:B1148 B1150:B1155 B1157:B1162 B1164:B1169 B1171:B1176 B1178:B1183 B1185:B1190 B1192:B1197 B1199:B1204 B1206:B1211 B1213:B1218 B1220:B1225 B1227:B1232 B1234:B1239 B1241:B1246 B1248:B1253 B1255:B1260 B1262:B1267 B1269:B1274 B1276:B1281 B1283:B1288 B1290:B1295 B1297:B1302 B1304:B1309 B1311:B1316 B1318:B1323 B1325:B1330 B1332:B1337 B1339:B1344 B1346:B1351 B1353:B1358 B1360:B1365 B1367:B1372 B1374:B1379 B1381:B1386 B1388:B1393 B1395:B1400 B1402:B1407 B1409:B1414 B1416:B1421 B1423:B1428 B1430:B1435 B1437:B1442 B1444:B1449 B1451:B1456 B1458:B1463 F1043:F1046 Z1799:Z1800 F1625:F1628 F1458:F1460 F1076 F1083 F1062 F1057:F1060 F1064:F1067 F1184:F1318 F1778:F1779 F1605:F1607 F1395 F1374 D738:E2564 B1465:B1470 B1479:B1484 B1472:B1477 N3:N2564 B1486:B1491 B1493:B1498 B1500:B1505 B1507:B1512 B1514:B1519 B1521:B1526 B1528:B1533 B1535:B1540 B1542:B1547 B1549:B1554 B1556:B1561 B1563:B1568 B1570:B1575 B1577:B1582 B1584:B1589 B1591:B1596 B1598:B1603 B1605:B1610 B1612:B1617 B1619:B1624 B1626:B1631 B1633:B1638 B1640:B1645 B1647:B1652 B1654:B1659 B1661:B1666 B1668:B1673 B1675:B1680 B1682:B1687 B1689:B1694 B1696:B1701 B1703:B1708 B1710:B1715 B1717:B1722 B1724:B1729 B1731:B1736 B1738:B1743 B1745:B1750 B1752:B1757 B1759:B1764 B1766:B1771 B1773:B1778 B1780:B1785 B1787:B1792 B1794:B1799 B1801:B1806 B1808:B1813 B1815:B1820 B1822:B1827 X1611:Y1612 F1616 F1611:F1614 X1606:Y1607 F1464:F1600 X1473:Y1600 X1609:Y1609 X1603:Y1604 F1632:F1635 F1639:F1642 F1646:F1649 F1781:F1782 Z1807:Z1808 F1360 Z1802:Z1803 F1409 F1402 F1451 F1416 F1444 F1437 F1630 G738:G1520 F1786:F1810 F1388 F1339 F1346 F1653:F1656 F1353 F1667:F1775 Z1669:Z1796 Z1805 F1618:F1621 F1658 F1603 F1665 F1644 F1637 F1623 F1651 F1367 F1381 F1784 F1325 F1332 F1423 F1430 F1609 F1814:F1817 A2159 A2152 F1826 F1821:F1824 A2166 F1812 F1819 F1660:F1663 G1522:G2564 A1851 B2188:B2190 A1858 A1865 A1872 A1935 A1879 A1886 A1893 A1900 A1907 A1914 A1921 B1866:B1868 A1928 A1942 A2173 A1949 A1837 B2405:B2407 A1956 A1830 A1963 A1970 A1977 A1984 A1991 A1998 A2005 A2012 A2019 A2026 A2033 A2040 A2047 A2054 A2061 A2068 A2075 A2082 A2089 A2096 A2103 A2110 A2117 A2124 A2131 A2138 A2145 F1828:F1927 A2187 A1 C1:N1 B1908:B1910 B1901:B1903 B1894:B1896 B1887:B1889 B1880:B1882 B1873:B1875 A1844 B1859:B1861 B1852:B1854 B1845:B1847 B1838:B1840 B1831:B1833 B1829 B1915:B1917 B1922:B1924 B1929:B1931 B1936:B1938 B1943:B1945 B1950:B1952 B1957:B1959 B1964:B1966 B1971:B1973 B1978:B1980 B1985:B1987 B1992:B1994 B1999:B2001 B2006:B2008 B2013:B2015 B2020:B2022 B2027:B2029 B2034:B2036 B2041:B2043 B2048:B2050 B2055:B2057 B2062:B2064 B2069:B2071 B2076:B2078 B2083:B2085 B2090:B2092 B2097:B2099 B2104:B2106 B2111:B2113 B2118:B2120 B2125:B2127 B2132:B2134 B2139:B2141 B2146:B2148 B2153:B2155 B2160:B2162 B2167:B2169 B2174:B2176 B2181:B2183 F2130 A2180 B2195:B2197 C733:C32156 B2321:B2323 A2537 B2202:B2204 A2201 A2208 B2209:B2211 A2215 B2216:B2218 A2222 B2223:B2225 A2229 B2230:B2232 B2237:B2239 A2236 A2243 B2244:B2246 B2251:B2253 A2250 A2257 B2258:B2260 B2265:B2267 A2264 A2271 B2272:B2274 B2279:B2281 A2278 B2286:B2288 A2285 B2293:B2295 A2292 B2300:B2302 A2299 B2307:B2309 A2306 B2314:B2316 A2313 B2531:B2533 A2320 D2565:N32156 B2538:B2540 B2559:B2561 B2545:B2547 A2544 B2552:B2554 A2551 B2565:B32156 A2558 A2327 B2328:B2330 A2334 B2335:B2337 A2341 B2342:B2344 A2348 B2349:B2351 B2356:B2358 A2355 B2363:B2365 A2362 B2370:B2372 A2369 B2377:B2379 A2376 B2384:B2386 A2383 B2391:B2393 A2390 B2398:B2400 A2397 A2404 F1949:F2128 A2411 B2412:B2414 A2418 B2419:B2421 A2425 B2426:B2428 A2432 B2433:B2435 A2439 B2440:B2442 A2446 B2447:B2449 A2453 B2454:B2456 A2460 B2461:B2463 A2467 B2468:B2470 A2474 B2475:B2477 A2481 B2482:B2484 A2488 B2489:B2491 A2495 B2496:B2498 A2502 B2503:B2505 A2509 B2510:B2512 A2516 B2517:B2519 A2523 B2524:B2526 A2530 F2558:F2564 F2459 H733:M2564 F2466 F2417:F2424 F2431 F2438 F2446:F2452 F2474:F2494 F2132:F2410" xr:uid="{00000000-0002-0000-0B00-000000000000}">
      <formula1>"ASICS GEL 11-50,ASICS GT 21-40,ASICS GT 21-60"</formula1>
      <formula2>0</formula2>
    </dataValidation>
    <dataValidation type="list" operator="equal" allowBlank="1" sqref="P1 F521:F548 F374:F415" xr:uid="{7F13E69C-08C3-4E6E-80B2-FDF761DF2227}">
      <formula1>"ASICS GEL 11-50,ASICS GT 21-40,ASICS GT 21-60"</formula1>
      <formula2>0</formula2>
    </dataValidation>
  </dataValidations>
  <hyperlinks>
    <hyperlink ref="F1044" r:id="rId1" xr:uid="{3C9F8551-C14D-496E-9796-48C14AE9EE2E}"/>
  </hyperlinks>
  <pageMargins left="0.74791666666666667" right="0.74791666666666667" top="0.98402777777777772" bottom="0.98402777777777772" header="0.51180555555555551" footer="0.51180555555555551"/>
  <pageSetup paperSize="9" scale="67" firstPageNumber="0" fitToHeight="0" orientation="portrait" r:id="rId2"/>
  <ignoredErrors>
    <ignoredError sqref="D674 D158:D167 D2:D4 C1:D1 D5:D157 B2:C4 D168:D226 B158:C162 D234:D366 D227:D233 D602:D604 D581:D600 D606:D607 D532:D579 D467:D530 D438:D466 D431:D435 D368:D430 D436:D437 D609 D611 D614 D616 D618 D624:D632 D634 D637 D639 D641 D644:D648 D650 D653 D659:D662 D665 D667 D671 D677 D679 D681 D683 B164:C167 C163" numberStoredAsText="1"/>
    <ignoredError sqref="N227:N233 T227:V233 F5:I19 F439:L444 F368:L381 F672:L673 F168:L171 F675:L675 C674 I674 F739:L740 B677:C677 B676:D676 G676:L676 F680:L680 B678:D678 G678:L678 I677 B679:C679 I679 F682:L682 C681 F681 I681 F684:L684 B683:C683 F683 F701:L701 F686:L687 B685:C685 F685 I683 F689:L689 C688 I685 I688 F691:L691 B690:C690 I690 F694:L694 B692:D692 B693:C693 G692:L693 B738:C738 C737:D737 G737:L737 B736:C736 I736 C744:D745 F696:L696 C695 C702 I702 C793 I793 C805 C800:C801 I807 C752:D752 C747:D747 G749:L750 C759:D759 G754:L755 C766:D766 C762:D762 G762:L762 C773:D773 C768:D768 G768:L768 C780:D780 C775:D775 G775:L775 G782:L785 C788:D788 C798 C794:D795 C802:D802 G802:L802 G810:L810 I842 C913:D913 I835 C741:C743 H741:L741 B700:C701 B699:D699 G699:L699 B698:C698 B697:D697 G697:L697 I695 I698 I700 K367 B703:C704 F703:L703 F710:L710 C709:D709 G709:L709 F708:L708 B705:D705 I704 F715:L715 H711:L713 B711:C714 I714 G808:L808 G813:L813 G822:L823 G836:L836 G871:L871 G843:L843 G888:L888 F735:L735 B734:C734 I734 F733:L733 I732 F722:L722 B718:D718 G718:L718 B719:C719 I719 B720:D720 G720:L720 B721:C721 I721 F717:L717 C716 I716 H886:L886 B706:C707 G705:L707 C806:D806 G806 I805 C799:D799 G799:L799 G794:L795 G780:L780 G766:L766 I727 G728:L728 C723 I723 B731:C732 C730 I729 B724:C729 G724:L726 G730:L731 G759:L759 I738 G744:L745 G752:L752 G787:L788 I798 I742:I743 C746 I746 G747:J747 L747 C749:D750 C748 I748 C751 I751 K751 I753 C753:C758 G757:L757 I756 I758 G834 I834:L834 C760:C761 I760:I761 C764:D764 C763 G764:L764 I763 C765 I765 C767 I767 C770:D770 C769 C771:C772 G770:L770 I769 G772:L773 I771 C774 I774 C778:D778 G778:L778 C776:C777 I776:I777 C779 I779 F21:I46 G20:I20 F48:I78 G47:I47 F80:I137 G79:I79 F173:L178 G172:L172 F180:L185 G179:L179 F187:L238 G186:L186 F256:L264 G255:L255 F320:L326 G319:L319 F334:L339 G333:L333 F341:L353 G340:L340 F355:L366 G354:L354 F383:L412 G382:L382 F434:L437 G433:L433 G438:L438 F446:L446 G445:L445 C781:C787 I781 I786 C790:D792 C789 G790:L792 I789 C797:D797 C796 G797:L797 I796 I800:I801 C804:D804 C803 G804:L804 I803 I806:J806 L806 C807:C912 F414:L431 G413:L413 F448:L474 G447:L447 F632:L670 G631:L631 F476:L485 G475:L475 F487:L493 G486:L486 F495:L500 G494:L494 F502:L630 G501:L501 I809 I811:I812 F139:I157 F138:G138 I819 P227:R233 G815:L815 I814 B717:D717 B722:D722 B733:D733 B735:D735 B715:D715 B708:D708 B710:D710 B696:D696 B694:D694 B691:D691 B689:D689 B686:D687 B684:D684 B682:D682 B680:D680 C739:D740 B675:D675 B672:D673 G817:L817 I816 I818 I820 I821 G825:L825 I824 G827:L827 I826 G829:L829 I828 G831:L831 I830:J830 I833 I832 G838:L838 I837 G841:L841 I839 I840 G845:L845 I844 G848:L848 I846 I847 G850:L851 I849 G853:L853 I852 G855:L855 I854 G857:L857 I856 G859:L859 I858 G862:L862 I860 I861 G864:L864 I863 G866:L866 I865 G869:L869 I867 I868 G873:L874 I872 G878:L878 I877 I875 I876 G880:L880 I879 G882:L882 I881 G884:L884 I883 I885 G915:L916 I887 G890:L890 I889 G892:L892 I891 G922:L923 I921 G894:L894 I893 G897:L897 I895 I896 G899:L899 I898 G901:L901 I900 G903:L903 I902 G906:L908 I904 I905 G912:L913 I911 G920:L920 G918 I918:J918 L918 C915:D915 C914 G910:L910 I909 C917 C916 C920:D920 C918 I917 C919 I919 C922:D923 C921 C925:D925 C924 C927:D927 C926 C929:D930 C928 G925:L925 I924 G929:L930 I928 G927:L927 I926 C932:D932 C931 G932:L932 I931 C934:D936 C933 G934:L936 I933 G941:L941 I940 C941:D941 C938 C937 C939 C940 G938:L938 I937 I939 C943:D943 C942 G943:L943 I942 C946:D946 C944 F240:L254 F239:G239 I239:L239 F266:L277 F265:G265 I265:L265 F279:L318 F278:G278 I278:L278 F328:L332 F327:G327 I327:L327 F432:G432 I432:L432 F671:J671 L671 G946:L946 I944 C945 I945 C948:D948 C947 G948:L948 I947 C950 C949 I950 I949 B1927 B1934 B1941 B1948 B1955 B1969 B1976 B1990 B1997 B2004 B2011 B2018 B2025 B2032 B2039 B2046 B2053 B2060 B2067 B2074 B2081 B2088 B2095 B2102 B2109 B2116 B2123 B2130 B1899 B2200 B2207 B2214" formulaRange="1"/>
    <ignoredError sqref="B671:C671 C667 B668:D670 B665:C665 B666:D666 B659:C659 B663:D664 C653 B654:D658 B650:C650 B651:D652 B644:C645 B649:D649 B641:C641 B642:D643 C639 B640:D640 B637:C637 B638:D638 B634:C634 B635:D636 B624:C624 B633:D633 C618 B619:D620 B616:C616 B617:D617 B614:C614 B615:D615 C611 B612:D613 B609:C609 B610:D610 B606:C607 B608:D608 B467:C470 B227:B232 B431:C435 B437:C437 B234:C239 B367:C372 B438:C442 B531:D531 B532:C533 B580:D580 B602:C603 B605:D605 B581:C582 B601:D601 B168:C169 C227:C233 B5:C29 B622:D623 B621:C621 B31:C36 C30 B38:C43 C37 B45:C50 C44 B52:C57 C51 B59:C64 C58 B66:C71 C65 B73:C78 C72 B80:C85 C79 B87:C92 C86 B94:C99 C93 B101:C106 C100 B108:C113 C107 B115:C120 C114 B122:C127 C121 B129:C134 C128 B136:C141 C135 B143:C148 C142 B150:C155 C149 B157:C157 C156 B171:C176 C170 B178:C183 C177 B185:C190 C184 B192:C197 C191 B199:C204 C198 B206:C211 C205 B213:C218 C212 B220:C225 C219 C226 B241:C246 C240 B248:C253 C247 B255:C260 C254 B262:C267 C261 B269:C274 C268 B276:C281 C275 B283:C288 C282 B290:C295 C289 B297:C302 C296 B304:C309 C303 B311:C316 C310 B318:C323 C317 B325:C330 C324 B332:C337 C331 B339:C344 C338 B346:C351 C345 B353:C358 C352 B360:C365 C359 C366 B374:C379 C373 B381:C386 C380 B388:C393 C387 B395:C400 C394 B402:C407 C401 B409:C414 C408 B416:C421 C415 B423:C428 C422 B430:C430 C429 C436 B444:C449 C443 B451:C456 C450 B458:C463 C457 B465:C466 C464 B472:C477 C471 B479:C484 C478 B486:C491 C485 B493:C498 C492 B500:C505 C499 B507:C512 C506 B514:C519 C513 B521:C526 C520 B528:C530 C527 B535:C540 C534 B542:C547 C541 B549:C554 C548 B556:C561 C555 B563:C568 C562 B570:C575 C569 B577:C579 C576 B584:C589 C583 B591:C596 C590 B598:C600 C597 C604 B626:C631 C625 C632 B647:C648 C646 B661:C662 C660" numberStoredAsText="1" formulaRange="1"/>
    <ignoredError sqref="H278" formula="1" formulaRange="1"/>
    <ignoredError sqref="K989" formula="1"/>
  </ignoredError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2000000}">
          <x14:formula1>
            <xm:f>Schuhe!$H$14:$H$17</xm:f>
          </x14:formula1>
          <xm:sqref>P2:S72</xm:sqref>
        </x14:dataValidation>
        <x14:dataValidation type="list" allowBlank="1" showInputMessage="1" showErrorMessage="1" xr:uid="{3D9B6421-6C2B-45E5-A089-88DB42FED6D1}">
          <x14:formula1>
            <xm:f>Schuhe!$A$9:$A$16</xm:f>
          </x14:formula1>
          <xm:sqref>O1:O1048576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B481"/>
  <sheetViews>
    <sheetView zoomScaleNormal="100" workbookViewId="0">
      <selection activeCell="AC17" sqref="AC17"/>
    </sheetView>
  </sheetViews>
  <sheetFormatPr baseColWidth="10" defaultColWidth="8.5" defaultRowHeight="14" x14ac:dyDescent="0.15"/>
  <cols>
    <col min="1" max="1" width="4.1640625" style="399" bestFit="1" customWidth="1"/>
    <col min="2" max="2" width="6.33203125" style="399" bestFit="1" customWidth="1"/>
    <col min="3" max="3" width="6" style="399" bestFit="1" customWidth="1"/>
    <col min="4" max="4" width="1" style="399" customWidth="1"/>
    <col min="5" max="5" width="6" style="399" bestFit="1" customWidth="1"/>
    <col min="6" max="6" width="4.5" style="399" bestFit="1" customWidth="1"/>
    <col min="7" max="7" width="2.33203125" style="399" customWidth="1"/>
    <col min="8" max="8" width="4.5" style="399" bestFit="1" customWidth="1"/>
    <col min="9" max="10" width="2.1640625" style="399" customWidth="1"/>
    <col min="11" max="11" width="2" style="399" customWidth="1"/>
    <col min="12" max="12" width="10.1640625" style="402" bestFit="1" customWidth="1"/>
    <col min="13" max="13" width="7.1640625" style="403" bestFit="1" customWidth="1"/>
    <col min="14" max="14" width="7.1640625" style="399" customWidth="1"/>
    <col min="15" max="15" width="6.1640625" style="399" customWidth="1"/>
    <col min="16" max="16" width="5.1640625" style="399" customWidth="1"/>
    <col min="17" max="17" width="7.1640625" style="399" bestFit="1" customWidth="1"/>
    <col min="18" max="18" width="6.5" style="399" customWidth="1"/>
    <col min="19" max="19" width="5" style="398" bestFit="1" customWidth="1"/>
    <col min="20" max="20" width="3.83203125" style="398" customWidth="1"/>
    <col min="21" max="21" width="9.33203125" style="398" bestFit="1" customWidth="1"/>
    <col min="22" max="22" width="3" style="398" bestFit="1" customWidth="1"/>
    <col min="23" max="23" width="1.33203125" style="398" customWidth="1"/>
    <col min="24" max="24" width="4.83203125" style="398" customWidth="1"/>
    <col min="25" max="25" width="9.33203125" style="398" bestFit="1" customWidth="1"/>
    <col min="26" max="26" width="13.5" style="398" customWidth="1"/>
    <col min="27" max="27" width="13.1640625" style="398" customWidth="1"/>
    <col min="28" max="16384" width="8.5" style="398"/>
  </cols>
  <sheetData>
    <row r="1" spans="1:28" ht="17" thickBot="1" x14ac:dyDescent="0.2">
      <c r="A1" s="692"/>
      <c r="B1" s="693" t="s">
        <v>820</v>
      </c>
      <c r="C1" s="3447" t="s">
        <v>441</v>
      </c>
      <c r="D1" s="3448"/>
      <c r="E1" s="3449"/>
      <c r="F1" s="3450" t="s">
        <v>493</v>
      </c>
      <c r="G1" s="3451"/>
      <c r="H1" s="3452"/>
      <c r="I1" s="379"/>
      <c r="J1" s="379"/>
      <c r="K1" s="380"/>
      <c r="L1" s="775"/>
      <c r="M1" s="1023" t="s">
        <v>857</v>
      </c>
      <c r="N1" s="1024" t="s">
        <v>856</v>
      </c>
      <c r="O1" s="776"/>
      <c r="P1" s="392"/>
      <c r="Q1" s="734"/>
      <c r="R1" s="782"/>
      <c r="S1" s="782"/>
      <c r="T1" s="782"/>
      <c r="U1" s="782"/>
    </row>
    <row r="2" spans="1:28" ht="17" thickBot="1" x14ac:dyDescent="0.25">
      <c r="A2" s="694"/>
      <c r="B2" s="695" t="s">
        <v>754</v>
      </c>
      <c r="C2" s="696">
        <v>0.7</v>
      </c>
      <c r="D2" s="697" t="s">
        <v>437</v>
      </c>
      <c r="E2" s="698">
        <v>0.8</v>
      </c>
      <c r="F2" s="699">
        <f>C2*$F$8</f>
        <v>169.39999999999998</v>
      </c>
      <c r="G2" s="700" t="s">
        <v>437</v>
      </c>
      <c r="H2" s="701">
        <f t="shared" ref="H2:H7" si="0">E2*$F$8</f>
        <v>193.60000000000002</v>
      </c>
      <c r="I2" s="380"/>
      <c r="J2" s="380"/>
      <c r="K2" s="380"/>
      <c r="L2" s="777" t="s">
        <v>500</v>
      </c>
      <c r="M2" s="1018">
        <f>M4/M3</f>
        <v>3.6119402985074629</v>
      </c>
      <c r="N2" s="1019">
        <f>N4/M3</f>
        <v>3.6119402985074629</v>
      </c>
      <c r="O2" s="1015" t="s">
        <v>495</v>
      </c>
      <c r="P2" s="1012"/>
      <c r="Q2" s="734"/>
      <c r="R2" s="783"/>
      <c r="S2" s="3450" t="s">
        <v>753</v>
      </c>
      <c r="T2" s="3451"/>
      <c r="U2" s="3452"/>
      <c r="X2" s="399"/>
    </row>
    <row r="3" spans="1:28" ht="17" thickBot="1" x14ac:dyDescent="0.25">
      <c r="A3" s="694"/>
      <c r="B3" s="702" t="s">
        <v>755</v>
      </c>
      <c r="C3" s="703">
        <f>E2</f>
        <v>0.8</v>
      </c>
      <c r="D3" s="704" t="s">
        <v>437</v>
      </c>
      <c r="E3" s="705">
        <v>0.88</v>
      </c>
      <c r="F3" s="706">
        <f>H2+1</f>
        <v>194.60000000000002</v>
      </c>
      <c r="G3" s="707" t="s">
        <v>437</v>
      </c>
      <c r="H3" s="708">
        <f t="shared" si="0"/>
        <v>212.96</v>
      </c>
      <c r="I3" s="380"/>
      <c r="J3" s="380"/>
      <c r="K3" s="380"/>
      <c r="L3" s="778" t="s">
        <v>496</v>
      </c>
      <c r="M3" s="3496">
        <v>67</v>
      </c>
      <c r="N3" s="3497"/>
      <c r="O3" s="1016" t="s">
        <v>497</v>
      </c>
      <c r="P3" s="1013"/>
      <c r="Q3" s="734"/>
      <c r="R3" s="784" t="s">
        <v>754</v>
      </c>
      <c r="S3" s="3492">
        <f>S4</f>
        <v>1.0743369123297437</v>
      </c>
      <c r="T3" s="3493"/>
      <c r="U3" s="794" t="s">
        <v>517</v>
      </c>
      <c r="X3" s="399"/>
    </row>
    <row r="4" spans="1:28" ht="16" customHeight="1" x14ac:dyDescent="0.2">
      <c r="A4" s="694"/>
      <c r="B4" s="709" t="s">
        <v>756</v>
      </c>
      <c r="C4" s="710">
        <f>E3</f>
        <v>0.88</v>
      </c>
      <c r="D4" s="711" t="s">
        <v>437</v>
      </c>
      <c r="E4" s="712">
        <v>0.95</v>
      </c>
      <c r="F4" s="713">
        <f t="shared" ref="F4:F7" si="1">H3+1</f>
        <v>213.96</v>
      </c>
      <c r="G4" s="714" t="s">
        <v>437</v>
      </c>
      <c r="H4" s="715">
        <f t="shared" si="0"/>
        <v>229.89999999999998</v>
      </c>
      <c r="I4" s="380"/>
      <c r="J4" s="380"/>
      <c r="K4" s="380"/>
      <c r="L4" s="778" t="s">
        <v>494</v>
      </c>
      <c r="M4" s="1022">
        <v>242</v>
      </c>
      <c r="N4" s="1025">
        <v>242</v>
      </c>
      <c r="O4" s="1016" t="s">
        <v>506</v>
      </c>
      <c r="P4" s="1013"/>
      <c r="Q4" s="734"/>
      <c r="R4" s="788" t="s">
        <v>755</v>
      </c>
      <c r="S4" s="3490">
        <f>GETPIVOTDATA("ECOR",ECOR!$C$5)</f>
        <v>1.0743369123297437</v>
      </c>
      <c r="T4" s="3491"/>
      <c r="U4" s="795" t="s">
        <v>517</v>
      </c>
    </row>
    <row r="5" spans="1:28" ht="17" thickBot="1" x14ac:dyDescent="0.25">
      <c r="A5" s="694"/>
      <c r="B5" s="716" t="s">
        <v>757</v>
      </c>
      <c r="C5" s="717">
        <v>0.95</v>
      </c>
      <c r="D5" s="718" t="s">
        <v>437</v>
      </c>
      <c r="E5" s="719">
        <v>1.05</v>
      </c>
      <c r="F5" s="706">
        <f t="shared" si="1"/>
        <v>230.89999999999998</v>
      </c>
      <c r="G5" s="707" t="s">
        <v>437</v>
      </c>
      <c r="H5" s="708">
        <f t="shared" si="0"/>
        <v>254.10000000000002</v>
      </c>
      <c r="I5" s="380"/>
      <c r="J5" s="380"/>
      <c r="K5" s="380"/>
      <c r="L5" s="779" t="s">
        <v>508</v>
      </c>
      <c r="M5" s="1020">
        <f>M2/0.072</f>
        <v>50.165837479270323</v>
      </c>
      <c r="N5" s="1021">
        <f>N2/0.072</f>
        <v>50.165837479270323</v>
      </c>
      <c r="O5" s="1017" t="s">
        <v>501</v>
      </c>
      <c r="P5" s="1014"/>
      <c r="Q5" s="734"/>
      <c r="R5" s="789" t="s">
        <v>756</v>
      </c>
      <c r="S5" s="3494">
        <v>1.0669999999999999</v>
      </c>
      <c r="T5" s="3495"/>
      <c r="U5" s="796" t="s">
        <v>517</v>
      </c>
    </row>
    <row r="6" spans="1:28" ht="17" thickBot="1" x14ac:dyDescent="0.25">
      <c r="A6" s="694"/>
      <c r="B6" s="720" t="s">
        <v>758</v>
      </c>
      <c r="C6" s="721">
        <v>1.05</v>
      </c>
      <c r="D6" s="722" t="s">
        <v>437</v>
      </c>
      <c r="E6" s="723">
        <v>1.1499999999999999</v>
      </c>
      <c r="F6" s="706">
        <f t="shared" si="1"/>
        <v>255.10000000000002</v>
      </c>
      <c r="G6" s="707" t="s">
        <v>437</v>
      </c>
      <c r="H6" s="708">
        <f t="shared" si="0"/>
        <v>278.29999999999995</v>
      </c>
      <c r="I6" s="380"/>
      <c r="J6" s="380"/>
      <c r="K6" s="380"/>
      <c r="L6" s="780">
        <f ca="1">TODAY()</f>
        <v>45310</v>
      </c>
      <c r="M6" s="781">
        <f ca="1">L6+1</f>
        <v>45311</v>
      </c>
      <c r="N6" s="1011">
        <f ca="1">L6-1</f>
        <v>45309</v>
      </c>
      <c r="O6" s="734"/>
      <c r="P6" s="734"/>
      <c r="Q6" s="790"/>
      <c r="R6" s="791" t="s">
        <v>757</v>
      </c>
      <c r="S6" s="3514">
        <f>'[1]Zone4 ECOR'!$D$1</f>
        <v>1.0597880077766115</v>
      </c>
      <c r="T6" s="3515"/>
      <c r="U6" s="797" t="s">
        <v>517</v>
      </c>
      <c r="AB6" s="400"/>
    </row>
    <row r="7" spans="1:28" ht="17" thickBot="1" x14ac:dyDescent="0.25">
      <c r="A7" s="694"/>
      <c r="B7" s="724" t="s">
        <v>797</v>
      </c>
      <c r="C7" s="725">
        <v>1.1499999999999999</v>
      </c>
      <c r="D7" s="726" t="s">
        <v>437</v>
      </c>
      <c r="E7" s="727">
        <v>1.3</v>
      </c>
      <c r="F7" s="728">
        <f t="shared" si="1"/>
        <v>279.29999999999995</v>
      </c>
      <c r="G7" s="729" t="s">
        <v>437</v>
      </c>
      <c r="H7" s="730">
        <f t="shared" si="0"/>
        <v>314.60000000000002</v>
      </c>
      <c r="I7" s="380"/>
      <c r="J7" s="380"/>
      <c r="K7" s="380"/>
      <c r="L7" s="3487" t="s">
        <v>838</v>
      </c>
      <c r="M7" s="3488"/>
      <c r="N7" s="3488"/>
      <c r="O7" s="3488"/>
      <c r="P7" s="3489"/>
      <c r="Q7" s="734"/>
      <c r="R7" s="792" t="s">
        <v>758</v>
      </c>
      <c r="S7" s="3512">
        <f>'[1]Zone5 ECOR'!$D$1</f>
        <v>1.0485098125336099</v>
      </c>
      <c r="T7" s="3513"/>
      <c r="U7" s="798" t="s">
        <v>517</v>
      </c>
      <c r="V7" s="381"/>
      <c r="W7" s="381"/>
      <c r="AB7" s="400"/>
    </row>
    <row r="8" spans="1:28" ht="15.75" customHeight="1" thickBot="1" x14ac:dyDescent="0.2">
      <c r="A8" s="694"/>
      <c r="B8" s="731" t="s">
        <v>494</v>
      </c>
      <c r="C8" s="3453">
        <v>1</v>
      </c>
      <c r="D8" s="3453"/>
      <c r="E8" s="3453"/>
      <c r="F8" s="3454">
        <f>AVERAGE(M4:N4)</f>
        <v>242</v>
      </c>
      <c r="G8" s="3455"/>
      <c r="H8" s="3456"/>
      <c r="I8" s="380"/>
      <c r="J8" s="380"/>
      <c r="K8" s="380"/>
      <c r="L8" s="3473" t="s">
        <v>839</v>
      </c>
      <c r="M8" s="3474"/>
      <c r="N8" s="3475"/>
      <c r="O8" s="3448">
        <f ca="1">IFERROR(VLOOKUP(L6,'2018+'!C:W,4,TRUE),"FREI")</f>
        <v>0</v>
      </c>
      <c r="P8" s="3449"/>
      <c r="Q8" s="734"/>
      <c r="R8" s="793" t="s">
        <v>797</v>
      </c>
      <c r="S8" s="3510">
        <f>'[1]Zone6 ECOR'!$D$1</f>
        <v>1.0292278879723893</v>
      </c>
      <c r="T8" s="3511"/>
      <c r="U8" s="799" t="s">
        <v>517</v>
      </c>
      <c r="V8" s="381"/>
      <c r="W8" s="380"/>
      <c r="AA8" s="400"/>
    </row>
    <row r="9" spans="1:28" ht="17" thickBot="1" x14ac:dyDescent="0.2">
      <c r="A9" s="694"/>
      <c r="B9" s="732"/>
      <c r="C9" s="733"/>
      <c r="D9" s="733"/>
      <c r="E9" s="733"/>
      <c r="F9" s="707"/>
      <c r="G9" s="734"/>
      <c r="H9" s="734"/>
      <c r="I9" s="380"/>
      <c r="J9" s="380"/>
      <c r="K9" s="380"/>
      <c r="L9" s="785"/>
      <c r="M9" s="786"/>
      <c r="N9" s="787" t="s">
        <v>853</v>
      </c>
      <c r="O9" s="3478" t="str">
        <f ca="1">IFERROR(VLOOKUP(M6,'2018+'!C:W,4,FALSE),"")</f>
        <v>Z2.40'</v>
      </c>
      <c r="P9" s="3479"/>
      <c r="Q9" s="380"/>
      <c r="R9" s="381"/>
      <c r="S9" s="381"/>
      <c r="T9" s="381"/>
      <c r="U9" s="381"/>
      <c r="V9" s="381"/>
      <c r="W9" s="381"/>
      <c r="X9" s="399"/>
    </row>
    <row r="10" spans="1:28" ht="17" thickBot="1" x14ac:dyDescent="0.2">
      <c r="A10" s="694"/>
      <c r="B10" s="693" t="s">
        <v>790</v>
      </c>
      <c r="C10" s="3458" t="s">
        <v>441</v>
      </c>
      <c r="D10" s="3451"/>
      <c r="E10" s="3452"/>
      <c r="F10" s="3459" t="s">
        <v>499</v>
      </c>
      <c r="G10" s="3448"/>
      <c r="H10" s="3449"/>
      <c r="I10" s="380"/>
      <c r="J10" s="380"/>
      <c r="K10" s="380"/>
      <c r="L10" s="3460" t="s">
        <v>840</v>
      </c>
      <c r="M10" s="3461"/>
      <c r="N10" s="3462"/>
      <c r="O10" s="3533">
        <f ca="1">VLOOKUP($L$6,'2018+'!C:W,21,FALSE)</f>
        <v>1.2529287154272091</v>
      </c>
      <c r="P10" s="3534"/>
      <c r="Q10" s="380"/>
      <c r="R10" s="3535" t="s">
        <v>1497</v>
      </c>
      <c r="S10" s="3508"/>
      <c r="T10" s="3508"/>
      <c r="U10" s="3509"/>
      <c r="V10" s="381"/>
      <c r="W10" s="381"/>
      <c r="X10" s="399"/>
    </row>
    <row r="11" spans="1:28" ht="16" customHeight="1" x14ac:dyDescent="0.2">
      <c r="A11" s="734"/>
      <c r="B11" s="735" t="s">
        <v>754</v>
      </c>
      <c r="C11" s="736">
        <v>0.7</v>
      </c>
      <c r="D11" s="737" t="s">
        <v>437</v>
      </c>
      <c r="E11" s="738">
        <v>0.8</v>
      </c>
      <c r="F11" s="739">
        <f>C11*$F$16</f>
        <v>116.19999999999999</v>
      </c>
      <c r="G11" s="740" t="s">
        <v>437</v>
      </c>
      <c r="H11" s="701">
        <f>F12</f>
        <v>132.80000000000001</v>
      </c>
      <c r="I11" s="380"/>
      <c r="J11" s="380"/>
      <c r="K11" s="380"/>
      <c r="L11" s="3516" t="s">
        <v>861</v>
      </c>
      <c r="M11" s="3517"/>
      <c r="N11" s="3518"/>
      <c r="O11" s="3519">
        <f ca="1">VLOOKUP($M$6,'2018+'!C:W,21,FALSE)</f>
        <v>1.4019057258397067</v>
      </c>
      <c r="P11" s="3520"/>
      <c r="Q11" s="380"/>
      <c r="R11" s="3538">
        <f>GETPIVOTDATA("HM",HM!$B$3,"Years",2024)</f>
        <v>148</v>
      </c>
      <c r="S11" s="3539"/>
      <c r="T11" s="3539"/>
      <c r="U11" s="3540"/>
      <c r="V11" s="381"/>
      <c r="W11" s="381"/>
      <c r="X11" s="399"/>
    </row>
    <row r="12" spans="1:28" ht="16" customHeight="1" x14ac:dyDescent="0.2">
      <c r="A12" s="734"/>
      <c r="B12" s="741" t="s">
        <v>755</v>
      </c>
      <c r="C12" s="703">
        <v>0.8</v>
      </c>
      <c r="D12" s="704" t="s">
        <v>437</v>
      </c>
      <c r="E12" s="742">
        <v>0.88</v>
      </c>
      <c r="F12" s="706">
        <f>C12*$F$16</f>
        <v>132.80000000000001</v>
      </c>
      <c r="G12" s="707" t="s">
        <v>437</v>
      </c>
      <c r="H12" s="708">
        <f>F13</f>
        <v>146.08000000000001</v>
      </c>
      <c r="I12" s="380"/>
      <c r="J12" s="380"/>
      <c r="K12" s="380"/>
      <c r="L12" s="3460" t="s">
        <v>841</v>
      </c>
      <c r="M12" s="3461"/>
      <c r="N12" s="3462"/>
      <c r="O12" s="3463">
        <f ca="1">VLOOKUP($L$6,'2018+'!C:W,19,FALSE)</f>
        <v>11.892230865757144</v>
      </c>
      <c r="P12" s="3464"/>
      <c r="Q12" s="385"/>
      <c r="R12" s="3550"/>
      <c r="S12" s="3551"/>
      <c r="T12" s="3551"/>
      <c r="U12" s="3552"/>
      <c r="V12" s="381"/>
      <c r="W12" s="381"/>
      <c r="X12" s="399"/>
    </row>
    <row r="13" spans="1:28" ht="16" customHeight="1" thickBot="1" x14ac:dyDescent="0.25">
      <c r="A13" s="734"/>
      <c r="B13" s="743" t="s">
        <v>756</v>
      </c>
      <c r="C13" s="710">
        <v>0.88</v>
      </c>
      <c r="D13" s="711" t="s">
        <v>437</v>
      </c>
      <c r="E13" s="744">
        <v>0.95</v>
      </c>
      <c r="F13" s="713">
        <f>C13*$F$16</f>
        <v>146.08000000000001</v>
      </c>
      <c r="G13" s="714" t="s">
        <v>437</v>
      </c>
      <c r="H13" s="715">
        <f>E13*$F$16</f>
        <v>157.69999999999999</v>
      </c>
      <c r="I13" s="380"/>
      <c r="J13" s="380"/>
      <c r="K13" s="380"/>
      <c r="L13" s="3460" t="s">
        <v>842</v>
      </c>
      <c r="M13" s="3461"/>
      <c r="N13" s="3462"/>
      <c r="O13" s="3463">
        <f ca="1">VLOOKUP($L$6,'2018+'!C:W,18,FALSE)</f>
        <v>14.900117542196906</v>
      </c>
      <c r="P13" s="3464"/>
      <c r="Q13" s="386"/>
      <c r="R13" s="3279" t="s">
        <v>1498</v>
      </c>
      <c r="S13" s="3553">
        <f>10000-R11</f>
        <v>9852</v>
      </c>
      <c r="T13" s="3553"/>
      <c r="U13" s="3554"/>
      <c r="V13" s="381"/>
      <c r="W13" s="381"/>
      <c r="X13" s="399"/>
    </row>
    <row r="14" spans="1:28" ht="16" customHeight="1" x14ac:dyDescent="0.2">
      <c r="A14" s="734"/>
      <c r="B14" s="745" t="s">
        <v>757</v>
      </c>
      <c r="C14" s="717">
        <v>0.95</v>
      </c>
      <c r="D14" s="718" t="s">
        <v>437</v>
      </c>
      <c r="E14" s="746">
        <v>1</v>
      </c>
      <c r="F14" s="706">
        <f>C14*$F$16</f>
        <v>157.69999999999999</v>
      </c>
      <c r="G14" s="707" t="s">
        <v>437</v>
      </c>
      <c r="H14" s="708">
        <f>E14*$F$16</f>
        <v>166</v>
      </c>
      <c r="I14" s="380"/>
      <c r="J14" s="380"/>
      <c r="K14" s="380"/>
      <c r="L14" s="3467" t="s">
        <v>941</v>
      </c>
      <c r="M14" s="3468"/>
      <c r="N14" s="3468"/>
      <c r="O14" s="3465">
        <f>MEDIAN('2018+'!S:S)</f>
        <v>1.5661764705882353</v>
      </c>
      <c r="P14" s="3466"/>
      <c r="Q14" s="386"/>
      <c r="R14" s="380"/>
      <c r="S14" s="381"/>
      <c r="T14" s="381"/>
      <c r="U14" s="381"/>
      <c r="V14" s="381"/>
      <c r="W14" s="381"/>
    </row>
    <row r="15" spans="1:28" ht="16" customHeight="1" thickBot="1" x14ac:dyDescent="0.25">
      <c r="A15" s="734"/>
      <c r="B15" s="747" t="s">
        <v>822</v>
      </c>
      <c r="C15" s="748">
        <v>1</v>
      </c>
      <c r="D15" s="749" t="s">
        <v>437</v>
      </c>
      <c r="E15" s="750" t="s">
        <v>798</v>
      </c>
      <c r="F15" s="728">
        <f>C15*$F$16</f>
        <v>166</v>
      </c>
      <c r="G15" s="751" t="s">
        <v>437</v>
      </c>
      <c r="H15" s="752">
        <v>186</v>
      </c>
      <c r="I15" s="383"/>
      <c r="J15" s="380"/>
      <c r="K15" s="380"/>
      <c r="L15" s="3526" t="s">
        <v>942</v>
      </c>
      <c r="M15" s="3527"/>
      <c r="N15" s="3527"/>
      <c r="O15" s="3528">
        <f ca="1">VLOOKUP(L6,'PWR HR'!A:B,2,TRUE)</f>
        <v>1.4716193871526366</v>
      </c>
      <c r="P15" s="3529"/>
      <c r="Q15" s="386"/>
      <c r="R15" s="380"/>
      <c r="S15" s="381"/>
      <c r="T15" s="381"/>
      <c r="U15" s="384"/>
      <c r="V15" s="381"/>
      <c r="W15" s="381"/>
      <c r="X15" s="381"/>
      <c r="Y15" s="381"/>
      <c r="Z15" s="381"/>
    </row>
    <row r="16" spans="1:28" ht="15.75" customHeight="1" thickBot="1" x14ac:dyDescent="0.2">
      <c r="A16" s="734"/>
      <c r="B16" s="731" t="s">
        <v>759</v>
      </c>
      <c r="C16" s="3453">
        <v>1</v>
      </c>
      <c r="D16" s="3453"/>
      <c r="E16" s="3453"/>
      <c r="F16" s="3454">
        <v>166</v>
      </c>
      <c r="G16" s="3455"/>
      <c r="H16" s="3456"/>
      <c r="I16" s="380"/>
      <c r="J16" s="380"/>
      <c r="K16" s="380"/>
      <c r="L16" s="3521" t="s">
        <v>945</v>
      </c>
      <c r="M16" s="3522"/>
      <c r="N16" s="3523"/>
      <c r="O16" s="3524">
        <f ca="1">1-(VLOOKUP(N6,'PWR HR'!A:B,2,TRUE)/O15)</f>
        <v>0</v>
      </c>
      <c r="P16" s="3525"/>
      <c r="Q16" s="380"/>
      <c r="R16" s="380"/>
      <c r="S16" s="381"/>
      <c r="T16" s="381"/>
      <c r="U16" s="381"/>
      <c r="V16" s="381"/>
      <c r="W16" s="381"/>
      <c r="X16" s="381"/>
      <c r="Y16" s="381"/>
      <c r="Z16" s="381"/>
    </row>
    <row r="17" spans="1:28" ht="17" thickBot="1" x14ac:dyDescent="0.2">
      <c r="A17" s="734"/>
      <c r="B17" s="732"/>
      <c r="C17" s="733"/>
      <c r="D17" s="733"/>
      <c r="E17" s="733"/>
      <c r="F17" s="707"/>
      <c r="G17" s="734"/>
      <c r="H17" s="734"/>
      <c r="I17" s="380"/>
      <c r="J17" s="380"/>
      <c r="K17" s="380"/>
      <c r="L17" s="3469" t="s">
        <v>964</v>
      </c>
      <c r="M17" s="3470"/>
      <c r="N17" s="3470"/>
      <c r="O17" s="3471">
        <f ca="1">VLOOKUP(L6,'trailing 90d'!A:B,2,FALSE)</f>
        <v>118.52</v>
      </c>
      <c r="P17" s="3472"/>
      <c r="Q17" s="380"/>
      <c r="R17" s="380"/>
      <c r="S17" s="381"/>
      <c r="T17" s="381"/>
      <c r="U17" s="381"/>
      <c r="V17" s="381"/>
      <c r="W17" s="381"/>
      <c r="X17" s="381"/>
      <c r="Y17" s="381"/>
      <c r="Z17" s="381"/>
    </row>
    <row r="18" spans="1:28" ht="15" customHeight="1" thickBot="1" x14ac:dyDescent="0.2">
      <c r="A18" s="734"/>
      <c r="B18" s="3457" t="s">
        <v>706</v>
      </c>
      <c r="C18" s="3457"/>
      <c r="D18" s="3457"/>
      <c r="E18" s="3457"/>
      <c r="F18" s="3457"/>
      <c r="G18" s="734"/>
      <c r="H18" s="734"/>
      <c r="I18" s="380"/>
      <c r="J18" s="380"/>
      <c r="K18" s="380"/>
      <c r="L18" s="382"/>
      <c r="M18" s="378"/>
      <c r="N18" s="380"/>
      <c r="O18" s="380"/>
      <c r="P18" s="380"/>
      <c r="Q18" s="380"/>
      <c r="R18" s="380"/>
      <c r="S18" s="381"/>
      <c r="T18" s="381"/>
      <c r="U18" s="381"/>
      <c r="V18" s="381"/>
      <c r="W18" s="381"/>
      <c r="X18" s="381"/>
      <c r="Y18" s="381"/>
      <c r="Z18" s="381"/>
      <c r="AA18" s="381"/>
    </row>
    <row r="19" spans="1:28" ht="15" customHeight="1" thickBot="1" x14ac:dyDescent="0.2">
      <c r="A19" s="734"/>
      <c r="B19" s="734"/>
      <c r="C19" s="734"/>
      <c r="D19" s="734"/>
      <c r="E19" s="734"/>
      <c r="F19" s="734"/>
      <c r="G19" s="734"/>
      <c r="H19" s="734"/>
      <c r="I19" s="380"/>
      <c r="J19" s="380"/>
      <c r="K19" s="380"/>
      <c r="L19" s="3530" t="s">
        <v>846</v>
      </c>
      <c r="M19" s="3531"/>
      <c r="N19" s="3531"/>
      <c r="O19" s="3531"/>
      <c r="P19" s="3532"/>
      <c r="Q19" s="380"/>
      <c r="R19" s="380"/>
      <c r="S19" s="381"/>
      <c r="T19" s="381"/>
      <c r="U19" s="381"/>
      <c r="V19" s="381"/>
      <c r="W19" s="381"/>
      <c r="X19" s="381"/>
      <c r="Y19" s="381"/>
      <c r="Z19" s="381"/>
      <c r="AA19" s="381"/>
    </row>
    <row r="20" spans="1:28" ht="15.75" customHeight="1" thickBot="1" x14ac:dyDescent="0.2">
      <c r="A20" s="734"/>
      <c r="B20" s="753" t="s">
        <v>707</v>
      </c>
      <c r="C20" s="754" t="s">
        <v>709</v>
      </c>
      <c r="D20" s="755"/>
      <c r="E20" s="756" t="s">
        <v>708</v>
      </c>
      <c r="F20" s="753" t="s">
        <v>627</v>
      </c>
      <c r="G20" s="734"/>
      <c r="H20" s="734"/>
      <c r="I20" s="380"/>
      <c r="J20" s="380"/>
      <c r="K20" s="380"/>
      <c r="L20" s="3480" t="s">
        <v>1500</v>
      </c>
      <c r="M20" s="3481"/>
      <c r="N20" s="3481"/>
      <c r="O20" s="3482">
        <f>GETPIVOTDATA("Summe von KM",Schuhe!$C$8,"Schuh","HOKA Mach 5")</f>
        <v>29.585246913980555</v>
      </c>
      <c r="P20" s="3483"/>
      <c r="Q20" s="380"/>
      <c r="R20" s="380"/>
      <c r="S20" s="381"/>
      <c r="T20" s="381"/>
      <c r="U20" s="381"/>
      <c r="V20" s="381"/>
      <c r="W20" s="381"/>
      <c r="X20" s="381"/>
      <c r="Y20" s="381"/>
      <c r="Z20" s="381"/>
      <c r="AA20" s="381"/>
    </row>
    <row r="21" spans="1:28" ht="15" customHeight="1" x14ac:dyDescent="0.15">
      <c r="A21" s="734"/>
      <c r="B21" s="757" t="s">
        <v>713</v>
      </c>
      <c r="C21" s="758">
        <v>287</v>
      </c>
      <c r="D21" s="759"/>
      <c r="E21" s="760">
        <v>317</v>
      </c>
      <c r="F21" s="761">
        <f>IFERROR((C21*9-E21*3)/(9-3),"")</f>
        <v>272</v>
      </c>
      <c r="G21" s="734"/>
      <c r="H21" s="734"/>
      <c r="I21" s="380"/>
      <c r="J21" s="380"/>
      <c r="K21" s="380"/>
      <c r="L21" s="3476" t="s">
        <v>1462</v>
      </c>
      <c r="M21" s="3477"/>
      <c r="N21" s="3477"/>
      <c r="O21" s="3485">
        <f>GETPIVOTDATA("Summe von KM",Schuhe!$C$8,"Schuh","HOKA Rincon 3 II")</f>
        <v>223.56553351739814</v>
      </c>
      <c r="P21" s="3486"/>
      <c r="Q21" s="380"/>
      <c r="R21" s="380"/>
      <c r="S21" s="381"/>
      <c r="T21" s="381"/>
      <c r="U21" s="381"/>
      <c r="V21" s="381"/>
      <c r="W21" s="381"/>
      <c r="X21" s="381"/>
      <c r="Y21" s="381"/>
      <c r="Z21" s="381"/>
      <c r="AA21" s="381"/>
    </row>
    <row r="22" spans="1:28" ht="15.75" customHeight="1" x14ac:dyDescent="0.15">
      <c r="A22" s="734"/>
      <c r="B22" s="762" t="s">
        <v>714</v>
      </c>
      <c r="C22" s="763">
        <v>284</v>
      </c>
      <c r="D22" s="764"/>
      <c r="E22" s="765">
        <v>319</v>
      </c>
      <c r="F22" s="766">
        <f>IFERROR((C22*9-E22*3)/(9-3),"")</f>
        <v>266.5</v>
      </c>
      <c r="G22" s="734"/>
      <c r="H22" s="734"/>
      <c r="I22" s="380"/>
      <c r="J22" s="380"/>
      <c r="K22" s="380"/>
      <c r="L22" s="3476" t="s">
        <v>821</v>
      </c>
      <c r="M22" s="3477"/>
      <c r="N22" s="3477"/>
      <c r="O22" s="3463">
        <f>GETPIVOTDATA("KM",Schuhe!$C$8,"Schuh","Adizero Boston 8")</f>
        <v>413.46</v>
      </c>
      <c r="P22" s="3484"/>
      <c r="Q22" s="380"/>
      <c r="R22" s="380"/>
      <c r="S22" s="381"/>
      <c r="T22" s="381"/>
      <c r="U22" s="381"/>
      <c r="V22" s="381"/>
      <c r="W22" s="381"/>
      <c r="X22" s="381"/>
      <c r="Y22" s="381"/>
      <c r="Z22" s="381"/>
      <c r="AA22" s="384"/>
      <c r="AB22" s="401"/>
    </row>
    <row r="23" spans="1:28" ht="16" customHeight="1" x14ac:dyDescent="0.15">
      <c r="A23" s="734"/>
      <c r="B23" s="767" t="s">
        <v>20</v>
      </c>
      <c r="C23" s="763">
        <v>281</v>
      </c>
      <c r="D23" s="764"/>
      <c r="E23" s="765">
        <v>320</v>
      </c>
      <c r="F23" s="766">
        <f t="shared" ref="F23:F28" si="2">IFERROR((C23*9-E23*3)/(9-3),"")</f>
        <v>261.5</v>
      </c>
      <c r="G23" s="768"/>
      <c r="H23" s="769"/>
      <c r="I23" s="380"/>
      <c r="J23" s="380"/>
      <c r="K23" s="380"/>
      <c r="L23" s="3536" t="s">
        <v>957</v>
      </c>
      <c r="M23" s="3537"/>
      <c r="N23" s="3537"/>
      <c r="O23" s="3463">
        <f>GETPIVOTDATA("Summe von KM",Schuhe!$C$8,"Schuh","Adidas Solarglide 5")</f>
        <v>199.25</v>
      </c>
      <c r="P23" s="3484"/>
      <c r="V23" s="381"/>
      <c r="W23" s="381"/>
      <c r="X23" s="381"/>
      <c r="Y23" s="381"/>
      <c r="Z23" s="381"/>
      <c r="AA23" s="381"/>
    </row>
    <row r="24" spans="1:28" ht="16" customHeight="1" x14ac:dyDescent="0.15">
      <c r="A24" s="734"/>
      <c r="B24" s="762" t="s">
        <v>59</v>
      </c>
      <c r="C24" s="763">
        <v>291</v>
      </c>
      <c r="D24" s="764"/>
      <c r="E24" s="765">
        <v>321</v>
      </c>
      <c r="F24" s="766">
        <f t="shared" si="2"/>
        <v>276</v>
      </c>
      <c r="G24" s="734"/>
      <c r="H24" s="734"/>
      <c r="I24" s="380"/>
      <c r="J24" s="380"/>
      <c r="K24" s="380"/>
      <c r="L24" s="3536" t="s">
        <v>1501</v>
      </c>
      <c r="M24" s="3537"/>
      <c r="N24" s="3537"/>
      <c r="O24" s="3463">
        <f>GETPIVOTDATA("Summe von KM",Schuhe!$C$8,"Schuh","Saucony Triumph 21")</f>
        <v>17.840711356530839</v>
      </c>
      <c r="P24" s="3484"/>
      <c r="V24" s="381"/>
      <c r="W24" s="381"/>
      <c r="X24" s="381"/>
      <c r="Y24" s="381"/>
      <c r="Z24" s="381"/>
      <c r="AA24" s="381"/>
    </row>
    <row r="25" spans="1:28" ht="16" customHeight="1" thickBot="1" x14ac:dyDescent="0.2">
      <c r="A25" s="734"/>
      <c r="B25" s="762" t="s">
        <v>782</v>
      </c>
      <c r="C25" s="763">
        <v>264</v>
      </c>
      <c r="D25" s="764"/>
      <c r="E25" s="765">
        <v>293</v>
      </c>
      <c r="F25" s="766">
        <f t="shared" si="2"/>
        <v>249.5</v>
      </c>
      <c r="G25" s="734"/>
      <c r="H25" s="734"/>
      <c r="I25" s="380"/>
      <c r="J25" s="380"/>
      <c r="K25" s="380"/>
      <c r="L25" s="3546" t="s">
        <v>976</v>
      </c>
      <c r="M25" s="3547"/>
      <c r="N25" s="3547"/>
      <c r="O25" s="3548">
        <f>GETPIVOTDATA("Summe von KM",Schuhe!$C$8,"Schuh","Hoka Clifton 8")</f>
        <v>334.76553351739818</v>
      </c>
      <c r="P25" s="3549"/>
      <c r="V25" s="381"/>
      <c r="W25" s="381"/>
      <c r="X25" s="381"/>
      <c r="Y25" s="381"/>
      <c r="Z25" s="381"/>
      <c r="AA25" s="381"/>
    </row>
    <row r="26" spans="1:28" ht="16" customHeight="1" thickBot="1" x14ac:dyDescent="0.2">
      <c r="A26" s="734"/>
      <c r="B26" s="762" t="s">
        <v>785</v>
      </c>
      <c r="C26" s="763">
        <v>272</v>
      </c>
      <c r="D26" s="764" t="s">
        <v>437</v>
      </c>
      <c r="E26" s="765">
        <v>304</v>
      </c>
      <c r="F26" s="766">
        <f t="shared" si="2"/>
        <v>256</v>
      </c>
      <c r="G26" s="734"/>
      <c r="H26" s="734"/>
      <c r="I26" s="380"/>
      <c r="J26" s="380"/>
      <c r="K26" s="380"/>
      <c r="V26" s="381"/>
      <c r="W26" s="381"/>
      <c r="X26" s="381"/>
      <c r="Y26" s="381"/>
      <c r="Z26" s="381"/>
      <c r="AA26" s="381"/>
    </row>
    <row r="27" spans="1:28" ht="17" customHeight="1" thickBot="1" x14ac:dyDescent="0.2">
      <c r="A27" s="734"/>
      <c r="B27" s="762"/>
      <c r="C27" s="763"/>
      <c r="D27" s="764"/>
      <c r="E27" s="765"/>
      <c r="F27" s="766">
        <f t="shared" si="2"/>
        <v>0</v>
      </c>
      <c r="G27" s="734"/>
      <c r="H27" s="734"/>
      <c r="I27" s="380"/>
      <c r="J27" s="380"/>
      <c r="K27" s="380"/>
      <c r="L27" s="3535" t="s">
        <v>1499</v>
      </c>
      <c r="M27" s="3508"/>
      <c r="N27" s="3508"/>
      <c r="O27" s="3508"/>
      <c r="P27" s="3509"/>
      <c r="V27" s="381"/>
      <c r="W27" s="381"/>
      <c r="X27" s="381"/>
      <c r="Y27" s="381"/>
      <c r="Z27" s="381"/>
      <c r="AA27" s="381"/>
    </row>
    <row r="28" spans="1:28" ht="17" customHeight="1" thickBot="1" x14ac:dyDescent="0.2">
      <c r="A28" s="734"/>
      <c r="B28" s="770"/>
      <c r="C28" s="771"/>
      <c r="D28" s="772"/>
      <c r="E28" s="773"/>
      <c r="F28" s="774">
        <f t="shared" si="2"/>
        <v>0</v>
      </c>
      <c r="G28" s="734"/>
      <c r="H28" s="734"/>
      <c r="I28" s="380"/>
      <c r="J28" s="380"/>
      <c r="K28" s="380"/>
      <c r="L28" s="3538">
        <f>GETPIVOTDATA("KM",Kinderwagen!$A$3,"k","j","Years",2024)</f>
        <v>11.67</v>
      </c>
      <c r="M28" s="3539"/>
      <c r="N28" s="3539"/>
      <c r="O28" s="3539"/>
      <c r="P28" s="3540"/>
      <c r="AA28" s="381"/>
    </row>
    <row r="29" spans="1:28" ht="17" customHeight="1" x14ac:dyDescent="0.15">
      <c r="A29" s="734"/>
      <c r="B29" s="734"/>
      <c r="C29" s="734"/>
      <c r="D29" s="734"/>
      <c r="E29" s="734"/>
      <c r="F29" s="734"/>
      <c r="G29" s="734"/>
      <c r="H29" s="734"/>
      <c r="J29" s="380"/>
      <c r="K29" s="380"/>
      <c r="L29" s="3541"/>
      <c r="M29" s="3502"/>
      <c r="N29" s="3502"/>
      <c r="O29" s="3502"/>
      <c r="P29" s="3542"/>
      <c r="AA29" s="381"/>
    </row>
    <row r="30" spans="1:28" ht="15" customHeight="1" thickBot="1" x14ac:dyDescent="0.2">
      <c r="J30" s="380"/>
      <c r="K30" s="380"/>
      <c r="L30" s="3543"/>
      <c r="M30" s="3544"/>
      <c r="N30" s="3544"/>
      <c r="O30" s="3544"/>
      <c r="P30" s="3545"/>
    </row>
    <row r="31" spans="1:28" ht="15" customHeight="1" thickBot="1" x14ac:dyDescent="0.2">
      <c r="J31" s="380"/>
      <c r="L31" s="382"/>
      <c r="M31" s="378"/>
      <c r="N31" s="380"/>
      <c r="O31" s="380"/>
      <c r="P31" s="380"/>
    </row>
    <row r="32" spans="1:28" ht="15" customHeight="1" thickBot="1" x14ac:dyDescent="0.2">
      <c r="L32" s="3507" t="s">
        <v>909</v>
      </c>
      <c r="M32" s="3508"/>
      <c r="N32" s="3508"/>
      <c r="O32" s="3508"/>
      <c r="P32" s="3509"/>
    </row>
    <row r="33" spans="10:18" ht="15" customHeight="1" x14ac:dyDescent="0.15">
      <c r="L33" s="3498">
        <f>GETPIVOTDATA("KM",Kinderwagen!$A$3)</f>
        <v>1855.51</v>
      </c>
      <c r="M33" s="3499"/>
      <c r="N33" s="3499"/>
      <c r="O33" s="3499"/>
      <c r="P33" s="3500"/>
    </row>
    <row r="34" spans="10:18" ht="15" customHeight="1" x14ac:dyDescent="0.15">
      <c r="L34" s="3501"/>
      <c r="M34" s="3502"/>
      <c r="N34" s="3502"/>
      <c r="O34" s="3502"/>
      <c r="P34" s="3503"/>
    </row>
    <row r="35" spans="10:18" ht="15" thickBot="1" x14ac:dyDescent="0.2">
      <c r="L35" s="3504"/>
      <c r="M35" s="3505"/>
      <c r="N35" s="3505"/>
      <c r="O35" s="3505"/>
      <c r="P35" s="3506"/>
    </row>
    <row r="36" spans="10:18" ht="15" x14ac:dyDescent="0.15">
      <c r="N36" s="380"/>
      <c r="O36" s="380"/>
      <c r="P36" s="380"/>
    </row>
    <row r="37" spans="10:18" x14ac:dyDescent="0.15">
      <c r="L37" s="399"/>
      <c r="M37" s="399"/>
      <c r="N37" s="398"/>
      <c r="O37" s="398"/>
      <c r="P37" s="398"/>
    </row>
    <row r="38" spans="10:18" x14ac:dyDescent="0.15">
      <c r="J38" s="398"/>
      <c r="K38" s="398"/>
      <c r="L38" s="399"/>
      <c r="M38" s="399"/>
      <c r="N38" s="398"/>
      <c r="O38" s="398"/>
      <c r="P38" s="398"/>
      <c r="Q38" s="398"/>
      <c r="R38" s="398"/>
    </row>
    <row r="39" spans="10:18" x14ac:dyDescent="0.15">
      <c r="L39" s="399"/>
      <c r="M39" s="399"/>
      <c r="N39" s="398"/>
      <c r="O39" s="398"/>
      <c r="P39" s="398"/>
      <c r="Q39" s="398"/>
      <c r="R39" s="398"/>
    </row>
    <row r="40" spans="10:18" x14ac:dyDescent="0.15">
      <c r="L40" s="399"/>
      <c r="M40" s="399"/>
      <c r="N40" s="398"/>
      <c r="O40" s="398"/>
      <c r="P40" s="398"/>
      <c r="Q40" s="398"/>
      <c r="R40" s="398"/>
    </row>
    <row r="41" spans="10:18" x14ac:dyDescent="0.15">
      <c r="L41" s="399"/>
      <c r="M41" s="399"/>
      <c r="N41" s="398"/>
      <c r="O41" s="398"/>
      <c r="P41" s="398"/>
      <c r="Q41" s="398"/>
      <c r="R41" s="398"/>
    </row>
    <row r="42" spans="10:18" x14ac:dyDescent="0.15">
      <c r="L42" s="399"/>
      <c r="M42" s="399"/>
      <c r="N42" s="398"/>
      <c r="O42" s="398"/>
      <c r="P42" s="398"/>
      <c r="Q42" s="398"/>
      <c r="R42" s="398"/>
    </row>
    <row r="43" spans="10:18" x14ac:dyDescent="0.15">
      <c r="L43" s="399"/>
      <c r="M43" s="399"/>
      <c r="N43" s="398"/>
      <c r="O43" s="398"/>
      <c r="P43" s="398"/>
      <c r="Q43" s="398"/>
      <c r="R43" s="398"/>
    </row>
    <row r="44" spans="10:18" x14ac:dyDescent="0.15">
      <c r="L44" s="399"/>
      <c r="M44" s="399"/>
      <c r="N44" s="398"/>
      <c r="O44" s="398"/>
      <c r="P44" s="398"/>
      <c r="Q44" s="398"/>
      <c r="R44" s="398"/>
    </row>
    <row r="45" spans="10:18" x14ac:dyDescent="0.15">
      <c r="L45" s="399"/>
      <c r="M45" s="399"/>
      <c r="N45" s="398"/>
      <c r="O45" s="398"/>
      <c r="P45" s="398"/>
      <c r="Q45" s="398"/>
      <c r="R45" s="398"/>
    </row>
    <row r="46" spans="10:18" x14ac:dyDescent="0.15">
      <c r="Q46" s="398"/>
      <c r="R46" s="398"/>
    </row>
    <row r="287" spans="2:2" x14ac:dyDescent="0.15">
      <c r="B287" s="403"/>
    </row>
    <row r="288" spans="2:2" x14ac:dyDescent="0.15">
      <c r="B288" s="403"/>
    </row>
    <row r="289" spans="1:2" x14ac:dyDescent="0.15">
      <c r="B289" s="403"/>
    </row>
    <row r="290" spans="1:2" x14ac:dyDescent="0.15">
      <c r="B290" s="403"/>
    </row>
    <row r="291" spans="1:2" x14ac:dyDescent="0.15">
      <c r="B291" s="403"/>
    </row>
    <row r="292" spans="1:2" x14ac:dyDescent="0.15">
      <c r="A292" s="402"/>
      <c r="B292" s="403"/>
    </row>
    <row r="293" spans="1:2" x14ac:dyDescent="0.15">
      <c r="A293" s="402"/>
      <c r="B293" s="403"/>
    </row>
    <row r="294" spans="1:2" x14ac:dyDescent="0.15">
      <c r="A294" s="402"/>
      <c r="B294" s="403"/>
    </row>
    <row r="295" spans="1:2" x14ac:dyDescent="0.15">
      <c r="A295" s="402"/>
      <c r="B295" s="403"/>
    </row>
    <row r="296" spans="1:2" x14ac:dyDescent="0.15">
      <c r="A296" s="402"/>
      <c r="B296" s="403"/>
    </row>
    <row r="297" spans="1:2" x14ac:dyDescent="0.15">
      <c r="A297" s="402"/>
      <c r="B297" s="403"/>
    </row>
    <row r="298" spans="1:2" x14ac:dyDescent="0.15">
      <c r="A298" s="402"/>
      <c r="B298" s="403"/>
    </row>
    <row r="299" spans="1:2" x14ac:dyDescent="0.15">
      <c r="A299" s="402"/>
      <c r="B299" s="403"/>
    </row>
    <row r="300" spans="1:2" x14ac:dyDescent="0.15">
      <c r="A300" s="402"/>
      <c r="B300" s="403"/>
    </row>
    <row r="301" spans="1:2" x14ac:dyDescent="0.15">
      <c r="A301" s="402"/>
      <c r="B301" s="403"/>
    </row>
    <row r="302" spans="1:2" x14ac:dyDescent="0.15">
      <c r="A302" s="402"/>
      <c r="B302" s="403"/>
    </row>
    <row r="303" spans="1:2" x14ac:dyDescent="0.15">
      <c r="A303" s="402"/>
      <c r="B303" s="403"/>
    </row>
    <row r="304" spans="1:2" x14ac:dyDescent="0.15">
      <c r="A304" s="402"/>
      <c r="B304" s="403"/>
    </row>
    <row r="305" spans="1:2" x14ac:dyDescent="0.15">
      <c r="A305" s="402"/>
      <c r="B305" s="403"/>
    </row>
    <row r="306" spans="1:2" x14ac:dyDescent="0.15">
      <c r="A306" s="402"/>
      <c r="B306" s="403"/>
    </row>
    <row r="307" spans="1:2" x14ac:dyDescent="0.15">
      <c r="A307" s="402"/>
      <c r="B307" s="403"/>
    </row>
    <row r="308" spans="1:2" x14ac:dyDescent="0.15">
      <c r="A308" s="402"/>
      <c r="B308" s="403"/>
    </row>
    <row r="309" spans="1:2" x14ac:dyDescent="0.15">
      <c r="A309" s="402"/>
      <c r="B309" s="403"/>
    </row>
    <row r="310" spans="1:2" x14ac:dyDescent="0.15">
      <c r="A310" s="402"/>
      <c r="B310" s="403"/>
    </row>
    <row r="311" spans="1:2" x14ac:dyDescent="0.15">
      <c r="A311" s="402"/>
      <c r="B311" s="403"/>
    </row>
    <row r="312" spans="1:2" x14ac:dyDescent="0.15">
      <c r="A312" s="402"/>
      <c r="B312" s="403"/>
    </row>
    <row r="313" spans="1:2" x14ac:dyDescent="0.15">
      <c r="A313" s="402"/>
      <c r="B313" s="403"/>
    </row>
    <row r="314" spans="1:2" x14ac:dyDescent="0.15">
      <c r="A314" s="402"/>
      <c r="B314" s="403"/>
    </row>
    <row r="315" spans="1:2" x14ac:dyDescent="0.15">
      <c r="A315" s="402"/>
      <c r="B315" s="403"/>
    </row>
    <row r="316" spans="1:2" x14ac:dyDescent="0.15">
      <c r="A316" s="402"/>
      <c r="B316" s="403"/>
    </row>
    <row r="317" spans="1:2" x14ac:dyDescent="0.15">
      <c r="A317" s="402"/>
      <c r="B317" s="403"/>
    </row>
    <row r="318" spans="1:2" x14ac:dyDescent="0.15">
      <c r="A318" s="402"/>
      <c r="B318" s="403"/>
    </row>
    <row r="319" spans="1:2" x14ac:dyDescent="0.15">
      <c r="A319" s="402"/>
      <c r="B319" s="403"/>
    </row>
    <row r="320" spans="1:2" x14ac:dyDescent="0.15">
      <c r="A320" s="402"/>
      <c r="B320" s="403"/>
    </row>
    <row r="321" spans="1:2" x14ac:dyDescent="0.15">
      <c r="A321" s="402"/>
      <c r="B321" s="403"/>
    </row>
    <row r="322" spans="1:2" x14ac:dyDescent="0.15">
      <c r="A322" s="402"/>
      <c r="B322" s="403"/>
    </row>
    <row r="323" spans="1:2" x14ac:dyDescent="0.15">
      <c r="A323" s="402"/>
      <c r="B323" s="403"/>
    </row>
    <row r="324" spans="1:2" x14ac:dyDescent="0.15">
      <c r="A324" s="402"/>
      <c r="B324" s="403"/>
    </row>
    <row r="325" spans="1:2" x14ac:dyDescent="0.15">
      <c r="A325" s="402"/>
      <c r="B325" s="403"/>
    </row>
    <row r="326" spans="1:2" x14ac:dyDescent="0.15">
      <c r="A326" s="402"/>
      <c r="B326" s="403"/>
    </row>
    <row r="327" spans="1:2" x14ac:dyDescent="0.15">
      <c r="A327" s="402"/>
      <c r="B327" s="403"/>
    </row>
    <row r="328" spans="1:2" x14ac:dyDescent="0.15">
      <c r="A328" s="402"/>
      <c r="B328" s="403"/>
    </row>
    <row r="329" spans="1:2" x14ac:dyDescent="0.15">
      <c r="A329" s="402"/>
      <c r="B329" s="403"/>
    </row>
    <row r="330" spans="1:2" x14ac:dyDescent="0.15">
      <c r="A330" s="402"/>
      <c r="B330" s="403"/>
    </row>
    <row r="331" spans="1:2" x14ac:dyDescent="0.15">
      <c r="A331" s="402"/>
      <c r="B331" s="403"/>
    </row>
    <row r="332" spans="1:2" x14ac:dyDescent="0.15">
      <c r="A332" s="402"/>
      <c r="B332" s="403"/>
    </row>
    <row r="333" spans="1:2" x14ac:dyDescent="0.15">
      <c r="A333" s="402"/>
      <c r="B333" s="403"/>
    </row>
    <row r="334" spans="1:2" x14ac:dyDescent="0.15">
      <c r="A334" s="402"/>
      <c r="B334" s="403"/>
    </row>
    <row r="335" spans="1:2" x14ac:dyDescent="0.15">
      <c r="A335" s="402"/>
      <c r="B335" s="403"/>
    </row>
    <row r="336" spans="1:2" x14ac:dyDescent="0.15">
      <c r="A336" s="402"/>
      <c r="B336" s="403"/>
    </row>
    <row r="337" spans="1:2" x14ac:dyDescent="0.15">
      <c r="A337" s="402"/>
      <c r="B337" s="403"/>
    </row>
    <row r="338" spans="1:2" x14ac:dyDescent="0.15">
      <c r="A338" s="402"/>
      <c r="B338" s="403"/>
    </row>
    <row r="339" spans="1:2" x14ac:dyDescent="0.15">
      <c r="A339" s="402"/>
      <c r="B339" s="403"/>
    </row>
    <row r="340" spans="1:2" x14ac:dyDescent="0.15">
      <c r="A340" s="402"/>
      <c r="B340" s="403"/>
    </row>
    <row r="341" spans="1:2" x14ac:dyDescent="0.15">
      <c r="A341" s="402"/>
      <c r="B341" s="403"/>
    </row>
    <row r="342" spans="1:2" x14ac:dyDescent="0.15">
      <c r="A342" s="402"/>
      <c r="B342" s="403"/>
    </row>
    <row r="343" spans="1:2" x14ac:dyDescent="0.15">
      <c r="A343" s="402"/>
      <c r="B343" s="403"/>
    </row>
    <row r="344" spans="1:2" x14ac:dyDescent="0.15">
      <c r="A344" s="402"/>
      <c r="B344" s="403"/>
    </row>
    <row r="345" spans="1:2" x14ac:dyDescent="0.15">
      <c r="A345" s="402"/>
      <c r="B345" s="403"/>
    </row>
    <row r="346" spans="1:2" x14ac:dyDescent="0.15">
      <c r="A346" s="402"/>
      <c r="B346" s="403"/>
    </row>
    <row r="347" spans="1:2" x14ac:dyDescent="0.15">
      <c r="A347" s="402"/>
      <c r="B347" s="403"/>
    </row>
    <row r="348" spans="1:2" x14ac:dyDescent="0.15">
      <c r="A348" s="402"/>
      <c r="B348" s="403"/>
    </row>
    <row r="349" spans="1:2" x14ac:dyDescent="0.15">
      <c r="A349" s="402"/>
      <c r="B349" s="403"/>
    </row>
    <row r="350" spans="1:2" x14ac:dyDescent="0.15">
      <c r="A350" s="402"/>
      <c r="B350" s="403"/>
    </row>
    <row r="351" spans="1:2" x14ac:dyDescent="0.15">
      <c r="A351" s="402"/>
      <c r="B351" s="403"/>
    </row>
    <row r="352" spans="1:2" x14ac:dyDescent="0.15">
      <c r="A352" s="402"/>
      <c r="B352" s="403"/>
    </row>
    <row r="353" spans="1:2" x14ac:dyDescent="0.15">
      <c r="A353" s="402"/>
      <c r="B353" s="403"/>
    </row>
    <row r="354" spans="1:2" x14ac:dyDescent="0.15">
      <c r="A354" s="402"/>
      <c r="B354" s="403"/>
    </row>
    <row r="355" spans="1:2" x14ac:dyDescent="0.15">
      <c r="A355" s="402"/>
      <c r="B355" s="403"/>
    </row>
    <row r="356" spans="1:2" x14ac:dyDescent="0.15">
      <c r="A356" s="402"/>
      <c r="B356" s="403"/>
    </row>
    <row r="357" spans="1:2" x14ac:dyDescent="0.15">
      <c r="A357" s="402"/>
      <c r="B357" s="403"/>
    </row>
    <row r="358" spans="1:2" x14ac:dyDescent="0.15">
      <c r="A358" s="402"/>
      <c r="B358" s="403"/>
    </row>
    <row r="359" spans="1:2" x14ac:dyDescent="0.15">
      <c r="A359" s="402"/>
      <c r="B359" s="403"/>
    </row>
    <row r="360" spans="1:2" x14ac:dyDescent="0.15">
      <c r="A360" s="402"/>
      <c r="B360" s="403"/>
    </row>
    <row r="361" spans="1:2" x14ac:dyDescent="0.15">
      <c r="A361" s="402"/>
      <c r="B361" s="403"/>
    </row>
    <row r="362" spans="1:2" x14ac:dyDescent="0.15">
      <c r="A362" s="402"/>
      <c r="B362" s="403"/>
    </row>
    <row r="363" spans="1:2" x14ac:dyDescent="0.15">
      <c r="A363" s="402"/>
      <c r="B363" s="403"/>
    </row>
    <row r="364" spans="1:2" x14ac:dyDescent="0.15">
      <c r="A364" s="402"/>
      <c r="B364" s="403"/>
    </row>
    <row r="365" spans="1:2" x14ac:dyDescent="0.15">
      <c r="A365" s="402"/>
      <c r="B365" s="403"/>
    </row>
    <row r="366" spans="1:2" x14ac:dyDescent="0.15">
      <c r="A366" s="402"/>
      <c r="B366" s="403"/>
    </row>
    <row r="367" spans="1:2" x14ac:dyDescent="0.15">
      <c r="A367" s="402"/>
      <c r="B367" s="403"/>
    </row>
    <row r="368" spans="1:2" x14ac:dyDescent="0.15">
      <c r="A368" s="402"/>
      <c r="B368" s="403"/>
    </row>
    <row r="369" spans="1:2" x14ac:dyDescent="0.15">
      <c r="A369" s="402"/>
      <c r="B369" s="403"/>
    </row>
    <row r="370" spans="1:2" x14ac:dyDescent="0.15">
      <c r="A370" s="402"/>
      <c r="B370" s="403"/>
    </row>
    <row r="371" spans="1:2" x14ac:dyDescent="0.15">
      <c r="A371" s="402"/>
      <c r="B371" s="403"/>
    </row>
    <row r="372" spans="1:2" x14ac:dyDescent="0.15">
      <c r="A372" s="402"/>
      <c r="B372" s="403"/>
    </row>
    <row r="373" spans="1:2" x14ac:dyDescent="0.15">
      <c r="A373" s="402"/>
      <c r="B373" s="403"/>
    </row>
    <row r="374" spans="1:2" x14ac:dyDescent="0.15">
      <c r="A374" s="402"/>
      <c r="B374" s="403"/>
    </row>
    <row r="375" spans="1:2" x14ac:dyDescent="0.15">
      <c r="A375" s="402"/>
      <c r="B375" s="403"/>
    </row>
    <row r="376" spans="1:2" x14ac:dyDescent="0.15">
      <c r="A376" s="402"/>
      <c r="B376" s="403"/>
    </row>
    <row r="377" spans="1:2" x14ac:dyDescent="0.15">
      <c r="A377" s="402"/>
      <c r="B377" s="403"/>
    </row>
    <row r="378" spans="1:2" x14ac:dyDescent="0.15">
      <c r="A378" s="402"/>
      <c r="B378" s="403"/>
    </row>
    <row r="379" spans="1:2" x14ac:dyDescent="0.15">
      <c r="A379" s="402"/>
      <c r="B379" s="403"/>
    </row>
    <row r="380" spans="1:2" x14ac:dyDescent="0.15">
      <c r="A380" s="402"/>
      <c r="B380" s="403"/>
    </row>
    <row r="381" spans="1:2" x14ac:dyDescent="0.15">
      <c r="A381" s="402"/>
      <c r="B381" s="403"/>
    </row>
    <row r="382" spans="1:2" x14ac:dyDescent="0.15">
      <c r="A382" s="402"/>
      <c r="B382" s="403"/>
    </row>
    <row r="383" spans="1:2" x14ac:dyDescent="0.15">
      <c r="A383" s="402"/>
      <c r="B383" s="403"/>
    </row>
    <row r="384" spans="1:2" x14ac:dyDescent="0.15">
      <c r="A384" s="402"/>
      <c r="B384" s="403"/>
    </row>
    <row r="385" spans="1:2" x14ac:dyDescent="0.15">
      <c r="A385" s="402"/>
      <c r="B385" s="403"/>
    </row>
    <row r="386" spans="1:2" x14ac:dyDescent="0.15">
      <c r="A386" s="402"/>
      <c r="B386" s="403"/>
    </row>
    <row r="387" spans="1:2" x14ac:dyDescent="0.15">
      <c r="A387" s="402"/>
      <c r="B387" s="403"/>
    </row>
    <row r="388" spans="1:2" x14ac:dyDescent="0.15">
      <c r="A388" s="402"/>
      <c r="B388" s="403"/>
    </row>
    <row r="389" spans="1:2" x14ac:dyDescent="0.15">
      <c r="A389" s="402"/>
      <c r="B389" s="403"/>
    </row>
    <row r="390" spans="1:2" x14ac:dyDescent="0.15">
      <c r="A390" s="402"/>
      <c r="B390" s="403"/>
    </row>
    <row r="391" spans="1:2" x14ac:dyDescent="0.15">
      <c r="A391" s="402"/>
      <c r="B391" s="403"/>
    </row>
    <row r="392" spans="1:2" x14ac:dyDescent="0.15">
      <c r="A392" s="402"/>
      <c r="B392" s="403"/>
    </row>
    <row r="393" spans="1:2" x14ac:dyDescent="0.15">
      <c r="A393" s="402"/>
      <c r="B393" s="403"/>
    </row>
    <row r="394" spans="1:2" x14ac:dyDescent="0.15">
      <c r="A394" s="402"/>
      <c r="B394" s="403"/>
    </row>
    <row r="395" spans="1:2" x14ac:dyDescent="0.15">
      <c r="A395" s="402"/>
      <c r="B395" s="403"/>
    </row>
    <row r="396" spans="1:2" x14ac:dyDescent="0.15">
      <c r="A396" s="402"/>
      <c r="B396" s="403"/>
    </row>
    <row r="397" spans="1:2" x14ac:dyDescent="0.15">
      <c r="A397" s="402"/>
      <c r="B397" s="403"/>
    </row>
    <row r="398" spans="1:2" x14ac:dyDescent="0.15">
      <c r="A398" s="402"/>
      <c r="B398" s="403"/>
    </row>
    <row r="399" spans="1:2" x14ac:dyDescent="0.15">
      <c r="A399" s="402"/>
      <c r="B399" s="403"/>
    </row>
    <row r="400" spans="1:2" x14ac:dyDescent="0.15">
      <c r="A400" s="402"/>
      <c r="B400" s="403"/>
    </row>
    <row r="401" spans="1:2" x14ac:dyDescent="0.15">
      <c r="A401" s="402"/>
      <c r="B401" s="403"/>
    </row>
    <row r="402" spans="1:2" x14ac:dyDescent="0.15">
      <c r="A402" s="402"/>
      <c r="B402" s="403"/>
    </row>
    <row r="403" spans="1:2" x14ac:dyDescent="0.15">
      <c r="A403" s="402"/>
      <c r="B403" s="403"/>
    </row>
    <row r="404" spans="1:2" x14ac:dyDescent="0.15">
      <c r="A404" s="402"/>
      <c r="B404" s="403"/>
    </row>
    <row r="405" spans="1:2" x14ac:dyDescent="0.15">
      <c r="A405" s="402"/>
      <c r="B405" s="403"/>
    </row>
    <row r="406" spans="1:2" x14ac:dyDescent="0.15">
      <c r="A406" s="402"/>
      <c r="B406" s="403"/>
    </row>
    <row r="407" spans="1:2" x14ac:dyDescent="0.15">
      <c r="A407" s="402"/>
      <c r="B407" s="403"/>
    </row>
    <row r="408" spans="1:2" x14ac:dyDescent="0.15">
      <c r="A408" s="402"/>
      <c r="B408" s="403"/>
    </row>
    <row r="409" spans="1:2" x14ac:dyDescent="0.15">
      <c r="A409" s="402"/>
      <c r="B409" s="403"/>
    </row>
    <row r="410" spans="1:2" x14ac:dyDescent="0.15">
      <c r="A410" s="402"/>
      <c r="B410" s="403"/>
    </row>
    <row r="411" spans="1:2" x14ac:dyDescent="0.15">
      <c r="A411" s="402"/>
      <c r="B411" s="403"/>
    </row>
    <row r="412" spans="1:2" x14ac:dyDescent="0.15">
      <c r="A412" s="402"/>
      <c r="B412" s="403"/>
    </row>
    <row r="413" spans="1:2" x14ac:dyDescent="0.15">
      <c r="A413" s="402"/>
      <c r="B413" s="403"/>
    </row>
    <row r="414" spans="1:2" x14ac:dyDescent="0.15">
      <c r="A414" s="402"/>
      <c r="B414" s="403"/>
    </row>
    <row r="415" spans="1:2" x14ac:dyDescent="0.15">
      <c r="A415" s="402"/>
      <c r="B415" s="403"/>
    </row>
    <row r="416" spans="1:2" x14ac:dyDescent="0.15">
      <c r="A416" s="402"/>
      <c r="B416" s="403"/>
    </row>
    <row r="417" spans="1:2" x14ac:dyDescent="0.15">
      <c r="A417" s="402"/>
      <c r="B417" s="403"/>
    </row>
    <row r="418" spans="1:2" x14ac:dyDescent="0.15">
      <c r="A418" s="402"/>
      <c r="B418" s="403"/>
    </row>
    <row r="419" spans="1:2" x14ac:dyDescent="0.15">
      <c r="A419" s="402"/>
      <c r="B419" s="403"/>
    </row>
    <row r="420" spans="1:2" x14ac:dyDescent="0.15">
      <c r="A420" s="402"/>
      <c r="B420" s="403"/>
    </row>
    <row r="421" spans="1:2" x14ac:dyDescent="0.15">
      <c r="A421" s="402"/>
      <c r="B421" s="403"/>
    </row>
    <row r="422" spans="1:2" x14ac:dyDescent="0.15">
      <c r="A422" s="402"/>
      <c r="B422" s="403"/>
    </row>
    <row r="423" spans="1:2" x14ac:dyDescent="0.15">
      <c r="A423" s="402"/>
      <c r="B423" s="403"/>
    </row>
    <row r="424" spans="1:2" x14ac:dyDescent="0.15">
      <c r="A424" s="402"/>
      <c r="B424" s="403"/>
    </row>
    <row r="425" spans="1:2" x14ac:dyDescent="0.15">
      <c r="A425" s="402"/>
      <c r="B425" s="403"/>
    </row>
    <row r="426" spans="1:2" x14ac:dyDescent="0.15">
      <c r="A426" s="402"/>
      <c r="B426" s="403"/>
    </row>
    <row r="427" spans="1:2" x14ac:dyDescent="0.15">
      <c r="A427" s="402"/>
      <c r="B427" s="403"/>
    </row>
    <row r="428" spans="1:2" x14ac:dyDescent="0.15">
      <c r="A428" s="402"/>
      <c r="B428" s="403"/>
    </row>
    <row r="429" spans="1:2" x14ac:dyDescent="0.15">
      <c r="A429" s="402"/>
      <c r="B429" s="403"/>
    </row>
    <row r="430" spans="1:2" x14ac:dyDescent="0.15">
      <c r="A430" s="402"/>
      <c r="B430" s="403"/>
    </row>
    <row r="431" spans="1:2" x14ac:dyDescent="0.15">
      <c r="A431" s="402"/>
      <c r="B431" s="403"/>
    </row>
    <row r="432" spans="1:2" x14ac:dyDescent="0.15">
      <c r="A432" s="402"/>
      <c r="B432" s="403"/>
    </row>
    <row r="433" spans="1:2" x14ac:dyDescent="0.15">
      <c r="A433" s="402"/>
      <c r="B433" s="403"/>
    </row>
    <row r="434" spans="1:2" x14ac:dyDescent="0.15">
      <c r="A434" s="402"/>
      <c r="B434" s="403"/>
    </row>
    <row r="435" spans="1:2" x14ac:dyDescent="0.15">
      <c r="A435" s="402"/>
      <c r="B435" s="403"/>
    </row>
    <row r="436" spans="1:2" x14ac:dyDescent="0.15">
      <c r="A436" s="402"/>
      <c r="B436" s="403"/>
    </row>
    <row r="437" spans="1:2" x14ac:dyDescent="0.15">
      <c r="A437" s="402"/>
      <c r="B437" s="403"/>
    </row>
    <row r="438" spans="1:2" x14ac:dyDescent="0.15">
      <c r="A438" s="402"/>
      <c r="B438" s="403"/>
    </row>
    <row r="439" spans="1:2" x14ac:dyDescent="0.15">
      <c r="A439" s="402"/>
      <c r="B439" s="403"/>
    </row>
    <row r="440" spans="1:2" x14ac:dyDescent="0.15">
      <c r="A440" s="402"/>
      <c r="B440" s="403"/>
    </row>
    <row r="441" spans="1:2" x14ac:dyDescent="0.15">
      <c r="A441" s="402"/>
      <c r="B441" s="403"/>
    </row>
    <row r="442" spans="1:2" x14ac:dyDescent="0.15">
      <c r="A442" s="402"/>
      <c r="B442" s="403"/>
    </row>
    <row r="443" spans="1:2" x14ac:dyDescent="0.15">
      <c r="A443" s="402"/>
      <c r="B443" s="403"/>
    </row>
    <row r="444" spans="1:2" x14ac:dyDescent="0.15">
      <c r="A444" s="402"/>
      <c r="B444" s="403"/>
    </row>
    <row r="445" spans="1:2" x14ac:dyDescent="0.15">
      <c r="A445" s="402"/>
      <c r="B445" s="403"/>
    </row>
    <row r="446" spans="1:2" x14ac:dyDescent="0.15">
      <c r="A446" s="402"/>
      <c r="B446" s="403"/>
    </row>
    <row r="447" spans="1:2" x14ac:dyDescent="0.15">
      <c r="A447" s="402"/>
      <c r="B447" s="403"/>
    </row>
    <row r="448" spans="1:2" x14ac:dyDescent="0.15">
      <c r="A448" s="402"/>
      <c r="B448" s="403"/>
    </row>
    <row r="449" spans="1:2" x14ac:dyDescent="0.15">
      <c r="A449" s="402"/>
      <c r="B449" s="403"/>
    </row>
    <row r="450" spans="1:2" x14ac:dyDescent="0.15">
      <c r="A450" s="402"/>
      <c r="B450" s="403"/>
    </row>
    <row r="451" spans="1:2" x14ac:dyDescent="0.15">
      <c r="A451" s="402"/>
      <c r="B451" s="403"/>
    </row>
    <row r="452" spans="1:2" x14ac:dyDescent="0.15">
      <c r="A452" s="402"/>
      <c r="B452" s="403"/>
    </row>
    <row r="453" spans="1:2" x14ac:dyDescent="0.15">
      <c r="A453" s="402"/>
      <c r="B453" s="403"/>
    </row>
    <row r="454" spans="1:2" x14ac:dyDescent="0.15">
      <c r="A454" s="402"/>
      <c r="B454" s="403"/>
    </row>
    <row r="455" spans="1:2" x14ac:dyDescent="0.15">
      <c r="A455" s="402"/>
      <c r="B455" s="403"/>
    </row>
    <row r="456" spans="1:2" x14ac:dyDescent="0.15">
      <c r="A456" s="402"/>
      <c r="B456" s="403"/>
    </row>
    <row r="457" spans="1:2" x14ac:dyDescent="0.15">
      <c r="A457" s="402"/>
      <c r="B457" s="403"/>
    </row>
    <row r="458" spans="1:2" x14ac:dyDescent="0.15">
      <c r="A458" s="402"/>
      <c r="B458" s="403"/>
    </row>
    <row r="459" spans="1:2" x14ac:dyDescent="0.15">
      <c r="A459" s="402"/>
      <c r="B459" s="403"/>
    </row>
    <row r="460" spans="1:2" x14ac:dyDescent="0.15">
      <c r="A460" s="402"/>
      <c r="B460" s="403"/>
    </row>
    <row r="461" spans="1:2" x14ac:dyDescent="0.15">
      <c r="A461" s="402"/>
      <c r="B461" s="403"/>
    </row>
    <row r="462" spans="1:2" x14ac:dyDescent="0.15">
      <c r="A462" s="402"/>
      <c r="B462" s="403"/>
    </row>
    <row r="463" spans="1:2" x14ac:dyDescent="0.15">
      <c r="A463" s="402"/>
      <c r="B463" s="403"/>
    </row>
    <row r="464" spans="1:2" x14ac:dyDescent="0.15">
      <c r="A464" s="402"/>
      <c r="B464" s="403"/>
    </row>
    <row r="465" spans="1:2" x14ac:dyDescent="0.15">
      <c r="A465" s="402"/>
      <c r="B465" s="403"/>
    </row>
    <row r="466" spans="1:2" x14ac:dyDescent="0.15">
      <c r="A466" s="402"/>
      <c r="B466" s="403"/>
    </row>
    <row r="467" spans="1:2" x14ac:dyDescent="0.15">
      <c r="A467" s="402"/>
      <c r="B467" s="403"/>
    </row>
    <row r="468" spans="1:2" x14ac:dyDescent="0.15">
      <c r="A468" s="402"/>
      <c r="B468" s="403"/>
    </row>
    <row r="469" spans="1:2" x14ac:dyDescent="0.15">
      <c r="A469" s="402"/>
      <c r="B469" s="403"/>
    </row>
    <row r="470" spans="1:2" x14ac:dyDescent="0.15">
      <c r="A470" s="402"/>
      <c r="B470" s="403"/>
    </row>
    <row r="471" spans="1:2" x14ac:dyDescent="0.15">
      <c r="A471" s="402"/>
      <c r="B471" s="403"/>
    </row>
    <row r="472" spans="1:2" x14ac:dyDescent="0.15">
      <c r="A472" s="402"/>
      <c r="B472" s="403"/>
    </row>
    <row r="473" spans="1:2" x14ac:dyDescent="0.15">
      <c r="A473" s="402"/>
      <c r="B473" s="403"/>
    </row>
    <row r="474" spans="1:2" x14ac:dyDescent="0.15">
      <c r="A474" s="402"/>
      <c r="B474" s="403"/>
    </row>
    <row r="475" spans="1:2" x14ac:dyDescent="0.15">
      <c r="A475" s="402"/>
      <c r="B475" s="403"/>
    </row>
    <row r="476" spans="1:2" x14ac:dyDescent="0.15">
      <c r="A476" s="402"/>
      <c r="B476" s="403"/>
    </row>
    <row r="477" spans="1:2" x14ac:dyDescent="0.15">
      <c r="A477" s="402"/>
    </row>
    <row r="478" spans="1:2" x14ac:dyDescent="0.15">
      <c r="A478" s="402"/>
    </row>
    <row r="479" spans="1:2" x14ac:dyDescent="0.15">
      <c r="A479" s="402"/>
    </row>
    <row r="480" spans="1:2" x14ac:dyDescent="0.15">
      <c r="A480" s="402"/>
    </row>
    <row r="481" spans="1:1" x14ac:dyDescent="0.15">
      <c r="A481" s="402"/>
    </row>
  </sheetData>
  <mergeCells count="57">
    <mergeCell ref="R10:U10"/>
    <mergeCell ref="L23:N23"/>
    <mergeCell ref="O23:P23"/>
    <mergeCell ref="L28:P30"/>
    <mergeCell ref="L27:P27"/>
    <mergeCell ref="L25:N25"/>
    <mergeCell ref="O25:P25"/>
    <mergeCell ref="R11:U12"/>
    <mergeCell ref="S13:U13"/>
    <mergeCell ref="L24:N24"/>
    <mergeCell ref="O24:P24"/>
    <mergeCell ref="L33:P35"/>
    <mergeCell ref="L32:P32"/>
    <mergeCell ref="S8:T8"/>
    <mergeCell ref="S7:T7"/>
    <mergeCell ref="S6:T6"/>
    <mergeCell ref="L12:N12"/>
    <mergeCell ref="L21:N21"/>
    <mergeCell ref="L11:N11"/>
    <mergeCell ref="O11:P11"/>
    <mergeCell ref="L16:N16"/>
    <mergeCell ref="O16:P16"/>
    <mergeCell ref="L15:N15"/>
    <mergeCell ref="O15:P15"/>
    <mergeCell ref="L19:P19"/>
    <mergeCell ref="O8:P8"/>
    <mergeCell ref="O10:P10"/>
    <mergeCell ref="S2:U2"/>
    <mergeCell ref="L7:P7"/>
    <mergeCell ref="S4:T4"/>
    <mergeCell ref="S3:T3"/>
    <mergeCell ref="S5:T5"/>
    <mergeCell ref="M3:N3"/>
    <mergeCell ref="L8:N8"/>
    <mergeCell ref="L10:N10"/>
    <mergeCell ref="L22:N22"/>
    <mergeCell ref="O9:P9"/>
    <mergeCell ref="L20:N20"/>
    <mergeCell ref="O20:P20"/>
    <mergeCell ref="O22:P22"/>
    <mergeCell ref="O21:P21"/>
    <mergeCell ref="B18:F18"/>
    <mergeCell ref="C10:E10"/>
    <mergeCell ref="F10:H10"/>
    <mergeCell ref="L13:N13"/>
    <mergeCell ref="O12:P12"/>
    <mergeCell ref="O13:P13"/>
    <mergeCell ref="O14:P14"/>
    <mergeCell ref="L14:N14"/>
    <mergeCell ref="L17:N17"/>
    <mergeCell ref="O17:P17"/>
    <mergeCell ref="C1:E1"/>
    <mergeCell ref="F1:H1"/>
    <mergeCell ref="C16:E16"/>
    <mergeCell ref="F16:H16"/>
    <mergeCell ref="C8:E8"/>
    <mergeCell ref="F8:H8"/>
  </mergeCells>
  <conditionalFormatting sqref="F17 F9">
    <cfRule type="colorScale" priority="145">
      <colorScale>
        <cfvo type="min"/>
        <cfvo type="percentile" val="50"/>
        <cfvo type="max"/>
        <color rgb="FF63BE7B"/>
        <color rgb="FFFFEB84"/>
        <color rgb="FFF8696B"/>
      </colorScale>
    </cfRule>
  </conditionalFormatting>
  <conditionalFormatting sqref="F21:F26">
    <cfRule type="colorScale" priority="35">
      <colorScale>
        <cfvo type="min"/>
        <cfvo type="percentile" val="50"/>
        <cfvo type="max"/>
        <color rgb="FF63BE7B"/>
        <color rgb="FFFFEB84"/>
        <color rgb="FFF8696B"/>
      </colorScale>
    </cfRule>
  </conditionalFormatting>
  <conditionalFormatting sqref="F2:H8">
    <cfRule type="colorScale" priority="2841">
      <colorScale>
        <cfvo type="min"/>
        <cfvo type="percentile" val="50"/>
        <cfvo type="max"/>
        <color rgb="FF63BE7B"/>
        <color rgb="FFFFEB84"/>
        <color rgb="FFF8696B"/>
      </colorScale>
    </cfRule>
  </conditionalFormatting>
  <conditionalFormatting sqref="F11:H16">
    <cfRule type="colorScale" priority="2839">
      <colorScale>
        <cfvo type="min"/>
        <cfvo type="percentile" val="50"/>
        <cfvo type="max"/>
        <color rgb="FF63BE7B"/>
        <color rgb="FFFFEB84"/>
        <color rgb="FFF8696B"/>
      </colorScale>
    </cfRule>
  </conditionalFormatting>
  <conditionalFormatting sqref="O10:O11">
    <cfRule type="cellIs" dxfId="7" priority="30" operator="lessThan">
      <formula>0.8</formula>
    </cfRule>
    <cfRule type="cellIs" dxfId="6" priority="31" operator="between">
      <formula>0.8</formula>
      <formula>0.99999</formula>
    </cfRule>
    <cfRule type="cellIs" dxfId="5" priority="32" operator="between">
      <formula>1</formula>
      <formula>1.3</formula>
    </cfRule>
    <cfRule type="cellIs" dxfId="4" priority="33" operator="between">
      <formula>1.3</formula>
      <formula>1.5</formula>
    </cfRule>
    <cfRule type="cellIs" dxfId="3" priority="34" operator="greaterThan">
      <formula>1.5</formula>
    </cfRule>
  </conditionalFormatting>
  <conditionalFormatting sqref="O20:P23 O24 O25:P25">
    <cfRule type="cellIs" dxfId="2" priority="1" operator="greaterThan">
      <formula>750</formula>
    </cfRule>
    <cfRule type="cellIs" dxfId="1" priority="2" operator="greaterThan">
      <formula>500</formula>
    </cfRule>
  </conditionalFormatting>
  <dataValidations count="1">
    <dataValidation type="list" operator="equal" allowBlank="1" sqref="B8:C9 L2:L4 O2:O4 B1 D11:E14 C10:C14 B10 B16:C17 G2:H7 C1:C6 D2:E6 G11:H15 F1:F17 M3" xr:uid="{00000000-0002-0000-0C00-000000000000}">
      <formula1>"ASICS GEL 11-50,ASICS GT 21-40,ASICS GT 21-60"</formula1>
      <formula2>0</formula2>
    </dataValidation>
  </dataValidations>
  <pageMargins left="0.7" right="0.7" top="0.75" bottom="0.75" header="0.3" footer="0.3"/>
  <pageSetup paperSize="9" scale="86"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2C81B-66E5-4C3D-B714-D12A40B2A19A}">
  <dimension ref="A1:DK221"/>
  <sheetViews>
    <sheetView zoomScaleNormal="100" workbookViewId="0">
      <pane ySplit="10" topLeftCell="A11" activePane="bottomLeft" state="frozen"/>
      <selection pane="bottomLeft" activeCell="T21" sqref="T21"/>
    </sheetView>
  </sheetViews>
  <sheetFormatPr baseColWidth="10" defaultColWidth="8.6640625" defaultRowHeight="15" x14ac:dyDescent="0.2"/>
  <cols>
    <col min="1" max="1" width="9.5" style="682" bestFit="1" customWidth="1"/>
    <col min="2" max="2" width="7" style="683" bestFit="1" customWidth="1"/>
    <col min="3" max="3" width="5.6640625" style="409" bestFit="1" customWidth="1"/>
    <col min="4" max="4" width="3.83203125" style="409" customWidth="1"/>
    <col min="5" max="5" width="3.6640625" style="409" bestFit="1" customWidth="1"/>
    <col min="6" max="6" width="5.5" style="409" bestFit="1" customWidth="1"/>
    <col min="7" max="7" width="5.6640625" style="409" customWidth="1"/>
    <col min="8" max="8" width="5.5" style="409" bestFit="1" customWidth="1"/>
    <col min="9" max="9" width="3.83203125" style="409" customWidth="1"/>
    <col min="10" max="10" width="4.5" style="409" bestFit="1" customWidth="1"/>
    <col min="11" max="11" width="4.6640625" style="683" bestFit="1" customWidth="1"/>
    <col min="12" max="12" width="5.5" style="408" customWidth="1"/>
    <col min="13" max="13" width="1.5" style="408" customWidth="1"/>
    <col min="14" max="14" width="5.5" style="408" customWidth="1"/>
    <col min="15" max="15" width="8.6640625" style="406"/>
    <col min="16" max="16" width="3.33203125" style="406" customWidth="1"/>
    <col min="17" max="17" width="6" style="406" customWidth="1"/>
    <col min="18" max="18" width="6.83203125" style="406" customWidth="1"/>
    <col min="19" max="19" width="7" style="406" customWidth="1"/>
    <col min="20" max="20" width="8.33203125" style="406" customWidth="1"/>
    <col min="21" max="21" width="7.33203125" style="406" customWidth="1"/>
    <col min="22" max="115" width="8.6640625" style="406"/>
    <col min="116" max="16384" width="8.6640625" style="409"/>
  </cols>
  <sheetData>
    <row r="1" spans="1:21" ht="16" thickBot="1" x14ac:dyDescent="0.25">
      <c r="A1" s="404" t="s">
        <v>629</v>
      </c>
      <c r="B1" s="405">
        <v>261</v>
      </c>
      <c r="C1" s="406" t="s">
        <v>506</v>
      </c>
      <c r="D1" s="406"/>
      <c r="E1" s="406"/>
      <c r="F1" s="2854" t="s">
        <v>959</v>
      </c>
      <c r="G1" s="407"/>
      <c r="H1" s="407"/>
      <c r="I1" s="406"/>
      <c r="J1" s="406"/>
      <c r="K1" s="406"/>
      <c r="L1" s="3576" t="s">
        <v>912</v>
      </c>
      <c r="M1" s="3577"/>
      <c r="N1" s="3578"/>
      <c r="O1" s="408"/>
      <c r="P1" s="3561" t="s">
        <v>458</v>
      </c>
      <c r="Q1" s="3562"/>
      <c r="R1" s="3562"/>
      <c r="S1" s="3562"/>
      <c r="T1" s="3562"/>
      <c r="U1" s="3563"/>
    </row>
    <row r="2" spans="1:21" x14ac:dyDescent="0.2">
      <c r="A2" s="410" t="s">
        <v>754</v>
      </c>
      <c r="B2" s="411">
        <f>((Dashboard!$S$3*Dashboard!M3*1/(0.98*L11*3.6))*60)/1440</f>
        <v>5.0183630415614787E-3</v>
      </c>
      <c r="C2" s="412">
        <f>((Dashboard!$S$3*Dashboard!M3*1/(0.98*N11*3.6))*60)/1440</f>
        <v>4.3910676613662936E-3</v>
      </c>
      <c r="D2" s="406" t="s">
        <v>913</v>
      </c>
      <c r="E2" s="406"/>
      <c r="F2" s="2851">
        <f>AVERAGE(B2:C2)</f>
        <v>4.7047153514638857E-3</v>
      </c>
      <c r="G2" s="407"/>
      <c r="H2" s="407"/>
      <c r="I2" s="413"/>
      <c r="J2" s="406"/>
      <c r="K2" s="414" t="s">
        <v>754</v>
      </c>
      <c r="L2" s="415">
        <f>Dashboard!C2</f>
        <v>0.7</v>
      </c>
      <c r="M2" s="415" t="s">
        <v>437</v>
      </c>
      <c r="N2" s="416">
        <f>Dashboard!E2</f>
        <v>0.8</v>
      </c>
      <c r="O2" s="408"/>
      <c r="P2" s="387" t="s">
        <v>754</v>
      </c>
      <c r="Q2" s="3564" t="s">
        <v>930</v>
      </c>
      <c r="R2" s="3565"/>
      <c r="S2" s="3565"/>
      <c r="T2" s="3565"/>
      <c r="U2" s="3566"/>
    </row>
    <row r="3" spans="1:21" x14ac:dyDescent="0.2">
      <c r="A3" s="417" t="s">
        <v>755</v>
      </c>
      <c r="B3" s="418">
        <f>((Dashboard!$S$4*Dashboard!M3*1/(L18*3.6))*60)/1440</f>
        <v>4.2811330177579864E-3</v>
      </c>
      <c r="C3" s="419">
        <f>((Dashboard!$S$4*Dashboard!M3*1/(N18*3.6))*60)/1440</f>
        <v>3.9120420983081517E-3</v>
      </c>
      <c r="D3" s="406" t="s">
        <v>913</v>
      </c>
      <c r="E3" s="406"/>
      <c r="F3" s="2852">
        <f t="shared" ref="F3:F6" si="0">AVERAGE(B3:C3)</f>
        <v>4.096587558033069E-3</v>
      </c>
      <c r="G3" s="407"/>
      <c r="H3" s="407"/>
      <c r="I3" s="406"/>
      <c r="J3" s="406"/>
      <c r="K3" s="420" t="s">
        <v>755</v>
      </c>
      <c r="L3" s="421">
        <f>Dashboard!C3</f>
        <v>0.8</v>
      </c>
      <c r="M3" s="421" t="s">
        <v>437</v>
      </c>
      <c r="N3" s="422">
        <f>Dashboard!E3</f>
        <v>0.88</v>
      </c>
      <c r="O3" s="408"/>
      <c r="P3" s="388" t="s">
        <v>755</v>
      </c>
      <c r="Q3" s="3567" t="s">
        <v>931</v>
      </c>
      <c r="R3" s="3568"/>
      <c r="S3" s="3568"/>
      <c r="T3" s="3568"/>
      <c r="U3" s="3569"/>
    </row>
    <row r="4" spans="1:21" ht="16" thickBot="1" x14ac:dyDescent="0.25">
      <c r="A4" s="423" t="s">
        <v>756</v>
      </c>
      <c r="B4" s="424">
        <f>((Dashboard!S5*Dashboard!M3*1/(L47*3.6))*60)/1440</f>
        <v>3.6024859869447983E-3</v>
      </c>
      <c r="C4" s="425">
        <f>((Dashboard!$S$5*Dashboard!M3*1/(N47*3.6))*60)/1440</f>
        <v>3.3370396510646562E-3</v>
      </c>
      <c r="D4" s="406" t="s">
        <v>913</v>
      </c>
      <c r="E4" s="406"/>
      <c r="F4" s="2852">
        <f t="shared" si="0"/>
        <v>3.4697628190047273E-3</v>
      </c>
      <c r="G4" s="407"/>
      <c r="H4" s="407"/>
      <c r="I4" s="406"/>
      <c r="J4" s="406"/>
      <c r="K4" s="426" t="s">
        <v>756</v>
      </c>
      <c r="L4" s="427">
        <f>N3</f>
        <v>0.88</v>
      </c>
      <c r="M4" s="427" t="s">
        <v>437</v>
      </c>
      <c r="N4" s="428">
        <f>Dashboard!E4</f>
        <v>0.95</v>
      </c>
      <c r="O4" s="408"/>
      <c r="P4" s="389" t="s">
        <v>756</v>
      </c>
      <c r="Q4" s="3558" t="s">
        <v>932</v>
      </c>
      <c r="R4" s="3559"/>
      <c r="S4" s="3559"/>
      <c r="T4" s="3559"/>
      <c r="U4" s="3560"/>
    </row>
    <row r="5" spans="1:21" ht="16" thickBot="1" x14ac:dyDescent="0.25">
      <c r="A5" s="429" t="s">
        <v>757</v>
      </c>
      <c r="B5" s="430">
        <f>((Dashboard!$S$6*Dashboard!M3*1/((L49)*3.6))*60)/1440</f>
        <v>3.5592306133523902E-3</v>
      </c>
      <c r="C5" s="431">
        <f>((Dashboard!$S$6*Dashboard!M3*1/((N49)*3.6))*60)/1440</f>
        <v>3.2342634735264332E-3</v>
      </c>
      <c r="D5" s="406" t="s">
        <v>913</v>
      </c>
      <c r="E5" s="406"/>
      <c r="F5" s="2852">
        <f t="shared" si="0"/>
        <v>3.3967470434394117E-3</v>
      </c>
      <c r="G5" s="407"/>
      <c r="H5" s="407"/>
      <c r="I5" s="406"/>
      <c r="J5" s="406"/>
      <c r="K5" s="432" t="s">
        <v>757</v>
      </c>
      <c r="L5" s="433">
        <f>Dashboard!C5</f>
        <v>0.95</v>
      </c>
      <c r="M5" s="433" t="s">
        <v>437</v>
      </c>
      <c r="N5" s="434">
        <f>Dashboard!E5</f>
        <v>1.05</v>
      </c>
      <c r="O5" s="408"/>
      <c r="P5" s="397" t="s">
        <v>757</v>
      </c>
      <c r="Q5" s="3570" t="s">
        <v>933</v>
      </c>
      <c r="R5" s="3571"/>
      <c r="S5" s="3571"/>
      <c r="T5" s="3571"/>
      <c r="U5" s="3572"/>
    </row>
    <row r="6" spans="1:21" x14ac:dyDescent="0.2">
      <c r="A6" s="435" t="s">
        <v>758</v>
      </c>
      <c r="B6" s="436">
        <f>((Dashboard!$S$7*Dashboard!M3*1/(L63*3.6))*60)/1440</f>
        <v>3.1873011600276513E-3</v>
      </c>
      <c r="C6" s="437">
        <f>((Dashboard!$S$7*Dashboard!M3*1/(N63*3.6))*60)/1440</f>
        <v>2.9215972904170105E-3</v>
      </c>
      <c r="D6" s="406" t="s">
        <v>913</v>
      </c>
      <c r="E6" s="406"/>
      <c r="F6" s="2852">
        <f t="shared" si="0"/>
        <v>3.0544492252223311E-3</v>
      </c>
      <c r="G6" s="406"/>
      <c r="H6" s="406"/>
      <c r="I6" s="406"/>
      <c r="J6" s="406"/>
      <c r="K6" s="438" t="s">
        <v>758</v>
      </c>
      <c r="L6" s="439">
        <f>Dashboard!C6</f>
        <v>1.05</v>
      </c>
      <c r="M6" s="439" t="s">
        <v>437</v>
      </c>
      <c r="N6" s="440">
        <f>Dashboard!E6</f>
        <v>1.1499999999999999</v>
      </c>
      <c r="P6" s="390" t="s">
        <v>758</v>
      </c>
      <c r="Q6" s="3573" t="s">
        <v>1468</v>
      </c>
      <c r="R6" s="3574"/>
      <c r="S6" s="3574"/>
      <c r="T6" s="3574"/>
      <c r="U6" s="3575"/>
    </row>
    <row r="7" spans="1:21" ht="16" thickBot="1" x14ac:dyDescent="0.25">
      <c r="A7" s="441" t="s">
        <v>797</v>
      </c>
      <c r="B7" s="442">
        <f>((Dashboard!$S$8*Dashboard!M3*0.4/(L70*3.6))*60)/1440</f>
        <v>1.1430406123468409E-3</v>
      </c>
      <c r="C7" s="443">
        <f>((Dashboard!$S$8*Dashboard!M3*0.4/(N70*3.6))*60)/1440</f>
        <v>1.0147846250110378E-3</v>
      </c>
      <c r="D7" s="800" t="s">
        <v>921</v>
      </c>
      <c r="E7" s="406"/>
      <c r="F7" s="2853" cm="1">
        <f t="array" ref="F7">AVERAGE(B7:C7/400*1000)</f>
        <v>2.6972815466973486E-3</v>
      </c>
      <c r="G7" s="2850"/>
      <c r="H7" s="406"/>
      <c r="J7" s="406"/>
      <c r="K7" s="444" t="s">
        <v>797</v>
      </c>
      <c r="L7" s="445">
        <f>N6</f>
        <v>1.1499999999999999</v>
      </c>
      <c r="M7" s="445" t="s">
        <v>437</v>
      </c>
      <c r="N7" s="446">
        <v>1.3</v>
      </c>
      <c r="P7" s="391" t="s">
        <v>797</v>
      </c>
      <c r="Q7" s="3555" t="s">
        <v>854</v>
      </c>
      <c r="R7" s="3556"/>
      <c r="S7" s="3556"/>
      <c r="T7" s="3556"/>
      <c r="U7" s="3557"/>
    </row>
    <row r="8" spans="1:21" ht="16" thickBot="1" x14ac:dyDescent="0.25">
      <c r="A8" s="447"/>
      <c r="B8" s="408"/>
      <c r="C8" s="406"/>
      <c r="D8" s="406"/>
      <c r="E8" s="406"/>
      <c r="F8" s="406"/>
      <c r="G8" s="406"/>
      <c r="H8" s="406"/>
      <c r="I8" s="406"/>
      <c r="J8" s="406"/>
      <c r="K8" s="408"/>
      <c r="P8" s="448"/>
      <c r="Q8" s="449"/>
      <c r="R8" s="449"/>
      <c r="S8" s="449"/>
      <c r="T8" s="449"/>
      <c r="U8" s="449"/>
    </row>
    <row r="9" spans="1:21" ht="16" thickBot="1" x14ac:dyDescent="0.25">
      <c r="A9" s="447"/>
      <c r="B9" s="3579" t="s">
        <v>630</v>
      </c>
      <c r="C9" s="3580"/>
      <c r="D9" s="3580"/>
      <c r="E9" s="3581"/>
      <c r="F9" s="3579" t="s">
        <v>631</v>
      </c>
      <c r="G9" s="3580"/>
      <c r="H9" s="3580"/>
      <c r="I9" s="3580"/>
      <c r="J9" s="3582" t="s">
        <v>438</v>
      </c>
      <c r="K9" s="3583"/>
      <c r="L9" s="450"/>
      <c r="M9" s="451"/>
      <c r="N9" s="452"/>
      <c r="P9" s="3588"/>
      <c r="Q9" s="3587"/>
      <c r="R9" s="3587"/>
      <c r="S9" s="3587"/>
      <c r="T9" s="3587"/>
      <c r="U9" s="3587"/>
    </row>
    <row r="10" spans="1:21" ht="16" thickBot="1" x14ac:dyDescent="0.25">
      <c r="A10" s="453" t="s">
        <v>754</v>
      </c>
      <c r="B10" s="453" t="s">
        <v>632</v>
      </c>
      <c r="C10" s="454" t="s">
        <v>235</v>
      </c>
      <c r="D10" s="454" t="s">
        <v>633</v>
      </c>
      <c r="E10" s="454" t="s">
        <v>634</v>
      </c>
      <c r="F10" s="453" t="s">
        <v>632</v>
      </c>
      <c r="G10" s="454" t="s">
        <v>235</v>
      </c>
      <c r="H10" s="454" t="s">
        <v>633</v>
      </c>
      <c r="I10" s="455" t="s">
        <v>634</v>
      </c>
      <c r="J10" s="456" t="s">
        <v>632</v>
      </c>
      <c r="K10" s="457" t="s">
        <v>628</v>
      </c>
      <c r="L10" s="3584" t="s">
        <v>493</v>
      </c>
      <c r="M10" s="3585"/>
      <c r="N10" s="3586"/>
      <c r="O10" s="458"/>
      <c r="P10" s="3588"/>
      <c r="Q10" s="3587"/>
      <c r="R10" s="3587"/>
      <c r="S10" s="3587"/>
      <c r="T10" s="3587"/>
      <c r="U10" s="3587"/>
    </row>
    <row r="11" spans="1:21" x14ac:dyDescent="0.2">
      <c r="A11" s="1042" t="s">
        <v>635</v>
      </c>
      <c r="B11" s="1039"/>
      <c r="C11" s="460"/>
      <c r="D11" s="461"/>
      <c r="E11" s="1039"/>
      <c r="F11" s="459">
        <v>1</v>
      </c>
      <c r="G11" s="1046">
        <f>F11*I11*AVERAGE(B2:C2)</f>
        <v>9.4094307029277714E-3</v>
      </c>
      <c r="H11" s="1039">
        <v>82</v>
      </c>
      <c r="I11" s="1047">
        <v>2</v>
      </c>
      <c r="J11" s="462">
        <f>F11*I11</f>
        <v>2</v>
      </c>
      <c r="K11" s="463">
        <f>(G11*86400*$B$1*H11/100*H11/100)/($B$1*3600)*100</f>
        <v>15.18456289115672</v>
      </c>
      <c r="L11" s="1052">
        <f>IFERROR(VLOOKUP($A$10,Dashboard!$B$1:$H$7,5,FALSE),"")</f>
        <v>169.39999999999998</v>
      </c>
      <c r="M11" s="1053" t="s">
        <v>437</v>
      </c>
      <c r="N11" s="1054">
        <f>IFERROR(VLOOKUP($A$10,Dashboard!$B$1:$H$7,7,FALSE),"")</f>
        <v>193.60000000000002</v>
      </c>
      <c r="R11" s="464"/>
    </row>
    <row r="12" spans="1:21" x14ac:dyDescent="0.2">
      <c r="A12" s="1043" t="s">
        <v>825</v>
      </c>
      <c r="B12" s="1040">
        <f>B13-1.5</f>
        <v>8.3000000000000007</v>
      </c>
      <c r="C12" s="467">
        <f t="shared" ref="C12:C13" si="1">B12*$C$2</f>
        <v>3.6445861589340239E-2</v>
      </c>
      <c r="D12" s="468">
        <v>78</v>
      </c>
      <c r="E12" s="465">
        <v>1</v>
      </c>
      <c r="F12" s="1048"/>
      <c r="G12" s="465"/>
      <c r="H12" s="465"/>
      <c r="I12" s="469"/>
      <c r="J12" s="466">
        <f>B12</f>
        <v>8.3000000000000007</v>
      </c>
      <c r="K12" s="470">
        <f>(C12*86400*$B$1*D12/100*D12/100)/($B$1*3600)*100</f>
        <v>53.216789258291044</v>
      </c>
      <c r="L12" s="471">
        <f>IFERROR(VLOOKUP($A$10,Dashboard!$B$1:$H$7,5,FALSE),"")</f>
        <v>169.39999999999998</v>
      </c>
      <c r="M12" s="472" t="s">
        <v>437</v>
      </c>
      <c r="N12" s="473">
        <f>IFERROR(VLOOKUP($A$10,Dashboard!$B$1:$H$7,7,FALSE),"")</f>
        <v>193.60000000000002</v>
      </c>
    </row>
    <row r="13" spans="1:21" x14ac:dyDescent="0.2">
      <c r="A13" s="1043" t="s">
        <v>824</v>
      </c>
      <c r="B13" s="1040">
        <v>9.8000000000000007</v>
      </c>
      <c r="C13" s="467">
        <f t="shared" si="1"/>
        <v>4.303246308138968E-2</v>
      </c>
      <c r="D13" s="468">
        <v>78</v>
      </c>
      <c r="E13" s="465">
        <v>1</v>
      </c>
      <c r="F13" s="1048"/>
      <c r="G13" s="465"/>
      <c r="H13" s="465"/>
      <c r="I13" s="469"/>
      <c r="J13" s="466">
        <f>C13/C2</f>
        <v>9.8000000000000007</v>
      </c>
      <c r="K13" s="470">
        <f>(C13*86400*$B$1*D13/100*D13/100)/($B$1*3600)*100</f>
        <v>62.834281292921958</v>
      </c>
      <c r="L13" s="471">
        <f>IFERROR(VLOOKUP($A$10,Dashboard!$B$1:$H$7,5,FALSE),"")</f>
        <v>169.39999999999998</v>
      </c>
      <c r="M13" s="472" t="s">
        <v>437</v>
      </c>
      <c r="N13" s="473">
        <f>IFERROR(VLOOKUP($A$10,Dashboard!$B$1:$H$7,7,FALSE),"")</f>
        <v>193.60000000000002</v>
      </c>
    </row>
    <row r="14" spans="1:21" x14ac:dyDescent="0.2">
      <c r="A14" s="1044" t="s">
        <v>817</v>
      </c>
      <c r="B14" s="1041">
        <v>10.8</v>
      </c>
      <c r="C14" s="1032">
        <f>B14*$C$2</f>
        <v>4.7423530742755973E-2</v>
      </c>
      <c r="D14" s="1033">
        <v>78</v>
      </c>
      <c r="E14" s="1031">
        <v>1</v>
      </c>
      <c r="F14" s="1049"/>
      <c r="G14" s="1031"/>
      <c r="H14" s="1031"/>
      <c r="I14" s="1034"/>
      <c r="J14" s="474">
        <f t="shared" ref="J14:J15" si="2">B14</f>
        <v>10.8</v>
      </c>
      <c r="K14" s="1035">
        <f>(C14*86400*$B$1*D14/100*D14/100)/($B$1*3600)*100</f>
        <v>69.245942649342567</v>
      </c>
      <c r="L14" s="1036">
        <f>IFERROR(VLOOKUP($A$10,Dashboard!$B$1:$H$7,5,FALSE),"")</f>
        <v>169.39999999999998</v>
      </c>
      <c r="M14" s="1037" t="s">
        <v>437</v>
      </c>
      <c r="N14" s="1038">
        <f>IFERROR(VLOOKUP($A$10,Dashboard!$B$1:$H$7,7,FALSE),"")</f>
        <v>193.60000000000002</v>
      </c>
    </row>
    <row r="15" spans="1:21" ht="16" thickBot="1" x14ac:dyDescent="0.25">
      <c r="A15" s="1045" t="s">
        <v>950</v>
      </c>
      <c r="B15" s="1027">
        <f>C15/AVERAGE(B2:C2)</f>
        <v>6.6422722025630039</v>
      </c>
      <c r="C15" s="1028">
        <v>3.125E-2</v>
      </c>
      <c r="D15" s="1029">
        <v>78</v>
      </c>
      <c r="E15" s="1030">
        <v>1</v>
      </c>
      <c r="F15" s="1050"/>
      <c r="G15" s="1030"/>
      <c r="H15" s="1030"/>
      <c r="I15" s="1051"/>
      <c r="J15" s="474">
        <f t="shared" si="2"/>
        <v>6.6422722025630039</v>
      </c>
      <c r="K15" s="1035">
        <f>(C15*86400*$B$1*D15/100*D15/100)/($B$1*3600)*100</f>
        <v>45.629999999999995</v>
      </c>
      <c r="L15" s="1036">
        <f>IFERROR(VLOOKUP($A$10,Dashboard!$B$1:$H$7,5,FALSE),"")</f>
        <v>169.39999999999998</v>
      </c>
      <c r="M15" s="1037" t="s">
        <v>437</v>
      </c>
      <c r="N15" s="1038">
        <f>IFERROR(VLOOKUP($A$10,Dashboard!$B$1:$H$7,7,FALSE),"")</f>
        <v>193.60000000000002</v>
      </c>
    </row>
    <row r="16" spans="1:21" ht="16" thickBot="1" x14ac:dyDescent="0.25">
      <c r="A16" s="475" t="s">
        <v>755</v>
      </c>
      <c r="B16" s="476" t="s">
        <v>632</v>
      </c>
      <c r="C16" s="477" t="s">
        <v>235</v>
      </c>
      <c r="D16" s="477" t="s">
        <v>633</v>
      </c>
      <c r="E16" s="477" t="s">
        <v>634</v>
      </c>
      <c r="F16" s="478" t="s">
        <v>632</v>
      </c>
      <c r="G16" s="479" t="s">
        <v>235</v>
      </c>
      <c r="H16" s="479" t="s">
        <v>633</v>
      </c>
      <c r="I16" s="480" t="s">
        <v>634</v>
      </c>
      <c r="J16" s="481" t="s">
        <v>632</v>
      </c>
      <c r="K16" s="480" t="s">
        <v>628</v>
      </c>
      <c r="L16" s="3592" t="s">
        <v>493</v>
      </c>
      <c r="M16" s="3593"/>
      <c r="N16" s="3594"/>
    </row>
    <row r="17" spans="1:19" x14ac:dyDescent="0.2">
      <c r="A17" s="482" t="s">
        <v>799</v>
      </c>
      <c r="B17" s="483">
        <v>4</v>
      </c>
      <c r="C17" s="484">
        <f>B17*AVERAGE($B$3,$C$3)</f>
        <v>1.6386350232132276E-2</v>
      </c>
      <c r="D17" s="485">
        <v>85</v>
      </c>
      <c r="E17" s="486">
        <v>1</v>
      </c>
      <c r="F17" s="487"/>
      <c r="G17" s="488"/>
      <c r="H17" s="487"/>
      <c r="I17" s="487"/>
      <c r="J17" s="489">
        <f>B17</f>
        <v>4</v>
      </c>
      <c r="K17" s="490">
        <f>(C17*86400*$B$1*D17/100*D17/100)/($B$1*3600)*100</f>
        <v>28.413931302517366</v>
      </c>
      <c r="L17" s="491">
        <f>IFERROR(VLOOKUP($A$16,Dashboard!$B$1:$H$7,5,FALSE),"")</f>
        <v>194.60000000000002</v>
      </c>
      <c r="M17" s="492" t="s">
        <v>437</v>
      </c>
      <c r="N17" s="493">
        <f>IFERROR(VLOOKUP($A$16,Dashboard!$B$1:$H$7,7,FALSE),"")</f>
        <v>212.96</v>
      </c>
      <c r="O17" s="494"/>
    </row>
    <row r="18" spans="1:19" x14ac:dyDescent="0.2">
      <c r="A18" s="487" t="s">
        <v>800</v>
      </c>
      <c r="B18" s="489">
        <v>6</v>
      </c>
      <c r="C18" s="495">
        <f t="shared" ref="C18:C30" si="3">B18*AVERAGE($B$3,$C$3)</f>
        <v>2.4579525348198412E-2</v>
      </c>
      <c r="D18" s="490">
        <v>85</v>
      </c>
      <c r="E18" s="496">
        <v>1</v>
      </c>
      <c r="F18" s="487"/>
      <c r="G18" s="495"/>
      <c r="H18" s="487"/>
      <c r="I18" s="487"/>
      <c r="J18" s="489">
        <f>B18</f>
        <v>6</v>
      </c>
      <c r="K18" s="490">
        <f t="shared" ref="K18:K24" si="4">(C18*86400*$B$1*D18/100*D18/100)/($B$1*3600)*100</f>
        <v>42.620896953776047</v>
      </c>
      <c r="L18" s="491">
        <f>IFERROR(VLOOKUP($A$16,Dashboard!$B$1:$H$7,5,FALSE),"")</f>
        <v>194.60000000000002</v>
      </c>
      <c r="M18" s="492" t="s">
        <v>437</v>
      </c>
      <c r="N18" s="493">
        <f>IFERROR(VLOOKUP($A$16,Dashboard!$B$1:$H$7,7,FALSE),"")</f>
        <v>212.96</v>
      </c>
    </row>
    <row r="19" spans="1:19" x14ac:dyDescent="0.2">
      <c r="A19" s="482" t="s">
        <v>801</v>
      </c>
      <c r="B19" s="489">
        <v>8</v>
      </c>
      <c r="C19" s="495">
        <f t="shared" si="3"/>
        <v>3.2772700464264552E-2</v>
      </c>
      <c r="D19" s="490">
        <v>85</v>
      </c>
      <c r="E19" s="496">
        <v>1</v>
      </c>
      <c r="F19" s="487"/>
      <c r="G19" s="487"/>
      <c r="H19" s="487"/>
      <c r="I19" s="487"/>
      <c r="J19" s="489">
        <f t="shared" ref="J19:J28" si="5">B19</f>
        <v>8</v>
      </c>
      <c r="K19" s="490">
        <f t="shared" si="4"/>
        <v>56.827862605034731</v>
      </c>
      <c r="L19" s="491">
        <f>IFERROR(VLOOKUP($A$16,Dashboard!$B$1:$H$7,5,FALSE),"")</f>
        <v>194.60000000000002</v>
      </c>
      <c r="M19" s="492" t="s">
        <v>437</v>
      </c>
      <c r="N19" s="493">
        <f>IFERROR(VLOOKUP($A$16,Dashboard!$B$1:$H$7,7,FALSE),"")</f>
        <v>212.96</v>
      </c>
    </row>
    <row r="20" spans="1:19" x14ac:dyDescent="0.2">
      <c r="A20" s="482" t="s">
        <v>802</v>
      </c>
      <c r="B20" s="489">
        <v>10</v>
      </c>
      <c r="C20" s="495">
        <f t="shared" si="3"/>
        <v>4.0965875580330692E-2</v>
      </c>
      <c r="D20" s="490">
        <v>85</v>
      </c>
      <c r="E20" s="496">
        <v>1</v>
      </c>
      <c r="F20" s="487"/>
      <c r="G20" s="487"/>
      <c r="H20" s="487"/>
      <c r="I20" s="487"/>
      <c r="J20" s="489">
        <f t="shared" si="5"/>
        <v>10</v>
      </c>
      <c r="K20" s="490">
        <f t="shared" si="4"/>
        <v>71.034828256293423</v>
      </c>
      <c r="L20" s="497">
        <f>IFERROR(VLOOKUP($A$16,Dashboard!$B$1:$H$7,5,FALSE),"")</f>
        <v>194.60000000000002</v>
      </c>
      <c r="M20" s="498" t="s">
        <v>437</v>
      </c>
      <c r="N20" s="499">
        <f>IFERROR(VLOOKUP($A$16,Dashboard!$B$1:$H$7,7,FALSE),"")</f>
        <v>212.96</v>
      </c>
    </row>
    <row r="21" spans="1:19" x14ac:dyDescent="0.2">
      <c r="A21" s="500" t="s">
        <v>826</v>
      </c>
      <c r="B21" s="501">
        <f>B22-1.5</f>
        <v>8.3000000000000007</v>
      </c>
      <c r="C21" s="502">
        <f t="shared" si="3"/>
        <v>3.4001676731674473E-2</v>
      </c>
      <c r="D21" s="503">
        <v>85</v>
      </c>
      <c r="E21" s="504">
        <v>1</v>
      </c>
      <c r="F21" s="500"/>
      <c r="G21" s="500"/>
      <c r="H21" s="500"/>
      <c r="I21" s="500"/>
      <c r="J21" s="501">
        <f>B21</f>
        <v>8.3000000000000007</v>
      </c>
      <c r="K21" s="505">
        <f>(C21*86400*$B$1*D21/100*D21/100)/($B$1*3600)*100</f>
        <v>58.95890745272353</v>
      </c>
      <c r="L21" s="491">
        <f>IFERROR(VLOOKUP($A$16,Dashboard!$B$1:$H$7,5,FALSE),"")</f>
        <v>194.60000000000002</v>
      </c>
      <c r="M21" s="492" t="s">
        <v>437</v>
      </c>
      <c r="N21" s="493">
        <f>IFERROR(VLOOKUP($A$16,Dashboard!$B$1:$H$7,7,FALSE),"")</f>
        <v>212.96</v>
      </c>
    </row>
    <row r="22" spans="1:19" x14ac:dyDescent="0.2">
      <c r="A22" s="487" t="s">
        <v>827</v>
      </c>
      <c r="B22" s="489">
        <v>9.8000000000000007</v>
      </c>
      <c r="C22" s="495">
        <f t="shared" si="3"/>
        <v>4.0146558068724081E-2</v>
      </c>
      <c r="D22" s="490">
        <v>85</v>
      </c>
      <c r="E22" s="496">
        <v>1</v>
      </c>
      <c r="F22" s="487"/>
      <c r="G22" s="487"/>
      <c r="H22" s="487"/>
      <c r="I22" s="487"/>
      <c r="J22" s="489">
        <f>B22</f>
        <v>9.8000000000000007</v>
      </c>
      <c r="K22" s="506">
        <f>(C22*86400*$B$1*D22/100*D22/100)/($B$1*3600)*100</f>
        <v>69.614131691167557</v>
      </c>
      <c r="L22" s="491">
        <f>IFERROR(VLOOKUP($A$16,Dashboard!$B$1:$H$7,5,FALSE),"")</f>
        <v>194.60000000000002</v>
      </c>
      <c r="M22" s="492" t="s">
        <v>437</v>
      </c>
      <c r="N22" s="493">
        <f>IFERROR(VLOOKUP($A$16,Dashboard!$B$1:$H$7,7,FALSE),"")</f>
        <v>212.96</v>
      </c>
      <c r="S22" s="507"/>
    </row>
    <row r="23" spans="1:19" x14ac:dyDescent="0.2">
      <c r="A23" s="508" t="s">
        <v>818</v>
      </c>
      <c r="B23" s="509">
        <v>10.8</v>
      </c>
      <c r="C23" s="510">
        <f t="shared" si="3"/>
        <v>4.4243145626757151E-2</v>
      </c>
      <c r="D23" s="511">
        <v>85</v>
      </c>
      <c r="E23" s="512">
        <v>1</v>
      </c>
      <c r="F23" s="508"/>
      <c r="G23" s="508"/>
      <c r="H23" s="508"/>
      <c r="I23" s="508"/>
      <c r="J23" s="509">
        <f t="shared" ref="J23" si="6">B23</f>
        <v>10.8</v>
      </c>
      <c r="K23" s="513">
        <f>(C23*86400*$B$1*D23/100*D23/100)/($B$1*3600)*100</f>
        <v>76.7176145167969</v>
      </c>
      <c r="L23" s="497">
        <f>IFERROR(VLOOKUP($A$16,Dashboard!$B$1:$H$7,5,FALSE),"")</f>
        <v>194.60000000000002</v>
      </c>
      <c r="M23" s="498" t="s">
        <v>437</v>
      </c>
      <c r="N23" s="499">
        <f>IFERROR(VLOOKUP($A$16,Dashboard!$B$1:$H$7,7,FALSE),"")</f>
        <v>212.96</v>
      </c>
    </row>
    <row r="24" spans="1:19" x14ac:dyDescent="0.2">
      <c r="A24" s="487" t="s">
        <v>803</v>
      </c>
      <c r="B24" s="489">
        <v>12</v>
      </c>
      <c r="C24" s="495">
        <f t="shared" si="3"/>
        <v>4.9159050696396825E-2</v>
      </c>
      <c r="D24" s="490">
        <v>85</v>
      </c>
      <c r="E24" s="496">
        <v>1</v>
      </c>
      <c r="F24" s="487"/>
      <c r="G24" s="487"/>
      <c r="H24" s="487"/>
      <c r="I24" s="487"/>
      <c r="J24" s="489">
        <f t="shared" si="5"/>
        <v>12</v>
      </c>
      <c r="K24" s="490">
        <f t="shared" si="4"/>
        <v>85.241793907552093</v>
      </c>
      <c r="L24" s="491">
        <f>IFERROR(VLOOKUP($A$16,Dashboard!$B$1:$H$7,5,FALSE),"")</f>
        <v>194.60000000000002</v>
      </c>
      <c r="M24" s="492" t="s">
        <v>437</v>
      </c>
      <c r="N24" s="493">
        <f>IFERROR(VLOOKUP($A$16,Dashboard!$B$1:$H$7,7,FALSE),"")</f>
        <v>212.96</v>
      </c>
    </row>
    <row r="25" spans="1:19" x14ac:dyDescent="0.2">
      <c r="A25" s="482" t="s">
        <v>804</v>
      </c>
      <c r="B25" s="489">
        <v>14</v>
      </c>
      <c r="C25" s="495">
        <f t="shared" si="3"/>
        <v>5.7352225812462965E-2</v>
      </c>
      <c r="D25" s="490">
        <v>85</v>
      </c>
      <c r="E25" s="496">
        <v>1</v>
      </c>
      <c r="F25" s="487"/>
      <c r="G25" s="487"/>
      <c r="H25" s="487"/>
      <c r="I25" s="487"/>
      <c r="J25" s="489">
        <f t="shared" si="5"/>
        <v>14</v>
      </c>
      <c r="K25" s="490">
        <f>(C25*86400*$B$1*D25/100*D25/100)/($B$1*3600)*100</f>
        <v>99.448759558810778</v>
      </c>
      <c r="L25" s="491">
        <f>IFERROR(VLOOKUP($A$16,Dashboard!$B$1:$H$7,5,FALSE),"")</f>
        <v>194.60000000000002</v>
      </c>
      <c r="M25" s="492" t="s">
        <v>437</v>
      </c>
      <c r="N25" s="493">
        <f>IFERROR(VLOOKUP($A$16,Dashboard!$B$1:$H$7,7,FALSE),"")</f>
        <v>212.96</v>
      </c>
    </row>
    <row r="26" spans="1:19" x14ac:dyDescent="0.2">
      <c r="A26" s="482" t="s">
        <v>805</v>
      </c>
      <c r="B26" s="489">
        <v>16</v>
      </c>
      <c r="C26" s="495">
        <f t="shared" si="3"/>
        <v>6.5545400928529104E-2</v>
      </c>
      <c r="D26" s="490">
        <v>85</v>
      </c>
      <c r="E26" s="496">
        <v>1</v>
      </c>
      <c r="F26" s="487"/>
      <c r="G26" s="487"/>
      <c r="H26" s="487"/>
      <c r="I26" s="487"/>
      <c r="J26" s="489">
        <f t="shared" si="5"/>
        <v>16</v>
      </c>
      <c r="K26" s="490">
        <f t="shared" ref="K26:K28" si="7">(C26*86400*$B$1*D26/100*D26/100)/($B$1*3600)*100</f>
        <v>113.65572521006946</v>
      </c>
      <c r="L26" s="491">
        <f>IFERROR(VLOOKUP($A$16,Dashboard!$B$1:$H$7,5,FALSE),"")</f>
        <v>194.60000000000002</v>
      </c>
      <c r="M26" s="492" t="s">
        <v>437</v>
      </c>
      <c r="N26" s="493">
        <f>IFERROR(VLOOKUP($A$16,Dashboard!$B$1:$H$7,7,FALSE),"")</f>
        <v>212.96</v>
      </c>
    </row>
    <row r="27" spans="1:19" x14ac:dyDescent="0.2">
      <c r="A27" s="487" t="s">
        <v>806</v>
      </c>
      <c r="B27" s="489">
        <v>18</v>
      </c>
      <c r="C27" s="495">
        <f t="shared" si="3"/>
        <v>7.3738576044595244E-2</v>
      </c>
      <c r="D27" s="490">
        <v>85</v>
      </c>
      <c r="E27" s="496">
        <v>1</v>
      </c>
      <c r="F27" s="487"/>
      <c r="G27" s="487"/>
      <c r="H27" s="487"/>
      <c r="I27" s="487"/>
      <c r="J27" s="489">
        <f t="shared" si="5"/>
        <v>18</v>
      </c>
      <c r="K27" s="490">
        <f t="shared" si="7"/>
        <v>127.86269086132816</v>
      </c>
      <c r="L27" s="491">
        <f>IFERROR(VLOOKUP($A$16,Dashboard!$B$1:$H$7,5,FALSE),"")</f>
        <v>194.60000000000002</v>
      </c>
      <c r="M27" s="492" t="s">
        <v>437</v>
      </c>
      <c r="N27" s="493">
        <f>IFERROR(VLOOKUP($A$16,Dashboard!$B$1:$H$7,7,FALSE),"")</f>
        <v>212.96</v>
      </c>
    </row>
    <row r="28" spans="1:19" x14ac:dyDescent="0.2">
      <c r="A28" s="482" t="s">
        <v>807</v>
      </c>
      <c r="B28" s="489">
        <v>20</v>
      </c>
      <c r="C28" s="495">
        <f t="shared" si="3"/>
        <v>8.1931751160661384E-2</v>
      </c>
      <c r="D28" s="490">
        <v>85</v>
      </c>
      <c r="E28" s="496">
        <v>1</v>
      </c>
      <c r="F28" s="487"/>
      <c r="G28" s="487"/>
      <c r="H28" s="487"/>
      <c r="I28" s="487"/>
      <c r="J28" s="489">
        <f t="shared" si="5"/>
        <v>20</v>
      </c>
      <c r="K28" s="490">
        <f t="shared" si="7"/>
        <v>142.06965651258685</v>
      </c>
      <c r="L28" s="491">
        <f>IFERROR(VLOOKUP($A$16,Dashboard!$B$1:$H$7,5,FALSE),"")</f>
        <v>194.60000000000002</v>
      </c>
      <c r="M28" s="492" t="s">
        <v>437</v>
      </c>
      <c r="N28" s="493">
        <f>IFERROR(VLOOKUP($A$16,Dashboard!$B$1:$H$7,7,FALSE),"")</f>
        <v>212.96</v>
      </c>
    </row>
    <row r="29" spans="1:19" x14ac:dyDescent="0.2">
      <c r="A29" s="514" t="s">
        <v>808</v>
      </c>
      <c r="B29" s="515">
        <v>22</v>
      </c>
      <c r="C29" s="516">
        <f t="shared" ref="C29" si="8">B29*AVERAGE($B$3,$C$3)</f>
        <v>9.0124926276727524E-2</v>
      </c>
      <c r="D29" s="517">
        <v>85</v>
      </c>
      <c r="E29" s="518">
        <v>1</v>
      </c>
      <c r="F29" s="508"/>
      <c r="G29" s="519"/>
      <c r="H29" s="519"/>
      <c r="I29" s="519"/>
      <c r="J29" s="509">
        <f>B29</f>
        <v>22</v>
      </c>
      <c r="K29" s="517">
        <f t="shared" ref="K29:K37" si="9">(C29*86400*$B$1*D29/100*D29/100)/($B$1*3600)*100</f>
        <v>156.27662216384556</v>
      </c>
      <c r="L29" s="497">
        <f>IFERROR(VLOOKUP($A$16,Dashboard!$B$1:$H$7,5,FALSE),"")</f>
        <v>194.60000000000002</v>
      </c>
      <c r="M29" s="520" t="s">
        <v>437</v>
      </c>
      <c r="N29" s="521">
        <f>IFERROR(VLOOKUP($A$16,Dashboard!$B$1:$H$7,7,FALSE),"")</f>
        <v>212.96</v>
      </c>
    </row>
    <row r="30" spans="1:19" x14ac:dyDescent="0.2">
      <c r="A30" s="514" t="s">
        <v>859</v>
      </c>
      <c r="B30" s="515">
        <v>25</v>
      </c>
      <c r="C30" s="516">
        <f t="shared" si="3"/>
        <v>0.10241468895082673</v>
      </c>
      <c r="D30" s="517">
        <v>85</v>
      </c>
      <c r="E30" s="518">
        <v>1</v>
      </c>
      <c r="F30" s="508"/>
      <c r="G30" s="519"/>
      <c r="H30" s="519"/>
      <c r="I30" s="519"/>
      <c r="J30" s="509">
        <f>B30</f>
        <v>25</v>
      </c>
      <c r="K30" s="517">
        <f t="shared" si="9"/>
        <v>177.58707064073354</v>
      </c>
      <c r="L30" s="497">
        <f>IFERROR(VLOOKUP($A$16,Dashboard!$B$1:$H$7,5,FALSE),"")</f>
        <v>194.60000000000002</v>
      </c>
      <c r="M30" s="520" t="s">
        <v>437</v>
      </c>
      <c r="N30" s="521">
        <f>IFERROR(VLOOKUP($A$16,Dashboard!$B$1:$H$7,7,FALSE),"")</f>
        <v>212.96</v>
      </c>
    </row>
    <row r="31" spans="1:19" x14ac:dyDescent="0.2">
      <c r="A31" s="482" t="s">
        <v>944</v>
      </c>
      <c r="B31" s="489">
        <f t="shared" ref="B31:B33" si="10">C31/AVERAGE($B$3,$C$3)</f>
        <v>5.0855335173981304</v>
      </c>
      <c r="C31" s="495">
        <v>2.0833333333333332E-2</v>
      </c>
      <c r="D31" s="490">
        <v>85</v>
      </c>
      <c r="E31" s="496">
        <v>1</v>
      </c>
      <c r="F31" s="487"/>
      <c r="G31" s="487"/>
      <c r="H31" s="487"/>
      <c r="I31" s="487"/>
      <c r="J31" s="489">
        <f t="shared" ref="J31:J33" si="11">B31</f>
        <v>5.0855335173981304</v>
      </c>
      <c r="K31" s="490">
        <f t="shared" ref="K31:K33" si="12">(C31*86400*$B$1*D31/100*D31/100)/($B$1*3600)*100</f>
        <v>36.125</v>
      </c>
      <c r="L31" s="491">
        <f>IFERROR(VLOOKUP($A$16,Dashboard!$B$1:$H$7,5,FALSE),"")</f>
        <v>194.60000000000002</v>
      </c>
      <c r="M31" s="492" t="s">
        <v>437</v>
      </c>
      <c r="N31" s="493">
        <f>IFERROR(VLOOKUP($A$16,Dashboard!$B$1:$H$7,7,FALSE),"")</f>
        <v>212.96</v>
      </c>
    </row>
    <row r="32" spans="1:19" x14ac:dyDescent="0.2">
      <c r="A32" s="3193" t="s">
        <v>1466</v>
      </c>
      <c r="B32" s="489">
        <f t="shared" ref="B32" si="13">C32/AVERAGE($B$3,$C$3)</f>
        <v>6.7807113565308406</v>
      </c>
      <c r="C32" s="495">
        <v>2.7777777777777776E-2</v>
      </c>
      <c r="D32" s="490">
        <v>85</v>
      </c>
      <c r="E32" s="496">
        <v>1</v>
      </c>
      <c r="F32" s="487"/>
      <c r="G32" s="487"/>
      <c r="H32" s="487"/>
      <c r="I32" s="487"/>
      <c r="J32" s="489">
        <f t="shared" ref="J32" si="14">B32</f>
        <v>6.7807113565308406</v>
      </c>
      <c r="K32" s="490">
        <f t="shared" ref="K32" si="15">(C32*86400*$B$1*D32/100*D32/100)/($B$1*3600)*100</f>
        <v>48.166666666666671</v>
      </c>
      <c r="L32" s="491">
        <f>IFERROR(VLOOKUP($A$16,Dashboard!$B$1:$H$7,5,FALSE),"")</f>
        <v>194.60000000000002</v>
      </c>
      <c r="M32" s="492" t="s">
        <v>437</v>
      </c>
      <c r="N32" s="493">
        <f>IFERROR(VLOOKUP($A$16,Dashboard!$B$1:$H$7,7,FALSE),"")</f>
        <v>212.96</v>
      </c>
    </row>
    <row r="33" spans="1:14" x14ac:dyDescent="0.2">
      <c r="A33" s="482" t="s">
        <v>943</v>
      </c>
      <c r="B33" s="489">
        <f t="shared" si="10"/>
        <v>7.6283002760971961</v>
      </c>
      <c r="C33" s="495">
        <v>3.125E-2</v>
      </c>
      <c r="D33" s="490">
        <v>85</v>
      </c>
      <c r="E33" s="496">
        <v>1</v>
      </c>
      <c r="F33" s="487"/>
      <c r="G33" s="487"/>
      <c r="H33" s="487"/>
      <c r="I33" s="487"/>
      <c r="J33" s="489">
        <f t="shared" si="11"/>
        <v>7.6283002760971961</v>
      </c>
      <c r="K33" s="490">
        <f t="shared" si="12"/>
        <v>54.1875</v>
      </c>
      <c r="L33" s="491">
        <f>IFERROR(VLOOKUP($A$16,Dashboard!$B$1:$H$7,5,FALSE),"")</f>
        <v>194.60000000000002</v>
      </c>
      <c r="M33" s="492" t="s">
        <v>437</v>
      </c>
      <c r="N33" s="493">
        <f>IFERROR(VLOOKUP($A$16,Dashboard!$B$1:$H$7,7,FALSE),"")</f>
        <v>212.96</v>
      </c>
    </row>
    <row r="34" spans="1:14" x14ac:dyDescent="0.2">
      <c r="A34" s="482" t="s">
        <v>819</v>
      </c>
      <c r="B34" s="489">
        <f>C34/AVERAGE($B$3,$C$3)</f>
        <v>10.171067034796261</v>
      </c>
      <c r="C34" s="495">
        <v>4.1666666666666664E-2</v>
      </c>
      <c r="D34" s="490">
        <v>85</v>
      </c>
      <c r="E34" s="496">
        <v>1</v>
      </c>
      <c r="F34" s="487"/>
      <c r="G34" s="487"/>
      <c r="H34" s="487"/>
      <c r="I34" s="487"/>
      <c r="J34" s="489">
        <f>B34</f>
        <v>10.171067034796261</v>
      </c>
      <c r="K34" s="490">
        <f t="shared" si="9"/>
        <v>72.25</v>
      </c>
      <c r="L34" s="491">
        <f>IFERROR(VLOOKUP($A$16,Dashboard!$B$1:$H$7,5,FALSE),"")</f>
        <v>194.60000000000002</v>
      </c>
      <c r="M34" s="492" t="s">
        <v>437</v>
      </c>
      <c r="N34" s="493">
        <f>IFERROR(VLOOKUP($A$16,Dashboard!$B$1:$H$7,7,FALSE),"")</f>
        <v>212.96</v>
      </c>
    </row>
    <row r="35" spans="1:14" x14ac:dyDescent="0.2">
      <c r="A35" s="482" t="s">
        <v>906</v>
      </c>
      <c r="B35" s="489">
        <f t="shared" ref="B35:B36" si="16">C35/AVERAGE($B$3,$C$3)</f>
        <v>11.866244873928972</v>
      </c>
      <c r="C35" s="495">
        <v>4.8611111111111112E-2</v>
      </c>
      <c r="D35" s="490">
        <v>85</v>
      </c>
      <c r="E35" s="496">
        <v>1</v>
      </c>
      <c r="F35" s="487"/>
      <c r="G35" s="487"/>
      <c r="H35" s="487"/>
      <c r="I35" s="487"/>
      <c r="J35" s="489">
        <f t="shared" ref="J35:J36" si="17">B35</f>
        <v>11.866244873928972</v>
      </c>
      <c r="K35" s="490">
        <f t="shared" si="9"/>
        <v>84.291666666666671</v>
      </c>
      <c r="L35" s="491">
        <f>IFERROR(VLOOKUP($A$16,Dashboard!$B$1:$H$7,5,FALSE),"")</f>
        <v>194.60000000000002</v>
      </c>
      <c r="M35" s="492" t="s">
        <v>437</v>
      </c>
      <c r="N35" s="493">
        <f>IFERROR(VLOOKUP($A$16,Dashboard!$B$1:$H$7,7,FALSE),"")</f>
        <v>212.96</v>
      </c>
    </row>
    <row r="36" spans="1:14" x14ac:dyDescent="0.2">
      <c r="A36" s="482" t="s">
        <v>907</v>
      </c>
      <c r="B36" s="489">
        <f t="shared" si="16"/>
        <v>13.561422713061681</v>
      </c>
      <c r="C36" s="495">
        <v>5.5555555555555552E-2</v>
      </c>
      <c r="D36" s="490">
        <v>85</v>
      </c>
      <c r="E36" s="496">
        <v>1</v>
      </c>
      <c r="F36" s="487"/>
      <c r="G36" s="487"/>
      <c r="H36" s="487"/>
      <c r="I36" s="487"/>
      <c r="J36" s="489">
        <f t="shared" si="17"/>
        <v>13.561422713061681</v>
      </c>
      <c r="K36" s="490">
        <f t="shared" si="9"/>
        <v>96.333333333333343</v>
      </c>
      <c r="L36" s="491">
        <f>IFERROR(VLOOKUP($A$16,Dashboard!$B$1:$H$7,5,FALSE),"")</f>
        <v>194.60000000000002</v>
      </c>
      <c r="M36" s="492" t="s">
        <v>437</v>
      </c>
      <c r="N36" s="493">
        <f>IFERROR(VLOOKUP($A$16,Dashboard!$B$1:$H$7,7,FALSE),"")</f>
        <v>212.96</v>
      </c>
    </row>
    <row r="37" spans="1:14" x14ac:dyDescent="0.2">
      <c r="A37" s="482" t="s">
        <v>809</v>
      </c>
      <c r="B37" s="489">
        <f t="shared" ref="B37:B40" si="18">C37/AVERAGE($B$3,$C$3)</f>
        <v>15.256600552194392</v>
      </c>
      <c r="C37" s="495">
        <v>6.25E-2</v>
      </c>
      <c r="D37" s="490">
        <v>85</v>
      </c>
      <c r="E37" s="496">
        <v>1</v>
      </c>
      <c r="F37" s="487"/>
      <c r="G37" s="487"/>
      <c r="H37" s="487"/>
      <c r="I37" s="487"/>
      <c r="J37" s="489">
        <f>B37</f>
        <v>15.256600552194392</v>
      </c>
      <c r="K37" s="490">
        <f t="shared" si="9"/>
        <v>108.375</v>
      </c>
      <c r="L37" s="491">
        <f>IFERROR(VLOOKUP($A$16,Dashboard!$B$1:$H$7,5,FALSE),"")</f>
        <v>194.60000000000002</v>
      </c>
      <c r="M37" s="492" t="s">
        <v>437</v>
      </c>
      <c r="N37" s="493">
        <f>IFERROR(VLOOKUP($A$16,Dashboard!$B$1:$H$7,7,FALSE),"")</f>
        <v>212.96</v>
      </c>
    </row>
    <row r="38" spans="1:14" x14ac:dyDescent="0.2">
      <c r="A38" s="482" t="s">
        <v>810</v>
      </c>
      <c r="B38" s="489">
        <f t="shared" si="18"/>
        <v>16.9517783913271</v>
      </c>
      <c r="C38" s="495">
        <v>6.9444444444444434E-2</v>
      </c>
      <c r="D38" s="490">
        <v>85</v>
      </c>
      <c r="E38" s="496">
        <v>1</v>
      </c>
      <c r="F38" s="487"/>
      <c r="G38" s="487"/>
      <c r="H38" s="487"/>
      <c r="I38" s="487"/>
      <c r="J38" s="489">
        <f t="shared" ref="J38:J39" si="19">B38</f>
        <v>16.9517783913271</v>
      </c>
      <c r="K38" s="490">
        <f t="shared" ref="K38" si="20">(C38*86400*$B$1*D38/100*D38/100)/($B$1*3600)*100</f>
        <v>120.41666666666664</v>
      </c>
      <c r="L38" s="491">
        <f>IFERROR(VLOOKUP($A$16,Dashboard!$B$1:$H$7,5,FALSE),"")</f>
        <v>194.60000000000002</v>
      </c>
      <c r="M38" s="492" t="s">
        <v>437</v>
      </c>
      <c r="N38" s="493">
        <f>IFERROR(VLOOKUP($A$16,Dashboard!$B$1:$H$7,7,FALSE),"")</f>
        <v>212.96</v>
      </c>
    </row>
    <row r="39" spans="1:14" x14ac:dyDescent="0.2">
      <c r="A39" s="482" t="s">
        <v>811</v>
      </c>
      <c r="B39" s="489">
        <f>C39/AVERAGE($B$3,$C$3)</f>
        <v>18.646956230459814</v>
      </c>
      <c r="C39" s="495">
        <v>7.6388888888888895E-2</v>
      </c>
      <c r="D39" s="490">
        <v>85</v>
      </c>
      <c r="E39" s="496">
        <v>1</v>
      </c>
      <c r="F39" s="487"/>
      <c r="G39" s="487"/>
      <c r="H39" s="487"/>
      <c r="I39" s="487"/>
      <c r="J39" s="489">
        <f t="shared" si="19"/>
        <v>18.646956230459814</v>
      </c>
      <c r="K39" s="490">
        <f>(C39*86400*$B$1*D39/100*D39/100)/($B$1*3600)*100</f>
        <v>132.45833333333337</v>
      </c>
      <c r="L39" s="491">
        <f>IFERROR(VLOOKUP($A$16,Dashboard!$B$1:$H$7,5,FALSE),"")</f>
        <v>194.60000000000002</v>
      </c>
      <c r="M39" s="492" t="s">
        <v>437</v>
      </c>
      <c r="N39" s="493">
        <f>IFERROR(VLOOKUP($A$16,Dashboard!$B$1:$H$7,7,FALSE),"")</f>
        <v>212.96</v>
      </c>
    </row>
    <row r="40" spans="1:14" x14ac:dyDescent="0.2">
      <c r="A40" s="514" t="s">
        <v>812</v>
      </c>
      <c r="B40" s="515">
        <f t="shared" si="18"/>
        <v>20.342134069592522</v>
      </c>
      <c r="C40" s="516">
        <v>8.3333333333333329E-2</v>
      </c>
      <c r="D40" s="517">
        <v>85</v>
      </c>
      <c r="E40" s="518">
        <v>1</v>
      </c>
      <c r="F40" s="508"/>
      <c r="G40" s="508"/>
      <c r="H40" s="508"/>
      <c r="I40" s="508"/>
      <c r="J40" s="509">
        <f>B40</f>
        <v>20.342134069592522</v>
      </c>
      <c r="K40" s="517">
        <f>(C40*86400*$B$1*D40/100*D40/100)/($B$1*3600)*100</f>
        <v>144.5</v>
      </c>
      <c r="L40" s="497">
        <f>IFERROR(VLOOKUP($A$16,Dashboard!$B$1:$H$7,5,FALSE),"")</f>
        <v>194.60000000000002</v>
      </c>
      <c r="M40" s="520" t="s">
        <v>437</v>
      </c>
      <c r="N40" s="521">
        <f>IFERROR(VLOOKUP($A$16,Dashboard!$B$1:$H$7,7,FALSE),"")</f>
        <v>212.96</v>
      </c>
    </row>
    <row r="41" spans="1:14" x14ac:dyDescent="0.2">
      <c r="A41" s="482" t="s">
        <v>813</v>
      </c>
      <c r="B41" s="489">
        <f>16-F41</f>
        <v>12.741588162640154</v>
      </c>
      <c r="C41" s="495">
        <f t="shared" ref="C41:C44" si="21">B41*AVERAGE($B$3,$C$3)</f>
        <v>5.2197031536653088E-2</v>
      </c>
      <c r="D41" s="490">
        <v>85</v>
      </c>
      <c r="E41" s="496">
        <v>1</v>
      </c>
      <c r="F41" s="522">
        <f>G41/$C$5</f>
        <v>3.2584118373598465</v>
      </c>
      <c r="G41" s="495">
        <f>0.15*(16*$C$2)</f>
        <v>1.0538562387279104E-2</v>
      </c>
      <c r="H41" s="487">
        <v>100</v>
      </c>
      <c r="I41" s="487">
        <v>1</v>
      </c>
      <c r="J41" s="489">
        <f>B41+F41</f>
        <v>16</v>
      </c>
      <c r="K41" s="490">
        <f>(C41*86400*$B$1*D41/100*D41/100)/($B$1*3600)*100+(G41*86400*$B$1*H41/100*H41/100)/($B$1*3600)*100</f>
        <v>115.80220241402631</v>
      </c>
      <c r="L41" s="491">
        <f>IFERROR(VLOOKUP($A$16,Dashboard!$B$1:$H$7,5,FALSE),"")</f>
        <v>194.60000000000002</v>
      </c>
      <c r="M41" s="492" t="s">
        <v>437</v>
      </c>
      <c r="N41" s="493">
        <f>IFERROR(VLOOKUP($A$16,Dashboard!$B$1:$H$7,7,FALSE),"")</f>
        <v>212.96</v>
      </c>
    </row>
    <row r="42" spans="1:14" x14ac:dyDescent="0.2">
      <c r="A42" s="482" t="s">
        <v>814</v>
      </c>
      <c r="B42" s="489">
        <f>18-F42</f>
        <v>14.334286682970173</v>
      </c>
      <c r="C42" s="495">
        <f t="shared" si="21"/>
        <v>5.872166047873472E-2</v>
      </c>
      <c r="D42" s="490">
        <v>85</v>
      </c>
      <c r="E42" s="496">
        <v>1</v>
      </c>
      <c r="F42" s="522">
        <f t="shared" ref="F42:F44" si="22">G42/$C$5</f>
        <v>3.6657133170298271</v>
      </c>
      <c r="G42" s="495">
        <f>0.15*(18*$C$2)</f>
        <v>1.1855882685688992E-2</v>
      </c>
      <c r="H42" s="487">
        <v>100</v>
      </c>
      <c r="I42" s="487">
        <v>1</v>
      </c>
      <c r="J42" s="489">
        <f t="shared" ref="J42:J44" si="23">B42+F42</f>
        <v>18</v>
      </c>
      <c r="K42" s="490">
        <f>(C42*86400*$B$1*D42/100*D42/100)/($B$1*3600)*100+(G42*86400*$B$1*H42/100*H42/100)/($B$1*3600)*100</f>
        <v>130.27747771577955</v>
      </c>
      <c r="L42" s="491">
        <f>IFERROR(VLOOKUP($A$16,Dashboard!$B$1:$H$7,5,FALSE),"")</f>
        <v>194.60000000000002</v>
      </c>
      <c r="M42" s="492" t="s">
        <v>437</v>
      </c>
      <c r="N42" s="493">
        <f>IFERROR(VLOOKUP($A$16,Dashboard!$B$1:$H$7,7,FALSE),"")</f>
        <v>212.96</v>
      </c>
    </row>
    <row r="43" spans="1:14" x14ac:dyDescent="0.2">
      <c r="A43" s="482" t="s">
        <v>815</v>
      </c>
      <c r="B43" s="489">
        <f>20-F43</f>
        <v>15.926985203300191</v>
      </c>
      <c r="C43" s="495">
        <f t="shared" si="21"/>
        <v>6.5246289420816353E-2</v>
      </c>
      <c r="D43" s="490">
        <v>85</v>
      </c>
      <c r="E43" s="496">
        <v>1</v>
      </c>
      <c r="F43" s="522">
        <f t="shared" si="22"/>
        <v>4.073014796699808</v>
      </c>
      <c r="G43" s="495">
        <f>0.15*(20*$C$2)</f>
        <v>1.3173202984098881E-2</v>
      </c>
      <c r="H43" s="487">
        <v>100</v>
      </c>
      <c r="I43" s="487">
        <v>1</v>
      </c>
      <c r="J43" s="489">
        <f t="shared" si="23"/>
        <v>20</v>
      </c>
      <c r="K43" s="490">
        <f>(C43*86400*$B$1*D43/100*D43/100)/($B$1*3600)*100+(G43*86400*$B$1*H43/100*H43/100)/($B$1*3600)*100</f>
        <v>144.75275301753288</v>
      </c>
      <c r="L43" s="491">
        <f>IFERROR(VLOOKUP($A$16,Dashboard!$B$1:$H$7,5,FALSE),"")</f>
        <v>194.60000000000002</v>
      </c>
      <c r="M43" s="492" t="s">
        <v>437</v>
      </c>
      <c r="N43" s="493">
        <f>IFERROR(VLOOKUP($A$16,Dashboard!$B$1:$H$7,7,FALSE),"")</f>
        <v>212.96</v>
      </c>
    </row>
    <row r="44" spans="1:14" ht="16" thickBot="1" x14ac:dyDescent="0.25">
      <c r="A44" s="523" t="s">
        <v>816</v>
      </c>
      <c r="B44" s="524">
        <f>22-F44</f>
        <v>17.519683723630212</v>
      </c>
      <c r="C44" s="525">
        <f t="shared" si="21"/>
        <v>7.1770918362897992E-2</v>
      </c>
      <c r="D44" s="526">
        <v>85</v>
      </c>
      <c r="E44" s="527">
        <v>1</v>
      </c>
      <c r="F44" s="522">
        <f t="shared" si="22"/>
        <v>4.4803162763697886</v>
      </c>
      <c r="G44" s="495">
        <f>0.15*(22*$C$2)</f>
        <v>1.4490523282508768E-2</v>
      </c>
      <c r="H44" s="487">
        <v>100</v>
      </c>
      <c r="I44" s="487">
        <v>1</v>
      </c>
      <c r="J44" s="528">
        <f t="shared" si="23"/>
        <v>22</v>
      </c>
      <c r="K44" s="529">
        <f>(C44*86400*$B$1*D44/100*D44/100)/($B$1*3600)*100+(G44*86400*$B$1*H44/100*H44/100)/($B$1*3600)*100</f>
        <v>159.22802831928615</v>
      </c>
      <c r="L44" s="530">
        <f>IFERROR(VLOOKUP($A$16,Dashboard!$B$1:$H$7,5,FALSE),"")</f>
        <v>194.60000000000002</v>
      </c>
      <c r="M44" s="531" t="s">
        <v>437</v>
      </c>
      <c r="N44" s="532">
        <f>IFERROR(VLOOKUP($A$16,Dashboard!$B$1:$H$7,7,FALSE),"")</f>
        <v>212.96</v>
      </c>
    </row>
    <row r="45" spans="1:14" ht="16" thickBot="1" x14ac:dyDescent="0.25">
      <c r="A45" s="3035" t="s">
        <v>756</v>
      </c>
      <c r="B45" s="3031" t="s">
        <v>632</v>
      </c>
      <c r="C45" s="3036" t="s">
        <v>235</v>
      </c>
      <c r="D45" s="3036" t="s">
        <v>633</v>
      </c>
      <c r="E45" s="3033" t="s">
        <v>634</v>
      </c>
      <c r="F45" s="3035" t="s">
        <v>632</v>
      </c>
      <c r="G45" s="3036" t="s">
        <v>235</v>
      </c>
      <c r="H45" s="3036" t="s">
        <v>633</v>
      </c>
      <c r="I45" s="3036" t="s">
        <v>634</v>
      </c>
      <c r="J45" s="3031" t="s">
        <v>632</v>
      </c>
      <c r="K45" s="3033" t="s">
        <v>628</v>
      </c>
      <c r="L45" s="3602" t="s">
        <v>493</v>
      </c>
      <c r="M45" s="3602"/>
      <c r="N45" s="3603"/>
    </row>
    <row r="46" spans="1:14" x14ac:dyDescent="0.2">
      <c r="A46" s="3046" t="s">
        <v>1442</v>
      </c>
      <c r="B46" s="3052">
        <f>C46/AVERAGE(B4:C4)</f>
        <v>9.0063792916438601</v>
      </c>
      <c r="C46" s="3047">
        <v>3.125E-2</v>
      </c>
      <c r="D46" s="3048">
        <f>(88+95)/2</f>
        <v>91.5</v>
      </c>
      <c r="E46" s="3054">
        <v>1</v>
      </c>
      <c r="F46" s="3036"/>
      <c r="G46" s="3036"/>
      <c r="H46" s="3036"/>
      <c r="I46" s="3036"/>
      <c r="J46" s="3052">
        <f>B46</f>
        <v>9.0063792916438601</v>
      </c>
      <c r="K46" s="3053">
        <f>(C46*86400*$B$1*D46/100*D46/100)/($B$1*3600)*100+(G46*86400*$B$1*H46/100*H46/100)/($B$1*3600)*100</f>
        <v>62.791874999999997</v>
      </c>
      <c r="L46" s="3049">
        <f>L4*B1</f>
        <v>229.68</v>
      </c>
      <c r="M46" s="3050" t="s">
        <v>437</v>
      </c>
      <c r="N46" s="3051">
        <f>N4*B1</f>
        <v>247.95</v>
      </c>
    </row>
    <row r="47" spans="1:14" ht="16" thickBot="1" x14ac:dyDescent="0.25">
      <c r="A47" s="3037" t="s">
        <v>927</v>
      </c>
      <c r="B47" s="3032">
        <f>C47/AVERAGE(B4:C4)</f>
        <v>12.008505722191813</v>
      </c>
      <c r="C47" s="3038">
        <v>4.1666666666666664E-2</v>
      </c>
      <c r="D47" s="3039">
        <f>(88+95)/2</f>
        <v>91.5</v>
      </c>
      <c r="E47" s="3040">
        <v>1</v>
      </c>
      <c r="F47" s="3041"/>
      <c r="G47" s="3038"/>
      <c r="H47" s="3042"/>
      <c r="I47" s="3042"/>
      <c r="J47" s="3032">
        <f>B47</f>
        <v>12.008505722191813</v>
      </c>
      <c r="K47" s="3034">
        <f>(C47*86400*$B$1*D47/100*D47/100)/($B$1*3600)*100+(G47*86400*$B$1*H47/100*H47/100)/($B$1*3600)*100</f>
        <v>83.722499999999997</v>
      </c>
      <c r="L47" s="3043">
        <f>L4*B1</f>
        <v>229.68</v>
      </c>
      <c r="M47" s="3044" t="s">
        <v>437</v>
      </c>
      <c r="N47" s="3045">
        <f>N4*B1</f>
        <v>247.95</v>
      </c>
    </row>
    <row r="48" spans="1:14" ht="16" thickBot="1" x14ac:dyDescent="0.25">
      <c r="A48" s="934" t="s">
        <v>757</v>
      </c>
      <c r="B48" s="935" t="s">
        <v>632</v>
      </c>
      <c r="C48" s="936" t="s">
        <v>235</v>
      </c>
      <c r="D48" s="936" t="s">
        <v>633</v>
      </c>
      <c r="E48" s="937" t="s">
        <v>634</v>
      </c>
      <c r="F48" s="934" t="s">
        <v>632</v>
      </c>
      <c r="G48" s="936" t="s">
        <v>235</v>
      </c>
      <c r="H48" s="936" t="s">
        <v>633</v>
      </c>
      <c r="I48" s="936" t="s">
        <v>634</v>
      </c>
      <c r="J48" s="935" t="s">
        <v>632</v>
      </c>
      <c r="K48" s="937" t="s">
        <v>628</v>
      </c>
      <c r="L48" s="3595" t="s">
        <v>493</v>
      </c>
      <c r="M48" s="3595"/>
      <c r="N48" s="3596"/>
    </row>
    <row r="49" spans="1:14" x14ac:dyDescent="0.2">
      <c r="A49" s="533" t="s">
        <v>829</v>
      </c>
      <c r="B49" s="534">
        <f>C49/AVERAGE($B$5,$C$5)</f>
        <v>6.1333190452234332</v>
      </c>
      <c r="C49" s="535">
        <v>2.0833333333333332E-2</v>
      </c>
      <c r="D49" s="536">
        <v>100</v>
      </c>
      <c r="E49" s="537">
        <v>1</v>
      </c>
      <c r="F49" s="538">
        <v>1</v>
      </c>
      <c r="G49" s="535">
        <f>AVERAGE($B$2,$C$2)*I49</f>
        <v>9.4094307029277714E-3</v>
      </c>
      <c r="H49" s="536">
        <v>75</v>
      </c>
      <c r="I49" s="536">
        <v>2</v>
      </c>
      <c r="J49" s="534">
        <f>B49+2*(F49*I49)</f>
        <v>10.133319045223434</v>
      </c>
      <c r="K49" s="539">
        <f>(C49*86400*$B$1*D49/100*D49/100)/($B$1*3600)*100+(G49*86400*$B$1*H49/100*H49/100)/($B$1*3600)*100*2</f>
        <v>75.405462897904982</v>
      </c>
      <c r="L49" s="684">
        <f>IFERROR(VLOOKUP($A$48,Dashboard!$B$1:$H$7,5,FALSE),"")</f>
        <v>230.89999999999998</v>
      </c>
      <c r="M49" s="540" t="s">
        <v>437</v>
      </c>
      <c r="N49" s="541">
        <f>IFERROR(VLOOKUP($A$48,Dashboard!$B$1:$H$7,7,FALSE),"")</f>
        <v>254.10000000000002</v>
      </c>
    </row>
    <row r="50" spans="1:14" x14ac:dyDescent="0.2">
      <c r="A50" s="542" t="s">
        <v>830</v>
      </c>
      <c r="B50" s="543">
        <f t="shared" ref="B50" si="24">C50/AVERAGE($B$5,$C$5)</f>
        <v>8.1777587269645782</v>
      </c>
      <c r="C50" s="544">
        <v>2.7777777777777776E-2</v>
      </c>
      <c r="D50" s="545">
        <v>100</v>
      </c>
      <c r="E50" s="546">
        <v>1</v>
      </c>
      <c r="F50" s="547">
        <v>1</v>
      </c>
      <c r="G50" s="544">
        <f>AVERAGE($B$2,$C$2)*I50</f>
        <v>9.4094307029277714E-3</v>
      </c>
      <c r="H50" s="545">
        <v>75</v>
      </c>
      <c r="I50" s="545">
        <v>2</v>
      </c>
      <c r="J50" s="543">
        <f t="shared" ref="J50:J51" si="25">B50+2*(F50*I50)</f>
        <v>12.177758726964578</v>
      </c>
      <c r="K50" s="548">
        <f>(C50*86400*$B$1*D50/100*D50/100)/($B$1*3600)*100+(G50*86400*$B$1*H50/100*H50/100)/($B$1*3600)*100*2</f>
        <v>92.07212956457164</v>
      </c>
      <c r="L50" s="685">
        <f>IFERROR(VLOOKUP($A$48,Dashboard!$B$1:$H$7,5,FALSE),"")</f>
        <v>230.89999999999998</v>
      </c>
      <c r="M50" s="549" t="s">
        <v>437</v>
      </c>
      <c r="N50" s="550">
        <f>IFERROR(VLOOKUP($A$48,Dashboard!$B$1:$H$7,7,FALSE),"")</f>
        <v>254.10000000000002</v>
      </c>
    </row>
    <row r="51" spans="1:14" x14ac:dyDescent="0.2">
      <c r="A51" s="542" t="s">
        <v>896</v>
      </c>
      <c r="B51" s="551">
        <v>10</v>
      </c>
      <c r="C51" s="544">
        <f>B51*AVERAGE(B5:C5)</f>
        <v>3.3967470434394118E-2</v>
      </c>
      <c r="D51" s="545">
        <v>100</v>
      </c>
      <c r="E51" s="546">
        <v>1</v>
      </c>
      <c r="F51" s="551">
        <v>1</v>
      </c>
      <c r="G51" s="552">
        <f>AVERAGE($B$2,$C$2)*I51</f>
        <v>9.4094307029277714E-3</v>
      </c>
      <c r="H51" s="553">
        <v>75</v>
      </c>
      <c r="I51" s="554">
        <v>2</v>
      </c>
      <c r="J51" s="551">
        <f t="shared" si="25"/>
        <v>14</v>
      </c>
      <c r="K51" s="555">
        <f>(C51*86400*$B$1*D51/100*D51/100)/($B$1*3600)*100+(G51*86400*$B$1*H51/100*H51/100)/($B$1*3600)*100*2</f>
        <v>106.92739194045087</v>
      </c>
      <c r="L51" s="686">
        <f>IFERROR(VLOOKUP($A$48,Dashboard!$B$1:$H$7,5,FALSE),"")</f>
        <v>230.89999999999998</v>
      </c>
      <c r="M51" s="687" t="s">
        <v>437</v>
      </c>
      <c r="N51" s="688">
        <f>IFERROR(VLOOKUP($A$48,Dashboard!$B$1:$H$7,7,FALSE),"")</f>
        <v>254.10000000000002</v>
      </c>
    </row>
    <row r="52" spans="1:14" x14ac:dyDescent="0.2">
      <c r="A52" s="556" t="s">
        <v>923</v>
      </c>
      <c r="B52" s="543">
        <f>C52/AVERAGE(B5:C5)</f>
        <v>4.0888793634822891</v>
      </c>
      <c r="C52" s="557">
        <v>1.3888888888888888E-2</v>
      </c>
      <c r="D52" s="558">
        <v>100</v>
      </c>
      <c r="E52" s="559">
        <v>4</v>
      </c>
      <c r="F52" s="547">
        <f t="shared" ref="F52" si="26">1/$B$2*G52</f>
        <v>1.2454260379805628</v>
      </c>
      <c r="G52" s="544">
        <v>6.2499999999999995E-3</v>
      </c>
      <c r="H52" s="545">
        <v>75</v>
      </c>
      <c r="I52" s="545">
        <v>3</v>
      </c>
      <c r="J52" s="543">
        <f>B52+F52+2*$J$11</f>
        <v>9.3343054014628528</v>
      </c>
      <c r="K52" s="548">
        <f t="shared" ref="K52:K60" si="27">2*$K$11+(C52*86400*$B$1*D52/100*D52/100)/($B$1*3600)*100+(G52*86400*$B$1*H52/100*H52/100)/($B$1*3600)*100</f>
        <v>72.139959115646775</v>
      </c>
      <c r="L52" s="685">
        <f>IFERROR(VLOOKUP($A$48,Dashboard!$B$1:$H$7,5,FALSE),"")</f>
        <v>230.89999999999998</v>
      </c>
      <c r="M52" s="549" t="s">
        <v>437</v>
      </c>
      <c r="N52" s="550">
        <f>IFERROR(VLOOKUP($A$48,Dashboard!$B$1:$H$7,7,FALSE),"")</f>
        <v>254.10000000000002</v>
      </c>
    </row>
    <row r="53" spans="1:14" x14ac:dyDescent="0.2">
      <c r="A53" s="938" t="s">
        <v>899</v>
      </c>
      <c r="B53" s="543">
        <f t="shared" ref="B53:B58" si="28">C53/AVERAGE($B$5:$C$5)</f>
        <v>4.9066552361787465</v>
      </c>
      <c r="C53" s="544">
        <v>1.6666666666666666E-2</v>
      </c>
      <c r="D53" s="545">
        <v>100</v>
      </c>
      <c r="E53" s="546">
        <v>4</v>
      </c>
      <c r="F53" s="547">
        <f>1/$B$2*G53</f>
        <v>1.2454260379805628</v>
      </c>
      <c r="G53" s="544">
        <v>6.2499999999999995E-3</v>
      </c>
      <c r="H53" s="545">
        <v>75</v>
      </c>
      <c r="I53" s="545">
        <v>3</v>
      </c>
      <c r="J53" s="543">
        <f>B53+F53+2*$J$11</f>
        <v>10.152081274159309</v>
      </c>
      <c r="K53" s="548">
        <f t="shared" si="27"/>
        <v>78.806625782313432</v>
      </c>
      <c r="L53" s="685">
        <f>IFERROR(VLOOKUP($A$48,Dashboard!$B$1:$H$7,5,FALSE),"")</f>
        <v>230.89999999999998</v>
      </c>
      <c r="M53" s="549" t="s">
        <v>437</v>
      </c>
      <c r="N53" s="550">
        <f>IFERROR(VLOOKUP($A$48,Dashboard!$B$1:$H$7,7,FALSE),"")</f>
        <v>254.10000000000002</v>
      </c>
    </row>
    <row r="54" spans="1:14" x14ac:dyDescent="0.2">
      <c r="A54" s="3238" t="s">
        <v>1484</v>
      </c>
      <c r="B54" s="543">
        <f t="shared" si="28"/>
        <v>5.7244311088752049</v>
      </c>
      <c r="C54" s="544">
        <v>1.9444444444444445E-2</v>
      </c>
      <c r="D54" s="545">
        <v>100</v>
      </c>
      <c r="E54" s="3239">
        <v>4</v>
      </c>
      <c r="F54" s="547">
        <f>1/$B$2*G54</f>
        <v>1.2454260379805628</v>
      </c>
      <c r="G54" s="544">
        <v>6.2499999999999995E-3</v>
      </c>
      <c r="H54" s="545">
        <v>75</v>
      </c>
      <c r="I54" s="545">
        <v>3</v>
      </c>
      <c r="J54" s="543">
        <f>B54+F54+2*$J$11</f>
        <v>10.969857146855768</v>
      </c>
      <c r="K54" s="548">
        <f t="shared" ref="K54" si="29">2*$K$11+(C54*86400*$B$1*D54/100*D54/100)/($B$1*3600)*100+(G54*86400*$B$1*H54/100*H54/100)/($B$1*3600)*100</f>
        <v>85.473292448980104</v>
      </c>
      <c r="L54" s="685">
        <f>IFERROR(VLOOKUP($A$48,Dashboard!$B$1:$H$7,5,FALSE),"")</f>
        <v>230.89999999999998</v>
      </c>
      <c r="M54" s="549" t="s">
        <v>437</v>
      </c>
      <c r="N54" s="550">
        <f>IFERROR(VLOOKUP($A$48,Dashboard!$B$1:$H$7,7,FALSE),"")</f>
        <v>254.10000000000002</v>
      </c>
    </row>
    <row r="55" spans="1:14" x14ac:dyDescent="0.2">
      <c r="A55" s="542" t="s">
        <v>900</v>
      </c>
      <c r="B55" s="543">
        <f t="shared" si="28"/>
        <v>6.5422069815716624</v>
      </c>
      <c r="C55" s="544">
        <v>2.2222222222222223E-2</v>
      </c>
      <c r="D55" s="545">
        <v>100</v>
      </c>
      <c r="E55" s="546">
        <v>4</v>
      </c>
      <c r="F55" s="547">
        <f t="shared" ref="F55:F57" si="30">1/$B$2*G55</f>
        <v>1.2454260379805628</v>
      </c>
      <c r="G55" s="544">
        <v>6.2499999999999995E-3</v>
      </c>
      <c r="H55" s="545">
        <v>75</v>
      </c>
      <c r="I55" s="545">
        <v>3</v>
      </c>
      <c r="J55" s="543">
        <f t="shared" ref="J55:J60" si="31">B55+F55+2*$J$11</f>
        <v>11.787633019552224</v>
      </c>
      <c r="K55" s="548">
        <f t="shared" si="27"/>
        <v>92.139959115646775</v>
      </c>
      <c r="L55" s="685">
        <f>IFERROR(VLOOKUP($A$48,Dashboard!$B$1:$H$7,5,FALSE),"")</f>
        <v>230.89999999999998</v>
      </c>
      <c r="M55" s="549" t="s">
        <v>437</v>
      </c>
      <c r="N55" s="550">
        <f>IFERROR(VLOOKUP($A$48,Dashboard!$B$1:$H$7,7,FALSE),"")</f>
        <v>254.10000000000002</v>
      </c>
    </row>
    <row r="56" spans="1:14" x14ac:dyDescent="0.2">
      <c r="A56" s="3238" t="s">
        <v>1485</v>
      </c>
      <c r="B56" s="543">
        <f t="shared" si="28"/>
        <v>7.3599828542681198</v>
      </c>
      <c r="C56" s="544">
        <v>2.4999999999999998E-2</v>
      </c>
      <c r="D56" s="545">
        <v>100</v>
      </c>
      <c r="E56" s="3239">
        <v>4</v>
      </c>
      <c r="F56" s="547">
        <f>1/$B$2*G56</f>
        <v>1.2454260379805628</v>
      </c>
      <c r="G56" s="544">
        <v>6.2499999999999995E-3</v>
      </c>
      <c r="H56" s="545">
        <v>75</v>
      </c>
      <c r="I56" s="545">
        <v>3</v>
      </c>
      <c r="J56" s="543">
        <f>B56+F56+2*$J$11</f>
        <v>12.605408892248683</v>
      </c>
      <c r="K56" s="548">
        <f t="shared" ref="K56" si="32">2*$K$11+(C56*86400*$B$1*D56/100*D56/100)/($B$1*3600)*100+(G56*86400*$B$1*H56/100*H56/100)/($B$1*3600)*100</f>
        <v>98.806625782313432</v>
      </c>
      <c r="L56" s="685">
        <f>IFERROR(VLOOKUP($A$48,Dashboard!$B$1:$H$7,5,FALSE),"")</f>
        <v>230.89999999999998</v>
      </c>
      <c r="M56" s="549" t="s">
        <v>437</v>
      </c>
      <c r="N56" s="550">
        <f>IFERROR(VLOOKUP($A$48,Dashboard!$B$1:$H$7,7,FALSE),"")</f>
        <v>254.10000000000002</v>
      </c>
    </row>
    <row r="57" spans="1:14" x14ac:dyDescent="0.2">
      <c r="A57" s="542" t="s">
        <v>901</v>
      </c>
      <c r="B57" s="543">
        <f t="shared" si="28"/>
        <v>8.1777587269645782</v>
      </c>
      <c r="C57" s="544">
        <v>2.7777777777777776E-2</v>
      </c>
      <c r="D57" s="545">
        <v>100</v>
      </c>
      <c r="E57" s="546">
        <v>4</v>
      </c>
      <c r="F57" s="547">
        <f t="shared" si="30"/>
        <v>1.2454260379805628</v>
      </c>
      <c r="G57" s="544">
        <v>6.2499999999999995E-3</v>
      </c>
      <c r="H57" s="545">
        <v>75</v>
      </c>
      <c r="I57" s="545">
        <v>3</v>
      </c>
      <c r="J57" s="543">
        <f t="shared" si="31"/>
        <v>13.423184764945141</v>
      </c>
      <c r="K57" s="548">
        <f t="shared" si="27"/>
        <v>105.47329244898009</v>
      </c>
      <c r="L57" s="685">
        <f>IFERROR(VLOOKUP($A$48,Dashboard!$B$1:$H$7,5,FALSE),"")</f>
        <v>230.89999999999998</v>
      </c>
      <c r="M57" s="549" t="s">
        <v>437</v>
      </c>
      <c r="N57" s="550">
        <f>IFERROR(VLOOKUP($A$48,Dashboard!$B$1:$H$7,7,FALSE),"")</f>
        <v>254.10000000000002</v>
      </c>
    </row>
    <row r="58" spans="1:14" x14ac:dyDescent="0.2">
      <c r="A58" s="3238" t="s">
        <v>1486</v>
      </c>
      <c r="B58" s="543">
        <f t="shared" si="28"/>
        <v>8.9955345996610365</v>
      </c>
      <c r="C58" s="544">
        <v>3.0555555555555555E-2</v>
      </c>
      <c r="D58" s="545">
        <v>100</v>
      </c>
      <c r="E58" s="3239">
        <v>4</v>
      </c>
      <c r="F58" s="547">
        <f>1/$B$2*G58</f>
        <v>1.2454260379805628</v>
      </c>
      <c r="G58" s="544">
        <v>6.2499999999999995E-3</v>
      </c>
      <c r="H58" s="545">
        <v>75</v>
      </c>
      <c r="I58" s="545">
        <v>3</v>
      </c>
      <c r="J58" s="543">
        <f>B58+F58+2*$J$11</f>
        <v>14.240960637641599</v>
      </c>
      <c r="K58" s="548">
        <f t="shared" ref="K58" si="33">2*$K$11+(C58*86400*$B$1*D58/100*D58/100)/($B$1*3600)*100+(G58*86400*$B$1*H58/100*H58/100)/($B$1*3600)*100</f>
        <v>112.13995911564677</v>
      </c>
      <c r="L58" s="685">
        <f>IFERROR(VLOOKUP($A$48,Dashboard!$B$1:$H$7,5,FALSE),"")</f>
        <v>230.89999999999998</v>
      </c>
      <c r="M58" s="549" t="s">
        <v>437</v>
      </c>
      <c r="N58" s="550">
        <f>IFERROR(VLOOKUP($A$48,Dashboard!$B$1:$H$7,7,FALSE),"")</f>
        <v>254.10000000000002</v>
      </c>
    </row>
    <row r="59" spans="1:14" x14ac:dyDescent="0.2">
      <c r="A59" s="542" t="s">
        <v>928</v>
      </c>
      <c r="B59" s="543">
        <f>C59/AVERAGE(B5:C5)</f>
        <v>9.8133104723574931</v>
      </c>
      <c r="C59" s="544">
        <v>3.3333333333333333E-2</v>
      </c>
      <c r="D59" s="545">
        <v>100</v>
      </c>
      <c r="E59" s="546">
        <v>4</v>
      </c>
      <c r="F59" s="547">
        <f>1/$B$2*G59</f>
        <v>1.2454260379805628</v>
      </c>
      <c r="G59" s="544">
        <v>6.2499999999999995E-3</v>
      </c>
      <c r="H59" s="545">
        <v>75</v>
      </c>
      <c r="I59" s="545">
        <v>3</v>
      </c>
      <c r="J59" s="543">
        <f t="shared" si="31"/>
        <v>15.058736510338056</v>
      </c>
      <c r="K59" s="548">
        <f t="shared" si="27"/>
        <v>118.80662578231343</v>
      </c>
      <c r="L59" s="685">
        <f>IFERROR(VLOOKUP($A$48,Dashboard!$B$1:$H$7,5,FALSE),"")</f>
        <v>230.89999999999998</v>
      </c>
      <c r="M59" s="549" t="s">
        <v>437</v>
      </c>
      <c r="N59" s="550">
        <f>IFERROR(VLOOKUP($A$48,Dashboard!$B$1:$H$7,7,FALSE),"")</f>
        <v>254.10000000000002</v>
      </c>
    </row>
    <row r="60" spans="1:14" s="406" customFormat="1" ht="16" thickBot="1" x14ac:dyDescent="0.25">
      <c r="A60" s="560" t="s">
        <v>929</v>
      </c>
      <c r="B60" s="561">
        <f>C60/AVERAGE(B5:C5)</f>
        <v>12.266638090446866</v>
      </c>
      <c r="C60" s="939">
        <v>4.1666666666666664E-2</v>
      </c>
      <c r="D60" s="563">
        <v>100</v>
      </c>
      <c r="E60" s="564">
        <v>4</v>
      </c>
      <c r="F60" s="565">
        <f>1/$B$2*G60</f>
        <v>1.2454260379805628</v>
      </c>
      <c r="G60" s="562">
        <v>6.2499999999999995E-3</v>
      </c>
      <c r="H60" s="563">
        <v>75</v>
      </c>
      <c r="I60" s="563">
        <v>3</v>
      </c>
      <c r="J60" s="561">
        <f t="shared" si="31"/>
        <v>17.512064128427429</v>
      </c>
      <c r="K60" s="566">
        <f t="shared" si="27"/>
        <v>138.80662578231343</v>
      </c>
      <c r="L60" s="689">
        <f>IFERROR(VLOOKUP($A$48,Dashboard!$B$1:$H$7,5,FALSE),"")</f>
        <v>230.89999999999998</v>
      </c>
      <c r="M60" s="690" t="s">
        <v>437</v>
      </c>
      <c r="N60" s="691">
        <f>IFERROR(VLOOKUP($A$48,Dashboard!$B$1:$H$7,7,FALSE),"")</f>
        <v>254.10000000000002</v>
      </c>
    </row>
    <row r="61" spans="1:14" ht="16" thickBot="1" x14ac:dyDescent="0.25">
      <c r="A61" s="435" t="s">
        <v>758</v>
      </c>
      <c r="B61" s="567" t="s">
        <v>632</v>
      </c>
      <c r="C61" s="568" t="s">
        <v>235</v>
      </c>
      <c r="D61" s="568" t="s">
        <v>633</v>
      </c>
      <c r="E61" s="569">
        <v>4</v>
      </c>
      <c r="F61" s="570" t="s">
        <v>632</v>
      </c>
      <c r="G61" s="571" t="s">
        <v>235</v>
      </c>
      <c r="H61" s="571" t="s">
        <v>633</v>
      </c>
      <c r="I61" s="571" t="s">
        <v>634</v>
      </c>
      <c r="J61" s="567" t="s">
        <v>632</v>
      </c>
      <c r="K61" s="569" t="s">
        <v>628</v>
      </c>
      <c r="L61" s="3597" t="s">
        <v>493</v>
      </c>
      <c r="M61" s="3597"/>
      <c r="N61" s="3598"/>
    </row>
    <row r="62" spans="1:14" x14ac:dyDescent="0.2">
      <c r="A62" s="572" t="s">
        <v>914</v>
      </c>
      <c r="B62" s="573">
        <f>C62/AVERAGE($B$6:$C$6)</f>
        <v>3.4103256916665377</v>
      </c>
      <c r="C62" s="574">
        <v>1.0416666666666666E-2</v>
      </c>
      <c r="D62" s="575">
        <f t="shared" ref="D62" si="34">(AVERAGE(L62,N62)/$B$1)*100</f>
        <v>102.18390804597701</v>
      </c>
      <c r="E62" s="576">
        <v>5</v>
      </c>
      <c r="F62" s="577">
        <f>1/$B$2*G62</f>
        <v>1.6605680506407507</v>
      </c>
      <c r="G62" s="578">
        <v>8.3333333333333332E-3</v>
      </c>
      <c r="H62" s="579">
        <v>75</v>
      </c>
      <c r="I62" s="575">
        <v>4</v>
      </c>
      <c r="J62" s="580">
        <f>B62+F62+$J$11+$J$11</f>
        <v>9.0708937423072875</v>
      </c>
      <c r="K62" s="581">
        <f>$K$11+($K$11)+(C62*86400*$B$1*D62/100*D62/100)/($B$1*3600)*100+(G62*86400*$B$1*H62/100*H62/100)/($B$1*3600)*100</f>
        <v>67.723003441185142</v>
      </c>
      <c r="L62" s="582">
        <f>IFERROR(VLOOKUP($A$61,Dashboard!$B$1:$H$7,5,FALSE),"")</f>
        <v>255.10000000000002</v>
      </c>
      <c r="M62" s="583" t="s">
        <v>437</v>
      </c>
      <c r="N62" s="584">
        <f>IFERROR(VLOOKUP($A$61,Dashboard!$B$1:$H$7,7,FALSE),"")</f>
        <v>278.29999999999995</v>
      </c>
    </row>
    <row r="63" spans="1:14" x14ac:dyDescent="0.2">
      <c r="A63" s="585" t="s">
        <v>915</v>
      </c>
      <c r="B63" s="586">
        <f t="shared" ref="B63:B65" si="35">C63/AVERAGE($B$6:$C$6)</f>
        <v>4.0923908299998448</v>
      </c>
      <c r="C63" s="587">
        <v>1.2499999999999999E-2</v>
      </c>
      <c r="D63" s="588">
        <v>110</v>
      </c>
      <c r="E63" s="589">
        <v>6</v>
      </c>
      <c r="F63" s="590">
        <f t="shared" ref="F63:F68" si="36">1/$B$2*G63</f>
        <v>2.0757100633009382</v>
      </c>
      <c r="G63" s="587">
        <v>1.0416666666666666E-2</v>
      </c>
      <c r="H63" s="588">
        <v>75</v>
      </c>
      <c r="I63" s="588">
        <v>5</v>
      </c>
      <c r="J63" s="586">
        <f t="shared" ref="J63:J64" si="37">B63+F63+$J$11+$J$11</f>
        <v>10.168100893300783</v>
      </c>
      <c r="K63" s="591">
        <f>$K$11+($K$11)+(C63*86400*$B$1*D63/100*D63/100)/($B$1*3600)*100+(G63*86400*$B$1*H63/100*H63/100)/($B$1*3600)*100</f>
        <v>80.731625782313444</v>
      </c>
      <c r="L63" s="592">
        <f>IFERROR(VLOOKUP($A$61,Dashboard!$B$1:$H$7,5,FALSE),"")</f>
        <v>255.10000000000002</v>
      </c>
      <c r="M63" s="592" t="s">
        <v>437</v>
      </c>
      <c r="N63" s="593">
        <f>IFERROR(VLOOKUP($A$61,Dashboard!$B$1:$H$7,7,FALSE),"")</f>
        <v>278.29999999999995</v>
      </c>
    </row>
    <row r="64" spans="1:14" x14ac:dyDescent="0.2">
      <c r="A64" s="585" t="s">
        <v>916</v>
      </c>
      <c r="B64" s="586">
        <f t="shared" si="35"/>
        <v>5.4565211066664601</v>
      </c>
      <c r="C64" s="587">
        <v>1.6666666666666666E-2</v>
      </c>
      <c r="D64" s="588">
        <v>110</v>
      </c>
      <c r="E64" s="589">
        <v>8</v>
      </c>
      <c r="F64" s="590">
        <f t="shared" si="36"/>
        <v>2.9059940886213136</v>
      </c>
      <c r="G64" s="587">
        <v>1.4583333333333332E-2</v>
      </c>
      <c r="H64" s="588">
        <v>75</v>
      </c>
      <c r="I64" s="588">
        <v>7</v>
      </c>
      <c r="J64" s="586">
        <f t="shared" si="37"/>
        <v>12.362515195287774</v>
      </c>
      <c r="K64" s="591">
        <f>$K$11+($K$11)+(C64*86400*$B$1*D64/100*D64/100)/($B$1*3600)*100+(G64*86400*$B$1*H64/100*H64/100)/($B$1*3600)*100</f>
        <v>98.456625782313438</v>
      </c>
      <c r="L64" s="592">
        <f>IFERROR(VLOOKUP($A$61,Dashboard!$B$1:$H$7,5,FALSE),"")</f>
        <v>255.10000000000002</v>
      </c>
      <c r="M64" s="592" t="s">
        <v>437</v>
      </c>
      <c r="N64" s="593">
        <f>IFERROR(VLOOKUP($A$61,Dashboard!$B$1:$H$7,7,FALSE),"")</f>
        <v>278.29999999999995</v>
      </c>
    </row>
    <row r="65" spans="1:15" x14ac:dyDescent="0.2">
      <c r="A65" s="3204" t="s">
        <v>917</v>
      </c>
      <c r="B65" s="594">
        <f t="shared" si="35"/>
        <v>6.8206513833330753</v>
      </c>
      <c r="C65" s="3199">
        <v>2.0833333333333332E-2</v>
      </c>
      <c r="D65" s="3200">
        <v>110</v>
      </c>
      <c r="E65" s="595">
        <v>10</v>
      </c>
      <c r="F65" s="3205">
        <f t="shared" si="36"/>
        <v>3.736278113941689</v>
      </c>
      <c r="G65" s="3199">
        <v>1.8749999999999999E-2</v>
      </c>
      <c r="H65" s="3200">
        <v>75</v>
      </c>
      <c r="I65" s="3200">
        <v>9</v>
      </c>
      <c r="J65" s="594">
        <f>B65+F65+$J$11+$J$11</f>
        <v>14.556929497274764</v>
      </c>
      <c r="K65" s="3201">
        <f>$K$11+($K$11)+(C65*86400*$B$1*D65/100*D65/100)/($B$1*3600)*100+(G65*86400*$B$1*H65/100*H65/100)/($B$1*3600)*100</f>
        <v>116.18162578231343</v>
      </c>
      <c r="L65" s="596">
        <f>IFERROR(VLOOKUP($A$61,Dashboard!$B$1:$H$7,5,FALSE),"")</f>
        <v>255.10000000000002</v>
      </c>
      <c r="M65" s="3202" t="s">
        <v>437</v>
      </c>
      <c r="N65" s="3203">
        <f>IFERROR(VLOOKUP($A$61,Dashboard!$B$1:$H$7,7,FALSE),"")</f>
        <v>278.29999999999995</v>
      </c>
    </row>
    <row r="66" spans="1:15" x14ac:dyDescent="0.2">
      <c r="A66" s="3240" t="s">
        <v>1467</v>
      </c>
      <c r="B66" s="3241">
        <f>C66/AVERAGE($B$6:$C$6)</f>
        <v>6.8206513833330753</v>
      </c>
      <c r="C66" s="3242">
        <v>2.0833333333333332E-2</v>
      </c>
      <c r="D66" s="3243">
        <v>105</v>
      </c>
      <c r="E66" s="3244">
        <v>15</v>
      </c>
      <c r="F66" s="3245">
        <f t="shared" si="36"/>
        <v>2.0757100633009382</v>
      </c>
      <c r="G66" s="3242">
        <v>1.0416666666666666E-2</v>
      </c>
      <c r="H66" s="3243">
        <v>75</v>
      </c>
      <c r="I66" s="3243">
        <v>9</v>
      </c>
      <c r="J66" s="3241">
        <f>B66+F66+$J$11+$J$11</f>
        <v>12.896361446634014</v>
      </c>
      <c r="K66" s="3246">
        <f>$K$11+($K$11)+(C66*86400*$B$1*D66/100*D66/100)/($B$1*3600)*100+(G66*86400*$B$1*H66/100*H66/100)/($B$1*3600)*100</f>
        <v>99.556625782313432</v>
      </c>
      <c r="L66" s="3247">
        <f>IFERROR(VLOOKUP($A$61,Dashboard!$B$1:$H$7,5,FALSE),"")</f>
        <v>255.10000000000002</v>
      </c>
      <c r="M66" s="3248" t="s">
        <v>437</v>
      </c>
      <c r="N66" s="3249">
        <f>IFERROR(VLOOKUP($A$61,Dashboard!$B$1:$H$7,7,FALSE),"")</f>
        <v>278.29999999999995</v>
      </c>
    </row>
    <row r="67" spans="1:15" s="406" customFormat="1" x14ac:dyDescent="0.2">
      <c r="A67" s="585" t="s">
        <v>659</v>
      </c>
      <c r="B67" s="586">
        <v>1</v>
      </c>
      <c r="C67" s="587">
        <f>E67*AVERAGE($B$6,C6)</f>
        <v>2.749004302700098E-2</v>
      </c>
      <c r="D67" s="588">
        <v>105</v>
      </c>
      <c r="E67" s="589">
        <v>9</v>
      </c>
      <c r="F67" s="590">
        <f t="shared" si="36"/>
        <v>1.9373293924142092</v>
      </c>
      <c r="G67" s="587">
        <v>9.7222222222222224E-3</v>
      </c>
      <c r="H67" s="588">
        <v>75</v>
      </c>
      <c r="I67" s="588">
        <v>4</v>
      </c>
      <c r="J67" s="586">
        <f>B67*E67+F67+$J$11+$F$11</f>
        <v>13.93732939241421</v>
      </c>
      <c r="K67" s="591">
        <f>$K$11+($K$11/2)+(C67*86400*$B$1*D67/100*D67/100)/($B$1*3600)*100+(G67*86400*$B$1*H67/100*H67/100)/($B$1*3600)*100</f>
        <v>108.64049818617967</v>
      </c>
      <c r="L67" s="592">
        <f>IFERROR(VLOOKUP($A$61,Dashboard!$B$1:$H$7,5,FALSE),"")</f>
        <v>255.10000000000002</v>
      </c>
      <c r="M67" s="592" t="s">
        <v>437</v>
      </c>
      <c r="N67" s="593">
        <f>IFERROR(VLOOKUP($A$61,Dashboard!$B$1:$H$7,7,FALSE),"")</f>
        <v>278.29999999999995</v>
      </c>
    </row>
    <row r="68" spans="1:15" s="406" customFormat="1" ht="16" thickBot="1" x14ac:dyDescent="0.25">
      <c r="A68" s="597" t="s">
        <v>660</v>
      </c>
      <c r="B68" s="598">
        <v>1</v>
      </c>
      <c r="C68" s="599">
        <f>E68*AVERAGE($B$6,C6)</f>
        <v>4.2762289153112636E-2</v>
      </c>
      <c r="D68" s="600">
        <v>105</v>
      </c>
      <c r="E68" s="601">
        <v>14</v>
      </c>
      <c r="F68" s="602">
        <f t="shared" si="36"/>
        <v>2.2140907341876677</v>
      </c>
      <c r="G68" s="603">
        <v>1.1111111111111112E-2</v>
      </c>
      <c r="H68" s="604">
        <v>75</v>
      </c>
      <c r="I68" s="600">
        <v>4</v>
      </c>
      <c r="J68" s="598">
        <f t="shared" ref="J68" si="38">B68*E68+F68+$J$11+$F$11</f>
        <v>19.214090734187668</v>
      </c>
      <c r="K68" s="605">
        <f>$K$11+($K$11/2)+(C68*86400*$B$1*D68/100*D68/100)/($B$1*3600)*100+(G68*86400*$B$1*H68/100*H68/100)/($B$1*3600)*100</f>
        <v>150.92586143587113</v>
      </c>
      <c r="L68" s="606">
        <f>IFERROR(VLOOKUP($A$61,Dashboard!$B$1:$H$7,5,FALSE),"")</f>
        <v>255.10000000000002</v>
      </c>
      <c r="M68" s="606" t="s">
        <v>437</v>
      </c>
      <c r="N68" s="607">
        <f>IFERROR(VLOOKUP($A$61,Dashboard!$B$1:$H$7,7,FALSE),"")</f>
        <v>278.29999999999995</v>
      </c>
    </row>
    <row r="69" spans="1:15" s="406" customFormat="1" ht="16" thickBot="1" x14ac:dyDescent="0.25">
      <c r="A69" s="608" t="s">
        <v>797</v>
      </c>
      <c r="B69" s="609" t="s">
        <v>632</v>
      </c>
      <c r="C69" s="610" t="s">
        <v>235</v>
      </c>
      <c r="D69" s="610" t="s">
        <v>633</v>
      </c>
      <c r="E69" s="611" t="s">
        <v>634</v>
      </c>
      <c r="F69" s="612" t="s">
        <v>632</v>
      </c>
      <c r="G69" s="613" t="s">
        <v>235</v>
      </c>
      <c r="H69" s="613" t="s">
        <v>633</v>
      </c>
      <c r="I69" s="614" t="s">
        <v>634</v>
      </c>
      <c r="J69" s="615" t="s">
        <v>632</v>
      </c>
      <c r="K69" s="616" t="s">
        <v>628</v>
      </c>
      <c r="L69" s="3599" t="s">
        <v>493</v>
      </c>
      <c r="M69" s="3600"/>
      <c r="N69" s="3601"/>
    </row>
    <row r="70" spans="1:15" s="406" customFormat="1" x14ac:dyDescent="0.2">
      <c r="A70" s="617" t="s">
        <v>918</v>
      </c>
      <c r="B70" s="618">
        <f>C70/AVERAGE($F$7:$G$7)</f>
        <v>2.3171477992917464</v>
      </c>
      <c r="C70" s="619">
        <v>6.2499999999999995E-3</v>
      </c>
      <c r="D70" s="620">
        <v>115</v>
      </c>
      <c r="E70" s="621">
        <v>6</v>
      </c>
      <c r="F70" s="622">
        <f t="shared" ref="F70:F75" si="39">1/$B$2*G70</f>
        <v>1.2454260379805628</v>
      </c>
      <c r="G70" s="623">
        <v>6.2499999999999995E-3</v>
      </c>
      <c r="H70" s="624">
        <v>75</v>
      </c>
      <c r="I70" s="624">
        <v>5</v>
      </c>
      <c r="J70" s="625">
        <f>B70+F70+2*$J$11</f>
        <v>7.5625738372723088</v>
      </c>
      <c r="K70" s="626">
        <f t="shared" ref="K70:K74" si="40">2*$K$11+(C70*86400*$B$1*D70/100*D70/100)/($B$1*3600)*100+(G70*86400*$B$1*H70/100*H70/100)/($B$1*3600)*100</f>
        <v>58.644125782313438</v>
      </c>
      <c r="L70" s="627">
        <f>IFERROR(VLOOKUP($A$69,Dashboard!$B$1:$H$7,5,FALSE),"")</f>
        <v>279.29999999999995</v>
      </c>
      <c r="M70" s="627" t="s">
        <v>437</v>
      </c>
      <c r="N70" s="628">
        <f>IFERROR(VLOOKUP($A$69,Dashboard!$B$1:$H$7,7,FALSE),"")</f>
        <v>314.60000000000002</v>
      </c>
    </row>
    <row r="71" spans="1:15" s="406" customFormat="1" x14ac:dyDescent="0.2">
      <c r="A71" s="617" t="s">
        <v>919</v>
      </c>
      <c r="B71" s="625">
        <f>C71/AVERAGE($F$7:$G$7)</f>
        <v>3.0895303990556622</v>
      </c>
      <c r="C71" s="623">
        <v>8.3333333333333332E-3</v>
      </c>
      <c r="D71" s="624">
        <v>115</v>
      </c>
      <c r="E71" s="629">
        <v>8</v>
      </c>
      <c r="F71" s="622">
        <f t="shared" si="39"/>
        <v>1.6605680506407507</v>
      </c>
      <c r="G71" s="623">
        <v>8.3333333333333332E-3</v>
      </c>
      <c r="H71" s="624">
        <v>75</v>
      </c>
      <c r="I71" s="624">
        <v>7</v>
      </c>
      <c r="J71" s="625">
        <f>(B71)+F71+2*J11</f>
        <v>8.7500984496964129</v>
      </c>
      <c r="K71" s="626">
        <f t="shared" si="40"/>
        <v>68.069125782313449</v>
      </c>
      <c r="L71" s="627">
        <f>IFERROR(VLOOKUP($A$69,Dashboard!$B$1:$H$7,5,FALSE),"")</f>
        <v>279.29999999999995</v>
      </c>
      <c r="M71" s="627" t="s">
        <v>437</v>
      </c>
      <c r="N71" s="628">
        <f>IFERROR(VLOOKUP($A$69,Dashboard!$B$1:$H$7,7,FALSE),"")</f>
        <v>314.60000000000002</v>
      </c>
    </row>
    <row r="72" spans="1:15" s="406" customFormat="1" x14ac:dyDescent="0.2">
      <c r="A72" s="630" t="s">
        <v>920</v>
      </c>
      <c r="B72" s="631">
        <f>C72/AVERAGE($F$7:$G$7)</f>
        <v>3.8619129988195775</v>
      </c>
      <c r="C72" s="632">
        <v>1.0416666666666666E-2</v>
      </c>
      <c r="D72" s="633">
        <v>115</v>
      </c>
      <c r="E72" s="634">
        <v>10</v>
      </c>
      <c r="F72" s="635">
        <f>1/$B$2*G72</f>
        <v>2.4908520759611257</v>
      </c>
      <c r="G72" s="632">
        <v>1.2499999999999999E-2</v>
      </c>
      <c r="H72" s="633">
        <v>75</v>
      </c>
      <c r="I72" s="633">
        <v>9</v>
      </c>
      <c r="J72" s="631">
        <f>(B72)+F72+2*J11</f>
        <v>10.352765074780702</v>
      </c>
      <c r="K72" s="636">
        <f t="shared" si="40"/>
        <v>80.306625782313432</v>
      </c>
      <c r="L72" s="637">
        <f>IFERROR(VLOOKUP($A$69,Dashboard!$B$1:$H$7,5,FALSE),"")</f>
        <v>279.29999999999995</v>
      </c>
      <c r="M72" s="637" t="s">
        <v>437</v>
      </c>
      <c r="N72" s="638">
        <f>IFERROR(VLOOKUP($A$69,Dashboard!$B$1:$H$7,7,FALSE),"")</f>
        <v>314.60000000000002</v>
      </c>
    </row>
    <row r="73" spans="1:15" s="406" customFormat="1" x14ac:dyDescent="0.2">
      <c r="A73" s="639" t="s">
        <v>869</v>
      </c>
      <c r="B73" s="631">
        <f>C73/AVERAGE($F$7:$G$7)</f>
        <v>2.5746086658797185</v>
      </c>
      <c r="C73" s="640">
        <v>6.9444444444444441E-3</v>
      </c>
      <c r="D73" s="633">
        <v>115</v>
      </c>
      <c r="E73" s="634">
        <v>14</v>
      </c>
      <c r="F73" s="641">
        <f>1/(AVERAGE($B$2,$C$2))*G73</f>
        <v>1.4760604894584453</v>
      </c>
      <c r="G73" s="640">
        <v>6.9444444444444441E-3</v>
      </c>
      <c r="H73" s="633">
        <v>75</v>
      </c>
      <c r="I73" s="633">
        <v>14</v>
      </c>
      <c r="J73" s="631">
        <f>(B73)+F73+2*J11</f>
        <v>8.0506691553381629</v>
      </c>
      <c r="K73" s="636">
        <f t="shared" si="40"/>
        <v>61.785792448980104</v>
      </c>
      <c r="L73" s="637">
        <f>IFERROR(VLOOKUP($A$69,Dashboard!$B$1:$H$7,5,FALSE),"")</f>
        <v>279.29999999999995</v>
      </c>
      <c r="M73" s="637" t="s">
        <v>437</v>
      </c>
      <c r="N73" s="638">
        <f>IFERROR(VLOOKUP($A$69,Dashboard!$B$1:$H$7,7,FALSE),"")</f>
        <v>314.60000000000002</v>
      </c>
    </row>
    <row r="74" spans="1:15" s="406" customFormat="1" x14ac:dyDescent="0.2">
      <c r="A74" s="617" t="s">
        <v>661</v>
      </c>
      <c r="B74" s="625">
        <v>2.4</v>
      </c>
      <c r="C74" s="623">
        <f>AVERAGE($F$7,$G$7)*B74</f>
        <v>6.4734757120736364E-3</v>
      </c>
      <c r="D74" s="624">
        <v>115</v>
      </c>
      <c r="E74" s="629">
        <f>B74/0.4</f>
        <v>5.9999999999999991</v>
      </c>
      <c r="F74" s="622">
        <f t="shared" si="39"/>
        <v>1.3838067088672921</v>
      </c>
      <c r="G74" s="623">
        <v>6.9444444444444441E-3</v>
      </c>
      <c r="H74" s="624">
        <v>75</v>
      </c>
      <c r="I74" s="624">
        <v>5</v>
      </c>
      <c r="J74" s="625">
        <f>B74+F74+2*$J$11</f>
        <v>7.7838067088672922</v>
      </c>
      <c r="K74" s="626">
        <f t="shared" si="40"/>
        <v>60.290937692435165</v>
      </c>
      <c r="L74" s="627">
        <f>IFERROR(VLOOKUP($A$69,Dashboard!$B$1:$H$7,5,FALSE),"")</f>
        <v>279.29999999999995</v>
      </c>
      <c r="M74" s="627" t="s">
        <v>437</v>
      </c>
      <c r="N74" s="628">
        <f>IFERROR(VLOOKUP($A$69,Dashboard!$B$1:$H$7,7,FALSE),"")</f>
        <v>314.60000000000002</v>
      </c>
    </row>
    <row r="75" spans="1:15" s="406" customFormat="1" ht="16" thickBot="1" x14ac:dyDescent="0.25">
      <c r="A75" s="642" t="s">
        <v>662</v>
      </c>
      <c r="B75" s="643">
        <v>3.2</v>
      </c>
      <c r="C75" s="644">
        <f>AVERAGE($F$7,$G$7)*B75</f>
        <v>8.6313009494315158E-3</v>
      </c>
      <c r="D75" s="645">
        <v>115</v>
      </c>
      <c r="E75" s="646">
        <f>B75/0.4</f>
        <v>8</v>
      </c>
      <c r="F75" s="622">
        <f t="shared" si="39"/>
        <v>1.7989487215274802</v>
      </c>
      <c r="G75" s="647">
        <v>9.0277777777777787E-3</v>
      </c>
      <c r="H75" s="648">
        <v>75</v>
      </c>
      <c r="I75" s="648">
        <v>6</v>
      </c>
      <c r="J75" s="643">
        <f>B75+F75+2*$J$11</f>
        <v>8.9989487215274799</v>
      </c>
      <c r="K75" s="649">
        <f>2*$K$11+(C75*86400*$B$1*D75/100*D75/100)/($B$1*3600)*100+(G75*86400*$B$1*H75/100*H75/100)/($B$1*3600)*100</f>
        <v>69.952374995809066</v>
      </c>
      <c r="L75" s="650">
        <f>IFERROR(VLOOKUP($A$69,Dashboard!$B$1:$H$7,5,FALSE),"")</f>
        <v>279.29999999999995</v>
      </c>
      <c r="M75" s="650" t="s">
        <v>437</v>
      </c>
      <c r="N75" s="651">
        <f>IFERROR(VLOOKUP($A$69,Dashboard!$B$1:$H$7,7,FALSE),"")</f>
        <v>314.60000000000002</v>
      </c>
    </row>
    <row r="76" spans="1:15" s="406" customFormat="1" ht="16" thickBot="1" x14ac:dyDescent="0.25">
      <c r="A76" s="652" t="s">
        <v>448</v>
      </c>
      <c r="B76" s="653" t="s">
        <v>632</v>
      </c>
      <c r="C76" s="654" t="s">
        <v>235</v>
      </c>
      <c r="D76" s="654" t="s">
        <v>633</v>
      </c>
      <c r="E76" s="655" t="s">
        <v>634</v>
      </c>
      <c r="F76" s="652" t="s">
        <v>632</v>
      </c>
      <c r="G76" s="656" t="s">
        <v>235</v>
      </c>
      <c r="H76" s="656" t="s">
        <v>633</v>
      </c>
      <c r="I76" s="657" t="s">
        <v>634</v>
      </c>
      <c r="J76" s="658" t="s">
        <v>632</v>
      </c>
      <c r="K76" s="659" t="s">
        <v>628</v>
      </c>
      <c r="L76" s="3589" t="s">
        <v>493</v>
      </c>
      <c r="M76" s="3590"/>
      <c r="N76" s="3591"/>
    </row>
    <row r="77" spans="1:15" s="406" customFormat="1" x14ac:dyDescent="0.2">
      <c r="A77" s="660" t="s">
        <v>656</v>
      </c>
      <c r="B77" s="661">
        <v>4</v>
      </c>
      <c r="C77" s="662">
        <f>AVERAGE($B$5,C5)*E77*B77</f>
        <v>1.3586988173757647E-2</v>
      </c>
      <c r="D77" s="663">
        <v>100</v>
      </c>
      <c r="E77" s="664">
        <v>1</v>
      </c>
      <c r="F77" s="660"/>
      <c r="G77" s="665"/>
      <c r="H77" s="666"/>
      <c r="I77" s="666"/>
      <c r="J77" s="667">
        <f>(B77*E77)+2*$J$11</f>
        <v>8</v>
      </c>
      <c r="K77" s="668">
        <f>2*$K$11+(C77*86400*$B$1*D77/100*D77/100)/($B$1*3600)*100</f>
        <v>62.977897399331788</v>
      </c>
      <c r="L77" s="669">
        <f>L50</f>
        <v>230.89999999999998</v>
      </c>
      <c r="M77" s="670" t="s">
        <v>437</v>
      </c>
      <c r="N77" s="671">
        <f>N50</f>
        <v>254.10000000000002</v>
      </c>
    </row>
    <row r="78" spans="1:15" s="406" customFormat="1" ht="16" thickBot="1" x14ac:dyDescent="0.25">
      <c r="A78" s="672" t="s">
        <v>657</v>
      </c>
      <c r="B78" s="673">
        <v>6</v>
      </c>
      <c r="C78" s="674">
        <f>AVERAGE($B$5,C5)*E78*B78</f>
        <v>2.0380482260636469E-2</v>
      </c>
      <c r="D78" s="675">
        <v>100</v>
      </c>
      <c r="E78" s="676">
        <v>1</v>
      </c>
      <c r="F78" s="672"/>
      <c r="G78" s="674"/>
      <c r="H78" s="675"/>
      <c r="I78" s="675"/>
      <c r="J78" s="677">
        <f>(B78*E78)+2*$J$11</f>
        <v>10</v>
      </c>
      <c r="K78" s="678">
        <f>2*$K$11+(C78*86400*$B$1*D78/100*D78/100)/($B$1*3600)*100</f>
        <v>79.282283207840962</v>
      </c>
      <c r="L78" s="679">
        <f>L51</f>
        <v>230.89999999999998</v>
      </c>
      <c r="M78" s="679" t="s">
        <v>437</v>
      </c>
      <c r="N78" s="680">
        <f>N51</f>
        <v>254.10000000000002</v>
      </c>
    </row>
    <row r="79" spans="1:15" s="406" customFormat="1" ht="16" thickBot="1" x14ac:dyDescent="0.25">
      <c r="A79" s="969" t="s">
        <v>934</v>
      </c>
      <c r="B79" s="970"/>
      <c r="C79" s="971"/>
      <c r="D79" s="972"/>
      <c r="E79" s="973"/>
      <c r="F79" s="972"/>
      <c r="G79" s="971"/>
      <c r="H79" s="972"/>
      <c r="I79" s="972"/>
      <c r="J79" s="970"/>
      <c r="K79" s="974"/>
      <c r="L79" s="975"/>
      <c r="M79" s="975"/>
      <c r="N79" s="976"/>
    </row>
    <row r="80" spans="1:15" s="406" customFormat="1" x14ac:dyDescent="0.2">
      <c r="A80" s="980" t="s">
        <v>935</v>
      </c>
      <c r="B80" s="977">
        <f>C80/AVERAGE(B4:C4)</f>
        <v>9.0063792916438601</v>
      </c>
      <c r="C80" s="964">
        <v>3.125E-2</v>
      </c>
      <c r="D80" s="965">
        <v>90</v>
      </c>
      <c r="E80" s="965">
        <v>1</v>
      </c>
      <c r="F80" s="977">
        <f>G80/AVERAGE(B3:C3)</f>
        <v>5.9331224369644859</v>
      </c>
      <c r="G80" s="964">
        <v>2.4305555555555556E-2</v>
      </c>
      <c r="H80" s="965">
        <v>85</v>
      </c>
      <c r="I80" s="978">
        <v>1</v>
      </c>
      <c r="J80" s="963">
        <f>B80+F80</f>
        <v>14.939501728608345</v>
      </c>
      <c r="K80" s="979">
        <f>(C80*86400*$B$1*D80/100*D80/100)/($B$1*3600)*100+(G80*86400*$B$1*H80/100*H80/100)/($B$1*3600)*100</f>
        <v>102.89583333333334</v>
      </c>
      <c r="L80" s="966"/>
      <c r="M80" s="966"/>
      <c r="N80" s="967"/>
      <c r="O80" s="406" t="s">
        <v>938</v>
      </c>
    </row>
    <row r="81" spans="1:15" s="406" customFormat="1" x14ac:dyDescent="0.2">
      <c r="A81" s="981" t="s">
        <v>936</v>
      </c>
      <c r="B81" s="948">
        <f>C81/AVERAGE(B4:C4)</f>
        <v>9.0063792916438601</v>
      </c>
      <c r="C81" s="949">
        <v>3.125E-2</v>
      </c>
      <c r="D81" s="408">
        <v>90</v>
      </c>
      <c r="E81" s="408">
        <v>1</v>
      </c>
      <c r="F81" s="948">
        <f>G81/AVERAGE(B3:C3)</f>
        <v>7.6283002760971961</v>
      </c>
      <c r="G81" s="949">
        <v>3.125E-2</v>
      </c>
      <c r="H81" s="408">
        <v>85</v>
      </c>
      <c r="I81" s="950">
        <v>1</v>
      </c>
      <c r="J81" s="962">
        <f>B81+F81</f>
        <v>16.634679567741056</v>
      </c>
      <c r="K81" s="951">
        <f>(C81*86400*$B$1*D81/100*D81/100)/($B$1*3600)*100+(G81*86400*$B$1*H81/100*H81/100)/($B$1*3600)*100</f>
        <v>114.9375</v>
      </c>
      <c r="L81" s="681"/>
      <c r="M81" s="681"/>
      <c r="N81" s="952"/>
      <c r="O81" s="406" t="s">
        <v>939</v>
      </c>
    </row>
    <row r="82" spans="1:15" s="406" customFormat="1" ht="16" thickBot="1" x14ac:dyDescent="0.25">
      <c r="A82" s="947" t="s">
        <v>937</v>
      </c>
      <c r="B82" s="940">
        <f>C82/AVERAGE(B4:C4)</f>
        <v>9.0063792916438601</v>
      </c>
      <c r="C82" s="941">
        <v>3.125E-2</v>
      </c>
      <c r="D82" s="942">
        <v>90</v>
      </c>
      <c r="E82" s="942">
        <v>1</v>
      </c>
      <c r="F82" s="940">
        <f>G82/AVERAGE(B3:C3)</f>
        <v>9.3234781152299053</v>
      </c>
      <c r="G82" s="941">
        <v>3.8194444444444441E-2</v>
      </c>
      <c r="H82" s="942">
        <v>85</v>
      </c>
      <c r="I82" s="943">
        <v>1</v>
      </c>
      <c r="J82" s="968">
        <f>B82+F82</f>
        <v>18.329857406873764</v>
      </c>
      <c r="K82" s="944">
        <f t="shared" ref="K82" si="41">(C82*86400*$B$1*D82/100*D82/100)/($B$1*3600)*100+(G82*86400*$B$1*H82/100*H82/100)/($B$1*3600)*100</f>
        <v>126.97916666666666</v>
      </c>
      <c r="L82" s="945"/>
      <c r="M82" s="945"/>
      <c r="N82" s="946"/>
      <c r="O82" s="406" t="s">
        <v>940</v>
      </c>
    </row>
    <row r="83" spans="1:15" s="406" customFormat="1" ht="16" thickBot="1" x14ac:dyDescent="0.25">
      <c r="A83" s="2910" t="s">
        <v>974</v>
      </c>
      <c r="B83" s="2911"/>
      <c r="C83" s="2912"/>
      <c r="D83" s="2913"/>
      <c r="E83" s="2913"/>
      <c r="F83" s="2914"/>
      <c r="G83" s="2915"/>
      <c r="H83" s="2916"/>
      <c r="I83" s="2917"/>
      <c r="J83" s="2918">
        <v>6</v>
      </c>
      <c r="K83" s="2919">
        <v>44</v>
      </c>
      <c r="L83" s="2920">
        <f>IFERROR(VLOOKUP($A$61,Dashboard!$B$1:$H$7,5,FALSE),"")</f>
        <v>255.10000000000002</v>
      </c>
      <c r="M83" s="2921" t="s">
        <v>437</v>
      </c>
      <c r="N83" s="2922">
        <f>IFERROR(VLOOKUP($A$61,Dashboard!$B$1:$H$7,7,FALSE),"")</f>
        <v>278.29999999999995</v>
      </c>
    </row>
    <row r="84" spans="1:15" s="406" customFormat="1" ht="16" thickBot="1" x14ac:dyDescent="0.25">
      <c r="A84" s="953" t="s">
        <v>627</v>
      </c>
      <c r="B84" s="954">
        <f>C84/C6</f>
        <v>2.8523210096980498</v>
      </c>
      <c r="C84" s="955">
        <v>8.3333333333333332E-3</v>
      </c>
      <c r="D84" s="956">
        <f>(L84/B1+N84/B1)/2*100</f>
        <v>112.20000000000002</v>
      </c>
      <c r="E84" s="957">
        <v>1</v>
      </c>
      <c r="F84" s="958">
        <f>G84/AVERAGE(B2:C2)</f>
        <v>7.3803024472922267</v>
      </c>
      <c r="G84" s="955">
        <v>3.4722222222222224E-2</v>
      </c>
      <c r="H84" s="956">
        <v>75</v>
      </c>
      <c r="I84" s="956">
        <v>1</v>
      </c>
      <c r="J84" s="954">
        <f>F84+B84</f>
        <v>10.232623456990277</v>
      </c>
      <c r="K84" s="959">
        <f>(C84*86400*$B$1*D84/100*D84/100)/($B$1*3600)*100+(G84*86400*$B$1*H84/100*H84/100)/($B$1*3600)*100</f>
        <v>72.052680000000009</v>
      </c>
      <c r="L84" s="960">
        <f>1.05*(1.02*B1)</f>
        <v>279.53100000000006</v>
      </c>
      <c r="M84" s="960" t="s">
        <v>437</v>
      </c>
      <c r="N84" s="961">
        <f>1.15*(1.02*B1)</f>
        <v>306.15300000000002</v>
      </c>
    </row>
    <row r="85" spans="1:15" s="406" customFormat="1" x14ac:dyDescent="0.2">
      <c r="A85" s="447"/>
      <c r="B85" s="408"/>
      <c r="K85" s="408"/>
      <c r="L85" s="681"/>
      <c r="M85" s="681"/>
      <c r="N85" s="681"/>
    </row>
    <row r="86" spans="1:15" s="406" customFormat="1" x14ac:dyDescent="0.2">
      <c r="A86" s="447"/>
      <c r="B86" s="408"/>
      <c r="K86" s="408"/>
      <c r="L86" s="681"/>
      <c r="M86" s="681"/>
      <c r="N86" s="681"/>
    </row>
    <row r="87" spans="1:15" s="406" customFormat="1" x14ac:dyDescent="0.2">
      <c r="A87" s="447"/>
      <c r="B87" s="408"/>
      <c r="K87" s="408"/>
      <c r="L87" s="408"/>
      <c r="M87" s="408"/>
      <c r="N87" s="408"/>
    </row>
    <row r="88" spans="1:15" s="406" customFormat="1" x14ac:dyDescent="0.2">
      <c r="A88" s="447"/>
      <c r="B88" s="408"/>
      <c r="K88" s="408"/>
      <c r="L88" s="408"/>
      <c r="M88" s="408"/>
      <c r="N88" s="408"/>
    </row>
    <row r="89" spans="1:15" s="406" customFormat="1" x14ac:dyDescent="0.2">
      <c r="A89" s="447"/>
      <c r="B89" s="408"/>
      <c r="K89" s="408"/>
      <c r="L89" s="408"/>
      <c r="M89" s="408"/>
      <c r="N89" s="408"/>
    </row>
    <row r="90" spans="1:15" s="406" customFormat="1" x14ac:dyDescent="0.2">
      <c r="A90" s="447"/>
      <c r="B90" s="408"/>
      <c r="K90" s="408"/>
      <c r="L90" s="408"/>
      <c r="M90" s="408"/>
      <c r="N90" s="408"/>
    </row>
    <row r="91" spans="1:15" s="406" customFormat="1" x14ac:dyDescent="0.2">
      <c r="A91" s="447"/>
      <c r="B91" s="408"/>
      <c r="K91" s="408"/>
      <c r="L91" s="408"/>
      <c r="M91" s="408"/>
      <c r="N91" s="408"/>
    </row>
    <row r="92" spans="1:15" s="406" customFormat="1" x14ac:dyDescent="0.2">
      <c r="A92" s="447"/>
      <c r="B92" s="408"/>
      <c r="K92" s="408"/>
      <c r="L92" s="408"/>
      <c r="M92" s="408"/>
      <c r="N92" s="408"/>
    </row>
    <row r="93" spans="1:15" s="406" customFormat="1" x14ac:dyDescent="0.2">
      <c r="A93" s="447"/>
      <c r="B93" s="408"/>
      <c r="K93" s="408"/>
      <c r="L93" s="408"/>
      <c r="M93" s="408"/>
      <c r="N93" s="408"/>
    </row>
    <row r="94" spans="1:15" s="406" customFormat="1" x14ac:dyDescent="0.2">
      <c r="A94" s="447"/>
      <c r="B94" s="408"/>
      <c r="K94" s="408"/>
      <c r="L94" s="408"/>
      <c r="M94" s="408"/>
      <c r="N94" s="408"/>
    </row>
    <row r="95" spans="1:15" s="406" customFormat="1" x14ac:dyDescent="0.2">
      <c r="A95" s="447"/>
      <c r="B95" s="408"/>
      <c r="K95" s="408"/>
      <c r="L95" s="408"/>
      <c r="M95" s="408"/>
      <c r="N95" s="408"/>
    </row>
    <row r="96" spans="1:15" s="406" customFormat="1" x14ac:dyDescent="0.2">
      <c r="A96" s="447"/>
      <c r="B96" s="408"/>
      <c r="K96" s="408"/>
      <c r="L96" s="408"/>
      <c r="M96" s="408"/>
      <c r="N96" s="408"/>
    </row>
    <row r="97" spans="1:14" s="406" customFormat="1" x14ac:dyDescent="0.2">
      <c r="A97" s="447"/>
      <c r="B97" s="408"/>
      <c r="K97" s="408"/>
      <c r="L97" s="408"/>
      <c r="M97" s="408"/>
      <c r="N97" s="408"/>
    </row>
    <row r="98" spans="1:14" s="406" customFormat="1" x14ac:dyDescent="0.2">
      <c r="A98" s="447"/>
      <c r="B98" s="408"/>
      <c r="K98" s="408"/>
      <c r="L98" s="408"/>
      <c r="M98" s="408"/>
      <c r="N98" s="408"/>
    </row>
    <row r="99" spans="1:14" s="406" customFormat="1" x14ac:dyDescent="0.2">
      <c r="A99" s="447"/>
      <c r="B99" s="408"/>
      <c r="K99" s="408"/>
      <c r="L99" s="408"/>
      <c r="M99" s="408"/>
      <c r="N99" s="408"/>
    </row>
    <row r="100" spans="1:14" s="406" customFormat="1" x14ac:dyDescent="0.2">
      <c r="A100" s="447"/>
      <c r="B100" s="408"/>
      <c r="K100" s="408"/>
      <c r="L100" s="408"/>
      <c r="M100" s="408"/>
      <c r="N100" s="408"/>
    </row>
    <row r="101" spans="1:14" s="406" customFormat="1" x14ac:dyDescent="0.2">
      <c r="A101" s="447"/>
      <c r="B101" s="408"/>
      <c r="K101" s="408"/>
      <c r="L101" s="408"/>
      <c r="M101" s="408"/>
      <c r="N101" s="408"/>
    </row>
    <row r="102" spans="1:14" s="406" customFormat="1" x14ac:dyDescent="0.2">
      <c r="A102" s="447"/>
      <c r="B102" s="408"/>
      <c r="K102" s="408"/>
      <c r="L102" s="408"/>
      <c r="M102" s="408"/>
      <c r="N102" s="408"/>
    </row>
    <row r="103" spans="1:14" s="406" customFormat="1" x14ac:dyDescent="0.2">
      <c r="A103" s="447"/>
      <c r="B103" s="408"/>
      <c r="K103" s="408"/>
      <c r="L103" s="408"/>
      <c r="M103" s="408"/>
      <c r="N103" s="408"/>
    </row>
    <row r="104" spans="1:14" s="406" customFormat="1" x14ac:dyDescent="0.2">
      <c r="A104" s="447"/>
      <c r="B104" s="408"/>
      <c r="K104" s="408"/>
      <c r="L104" s="408"/>
      <c r="M104" s="408"/>
      <c r="N104" s="408"/>
    </row>
    <row r="105" spans="1:14" s="406" customFormat="1" x14ac:dyDescent="0.2">
      <c r="A105" s="447"/>
      <c r="B105" s="408"/>
      <c r="K105" s="408"/>
      <c r="L105" s="408"/>
      <c r="M105" s="408"/>
      <c r="N105" s="408"/>
    </row>
    <row r="106" spans="1:14" s="406" customFormat="1" x14ac:dyDescent="0.2">
      <c r="A106" s="447"/>
      <c r="B106" s="408"/>
      <c r="K106" s="408"/>
      <c r="L106" s="408"/>
      <c r="M106" s="408"/>
      <c r="N106" s="408"/>
    </row>
    <row r="107" spans="1:14" s="406" customFormat="1" x14ac:dyDescent="0.2">
      <c r="A107" s="447"/>
      <c r="B107" s="408"/>
      <c r="K107" s="408"/>
      <c r="L107" s="408"/>
      <c r="M107" s="408"/>
      <c r="N107" s="408"/>
    </row>
    <row r="108" spans="1:14" s="406" customFormat="1" x14ac:dyDescent="0.2">
      <c r="A108" s="447"/>
      <c r="B108" s="408"/>
      <c r="K108" s="408"/>
      <c r="L108" s="408"/>
      <c r="M108" s="408"/>
      <c r="N108" s="408"/>
    </row>
    <row r="109" spans="1:14" s="406" customFormat="1" x14ac:dyDescent="0.2">
      <c r="A109" s="447"/>
      <c r="B109" s="408"/>
      <c r="K109" s="408"/>
      <c r="L109" s="408"/>
      <c r="M109" s="408"/>
      <c r="N109" s="408"/>
    </row>
    <row r="110" spans="1:14" s="406" customFormat="1" x14ac:dyDescent="0.2">
      <c r="A110" s="447"/>
      <c r="B110" s="408"/>
      <c r="K110" s="408"/>
      <c r="L110" s="408"/>
      <c r="M110" s="408"/>
      <c r="N110" s="408"/>
    </row>
    <row r="111" spans="1:14" s="406" customFormat="1" x14ac:dyDescent="0.2">
      <c r="A111" s="447"/>
      <c r="B111" s="408"/>
      <c r="K111" s="408"/>
      <c r="L111" s="408"/>
      <c r="M111" s="408"/>
      <c r="N111" s="408"/>
    </row>
    <row r="112" spans="1:14" s="406" customFormat="1" x14ac:dyDescent="0.2">
      <c r="A112" s="447"/>
      <c r="B112" s="408"/>
      <c r="K112" s="408"/>
      <c r="L112" s="408"/>
      <c r="M112" s="408"/>
      <c r="N112" s="408"/>
    </row>
    <row r="113" spans="1:14" s="406" customFormat="1" x14ac:dyDescent="0.2">
      <c r="A113" s="447"/>
      <c r="B113" s="408"/>
      <c r="K113" s="408"/>
      <c r="L113" s="408"/>
      <c r="M113" s="408"/>
      <c r="N113" s="408"/>
    </row>
    <row r="114" spans="1:14" s="406" customFormat="1" x14ac:dyDescent="0.2">
      <c r="A114" s="447"/>
      <c r="B114" s="408"/>
      <c r="K114" s="408"/>
      <c r="L114" s="408"/>
      <c r="M114" s="408"/>
      <c r="N114" s="408"/>
    </row>
    <row r="115" spans="1:14" s="406" customFormat="1" x14ac:dyDescent="0.2">
      <c r="A115" s="447"/>
      <c r="B115" s="408"/>
      <c r="K115" s="408"/>
      <c r="L115" s="408"/>
      <c r="M115" s="408"/>
      <c r="N115" s="408"/>
    </row>
    <row r="116" spans="1:14" s="406" customFormat="1" x14ac:dyDescent="0.2">
      <c r="A116" s="447"/>
      <c r="B116" s="408"/>
      <c r="K116" s="408"/>
      <c r="L116" s="408"/>
      <c r="M116" s="408"/>
      <c r="N116" s="408"/>
    </row>
    <row r="117" spans="1:14" s="406" customFormat="1" x14ac:dyDescent="0.2">
      <c r="A117" s="447"/>
      <c r="B117" s="408"/>
      <c r="K117" s="408"/>
      <c r="L117" s="408"/>
      <c r="M117" s="408"/>
      <c r="N117" s="408"/>
    </row>
    <row r="118" spans="1:14" s="406" customFormat="1" x14ac:dyDescent="0.2">
      <c r="A118" s="447"/>
      <c r="B118" s="408"/>
      <c r="K118" s="408"/>
      <c r="L118" s="408"/>
      <c r="M118" s="408"/>
      <c r="N118" s="408"/>
    </row>
    <row r="119" spans="1:14" s="406" customFormat="1" x14ac:dyDescent="0.2">
      <c r="A119" s="447"/>
      <c r="B119" s="408"/>
      <c r="K119" s="408"/>
      <c r="L119" s="408"/>
      <c r="M119" s="408"/>
      <c r="N119" s="408"/>
    </row>
    <row r="120" spans="1:14" s="406" customFormat="1" x14ac:dyDescent="0.2">
      <c r="A120" s="447"/>
      <c r="B120" s="408"/>
      <c r="K120" s="408"/>
      <c r="L120" s="408"/>
      <c r="M120" s="408"/>
      <c r="N120" s="408"/>
    </row>
    <row r="121" spans="1:14" s="406" customFormat="1" x14ac:dyDescent="0.2">
      <c r="A121" s="447"/>
      <c r="B121" s="408"/>
      <c r="K121" s="408"/>
      <c r="L121" s="408"/>
      <c r="M121" s="408"/>
      <c r="N121" s="408"/>
    </row>
    <row r="122" spans="1:14" s="406" customFormat="1" x14ac:dyDescent="0.2">
      <c r="A122" s="447"/>
      <c r="B122" s="408"/>
      <c r="K122" s="408"/>
      <c r="L122" s="408"/>
      <c r="M122" s="408"/>
      <c r="N122" s="408"/>
    </row>
    <row r="123" spans="1:14" s="406" customFormat="1" x14ac:dyDescent="0.2">
      <c r="A123" s="447"/>
      <c r="B123" s="408"/>
      <c r="K123" s="408"/>
      <c r="L123" s="408"/>
      <c r="M123" s="408"/>
      <c r="N123" s="408"/>
    </row>
    <row r="124" spans="1:14" s="406" customFormat="1" x14ac:dyDescent="0.2">
      <c r="A124" s="447"/>
      <c r="B124" s="408"/>
      <c r="K124" s="408"/>
      <c r="L124" s="408"/>
      <c r="M124" s="408"/>
      <c r="N124" s="408"/>
    </row>
    <row r="125" spans="1:14" s="406" customFormat="1" x14ac:dyDescent="0.2">
      <c r="A125" s="447"/>
      <c r="B125" s="408"/>
      <c r="K125" s="408"/>
      <c r="L125" s="408"/>
      <c r="M125" s="408"/>
      <c r="N125" s="408"/>
    </row>
    <row r="126" spans="1:14" s="406" customFormat="1" x14ac:dyDescent="0.2">
      <c r="A126" s="447"/>
      <c r="B126" s="408"/>
      <c r="K126" s="408"/>
      <c r="L126" s="408"/>
      <c r="M126" s="408"/>
      <c r="N126" s="408"/>
    </row>
    <row r="127" spans="1:14" s="406" customFormat="1" x14ac:dyDescent="0.2">
      <c r="A127" s="447"/>
      <c r="B127" s="408"/>
      <c r="K127" s="408"/>
      <c r="L127" s="408"/>
      <c r="M127" s="408"/>
      <c r="N127" s="408"/>
    </row>
    <row r="128" spans="1:14" s="406" customFormat="1" x14ac:dyDescent="0.2">
      <c r="A128" s="447"/>
      <c r="B128" s="408"/>
      <c r="K128" s="408"/>
      <c r="L128" s="408"/>
      <c r="M128" s="408"/>
      <c r="N128" s="408"/>
    </row>
    <row r="129" spans="1:14" s="406" customFormat="1" x14ac:dyDescent="0.2">
      <c r="A129" s="447"/>
      <c r="B129" s="408"/>
      <c r="K129" s="408"/>
      <c r="L129" s="408"/>
      <c r="M129" s="408"/>
      <c r="N129" s="408"/>
    </row>
    <row r="130" spans="1:14" s="406" customFormat="1" x14ac:dyDescent="0.2">
      <c r="A130" s="447"/>
      <c r="B130" s="408"/>
      <c r="K130" s="408"/>
      <c r="L130" s="408"/>
      <c r="M130" s="408"/>
      <c r="N130" s="408"/>
    </row>
    <row r="131" spans="1:14" s="406" customFormat="1" x14ac:dyDescent="0.2">
      <c r="A131" s="447"/>
      <c r="B131" s="408"/>
      <c r="K131" s="408"/>
      <c r="L131" s="408"/>
      <c r="M131" s="408"/>
      <c r="N131" s="408"/>
    </row>
    <row r="132" spans="1:14" s="406" customFormat="1" x14ac:dyDescent="0.2">
      <c r="A132" s="447"/>
      <c r="B132" s="408"/>
      <c r="K132" s="408"/>
      <c r="L132" s="408"/>
      <c r="M132" s="408"/>
      <c r="N132" s="408"/>
    </row>
    <row r="133" spans="1:14" s="406" customFormat="1" x14ac:dyDescent="0.2">
      <c r="A133" s="447"/>
      <c r="B133" s="408"/>
      <c r="K133" s="408"/>
      <c r="L133" s="408"/>
      <c r="M133" s="408"/>
      <c r="N133" s="408"/>
    </row>
    <row r="134" spans="1:14" s="406" customFormat="1" x14ac:dyDescent="0.2">
      <c r="A134" s="447"/>
      <c r="B134" s="408"/>
      <c r="K134" s="408"/>
      <c r="L134" s="408"/>
      <c r="M134" s="408"/>
      <c r="N134" s="408"/>
    </row>
    <row r="135" spans="1:14" s="406" customFormat="1" x14ac:dyDescent="0.2">
      <c r="A135" s="447"/>
      <c r="B135" s="408"/>
      <c r="K135" s="408"/>
      <c r="L135" s="408"/>
      <c r="M135" s="408"/>
      <c r="N135" s="408"/>
    </row>
    <row r="136" spans="1:14" s="406" customFormat="1" x14ac:dyDescent="0.2">
      <c r="A136" s="447"/>
      <c r="B136" s="408"/>
      <c r="K136" s="408"/>
      <c r="L136" s="408"/>
      <c r="M136" s="408"/>
      <c r="N136" s="408"/>
    </row>
    <row r="137" spans="1:14" s="406" customFormat="1" x14ac:dyDescent="0.2">
      <c r="A137" s="447"/>
      <c r="B137" s="408"/>
      <c r="K137" s="408"/>
      <c r="L137" s="408"/>
      <c r="M137" s="408"/>
      <c r="N137" s="408"/>
    </row>
    <row r="138" spans="1:14" s="406" customFormat="1" x14ac:dyDescent="0.2">
      <c r="A138" s="447"/>
      <c r="B138" s="408"/>
      <c r="K138" s="408"/>
      <c r="L138" s="408"/>
      <c r="M138" s="408"/>
      <c r="N138" s="408"/>
    </row>
    <row r="139" spans="1:14" s="406" customFormat="1" x14ac:dyDescent="0.2">
      <c r="A139" s="447"/>
      <c r="B139" s="408"/>
      <c r="K139" s="408"/>
      <c r="L139" s="408"/>
      <c r="M139" s="408"/>
      <c r="N139" s="408"/>
    </row>
    <row r="140" spans="1:14" s="406" customFormat="1" x14ac:dyDescent="0.2">
      <c r="A140" s="447"/>
      <c r="B140" s="408"/>
      <c r="K140" s="408"/>
      <c r="L140" s="408"/>
      <c r="M140" s="408"/>
      <c r="N140" s="408"/>
    </row>
    <row r="141" spans="1:14" s="406" customFormat="1" x14ac:dyDescent="0.2">
      <c r="A141" s="447"/>
      <c r="B141" s="408"/>
      <c r="K141" s="408"/>
      <c r="L141" s="408"/>
      <c r="M141" s="408"/>
      <c r="N141" s="408"/>
    </row>
    <row r="142" spans="1:14" s="406" customFormat="1" x14ac:dyDescent="0.2">
      <c r="A142" s="447"/>
      <c r="B142" s="408"/>
      <c r="K142" s="408"/>
      <c r="L142" s="408"/>
      <c r="M142" s="408"/>
      <c r="N142" s="408"/>
    </row>
    <row r="143" spans="1:14" s="406" customFormat="1" x14ac:dyDescent="0.2">
      <c r="A143" s="447"/>
      <c r="B143" s="408"/>
      <c r="K143" s="408"/>
      <c r="L143" s="408"/>
      <c r="M143" s="408"/>
      <c r="N143" s="408"/>
    </row>
    <row r="144" spans="1:14" s="406" customFormat="1" x14ac:dyDescent="0.2">
      <c r="A144" s="447"/>
      <c r="B144" s="408"/>
      <c r="K144" s="408"/>
      <c r="L144" s="408"/>
      <c r="M144" s="408"/>
      <c r="N144" s="408"/>
    </row>
    <row r="145" spans="1:14" s="406" customFormat="1" x14ac:dyDescent="0.2">
      <c r="A145" s="447"/>
      <c r="B145" s="408"/>
      <c r="K145" s="408"/>
      <c r="L145" s="408"/>
      <c r="M145" s="408"/>
      <c r="N145" s="408"/>
    </row>
    <row r="146" spans="1:14" s="406" customFormat="1" x14ac:dyDescent="0.2">
      <c r="A146" s="447"/>
      <c r="B146" s="408"/>
      <c r="K146" s="408"/>
      <c r="L146" s="408"/>
      <c r="M146" s="408"/>
      <c r="N146" s="408"/>
    </row>
    <row r="147" spans="1:14" s="406" customFormat="1" x14ac:dyDescent="0.2">
      <c r="A147" s="447"/>
      <c r="B147" s="408"/>
      <c r="K147" s="408"/>
      <c r="L147" s="408"/>
      <c r="M147" s="408"/>
      <c r="N147" s="408"/>
    </row>
    <row r="148" spans="1:14" s="406" customFormat="1" x14ac:dyDescent="0.2">
      <c r="A148" s="447"/>
      <c r="B148" s="408"/>
      <c r="K148" s="408"/>
      <c r="L148" s="408"/>
      <c r="M148" s="408"/>
      <c r="N148" s="408"/>
    </row>
    <row r="149" spans="1:14" s="406" customFormat="1" x14ac:dyDescent="0.2">
      <c r="A149" s="447"/>
      <c r="B149" s="408"/>
      <c r="K149" s="408"/>
      <c r="L149" s="408"/>
      <c r="M149" s="408"/>
      <c r="N149" s="408"/>
    </row>
    <row r="150" spans="1:14" s="406" customFormat="1" x14ac:dyDescent="0.2">
      <c r="A150" s="447"/>
      <c r="B150" s="408"/>
      <c r="K150" s="408"/>
      <c r="L150" s="408"/>
      <c r="M150" s="408"/>
      <c r="N150" s="408"/>
    </row>
    <row r="151" spans="1:14" s="406" customFormat="1" x14ac:dyDescent="0.2">
      <c r="A151" s="447"/>
      <c r="B151" s="408"/>
      <c r="K151" s="408"/>
      <c r="L151" s="408"/>
      <c r="M151" s="408"/>
      <c r="N151" s="408"/>
    </row>
    <row r="152" spans="1:14" s="406" customFormat="1" x14ac:dyDescent="0.2">
      <c r="A152" s="447"/>
      <c r="B152" s="408"/>
      <c r="K152" s="408"/>
      <c r="L152" s="408"/>
      <c r="M152" s="408"/>
      <c r="N152" s="408"/>
    </row>
    <row r="153" spans="1:14" s="406" customFormat="1" x14ac:dyDescent="0.2">
      <c r="A153" s="447"/>
      <c r="B153" s="408"/>
      <c r="K153" s="408"/>
      <c r="L153" s="408"/>
      <c r="M153" s="408"/>
      <c r="N153" s="408"/>
    </row>
    <row r="154" spans="1:14" s="406" customFormat="1" x14ac:dyDescent="0.2">
      <c r="A154" s="447"/>
      <c r="B154" s="408"/>
      <c r="K154" s="408"/>
      <c r="L154" s="408"/>
      <c r="M154" s="408"/>
      <c r="N154" s="408"/>
    </row>
    <row r="155" spans="1:14" s="406" customFormat="1" x14ac:dyDescent="0.2">
      <c r="A155" s="447"/>
      <c r="B155" s="408"/>
      <c r="K155" s="408"/>
      <c r="L155" s="408"/>
      <c r="M155" s="408"/>
      <c r="N155" s="408"/>
    </row>
    <row r="156" spans="1:14" s="406" customFormat="1" x14ac:dyDescent="0.2">
      <c r="A156" s="447"/>
      <c r="B156" s="408"/>
      <c r="K156" s="408"/>
      <c r="L156" s="408"/>
      <c r="M156" s="408"/>
      <c r="N156" s="408"/>
    </row>
    <row r="157" spans="1:14" s="406" customFormat="1" x14ac:dyDescent="0.2">
      <c r="A157" s="447"/>
      <c r="B157" s="408"/>
      <c r="K157" s="408"/>
      <c r="L157" s="408"/>
      <c r="M157" s="408"/>
      <c r="N157" s="408"/>
    </row>
    <row r="158" spans="1:14" s="406" customFormat="1" x14ac:dyDescent="0.2">
      <c r="A158" s="447"/>
      <c r="B158" s="408"/>
      <c r="K158" s="408"/>
      <c r="L158" s="408"/>
      <c r="M158" s="408"/>
      <c r="N158" s="408"/>
    </row>
    <row r="159" spans="1:14" s="406" customFormat="1" x14ac:dyDescent="0.2">
      <c r="A159" s="447"/>
      <c r="B159" s="408"/>
      <c r="K159" s="408"/>
      <c r="L159" s="408"/>
      <c r="M159" s="408"/>
      <c r="N159" s="408"/>
    </row>
    <row r="160" spans="1:14" s="406" customFormat="1" x14ac:dyDescent="0.2">
      <c r="A160" s="447"/>
      <c r="B160" s="408"/>
      <c r="K160" s="408"/>
      <c r="L160" s="408"/>
      <c r="M160" s="408"/>
      <c r="N160" s="408"/>
    </row>
    <row r="161" spans="1:14" s="406" customFormat="1" x14ac:dyDescent="0.2">
      <c r="A161" s="447"/>
      <c r="B161" s="408"/>
      <c r="K161" s="408"/>
      <c r="L161" s="408"/>
      <c r="M161" s="408"/>
      <c r="N161" s="408"/>
    </row>
    <row r="162" spans="1:14" s="406" customFormat="1" x14ac:dyDescent="0.2">
      <c r="A162" s="447"/>
      <c r="B162" s="408"/>
      <c r="K162" s="408"/>
      <c r="L162" s="408"/>
      <c r="M162" s="408"/>
      <c r="N162" s="408"/>
    </row>
    <row r="163" spans="1:14" s="406" customFormat="1" x14ac:dyDescent="0.2">
      <c r="A163" s="447"/>
      <c r="B163" s="408"/>
      <c r="K163" s="408"/>
      <c r="L163" s="408"/>
      <c r="M163" s="408"/>
      <c r="N163" s="408"/>
    </row>
    <row r="164" spans="1:14" s="406" customFormat="1" x14ac:dyDescent="0.2">
      <c r="A164" s="447"/>
      <c r="B164" s="408"/>
      <c r="K164" s="408"/>
      <c r="L164" s="408"/>
      <c r="M164" s="408"/>
      <c r="N164" s="408"/>
    </row>
    <row r="165" spans="1:14" s="406" customFormat="1" x14ac:dyDescent="0.2">
      <c r="A165" s="447"/>
      <c r="B165" s="408"/>
      <c r="K165" s="408"/>
      <c r="L165" s="408"/>
      <c r="M165" s="408"/>
      <c r="N165" s="408"/>
    </row>
    <row r="166" spans="1:14" s="406" customFormat="1" x14ac:dyDescent="0.2">
      <c r="A166" s="447"/>
      <c r="B166" s="408"/>
      <c r="K166" s="408"/>
      <c r="L166" s="408"/>
      <c r="M166" s="408"/>
      <c r="N166" s="408"/>
    </row>
    <row r="167" spans="1:14" s="406" customFormat="1" x14ac:dyDescent="0.2">
      <c r="A167" s="447"/>
      <c r="B167" s="408"/>
      <c r="K167" s="408"/>
      <c r="L167" s="408"/>
      <c r="M167" s="408"/>
      <c r="N167" s="408"/>
    </row>
    <row r="168" spans="1:14" s="406" customFormat="1" x14ac:dyDescent="0.2">
      <c r="A168" s="447"/>
      <c r="B168" s="408"/>
      <c r="K168" s="408"/>
      <c r="L168" s="408"/>
      <c r="M168" s="408"/>
      <c r="N168" s="408"/>
    </row>
    <row r="169" spans="1:14" s="406" customFormat="1" x14ac:dyDescent="0.2">
      <c r="A169" s="447"/>
      <c r="B169" s="408"/>
      <c r="K169" s="408"/>
      <c r="L169" s="408"/>
      <c r="M169" s="408"/>
      <c r="N169" s="408"/>
    </row>
    <row r="170" spans="1:14" s="406" customFormat="1" x14ac:dyDescent="0.2">
      <c r="A170" s="447"/>
      <c r="B170" s="408"/>
      <c r="K170" s="408"/>
      <c r="L170" s="408"/>
      <c r="M170" s="408"/>
      <c r="N170" s="408"/>
    </row>
    <row r="171" spans="1:14" s="406" customFormat="1" x14ac:dyDescent="0.2">
      <c r="A171" s="447"/>
      <c r="B171" s="408"/>
      <c r="K171" s="408"/>
      <c r="L171" s="408"/>
      <c r="M171" s="408"/>
      <c r="N171" s="408"/>
    </row>
    <row r="172" spans="1:14" s="406" customFormat="1" x14ac:dyDescent="0.2">
      <c r="A172" s="447"/>
      <c r="B172" s="408"/>
      <c r="K172" s="408"/>
      <c r="L172" s="408"/>
      <c r="M172" s="408"/>
      <c r="N172" s="408"/>
    </row>
    <row r="173" spans="1:14" s="406" customFormat="1" x14ac:dyDescent="0.2">
      <c r="A173" s="447"/>
      <c r="B173" s="408"/>
      <c r="K173" s="408"/>
      <c r="L173" s="408"/>
      <c r="M173" s="408"/>
      <c r="N173" s="408"/>
    </row>
    <row r="174" spans="1:14" s="406" customFormat="1" x14ac:dyDescent="0.2">
      <c r="A174" s="447"/>
      <c r="B174" s="408"/>
      <c r="K174" s="408"/>
      <c r="L174" s="408"/>
      <c r="M174" s="408"/>
      <c r="N174" s="408"/>
    </row>
    <row r="175" spans="1:14" s="406" customFormat="1" x14ac:dyDescent="0.2">
      <c r="A175" s="447"/>
      <c r="B175" s="408"/>
      <c r="K175" s="408"/>
      <c r="L175" s="408"/>
      <c r="M175" s="408"/>
      <c r="N175" s="408"/>
    </row>
    <row r="176" spans="1:14" s="406" customFormat="1" x14ac:dyDescent="0.2">
      <c r="A176" s="447"/>
      <c r="B176" s="408"/>
      <c r="K176" s="408"/>
      <c r="L176" s="408"/>
      <c r="M176" s="408"/>
      <c r="N176" s="408"/>
    </row>
    <row r="177" spans="1:14" s="406" customFormat="1" x14ac:dyDescent="0.2">
      <c r="A177" s="447"/>
      <c r="B177" s="408"/>
      <c r="K177" s="408"/>
      <c r="L177" s="408"/>
      <c r="M177" s="408"/>
      <c r="N177" s="408"/>
    </row>
    <row r="178" spans="1:14" s="406" customFormat="1" x14ac:dyDescent="0.2">
      <c r="A178" s="447"/>
      <c r="B178" s="408"/>
      <c r="K178" s="408"/>
      <c r="L178" s="408"/>
      <c r="M178" s="408"/>
      <c r="N178" s="408"/>
    </row>
    <row r="179" spans="1:14" s="406" customFormat="1" x14ac:dyDescent="0.2">
      <c r="A179" s="447"/>
      <c r="B179" s="408"/>
      <c r="K179" s="408"/>
      <c r="L179" s="408"/>
      <c r="M179" s="408"/>
      <c r="N179" s="408"/>
    </row>
    <row r="180" spans="1:14" s="406" customFormat="1" x14ac:dyDescent="0.2">
      <c r="A180" s="447"/>
      <c r="B180" s="408"/>
      <c r="K180" s="408"/>
      <c r="L180" s="408"/>
      <c r="M180" s="408"/>
      <c r="N180" s="408"/>
    </row>
    <row r="181" spans="1:14" s="406" customFormat="1" x14ac:dyDescent="0.2">
      <c r="A181" s="447"/>
      <c r="B181" s="408"/>
      <c r="K181" s="408"/>
      <c r="L181" s="408"/>
      <c r="M181" s="408"/>
      <c r="N181" s="408"/>
    </row>
    <row r="182" spans="1:14" s="406" customFormat="1" x14ac:dyDescent="0.2">
      <c r="A182" s="447"/>
      <c r="B182" s="408"/>
      <c r="K182" s="408"/>
      <c r="L182" s="408"/>
      <c r="M182" s="408"/>
      <c r="N182" s="408"/>
    </row>
    <row r="183" spans="1:14" s="406" customFormat="1" x14ac:dyDescent="0.2">
      <c r="A183" s="447"/>
      <c r="B183" s="408"/>
      <c r="K183" s="408"/>
      <c r="L183" s="408"/>
      <c r="M183" s="408"/>
      <c r="N183" s="408"/>
    </row>
    <row r="184" spans="1:14" s="406" customFormat="1" x14ac:dyDescent="0.2">
      <c r="A184" s="447"/>
      <c r="B184" s="408"/>
      <c r="K184" s="408"/>
      <c r="L184" s="408"/>
      <c r="M184" s="408"/>
      <c r="N184" s="408"/>
    </row>
    <row r="185" spans="1:14" s="406" customFormat="1" x14ac:dyDescent="0.2">
      <c r="A185" s="447"/>
      <c r="B185" s="408"/>
      <c r="K185" s="408"/>
      <c r="L185" s="408"/>
      <c r="M185" s="408"/>
      <c r="N185" s="408"/>
    </row>
    <row r="186" spans="1:14" s="406" customFormat="1" x14ac:dyDescent="0.2">
      <c r="A186" s="447"/>
      <c r="B186" s="408"/>
      <c r="K186" s="408"/>
      <c r="L186" s="408"/>
      <c r="M186" s="408"/>
      <c r="N186" s="408"/>
    </row>
    <row r="187" spans="1:14" s="406" customFormat="1" x14ac:dyDescent="0.2">
      <c r="A187" s="447"/>
      <c r="B187" s="408"/>
      <c r="K187" s="408"/>
      <c r="L187" s="408"/>
      <c r="M187" s="408"/>
      <c r="N187" s="408"/>
    </row>
    <row r="188" spans="1:14" s="406" customFormat="1" x14ac:dyDescent="0.2">
      <c r="A188" s="447"/>
      <c r="B188" s="408"/>
      <c r="K188" s="408"/>
      <c r="L188" s="408"/>
      <c r="M188" s="408"/>
      <c r="N188" s="408"/>
    </row>
    <row r="189" spans="1:14" s="406" customFormat="1" x14ac:dyDescent="0.2">
      <c r="A189" s="447"/>
      <c r="B189" s="408"/>
      <c r="K189" s="408"/>
      <c r="L189" s="408"/>
      <c r="M189" s="408"/>
      <c r="N189" s="408"/>
    </row>
    <row r="190" spans="1:14" s="406" customFormat="1" x14ac:dyDescent="0.2">
      <c r="A190" s="447"/>
      <c r="B190" s="408"/>
      <c r="K190" s="408"/>
      <c r="L190" s="408"/>
      <c r="M190" s="408"/>
      <c r="N190" s="408"/>
    </row>
    <row r="191" spans="1:14" s="406" customFormat="1" x14ac:dyDescent="0.2">
      <c r="A191" s="447"/>
      <c r="B191" s="408"/>
      <c r="K191" s="408"/>
      <c r="L191" s="408"/>
      <c r="M191" s="408"/>
      <c r="N191" s="408"/>
    </row>
    <row r="192" spans="1:14" s="406" customFormat="1" x14ac:dyDescent="0.2">
      <c r="A192" s="447"/>
      <c r="B192" s="408"/>
      <c r="K192" s="408"/>
      <c r="L192" s="408"/>
      <c r="M192" s="408"/>
      <c r="N192" s="408"/>
    </row>
    <row r="193" spans="1:14" s="406" customFormat="1" x14ac:dyDescent="0.2">
      <c r="A193" s="447"/>
      <c r="B193" s="408"/>
      <c r="K193" s="408"/>
      <c r="L193" s="408"/>
      <c r="M193" s="408"/>
      <c r="N193" s="408"/>
    </row>
    <row r="194" spans="1:14" s="406" customFormat="1" x14ac:dyDescent="0.2">
      <c r="A194" s="447"/>
      <c r="B194" s="408"/>
      <c r="K194" s="408"/>
      <c r="L194" s="408"/>
      <c r="M194" s="408"/>
      <c r="N194" s="408"/>
    </row>
    <row r="195" spans="1:14" s="406" customFormat="1" x14ac:dyDescent="0.2">
      <c r="A195" s="447"/>
      <c r="B195" s="408"/>
      <c r="K195" s="408"/>
      <c r="L195" s="408"/>
      <c r="M195" s="408"/>
      <c r="N195" s="408"/>
    </row>
    <row r="196" spans="1:14" s="406" customFormat="1" x14ac:dyDescent="0.2">
      <c r="A196" s="447"/>
      <c r="B196" s="408"/>
      <c r="K196" s="408"/>
      <c r="L196" s="408"/>
      <c r="M196" s="408"/>
      <c r="N196" s="408"/>
    </row>
    <row r="197" spans="1:14" s="406" customFormat="1" x14ac:dyDescent="0.2">
      <c r="A197" s="447"/>
      <c r="B197" s="408"/>
      <c r="K197" s="408"/>
      <c r="L197" s="408"/>
      <c r="M197" s="408"/>
      <c r="N197" s="408"/>
    </row>
    <row r="198" spans="1:14" s="406" customFormat="1" x14ac:dyDescent="0.2">
      <c r="A198" s="447"/>
      <c r="B198" s="408"/>
      <c r="K198" s="408"/>
      <c r="L198" s="408"/>
      <c r="M198" s="408"/>
      <c r="N198" s="408"/>
    </row>
    <row r="199" spans="1:14" s="406" customFormat="1" x14ac:dyDescent="0.2">
      <c r="A199" s="447"/>
      <c r="B199" s="408"/>
      <c r="K199" s="408"/>
      <c r="L199" s="408"/>
      <c r="M199" s="408"/>
      <c r="N199" s="408"/>
    </row>
    <row r="200" spans="1:14" s="406" customFormat="1" x14ac:dyDescent="0.2">
      <c r="A200" s="447"/>
      <c r="B200" s="408"/>
      <c r="K200" s="408"/>
      <c r="L200" s="408"/>
      <c r="M200" s="408"/>
      <c r="N200" s="408"/>
    </row>
    <row r="201" spans="1:14" s="406" customFormat="1" x14ac:dyDescent="0.2">
      <c r="A201" s="447"/>
      <c r="B201" s="408"/>
      <c r="K201" s="408"/>
      <c r="L201" s="408"/>
      <c r="M201" s="408"/>
      <c r="N201" s="408"/>
    </row>
    <row r="202" spans="1:14" s="406" customFormat="1" x14ac:dyDescent="0.2">
      <c r="A202" s="447"/>
      <c r="B202" s="408"/>
      <c r="K202" s="408"/>
      <c r="L202" s="408"/>
      <c r="M202" s="408"/>
      <c r="N202" s="408"/>
    </row>
    <row r="203" spans="1:14" s="406" customFormat="1" x14ac:dyDescent="0.2">
      <c r="A203" s="447"/>
      <c r="B203" s="408"/>
      <c r="K203" s="408"/>
      <c r="L203" s="408"/>
      <c r="M203" s="408"/>
      <c r="N203" s="408"/>
    </row>
    <row r="204" spans="1:14" s="406" customFormat="1" x14ac:dyDescent="0.2">
      <c r="A204" s="447"/>
      <c r="B204" s="408"/>
      <c r="K204" s="408"/>
      <c r="L204" s="408"/>
      <c r="M204" s="408"/>
      <c r="N204" s="408"/>
    </row>
    <row r="205" spans="1:14" s="406" customFormat="1" x14ac:dyDescent="0.2">
      <c r="A205" s="447"/>
      <c r="B205" s="408"/>
      <c r="K205" s="408"/>
      <c r="L205" s="408"/>
      <c r="M205" s="408"/>
      <c r="N205" s="408"/>
    </row>
    <row r="206" spans="1:14" s="406" customFormat="1" x14ac:dyDescent="0.2">
      <c r="A206" s="447"/>
      <c r="B206" s="408"/>
      <c r="K206" s="408"/>
      <c r="L206" s="408"/>
      <c r="M206" s="408"/>
      <c r="N206" s="408"/>
    </row>
    <row r="207" spans="1:14" s="406" customFormat="1" x14ac:dyDescent="0.2">
      <c r="A207" s="447"/>
      <c r="B207" s="408"/>
      <c r="K207" s="408"/>
      <c r="L207" s="408"/>
      <c r="M207" s="408"/>
      <c r="N207" s="408"/>
    </row>
    <row r="208" spans="1:14" s="406" customFormat="1" x14ac:dyDescent="0.2">
      <c r="A208" s="447"/>
      <c r="B208" s="408"/>
      <c r="K208" s="408"/>
      <c r="L208" s="408"/>
      <c r="M208" s="408"/>
      <c r="N208" s="408"/>
    </row>
    <row r="209" spans="1:14" s="406" customFormat="1" x14ac:dyDescent="0.2">
      <c r="A209" s="447"/>
      <c r="B209" s="408"/>
      <c r="K209" s="408"/>
      <c r="L209" s="408"/>
      <c r="M209" s="408"/>
      <c r="N209" s="408"/>
    </row>
    <row r="210" spans="1:14" s="406" customFormat="1" x14ac:dyDescent="0.2">
      <c r="A210" s="447"/>
      <c r="B210" s="408"/>
      <c r="K210" s="408"/>
      <c r="L210" s="408"/>
      <c r="M210" s="408"/>
      <c r="N210" s="408"/>
    </row>
    <row r="211" spans="1:14" s="406" customFormat="1" x14ac:dyDescent="0.2">
      <c r="A211" s="447"/>
      <c r="B211" s="408"/>
      <c r="K211" s="408"/>
      <c r="L211" s="408"/>
      <c r="M211" s="408"/>
      <c r="N211" s="408"/>
    </row>
    <row r="212" spans="1:14" x14ac:dyDescent="0.2">
      <c r="A212" s="447"/>
      <c r="B212" s="408"/>
      <c r="C212" s="406"/>
      <c r="D212" s="406"/>
      <c r="E212" s="406"/>
      <c r="F212" s="406"/>
      <c r="G212" s="406"/>
      <c r="H212" s="406"/>
      <c r="I212" s="406"/>
      <c r="J212" s="406"/>
      <c r="K212" s="408"/>
    </row>
    <row r="213" spans="1:14" x14ac:dyDescent="0.2">
      <c r="A213" s="447"/>
      <c r="B213" s="408"/>
      <c r="C213" s="406"/>
      <c r="D213" s="406"/>
      <c r="E213" s="406"/>
      <c r="F213" s="406"/>
      <c r="G213" s="406"/>
      <c r="H213" s="406"/>
      <c r="I213" s="406"/>
      <c r="J213" s="406"/>
      <c r="K213" s="408"/>
    </row>
    <row r="214" spans="1:14" x14ac:dyDescent="0.2">
      <c r="A214" s="447"/>
      <c r="B214" s="408"/>
      <c r="C214" s="406"/>
      <c r="D214" s="406"/>
      <c r="E214" s="406"/>
      <c r="F214" s="406"/>
      <c r="G214" s="406"/>
      <c r="H214" s="406"/>
      <c r="I214" s="406"/>
      <c r="J214" s="406"/>
      <c r="K214" s="408"/>
    </row>
    <row r="215" spans="1:14" x14ac:dyDescent="0.2">
      <c r="A215" s="447"/>
      <c r="B215" s="408"/>
      <c r="C215" s="406"/>
      <c r="D215" s="406"/>
      <c r="E215" s="406"/>
      <c r="F215" s="406"/>
      <c r="G215" s="406"/>
      <c r="H215" s="406"/>
      <c r="I215" s="406"/>
      <c r="J215" s="406"/>
      <c r="K215" s="408"/>
    </row>
    <row r="216" spans="1:14" x14ac:dyDescent="0.2">
      <c r="A216" s="447"/>
      <c r="B216" s="408"/>
      <c r="C216" s="406"/>
      <c r="D216" s="406"/>
      <c r="E216" s="406"/>
      <c r="F216" s="406"/>
      <c r="G216" s="406"/>
      <c r="H216" s="406"/>
      <c r="I216" s="406"/>
      <c r="J216" s="406"/>
      <c r="K216" s="408"/>
    </row>
    <row r="217" spans="1:14" x14ac:dyDescent="0.2">
      <c r="A217" s="447"/>
      <c r="B217" s="408"/>
      <c r="C217" s="406"/>
      <c r="D217" s="406"/>
      <c r="E217" s="406"/>
      <c r="F217" s="406"/>
      <c r="G217" s="406"/>
      <c r="H217" s="406"/>
      <c r="I217" s="406"/>
      <c r="J217" s="406"/>
      <c r="K217" s="408"/>
    </row>
    <row r="218" spans="1:14" x14ac:dyDescent="0.2">
      <c r="A218" s="447"/>
      <c r="B218" s="408"/>
      <c r="C218" s="406"/>
      <c r="D218" s="406"/>
      <c r="E218" s="406"/>
      <c r="F218" s="406"/>
      <c r="G218" s="406"/>
      <c r="H218" s="406"/>
      <c r="I218" s="406"/>
      <c r="J218" s="406"/>
      <c r="K218" s="408"/>
    </row>
    <row r="219" spans="1:14" x14ac:dyDescent="0.2">
      <c r="A219" s="447"/>
      <c r="B219" s="408"/>
      <c r="C219" s="406"/>
      <c r="D219" s="406"/>
      <c r="E219" s="406"/>
      <c r="F219" s="406"/>
      <c r="G219" s="406"/>
      <c r="H219" s="406"/>
      <c r="I219" s="406"/>
      <c r="J219" s="406"/>
      <c r="K219" s="408"/>
    </row>
    <row r="220" spans="1:14" x14ac:dyDescent="0.2">
      <c r="A220" s="447"/>
      <c r="B220" s="408"/>
      <c r="C220" s="406"/>
      <c r="D220" s="406"/>
      <c r="E220" s="406"/>
      <c r="F220" s="406"/>
      <c r="G220" s="406"/>
      <c r="H220" s="406"/>
      <c r="I220" s="406"/>
      <c r="J220" s="406"/>
      <c r="K220" s="408"/>
    </row>
    <row r="221" spans="1:14" x14ac:dyDescent="0.2">
      <c r="A221" s="447"/>
      <c r="B221" s="408"/>
      <c r="C221" s="406"/>
      <c r="D221" s="406"/>
      <c r="E221" s="406"/>
      <c r="F221" s="406"/>
      <c r="G221" s="406"/>
      <c r="H221" s="406"/>
      <c r="I221" s="406"/>
      <c r="J221" s="406"/>
      <c r="K221" s="408"/>
    </row>
  </sheetData>
  <mergeCells count="21">
    <mergeCell ref="Q10:U10"/>
    <mergeCell ref="P9:P10"/>
    <mergeCell ref="Q9:U9"/>
    <mergeCell ref="L76:N76"/>
    <mergeCell ref="L16:N16"/>
    <mergeCell ref="L48:N48"/>
    <mergeCell ref="L61:N61"/>
    <mergeCell ref="L69:N69"/>
    <mergeCell ref="L45:N45"/>
    <mergeCell ref="L1:N1"/>
    <mergeCell ref="B9:E9"/>
    <mergeCell ref="F9:I9"/>
    <mergeCell ref="J9:K9"/>
    <mergeCell ref="L10:N10"/>
    <mergeCell ref="Q7:U7"/>
    <mergeCell ref="Q4:U4"/>
    <mergeCell ref="P1:U1"/>
    <mergeCell ref="Q2:U2"/>
    <mergeCell ref="Q3:U3"/>
    <mergeCell ref="Q5:U5"/>
    <mergeCell ref="Q6:U6"/>
  </mergeCells>
  <phoneticPr fontId="26" type="noConversion"/>
  <conditionalFormatting sqref="K11:K44 K46:K84">
    <cfRule type="colorScale" priority="6356">
      <colorScale>
        <cfvo type="min"/>
        <cfvo type="percentile" val="50"/>
        <cfvo type="max"/>
        <color rgb="FF63BE7B"/>
        <color rgb="FFFFEB84"/>
        <color rgb="FFF8696B"/>
      </colorScale>
    </cfRule>
  </conditionalFormatting>
  <dataValidations disablePrompts="1" count="1">
    <dataValidation type="list" operator="equal" allowBlank="1" sqref="L10 L48 L76 L69 L61 L16 L45" xr:uid="{1D869FE6-250F-47A6-8AE3-7E72B4053C2D}">
      <formula1>"ASICS GEL 11-50,ASICS GT 21-40,ASICS GT 21-60"</formula1>
      <formula2>0</formula2>
    </dataValidation>
  </dataValidations>
  <pageMargins left="0.7" right="0.7" top="0.75" bottom="0.75" header="0.3" footer="0.3"/>
  <pageSetup paperSize="9" orientation="portrait" r:id="rId1"/>
  <ignoredErrors>
    <ignoredError sqref="J13 F73"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299F3-E1D9-694B-87B4-AE6C52744D8B}">
  <sheetPr>
    <pageSetUpPr autoPageBreaks="0"/>
  </sheetPr>
  <dimension ref="A1:BR203"/>
  <sheetViews>
    <sheetView zoomScaleNormal="100" workbookViewId="0">
      <selection activeCell="G15" sqref="G15"/>
    </sheetView>
  </sheetViews>
  <sheetFormatPr baseColWidth="10" defaultColWidth="11.5" defaultRowHeight="14" x14ac:dyDescent="0.2"/>
  <cols>
    <col min="1" max="1" width="22.5" style="361" bestFit="1" customWidth="1"/>
    <col min="2" max="2" width="13.33203125" style="362" bestFit="1" customWidth="1"/>
    <col min="3" max="3" width="16.6640625" style="361" bestFit="1" customWidth="1"/>
    <col min="4" max="4" width="11.83203125" style="361" bestFit="1" customWidth="1"/>
    <col min="5" max="5" width="12.83203125" style="361" bestFit="1" customWidth="1"/>
    <col min="6" max="7" width="18.83203125" style="361" bestFit="1" customWidth="1"/>
    <col min="8" max="8" width="21.33203125" style="361" bestFit="1" customWidth="1"/>
    <col min="9" max="9" width="13.83203125" style="361" bestFit="1" customWidth="1"/>
    <col min="10" max="10" width="15.5" style="361" bestFit="1" customWidth="1"/>
    <col min="11" max="11" width="19.83203125" style="361" bestFit="1" customWidth="1"/>
    <col min="12" max="69" width="21.33203125" style="361" bestFit="1" customWidth="1"/>
    <col min="70" max="70" width="13.83203125" style="361" bestFit="1" customWidth="1"/>
    <col min="71" max="113" width="16.33203125" style="361" bestFit="1" customWidth="1"/>
    <col min="114" max="114" width="9.83203125" style="361" customWidth="1"/>
    <col min="115" max="16384" width="11.5" style="361"/>
  </cols>
  <sheetData>
    <row r="1" spans="1:11" s="365" customFormat="1" ht="16" x14ac:dyDescent="0.2">
      <c r="A1" s="369"/>
      <c r="B1" s="369"/>
      <c r="C1" s="370"/>
    </row>
    <row r="2" spans="1:11" s="365" customFormat="1" ht="16" x14ac:dyDescent="0.2">
      <c r="A2" s="370"/>
      <c r="B2" s="371"/>
      <c r="C2" s="370"/>
    </row>
    <row r="3" spans="1:11" s="365" customFormat="1" ht="16" x14ac:dyDescent="0.2">
      <c r="A3" s="363"/>
      <c r="B3" s="363"/>
      <c r="C3" s="370"/>
    </row>
    <row r="4" spans="1:11" s="365" customFormat="1" ht="16" x14ac:dyDescent="0.2">
      <c r="A4" s="363"/>
      <c r="B4" s="363"/>
      <c r="C4" s="370"/>
    </row>
    <row r="5" spans="1:11" s="365" customFormat="1" ht="16" x14ac:dyDescent="0.2">
      <c r="A5" s="363"/>
      <c r="B5" s="363"/>
      <c r="C5" s="370"/>
    </row>
    <row r="6" spans="1:11" s="365" customFormat="1" ht="16" x14ac:dyDescent="0.2">
      <c r="A6" s="363"/>
      <c r="B6" s="363"/>
      <c r="C6" s="370"/>
    </row>
    <row r="7" spans="1:11" s="365" customFormat="1" ht="16" x14ac:dyDescent="0.2">
      <c r="A7" s="363"/>
      <c r="B7" s="363"/>
      <c r="C7" s="363"/>
      <c r="D7" s="363"/>
    </row>
    <row r="8" spans="1:11" s="365" customFormat="1" ht="16" x14ac:dyDescent="0.2">
      <c r="A8" s="373" t="s">
        <v>781</v>
      </c>
      <c r="B8" s="363"/>
      <c r="C8" s="2902" t="s">
        <v>1516</v>
      </c>
      <c r="D8" s="363" t="s">
        <v>752</v>
      </c>
      <c r="E8" s="363" t="s">
        <v>910</v>
      </c>
      <c r="F8" s="363"/>
      <c r="G8" s="363"/>
    </row>
    <row r="9" spans="1:11" s="365" customFormat="1" ht="16" x14ac:dyDescent="0.2">
      <c r="A9" s="3169" t="s">
        <v>957</v>
      </c>
      <c r="B9" s="363"/>
      <c r="C9" s="2903" t="s">
        <v>953</v>
      </c>
      <c r="D9" s="364">
        <v>737.06000000000017</v>
      </c>
      <c r="E9" s="2904">
        <v>1.0754439635332376</v>
      </c>
      <c r="F9" s="363"/>
      <c r="G9" s="363"/>
    </row>
    <row r="10" spans="1:11" s="365" customFormat="1" ht="16" x14ac:dyDescent="0.2">
      <c r="A10" s="3169" t="s">
        <v>821</v>
      </c>
      <c r="B10" s="363"/>
      <c r="C10" s="2903" t="s">
        <v>958</v>
      </c>
      <c r="D10" s="364">
        <v>631.54999999999995</v>
      </c>
      <c r="E10" s="2904">
        <v>1.0838699182443328</v>
      </c>
      <c r="F10" s="363"/>
      <c r="G10" s="363"/>
    </row>
    <row r="11" spans="1:11" ht="16" x14ac:dyDescent="0.2">
      <c r="A11" s="3169" t="s">
        <v>976</v>
      </c>
      <c r="B11" s="363"/>
      <c r="C11" s="2903" t="s">
        <v>821</v>
      </c>
      <c r="D11" s="364">
        <v>413.46</v>
      </c>
      <c r="E11" s="2904">
        <v>1.0453206069512944</v>
      </c>
      <c r="F11" s="363"/>
      <c r="G11" s="363"/>
    </row>
    <row r="12" spans="1:11" ht="16" x14ac:dyDescent="0.2">
      <c r="A12" s="3170" t="s">
        <v>1462</v>
      </c>
      <c r="B12" s="369"/>
      <c r="C12" s="2903" t="s">
        <v>976</v>
      </c>
      <c r="D12" s="364">
        <v>334.76553351739818</v>
      </c>
      <c r="E12" s="2904">
        <v>1.0578804574221456</v>
      </c>
      <c r="F12" s="363"/>
      <c r="G12" s="363"/>
    </row>
    <row r="13" spans="1:11" ht="16" x14ac:dyDescent="0.2">
      <c r="A13" s="3169" t="s">
        <v>868</v>
      </c>
      <c r="B13" s="363"/>
      <c r="C13" s="2903" t="s">
        <v>1462</v>
      </c>
      <c r="D13" s="364">
        <v>223.56553351739814</v>
      </c>
      <c r="E13" s="2904">
        <v>1.0660840465563728</v>
      </c>
      <c r="F13" s="363"/>
      <c r="G13" s="363"/>
    </row>
    <row r="14" spans="1:11" ht="16" x14ac:dyDescent="0.2">
      <c r="A14" s="3170" t="s">
        <v>1465</v>
      </c>
      <c r="B14" s="363"/>
      <c r="C14" s="2903" t="s">
        <v>957</v>
      </c>
      <c r="D14" s="364">
        <v>199.25</v>
      </c>
      <c r="E14" s="2904">
        <v>1.0837418401896088</v>
      </c>
      <c r="F14" s="363"/>
      <c r="G14" s="363"/>
      <c r="H14" s="372"/>
    </row>
    <row r="15" spans="1:11" ht="16" x14ac:dyDescent="0.2">
      <c r="A15" s="3281" t="s">
        <v>1501</v>
      </c>
      <c r="B15" s="363"/>
      <c r="C15" s="2903" t="s">
        <v>868</v>
      </c>
      <c r="D15" s="364">
        <v>176.97000000000003</v>
      </c>
      <c r="E15" s="2904"/>
      <c r="F15" s="363"/>
      <c r="G15" s="363"/>
      <c r="H15" s="372"/>
    </row>
    <row r="16" spans="1:11" ht="16" x14ac:dyDescent="0.2">
      <c r="A16" s="3169" t="s">
        <v>1500</v>
      </c>
      <c r="B16" s="363"/>
      <c r="C16" s="2903" t="s">
        <v>1465</v>
      </c>
      <c r="D16" s="364">
        <v>38.489999999999995</v>
      </c>
      <c r="E16" s="2904">
        <v>1.0801666848240548</v>
      </c>
      <c r="F16" s="363"/>
      <c r="G16" s="363"/>
      <c r="H16" s="372"/>
      <c r="I16" s="363"/>
      <c r="J16" s="363"/>
      <c r="K16" s="363"/>
    </row>
    <row r="17" spans="1:70" ht="16" x14ac:dyDescent="0.2">
      <c r="A17" s="3169"/>
      <c r="B17" s="363"/>
      <c r="C17" s="2903" t="s">
        <v>1500</v>
      </c>
      <c r="D17" s="364">
        <v>29.585246913980555</v>
      </c>
      <c r="E17" s="2904">
        <v>1.0497867358613635</v>
      </c>
      <c r="F17" s="363"/>
      <c r="G17" s="363"/>
      <c r="H17" s="372"/>
      <c r="I17" s="363"/>
      <c r="J17" s="363"/>
      <c r="K17" s="363"/>
    </row>
    <row r="18" spans="1:70" x14ac:dyDescent="0.2">
      <c r="A18" s="363"/>
      <c r="B18" s="363"/>
      <c r="C18" s="2903" t="s">
        <v>1501</v>
      </c>
      <c r="D18" s="364">
        <v>17.840711356530839</v>
      </c>
      <c r="E18" s="2904">
        <v>1.0711534259245146</v>
      </c>
      <c r="F18" s="363"/>
      <c r="G18" s="363"/>
      <c r="H18" s="363"/>
      <c r="I18" s="363"/>
      <c r="J18" s="363"/>
      <c r="K18" s="363"/>
      <c r="L18" s="363"/>
      <c r="M18" s="363"/>
      <c r="N18" s="363"/>
      <c r="O18" s="363"/>
      <c r="P18" s="363"/>
      <c r="Q18" s="363"/>
      <c r="R18" s="363"/>
      <c r="S18" s="363"/>
      <c r="T18" s="363"/>
      <c r="U18" s="363"/>
      <c r="V18" s="363"/>
      <c r="W18" s="363"/>
      <c r="X18" s="363"/>
      <c r="Y18" s="363"/>
      <c r="Z18" s="363"/>
      <c r="AA18" s="363"/>
      <c r="AB18" s="363"/>
      <c r="AC18" s="363"/>
      <c r="AD18" s="363"/>
      <c r="AE18" s="363"/>
      <c r="AF18" s="363"/>
      <c r="AG18" s="363"/>
      <c r="AH18" s="363"/>
      <c r="AI18" s="363"/>
      <c r="AJ18" s="363"/>
      <c r="AK18" s="363"/>
      <c r="AL18" s="363"/>
      <c r="AM18" s="363"/>
      <c r="AN18" s="363"/>
      <c r="AO18" s="363"/>
      <c r="AP18" s="363"/>
      <c r="AQ18" s="363"/>
      <c r="AR18" s="363"/>
      <c r="AS18" s="363"/>
      <c r="AT18" s="363"/>
      <c r="AU18" s="363"/>
      <c r="AV18" s="363"/>
      <c r="AW18" s="363"/>
      <c r="AX18" s="363"/>
      <c r="AY18" s="363"/>
      <c r="AZ18" s="363"/>
      <c r="BA18" s="363"/>
      <c r="BB18" s="363"/>
      <c r="BC18" s="363"/>
      <c r="BD18" s="363"/>
      <c r="BE18" s="363"/>
      <c r="BF18" s="363"/>
      <c r="BG18" s="363"/>
      <c r="BH18" s="363"/>
      <c r="BI18" s="363"/>
      <c r="BJ18" s="363"/>
      <c r="BK18" s="363"/>
      <c r="BL18" s="363"/>
      <c r="BM18" s="363"/>
      <c r="BN18" s="363"/>
      <c r="BO18" s="363"/>
      <c r="BP18" s="363"/>
      <c r="BQ18" s="363"/>
      <c r="BR18" s="363"/>
    </row>
    <row r="19" spans="1:70" x14ac:dyDescent="0.2">
      <c r="A19" s="363"/>
      <c r="B19" s="363"/>
      <c r="C19" s="2903" t="s">
        <v>1517</v>
      </c>
      <c r="D19" s="364">
        <v>2802.5370253053065</v>
      </c>
      <c r="E19" s="2904">
        <v>1.0701054556666536</v>
      </c>
      <c r="F19" s="363"/>
      <c r="G19" s="363"/>
      <c r="H19" s="363"/>
      <c r="I19" s="363"/>
      <c r="J19" s="363"/>
      <c r="K19" s="363"/>
      <c r="L19" s="363"/>
      <c r="M19" s="363"/>
      <c r="N19" s="363"/>
      <c r="O19" s="363"/>
      <c r="P19" s="363"/>
      <c r="Q19" s="363"/>
      <c r="R19" s="363"/>
      <c r="S19" s="363"/>
      <c r="T19" s="363"/>
      <c r="U19" s="363"/>
      <c r="V19" s="363"/>
      <c r="W19" s="363"/>
      <c r="X19" s="363"/>
      <c r="Y19" s="363"/>
      <c r="Z19" s="363"/>
      <c r="AA19" s="363"/>
      <c r="AB19" s="363"/>
      <c r="AC19" s="363"/>
      <c r="AD19" s="363"/>
      <c r="AE19" s="363"/>
      <c r="AF19" s="363"/>
      <c r="AG19" s="363"/>
      <c r="AH19" s="363"/>
      <c r="AI19" s="363"/>
      <c r="AJ19" s="363"/>
      <c r="AK19" s="363"/>
      <c r="AL19" s="363"/>
      <c r="AM19" s="363"/>
      <c r="AN19" s="363"/>
      <c r="AO19" s="363"/>
      <c r="AP19" s="363"/>
      <c r="AQ19" s="363"/>
      <c r="AR19" s="363"/>
      <c r="AS19" s="363"/>
      <c r="AT19" s="363"/>
      <c r="AU19" s="363"/>
      <c r="AV19" s="363"/>
      <c r="AW19" s="363"/>
      <c r="AX19" s="363"/>
      <c r="AY19" s="363"/>
      <c r="AZ19" s="363"/>
      <c r="BA19" s="363"/>
      <c r="BB19" s="363"/>
      <c r="BC19" s="363"/>
      <c r="BD19" s="363"/>
      <c r="BE19" s="363"/>
      <c r="BF19" s="363"/>
      <c r="BG19" s="363"/>
      <c r="BH19" s="363"/>
      <c r="BI19" s="363"/>
      <c r="BJ19" s="363"/>
      <c r="BK19" s="363"/>
      <c r="BL19" s="363"/>
      <c r="BM19" s="363"/>
      <c r="BN19" s="363"/>
      <c r="BO19" s="363"/>
      <c r="BP19" s="363"/>
      <c r="BQ19" s="363"/>
      <c r="BR19" s="363"/>
    </row>
    <row r="20" spans="1:70" x14ac:dyDescent="0.2">
      <c r="B20" s="363"/>
      <c r="C20"/>
      <c r="D20"/>
      <c r="E20"/>
      <c r="F20" s="363"/>
      <c r="G20" s="363"/>
      <c r="I20" s="363"/>
      <c r="J20" s="363"/>
      <c r="K20" s="363"/>
    </row>
    <row r="21" spans="1:70" x14ac:dyDescent="0.2">
      <c r="B21" s="363"/>
      <c r="C21"/>
      <c r="D21"/>
      <c r="E21"/>
      <c r="F21" s="363"/>
      <c r="G21" s="363"/>
      <c r="I21" s="363"/>
      <c r="J21" s="363"/>
      <c r="K21" s="363"/>
    </row>
    <row r="22" spans="1:70" x14ac:dyDescent="0.2">
      <c r="B22" s="363"/>
      <c r="C22"/>
      <c r="D22"/>
      <c r="E22"/>
      <c r="F22" s="363"/>
      <c r="G22" s="363"/>
      <c r="I22" s="363"/>
      <c r="J22" s="363"/>
      <c r="K22" s="363"/>
    </row>
    <row r="23" spans="1:70" x14ac:dyDescent="0.2">
      <c r="B23" s="363"/>
      <c r="C23"/>
      <c r="D23"/>
      <c r="E23"/>
      <c r="F23" s="363"/>
      <c r="G23" s="363"/>
      <c r="I23" s="363"/>
      <c r="J23" s="363"/>
      <c r="K23" s="363"/>
    </row>
    <row r="24" spans="1:70" x14ac:dyDescent="0.2">
      <c r="C24"/>
      <c r="D24"/>
      <c r="E24"/>
      <c r="F24" s="363"/>
      <c r="G24" s="363"/>
      <c r="I24" s="363"/>
      <c r="J24" s="363"/>
      <c r="K24" s="363"/>
    </row>
    <row r="25" spans="1:70" x14ac:dyDescent="0.2">
      <c r="C25"/>
      <c r="D25"/>
      <c r="E25"/>
      <c r="F25" s="363"/>
      <c r="G25" s="363"/>
      <c r="I25" s="363"/>
      <c r="J25" s="363"/>
      <c r="K25" s="363"/>
    </row>
    <row r="26" spans="1:70" x14ac:dyDescent="0.2">
      <c r="C26" s="363"/>
      <c r="D26" s="363"/>
      <c r="E26" s="363"/>
      <c r="F26" s="363"/>
      <c r="G26" s="363"/>
      <c r="I26" s="363"/>
      <c r="J26" s="363"/>
      <c r="K26" s="363"/>
    </row>
    <row r="27" spans="1:70" x14ac:dyDescent="0.2">
      <c r="C27" s="363"/>
      <c r="D27" s="363"/>
      <c r="E27" s="363"/>
      <c r="F27" s="363"/>
      <c r="G27" s="363"/>
      <c r="I27" s="363"/>
      <c r="J27" s="363"/>
      <c r="K27" s="363"/>
    </row>
    <row r="28" spans="1:70" x14ac:dyDescent="0.2">
      <c r="C28" s="363"/>
      <c r="D28" s="363"/>
      <c r="E28" s="363"/>
      <c r="F28" s="363"/>
      <c r="G28" s="363"/>
      <c r="I28" s="363"/>
      <c r="J28" s="363"/>
      <c r="K28" s="363"/>
    </row>
    <row r="29" spans="1:70" x14ac:dyDescent="0.2">
      <c r="C29" s="363"/>
      <c r="D29" s="363"/>
      <c r="E29" s="363"/>
      <c r="F29" s="363"/>
      <c r="G29" s="363"/>
      <c r="I29" s="363"/>
      <c r="J29" s="363"/>
      <c r="K29" s="363"/>
    </row>
    <row r="30" spans="1:70" x14ac:dyDescent="0.2">
      <c r="C30" s="363"/>
      <c r="D30" s="363"/>
      <c r="E30" s="363"/>
      <c r="F30" s="363"/>
      <c r="G30" s="363"/>
      <c r="I30" s="363"/>
      <c r="J30" s="363"/>
      <c r="K30" s="363"/>
    </row>
    <row r="31" spans="1:70" x14ac:dyDescent="0.2">
      <c r="A31" s="363"/>
      <c r="C31" s="363"/>
      <c r="D31" s="363"/>
      <c r="E31" s="363"/>
      <c r="F31" s="363"/>
      <c r="G31" s="363"/>
      <c r="I31" s="363"/>
      <c r="J31" s="363"/>
      <c r="K31" s="363"/>
    </row>
    <row r="32" spans="1:70" x14ac:dyDescent="0.2">
      <c r="A32" s="363"/>
      <c r="C32" s="363"/>
      <c r="D32" s="363"/>
      <c r="E32" s="363"/>
      <c r="F32" s="363"/>
      <c r="G32" s="363"/>
      <c r="I32" s="363"/>
      <c r="J32" s="363"/>
      <c r="K32" s="363"/>
    </row>
    <row r="33" spans="1:11" x14ac:dyDescent="0.2">
      <c r="A33" s="363"/>
      <c r="C33" s="363"/>
      <c r="D33" s="363"/>
      <c r="E33" s="363"/>
      <c r="F33" s="363"/>
      <c r="G33" s="363"/>
      <c r="I33" s="363"/>
      <c r="J33" s="363"/>
      <c r="K33" s="363"/>
    </row>
    <row r="34" spans="1:11" x14ac:dyDescent="0.2">
      <c r="A34" s="363"/>
      <c r="C34" s="363"/>
      <c r="D34" s="363"/>
      <c r="E34" s="363"/>
      <c r="F34" s="363"/>
      <c r="G34" s="363"/>
      <c r="I34" s="363"/>
      <c r="J34" s="363"/>
      <c r="K34" s="363"/>
    </row>
    <row r="35" spans="1:11" x14ac:dyDescent="0.2">
      <c r="A35" s="363"/>
      <c r="B35" s="363"/>
      <c r="C35" s="363"/>
      <c r="D35" s="363"/>
      <c r="E35" s="363"/>
      <c r="F35" s="363"/>
      <c r="G35" s="363"/>
      <c r="I35" s="363"/>
      <c r="J35" s="363"/>
      <c r="K35" s="363"/>
    </row>
    <row r="36" spans="1:11" x14ac:dyDescent="0.2">
      <c r="A36" s="363"/>
      <c r="B36" s="363"/>
      <c r="C36" s="363"/>
      <c r="D36" s="363"/>
      <c r="E36" s="363"/>
      <c r="F36" s="363"/>
      <c r="G36" s="363"/>
      <c r="I36" s="363"/>
      <c r="J36" s="363"/>
      <c r="K36" s="363"/>
    </row>
    <row r="37" spans="1:11" x14ac:dyDescent="0.2">
      <c r="A37" s="363"/>
      <c r="B37" s="363"/>
      <c r="C37" s="363"/>
      <c r="D37" s="363"/>
      <c r="E37" s="363"/>
      <c r="F37" s="363"/>
      <c r="G37" s="363"/>
      <c r="I37" s="363"/>
      <c r="J37" s="363"/>
      <c r="K37" s="363"/>
    </row>
    <row r="38" spans="1:11" x14ac:dyDescent="0.2">
      <c r="A38" s="363"/>
      <c r="B38" s="363"/>
      <c r="C38" s="363"/>
      <c r="D38" s="363"/>
      <c r="E38" s="363"/>
      <c r="F38" s="363"/>
      <c r="G38" s="363"/>
      <c r="I38" s="363"/>
      <c r="J38" s="363"/>
      <c r="K38" s="363"/>
    </row>
    <row r="39" spans="1:11" x14ac:dyDescent="0.2">
      <c r="A39" s="363"/>
      <c r="B39" s="363"/>
      <c r="C39" s="363"/>
      <c r="D39" s="363"/>
      <c r="E39" s="363"/>
      <c r="F39" s="363"/>
      <c r="G39" s="363"/>
      <c r="I39" s="363"/>
      <c r="J39" s="363"/>
      <c r="K39" s="363"/>
    </row>
    <row r="40" spans="1:11" x14ac:dyDescent="0.2">
      <c r="A40" s="363"/>
      <c r="B40" s="363"/>
      <c r="C40" s="363"/>
      <c r="D40" s="363"/>
      <c r="E40" s="363"/>
      <c r="F40" s="363"/>
      <c r="G40" s="363"/>
      <c r="I40" s="363"/>
      <c r="J40" s="363"/>
      <c r="K40" s="363"/>
    </row>
    <row r="41" spans="1:11" x14ac:dyDescent="0.2">
      <c r="A41" s="363"/>
      <c r="B41" s="363"/>
      <c r="C41" s="363"/>
      <c r="D41" s="363"/>
      <c r="E41" s="363"/>
      <c r="F41" s="363"/>
      <c r="G41" s="363"/>
    </row>
    <row r="42" spans="1:11" x14ac:dyDescent="0.2">
      <c r="A42" s="363"/>
      <c r="B42" s="363"/>
      <c r="C42" s="363"/>
      <c r="D42" s="363"/>
      <c r="E42" s="363"/>
      <c r="F42" s="363"/>
      <c r="G42" s="363"/>
    </row>
    <row r="43" spans="1:11" x14ac:dyDescent="0.2">
      <c r="A43" s="363"/>
      <c r="B43" s="364"/>
      <c r="C43" s="363"/>
      <c r="D43" s="363"/>
      <c r="E43" s="363"/>
      <c r="F43" s="363"/>
      <c r="G43" s="363"/>
    </row>
    <row r="44" spans="1:11" x14ac:dyDescent="0.2">
      <c r="A44" s="363"/>
      <c r="B44" s="364"/>
      <c r="C44" s="363"/>
      <c r="D44" s="363"/>
      <c r="E44" s="363"/>
      <c r="F44" s="363"/>
      <c r="G44" s="363"/>
    </row>
    <row r="45" spans="1:11" x14ac:dyDescent="0.2">
      <c r="A45" s="363"/>
      <c r="B45" s="364"/>
      <c r="C45" s="363"/>
      <c r="D45" s="363"/>
      <c r="E45" s="363"/>
      <c r="F45" s="363"/>
      <c r="G45" s="363"/>
    </row>
    <row r="46" spans="1:11" x14ac:dyDescent="0.2">
      <c r="A46" s="363"/>
      <c r="B46" s="364"/>
      <c r="C46" s="363"/>
      <c r="D46" s="363"/>
      <c r="E46" s="363"/>
      <c r="F46" s="363"/>
      <c r="G46" s="363"/>
    </row>
    <row r="47" spans="1:11" x14ac:dyDescent="0.2">
      <c r="A47" s="363"/>
      <c r="B47" s="364"/>
      <c r="C47" s="363"/>
      <c r="D47" s="363"/>
      <c r="E47" s="363"/>
      <c r="F47" s="363"/>
      <c r="G47" s="363"/>
    </row>
    <row r="48" spans="1:11" x14ac:dyDescent="0.2">
      <c r="A48" s="363"/>
      <c r="B48" s="364"/>
      <c r="C48" s="363"/>
      <c r="D48" s="363"/>
      <c r="E48" s="363"/>
      <c r="F48" s="363"/>
      <c r="G48" s="363"/>
    </row>
    <row r="49" spans="1:7" x14ac:dyDescent="0.2">
      <c r="A49" s="363"/>
      <c r="B49" s="364"/>
      <c r="C49" s="363"/>
      <c r="D49" s="363"/>
      <c r="E49" s="363"/>
      <c r="F49" s="363"/>
      <c r="G49" s="363"/>
    </row>
    <row r="50" spans="1:7" x14ac:dyDescent="0.2">
      <c r="A50" s="363"/>
      <c r="B50" s="364"/>
      <c r="C50" s="363"/>
      <c r="D50" s="363"/>
      <c r="E50" s="363"/>
      <c r="F50" s="363"/>
      <c r="G50" s="363"/>
    </row>
    <row r="51" spans="1:7" x14ac:dyDescent="0.2">
      <c r="A51" s="363"/>
      <c r="B51" s="364"/>
      <c r="C51" s="363"/>
      <c r="D51" s="363"/>
      <c r="E51" s="363"/>
      <c r="F51" s="363"/>
      <c r="G51" s="363"/>
    </row>
    <row r="52" spans="1:7" x14ac:dyDescent="0.2">
      <c r="A52" s="363"/>
      <c r="B52" s="364"/>
      <c r="C52" s="363"/>
      <c r="D52" s="363"/>
      <c r="E52" s="363"/>
      <c r="F52" s="363"/>
      <c r="G52" s="363"/>
    </row>
    <row r="53" spans="1:7" x14ac:dyDescent="0.2">
      <c r="A53" s="363"/>
      <c r="B53" s="364"/>
      <c r="C53" s="363"/>
      <c r="D53" s="363"/>
      <c r="E53" s="363"/>
      <c r="F53" s="363"/>
      <c r="G53" s="363"/>
    </row>
    <row r="54" spans="1:7" x14ac:dyDescent="0.2">
      <c r="A54" s="363"/>
      <c r="B54" s="364"/>
      <c r="C54" s="363"/>
      <c r="D54" s="363"/>
      <c r="E54" s="363"/>
      <c r="F54" s="363"/>
      <c r="G54" s="363"/>
    </row>
    <row r="55" spans="1:7" x14ac:dyDescent="0.2">
      <c r="A55" s="363"/>
      <c r="B55" s="364"/>
      <c r="C55" s="363"/>
      <c r="D55" s="363"/>
      <c r="E55" s="363"/>
      <c r="F55" s="363"/>
      <c r="G55" s="363"/>
    </row>
    <row r="56" spans="1:7" x14ac:dyDescent="0.2">
      <c r="A56" s="363"/>
      <c r="B56" s="364"/>
      <c r="C56" s="363"/>
      <c r="D56" s="363"/>
      <c r="E56" s="363"/>
      <c r="F56" s="363"/>
      <c r="G56" s="363"/>
    </row>
    <row r="57" spans="1:7" x14ac:dyDescent="0.2">
      <c r="A57" s="363"/>
      <c r="B57" s="364"/>
      <c r="C57" s="363"/>
      <c r="D57" s="363"/>
      <c r="E57" s="363"/>
      <c r="F57" s="363"/>
      <c r="G57" s="363"/>
    </row>
    <row r="58" spans="1:7" x14ac:dyDescent="0.2">
      <c r="A58" s="363"/>
      <c r="B58" s="364"/>
      <c r="C58" s="363"/>
      <c r="D58" s="363"/>
      <c r="E58" s="363"/>
      <c r="F58" s="363"/>
      <c r="G58" s="363"/>
    </row>
    <row r="59" spans="1:7" x14ac:dyDescent="0.2">
      <c r="A59" s="363"/>
      <c r="B59" s="364"/>
      <c r="C59" s="363"/>
      <c r="D59" s="363"/>
      <c r="E59" s="363"/>
      <c r="F59" s="363"/>
      <c r="G59" s="363"/>
    </row>
    <row r="60" spans="1:7" x14ac:dyDescent="0.2">
      <c r="A60" s="363"/>
      <c r="B60" s="364"/>
      <c r="C60" s="363"/>
      <c r="D60" s="363"/>
      <c r="E60" s="363"/>
      <c r="F60" s="363"/>
      <c r="G60" s="363"/>
    </row>
    <row r="61" spans="1:7" x14ac:dyDescent="0.2">
      <c r="A61" s="363"/>
      <c r="B61" s="364"/>
      <c r="C61" s="363"/>
      <c r="D61" s="363"/>
      <c r="E61" s="363"/>
      <c r="F61" s="363"/>
      <c r="G61" s="363"/>
    </row>
    <row r="62" spans="1:7" x14ac:dyDescent="0.2">
      <c r="A62" s="363"/>
      <c r="B62" s="364"/>
      <c r="C62" s="363"/>
      <c r="D62" s="363"/>
      <c r="E62" s="363"/>
      <c r="F62" s="363"/>
      <c r="G62" s="363"/>
    </row>
    <row r="63" spans="1:7" x14ac:dyDescent="0.2">
      <c r="A63" s="363"/>
      <c r="B63" s="364"/>
      <c r="C63" s="363"/>
      <c r="D63" s="363"/>
      <c r="E63" s="363"/>
      <c r="F63" s="363"/>
      <c r="G63" s="363"/>
    </row>
    <row r="64" spans="1:7" x14ac:dyDescent="0.2">
      <c r="A64" s="363"/>
      <c r="B64" s="364"/>
      <c r="C64" s="363"/>
      <c r="D64" s="363"/>
      <c r="E64" s="363"/>
      <c r="F64" s="363"/>
      <c r="G64" s="363"/>
    </row>
    <row r="65" spans="1:7" x14ac:dyDescent="0.2">
      <c r="A65" s="363"/>
      <c r="B65" s="364"/>
      <c r="C65" s="363"/>
      <c r="D65" s="363"/>
      <c r="E65" s="363"/>
      <c r="F65" s="363"/>
      <c r="G65" s="363"/>
    </row>
    <row r="66" spans="1:7" x14ac:dyDescent="0.2">
      <c r="A66" s="363"/>
      <c r="B66" s="364"/>
      <c r="C66" s="363"/>
      <c r="D66" s="363"/>
      <c r="E66" s="363"/>
      <c r="F66" s="363"/>
      <c r="G66" s="363"/>
    </row>
    <row r="67" spans="1:7" x14ac:dyDescent="0.2">
      <c r="A67" s="363"/>
      <c r="B67" s="364"/>
      <c r="C67" s="363"/>
      <c r="D67" s="363"/>
      <c r="E67" s="363"/>
      <c r="F67" s="363"/>
      <c r="G67" s="363"/>
    </row>
    <row r="68" spans="1:7" x14ac:dyDescent="0.2">
      <c r="A68" s="363"/>
      <c r="B68" s="364"/>
      <c r="C68" s="363"/>
      <c r="D68" s="363"/>
      <c r="E68" s="363"/>
      <c r="F68" s="363"/>
      <c r="G68" s="363"/>
    </row>
    <row r="69" spans="1:7" x14ac:dyDescent="0.2">
      <c r="A69" s="363"/>
      <c r="B69" s="364"/>
      <c r="C69" s="363"/>
      <c r="D69" s="363"/>
      <c r="E69" s="363"/>
      <c r="F69" s="363"/>
      <c r="G69" s="363"/>
    </row>
    <row r="70" spans="1:7" x14ac:dyDescent="0.2">
      <c r="A70" s="363"/>
      <c r="B70" s="364"/>
      <c r="C70" s="363"/>
      <c r="D70" s="363"/>
      <c r="E70" s="363"/>
      <c r="F70" s="363"/>
      <c r="G70" s="363"/>
    </row>
    <row r="71" spans="1:7" x14ac:dyDescent="0.2">
      <c r="A71" s="363"/>
      <c r="B71" s="364"/>
      <c r="C71" s="363"/>
      <c r="D71" s="363"/>
      <c r="E71" s="363"/>
      <c r="F71" s="363"/>
      <c r="G71" s="363"/>
    </row>
    <row r="72" spans="1:7" x14ac:dyDescent="0.2">
      <c r="A72" s="363"/>
      <c r="B72" s="364"/>
      <c r="C72" s="363"/>
      <c r="D72" s="363"/>
      <c r="E72" s="363"/>
      <c r="F72" s="363"/>
      <c r="G72" s="363"/>
    </row>
    <row r="73" spans="1:7" x14ac:dyDescent="0.2">
      <c r="A73" s="363"/>
      <c r="B73" s="364"/>
      <c r="C73" s="363"/>
      <c r="D73" s="363"/>
      <c r="E73" s="363"/>
      <c r="F73" s="363"/>
      <c r="G73" s="363"/>
    </row>
    <row r="74" spans="1:7" x14ac:dyDescent="0.2">
      <c r="A74" s="363"/>
      <c r="B74" s="364"/>
      <c r="C74" s="363"/>
      <c r="D74" s="363"/>
      <c r="E74" s="363"/>
      <c r="F74" s="363"/>
      <c r="G74" s="363"/>
    </row>
    <row r="75" spans="1:7" x14ac:dyDescent="0.2">
      <c r="A75" s="363"/>
      <c r="B75" s="364"/>
      <c r="C75" s="363"/>
      <c r="D75" s="363"/>
      <c r="E75" s="363"/>
      <c r="F75" s="363"/>
      <c r="G75" s="363"/>
    </row>
    <row r="76" spans="1:7" x14ac:dyDescent="0.2">
      <c r="A76" s="363"/>
      <c r="B76" s="364"/>
      <c r="C76" s="363"/>
      <c r="D76" s="363"/>
      <c r="E76" s="363"/>
      <c r="F76" s="363"/>
      <c r="G76" s="363"/>
    </row>
    <row r="77" spans="1:7" x14ac:dyDescent="0.2">
      <c r="A77" s="363"/>
      <c r="B77" s="364"/>
      <c r="C77" s="363"/>
      <c r="D77" s="363"/>
      <c r="E77" s="363"/>
      <c r="F77" s="363"/>
      <c r="G77" s="363"/>
    </row>
    <row r="78" spans="1:7" x14ac:dyDescent="0.2">
      <c r="A78" s="363"/>
      <c r="B78" s="364"/>
      <c r="C78" s="363"/>
      <c r="D78" s="363"/>
      <c r="E78" s="363"/>
      <c r="F78" s="363"/>
      <c r="G78" s="363"/>
    </row>
    <row r="79" spans="1:7" x14ac:dyDescent="0.2">
      <c r="A79" s="363"/>
      <c r="B79" s="364"/>
      <c r="C79" s="363"/>
      <c r="D79" s="363"/>
      <c r="E79" s="363"/>
      <c r="F79" s="363"/>
      <c r="G79" s="363"/>
    </row>
    <row r="80" spans="1:7" x14ac:dyDescent="0.2">
      <c r="A80" s="363"/>
      <c r="C80" s="363"/>
      <c r="D80" s="363"/>
      <c r="E80" s="363"/>
    </row>
    <row r="81" spans="1:5" x14ac:dyDescent="0.2">
      <c r="A81" s="363"/>
      <c r="C81" s="363"/>
      <c r="D81" s="363"/>
      <c r="E81" s="363"/>
    </row>
    <row r="82" spans="1:5" x14ac:dyDescent="0.2">
      <c r="A82" s="363"/>
      <c r="C82" s="363"/>
      <c r="D82" s="363"/>
      <c r="E82" s="363"/>
    </row>
    <row r="83" spans="1:5" x14ac:dyDescent="0.2">
      <c r="A83" s="363"/>
      <c r="C83" s="363"/>
      <c r="D83" s="363"/>
      <c r="E83" s="363"/>
    </row>
    <row r="84" spans="1:5" x14ac:dyDescent="0.2">
      <c r="A84" s="363"/>
      <c r="C84" s="363"/>
      <c r="D84" s="363"/>
      <c r="E84" s="363"/>
    </row>
    <row r="85" spans="1:5" x14ac:dyDescent="0.2">
      <c r="A85" s="363"/>
      <c r="C85" s="363"/>
      <c r="D85" s="363"/>
      <c r="E85" s="363"/>
    </row>
    <row r="86" spans="1:5" x14ac:dyDescent="0.2">
      <c r="A86" s="363"/>
      <c r="C86" s="363"/>
      <c r="D86" s="363"/>
      <c r="E86" s="363"/>
    </row>
    <row r="87" spans="1:5" x14ac:dyDescent="0.2">
      <c r="A87" s="363"/>
      <c r="C87" s="363"/>
      <c r="D87" s="363"/>
      <c r="E87" s="363"/>
    </row>
    <row r="88" spans="1:5" x14ac:dyDescent="0.2">
      <c r="A88" s="363"/>
      <c r="C88" s="363"/>
      <c r="D88" s="363"/>
      <c r="E88" s="363"/>
    </row>
    <row r="89" spans="1:5" x14ac:dyDescent="0.2">
      <c r="A89" s="363"/>
      <c r="C89" s="363"/>
      <c r="D89" s="363"/>
      <c r="E89" s="363"/>
    </row>
    <row r="90" spans="1:5" x14ac:dyDescent="0.2">
      <c r="A90" s="363"/>
      <c r="C90" s="363"/>
      <c r="D90" s="363"/>
      <c r="E90" s="363"/>
    </row>
    <row r="91" spans="1:5" x14ac:dyDescent="0.2">
      <c r="A91" s="363"/>
    </row>
    <row r="92" spans="1:5" x14ac:dyDescent="0.2">
      <c r="A92" s="363"/>
    </row>
    <row r="93" spans="1:5" x14ac:dyDescent="0.2">
      <c r="A93" s="363"/>
    </row>
    <row r="94" spans="1:5" x14ac:dyDescent="0.2">
      <c r="A94" s="363"/>
    </row>
    <row r="95" spans="1:5" x14ac:dyDescent="0.2">
      <c r="A95" s="363"/>
    </row>
    <row r="96" spans="1:5" x14ac:dyDescent="0.2">
      <c r="A96" s="363"/>
    </row>
    <row r="97" spans="1:1" x14ac:dyDescent="0.2">
      <c r="A97" s="363"/>
    </row>
    <row r="98" spans="1:1" x14ac:dyDescent="0.2">
      <c r="A98" s="363"/>
    </row>
    <row r="99" spans="1:1" x14ac:dyDescent="0.2">
      <c r="A99" s="363"/>
    </row>
    <row r="100" spans="1:1" x14ac:dyDescent="0.2">
      <c r="A100" s="363"/>
    </row>
    <row r="101" spans="1:1" x14ac:dyDescent="0.2">
      <c r="A101" s="363"/>
    </row>
    <row r="102" spans="1:1" x14ac:dyDescent="0.2">
      <c r="A102" s="363"/>
    </row>
    <row r="103" spans="1:1" x14ac:dyDescent="0.2">
      <c r="A103" s="363"/>
    </row>
    <row r="104" spans="1:1" x14ac:dyDescent="0.2">
      <c r="A104" s="363"/>
    </row>
    <row r="105" spans="1:1" x14ac:dyDescent="0.2">
      <c r="A105" s="363"/>
    </row>
    <row r="106" spans="1:1" x14ac:dyDescent="0.2">
      <c r="A106" s="363"/>
    </row>
    <row r="107" spans="1:1" x14ac:dyDescent="0.2">
      <c r="A107" s="363"/>
    </row>
    <row r="108" spans="1:1" x14ac:dyDescent="0.2">
      <c r="A108" s="363"/>
    </row>
    <row r="109" spans="1:1" x14ac:dyDescent="0.2">
      <c r="A109" s="363"/>
    </row>
    <row r="110" spans="1:1" x14ac:dyDescent="0.2">
      <c r="A110" s="363"/>
    </row>
    <row r="111" spans="1:1" x14ac:dyDescent="0.2">
      <c r="A111" s="363"/>
    </row>
    <row r="112" spans="1:1" x14ac:dyDescent="0.2">
      <c r="A112" s="363"/>
    </row>
    <row r="113" spans="1:1" x14ac:dyDescent="0.2">
      <c r="A113" s="363"/>
    </row>
    <row r="114" spans="1:1" x14ac:dyDescent="0.2">
      <c r="A114" s="363"/>
    </row>
    <row r="115" spans="1:1" x14ac:dyDescent="0.2">
      <c r="A115" s="363"/>
    </row>
    <row r="116" spans="1:1" x14ac:dyDescent="0.2">
      <c r="A116" s="363"/>
    </row>
    <row r="117" spans="1:1" x14ac:dyDescent="0.2">
      <c r="A117" s="363"/>
    </row>
    <row r="118" spans="1:1" x14ac:dyDescent="0.2">
      <c r="A118" s="363"/>
    </row>
    <row r="119" spans="1:1" x14ac:dyDescent="0.2">
      <c r="A119" s="363"/>
    </row>
    <row r="120" spans="1:1" x14ac:dyDescent="0.2">
      <c r="A120" s="363"/>
    </row>
    <row r="121" spans="1:1" x14ac:dyDescent="0.2">
      <c r="A121" s="363"/>
    </row>
    <row r="122" spans="1:1" x14ac:dyDescent="0.2">
      <c r="A122" s="363"/>
    </row>
    <row r="123" spans="1:1" x14ac:dyDescent="0.2">
      <c r="A123" s="363"/>
    </row>
    <row r="124" spans="1:1" x14ac:dyDescent="0.2">
      <c r="A124" s="363"/>
    </row>
    <row r="125" spans="1:1" x14ac:dyDescent="0.2">
      <c r="A125" s="363"/>
    </row>
    <row r="126" spans="1:1" x14ac:dyDescent="0.2">
      <c r="A126" s="363"/>
    </row>
    <row r="127" spans="1:1" x14ac:dyDescent="0.2">
      <c r="A127" s="363"/>
    </row>
    <row r="128" spans="1:1" x14ac:dyDescent="0.2">
      <c r="A128" s="363"/>
    </row>
    <row r="129" spans="1:1" x14ac:dyDescent="0.2">
      <c r="A129" s="363"/>
    </row>
    <row r="130" spans="1:1" x14ac:dyDescent="0.2">
      <c r="A130" s="363"/>
    </row>
    <row r="131" spans="1:1" x14ac:dyDescent="0.2">
      <c r="A131" s="363"/>
    </row>
    <row r="132" spans="1:1" x14ac:dyDescent="0.2">
      <c r="A132" s="363"/>
    </row>
    <row r="133" spans="1:1" x14ac:dyDescent="0.2">
      <c r="A133" s="363"/>
    </row>
    <row r="134" spans="1:1" x14ac:dyDescent="0.2">
      <c r="A134" s="363"/>
    </row>
    <row r="135" spans="1:1" x14ac:dyDescent="0.2">
      <c r="A135" s="363"/>
    </row>
    <row r="136" spans="1:1" x14ac:dyDescent="0.2">
      <c r="A136" s="363"/>
    </row>
    <row r="137" spans="1:1" x14ac:dyDescent="0.2">
      <c r="A137" s="363"/>
    </row>
    <row r="138" spans="1:1" x14ac:dyDescent="0.2">
      <c r="A138" s="363"/>
    </row>
    <row r="139" spans="1:1" x14ac:dyDescent="0.2">
      <c r="A139" s="363"/>
    </row>
    <row r="140" spans="1:1" x14ac:dyDescent="0.2">
      <c r="A140" s="363"/>
    </row>
    <row r="141" spans="1:1" x14ac:dyDescent="0.2">
      <c r="A141" s="363"/>
    </row>
    <row r="142" spans="1:1" x14ac:dyDescent="0.2">
      <c r="A142" s="363"/>
    </row>
    <row r="143" spans="1:1" x14ac:dyDescent="0.2">
      <c r="A143" s="363"/>
    </row>
    <row r="144" spans="1:1" x14ac:dyDescent="0.2">
      <c r="A144" s="363"/>
    </row>
    <row r="145" spans="1:1" x14ac:dyDescent="0.2">
      <c r="A145" s="363"/>
    </row>
    <row r="146" spans="1:1" x14ac:dyDescent="0.2">
      <c r="A146" s="363"/>
    </row>
    <row r="147" spans="1:1" x14ac:dyDescent="0.2">
      <c r="A147" s="363"/>
    </row>
    <row r="148" spans="1:1" x14ac:dyDescent="0.2">
      <c r="A148" s="363"/>
    </row>
    <row r="149" spans="1:1" x14ac:dyDescent="0.2">
      <c r="A149" s="363"/>
    </row>
    <row r="150" spans="1:1" x14ac:dyDescent="0.2">
      <c r="A150" s="363"/>
    </row>
    <row r="151" spans="1:1" x14ac:dyDescent="0.2">
      <c r="A151" s="363"/>
    </row>
    <row r="152" spans="1:1" x14ac:dyDescent="0.2">
      <c r="A152" s="363"/>
    </row>
    <row r="153" spans="1:1" x14ac:dyDescent="0.2">
      <c r="A153" s="363"/>
    </row>
    <row r="154" spans="1:1" x14ac:dyDescent="0.2">
      <c r="A154" s="363"/>
    </row>
    <row r="155" spans="1:1" x14ac:dyDescent="0.2">
      <c r="A155" s="363"/>
    </row>
    <row r="156" spans="1:1" x14ac:dyDescent="0.2">
      <c r="A156" s="363"/>
    </row>
    <row r="157" spans="1:1" x14ac:dyDescent="0.2">
      <c r="A157" s="363"/>
    </row>
    <row r="158" spans="1:1" x14ac:dyDescent="0.2">
      <c r="A158" s="363"/>
    </row>
    <row r="159" spans="1:1" x14ac:dyDescent="0.2">
      <c r="A159" s="363"/>
    </row>
    <row r="160" spans="1:1" x14ac:dyDescent="0.2">
      <c r="A160" s="363"/>
    </row>
    <row r="161" spans="1:1" x14ac:dyDescent="0.2">
      <c r="A161" s="363"/>
    </row>
    <row r="162" spans="1:1" x14ac:dyDescent="0.2">
      <c r="A162" s="363"/>
    </row>
    <row r="163" spans="1:1" x14ac:dyDescent="0.2">
      <c r="A163" s="363"/>
    </row>
    <row r="164" spans="1:1" x14ac:dyDescent="0.2">
      <c r="A164" s="363"/>
    </row>
    <row r="165" spans="1:1" x14ac:dyDescent="0.2">
      <c r="A165" s="363"/>
    </row>
    <row r="166" spans="1:1" x14ac:dyDescent="0.2">
      <c r="A166" s="363"/>
    </row>
    <row r="167" spans="1:1" x14ac:dyDescent="0.2">
      <c r="A167" s="363"/>
    </row>
    <row r="168" spans="1:1" x14ac:dyDescent="0.2">
      <c r="A168" s="363"/>
    </row>
    <row r="169" spans="1:1" x14ac:dyDescent="0.2">
      <c r="A169" s="363"/>
    </row>
    <row r="170" spans="1:1" x14ac:dyDescent="0.2">
      <c r="A170" s="363"/>
    </row>
    <row r="171" spans="1:1" x14ac:dyDescent="0.2">
      <c r="A171" s="363"/>
    </row>
    <row r="172" spans="1:1" x14ac:dyDescent="0.2">
      <c r="A172" s="363"/>
    </row>
    <row r="173" spans="1:1" x14ac:dyDescent="0.2">
      <c r="A173" s="363"/>
    </row>
    <row r="174" spans="1:1" x14ac:dyDescent="0.2">
      <c r="A174" s="363"/>
    </row>
    <row r="175" spans="1:1" x14ac:dyDescent="0.2">
      <c r="A175" s="363"/>
    </row>
    <row r="176" spans="1:1" x14ac:dyDescent="0.2">
      <c r="A176" s="363"/>
    </row>
    <row r="177" spans="1:1" x14ac:dyDescent="0.2">
      <c r="A177" s="363"/>
    </row>
    <row r="178" spans="1:1" x14ac:dyDescent="0.2">
      <c r="A178" s="363"/>
    </row>
    <row r="179" spans="1:1" x14ac:dyDescent="0.2">
      <c r="A179" s="363"/>
    </row>
    <row r="180" spans="1:1" x14ac:dyDescent="0.2">
      <c r="A180" s="363"/>
    </row>
    <row r="181" spans="1:1" x14ac:dyDescent="0.2">
      <c r="A181" s="363"/>
    </row>
    <row r="182" spans="1:1" x14ac:dyDescent="0.2">
      <c r="A182" s="363"/>
    </row>
    <row r="183" spans="1:1" x14ac:dyDescent="0.2">
      <c r="A183" s="363"/>
    </row>
    <row r="184" spans="1:1" x14ac:dyDescent="0.2">
      <c r="A184" s="363"/>
    </row>
    <row r="185" spans="1:1" x14ac:dyDescent="0.2">
      <c r="A185" s="363"/>
    </row>
    <row r="186" spans="1:1" x14ac:dyDescent="0.2">
      <c r="A186" s="363"/>
    </row>
    <row r="187" spans="1:1" x14ac:dyDescent="0.2">
      <c r="A187" s="363"/>
    </row>
    <row r="188" spans="1:1" x14ac:dyDescent="0.2">
      <c r="A188" s="363"/>
    </row>
    <row r="189" spans="1:1" x14ac:dyDescent="0.2">
      <c r="A189" s="363"/>
    </row>
    <row r="190" spans="1:1" x14ac:dyDescent="0.2">
      <c r="A190" s="363"/>
    </row>
    <row r="191" spans="1:1" x14ac:dyDescent="0.2">
      <c r="A191" s="363"/>
    </row>
    <row r="192" spans="1:1" x14ac:dyDescent="0.2">
      <c r="A192" s="363"/>
    </row>
    <row r="193" spans="1:1" x14ac:dyDescent="0.2">
      <c r="A193" s="363"/>
    </row>
    <row r="194" spans="1:1" x14ac:dyDescent="0.2">
      <c r="A194" s="363"/>
    </row>
    <row r="195" spans="1:1" x14ac:dyDescent="0.2">
      <c r="A195" s="363"/>
    </row>
    <row r="196" spans="1:1" x14ac:dyDescent="0.2">
      <c r="A196" s="363"/>
    </row>
    <row r="197" spans="1:1" x14ac:dyDescent="0.2">
      <c r="A197" s="363"/>
    </row>
    <row r="198" spans="1:1" x14ac:dyDescent="0.2">
      <c r="A198" s="363"/>
    </row>
    <row r="199" spans="1:1" x14ac:dyDescent="0.2">
      <c r="A199" s="363"/>
    </row>
    <row r="200" spans="1:1" x14ac:dyDescent="0.2">
      <c r="A200" s="363"/>
    </row>
    <row r="201" spans="1:1" x14ac:dyDescent="0.2">
      <c r="A201" s="363"/>
    </row>
    <row r="202" spans="1:1" x14ac:dyDescent="0.2">
      <c r="A202" s="363"/>
    </row>
    <row r="203" spans="1:1" x14ac:dyDescent="0.2">
      <c r="A203" s="363"/>
    </row>
  </sheetData>
  <sheetProtection selectLockedCells="1" selectUnlockedCells="1"/>
  <sortState xmlns:xlrd2="http://schemas.microsoft.com/office/spreadsheetml/2017/richdata2" ref="A9:A15">
    <sortCondition ref="A9:A15"/>
  </sortState>
  <pageMargins left="0.78749999999999998" right="0.78749999999999998" top="0.78749999999999998" bottom="0.78749999999999998" header="0.51180555555555551" footer="0.51180555555555551"/>
  <pageSetup paperSize="9" firstPageNumber="0" orientation="landscape" horizontalDpi="300" verticalDpi="30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F559-67E0-4A7D-B7AE-7F2E646EE85A}">
  <dimension ref="A1:BC53"/>
  <sheetViews>
    <sheetView topLeftCell="A19" workbookViewId="0">
      <pane xSplit="1" topLeftCell="B1" activePane="topRight" state="frozen"/>
      <selection activeCell="A16" sqref="A16"/>
      <selection pane="topRight" activeCell="K58" sqref="K58"/>
    </sheetView>
  </sheetViews>
  <sheetFormatPr baseColWidth="10" defaultColWidth="8.83203125" defaultRowHeight="14" x14ac:dyDescent="0.2"/>
  <cols>
    <col min="1" max="1" width="6.33203125" style="811" bestFit="1" customWidth="1"/>
    <col min="2" max="2" width="6" style="363" bestFit="1" customWidth="1"/>
    <col min="3" max="6" width="5" style="363" bestFit="1" customWidth="1"/>
    <col min="7" max="11" width="4.83203125" style="363" bestFit="1" customWidth="1"/>
    <col min="12" max="12" width="4.83203125" style="363" customWidth="1"/>
    <col min="13" max="30" width="4.83203125" style="363" bestFit="1" customWidth="1"/>
    <col min="31" max="31" width="5.6640625" style="363" bestFit="1" customWidth="1"/>
    <col min="32" max="41" width="4.83203125" style="363" bestFit="1" customWidth="1"/>
    <col min="42" max="44" width="4.83203125" style="363" customWidth="1"/>
    <col min="45" max="45" width="4.5" style="363" bestFit="1" customWidth="1"/>
    <col min="46" max="51" width="4.83203125" style="363" bestFit="1" customWidth="1"/>
    <col min="52" max="52" width="4.5" style="363" bestFit="1" customWidth="1"/>
    <col min="53" max="53" width="4.83203125" style="363" bestFit="1" customWidth="1"/>
    <col min="54" max="54" width="6" style="363" bestFit="1" customWidth="1"/>
    <col min="55" max="16384" width="8.83203125" style="363"/>
  </cols>
  <sheetData>
    <row r="1" spans="1:55" ht="15" thickBot="1" x14ac:dyDescent="0.25">
      <c r="A1" s="806">
        <v>2018</v>
      </c>
      <c r="B1" s="807"/>
    </row>
    <row r="2" spans="1:55" s="811" customFormat="1" ht="15" thickBot="1" x14ac:dyDescent="0.25">
      <c r="A2" s="806" t="s">
        <v>690</v>
      </c>
      <c r="B2" s="808">
        <v>1</v>
      </c>
      <c r="C2" s="809">
        <v>2</v>
      </c>
      <c r="D2" s="809">
        <v>3</v>
      </c>
      <c r="E2" s="809">
        <v>4</v>
      </c>
      <c r="F2" s="809">
        <v>5</v>
      </c>
      <c r="G2" s="809">
        <v>6</v>
      </c>
      <c r="H2" s="809">
        <v>7</v>
      </c>
      <c r="I2" s="809">
        <v>8</v>
      </c>
      <c r="J2" s="809">
        <v>9</v>
      </c>
      <c r="K2" s="809">
        <v>10</v>
      </c>
      <c r="L2" s="809">
        <v>11</v>
      </c>
      <c r="M2" s="809">
        <v>12</v>
      </c>
      <c r="N2" s="809">
        <v>13</v>
      </c>
      <c r="O2" s="809">
        <v>14</v>
      </c>
      <c r="P2" s="809">
        <v>15</v>
      </c>
      <c r="Q2" s="809">
        <v>16</v>
      </c>
      <c r="R2" s="809">
        <v>17</v>
      </c>
      <c r="S2" s="809">
        <v>18</v>
      </c>
      <c r="T2" s="809">
        <v>19</v>
      </c>
      <c r="U2" s="809">
        <v>20</v>
      </c>
      <c r="V2" s="809">
        <v>21</v>
      </c>
      <c r="W2" s="809">
        <v>22</v>
      </c>
      <c r="X2" s="809">
        <v>23</v>
      </c>
      <c r="Y2" s="809">
        <v>24</v>
      </c>
      <c r="Z2" s="809">
        <v>25</v>
      </c>
      <c r="AA2" s="809">
        <v>26</v>
      </c>
      <c r="AB2" s="809">
        <v>27</v>
      </c>
      <c r="AC2" s="809">
        <v>28</v>
      </c>
      <c r="AD2" s="809">
        <v>29</v>
      </c>
      <c r="AE2" s="809">
        <v>30</v>
      </c>
      <c r="AF2" s="809">
        <v>31</v>
      </c>
      <c r="AG2" s="809">
        <v>32</v>
      </c>
      <c r="AH2" s="809">
        <v>33</v>
      </c>
      <c r="AI2" s="809">
        <v>34</v>
      </c>
      <c r="AJ2" s="809">
        <v>35</v>
      </c>
      <c r="AK2" s="809">
        <v>36</v>
      </c>
      <c r="AL2" s="809">
        <v>37</v>
      </c>
      <c r="AM2" s="809">
        <v>38</v>
      </c>
      <c r="AN2" s="809">
        <v>39</v>
      </c>
      <c r="AO2" s="809">
        <v>40</v>
      </c>
      <c r="AP2" s="809">
        <v>41</v>
      </c>
      <c r="AQ2" s="809">
        <v>42</v>
      </c>
      <c r="AR2" s="809">
        <v>43</v>
      </c>
      <c r="AS2" s="809">
        <v>44</v>
      </c>
      <c r="AT2" s="809">
        <v>45</v>
      </c>
      <c r="AU2" s="809">
        <v>46</v>
      </c>
      <c r="AV2" s="809">
        <v>47</v>
      </c>
      <c r="AW2" s="809">
        <v>48</v>
      </c>
      <c r="AX2" s="809">
        <v>49</v>
      </c>
      <c r="AY2" s="809">
        <v>50</v>
      </c>
      <c r="AZ2" s="809">
        <v>51</v>
      </c>
      <c r="BA2" s="810">
        <v>52</v>
      </c>
      <c r="BB2" s="806" t="s">
        <v>229</v>
      </c>
    </row>
    <row r="3" spans="1:55" s="361" customFormat="1" ht="15" thickBot="1" x14ac:dyDescent="0.25">
      <c r="A3" s="806" t="s">
        <v>4</v>
      </c>
      <c r="B3" s="812" t="s">
        <v>786</v>
      </c>
      <c r="C3" s="813" t="s">
        <v>870</v>
      </c>
      <c r="D3" s="814" t="s">
        <v>871</v>
      </c>
      <c r="E3" s="815" t="s">
        <v>787</v>
      </c>
      <c r="F3" s="815" t="s">
        <v>787</v>
      </c>
      <c r="G3" s="815" t="s">
        <v>787</v>
      </c>
      <c r="H3" s="815" t="s">
        <v>787</v>
      </c>
      <c r="I3" s="814" t="s">
        <v>871</v>
      </c>
      <c r="J3" s="815" t="s">
        <v>787</v>
      </c>
      <c r="K3" s="815" t="s">
        <v>787</v>
      </c>
      <c r="L3" s="815" t="s">
        <v>787</v>
      </c>
      <c r="M3" s="814" t="s">
        <v>871</v>
      </c>
      <c r="N3" s="812" t="s">
        <v>786</v>
      </c>
      <c r="O3" s="812" t="s">
        <v>786</v>
      </c>
      <c r="P3" s="812" t="s">
        <v>786</v>
      </c>
      <c r="Q3" s="812" t="s">
        <v>786</v>
      </c>
      <c r="R3" s="812" t="s">
        <v>786</v>
      </c>
      <c r="S3" s="812" t="s">
        <v>786</v>
      </c>
      <c r="T3" s="812" t="s">
        <v>786</v>
      </c>
      <c r="U3" s="812" t="s">
        <v>786</v>
      </c>
      <c r="V3" s="812" t="s">
        <v>786</v>
      </c>
      <c r="W3" s="812" t="s">
        <v>786</v>
      </c>
      <c r="X3" s="813" t="s">
        <v>870</v>
      </c>
      <c r="Y3" s="813" t="s">
        <v>870</v>
      </c>
      <c r="Z3" s="815" t="s">
        <v>787</v>
      </c>
      <c r="AA3" s="815" t="s">
        <v>787</v>
      </c>
      <c r="AB3" s="815" t="s">
        <v>787</v>
      </c>
      <c r="AC3" s="816" t="s">
        <v>788</v>
      </c>
      <c r="AD3" s="815" t="s">
        <v>787</v>
      </c>
      <c r="AE3" s="815" t="s">
        <v>787</v>
      </c>
      <c r="AF3" s="815" t="s">
        <v>787</v>
      </c>
      <c r="AG3" s="816" t="s">
        <v>788</v>
      </c>
      <c r="AH3" s="815" t="s">
        <v>787</v>
      </c>
      <c r="AI3" s="815" t="s">
        <v>787</v>
      </c>
      <c r="AJ3" s="815" t="s">
        <v>787</v>
      </c>
      <c r="AK3" s="817" t="s">
        <v>789</v>
      </c>
      <c r="AL3" s="814" t="s">
        <v>788</v>
      </c>
      <c r="AM3" s="812" t="s">
        <v>786</v>
      </c>
      <c r="AN3" s="812" t="s">
        <v>786</v>
      </c>
      <c r="AO3" s="812" t="s">
        <v>786</v>
      </c>
      <c r="AP3" s="812" t="s">
        <v>786</v>
      </c>
      <c r="AQ3" s="812" t="s">
        <v>786</v>
      </c>
      <c r="AR3" s="812" t="s">
        <v>786</v>
      </c>
      <c r="AS3" s="812" t="s">
        <v>786</v>
      </c>
      <c r="AT3" s="812" t="s">
        <v>786</v>
      </c>
      <c r="AU3" s="812" t="s">
        <v>786</v>
      </c>
      <c r="AV3" s="812" t="s">
        <v>786</v>
      </c>
      <c r="AW3" s="812" t="s">
        <v>786</v>
      </c>
      <c r="AX3" s="812" t="s">
        <v>786</v>
      </c>
      <c r="AY3" s="812" t="s">
        <v>786</v>
      </c>
      <c r="AZ3" s="812" t="s">
        <v>786</v>
      </c>
      <c r="BA3" s="812" t="s">
        <v>786</v>
      </c>
      <c r="BB3" s="818"/>
    </row>
    <row r="4" spans="1:55" s="361" customFormat="1" x14ac:dyDescent="0.2">
      <c r="A4" s="3270" t="s">
        <v>429</v>
      </c>
      <c r="B4" s="819">
        <f>'2018+'!B5</f>
        <v>7.18</v>
      </c>
      <c r="C4" s="820">
        <f>'2018+'!B12</f>
        <v>32.89</v>
      </c>
      <c r="D4" s="820">
        <f>'2018+'!B19</f>
        <v>42.980000000000004</v>
      </c>
      <c r="E4" s="820">
        <f>'2018+'!B26</f>
        <v>60.78</v>
      </c>
      <c r="F4" s="820">
        <f>'2018+'!B33</f>
        <v>70.040000000000006</v>
      </c>
      <c r="G4" s="820">
        <f>'2018+'!B40</f>
        <v>41.37</v>
      </c>
      <c r="H4" s="820">
        <f>'2018+'!B47</f>
        <v>76.11</v>
      </c>
      <c r="I4" s="820">
        <f>'2018+'!B54</f>
        <v>43.96</v>
      </c>
      <c r="J4" s="820">
        <f>'2018+'!B61</f>
        <v>75.150000000000006</v>
      </c>
      <c r="K4" s="820">
        <f>'2018+'!B68</f>
        <v>50.510000000000005</v>
      </c>
      <c r="L4" s="820">
        <f>'2018+'!B75</f>
        <v>43.800000000000004</v>
      </c>
      <c r="M4" s="820">
        <f>'2018+'!B82</f>
        <v>40.394999999999996</v>
      </c>
      <c r="N4" s="820">
        <f>'2018+'!B89</f>
        <v>26.77</v>
      </c>
      <c r="O4" s="820">
        <f>'2018+'!B96</f>
        <v>44.34</v>
      </c>
      <c r="P4" s="820">
        <f>'2018+'!B103</f>
        <v>38.200000000000003</v>
      </c>
      <c r="Q4" s="820">
        <f>'2018+'!B110</f>
        <v>28.369999999999997</v>
      </c>
      <c r="R4" s="820">
        <f>'2018+'!B117</f>
        <v>34.479999999999997</v>
      </c>
      <c r="S4" s="820">
        <f>'2018+'!B124</f>
        <v>41.81</v>
      </c>
      <c r="T4" s="820">
        <f>'2018+'!B131</f>
        <v>30.82</v>
      </c>
      <c r="U4" s="820">
        <f>'2018+'!B138</f>
        <v>18.100000000000001</v>
      </c>
      <c r="V4" s="820">
        <f>'2018+'!B145</f>
        <v>18.63</v>
      </c>
      <c r="W4" s="820">
        <f>'2018+'!B152</f>
        <v>34.08</v>
      </c>
      <c r="X4" s="820">
        <f>'2018+'!B159</f>
        <v>49.83</v>
      </c>
      <c r="Y4" s="820">
        <f>'2018+'!B166</f>
        <v>55.89</v>
      </c>
      <c r="Z4" s="820">
        <f>'2018+'!B173</f>
        <v>55.33</v>
      </c>
      <c r="AA4" s="820">
        <f>'2018+'!B180</f>
        <v>60.89</v>
      </c>
      <c r="AB4" s="820">
        <f>'2018+'!B187</f>
        <v>65.819999999999993</v>
      </c>
      <c r="AC4" s="820">
        <f>'2018+'!B194</f>
        <v>49.330000000000005</v>
      </c>
      <c r="AD4" s="820">
        <f>'2018+'!B201</f>
        <v>67.040000000000006</v>
      </c>
      <c r="AE4" s="820">
        <f>'2018+'!B208</f>
        <v>71.990000000000009</v>
      </c>
      <c r="AF4" s="820">
        <f>'2018+'!B215</f>
        <v>62.9</v>
      </c>
      <c r="AG4" s="820">
        <f>'2018+'!B222</f>
        <v>46.65</v>
      </c>
      <c r="AH4" s="820">
        <f>'2018+'!B229</f>
        <v>64.05</v>
      </c>
      <c r="AI4" s="820">
        <f>'2018+'!B236</f>
        <v>70.36</v>
      </c>
      <c r="AJ4" s="820">
        <f>'2018+'!B243</f>
        <v>79.3</v>
      </c>
      <c r="AK4" s="820">
        <f>'2018+'!B250</f>
        <v>33.200000000000003</v>
      </c>
      <c r="AL4" s="820">
        <f>'2018+'!B257</f>
        <v>33.394999999999996</v>
      </c>
      <c r="AM4" s="820">
        <f>'2018+'!B264</f>
        <v>21.48</v>
      </c>
      <c r="AN4" s="820">
        <f>'2018+'!B271</f>
        <v>20.259999999999998</v>
      </c>
      <c r="AO4" s="820">
        <f>'2018+'!B278</f>
        <v>37.230000000000004</v>
      </c>
      <c r="AP4" s="820">
        <f>'2018+'!B285</f>
        <v>28.98</v>
      </c>
      <c r="AQ4" s="820">
        <f>'2018+'!B292</f>
        <v>42.379999999999995</v>
      </c>
      <c r="AR4" s="820">
        <f>'2018+'!B299</f>
        <v>18.350000000000001</v>
      </c>
      <c r="AS4" s="820">
        <f>'2018+'!B306</f>
        <v>29.749999999999996</v>
      </c>
      <c r="AT4" s="820">
        <f>'2018+'!B313</f>
        <v>34.5</v>
      </c>
      <c r="AU4" s="820">
        <f>'2018+'!B320</f>
        <v>45.589999999999996</v>
      </c>
      <c r="AV4" s="820">
        <f>'2018+'!B327</f>
        <v>22.5</v>
      </c>
      <c r="AW4" s="820">
        <f>'2018+'!B334</f>
        <v>30.999999999999996</v>
      </c>
      <c r="AX4" s="820">
        <f>'2018+'!B341</f>
        <v>32.260000000000005</v>
      </c>
      <c r="AY4" s="820">
        <f>'2018+'!B348</f>
        <v>37.900000000000006</v>
      </c>
      <c r="AZ4" s="820">
        <f>'2018+'!B355</f>
        <v>32.44</v>
      </c>
      <c r="BA4" s="821">
        <f>'2018+'!B362</f>
        <v>19.18</v>
      </c>
      <c r="BB4" s="822">
        <f>SUM(B4:BA4)</f>
        <v>2220.5400000000004</v>
      </c>
    </row>
    <row r="5" spans="1:55" s="361" customFormat="1" ht="15" thickBot="1" x14ac:dyDescent="0.25">
      <c r="A5" s="3271" t="s">
        <v>628</v>
      </c>
      <c r="B5" s="823">
        <f>'2018+'!B7</f>
        <v>42</v>
      </c>
      <c r="C5" s="824">
        <f>'2018+'!B14</f>
        <v>203</v>
      </c>
      <c r="D5" s="824">
        <f>'2018+'!B21</f>
        <v>263</v>
      </c>
      <c r="E5" s="824">
        <f>'2018+'!B28</f>
        <v>360</v>
      </c>
      <c r="F5" s="824">
        <f>'2018+'!B35</f>
        <v>398</v>
      </c>
      <c r="G5" s="824">
        <f>'2018+'!B42</f>
        <v>260</v>
      </c>
      <c r="H5" s="824">
        <f>'2018+'!B49</f>
        <v>464</v>
      </c>
      <c r="I5" s="824">
        <f>'2018+'!B56</f>
        <v>284</v>
      </c>
      <c r="J5" s="824">
        <f>'2018+'!B63</f>
        <v>453</v>
      </c>
      <c r="K5" s="824">
        <f>'2018+'!B70</f>
        <v>330</v>
      </c>
      <c r="L5" s="824">
        <f>'2018+'!B77</f>
        <v>264</v>
      </c>
      <c r="M5" s="824">
        <f>'2018+'!B84</f>
        <v>259</v>
      </c>
      <c r="N5" s="824">
        <f>'2018+'!B91</f>
        <v>147</v>
      </c>
      <c r="O5" s="824">
        <f>'2018+'!B98</f>
        <v>256</v>
      </c>
      <c r="P5" s="824">
        <f>'2018+'!B105</f>
        <v>215</v>
      </c>
      <c r="Q5" s="824">
        <f>'2018+'!B112</f>
        <v>159</v>
      </c>
      <c r="R5" s="824">
        <f>'2018+'!B119</f>
        <v>206</v>
      </c>
      <c r="S5" s="824">
        <f>'2018+'!B126</f>
        <v>255</v>
      </c>
      <c r="T5" s="824">
        <f>'2018+'!B133</f>
        <v>179</v>
      </c>
      <c r="U5" s="824">
        <f>'2018+'!B140</f>
        <v>115</v>
      </c>
      <c r="V5" s="824">
        <f>'2018+'!B147</f>
        <v>107</v>
      </c>
      <c r="W5" s="824">
        <f>'2018+'!B154</f>
        <v>200</v>
      </c>
      <c r="X5" s="824">
        <f>'2018+'!B161</f>
        <v>292</v>
      </c>
      <c r="Y5" s="824">
        <f>'2018+'!B168</f>
        <v>322</v>
      </c>
      <c r="Z5" s="824">
        <f>'2018+'!B175</f>
        <v>326</v>
      </c>
      <c r="AA5" s="824">
        <f>'2018+'!B182</f>
        <v>361</v>
      </c>
      <c r="AB5" s="824">
        <f>'2018+'!B189</f>
        <v>406</v>
      </c>
      <c r="AC5" s="824">
        <f>'2018+'!B196</f>
        <v>278</v>
      </c>
      <c r="AD5" s="824">
        <f>'2018+'!B203</f>
        <v>405</v>
      </c>
      <c r="AE5" s="824">
        <f>'2018+'!B210</f>
        <v>439</v>
      </c>
      <c r="AF5" s="824">
        <f>'2018+'!B217</f>
        <v>392</v>
      </c>
      <c r="AG5" s="824">
        <f>'2018+'!B224</f>
        <v>278</v>
      </c>
      <c r="AH5" s="824">
        <f>'2018+'!B231</f>
        <v>377</v>
      </c>
      <c r="AI5" s="824">
        <f>'2018+'!B238</f>
        <v>425</v>
      </c>
      <c r="AJ5" s="824">
        <f>'2018+'!B245</f>
        <v>479</v>
      </c>
      <c r="AK5" s="824">
        <f>'2018+'!B252</f>
        <v>192</v>
      </c>
      <c r="AL5" s="824">
        <f>'2018+'!B259</f>
        <v>215</v>
      </c>
      <c r="AM5" s="824">
        <f>'2018+'!B266</f>
        <v>131</v>
      </c>
      <c r="AN5" s="824">
        <f>'2018+'!B273</f>
        <v>120</v>
      </c>
      <c r="AO5" s="824">
        <f>'2018+'!B280</f>
        <v>230</v>
      </c>
      <c r="AP5" s="824">
        <f>'2018+'!B287</f>
        <v>179</v>
      </c>
      <c r="AQ5" s="824">
        <f>'2018+'!B294</f>
        <v>255</v>
      </c>
      <c r="AR5" s="824">
        <f>'2018+'!B301</f>
        <v>112</v>
      </c>
      <c r="AS5" s="824">
        <f>'2018+'!B308</f>
        <v>188</v>
      </c>
      <c r="AT5" s="824">
        <f>'2018+'!B315</f>
        <v>218</v>
      </c>
      <c r="AU5" s="824">
        <f>'2018+'!B322</f>
        <v>280</v>
      </c>
      <c r="AV5" s="824">
        <f>'2018+'!B329</f>
        <v>135</v>
      </c>
      <c r="AW5" s="824">
        <f>'2018+'!B336</f>
        <v>199</v>
      </c>
      <c r="AX5" s="824">
        <f>'2018+'!B343</f>
        <v>194</v>
      </c>
      <c r="AY5" s="824">
        <f>'2018+'!B350</f>
        <v>229</v>
      </c>
      <c r="AZ5" s="824">
        <f>'2018+'!B357</f>
        <v>205</v>
      </c>
      <c r="BA5" s="825">
        <f>'2018+'!B364</f>
        <v>116</v>
      </c>
      <c r="BB5" s="826">
        <f t="shared" ref="BB5:BB6" si="0">SUM(B5:BA5)</f>
        <v>13397</v>
      </c>
    </row>
    <row r="6" spans="1:55" s="362" customFormat="1" ht="15" thickBot="1" x14ac:dyDescent="0.25">
      <c r="A6" s="3272" t="s">
        <v>860</v>
      </c>
      <c r="B6" s="827">
        <v>57</v>
      </c>
      <c r="C6" s="828">
        <v>284</v>
      </c>
      <c r="D6" s="828">
        <v>374</v>
      </c>
      <c r="E6" s="828">
        <v>482</v>
      </c>
      <c r="F6" s="828">
        <v>491</v>
      </c>
      <c r="G6" s="828">
        <v>253</v>
      </c>
      <c r="H6" s="828">
        <v>552</v>
      </c>
      <c r="I6" s="828">
        <v>356</v>
      </c>
      <c r="J6" s="828">
        <v>548</v>
      </c>
      <c r="K6" s="828">
        <v>415</v>
      </c>
      <c r="L6" s="828">
        <v>306</v>
      </c>
      <c r="M6" s="828">
        <v>320</v>
      </c>
      <c r="N6" s="828">
        <v>202</v>
      </c>
      <c r="O6" s="828">
        <v>300</v>
      </c>
      <c r="P6" s="828">
        <v>251</v>
      </c>
      <c r="Q6" s="828">
        <v>198</v>
      </c>
      <c r="R6" s="828">
        <v>244</v>
      </c>
      <c r="S6" s="828">
        <v>274</v>
      </c>
      <c r="T6" s="828">
        <v>228</v>
      </c>
      <c r="U6" s="828">
        <v>161</v>
      </c>
      <c r="V6" s="828">
        <v>151</v>
      </c>
      <c r="W6" s="828">
        <v>230</v>
      </c>
      <c r="X6" s="828">
        <v>391</v>
      </c>
      <c r="Y6" s="828">
        <v>469</v>
      </c>
      <c r="Z6" s="828">
        <v>396</v>
      </c>
      <c r="AA6" s="828">
        <v>478</v>
      </c>
      <c r="AB6" s="828">
        <v>506</v>
      </c>
      <c r="AC6" s="828">
        <v>264</v>
      </c>
      <c r="AD6" s="828">
        <v>504</v>
      </c>
      <c r="AE6" s="828">
        <v>578</v>
      </c>
      <c r="AF6" s="828">
        <v>496</v>
      </c>
      <c r="AG6" s="828">
        <v>262</v>
      </c>
      <c r="AH6" s="828">
        <v>484</v>
      </c>
      <c r="AI6" s="828">
        <v>467</v>
      </c>
      <c r="AJ6" s="828">
        <v>586</v>
      </c>
      <c r="AK6" s="828">
        <v>210</v>
      </c>
      <c r="AL6" s="828">
        <v>323</v>
      </c>
      <c r="AM6" s="828">
        <v>153</v>
      </c>
      <c r="AN6" s="828">
        <v>140</v>
      </c>
      <c r="AO6" s="828">
        <v>280</v>
      </c>
      <c r="AP6" s="828">
        <v>212</v>
      </c>
      <c r="AQ6" s="828">
        <v>270</v>
      </c>
      <c r="AR6" s="828">
        <v>168</v>
      </c>
      <c r="AS6" s="828">
        <v>231</v>
      </c>
      <c r="AT6" s="828">
        <v>265</v>
      </c>
      <c r="AU6" s="828">
        <v>342</v>
      </c>
      <c r="AV6" s="828">
        <v>177</v>
      </c>
      <c r="AW6" s="828">
        <v>233</v>
      </c>
      <c r="AX6" s="828">
        <v>239</v>
      </c>
      <c r="AY6" s="828">
        <v>362</v>
      </c>
      <c r="AZ6" s="828">
        <v>224</v>
      </c>
      <c r="BA6" s="829">
        <v>128</v>
      </c>
      <c r="BB6" s="802">
        <f t="shared" si="0"/>
        <v>16515</v>
      </c>
    </row>
    <row r="7" spans="1:55" s="362" customFormat="1" ht="15" thickBot="1" x14ac:dyDescent="0.25">
      <c r="A7" s="3273" t="s">
        <v>872</v>
      </c>
      <c r="B7" s="830">
        <f t="shared" ref="B7:M7" si="1">B6/B5</f>
        <v>1.3571428571428572</v>
      </c>
      <c r="C7" s="830">
        <f t="shared" si="1"/>
        <v>1.3990147783251232</v>
      </c>
      <c r="D7" s="830">
        <f t="shared" si="1"/>
        <v>1.4220532319391634</v>
      </c>
      <c r="E7" s="830">
        <f t="shared" si="1"/>
        <v>1.3388888888888888</v>
      </c>
      <c r="F7" s="830">
        <f t="shared" si="1"/>
        <v>1.2336683417085428</v>
      </c>
      <c r="G7" s="830">
        <f t="shared" si="1"/>
        <v>0.97307692307692306</v>
      </c>
      <c r="H7" s="830">
        <f t="shared" si="1"/>
        <v>1.1896551724137931</v>
      </c>
      <c r="I7" s="830">
        <f t="shared" si="1"/>
        <v>1.2535211267605635</v>
      </c>
      <c r="J7" s="830">
        <f t="shared" si="1"/>
        <v>1.2097130242825607</v>
      </c>
      <c r="K7" s="830">
        <f t="shared" si="1"/>
        <v>1.2575757575757576</v>
      </c>
      <c r="L7" s="830">
        <f t="shared" si="1"/>
        <v>1.1590909090909092</v>
      </c>
      <c r="M7" s="830">
        <f t="shared" si="1"/>
        <v>1.2355212355212355</v>
      </c>
      <c r="N7" s="830">
        <f>N6/N5</f>
        <v>1.3741496598639455</v>
      </c>
      <c r="O7" s="830">
        <f t="shared" ref="O7:BB7" si="2">O6/O5</f>
        <v>1.171875</v>
      </c>
      <c r="P7" s="830">
        <f t="shared" si="2"/>
        <v>1.1674418604651162</v>
      </c>
      <c r="Q7" s="830">
        <f t="shared" si="2"/>
        <v>1.2452830188679245</v>
      </c>
      <c r="R7" s="830">
        <f t="shared" si="2"/>
        <v>1.1844660194174756</v>
      </c>
      <c r="S7" s="830">
        <f t="shared" si="2"/>
        <v>1.0745098039215686</v>
      </c>
      <c r="T7" s="830">
        <f t="shared" si="2"/>
        <v>1.2737430167597765</v>
      </c>
      <c r="U7" s="830">
        <f t="shared" si="2"/>
        <v>1.4</v>
      </c>
      <c r="V7" s="830">
        <f t="shared" si="2"/>
        <v>1.4112149532710281</v>
      </c>
      <c r="W7" s="830">
        <f t="shared" si="2"/>
        <v>1.1499999999999999</v>
      </c>
      <c r="X7" s="830">
        <f t="shared" si="2"/>
        <v>1.3390410958904109</v>
      </c>
      <c r="Y7" s="830">
        <f t="shared" si="2"/>
        <v>1.4565217391304348</v>
      </c>
      <c r="Z7" s="830">
        <f t="shared" si="2"/>
        <v>1.2147239263803682</v>
      </c>
      <c r="AA7" s="830">
        <f t="shared" si="2"/>
        <v>1.3240997229916898</v>
      </c>
      <c r="AB7" s="830">
        <f t="shared" si="2"/>
        <v>1.2463054187192117</v>
      </c>
      <c r="AC7" s="830">
        <f t="shared" si="2"/>
        <v>0.94964028776978415</v>
      </c>
      <c r="AD7" s="830">
        <f t="shared" si="2"/>
        <v>1.2444444444444445</v>
      </c>
      <c r="AE7" s="830">
        <f t="shared" si="2"/>
        <v>1.316628701594533</v>
      </c>
      <c r="AF7" s="830">
        <f t="shared" si="2"/>
        <v>1.2653061224489797</v>
      </c>
      <c r="AG7" s="830">
        <f t="shared" si="2"/>
        <v>0.94244604316546765</v>
      </c>
      <c r="AH7" s="830">
        <f t="shared" si="2"/>
        <v>1.2838196286472148</v>
      </c>
      <c r="AI7" s="830">
        <f t="shared" si="2"/>
        <v>1.0988235294117648</v>
      </c>
      <c r="AJ7" s="830">
        <f t="shared" si="2"/>
        <v>1.2233820459290188</v>
      </c>
      <c r="AK7" s="830">
        <f t="shared" si="2"/>
        <v>1.09375</v>
      </c>
      <c r="AL7" s="830">
        <f t="shared" si="2"/>
        <v>1.5023255813953489</v>
      </c>
      <c r="AM7" s="830">
        <f t="shared" si="2"/>
        <v>1.16793893129771</v>
      </c>
      <c r="AN7" s="830">
        <f t="shared" si="2"/>
        <v>1.1666666666666667</v>
      </c>
      <c r="AO7" s="830">
        <f t="shared" si="2"/>
        <v>1.2173913043478262</v>
      </c>
      <c r="AP7" s="830">
        <f t="shared" si="2"/>
        <v>1.1843575418994414</v>
      </c>
      <c r="AQ7" s="830">
        <f t="shared" si="2"/>
        <v>1.0588235294117647</v>
      </c>
      <c r="AR7" s="830">
        <f t="shared" si="2"/>
        <v>1.5</v>
      </c>
      <c r="AS7" s="830">
        <f t="shared" si="2"/>
        <v>1.2287234042553192</v>
      </c>
      <c r="AT7" s="830">
        <f t="shared" si="2"/>
        <v>1.2155963302752293</v>
      </c>
      <c r="AU7" s="830">
        <f t="shared" si="2"/>
        <v>1.2214285714285715</v>
      </c>
      <c r="AV7" s="830">
        <f t="shared" si="2"/>
        <v>1.3111111111111111</v>
      </c>
      <c r="AW7" s="830">
        <f t="shared" si="2"/>
        <v>1.170854271356784</v>
      </c>
      <c r="AX7" s="830">
        <f t="shared" si="2"/>
        <v>1.231958762886598</v>
      </c>
      <c r="AY7" s="830">
        <f t="shared" si="2"/>
        <v>1.5807860262008733</v>
      </c>
      <c r="AZ7" s="830">
        <f t="shared" si="2"/>
        <v>1.0926829268292684</v>
      </c>
      <c r="BA7" s="831">
        <f t="shared" si="2"/>
        <v>1.103448275862069</v>
      </c>
      <c r="BB7" s="801">
        <f t="shared" si="2"/>
        <v>1.2327386728372023</v>
      </c>
      <c r="BC7" s="1026"/>
    </row>
    <row r="8" spans="1:55" ht="15" thickBot="1" x14ac:dyDescent="0.25">
      <c r="A8" s="806">
        <v>2019</v>
      </c>
      <c r="B8" s="833"/>
    </row>
    <row r="9" spans="1:55" s="811" customFormat="1" ht="15" thickBot="1" x14ac:dyDescent="0.25">
      <c r="A9" s="806" t="s">
        <v>690</v>
      </c>
      <c r="B9" s="808">
        <v>1</v>
      </c>
      <c r="C9" s="809">
        <v>2</v>
      </c>
      <c r="D9" s="809">
        <v>3</v>
      </c>
      <c r="E9" s="809">
        <v>4</v>
      </c>
      <c r="F9" s="809">
        <v>5</v>
      </c>
      <c r="G9" s="809">
        <v>6</v>
      </c>
      <c r="H9" s="809">
        <v>7</v>
      </c>
      <c r="I9" s="809">
        <v>8</v>
      </c>
      <c r="J9" s="809">
        <v>9</v>
      </c>
      <c r="K9" s="809">
        <v>10</v>
      </c>
      <c r="L9" s="809">
        <v>11</v>
      </c>
      <c r="M9" s="809">
        <v>12</v>
      </c>
      <c r="N9" s="809">
        <v>13</v>
      </c>
      <c r="O9" s="809">
        <v>14</v>
      </c>
      <c r="P9" s="809">
        <v>15</v>
      </c>
      <c r="Q9" s="809">
        <v>16</v>
      </c>
      <c r="R9" s="809">
        <v>17</v>
      </c>
      <c r="S9" s="809">
        <v>18</v>
      </c>
      <c r="T9" s="809">
        <v>19</v>
      </c>
      <c r="U9" s="809">
        <v>20</v>
      </c>
      <c r="V9" s="809">
        <v>21</v>
      </c>
      <c r="W9" s="809">
        <v>22</v>
      </c>
      <c r="X9" s="809">
        <v>23</v>
      </c>
      <c r="Y9" s="809">
        <v>24</v>
      </c>
      <c r="Z9" s="809">
        <v>25</v>
      </c>
      <c r="AA9" s="809">
        <v>26</v>
      </c>
      <c r="AB9" s="809">
        <v>27</v>
      </c>
      <c r="AC9" s="809">
        <v>28</v>
      </c>
      <c r="AD9" s="809">
        <v>29</v>
      </c>
      <c r="AE9" s="809">
        <v>30</v>
      </c>
      <c r="AF9" s="809">
        <v>31</v>
      </c>
      <c r="AG9" s="809">
        <v>32</v>
      </c>
      <c r="AH9" s="809">
        <v>33</v>
      </c>
      <c r="AI9" s="809">
        <v>34</v>
      </c>
      <c r="AJ9" s="809">
        <v>35</v>
      </c>
      <c r="AK9" s="809">
        <v>36</v>
      </c>
      <c r="AL9" s="809">
        <v>37</v>
      </c>
      <c r="AM9" s="809">
        <v>38</v>
      </c>
      <c r="AN9" s="809">
        <v>39</v>
      </c>
      <c r="AO9" s="809">
        <v>40</v>
      </c>
      <c r="AP9" s="809">
        <v>41</v>
      </c>
      <c r="AQ9" s="809">
        <v>42</v>
      </c>
      <c r="AR9" s="809">
        <v>43</v>
      </c>
      <c r="AS9" s="809">
        <v>44</v>
      </c>
      <c r="AT9" s="809">
        <v>45</v>
      </c>
      <c r="AU9" s="809">
        <v>46</v>
      </c>
      <c r="AV9" s="809">
        <v>47</v>
      </c>
      <c r="AW9" s="809">
        <v>48</v>
      </c>
      <c r="AX9" s="809">
        <v>49</v>
      </c>
      <c r="AY9" s="809">
        <v>50</v>
      </c>
      <c r="AZ9" s="809">
        <v>51</v>
      </c>
      <c r="BA9" s="834">
        <v>52</v>
      </c>
      <c r="BB9" s="806" t="s">
        <v>229</v>
      </c>
    </row>
    <row r="10" spans="1:55" s="361" customFormat="1" ht="15" thickBot="1" x14ac:dyDescent="0.25">
      <c r="A10" s="806" t="s">
        <v>4</v>
      </c>
      <c r="B10" s="813" t="s">
        <v>870</v>
      </c>
      <c r="C10" s="813" t="s">
        <v>870</v>
      </c>
      <c r="D10" s="814" t="s">
        <v>871</v>
      </c>
      <c r="E10" s="813" t="s">
        <v>870</v>
      </c>
      <c r="F10" s="813" t="s">
        <v>870</v>
      </c>
      <c r="G10" s="813" t="s">
        <v>870</v>
      </c>
      <c r="H10" s="813" t="s">
        <v>870</v>
      </c>
      <c r="I10" s="814" t="s">
        <v>871</v>
      </c>
      <c r="J10" s="812" t="s">
        <v>786</v>
      </c>
      <c r="K10" s="815" t="s">
        <v>787</v>
      </c>
      <c r="L10" s="815" t="s">
        <v>787</v>
      </c>
      <c r="M10" s="815" t="s">
        <v>787</v>
      </c>
      <c r="N10" s="816" t="s">
        <v>788</v>
      </c>
      <c r="O10" s="815" t="s">
        <v>787</v>
      </c>
      <c r="P10" s="815" t="s">
        <v>787</v>
      </c>
      <c r="Q10" s="815" t="s">
        <v>787</v>
      </c>
      <c r="R10" s="816" t="s">
        <v>788</v>
      </c>
      <c r="S10" s="815" t="s">
        <v>787</v>
      </c>
      <c r="T10" s="815" t="s">
        <v>787</v>
      </c>
      <c r="U10" s="815" t="s">
        <v>787</v>
      </c>
      <c r="V10" s="817" t="s">
        <v>789</v>
      </c>
      <c r="W10" s="814" t="s">
        <v>788</v>
      </c>
      <c r="X10" s="812" t="s">
        <v>786</v>
      </c>
      <c r="Y10" s="812" t="s">
        <v>786</v>
      </c>
      <c r="Z10" s="812" t="s">
        <v>786</v>
      </c>
      <c r="AA10" s="812" t="s">
        <v>786</v>
      </c>
      <c r="AB10" s="812" t="s">
        <v>786</v>
      </c>
      <c r="AC10" s="812" t="s">
        <v>786</v>
      </c>
      <c r="AD10" s="812" t="s">
        <v>786</v>
      </c>
      <c r="AE10" s="812" t="s">
        <v>786</v>
      </c>
      <c r="AF10" s="812" t="s">
        <v>786</v>
      </c>
      <c r="AG10" s="812" t="s">
        <v>786</v>
      </c>
      <c r="AH10" s="815" t="s">
        <v>787</v>
      </c>
      <c r="AI10" s="815" t="s">
        <v>787</v>
      </c>
      <c r="AJ10" s="815" t="s">
        <v>787</v>
      </c>
      <c r="AK10" s="815" t="s">
        <v>787</v>
      </c>
      <c r="AL10" s="815" t="s">
        <v>787</v>
      </c>
      <c r="AM10" s="815" t="s">
        <v>787</v>
      </c>
      <c r="AN10" s="815" t="s">
        <v>787</v>
      </c>
      <c r="AO10" s="815" t="s">
        <v>787</v>
      </c>
      <c r="AP10" s="814" t="s">
        <v>788</v>
      </c>
      <c r="AQ10" s="812" t="s">
        <v>786</v>
      </c>
      <c r="AR10" s="812" t="s">
        <v>786</v>
      </c>
      <c r="AS10" s="812" t="s">
        <v>786</v>
      </c>
      <c r="AT10" s="812" t="s">
        <v>786</v>
      </c>
      <c r="AU10" s="812" t="s">
        <v>786</v>
      </c>
      <c r="AV10" s="812" t="s">
        <v>786</v>
      </c>
      <c r="AW10" s="812" t="s">
        <v>786</v>
      </c>
      <c r="AX10" s="812" t="s">
        <v>786</v>
      </c>
      <c r="AY10" s="812" t="s">
        <v>786</v>
      </c>
      <c r="AZ10" s="812" t="s">
        <v>786</v>
      </c>
      <c r="BA10" s="812" t="s">
        <v>786</v>
      </c>
      <c r="BB10" s="818"/>
    </row>
    <row r="11" spans="1:55" s="361" customFormat="1" x14ac:dyDescent="0.2">
      <c r="A11" s="3270" t="s">
        <v>429</v>
      </c>
      <c r="B11" s="819">
        <f>'2018+'!B369</f>
        <v>47.5</v>
      </c>
      <c r="C11" s="820">
        <f>'2018+'!B376</f>
        <v>38.260000000000005</v>
      </c>
      <c r="D11" s="820">
        <f>'2018+'!B383</f>
        <v>27.64</v>
      </c>
      <c r="E11" s="820">
        <f>'2018+'!B390</f>
        <v>41</v>
      </c>
      <c r="F11" s="820">
        <f>'2018+'!B397</f>
        <v>45.949999999999996</v>
      </c>
      <c r="G11" s="820">
        <f>'2018+'!B404</f>
        <v>49.489999999999995</v>
      </c>
      <c r="H11" s="820">
        <f>'2018+'!B411</f>
        <v>46.07</v>
      </c>
      <c r="I11" s="820">
        <f>'2018+'!B418</f>
        <v>46.739999999999995</v>
      </c>
      <c r="J11" s="820">
        <f>'2018+'!B425</f>
        <v>10.58</v>
      </c>
      <c r="K11" s="820">
        <f>'2018+'!B432</f>
        <v>64.66</v>
      </c>
      <c r="L11" s="820">
        <f>'2018+'!B439</f>
        <v>64.05</v>
      </c>
      <c r="M11" s="820">
        <f>'2018+'!B446</f>
        <v>61.6</v>
      </c>
      <c r="N11" s="820">
        <f>'2018+'!B453</f>
        <v>43.4</v>
      </c>
      <c r="O11" s="820">
        <f>'2018+'!B460</f>
        <v>70.02</v>
      </c>
      <c r="P11" s="820">
        <f>'2018+'!B467</f>
        <v>72.16</v>
      </c>
      <c r="Q11" s="820">
        <f>'2018+'!B474</f>
        <v>73.3</v>
      </c>
      <c r="R11" s="820">
        <f>'2018+'!B481</f>
        <v>36.22</v>
      </c>
      <c r="S11" s="820">
        <f>'2018+'!B488</f>
        <v>69.819999999999993</v>
      </c>
      <c r="T11" s="820">
        <f>'2018+'!B495</f>
        <v>68.08</v>
      </c>
      <c r="U11" s="820">
        <f>'2018+'!B502</f>
        <v>74.739999999999995</v>
      </c>
      <c r="V11" s="820">
        <f>'2018+'!B509</f>
        <v>35.47</v>
      </c>
      <c r="W11" s="820">
        <f>'2018+'!B516</f>
        <v>27.299999999999997</v>
      </c>
      <c r="X11" s="820">
        <f>'2018+'!B523</f>
        <v>0</v>
      </c>
      <c r="Y11" s="820">
        <f>'2018+'!B530</f>
        <v>25.259999999999998</v>
      </c>
      <c r="Z11" s="820">
        <f>'2018+'!B537</f>
        <v>8.2899999999999991</v>
      </c>
      <c r="AA11" s="820">
        <f>'2018+'!B544</f>
        <v>15.27</v>
      </c>
      <c r="AB11" s="820">
        <f>'2018+'!B551</f>
        <v>8.32</v>
      </c>
      <c r="AC11" s="820">
        <f>'2018+'!B558</f>
        <v>8.0399999999999991</v>
      </c>
      <c r="AD11" s="820">
        <f>'2018+'!B565</f>
        <v>17.2</v>
      </c>
      <c r="AE11" s="820">
        <f>'2018+'!B572</f>
        <v>29.03</v>
      </c>
      <c r="AF11" s="820">
        <f>'2018+'!B579</f>
        <v>21.2</v>
      </c>
      <c r="AG11" s="820">
        <f>'2018+'!B586</f>
        <v>23.65</v>
      </c>
      <c r="AH11" s="820">
        <f>'2018+'!B593</f>
        <v>40.489999999999995</v>
      </c>
      <c r="AI11" s="820">
        <f>'2018+'!B600</f>
        <v>43.45</v>
      </c>
      <c r="AJ11" s="820">
        <f>'2018+'!B607</f>
        <v>48.37</v>
      </c>
      <c r="AK11" s="820">
        <f>'2018+'!B614</f>
        <v>33.78</v>
      </c>
      <c r="AL11" s="820">
        <f>'2018+'!B621</f>
        <v>20.700000000000003</v>
      </c>
      <c r="AM11" s="820">
        <f>'2018+'!B628</f>
        <v>36.229999999999997</v>
      </c>
      <c r="AN11" s="820">
        <f>'2018+'!B635</f>
        <v>39.15</v>
      </c>
      <c r="AO11" s="820">
        <f>'2018+'!B642</f>
        <v>28.6</v>
      </c>
      <c r="AP11" s="820">
        <f>'2018+'!B649</f>
        <v>37.03</v>
      </c>
      <c r="AQ11" s="820">
        <f>'2018+'!B656</f>
        <v>11.1</v>
      </c>
      <c r="AR11" s="820">
        <f>'2018+'!B663</f>
        <v>31.04</v>
      </c>
      <c r="AS11" s="820">
        <f>'2018+'!B670</f>
        <v>21.98</v>
      </c>
      <c r="AT11" s="820">
        <f>'2018+'!B677</f>
        <v>36.03</v>
      </c>
      <c r="AU11" s="820">
        <f>'2018+'!B684</f>
        <v>29.869999999999997</v>
      </c>
      <c r="AV11" s="820">
        <f>'2018+'!B691</f>
        <v>21.939999999999998</v>
      </c>
      <c r="AW11" s="820">
        <f>'2018+'!B698</f>
        <v>33.299999999999997</v>
      </c>
      <c r="AX11" s="820">
        <f>'2018+'!B705</f>
        <v>10.68</v>
      </c>
      <c r="AY11" s="820">
        <f>'2018+'!B712</f>
        <v>17.86</v>
      </c>
      <c r="AZ11" s="820">
        <f>'2018+'!B719</f>
        <v>16.899999999999999</v>
      </c>
      <c r="BA11" s="821">
        <f>'2018+'!B726</f>
        <v>17.619999999999997</v>
      </c>
      <c r="BB11" s="822">
        <f>SUM(B11:BA11)</f>
        <v>1846.4299999999994</v>
      </c>
    </row>
    <row r="12" spans="1:55" s="361" customFormat="1" ht="15" thickBot="1" x14ac:dyDescent="0.25">
      <c r="A12" s="3271" t="s">
        <v>628</v>
      </c>
      <c r="B12" s="823">
        <f>'2018+'!B371</f>
        <v>311</v>
      </c>
      <c r="C12" s="824">
        <f>'2018+'!B378</f>
        <v>238</v>
      </c>
      <c r="D12" s="824">
        <f>'2018+'!B385</f>
        <v>191</v>
      </c>
      <c r="E12" s="824">
        <f>'2018+'!B392</f>
        <v>262</v>
      </c>
      <c r="F12" s="824">
        <f>'2018+'!B399</f>
        <v>300</v>
      </c>
      <c r="G12" s="824">
        <f>'2018+'!B406</f>
        <v>318</v>
      </c>
      <c r="H12" s="824">
        <f>'2018+'!B413</f>
        <v>307</v>
      </c>
      <c r="I12" s="824">
        <f>'2018+'!B420</f>
        <v>312</v>
      </c>
      <c r="J12" s="824">
        <f>'2018+'!B427</f>
        <v>63</v>
      </c>
      <c r="K12" s="824">
        <f>'2018+'!B434</f>
        <v>398</v>
      </c>
      <c r="L12" s="824">
        <f>'2018+'!B441</f>
        <v>404</v>
      </c>
      <c r="M12" s="824">
        <f>'2018+'!B448</f>
        <v>376</v>
      </c>
      <c r="N12" s="824">
        <f>'2018+'!B455</f>
        <v>259</v>
      </c>
      <c r="O12" s="824">
        <f>'2018+'!B462</f>
        <v>422</v>
      </c>
      <c r="P12" s="824">
        <f>'2018+'!B469</f>
        <v>429</v>
      </c>
      <c r="Q12" s="824">
        <f>'2018+'!B476</f>
        <v>438</v>
      </c>
      <c r="R12" s="824">
        <f>'2018+'!B483</f>
        <v>207</v>
      </c>
      <c r="S12" s="824">
        <f>'2018+'!B490</f>
        <v>409</v>
      </c>
      <c r="T12" s="824">
        <f>'2018+'!B497</f>
        <v>396</v>
      </c>
      <c r="U12" s="824">
        <f>'2018+'!B504</f>
        <v>431</v>
      </c>
      <c r="V12" s="824">
        <f>'2018+'!B511</f>
        <v>270</v>
      </c>
      <c r="W12" s="824">
        <f>'2018+'!B518</f>
        <v>167</v>
      </c>
      <c r="X12" s="824">
        <f>'2018+'!B525</f>
        <v>0</v>
      </c>
      <c r="Y12" s="824">
        <f>'2018+'!B532</f>
        <v>137</v>
      </c>
      <c r="Z12" s="824">
        <f>'2018+'!B539</f>
        <v>45</v>
      </c>
      <c r="AA12" s="824">
        <f>'2018+'!B546</f>
        <v>86</v>
      </c>
      <c r="AB12" s="824">
        <f>'2018+'!B553</f>
        <v>45</v>
      </c>
      <c r="AC12" s="824">
        <f>'2018+'!B560</f>
        <v>46</v>
      </c>
      <c r="AD12" s="824">
        <f>'2018+'!B567</f>
        <v>94</v>
      </c>
      <c r="AE12" s="824">
        <f>'2018+'!B574</f>
        <v>160</v>
      </c>
      <c r="AF12" s="824">
        <f>'2018+'!B581</f>
        <v>119</v>
      </c>
      <c r="AG12" s="824">
        <f>'2018+'!B588</f>
        <v>131</v>
      </c>
      <c r="AH12" s="824">
        <f>'2018+'!B595</f>
        <v>229</v>
      </c>
      <c r="AI12" s="824">
        <f>'2018+'!B602</f>
        <v>247</v>
      </c>
      <c r="AJ12" s="824">
        <f>'2018+'!B609</f>
        <v>267</v>
      </c>
      <c r="AK12" s="824">
        <f>'2018+'!B616</f>
        <v>191</v>
      </c>
      <c r="AL12" s="824">
        <f>'2018+'!B623</f>
        <v>122</v>
      </c>
      <c r="AM12" s="824">
        <f>'2018+'!B630</f>
        <v>214</v>
      </c>
      <c r="AN12" s="824">
        <f>'2018+'!B637</f>
        <v>225</v>
      </c>
      <c r="AO12" s="824">
        <f>'2018+'!B644</f>
        <v>172</v>
      </c>
      <c r="AP12" s="824">
        <f>'2018+'!B651</f>
        <v>216</v>
      </c>
      <c r="AQ12" s="824">
        <f>'2018+'!B658</f>
        <v>72</v>
      </c>
      <c r="AR12" s="824">
        <f>'2018+'!B665</f>
        <v>207</v>
      </c>
      <c r="AS12" s="824">
        <f>'2018+'!B672</f>
        <v>148</v>
      </c>
      <c r="AT12" s="824">
        <f>'2018+'!B679</f>
        <v>239</v>
      </c>
      <c r="AU12" s="824">
        <f>'2018+'!B686</f>
        <v>193</v>
      </c>
      <c r="AV12" s="824">
        <f>'2018+'!B693</f>
        <v>141</v>
      </c>
      <c r="AW12" s="824">
        <f>'2018+'!B700</f>
        <v>221</v>
      </c>
      <c r="AX12" s="824">
        <f>'2018+'!B707</f>
        <v>72</v>
      </c>
      <c r="AY12" s="824">
        <f>'2018+'!B714</f>
        <v>118</v>
      </c>
      <c r="AZ12" s="824">
        <f>'2018+'!B721</f>
        <v>107</v>
      </c>
      <c r="BA12" s="825">
        <f>'2018+'!B728</f>
        <v>118</v>
      </c>
      <c r="BB12" s="826">
        <f t="shared" ref="BB12:BB13" si="3">SUM(B12:BA12)</f>
        <v>11290</v>
      </c>
    </row>
    <row r="13" spans="1:55" s="362" customFormat="1" ht="15" thickBot="1" x14ac:dyDescent="0.25">
      <c r="A13" s="3274" t="s">
        <v>860</v>
      </c>
      <c r="B13" s="835">
        <v>414</v>
      </c>
      <c r="C13" s="836">
        <v>290</v>
      </c>
      <c r="D13" s="836">
        <v>241</v>
      </c>
      <c r="E13" s="836">
        <v>303</v>
      </c>
      <c r="F13" s="836">
        <v>373</v>
      </c>
      <c r="G13" s="836">
        <v>337</v>
      </c>
      <c r="H13" s="836">
        <v>257</v>
      </c>
      <c r="I13" s="836">
        <v>376</v>
      </c>
      <c r="J13" s="836">
        <v>58</v>
      </c>
      <c r="K13" s="836">
        <v>513</v>
      </c>
      <c r="L13" s="836">
        <v>450</v>
      </c>
      <c r="M13" s="836">
        <v>397</v>
      </c>
      <c r="N13" s="836">
        <v>255</v>
      </c>
      <c r="O13" s="836">
        <v>501</v>
      </c>
      <c r="P13" s="836">
        <v>476</v>
      </c>
      <c r="Q13" s="836">
        <v>568</v>
      </c>
      <c r="R13" s="836">
        <v>287</v>
      </c>
      <c r="S13" s="836">
        <v>569</v>
      </c>
      <c r="T13" s="836">
        <v>578</v>
      </c>
      <c r="U13" s="836">
        <v>636</v>
      </c>
      <c r="V13" s="836">
        <v>353</v>
      </c>
      <c r="W13" s="836">
        <v>285</v>
      </c>
      <c r="X13" s="836">
        <v>0</v>
      </c>
      <c r="Y13" s="836">
        <v>212</v>
      </c>
      <c r="Z13" s="836">
        <v>61</v>
      </c>
      <c r="AA13" s="836">
        <v>120</v>
      </c>
      <c r="AB13" s="836">
        <v>77</v>
      </c>
      <c r="AC13" s="836">
        <v>77</v>
      </c>
      <c r="AD13" s="836">
        <v>185</v>
      </c>
      <c r="AE13" s="836">
        <v>237</v>
      </c>
      <c r="AF13" s="836">
        <v>148</v>
      </c>
      <c r="AG13" s="836">
        <v>252</v>
      </c>
      <c r="AH13" s="836">
        <v>358</v>
      </c>
      <c r="AI13" s="836">
        <v>433</v>
      </c>
      <c r="AJ13" s="836">
        <v>427</v>
      </c>
      <c r="AK13" s="836">
        <v>299</v>
      </c>
      <c r="AL13" s="836">
        <v>194</v>
      </c>
      <c r="AM13" s="836">
        <v>334</v>
      </c>
      <c r="AN13" s="836">
        <v>350</v>
      </c>
      <c r="AO13" s="836">
        <v>217</v>
      </c>
      <c r="AP13" s="836">
        <v>380</v>
      </c>
      <c r="AQ13" s="836">
        <v>94</v>
      </c>
      <c r="AR13" s="836">
        <v>250</v>
      </c>
      <c r="AS13" s="836">
        <v>189</v>
      </c>
      <c r="AT13" s="836">
        <v>311</v>
      </c>
      <c r="AU13" s="836">
        <v>265</v>
      </c>
      <c r="AV13" s="836">
        <v>132</v>
      </c>
      <c r="AW13" s="836">
        <v>311</v>
      </c>
      <c r="AX13" s="836">
        <v>99</v>
      </c>
      <c r="AY13" s="836">
        <v>197</v>
      </c>
      <c r="AZ13" s="836">
        <v>160</v>
      </c>
      <c r="BA13" s="837">
        <v>169</v>
      </c>
      <c r="BB13" s="832">
        <f t="shared" si="3"/>
        <v>15055</v>
      </c>
    </row>
    <row r="14" spans="1:55" s="362" customFormat="1" ht="15" thickBot="1" x14ac:dyDescent="0.25">
      <c r="A14" s="3273" t="s">
        <v>872</v>
      </c>
      <c r="B14" s="830">
        <f t="shared" ref="B14" si="4">B13/B12</f>
        <v>1.3311897106109325</v>
      </c>
      <c r="C14" s="830">
        <f t="shared" ref="C14" si="5">C13/C12</f>
        <v>1.2184873949579831</v>
      </c>
      <c r="D14" s="830">
        <f t="shared" ref="D14" si="6">D13/D12</f>
        <v>1.2617801047120418</v>
      </c>
      <c r="E14" s="830">
        <f t="shared" ref="E14" si="7">E13/E12</f>
        <v>1.1564885496183206</v>
      </c>
      <c r="F14" s="830">
        <f t="shared" ref="F14" si="8">F13/F12</f>
        <v>1.2433333333333334</v>
      </c>
      <c r="G14" s="830">
        <f t="shared" ref="G14" si="9">G13/G12</f>
        <v>1.0597484276729561</v>
      </c>
      <c r="H14" s="830">
        <f t="shared" ref="H14" si="10">H13/H12</f>
        <v>0.83713355048859939</v>
      </c>
      <c r="I14" s="830">
        <f t="shared" ref="I14" si="11">I13/I12</f>
        <v>1.2051282051282051</v>
      </c>
      <c r="J14" s="830">
        <f t="shared" ref="J14" si="12">J13/J12</f>
        <v>0.92063492063492058</v>
      </c>
      <c r="K14" s="830">
        <f t="shared" ref="K14" si="13">K13/K12</f>
        <v>1.2889447236180904</v>
      </c>
      <c r="L14" s="830">
        <f t="shared" ref="L14" si="14">L13/L12</f>
        <v>1.113861386138614</v>
      </c>
      <c r="M14" s="830">
        <f t="shared" ref="M14" si="15">M13/M12</f>
        <v>1.0558510638297873</v>
      </c>
      <c r="N14" s="830">
        <f>N13/N12</f>
        <v>0.98455598455598459</v>
      </c>
      <c r="O14" s="830">
        <f t="shared" ref="O14" si="16">O13/O12</f>
        <v>1.1872037914691944</v>
      </c>
      <c r="P14" s="830">
        <f t="shared" ref="P14" si="17">P13/P12</f>
        <v>1.1095571095571095</v>
      </c>
      <c r="Q14" s="830">
        <f t="shared" ref="Q14" si="18">Q13/Q12</f>
        <v>1.2968036529680365</v>
      </c>
      <c r="R14" s="830">
        <f t="shared" ref="R14" si="19">R13/R12</f>
        <v>1.3864734299516908</v>
      </c>
      <c r="S14" s="830">
        <f t="shared" ref="S14" si="20">S13/S12</f>
        <v>1.39119804400978</v>
      </c>
      <c r="T14" s="830">
        <f t="shared" ref="T14" si="21">T13/T12</f>
        <v>1.4595959595959596</v>
      </c>
      <c r="U14" s="830">
        <f t="shared" ref="U14" si="22">U13/U12</f>
        <v>1.4756380510440836</v>
      </c>
      <c r="V14" s="830">
        <f t="shared" ref="V14" si="23">V13/V12</f>
        <v>1.3074074074074074</v>
      </c>
      <c r="W14" s="830">
        <f t="shared" ref="W14" si="24">W13/W12</f>
        <v>1.7065868263473054</v>
      </c>
      <c r="X14" s="830">
        <v>0</v>
      </c>
      <c r="Y14" s="830">
        <f t="shared" ref="Y14" si="25">Y13/Y12</f>
        <v>1.5474452554744527</v>
      </c>
      <c r="Z14" s="830">
        <f t="shared" ref="Z14" si="26">Z13/Z12</f>
        <v>1.3555555555555556</v>
      </c>
      <c r="AA14" s="830">
        <f t="shared" ref="AA14" si="27">AA13/AA12</f>
        <v>1.3953488372093024</v>
      </c>
      <c r="AB14" s="830">
        <f t="shared" ref="AB14" si="28">AB13/AB12</f>
        <v>1.711111111111111</v>
      </c>
      <c r="AC14" s="830">
        <f t="shared" ref="AC14" si="29">AC13/AC12</f>
        <v>1.673913043478261</v>
      </c>
      <c r="AD14" s="830">
        <f t="shared" ref="AD14" si="30">AD13/AD12</f>
        <v>1.9680851063829787</v>
      </c>
      <c r="AE14" s="830">
        <f t="shared" ref="AE14" si="31">AE13/AE12</f>
        <v>1.48125</v>
      </c>
      <c r="AF14" s="830">
        <f t="shared" ref="AF14" si="32">AF13/AF12</f>
        <v>1.2436974789915967</v>
      </c>
      <c r="AG14" s="830">
        <f t="shared" ref="AG14" si="33">AG13/AG12</f>
        <v>1.9236641221374047</v>
      </c>
      <c r="AH14" s="830">
        <f t="shared" ref="AH14" si="34">AH13/AH12</f>
        <v>1.5633187772925765</v>
      </c>
      <c r="AI14" s="830">
        <f t="shared" ref="AI14" si="35">AI13/AI12</f>
        <v>1.7530364372469636</v>
      </c>
      <c r="AJ14" s="830">
        <f t="shared" ref="AJ14" si="36">AJ13/AJ12</f>
        <v>1.5992509363295879</v>
      </c>
      <c r="AK14" s="830">
        <f t="shared" ref="AK14" si="37">AK13/AK12</f>
        <v>1.5654450261780104</v>
      </c>
      <c r="AL14" s="830">
        <f t="shared" ref="AL14" si="38">AL13/AL12</f>
        <v>1.5901639344262295</v>
      </c>
      <c r="AM14" s="830">
        <f t="shared" ref="AM14" si="39">AM13/AM12</f>
        <v>1.5607476635514019</v>
      </c>
      <c r="AN14" s="830">
        <f t="shared" ref="AN14" si="40">AN13/AN12</f>
        <v>1.5555555555555556</v>
      </c>
      <c r="AO14" s="830">
        <f t="shared" ref="AO14" si="41">AO13/AO12</f>
        <v>1.2616279069767442</v>
      </c>
      <c r="AP14" s="830">
        <f t="shared" ref="AP14" si="42">AP13/AP12</f>
        <v>1.7592592592592593</v>
      </c>
      <c r="AQ14" s="830">
        <f t="shared" ref="AQ14" si="43">AQ13/AQ12</f>
        <v>1.3055555555555556</v>
      </c>
      <c r="AR14" s="830">
        <f t="shared" ref="AR14" si="44">AR13/AR12</f>
        <v>1.2077294685990339</v>
      </c>
      <c r="AS14" s="830">
        <f t="shared" ref="AS14" si="45">AS13/AS12</f>
        <v>1.277027027027027</v>
      </c>
      <c r="AT14" s="830">
        <f t="shared" ref="AT14" si="46">AT13/AT12</f>
        <v>1.3012552301255229</v>
      </c>
      <c r="AU14" s="830">
        <f t="shared" ref="AU14" si="47">AU13/AU12</f>
        <v>1.3730569948186528</v>
      </c>
      <c r="AV14" s="830">
        <f t="shared" ref="AV14" si="48">AV13/AV12</f>
        <v>0.93617021276595747</v>
      </c>
      <c r="AW14" s="830">
        <f t="shared" ref="AW14" si="49">AW13/AW12</f>
        <v>1.407239819004525</v>
      </c>
      <c r="AX14" s="830">
        <f t="shared" ref="AX14" si="50">AX13/AX12</f>
        <v>1.375</v>
      </c>
      <c r="AY14" s="830">
        <f t="shared" ref="AY14" si="51">AY13/AY12</f>
        <v>1.6694915254237288</v>
      </c>
      <c r="AZ14" s="830">
        <f t="shared" ref="AZ14" si="52">AZ13/AZ12</f>
        <v>1.4953271028037383</v>
      </c>
      <c r="BA14" s="831">
        <f t="shared" ref="BA14:BB14" si="53">BA13/BA12</f>
        <v>1.4322033898305084</v>
      </c>
      <c r="BB14" s="801">
        <f t="shared" si="53"/>
        <v>1.33348095659876</v>
      </c>
      <c r="BC14" s="1026"/>
    </row>
    <row r="15" spans="1:55" ht="15" thickBot="1" x14ac:dyDescent="0.25">
      <c r="A15" s="806">
        <v>2020</v>
      </c>
      <c r="B15" s="807"/>
    </row>
    <row r="16" spans="1:55" s="811" customFormat="1" ht="15" thickBot="1" x14ac:dyDescent="0.25">
      <c r="A16" s="806" t="s">
        <v>690</v>
      </c>
      <c r="B16" s="808">
        <v>1</v>
      </c>
      <c r="C16" s="809">
        <v>2</v>
      </c>
      <c r="D16" s="809">
        <v>3</v>
      </c>
      <c r="E16" s="809">
        <v>4</v>
      </c>
      <c r="F16" s="809">
        <v>5</v>
      </c>
      <c r="G16" s="809">
        <v>6</v>
      </c>
      <c r="H16" s="809">
        <v>7</v>
      </c>
      <c r="I16" s="809">
        <v>8</v>
      </c>
      <c r="J16" s="809">
        <v>9</v>
      </c>
      <c r="K16" s="809">
        <v>10</v>
      </c>
      <c r="L16" s="809">
        <v>11</v>
      </c>
      <c r="M16" s="809">
        <v>12</v>
      </c>
      <c r="N16" s="809">
        <v>13</v>
      </c>
      <c r="O16" s="809">
        <v>14</v>
      </c>
      <c r="P16" s="809">
        <v>15</v>
      </c>
      <c r="Q16" s="809">
        <v>16</v>
      </c>
      <c r="R16" s="809">
        <v>17</v>
      </c>
      <c r="S16" s="809">
        <v>18</v>
      </c>
      <c r="T16" s="809">
        <v>19</v>
      </c>
      <c r="U16" s="809">
        <v>20</v>
      </c>
      <c r="V16" s="809">
        <v>21</v>
      </c>
      <c r="W16" s="809">
        <v>22</v>
      </c>
      <c r="X16" s="809">
        <v>23</v>
      </c>
      <c r="Y16" s="809">
        <v>24</v>
      </c>
      <c r="Z16" s="809">
        <v>25</v>
      </c>
      <c r="AA16" s="809">
        <v>26</v>
      </c>
      <c r="AB16" s="809">
        <v>27</v>
      </c>
      <c r="AC16" s="809">
        <v>28</v>
      </c>
      <c r="AD16" s="809">
        <v>29</v>
      </c>
      <c r="AE16" s="809">
        <v>30</v>
      </c>
      <c r="AF16" s="809">
        <v>31</v>
      </c>
      <c r="AG16" s="809">
        <v>32</v>
      </c>
      <c r="AH16" s="809">
        <v>33</v>
      </c>
      <c r="AI16" s="809">
        <v>34</v>
      </c>
      <c r="AJ16" s="809">
        <v>35</v>
      </c>
      <c r="AK16" s="809">
        <v>36</v>
      </c>
      <c r="AL16" s="809">
        <v>37</v>
      </c>
      <c r="AM16" s="809">
        <v>38</v>
      </c>
      <c r="AN16" s="809">
        <v>39</v>
      </c>
      <c r="AO16" s="809">
        <v>40</v>
      </c>
      <c r="AP16" s="809">
        <v>41</v>
      </c>
      <c r="AQ16" s="809">
        <v>42</v>
      </c>
      <c r="AR16" s="809">
        <v>43</v>
      </c>
      <c r="AS16" s="809">
        <v>44</v>
      </c>
      <c r="AT16" s="809">
        <v>45</v>
      </c>
      <c r="AU16" s="809">
        <v>46</v>
      </c>
      <c r="AV16" s="809">
        <v>47</v>
      </c>
      <c r="AW16" s="809">
        <v>48</v>
      </c>
      <c r="AX16" s="809">
        <v>49</v>
      </c>
      <c r="AY16" s="809">
        <v>50</v>
      </c>
      <c r="AZ16" s="809">
        <v>51</v>
      </c>
      <c r="BA16" s="834">
        <v>52</v>
      </c>
      <c r="BB16" s="806" t="s">
        <v>229</v>
      </c>
    </row>
    <row r="17" spans="1:55" s="361" customFormat="1" ht="15" thickBot="1" x14ac:dyDescent="0.25">
      <c r="A17" s="806" t="s">
        <v>4</v>
      </c>
      <c r="B17" s="812" t="s">
        <v>786</v>
      </c>
      <c r="C17" s="812" t="s">
        <v>786</v>
      </c>
      <c r="D17" s="812" t="s">
        <v>786</v>
      </c>
      <c r="E17" s="812" t="s">
        <v>786</v>
      </c>
      <c r="F17" s="812" t="s">
        <v>786</v>
      </c>
      <c r="G17" s="812" t="s">
        <v>786</v>
      </c>
      <c r="H17" s="812" t="s">
        <v>786</v>
      </c>
      <c r="I17" s="812" t="s">
        <v>786</v>
      </c>
      <c r="J17" s="812" t="s">
        <v>786</v>
      </c>
      <c r="K17" s="812" t="s">
        <v>786</v>
      </c>
      <c r="L17" s="838" t="s">
        <v>828</v>
      </c>
      <c r="M17" s="838" t="s">
        <v>828</v>
      </c>
      <c r="N17" s="838" t="s">
        <v>828</v>
      </c>
      <c r="O17" s="816" t="s">
        <v>788</v>
      </c>
      <c r="P17" s="838" t="s">
        <v>828</v>
      </c>
      <c r="Q17" s="838" t="s">
        <v>828</v>
      </c>
      <c r="R17" s="838" t="s">
        <v>828</v>
      </c>
      <c r="S17" s="816" t="s">
        <v>788</v>
      </c>
      <c r="T17" s="838" t="s">
        <v>828</v>
      </c>
      <c r="U17" s="838" t="s">
        <v>828</v>
      </c>
      <c r="V17" s="838" t="s">
        <v>828</v>
      </c>
      <c r="W17" s="816" t="s">
        <v>788</v>
      </c>
      <c r="X17" s="838" t="s">
        <v>828</v>
      </c>
      <c r="Y17" s="838" t="s">
        <v>828</v>
      </c>
      <c r="Z17" s="838" t="s">
        <v>828</v>
      </c>
      <c r="AA17" s="812" t="s">
        <v>786</v>
      </c>
      <c r="AB17" s="812" t="s">
        <v>786</v>
      </c>
      <c r="AC17" s="812" t="s">
        <v>786</v>
      </c>
      <c r="AD17" s="812" t="s">
        <v>786</v>
      </c>
      <c r="AE17" s="812" t="s">
        <v>786</v>
      </c>
      <c r="AF17" s="815" t="s">
        <v>787</v>
      </c>
      <c r="AG17" s="815" t="s">
        <v>787</v>
      </c>
      <c r="AH17" s="815" t="s">
        <v>787</v>
      </c>
      <c r="AI17" s="816" t="s">
        <v>788</v>
      </c>
      <c r="AJ17" s="815" t="s">
        <v>787</v>
      </c>
      <c r="AK17" s="815" t="s">
        <v>787</v>
      </c>
      <c r="AL17" s="816" t="s">
        <v>788</v>
      </c>
      <c r="AM17" s="816" t="s">
        <v>788</v>
      </c>
      <c r="AN17" s="815" t="s">
        <v>787</v>
      </c>
      <c r="AO17" s="815" t="s">
        <v>787</v>
      </c>
      <c r="AP17" s="815" t="s">
        <v>787</v>
      </c>
      <c r="AQ17" s="817" t="s">
        <v>789</v>
      </c>
      <c r="AR17" s="814" t="s">
        <v>788</v>
      </c>
      <c r="AS17" s="812" t="s">
        <v>786</v>
      </c>
      <c r="AT17" s="812" t="s">
        <v>786</v>
      </c>
      <c r="AU17" s="812" t="s">
        <v>786</v>
      </c>
      <c r="AV17" s="812" t="s">
        <v>786</v>
      </c>
      <c r="AW17" s="812" t="s">
        <v>786</v>
      </c>
      <c r="AX17" s="812" t="s">
        <v>786</v>
      </c>
      <c r="AY17" s="812" t="s">
        <v>786</v>
      </c>
      <c r="AZ17" s="812" t="s">
        <v>786</v>
      </c>
      <c r="BA17" s="812" t="s">
        <v>786</v>
      </c>
      <c r="BB17" s="818"/>
    </row>
    <row r="18" spans="1:55" s="361" customFormat="1" x14ac:dyDescent="0.2">
      <c r="A18" s="3270" t="s">
        <v>429</v>
      </c>
      <c r="B18" s="819">
        <f>'2018+'!B733</f>
        <v>32.480000000000004</v>
      </c>
      <c r="C18" s="820">
        <f>'2018+'!B740</f>
        <v>18.66</v>
      </c>
      <c r="D18" s="820">
        <f>'2018+'!B747</f>
        <v>27.14</v>
      </c>
      <c r="E18" s="820">
        <f>'2018+'!B754</f>
        <v>32.28</v>
      </c>
      <c r="F18" s="820">
        <f>'2018+'!B761</f>
        <v>41.72</v>
      </c>
      <c r="G18" s="820">
        <f>'2018+'!B768</f>
        <v>30.740000000000002</v>
      </c>
      <c r="H18" s="820">
        <f>'2018+'!B775</f>
        <v>39.71</v>
      </c>
      <c r="I18" s="820">
        <f>'2018+'!B782</f>
        <v>19.78</v>
      </c>
      <c r="J18" s="820">
        <f>'2018+'!B789</f>
        <v>21.73</v>
      </c>
      <c r="K18" s="820">
        <f>'2018+'!B796</f>
        <v>35.199999999999996</v>
      </c>
      <c r="L18" s="820">
        <f>'2018+'!B803</f>
        <v>42.069999999999993</v>
      </c>
      <c r="M18" s="820">
        <f>'2018+'!B810</f>
        <v>43.18</v>
      </c>
      <c r="N18" s="820">
        <f>'2018+'!B817</f>
        <v>49.27</v>
      </c>
      <c r="O18" s="820">
        <f>'2018+'!B824</f>
        <v>33.950000000000003</v>
      </c>
      <c r="P18" s="820">
        <f>'2018+'!B831</f>
        <v>45.7</v>
      </c>
      <c r="Q18" s="820">
        <f>'2018+'!B838</f>
        <v>45.7</v>
      </c>
      <c r="R18" s="820">
        <f>'2018+'!B845</f>
        <v>51.15</v>
      </c>
      <c r="S18" s="820">
        <f>'2018+'!B852</f>
        <v>33.75</v>
      </c>
      <c r="T18" s="820">
        <f>'2018+'!B859</f>
        <v>50.620000000000005</v>
      </c>
      <c r="U18" s="820">
        <f>'2018+'!B866</f>
        <v>51.71</v>
      </c>
      <c r="V18" s="820">
        <f>'2018+'!B873</f>
        <v>55.129999999999995</v>
      </c>
      <c r="W18" s="820">
        <f>'2018+'!B880</f>
        <v>35.18</v>
      </c>
      <c r="X18" s="820">
        <f>'2018+'!B887</f>
        <v>54.41</v>
      </c>
      <c r="Y18" s="820">
        <f>'2018+'!B894</f>
        <v>57.16</v>
      </c>
      <c r="Z18" s="820">
        <f>'2018+'!B901</f>
        <v>59</v>
      </c>
      <c r="AA18" s="820">
        <f>'2018+'!B908</f>
        <v>27.259999999999998</v>
      </c>
      <c r="AB18" s="820">
        <f>'2018+'!B915</f>
        <v>28.729999999999997</v>
      </c>
      <c r="AC18" s="820">
        <f>'2018+'!B922</f>
        <v>42.17</v>
      </c>
      <c r="AD18" s="820">
        <f>'2018+'!B929</f>
        <v>41.04</v>
      </c>
      <c r="AE18" s="820">
        <f>'2018+'!B936</f>
        <v>35.78</v>
      </c>
      <c r="AF18" s="820">
        <f>'2018+'!B943</f>
        <v>46.11</v>
      </c>
      <c r="AG18" s="820">
        <f>'2018+'!B950</f>
        <v>51.67</v>
      </c>
      <c r="AH18" s="820">
        <f>'2018+'!B957</f>
        <v>51.41</v>
      </c>
      <c r="AI18" s="820">
        <f>'2018+'!B964</f>
        <v>30.86</v>
      </c>
      <c r="AJ18" s="820">
        <f>'2018+'!B971</f>
        <v>50.99</v>
      </c>
      <c r="AK18" s="820">
        <f>'2018+'!B978</f>
        <v>54.65</v>
      </c>
      <c r="AL18" s="820">
        <f>'2018+'!B985</f>
        <v>35.69</v>
      </c>
      <c r="AM18" s="820">
        <f>'2018+'!B992</f>
        <v>38.599999999999994</v>
      </c>
      <c r="AN18" s="820">
        <f>'2018+'!B999</f>
        <v>47.160000000000004</v>
      </c>
      <c r="AO18" s="820">
        <f>'2018+'!B1006</f>
        <v>57.29</v>
      </c>
      <c r="AP18" s="820">
        <f>'2018+'!B1013</f>
        <v>51.180000000000007</v>
      </c>
      <c r="AQ18" s="820">
        <f>'2018+'!B1020</f>
        <v>29.569999999999997</v>
      </c>
      <c r="AR18" s="820">
        <f>'2018+'!B1027</f>
        <v>30.97</v>
      </c>
      <c r="AS18" s="820">
        <f>'2018+'!B1034</f>
        <v>9.6999999999999993</v>
      </c>
      <c r="AT18" s="820">
        <f>'2018+'!B1041</f>
        <v>32.849999999999994</v>
      </c>
      <c r="AU18" s="820">
        <f>'2018+'!B1048</f>
        <v>31.519999999999996</v>
      </c>
      <c r="AV18" s="820">
        <f>'2018+'!B1055</f>
        <v>32.730000000000004</v>
      </c>
      <c r="AW18" s="820">
        <f>'2018+'!B1062</f>
        <v>29.320000000000004</v>
      </c>
      <c r="AX18" s="820">
        <f>'2018+'!B1069</f>
        <v>39.65</v>
      </c>
      <c r="AY18" s="820">
        <f>'2018+'!B1076</f>
        <v>32.18</v>
      </c>
      <c r="AZ18" s="820">
        <f>'2018+'!B1083</f>
        <v>30</v>
      </c>
      <c r="BA18" s="821">
        <f>'2018+'!B1090</f>
        <v>42.85</v>
      </c>
      <c r="BB18" s="822">
        <f>SUM(B18:BA18)</f>
        <v>2039.3500000000001</v>
      </c>
    </row>
    <row r="19" spans="1:55" s="361" customFormat="1" ht="15" thickBot="1" x14ac:dyDescent="0.25">
      <c r="A19" s="3271" t="s">
        <v>628</v>
      </c>
      <c r="B19" s="823">
        <f>'2018+'!B735</f>
        <v>218</v>
      </c>
      <c r="C19" s="824">
        <f>'2018+'!B742</f>
        <v>128</v>
      </c>
      <c r="D19" s="824">
        <f>'2018+'!B749</f>
        <v>177.21678925829104</v>
      </c>
      <c r="E19" s="824">
        <f>'2018+'!B756</f>
        <v>220</v>
      </c>
      <c r="F19" s="824">
        <f>'2018+'!B763</f>
        <v>277</v>
      </c>
      <c r="G19" s="824">
        <f>'2018+'!B770</f>
        <v>203</v>
      </c>
      <c r="H19" s="824">
        <f>'2018+'!B777</f>
        <v>275</v>
      </c>
      <c r="I19" s="824">
        <f>'2018+'!B784</f>
        <v>127</v>
      </c>
      <c r="J19" s="824">
        <f>'2018+'!B791</f>
        <v>135</v>
      </c>
      <c r="K19" s="824">
        <f>'2018+'!B798</f>
        <v>229</v>
      </c>
      <c r="L19" s="824">
        <f>'2018+'!B805</f>
        <v>265</v>
      </c>
      <c r="M19" s="824">
        <f>'2018+'!B812</f>
        <v>276</v>
      </c>
      <c r="N19" s="824">
        <f>'2018+'!B819</f>
        <v>315</v>
      </c>
      <c r="O19" s="824">
        <f>'2018+'!B826</f>
        <v>219</v>
      </c>
      <c r="P19" s="824">
        <f>'2018+'!B833</f>
        <v>294</v>
      </c>
      <c r="Q19" s="824">
        <f>'2018+'!B840</f>
        <v>286</v>
      </c>
      <c r="R19" s="824">
        <f>'2018+'!B847</f>
        <v>321</v>
      </c>
      <c r="S19" s="824">
        <f>'2018+'!B854</f>
        <v>190</v>
      </c>
      <c r="T19" s="824">
        <f>'2018+'!B861</f>
        <v>310</v>
      </c>
      <c r="U19" s="824">
        <f>'2018+'!B868</f>
        <v>322</v>
      </c>
      <c r="V19" s="824">
        <f>'2018+'!B875</f>
        <v>335</v>
      </c>
      <c r="W19" s="824">
        <f>'2018+'!B882</f>
        <v>215</v>
      </c>
      <c r="X19" s="824">
        <f>'2018+'!B889</f>
        <v>332</v>
      </c>
      <c r="Y19" s="824">
        <f>'2018+'!B896</f>
        <v>346</v>
      </c>
      <c r="Z19" s="824">
        <f>'2018+'!B903</f>
        <v>372</v>
      </c>
      <c r="AA19" s="824">
        <f>'2018+'!B910</f>
        <v>166</v>
      </c>
      <c r="AB19" s="824">
        <f>'2018+'!B917</f>
        <v>180</v>
      </c>
      <c r="AC19" s="824">
        <f>'2018+'!B924</f>
        <v>260</v>
      </c>
      <c r="AD19" s="824">
        <f>'2018+'!B931</f>
        <v>259</v>
      </c>
      <c r="AE19" s="824">
        <f>'2018+'!B938</f>
        <v>218</v>
      </c>
      <c r="AF19" s="824">
        <f>'2018+'!B945</f>
        <v>286</v>
      </c>
      <c r="AG19" s="824">
        <f>'2018+'!B952</f>
        <v>322</v>
      </c>
      <c r="AH19" s="824">
        <f>'2018+'!B959</f>
        <v>321</v>
      </c>
      <c r="AI19" s="824">
        <f>'2018+'!B966</f>
        <v>190</v>
      </c>
      <c r="AJ19" s="824">
        <f>'2018+'!B973</f>
        <v>320</v>
      </c>
      <c r="AK19" s="824">
        <f>'2018+'!B980</f>
        <v>340</v>
      </c>
      <c r="AL19" s="824">
        <f>'2018+'!B987</f>
        <v>217</v>
      </c>
      <c r="AM19" s="824">
        <f>'2018+'!B994</f>
        <v>246.03482825629342</v>
      </c>
      <c r="AN19" s="824">
        <f>'2018+'!B1001</f>
        <v>291</v>
      </c>
      <c r="AO19" s="824">
        <f>'2018+'!B1008</f>
        <v>363</v>
      </c>
      <c r="AP19" s="824">
        <f>'2018+'!B1015</f>
        <v>319</v>
      </c>
      <c r="AQ19" s="824">
        <f>'2018+'!B1022</f>
        <v>178</v>
      </c>
      <c r="AR19" s="824">
        <f>'2018+'!B1029</f>
        <v>202</v>
      </c>
      <c r="AS19" s="824">
        <f>'2018+'!B1036</f>
        <v>55</v>
      </c>
      <c r="AT19" s="824">
        <f>'2018+'!B1043</f>
        <v>201</v>
      </c>
      <c r="AU19" s="824">
        <f>'2018+'!B1050</f>
        <v>188</v>
      </c>
      <c r="AV19" s="824">
        <f>'2018+'!B1057</f>
        <v>204</v>
      </c>
      <c r="AW19" s="824">
        <f>'2018+'!B1064</f>
        <v>188</v>
      </c>
      <c r="AX19" s="824">
        <f>'2018+'!B1071</f>
        <v>246</v>
      </c>
      <c r="AY19" s="824">
        <f>'2018+'!B1078</f>
        <v>197</v>
      </c>
      <c r="AZ19" s="824">
        <f>'2018+'!B1085</f>
        <v>190</v>
      </c>
      <c r="BA19" s="825">
        <f>'2018+'!B1092</f>
        <v>253</v>
      </c>
      <c r="BB19" s="826">
        <f t="shared" ref="BB19:BB20" si="54">SUM(B19:BA19)</f>
        <v>12787.251617514585</v>
      </c>
    </row>
    <row r="20" spans="1:55" s="362" customFormat="1" ht="15" thickBot="1" x14ac:dyDescent="0.25">
      <c r="A20" s="3274" t="s">
        <v>860</v>
      </c>
      <c r="B20" s="835">
        <v>337</v>
      </c>
      <c r="C20" s="836">
        <v>176</v>
      </c>
      <c r="D20" s="836">
        <v>237</v>
      </c>
      <c r="E20" s="836">
        <v>296</v>
      </c>
      <c r="F20" s="836">
        <v>366</v>
      </c>
      <c r="G20" s="836">
        <v>257</v>
      </c>
      <c r="H20" s="836">
        <v>357</v>
      </c>
      <c r="I20" s="836">
        <v>151</v>
      </c>
      <c r="J20" s="836">
        <v>161</v>
      </c>
      <c r="K20" s="836">
        <v>308</v>
      </c>
      <c r="L20" s="836">
        <v>352</v>
      </c>
      <c r="M20" s="836">
        <v>386</v>
      </c>
      <c r="N20" s="836">
        <v>411</v>
      </c>
      <c r="O20" s="836">
        <v>281</v>
      </c>
      <c r="P20" s="836">
        <v>424</v>
      </c>
      <c r="Q20" s="836">
        <v>417</v>
      </c>
      <c r="R20" s="836">
        <v>463</v>
      </c>
      <c r="S20" s="836">
        <v>299</v>
      </c>
      <c r="T20" s="836">
        <v>466</v>
      </c>
      <c r="U20" s="836">
        <v>449</v>
      </c>
      <c r="V20" s="836">
        <v>501</v>
      </c>
      <c r="W20" s="836">
        <v>259</v>
      </c>
      <c r="X20" s="836">
        <v>452</v>
      </c>
      <c r="Y20" s="836">
        <v>534</v>
      </c>
      <c r="Z20" s="836">
        <v>532</v>
      </c>
      <c r="AA20" s="836">
        <v>266</v>
      </c>
      <c r="AB20" s="836">
        <v>236</v>
      </c>
      <c r="AC20" s="836">
        <v>390</v>
      </c>
      <c r="AD20" s="836">
        <v>410</v>
      </c>
      <c r="AE20" s="836">
        <v>351</v>
      </c>
      <c r="AF20" s="836">
        <v>399</v>
      </c>
      <c r="AG20" s="836">
        <v>444</v>
      </c>
      <c r="AH20" s="836">
        <v>457</v>
      </c>
      <c r="AI20" s="836">
        <v>244</v>
      </c>
      <c r="AJ20" s="836">
        <v>441</v>
      </c>
      <c r="AK20" s="836">
        <v>480</v>
      </c>
      <c r="AL20" s="836">
        <v>309</v>
      </c>
      <c r="AM20" s="836">
        <f>224+64</f>
        <v>288</v>
      </c>
      <c r="AN20" s="836">
        <v>397</v>
      </c>
      <c r="AO20" s="836">
        <v>493</v>
      </c>
      <c r="AP20" s="836">
        <v>440</v>
      </c>
      <c r="AQ20" s="836">
        <v>249</v>
      </c>
      <c r="AR20" s="836">
        <v>284</v>
      </c>
      <c r="AS20" s="836">
        <v>72</v>
      </c>
      <c r="AT20" s="836">
        <v>341</v>
      </c>
      <c r="AU20" s="836">
        <v>267</v>
      </c>
      <c r="AV20" s="836">
        <v>300</v>
      </c>
      <c r="AW20" s="836">
        <v>246</v>
      </c>
      <c r="AX20" s="836">
        <v>259</v>
      </c>
      <c r="AY20" s="836">
        <v>279</v>
      </c>
      <c r="AZ20" s="836">
        <v>274</v>
      </c>
      <c r="BA20" s="837">
        <v>386</v>
      </c>
      <c r="BB20" s="832">
        <f t="shared" si="54"/>
        <v>17874</v>
      </c>
    </row>
    <row r="21" spans="1:55" s="362" customFormat="1" ht="15" thickBot="1" x14ac:dyDescent="0.25">
      <c r="A21" s="3273" t="s">
        <v>872</v>
      </c>
      <c r="B21" s="830">
        <f t="shared" ref="B21" si="55">B20/B19</f>
        <v>1.5458715596330275</v>
      </c>
      <c r="C21" s="830">
        <f t="shared" ref="C21" si="56">C20/C19</f>
        <v>1.375</v>
      </c>
      <c r="D21" s="830">
        <f t="shared" ref="D21" si="57">D20/D19</f>
        <v>1.337345073183646</v>
      </c>
      <c r="E21" s="830">
        <f t="shared" ref="E21" si="58">E20/E19</f>
        <v>1.3454545454545455</v>
      </c>
      <c r="F21" s="830">
        <f t="shared" ref="F21" si="59">F20/F19</f>
        <v>1.3212996389891696</v>
      </c>
      <c r="G21" s="830">
        <f t="shared" ref="G21" si="60">G20/G19</f>
        <v>1.2660098522167487</v>
      </c>
      <c r="H21" s="830">
        <f t="shared" ref="H21" si="61">H20/H19</f>
        <v>1.2981818181818181</v>
      </c>
      <c r="I21" s="830">
        <f t="shared" ref="I21" si="62">I20/I19</f>
        <v>1.188976377952756</v>
      </c>
      <c r="J21" s="830">
        <f t="shared" ref="J21" si="63">J20/J19</f>
        <v>1.1925925925925926</v>
      </c>
      <c r="K21" s="830">
        <f t="shared" ref="K21" si="64">K20/K19</f>
        <v>1.3449781659388647</v>
      </c>
      <c r="L21" s="830">
        <f t="shared" ref="L21" si="65">L20/L19</f>
        <v>1.3283018867924528</v>
      </c>
      <c r="M21" s="830">
        <f t="shared" ref="M21" si="66">M20/M19</f>
        <v>1.3985507246376812</v>
      </c>
      <c r="N21" s="830">
        <f>N20/N19</f>
        <v>1.3047619047619048</v>
      </c>
      <c r="O21" s="830">
        <f t="shared" ref="O21" si="67">O20/O19</f>
        <v>1.2831050228310503</v>
      </c>
      <c r="P21" s="830">
        <f t="shared" ref="P21" si="68">P20/P19</f>
        <v>1.4421768707482994</v>
      </c>
      <c r="Q21" s="830">
        <f t="shared" ref="Q21" si="69">Q20/Q19</f>
        <v>1.4580419580419581</v>
      </c>
      <c r="R21" s="830">
        <f t="shared" ref="R21" si="70">R20/R19</f>
        <v>1.442367601246106</v>
      </c>
      <c r="S21" s="830">
        <f t="shared" ref="S21" si="71">S20/S19</f>
        <v>1.5736842105263158</v>
      </c>
      <c r="T21" s="830">
        <f t="shared" ref="T21" si="72">T20/T19</f>
        <v>1.5032258064516129</v>
      </c>
      <c r="U21" s="830">
        <f t="shared" ref="U21" si="73">U20/U19</f>
        <v>1.3944099378881987</v>
      </c>
      <c r="V21" s="830">
        <f t="shared" ref="V21" si="74">V20/V19</f>
        <v>1.4955223880597015</v>
      </c>
      <c r="W21" s="830">
        <f t="shared" ref="W21" si="75">W20/W19</f>
        <v>1.2046511627906977</v>
      </c>
      <c r="X21" s="830">
        <f t="shared" ref="X21" si="76">X20/X19</f>
        <v>1.3614457831325302</v>
      </c>
      <c r="Y21" s="830">
        <f t="shared" ref="Y21" si="77">Y20/Y19</f>
        <v>1.5433526011560694</v>
      </c>
      <c r="Z21" s="830">
        <f t="shared" ref="Z21" si="78">Z20/Z19</f>
        <v>1.4301075268817205</v>
      </c>
      <c r="AA21" s="830">
        <f t="shared" ref="AA21" si="79">AA20/AA19</f>
        <v>1.6024096385542168</v>
      </c>
      <c r="AB21" s="830">
        <f t="shared" ref="AB21" si="80">AB20/AB19</f>
        <v>1.3111111111111111</v>
      </c>
      <c r="AC21" s="830">
        <f t="shared" ref="AC21" si="81">AC20/AC19</f>
        <v>1.5</v>
      </c>
      <c r="AD21" s="830">
        <f t="shared" ref="AD21" si="82">AD20/AD19</f>
        <v>1.583011583011583</v>
      </c>
      <c r="AE21" s="830">
        <f t="shared" ref="AE21" si="83">AE20/AE19</f>
        <v>1.6100917431192661</v>
      </c>
      <c r="AF21" s="830">
        <f t="shared" ref="AF21" si="84">AF20/AF19</f>
        <v>1.3951048951048952</v>
      </c>
      <c r="AG21" s="830">
        <f t="shared" ref="AG21" si="85">AG20/AG19</f>
        <v>1.3788819875776397</v>
      </c>
      <c r="AH21" s="830">
        <f t="shared" ref="AH21" si="86">AH20/AH19</f>
        <v>1.4236760124610592</v>
      </c>
      <c r="AI21" s="830">
        <f t="shared" ref="AI21" si="87">AI20/AI19</f>
        <v>1.2842105263157895</v>
      </c>
      <c r="AJ21" s="830">
        <f t="shared" ref="AJ21" si="88">AJ20/AJ19</f>
        <v>1.378125</v>
      </c>
      <c r="AK21" s="830">
        <f t="shared" ref="AK21" si="89">AK20/AK19</f>
        <v>1.411764705882353</v>
      </c>
      <c r="AL21" s="830">
        <f t="shared" ref="AL21" si="90">AL20/AL19</f>
        <v>1.4239631336405529</v>
      </c>
      <c r="AM21" s="830">
        <f t="shared" ref="AM21" si="91">AM20/AM19</f>
        <v>1.1705659806017041</v>
      </c>
      <c r="AN21" s="830">
        <f t="shared" ref="AN21" si="92">AN20/AN19</f>
        <v>1.3642611683848798</v>
      </c>
      <c r="AO21" s="830">
        <f t="shared" ref="AO21" si="93">AO20/AO19</f>
        <v>1.3581267217630855</v>
      </c>
      <c r="AP21" s="830">
        <f t="shared" ref="AP21" si="94">AP20/AP19</f>
        <v>1.3793103448275863</v>
      </c>
      <c r="AQ21" s="830">
        <f t="shared" ref="AQ21" si="95">AQ20/AQ19</f>
        <v>1.398876404494382</v>
      </c>
      <c r="AR21" s="830">
        <f t="shared" ref="AR21" si="96">AR20/AR19</f>
        <v>1.4059405940594059</v>
      </c>
      <c r="AS21" s="830">
        <f t="shared" ref="AS21" si="97">AS20/AS19</f>
        <v>1.3090909090909091</v>
      </c>
      <c r="AT21" s="830">
        <f t="shared" ref="AT21" si="98">AT20/AT19</f>
        <v>1.6965174129353233</v>
      </c>
      <c r="AU21" s="830">
        <f t="shared" ref="AU21" si="99">AU20/AU19</f>
        <v>1.4202127659574468</v>
      </c>
      <c r="AV21" s="830">
        <f t="shared" ref="AV21" si="100">AV20/AV19</f>
        <v>1.4705882352941178</v>
      </c>
      <c r="AW21" s="830">
        <f t="shared" ref="AW21" si="101">AW20/AW19</f>
        <v>1.3085106382978724</v>
      </c>
      <c r="AX21" s="830">
        <f t="shared" ref="AX21" si="102">AX20/AX19</f>
        <v>1.0528455284552845</v>
      </c>
      <c r="AY21" s="830">
        <f t="shared" ref="AY21" si="103">AY20/AY19</f>
        <v>1.4162436548223349</v>
      </c>
      <c r="AZ21" s="830">
        <f t="shared" ref="AZ21" si="104">AZ20/AZ19</f>
        <v>1.4421052631578948</v>
      </c>
      <c r="BA21" s="831">
        <f t="shared" ref="BA21:BB21" si="105">BA20/BA19</f>
        <v>1.5256916996047432</v>
      </c>
      <c r="BB21" s="801">
        <f t="shared" si="105"/>
        <v>1.397798411624132</v>
      </c>
      <c r="BC21" s="1026"/>
    </row>
    <row r="22" spans="1:55" ht="15" thickBot="1" x14ac:dyDescent="0.25">
      <c r="A22" s="806">
        <v>2021</v>
      </c>
      <c r="B22" s="807"/>
    </row>
    <row r="23" spans="1:55" ht="15" thickBot="1" x14ac:dyDescent="0.25">
      <c r="A23" s="806" t="s">
        <v>690</v>
      </c>
      <c r="B23" s="808">
        <v>1</v>
      </c>
      <c r="C23" s="809">
        <v>2</v>
      </c>
      <c r="D23" s="809">
        <v>3</v>
      </c>
      <c r="E23" s="809">
        <v>4</v>
      </c>
      <c r="F23" s="809">
        <v>5</v>
      </c>
      <c r="G23" s="809">
        <v>6</v>
      </c>
      <c r="H23" s="809">
        <v>7</v>
      </c>
      <c r="I23" s="809">
        <v>8</v>
      </c>
      <c r="J23" s="809">
        <v>9</v>
      </c>
      <c r="K23" s="809">
        <v>10</v>
      </c>
      <c r="L23" s="809">
        <v>11</v>
      </c>
      <c r="M23" s="809">
        <v>12</v>
      </c>
      <c r="N23" s="809">
        <v>13</v>
      </c>
      <c r="O23" s="809">
        <v>14</v>
      </c>
      <c r="P23" s="809">
        <v>15</v>
      </c>
      <c r="Q23" s="809">
        <v>16</v>
      </c>
      <c r="R23" s="809">
        <v>17</v>
      </c>
      <c r="S23" s="809">
        <v>18</v>
      </c>
      <c r="T23" s="809">
        <v>19</v>
      </c>
      <c r="U23" s="809">
        <v>20</v>
      </c>
      <c r="V23" s="809">
        <v>21</v>
      </c>
      <c r="W23" s="809">
        <v>22</v>
      </c>
      <c r="X23" s="809">
        <v>23</v>
      </c>
      <c r="Y23" s="809">
        <v>24</v>
      </c>
      <c r="Z23" s="809">
        <v>25</v>
      </c>
      <c r="AA23" s="809">
        <v>26</v>
      </c>
      <c r="AB23" s="809">
        <v>27</v>
      </c>
      <c r="AC23" s="809">
        <v>28</v>
      </c>
      <c r="AD23" s="809">
        <v>29</v>
      </c>
      <c r="AE23" s="809">
        <v>30</v>
      </c>
      <c r="AF23" s="809">
        <v>31</v>
      </c>
      <c r="AG23" s="809">
        <v>32</v>
      </c>
      <c r="AH23" s="809">
        <v>33</v>
      </c>
      <c r="AI23" s="809">
        <v>34</v>
      </c>
      <c r="AJ23" s="809">
        <v>35</v>
      </c>
      <c r="AK23" s="809">
        <v>36</v>
      </c>
      <c r="AL23" s="809">
        <v>37</v>
      </c>
      <c r="AM23" s="809">
        <v>38</v>
      </c>
      <c r="AN23" s="809">
        <v>39</v>
      </c>
      <c r="AO23" s="809">
        <v>40</v>
      </c>
      <c r="AP23" s="809">
        <v>41</v>
      </c>
      <c r="AQ23" s="809">
        <v>42</v>
      </c>
      <c r="AR23" s="809">
        <v>43</v>
      </c>
      <c r="AS23" s="809">
        <v>44</v>
      </c>
      <c r="AT23" s="809">
        <v>45</v>
      </c>
      <c r="AU23" s="809">
        <v>46</v>
      </c>
      <c r="AV23" s="809">
        <v>47</v>
      </c>
      <c r="AW23" s="809">
        <v>48</v>
      </c>
      <c r="AX23" s="809">
        <v>49</v>
      </c>
      <c r="AY23" s="809">
        <v>50</v>
      </c>
      <c r="AZ23" s="809">
        <v>51</v>
      </c>
      <c r="BA23" s="834">
        <v>52</v>
      </c>
      <c r="BB23" s="806" t="s">
        <v>229</v>
      </c>
    </row>
    <row r="24" spans="1:55" ht="15" thickBot="1" x14ac:dyDescent="0.25">
      <c r="A24" s="806" t="s">
        <v>4</v>
      </c>
      <c r="B24" s="815" t="s">
        <v>787</v>
      </c>
      <c r="C24" s="815" t="s">
        <v>787</v>
      </c>
      <c r="D24" s="816" t="s">
        <v>788</v>
      </c>
      <c r="E24" s="815" t="s">
        <v>787</v>
      </c>
      <c r="F24" s="815" t="s">
        <v>787</v>
      </c>
      <c r="G24" s="816" t="s">
        <v>788</v>
      </c>
      <c r="H24" s="815" t="s">
        <v>787</v>
      </c>
      <c r="I24" s="815" t="s">
        <v>787</v>
      </c>
      <c r="J24" s="815" t="s">
        <v>787</v>
      </c>
      <c r="K24" s="815" t="s">
        <v>787</v>
      </c>
      <c r="L24" s="817" t="s">
        <v>789</v>
      </c>
      <c r="M24" s="817" t="s">
        <v>789</v>
      </c>
      <c r="N24" s="814" t="s">
        <v>788</v>
      </c>
      <c r="O24" s="812" t="s">
        <v>786</v>
      </c>
      <c r="P24" s="812" t="s">
        <v>786</v>
      </c>
      <c r="Q24" s="814" t="s">
        <v>788</v>
      </c>
      <c r="R24" s="812" t="s">
        <v>786</v>
      </c>
      <c r="S24" s="812" t="s">
        <v>786</v>
      </c>
      <c r="T24" s="812" t="s">
        <v>786</v>
      </c>
      <c r="U24" s="812" t="s">
        <v>786</v>
      </c>
      <c r="V24" s="812" t="s">
        <v>786</v>
      </c>
      <c r="W24" s="812" t="s">
        <v>786</v>
      </c>
      <c r="X24" s="812" t="s">
        <v>786</v>
      </c>
      <c r="Y24" s="812" t="s">
        <v>786</v>
      </c>
      <c r="Z24" s="812" t="s">
        <v>786</v>
      </c>
      <c r="AA24" s="812" t="s">
        <v>786</v>
      </c>
      <c r="AB24" s="812" t="s">
        <v>786</v>
      </c>
      <c r="AC24" s="812" t="s">
        <v>786</v>
      </c>
      <c r="AD24" s="812" t="s">
        <v>786</v>
      </c>
      <c r="AE24" s="812" t="s">
        <v>786</v>
      </c>
      <c r="AF24" s="812" t="s">
        <v>786</v>
      </c>
      <c r="AG24" s="812" t="s">
        <v>786</v>
      </c>
      <c r="AH24" s="812" t="s">
        <v>786</v>
      </c>
      <c r="AI24" s="812" t="s">
        <v>786</v>
      </c>
      <c r="AJ24" s="812" t="s">
        <v>786</v>
      </c>
      <c r="AK24" s="812" t="s">
        <v>786</v>
      </c>
      <c r="AL24" s="812" t="s">
        <v>786</v>
      </c>
      <c r="AM24" s="812" t="s">
        <v>786</v>
      </c>
      <c r="AN24" s="812" t="s">
        <v>786</v>
      </c>
      <c r="AO24" s="812" t="s">
        <v>786</v>
      </c>
      <c r="AP24" s="812" t="s">
        <v>786</v>
      </c>
      <c r="AQ24" s="812" t="s">
        <v>786</v>
      </c>
      <c r="AR24" s="812" t="s">
        <v>786</v>
      </c>
      <c r="AS24" s="812" t="s">
        <v>786</v>
      </c>
      <c r="AT24" s="812" t="s">
        <v>786</v>
      </c>
      <c r="AU24" s="812" t="s">
        <v>786</v>
      </c>
      <c r="AV24" s="812" t="s">
        <v>786</v>
      </c>
      <c r="AW24" s="812" t="s">
        <v>786</v>
      </c>
      <c r="AX24" s="812" t="s">
        <v>786</v>
      </c>
      <c r="AY24" s="812" t="s">
        <v>786</v>
      </c>
      <c r="AZ24" s="812" t="s">
        <v>786</v>
      </c>
      <c r="BA24" s="812" t="s">
        <v>786</v>
      </c>
      <c r="BB24" s="818"/>
    </row>
    <row r="25" spans="1:55" x14ac:dyDescent="0.2">
      <c r="A25" s="3270" t="s">
        <v>429</v>
      </c>
      <c r="B25" s="819">
        <f>'2018+'!B1104</f>
        <v>44.13</v>
      </c>
      <c r="C25" s="820">
        <f>'2018+'!B1111</f>
        <v>47.58</v>
      </c>
      <c r="D25" s="820">
        <f>'2018+'!B1118</f>
        <v>18.760000000000002</v>
      </c>
      <c r="E25" s="820">
        <f>'2018+'!B1125</f>
        <v>48.07</v>
      </c>
      <c r="F25" s="820">
        <f>'2018+'!B1132</f>
        <v>49.38</v>
      </c>
      <c r="G25" s="820">
        <f>'2018+'!B1139</f>
        <v>29.9</v>
      </c>
      <c r="H25" s="820">
        <f>'2018+'!B1146</f>
        <v>48.379999999999995</v>
      </c>
      <c r="I25" s="820">
        <f>'2018+'!B1153</f>
        <v>50.81</v>
      </c>
      <c r="J25" s="820">
        <f>'2018+'!B1160</f>
        <v>50.97</v>
      </c>
      <c r="K25" s="820">
        <f>'2018+'!B1167</f>
        <v>45.76</v>
      </c>
      <c r="L25" s="820">
        <f>'2018+'!B1174</f>
        <v>26.410000000000004</v>
      </c>
      <c r="M25" s="820">
        <f>'2018+'!B1181</f>
        <v>24.459999999999997</v>
      </c>
      <c r="N25" s="820">
        <f>'2018+'!B1188</f>
        <v>26.52</v>
      </c>
      <c r="O25" s="820">
        <f>'2018+'!B1195</f>
        <v>22.299999999999997</v>
      </c>
      <c r="P25" s="820">
        <f>'2018+'!B1202</f>
        <v>18.78</v>
      </c>
      <c r="Q25" s="820">
        <f>'2018+'!B1209</f>
        <v>20.65</v>
      </c>
      <c r="R25" s="820">
        <f>'2018+'!B1216</f>
        <v>28.5</v>
      </c>
      <c r="S25" s="820">
        <f>'2018+'!B1223</f>
        <v>25.68</v>
      </c>
      <c r="T25" s="820">
        <f>'2018+'!B1230</f>
        <v>10.38</v>
      </c>
      <c r="U25" s="820">
        <f>'2018+'!B1237</f>
        <v>30.990000000000002</v>
      </c>
      <c r="V25" s="820">
        <f>'2018+'!B1244</f>
        <v>21.6</v>
      </c>
      <c r="W25" s="820">
        <f>'2018+'!B1251</f>
        <v>28.979999999999997</v>
      </c>
      <c r="X25" s="820">
        <f>'2018+'!B1258</f>
        <v>8.68</v>
      </c>
      <c r="Y25" s="820">
        <f>'2018+'!B1265</f>
        <v>16.78</v>
      </c>
      <c r="Z25" s="820">
        <f>'2018+'!B1272</f>
        <v>25.51</v>
      </c>
      <c r="AA25" s="820">
        <f>'2018+'!B1279</f>
        <v>6.14</v>
      </c>
      <c r="AB25" s="820">
        <f>'2018+'!B1286</f>
        <v>8.32</v>
      </c>
      <c r="AC25" s="820">
        <f>'2018+'!B1293</f>
        <v>8.01</v>
      </c>
      <c r="AD25" s="820">
        <f>'2018+'!B1300</f>
        <v>0</v>
      </c>
      <c r="AE25" s="820">
        <f>'2018+'!B1307</f>
        <v>24.839999999999996</v>
      </c>
      <c r="AF25" s="820">
        <f>'2018+'!B1314</f>
        <v>21.36</v>
      </c>
      <c r="AG25" s="820">
        <f>'2018+'!B1321</f>
        <v>27.39</v>
      </c>
      <c r="AH25" s="820">
        <f>'2018+'!B1328</f>
        <v>23.16</v>
      </c>
      <c r="AI25" s="820">
        <f>'2018+'!B1335</f>
        <v>25.77</v>
      </c>
      <c r="AJ25" s="820">
        <f>'2018+'!B1342</f>
        <v>30.1</v>
      </c>
      <c r="AK25" s="820">
        <f>'2018+'!B1349</f>
        <v>31.53</v>
      </c>
      <c r="AL25" s="820">
        <f>'2018+'!B1356</f>
        <v>23.58</v>
      </c>
      <c r="AM25" s="820">
        <f>'2018+'!B1363</f>
        <v>31.92</v>
      </c>
      <c r="AN25" s="820">
        <f>'2018+'!B1370</f>
        <v>17.22</v>
      </c>
      <c r="AO25" s="820">
        <f>'2018+'!B1377</f>
        <v>0</v>
      </c>
      <c r="AP25" s="820">
        <f>'2018+'!B1384</f>
        <v>6.26</v>
      </c>
      <c r="AQ25" s="820">
        <f>'2018+'!B1391</f>
        <v>31.950000000000003</v>
      </c>
      <c r="AR25" s="820">
        <f>'2018+'!B1398</f>
        <v>13.469999999999999</v>
      </c>
      <c r="AS25" s="820">
        <f>'2018+'!B1405</f>
        <v>17.88</v>
      </c>
      <c r="AT25" s="820">
        <f>'2018+'!B1412</f>
        <v>23.73</v>
      </c>
      <c r="AU25" s="820">
        <f>'2018+'!B1419</f>
        <v>16.560000000000002</v>
      </c>
      <c r="AV25" s="820">
        <f>'2018+'!B1426</f>
        <v>35.099999999999994</v>
      </c>
      <c r="AW25" s="820">
        <f>'2018+'!B1433</f>
        <v>33.26</v>
      </c>
      <c r="AX25" s="820">
        <f>'2018+'!B1440</f>
        <v>37.700000000000003</v>
      </c>
      <c r="AY25" s="820">
        <f>'2018+'!B1447</f>
        <v>17.119999999999997</v>
      </c>
      <c r="AZ25" s="820">
        <f>'2018+'!B1454</f>
        <v>0</v>
      </c>
      <c r="BA25" s="821">
        <f>'2018+'!B1461</f>
        <v>27.999999999999996</v>
      </c>
      <c r="BB25" s="822">
        <f>SUM(B25:BA25)</f>
        <v>1310.33</v>
      </c>
    </row>
    <row r="26" spans="1:55" ht="15" thickBot="1" x14ac:dyDescent="0.25">
      <c r="A26" s="3271" t="s">
        <v>628</v>
      </c>
      <c r="B26" s="823">
        <f>'2018+'!B1106</f>
        <v>280</v>
      </c>
      <c r="C26" s="824">
        <f>'2018+'!B1113</f>
        <v>288</v>
      </c>
      <c r="D26" s="824">
        <f>'2018+'!B1120</f>
        <v>114</v>
      </c>
      <c r="E26" s="824">
        <f>'2018+'!B1127</f>
        <v>319</v>
      </c>
      <c r="F26" s="824">
        <f>'2018+'!B1134</f>
        <v>332.71761451679691</v>
      </c>
      <c r="G26" s="824">
        <f>'2018+'!B1141</f>
        <v>190</v>
      </c>
      <c r="H26" s="824">
        <f>'2018+'!B1148</f>
        <v>310</v>
      </c>
      <c r="I26" s="824">
        <f>'2018+'!B1155</f>
        <v>329</v>
      </c>
      <c r="J26" s="824">
        <f>'2018+'!B1162</f>
        <v>344</v>
      </c>
      <c r="K26" s="824">
        <f>'2018+'!B1169</f>
        <v>293</v>
      </c>
      <c r="L26" s="824">
        <f>'2018+'!B1176</f>
        <v>173</v>
      </c>
      <c r="M26" s="824">
        <f>'2018+'!B1183</f>
        <v>158</v>
      </c>
      <c r="N26" s="824">
        <f>'2018+'!B1190</f>
        <v>178</v>
      </c>
      <c r="O26" s="824">
        <f>'2018+'!B1197</f>
        <v>135</v>
      </c>
      <c r="P26" s="824">
        <f>'2018+'!B1204</f>
        <v>118</v>
      </c>
      <c r="Q26" s="824">
        <f>'2018+'!B1211</f>
        <v>141</v>
      </c>
      <c r="R26" s="824">
        <f>'2018+'!B1218</f>
        <v>165</v>
      </c>
      <c r="S26" s="824">
        <f>'2018+'!B1225</f>
        <v>167</v>
      </c>
      <c r="T26" s="824">
        <f>'2018+'!B1232</f>
        <v>57</v>
      </c>
      <c r="U26" s="824">
        <f>'2018+'!B1239</f>
        <v>179</v>
      </c>
      <c r="V26" s="824">
        <f>'2018+'!B1246</f>
        <v>127</v>
      </c>
      <c r="W26" s="824">
        <f>'2018+'!B1253</f>
        <v>168</v>
      </c>
      <c r="X26" s="824">
        <f>'2018+'!B1260</f>
        <v>51</v>
      </c>
      <c r="Y26" s="824">
        <f>'2018+'!B1267</f>
        <v>96</v>
      </c>
      <c r="Z26" s="824">
        <f>'2018+'!B1274</f>
        <v>146</v>
      </c>
      <c r="AA26" s="824">
        <f>'2018+'!B1281</f>
        <v>35</v>
      </c>
      <c r="AB26" s="824">
        <f>'2018+'!B1288</f>
        <v>44</v>
      </c>
      <c r="AC26" s="824">
        <f>'2018+'!B1295</f>
        <v>44</v>
      </c>
      <c r="AD26" s="824">
        <f>'2018+'!B1302</f>
        <v>0</v>
      </c>
      <c r="AE26" s="824">
        <f>'2018+'!B1309</f>
        <v>194</v>
      </c>
      <c r="AF26" s="824">
        <f>'2018+'!B1316</f>
        <v>165</v>
      </c>
      <c r="AG26" s="824">
        <f>'2018+'!B1323</f>
        <v>194</v>
      </c>
      <c r="AH26" s="824">
        <f>'2018+'!B1330</f>
        <v>170</v>
      </c>
      <c r="AI26" s="824">
        <f>'2018+'!B1337</f>
        <v>187</v>
      </c>
      <c r="AJ26" s="824">
        <f>'2018+'!B1344</f>
        <v>215</v>
      </c>
      <c r="AK26" s="824">
        <f>'2018+'!B1351</f>
        <v>221</v>
      </c>
      <c r="AL26" s="824">
        <f>'2018+'!B1358</f>
        <v>155</v>
      </c>
      <c r="AM26" s="824">
        <f>'2018+'!B1365</f>
        <v>233</v>
      </c>
      <c r="AN26" s="824">
        <f>'2018+'!B1372</f>
        <v>113</v>
      </c>
      <c r="AO26" s="824">
        <f>'2018+'!B1379</f>
        <v>0</v>
      </c>
      <c r="AP26" s="824">
        <f>'2018+'!B1386</f>
        <v>40</v>
      </c>
      <c r="AQ26" s="824">
        <f>'2018+'!B1393</f>
        <v>200</v>
      </c>
      <c r="AR26" s="824">
        <f>'2018+'!B1400</f>
        <v>89</v>
      </c>
      <c r="AS26" s="824">
        <f>'2018+'!B1407</f>
        <v>122</v>
      </c>
      <c r="AT26" s="824">
        <f>'2018+'!B1414</f>
        <v>157</v>
      </c>
      <c r="AU26" s="824">
        <f>'2018+'!B1421</f>
        <v>106</v>
      </c>
      <c r="AV26" s="824">
        <f>'2018+'!B1428</f>
        <v>234</v>
      </c>
      <c r="AW26" s="824">
        <f>'2018+'!B1435</f>
        <v>216</v>
      </c>
      <c r="AX26" s="824">
        <f>'2018+'!B1442</f>
        <v>249</v>
      </c>
      <c r="AY26" s="824">
        <f>'2018+'!B1449</f>
        <v>112</v>
      </c>
      <c r="AZ26" s="824">
        <f>'2018+'!B1456</f>
        <v>0</v>
      </c>
      <c r="BA26" s="825">
        <f>'2018+'!B1463</f>
        <v>189</v>
      </c>
      <c r="BB26" s="826">
        <f t="shared" ref="BB26:BB27" si="106">SUM(B26:BA26)</f>
        <v>8542.7176145167978</v>
      </c>
    </row>
    <row r="27" spans="1:55" ht="15" thickBot="1" x14ac:dyDescent="0.25">
      <c r="A27" s="3274" t="s">
        <v>860</v>
      </c>
      <c r="B27" s="835">
        <v>391</v>
      </c>
      <c r="C27" s="836">
        <v>415</v>
      </c>
      <c r="D27" s="836">
        <v>157</v>
      </c>
      <c r="E27" s="836">
        <v>476</v>
      </c>
      <c r="F27" s="836">
        <v>455</v>
      </c>
      <c r="G27" s="836">
        <v>248</v>
      </c>
      <c r="H27" s="836">
        <v>430</v>
      </c>
      <c r="I27" s="836">
        <v>429</v>
      </c>
      <c r="J27" s="836">
        <v>458</v>
      </c>
      <c r="K27" s="836">
        <v>374</v>
      </c>
      <c r="L27" s="836">
        <v>229</v>
      </c>
      <c r="M27" s="836">
        <v>217</v>
      </c>
      <c r="N27" s="836">
        <v>251</v>
      </c>
      <c r="O27" s="836">
        <v>164</v>
      </c>
      <c r="P27" s="836">
        <v>159</v>
      </c>
      <c r="Q27" s="836">
        <v>226</v>
      </c>
      <c r="R27" s="836">
        <v>226</v>
      </c>
      <c r="S27" s="836">
        <v>266</v>
      </c>
      <c r="T27" s="836">
        <v>67</v>
      </c>
      <c r="U27" s="836">
        <v>281</v>
      </c>
      <c r="V27" s="836">
        <v>193</v>
      </c>
      <c r="W27" s="836">
        <v>281</v>
      </c>
      <c r="X27" s="836">
        <v>78</v>
      </c>
      <c r="Y27" s="836">
        <v>148</v>
      </c>
      <c r="Z27" s="836">
        <v>227</v>
      </c>
      <c r="AA27" s="836">
        <v>69</v>
      </c>
      <c r="AB27" s="836">
        <v>73</v>
      </c>
      <c r="AC27" s="836">
        <v>87</v>
      </c>
      <c r="AD27" s="836">
        <v>0</v>
      </c>
      <c r="AE27" s="836">
        <v>238</v>
      </c>
      <c r="AF27" s="836">
        <v>222</v>
      </c>
      <c r="AG27" s="836">
        <v>284</v>
      </c>
      <c r="AH27" s="836">
        <v>212</v>
      </c>
      <c r="AI27" s="836">
        <v>256</v>
      </c>
      <c r="AJ27" s="836">
        <v>295</v>
      </c>
      <c r="AK27" s="836">
        <v>304</v>
      </c>
      <c r="AL27" s="836">
        <v>222</v>
      </c>
      <c r="AM27" s="836">
        <v>354</v>
      </c>
      <c r="AN27" s="836">
        <v>153</v>
      </c>
      <c r="AO27" s="836">
        <v>0</v>
      </c>
      <c r="AP27" s="836">
        <v>61</v>
      </c>
      <c r="AQ27" s="836">
        <v>300</v>
      </c>
      <c r="AR27" s="836">
        <v>126</v>
      </c>
      <c r="AS27" s="836">
        <v>173</v>
      </c>
      <c r="AT27" s="836">
        <v>247</v>
      </c>
      <c r="AU27" s="836">
        <v>150</v>
      </c>
      <c r="AV27" s="836">
        <v>356</v>
      </c>
      <c r="AW27" s="836">
        <v>313</v>
      </c>
      <c r="AX27" s="836">
        <v>340</v>
      </c>
      <c r="AY27" s="836">
        <v>147</v>
      </c>
      <c r="AZ27" s="836">
        <v>0</v>
      </c>
      <c r="BA27" s="837"/>
      <c r="BB27" s="832">
        <f t="shared" si="106"/>
        <v>11828</v>
      </c>
    </row>
    <row r="28" spans="1:55" s="362" customFormat="1" ht="15" thickBot="1" x14ac:dyDescent="0.25">
      <c r="A28" s="3273" t="s">
        <v>872</v>
      </c>
      <c r="B28" s="830">
        <f t="shared" ref="B28" si="107">B27/B26</f>
        <v>1.3964285714285714</v>
      </c>
      <c r="C28" s="830">
        <f t="shared" ref="C28" si="108">C27/C26</f>
        <v>1.4409722222222223</v>
      </c>
      <c r="D28" s="830">
        <f t="shared" ref="D28" si="109">D27/D26</f>
        <v>1.3771929824561404</v>
      </c>
      <c r="E28" s="830">
        <f t="shared" ref="E28" si="110">E27/E26</f>
        <v>1.4921630094043887</v>
      </c>
      <c r="F28" s="830">
        <f t="shared" ref="F28" si="111">F27/F26</f>
        <v>1.3675260345346993</v>
      </c>
      <c r="G28" s="830">
        <f t="shared" ref="G28" si="112">G27/G26</f>
        <v>1.3052631578947369</v>
      </c>
      <c r="H28" s="830">
        <f t="shared" ref="H28" si="113">H27/H26</f>
        <v>1.3870967741935485</v>
      </c>
      <c r="I28" s="830">
        <f t="shared" ref="I28" si="114">I27/I26</f>
        <v>1.3039513677811549</v>
      </c>
      <c r="J28" s="830">
        <f t="shared" ref="J28" si="115">J27/J26</f>
        <v>1.3313953488372092</v>
      </c>
      <c r="K28" s="830">
        <f t="shared" ref="K28" si="116">K27/K26</f>
        <v>1.2764505119453924</v>
      </c>
      <c r="L28" s="830">
        <f t="shared" ref="L28" si="117">L27/L26</f>
        <v>1.323699421965318</v>
      </c>
      <c r="M28" s="830">
        <f t="shared" ref="M28" si="118">M27/M26</f>
        <v>1.3734177215189873</v>
      </c>
      <c r="N28" s="830">
        <f>N27/N26</f>
        <v>1.4101123595505618</v>
      </c>
      <c r="O28" s="830">
        <f t="shared" ref="O28" si="119">O27/O26</f>
        <v>1.2148148148148148</v>
      </c>
      <c r="P28" s="830">
        <f t="shared" ref="P28" si="120">P27/P26</f>
        <v>1.347457627118644</v>
      </c>
      <c r="Q28" s="830">
        <f t="shared" ref="Q28" si="121">Q27/Q26</f>
        <v>1.6028368794326242</v>
      </c>
      <c r="R28" s="830">
        <f t="shared" ref="R28" si="122">R27/R26</f>
        <v>1.3696969696969696</v>
      </c>
      <c r="S28" s="830">
        <f t="shared" ref="S28" si="123">S27/S26</f>
        <v>1.5928143712574849</v>
      </c>
      <c r="T28" s="830">
        <f>T27/T26</f>
        <v>1.1754385964912282</v>
      </c>
      <c r="U28" s="830">
        <f t="shared" ref="U28" si="124">U27/U26</f>
        <v>1.5698324022346368</v>
      </c>
      <c r="V28" s="830">
        <f t="shared" ref="V28" si="125">V27/V26</f>
        <v>1.5196850393700787</v>
      </c>
      <c r="W28" s="830">
        <f t="shared" ref="W28" si="126">W27/W26</f>
        <v>1.6726190476190477</v>
      </c>
      <c r="X28" s="830">
        <f t="shared" ref="X28" si="127">X27/X26</f>
        <v>1.5294117647058822</v>
      </c>
      <c r="Y28" s="830">
        <f t="shared" ref="Y28" si="128">Y27/Y26</f>
        <v>1.5416666666666667</v>
      </c>
      <c r="Z28" s="830">
        <f t="shared" ref="Z28" si="129">Z27/Z26</f>
        <v>1.5547945205479452</v>
      </c>
      <c r="AA28" s="830">
        <f t="shared" ref="AA28" si="130">AA27/AA26</f>
        <v>1.9714285714285715</v>
      </c>
      <c r="AB28" s="830">
        <f t="shared" ref="AB28" si="131">AB27/AB26</f>
        <v>1.6590909090909092</v>
      </c>
      <c r="AC28" s="830">
        <f t="shared" ref="AC28" si="132">AC27/AC26</f>
        <v>1.9772727272727273</v>
      </c>
      <c r="AD28" s="830">
        <v>0</v>
      </c>
      <c r="AE28" s="830">
        <f t="shared" ref="AE28" si="133">AE27/AE26</f>
        <v>1.2268041237113403</v>
      </c>
      <c r="AF28" s="830">
        <f t="shared" ref="AF28" si="134">AF27/AF26</f>
        <v>1.3454545454545455</v>
      </c>
      <c r="AG28" s="830">
        <f t="shared" ref="AG28" si="135">AG27/AG26</f>
        <v>1.4639175257731958</v>
      </c>
      <c r="AH28" s="830">
        <f t="shared" ref="AH28" si="136">AH27/AH26</f>
        <v>1.2470588235294118</v>
      </c>
      <c r="AI28" s="830">
        <f t="shared" ref="AI28" si="137">AI27/AI26</f>
        <v>1.3689839572192513</v>
      </c>
      <c r="AJ28" s="830">
        <f t="shared" ref="AJ28" si="138">AJ27/AJ26</f>
        <v>1.3720930232558139</v>
      </c>
      <c r="AK28" s="830">
        <f t="shared" ref="AK28" si="139">AK27/AK26</f>
        <v>1.3755656108597285</v>
      </c>
      <c r="AL28" s="830">
        <f t="shared" ref="AL28" si="140">AL27/AL26</f>
        <v>1.4322580645161291</v>
      </c>
      <c r="AM28" s="830">
        <f t="shared" ref="AM28" si="141">AM27/AM26</f>
        <v>1.5193133047210301</v>
      </c>
      <c r="AN28" s="830">
        <f t="shared" ref="AN28" si="142">AN27/AN26</f>
        <v>1.3539823008849559</v>
      </c>
      <c r="AO28" s="830">
        <v>0</v>
      </c>
      <c r="AP28" s="830">
        <f t="shared" ref="AP28" si="143">AP27/AP26</f>
        <v>1.5249999999999999</v>
      </c>
      <c r="AQ28" s="830">
        <f t="shared" ref="AQ28" si="144">AQ27/AQ26</f>
        <v>1.5</v>
      </c>
      <c r="AR28" s="830">
        <f t="shared" ref="AR28" si="145">AR27/AR26</f>
        <v>1.4157303370786516</v>
      </c>
      <c r="AS28" s="830">
        <f t="shared" ref="AS28" si="146">AS27/AS26</f>
        <v>1.4180327868852458</v>
      </c>
      <c r="AT28" s="830">
        <f t="shared" ref="AT28" si="147">AT27/AT26</f>
        <v>1.5732484076433122</v>
      </c>
      <c r="AU28" s="830">
        <f t="shared" ref="AU28" si="148">AU27/AU26</f>
        <v>1.4150943396226414</v>
      </c>
      <c r="AV28" s="830">
        <f t="shared" ref="AV28" si="149">AV27/AV26</f>
        <v>1.5213675213675213</v>
      </c>
      <c r="AW28" s="830">
        <f t="shared" ref="AW28" si="150">AW27/AW26</f>
        <v>1.4490740740740742</v>
      </c>
      <c r="AX28" s="830">
        <f t="shared" ref="AX28" si="151">AX27/AX26</f>
        <v>1.3654618473895583</v>
      </c>
      <c r="AY28" s="830">
        <f t="shared" ref="AY28" si="152">AY27/AY26</f>
        <v>1.3125</v>
      </c>
      <c r="AZ28" s="830">
        <v>0</v>
      </c>
      <c r="BA28" s="831">
        <f t="shared" ref="BA28" si="153">BA27/BA26</f>
        <v>0</v>
      </c>
      <c r="BB28" s="801">
        <f t="shared" ref="BB28" si="154">BB27/BB26</f>
        <v>1.3845711088354906</v>
      </c>
      <c r="BC28" s="1026"/>
    </row>
    <row r="29" spans="1:55" ht="15" thickBot="1" x14ac:dyDescent="0.25">
      <c r="A29" s="806">
        <v>2022</v>
      </c>
      <c r="B29" s="807"/>
    </row>
    <row r="30" spans="1:55" ht="15" thickBot="1" x14ac:dyDescent="0.25">
      <c r="A30" s="806" t="s">
        <v>690</v>
      </c>
      <c r="B30" s="808">
        <v>1</v>
      </c>
      <c r="C30" s="809">
        <v>2</v>
      </c>
      <c r="D30" s="809">
        <v>3</v>
      </c>
      <c r="E30" s="809">
        <v>4</v>
      </c>
      <c r="F30" s="809">
        <v>5</v>
      </c>
      <c r="G30" s="809">
        <v>6</v>
      </c>
      <c r="H30" s="809">
        <v>7</v>
      </c>
      <c r="I30" s="809">
        <v>8</v>
      </c>
      <c r="J30" s="809">
        <v>9</v>
      </c>
      <c r="K30" s="809">
        <v>10</v>
      </c>
      <c r="L30" s="809">
        <v>11</v>
      </c>
      <c r="M30" s="809">
        <v>12</v>
      </c>
      <c r="N30" s="809">
        <v>13</v>
      </c>
      <c r="O30" s="809">
        <v>14</v>
      </c>
      <c r="P30" s="809">
        <v>15</v>
      </c>
      <c r="Q30" s="809">
        <v>16</v>
      </c>
      <c r="R30" s="809">
        <v>17</v>
      </c>
      <c r="S30" s="809">
        <v>18</v>
      </c>
      <c r="T30" s="809">
        <v>19</v>
      </c>
      <c r="U30" s="809">
        <v>20</v>
      </c>
      <c r="V30" s="809">
        <v>21</v>
      </c>
      <c r="W30" s="809">
        <v>22</v>
      </c>
      <c r="X30" s="809">
        <v>23</v>
      </c>
      <c r="Y30" s="809">
        <v>24</v>
      </c>
      <c r="Z30" s="809">
        <v>25</v>
      </c>
      <c r="AA30" s="809">
        <v>26</v>
      </c>
      <c r="AB30" s="809">
        <v>27</v>
      </c>
      <c r="AC30" s="809">
        <v>28</v>
      </c>
      <c r="AD30" s="809">
        <v>29</v>
      </c>
      <c r="AE30" s="809">
        <v>30</v>
      </c>
      <c r="AF30" s="809">
        <v>31</v>
      </c>
      <c r="AG30" s="809">
        <v>32</v>
      </c>
      <c r="AH30" s="809">
        <v>33</v>
      </c>
      <c r="AI30" s="809">
        <v>34</v>
      </c>
      <c r="AJ30" s="809">
        <v>35</v>
      </c>
      <c r="AK30" s="809">
        <v>36</v>
      </c>
      <c r="AL30" s="809">
        <v>37</v>
      </c>
      <c r="AM30" s="809">
        <v>38</v>
      </c>
      <c r="AN30" s="809">
        <v>39</v>
      </c>
      <c r="AO30" s="809">
        <v>40</v>
      </c>
      <c r="AP30" s="809">
        <v>41</v>
      </c>
      <c r="AQ30" s="809">
        <v>42</v>
      </c>
      <c r="AR30" s="809">
        <v>43</v>
      </c>
      <c r="AS30" s="809">
        <v>44</v>
      </c>
      <c r="AT30" s="809">
        <v>45</v>
      </c>
      <c r="AU30" s="809">
        <v>46</v>
      </c>
      <c r="AV30" s="809">
        <v>47</v>
      </c>
      <c r="AW30" s="809">
        <v>48</v>
      </c>
      <c r="AX30" s="809">
        <v>49</v>
      </c>
      <c r="AY30" s="809">
        <v>50</v>
      </c>
      <c r="AZ30" s="809">
        <v>51</v>
      </c>
      <c r="BA30" s="834">
        <v>52</v>
      </c>
      <c r="BB30" s="806" t="s">
        <v>229</v>
      </c>
    </row>
    <row r="31" spans="1:55" ht="15" thickBot="1" x14ac:dyDescent="0.25">
      <c r="A31" s="806" t="s">
        <v>4</v>
      </c>
      <c r="B31" s="812" t="s">
        <v>786</v>
      </c>
      <c r="C31" s="812" t="s">
        <v>786</v>
      </c>
      <c r="D31" s="812" t="s">
        <v>786</v>
      </c>
      <c r="E31" s="812" t="s">
        <v>786</v>
      </c>
      <c r="F31" s="816" t="s">
        <v>788</v>
      </c>
      <c r="G31" s="815" t="s">
        <v>787</v>
      </c>
      <c r="H31" s="815" t="s">
        <v>787</v>
      </c>
      <c r="I31" s="815" t="s">
        <v>787</v>
      </c>
      <c r="J31" s="815" t="s">
        <v>787</v>
      </c>
      <c r="K31" s="816" t="s">
        <v>788</v>
      </c>
      <c r="L31" s="815" t="s">
        <v>787</v>
      </c>
      <c r="M31" s="815" t="s">
        <v>787</v>
      </c>
      <c r="N31" s="815" t="s">
        <v>787</v>
      </c>
      <c r="O31" s="815" t="s">
        <v>787</v>
      </c>
      <c r="P31" s="816" t="s">
        <v>788</v>
      </c>
      <c r="Q31" s="815" t="s">
        <v>787</v>
      </c>
      <c r="R31" s="815" t="s">
        <v>787</v>
      </c>
      <c r="S31" s="815" t="s">
        <v>787</v>
      </c>
      <c r="T31" s="817" t="s">
        <v>789</v>
      </c>
      <c r="U31" s="814" t="s">
        <v>788</v>
      </c>
      <c r="V31" s="812" t="s">
        <v>786</v>
      </c>
      <c r="W31" s="812" t="s">
        <v>786</v>
      </c>
      <c r="X31" s="812" t="s">
        <v>786</v>
      </c>
      <c r="Y31" s="812" t="s">
        <v>786</v>
      </c>
      <c r="Z31" s="812" t="s">
        <v>786</v>
      </c>
      <c r="AA31" s="812" t="s">
        <v>786</v>
      </c>
      <c r="AB31" s="812" t="s">
        <v>786</v>
      </c>
      <c r="AC31" s="812" t="s">
        <v>786</v>
      </c>
      <c r="AD31" s="812" t="s">
        <v>786</v>
      </c>
      <c r="AE31" s="812" t="s">
        <v>786</v>
      </c>
      <c r="AF31" s="812" t="s">
        <v>786</v>
      </c>
      <c r="AG31" s="812" t="s">
        <v>786</v>
      </c>
      <c r="AH31" s="812" t="s">
        <v>786</v>
      </c>
      <c r="AI31" s="812" t="s">
        <v>786</v>
      </c>
      <c r="AJ31" s="812" t="s">
        <v>786</v>
      </c>
      <c r="AK31" s="812" t="s">
        <v>786</v>
      </c>
      <c r="AL31" s="812" t="s">
        <v>786</v>
      </c>
      <c r="AM31" s="812" t="s">
        <v>786</v>
      </c>
      <c r="AN31" s="812" t="s">
        <v>786</v>
      </c>
      <c r="AO31" s="812" t="s">
        <v>786</v>
      </c>
      <c r="AP31" s="812" t="s">
        <v>786</v>
      </c>
      <c r="AQ31" s="812" t="s">
        <v>786</v>
      </c>
      <c r="AR31" s="812" t="s">
        <v>786</v>
      </c>
      <c r="AS31" s="812" t="s">
        <v>786</v>
      </c>
      <c r="AT31" s="812" t="s">
        <v>786</v>
      </c>
      <c r="AU31" s="812" t="s">
        <v>786</v>
      </c>
      <c r="AV31" s="812" t="s">
        <v>786</v>
      </c>
      <c r="AW31" s="812" t="s">
        <v>786</v>
      </c>
      <c r="AX31" s="812" t="s">
        <v>786</v>
      </c>
      <c r="AY31" s="812" t="s">
        <v>786</v>
      </c>
      <c r="AZ31" s="812" t="s">
        <v>786</v>
      </c>
      <c r="BA31" s="812" t="s">
        <v>786</v>
      </c>
      <c r="BB31" s="818"/>
    </row>
    <row r="32" spans="1:55" x14ac:dyDescent="0.2">
      <c r="A32" s="3270" t="s">
        <v>429</v>
      </c>
      <c r="B32" s="2611">
        <f>'2018+'!B1468</f>
        <v>30.409999999999997</v>
      </c>
      <c r="C32" s="2612">
        <f>'2018+'!B1475</f>
        <v>40.020000000000003</v>
      </c>
      <c r="D32" s="2612">
        <f>'2018+'!B1482</f>
        <v>43.65</v>
      </c>
      <c r="E32" s="2612">
        <f>'2018+'!B1489</f>
        <v>48.040000000000006</v>
      </c>
      <c r="F32" s="2612">
        <f>'2018+'!B1496</f>
        <v>26.16</v>
      </c>
      <c r="G32" s="2612">
        <f>'2018+'!B1503</f>
        <v>59</v>
      </c>
      <c r="H32" s="2612">
        <f>'2018+'!B1510</f>
        <v>59.39</v>
      </c>
      <c r="I32" s="2612">
        <f>'2018+'!B1517</f>
        <v>64.180000000000007</v>
      </c>
      <c r="J32" s="2612">
        <f>'2018+'!B1524</f>
        <v>35.020000000000003</v>
      </c>
      <c r="K32" s="2612">
        <f>'2018+'!B1531</f>
        <v>35.78</v>
      </c>
      <c r="L32" s="2612">
        <f>'2018+'!B1538</f>
        <v>53.269999999999996</v>
      </c>
      <c r="M32" s="2612">
        <f>'2018+'!B1545</f>
        <v>50.88000000000001</v>
      </c>
      <c r="N32" s="2612">
        <f>'2018+'!B1552</f>
        <v>63.63</v>
      </c>
      <c r="O32" s="2612">
        <f>'2018+'!B1559</f>
        <v>43.029999999999994</v>
      </c>
      <c r="P32" s="2612">
        <f>'2018+'!B1566</f>
        <v>30.020000000000003</v>
      </c>
      <c r="Q32" s="2612">
        <f>'2018+'!B1573</f>
        <v>38.42</v>
      </c>
      <c r="R32" s="2612">
        <f>'2018+'!B1580</f>
        <v>49</v>
      </c>
      <c r="S32" s="2612">
        <f>'2018+'!B1587</f>
        <v>32.36</v>
      </c>
      <c r="T32" s="2612">
        <f>'2018+'!B1594</f>
        <v>7.36</v>
      </c>
      <c r="U32" s="2612">
        <f>'2018+'!B1601</f>
        <v>25.47</v>
      </c>
      <c r="V32" s="2612">
        <f>'2018+'!B1608</f>
        <v>38.35</v>
      </c>
      <c r="W32" s="2612">
        <f>'2018+'!B1615</f>
        <v>35.880000000000003</v>
      </c>
      <c r="X32" s="2612">
        <f>'2018+'!B1622</f>
        <v>47.02</v>
      </c>
      <c r="Y32" s="2612">
        <f>'2018+'!B1629</f>
        <v>21.740000000000002</v>
      </c>
      <c r="Z32" s="2612">
        <f>'2018+'!B1636</f>
        <v>32.08</v>
      </c>
      <c r="AA32" s="2612">
        <f>'2018+'!B1643</f>
        <v>27.25</v>
      </c>
      <c r="AB32" s="2612">
        <f>'2018+'!B1650</f>
        <v>38.44</v>
      </c>
      <c r="AC32" s="2612">
        <f>'2018+'!B1657</f>
        <v>33.44</v>
      </c>
      <c r="AD32" s="2612">
        <f>'2018+'!B1664</f>
        <v>34.159999999999997</v>
      </c>
      <c r="AE32" s="2612">
        <f>'2018+'!B1671</f>
        <v>9.92</v>
      </c>
      <c r="AF32" s="2612">
        <f>'2018+'!B1678</f>
        <v>32.950000000000003</v>
      </c>
      <c r="AG32" s="2612">
        <f>'2018+'!B1685</f>
        <v>15.17</v>
      </c>
      <c r="AH32" s="2612">
        <f>'2018+'!B1692</f>
        <v>32.200000000000003</v>
      </c>
      <c r="AI32" s="2612">
        <f>'2018+'!B1699</f>
        <v>33.790000000000006</v>
      </c>
      <c r="AJ32" s="2612">
        <f>'2018+'!B1706</f>
        <v>15.05</v>
      </c>
      <c r="AK32" s="2612">
        <f>'2018+'!B1713</f>
        <v>29.9</v>
      </c>
      <c r="AL32" s="2612">
        <f>'2018+'!B1720</f>
        <v>29.15</v>
      </c>
      <c r="AM32" s="2612">
        <f>'2018+'!B1727</f>
        <v>10.6</v>
      </c>
      <c r="AN32" s="2612">
        <f>'2018+'!B1734</f>
        <v>20.560000000000002</v>
      </c>
      <c r="AO32" s="2612">
        <f>'2018+'!B1741</f>
        <v>17.649999999999999</v>
      </c>
      <c r="AP32" s="2612">
        <f>'2018+'!B1748</f>
        <v>0</v>
      </c>
      <c r="AQ32" s="2612">
        <f>'2018+'!B1755</f>
        <v>0</v>
      </c>
      <c r="AR32" s="2612">
        <f>'2018+'!B1762</f>
        <v>0</v>
      </c>
      <c r="AS32" s="2612">
        <f>'2018+'!B1769</f>
        <v>0</v>
      </c>
      <c r="AT32" s="2612">
        <f>'2018+'!B1776</f>
        <v>16.850000000000001</v>
      </c>
      <c r="AU32" s="2612">
        <f>'2018+'!B1783</f>
        <v>19.82</v>
      </c>
      <c r="AV32" s="2612">
        <f>'2018+'!B1790</f>
        <v>22.869999999999997</v>
      </c>
      <c r="AW32" s="2612">
        <f>'2018+'!B1797</f>
        <v>12.780000000000001</v>
      </c>
      <c r="AX32" s="2612">
        <f>'2018+'!B1804</f>
        <v>14.33</v>
      </c>
      <c r="AY32" s="2612">
        <f>'2018+'!B1811</f>
        <v>0</v>
      </c>
      <c r="AZ32" s="2612">
        <f>'2018+'!B1818</f>
        <v>25.86</v>
      </c>
      <c r="BA32" s="829">
        <f>'2018+'!B1825</f>
        <v>34.659999999999997</v>
      </c>
      <c r="BB32" s="822">
        <f>SUM(B32:BA32)</f>
        <v>1537.56</v>
      </c>
    </row>
    <row r="33" spans="1:55" ht="15" thickBot="1" x14ac:dyDescent="0.25">
      <c r="A33" s="3271" t="s">
        <v>628</v>
      </c>
      <c r="B33" s="2613">
        <f>'2018+'!B1470</f>
        <v>197</v>
      </c>
      <c r="C33" s="2614">
        <f>'2018+'!B1477</f>
        <v>264</v>
      </c>
      <c r="D33" s="2614">
        <f>'2018+'!B1484</f>
        <v>288</v>
      </c>
      <c r="E33" s="2614">
        <f>'2018+'!B1491</f>
        <v>337.72249999999997</v>
      </c>
      <c r="F33" s="2614">
        <f>'2018+'!B1498</f>
        <v>167</v>
      </c>
      <c r="G33" s="2614">
        <f>'2018+'!B1505</f>
        <v>392</v>
      </c>
      <c r="H33" s="2614">
        <f>'2018+'!B1512</f>
        <v>421</v>
      </c>
      <c r="I33" s="2614">
        <f>'2018+'!B1519</f>
        <v>455</v>
      </c>
      <c r="J33" s="2614">
        <f>'2018+'!B1526</f>
        <v>254</v>
      </c>
      <c r="K33" s="2614">
        <f>'2018+'!B1533</f>
        <v>240</v>
      </c>
      <c r="L33" s="2614">
        <f>'2018+'!B1540</f>
        <v>376</v>
      </c>
      <c r="M33" s="2614">
        <f>'2018+'!B1547</f>
        <v>355</v>
      </c>
      <c r="N33" s="2614">
        <f>'2018+'!B1554</f>
        <v>430</v>
      </c>
      <c r="O33" s="2614">
        <f>'2018+'!B1561</f>
        <v>295</v>
      </c>
      <c r="P33" s="2614">
        <f>'2018+'!B1568</f>
        <v>198</v>
      </c>
      <c r="Q33" s="2614">
        <f>'2018+'!B1575</f>
        <v>260</v>
      </c>
      <c r="R33" s="2614">
        <f>'2018+'!B1582</f>
        <v>339</v>
      </c>
      <c r="S33" s="2614">
        <f>'2018+'!B1589</f>
        <v>225</v>
      </c>
      <c r="T33" s="2614">
        <f>'2018+'!B1596</f>
        <v>47</v>
      </c>
      <c r="U33" s="2614">
        <f>'2018+'!B1603</f>
        <v>163</v>
      </c>
      <c r="V33" s="2614">
        <f>'2018+'!B1610</f>
        <v>246</v>
      </c>
      <c r="W33" s="2614">
        <f>'2018+'!B1617</f>
        <v>228</v>
      </c>
      <c r="X33" s="2614">
        <f>'2018+'!B1624</f>
        <v>302</v>
      </c>
      <c r="Y33" s="2614">
        <f>'2018+'!B1631</f>
        <v>141</v>
      </c>
      <c r="Z33" s="2614">
        <f>'2018+'!B1638</f>
        <v>203</v>
      </c>
      <c r="AA33" s="2614">
        <f>'2018+'!B1645</f>
        <v>168</v>
      </c>
      <c r="AB33" s="2614">
        <f>'2018+'!B1652</f>
        <v>251</v>
      </c>
      <c r="AC33" s="2614">
        <f>'2018+'!B1659</f>
        <v>209</v>
      </c>
      <c r="AD33" s="2614">
        <f>'2018+'!B1666</f>
        <v>217</v>
      </c>
      <c r="AE33" s="2614">
        <f>'2018+'!B1673</f>
        <v>58</v>
      </c>
      <c r="AF33" s="2614">
        <f>'2018+'!B1680</f>
        <v>197</v>
      </c>
      <c r="AG33" s="2614">
        <f>'2018+'!B1687</f>
        <v>97</v>
      </c>
      <c r="AH33" s="2614">
        <f>'2018+'!B1694</f>
        <v>206</v>
      </c>
      <c r="AI33" s="2614">
        <f>'2018+'!B1701</f>
        <v>222</v>
      </c>
      <c r="AJ33" s="2614">
        <f>'2018+'!B1708</f>
        <v>95</v>
      </c>
      <c r="AK33" s="2614">
        <f>'2018+'!B1715</f>
        <v>189</v>
      </c>
      <c r="AL33" s="2614">
        <f>'2018+'!B1722</f>
        <v>194</v>
      </c>
      <c r="AM33" s="2614">
        <f>'2018+'!B1729</f>
        <v>59</v>
      </c>
      <c r="AN33" s="2614">
        <f>'2018+'!B1736</f>
        <v>126</v>
      </c>
      <c r="AO33" s="2614">
        <f>'2018+'!B1743</f>
        <v>110</v>
      </c>
      <c r="AP33" s="2614">
        <f>'2018+'!B1750</f>
        <v>0</v>
      </c>
      <c r="AQ33" s="2614">
        <f>'2018+'!B1757</f>
        <v>0</v>
      </c>
      <c r="AR33" s="2614">
        <f>'2018+'!B1764</f>
        <v>0</v>
      </c>
      <c r="AS33" s="2614">
        <f>'2018+'!B1771</f>
        <v>0</v>
      </c>
      <c r="AT33" s="2614">
        <f>'2018+'!B1778</f>
        <v>99</v>
      </c>
      <c r="AU33" s="2614">
        <f>'2018+'!B1785</f>
        <v>121</v>
      </c>
      <c r="AV33" s="2614">
        <f>'2018+'!B1792</f>
        <v>158</v>
      </c>
      <c r="AW33" s="2614">
        <f>'2018+'!B1799</f>
        <v>88</v>
      </c>
      <c r="AX33" s="2614">
        <f>'2018+'!B1806</f>
        <v>95</v>
      </c>
      <c r="AY33" s="2614">
        <f>'2018+'!B1813</f>
        <v>0</v>
      </c>
      <c r="AZ33" s="2614">
        <f>'2018+'!B1820</f>
        <v>176</v>
      </c>
      <c r="BA33" s="909">
        <f>'2018+'!B1827</f>
        <v>236</v>
      </c>
      <c r="BB33" s="826">
        <f t="shared" ref="BB33:BB34" si="155">SUM(B33:BA33)</f>
        <v>10194.7225</v>
      </c>
    </row>
    <row r="34" spans="1:55" ht="15" thickBot="1" x14ac:dyDescent="0.25">
      <c r="A34" s="3274" t="s">
        <v>860</v>
      </c>
      <c r="B34" s="835">
        <v>302</v>
      </c>
      <c r="C34" s="836">
        <v>357</v>
      </c>
      <c r="D34" s="836">
        <v>421</v>
      </c>
      <c r="E34" s="836">
        <v>452</v>
      </c>
      <c r="F34" s="836">
        <v>230</v>
      </c>
      <c r="G34" s="836">
        <v>531</v>
      </c>
      <c r="H34" s="836">
        <v>497</v>
      </c>
      <c r="I34" s="836">
        <v>553</v>
      </c>
      <c r="J34" s="836">
        <v>329</v>
      </c>
      <c r="K34" s="836">
        <v>290</v>
      </c>
      <c r="L34" s="836">
        <v>446</v>
      </c>
      <c r="M34" s="836">
        <v>526</v>
      </c>
      <c r="N34" s="836">
        <v>537</v>
      </c>
      <c r="O34" s="836">
        <v>340</v>
      </c>
      <c r="P34" s="836">
        <v>247</v>
      </c>
      <c r="Q34" s="836">
        <v>303</v>
      </c>
      <c r="R34" s="836">
        <v>417</v>
      </c>
      <c r="S34" s="836">
        <v>286</v>
      </c>
      <c r="T34" s="836">
        <v>69</v>
      </c>
      <c r="U34" s="836">
        <v>230</v>
      </c>
      <c r="V34" s="836">
        <v>361</v>
      </c>
      <c r="W34" s="836">
        <v>316</v>
      </c>
      <c r="X34" s="836">
        <v>516</v>
      </c>
      <c r="Y34" s="836">
        <v>219</v>
      </c>
      <c r="Z34" s="836">
        <v>265</v>
      </c>
      <c r="AA34" s="836">
        <v>223</v>
      </c>
      <c r="AB34" s="836">
        <v>335</v>
      </c>
      <c r="AC34" s="836">
        <v>292</v>
      </c>
      <c r="AD34" s="836">
        <v>313</v>
      </c>
      <c r="AE34" s="836">
        <v>107</v>
      </c>
      <c r="AF34" s="836">
        <v>294</v>
      </c>
      <c r="AG34" s="836">
        <v>130</v>
      </c>
      <c r="AH34" s="836">
        <v>304</v>
      </c>
      <c r="AI34" s="836">
        <v>374</v>
      </c>
      <c r="AJ34" s="836">
        <v>120</v>
      </c>
      <c r="AK34" s="836">
        <v>257</v>
      </c>
      <c r="AL34" s="836">
        <v>276</v>
      </c>
      <c r="AM34" s="836">
        <v>90</v>
      </c>
      <c r="AN34" s="836">
        <v>178</v>
      </c>
      <c r="AO34" s="836">
        <v>174</v>
      </c>
      <c r="AP34" s="836">
        <v>0</v>
      </c>
      <c r="AQ34" s="836">
        <v>0</v>
      </c>
      <c r="AR34" s="836">
        <v>0</v>
      </c>
      <c r="AS34" s="836">
        <v>0</v>
      </c>
      <c r="AT34" s="836">
        <v>172</v>
      </c>
      <c r="AU34" s="836">
        <v>188</v>
      </c>
      <c r="AV34" s="836"/>
      <c r="AW34" s="836"/>
      <c r="AX34" s="836"/>
      <c r="AY34" s="836"/>
      <c r="AZ34" s="836"/>
      <c r="BA34" s="837"/>
      <c r="BB34" s="832">
        <f t="shared" si="155"/>
        <v>12867</v>
      </c>
    </row>
    <row r="35" spans="1:55" ht="15" thickBot="1" x14ac:dyDescent="0.25">
      <c r="A35" s="3273" t="s">
        <v>872</v>
      </c>
      <c r="B35" s="830">
        <f t="shared" ref="B35:M35" si="156">B34/B33</f>
        <v>1.532994923857868</v>
      </c>
      <c r="C35" s="830">
        <f t="shared" si="156"/>
        <v>1.3522727272727273</v>
      </c>
      <c r="D35" s="830">
        <f t="shared" si="156"/>
        <v>1.4618055555555556</v>
      </c>
      <c r="E35" s="830">
        <f t="shared" si="156"/>
        <v>1.3383769218811303</v>
      </c>
      <c r="F35" s="830">
        <f t="shared" si="156"/>
        <v>1.3772455089820359</v>
      </c>
      <c r="G35" s="830">
        <f t="shared" si="156"/>
        <v>1.3545918367346939</v>
      </c>
      <c r="H35" s="830">
        <f t="shared" si="156"/>
        <v>1.180522565320665</v>
      </c>
      <c r="I35" s="830">
        <f t="shared" si="156"/>
        <v>1.2153846153846153</v>
      </c>
      <c r="J35" s="830">
        <f t="shared" si="156"/>
        <v>1.295275590551181</v>
      </c>
      <c r="K35" s="830">
        <f t="shared" si="156"/>
        <v>1.2083333333333333</v>
      </c>
      <c r="L35" s="830">
        <f t="shared" si="156"/>
        <v>1.1861702127659575</v>
      </c>
      <c r="M35" s="830">
        <f t="shared" si="156"/>
        <v>1.4816901408450704</v>
      </c>
      <c r="N35" s="830">
        <f>N34/N33</f>
        <v>1.2488372093023257</v>
      </c>
      <c r="O35" s="830">
        <f t="shared" ref="O35:S35" si="157">O34/O33</f>
        <v>1.152542372881356</v>
      </c>
      <c r="P35" s="830">
        <f t="shared" si="157"/>
        <v>1.2474747474747474</v>
      </c>
      <c r="Q35" s="830">
        <f t="shared" si="157"/>
        <v>1.1653846153846155</v>
      </c>
      <c r="R35" s="830">
        <f t="shared" si="157"/>
        <v>1.2300884955752212</v>
      </c>
      <c r="S35" s="830">
        <f t="shared" si="157"/>
        <v>1.2711111111111111</v>
      </c>
      <c r="T35" s="830">
        <f>T34/T33</f>
        <v>1.4680851063829787</v>
      </c>
      <c r="U35" s="830">
        <f t="shared" ref="U35:AD35" si="158">U34/U33</f>
        <v>1.4110429447852761</v>
      </c>
      <c r="V35" s="830">
        <f t="shared" si="158"/>
        <v>1.467479674796748</v>
      </c>
      <c r="W35" s="830">
        <f t="shared" si="158"/>
        <v>1.3859649122807018</v>
      </c>
      <c r="X35" s="830">
        <f t="shared" si="158"/>
        <v>1.7086092715231789</v>
      </c>
      <c r="Y35" s="830">
        <f t="shared" si="158"/>
        <v>1.553191489361702</v>
      </c>
      <c r="Z35" s="830">
        <f t="shared" si="158"/>
        <v>1.3054187192118227</v>
      </c>
      <c r="AA35" s="830">
        <f t="shared" si="158"/>
        <v>1.3273809523809523</v>
      </c>
      <c r="AB35" s="830">
        <f t="shared" si="158"/>
        <v>1.3346613545816732</v>
      </c>
      <c r="AC35" s="830">
        <f t="shared" si="158"/>
        <v>1.3971291866028708</v>
      </c>
      <c r="AD35" s="830">
        <f t="shared" si="158"/>
        <v>1.4423963133640554</v>
      </c>
      <c r="AE35" s="830">
        <f t="shared" ref="AE35:AO35" si="159">AE34/AE33</f>
        <v>1.8448275862068966</v>
      </c>
      <c r="AF35" s="830">
        <f t="shared" si="159"/>
        <v>1.4923857868020305</v>
      </c>
      <c r="AG35" s="830">
        <f t="shared" si="159"/>
        <v>1.3402061855670102</v>
      </c>
      <c r="AH35" s="830">
        <f t="shared" si="159"/>
        <v>1.4757281553398058</v>
      </c>
      <c r="AI35" s="830">
        <f t="shared" si="159"/>
        <v>1.6846846846846846</v>
      </c>
      <c r="AJ35" s="830">
        <f t="shared" si="159"/>
        <v>1.263157894736842</v>
      </c>
      <c r="AK35" s="830">
        <f t="shared" si="159"/>
        <v>1.3597883597883598</v>
      </c>
      <c r="AL35" s="830">
        <f t="shared" si="159"/>
        <v>1.4226804123711341</v>
      </c>
      <c r="AM35" s="830">
        <f t="shared" si="159"/>
        <v>1.5254237288135593</v>
      </c>
      <c r="AN35" s="830">
        <f t="shared" si="159"/>
        <v>1.4126984126984128</v>
      </c>
      <c r="AO35" s="830">
        <f t="shared" si="159"/>
        <v>1.5818181818181818</v>
      </c>
      <c r="AP35" s="830" t="e">
        <f t="shared" ref="AP35:BB35" si="160">AP34/AP33</f>
        <v>#DIV/0!</v>
      </c>
      <c r="AQ35" s="830" t="e">
        <f t="shared" si="160"/>
        <v>#DIV/0!</v>
      </c>
      <c r="AR35" s="830" t="e">
        <f t="shared" si="160"/>
        <v>#DIV/0!</v>
      </c>
      <c r="AS35" s="830" t="e">
        <f t="shared" si="160"/>
        <v>#DIV/0!</v>
      </c>
      <c r="AT35" s="830">
        <f t="shared" si="160"/>
        <v>1.7373737373737375</v>
      </c>
      <c r="AU35" s="830">
        <f t="shared" si="160"/>
        <v>1.5537190082644627</v>
      </c>
      <c r="AV35" s="830">
        <f t="shared" si="160"/>
        <v>0</v>
      </c>
      <c r="AW35" s="830">
        <f t="shared" si="160"/>
        <v>0</v>
      </c>
      <c r="AX35" s="830">
        <f t="shared" si="160"/>
        <v>0</v>
      </c>
      <c r="AY35" s="830" t="e">
        <f t="shared" si="160"/>
        <v>#DIV/0!</v>
      </c>
      <c r="AZ35" s="830">
        <f t="shared" si="160"/>
        <v>0</v>
      </c>
      <c r="BA35" s="831">
        <f t="shared" si="160"/>
        <v>0</v>
      </c>
      <c r="BB35" s="801">
        <f t="shared" si="160"/>
        <v>1.2621236134676546</v>
      </c>
      <c r="BC35" s="1026"/>
    </row>
    <row r="36" spans="1:55" ht="15" thickBot="1" x14ac:dyDescent="0.25">
      <c r="A36" s="806">
        <v>2023</v>
      </c>
      <c r="B36" s="807"/>
    </row>
    <row r="37" spans="1:55" ht="15" thickBot="1" x14ac:dyDescent="0.25">
      <c r="A37" s="806" t="s">
        <v>690</v>
      </c>
      <c r="B37" s="808">
        <v>1</v>
      </c>
      <c r="C37" s="809">
        <v>2</v>
      </c>
      <c r="D37" s="809">
        <v>3</v>
      </c>
      <c r="E37" s="809">
        <v>4</v>
      </c>
      <c r="F37" s="809">
        <v>5</v>
      </c>
      <c r="G37" s="809">
        <v>6</v>
      </c>
      <c r="H37" s="809">
        <v>7</v>
      </c>
      <c r="I37" s="809">
        <v>8</v>
      </c>
      <c r="J37" s="809">
        <v>9</v>
      </c>
      <c r="K37" s="809">
        <v>10</v>
      </c>
      <c r="L37" s="809">
        <v>11</v>
      </c>
      <c r="M37" s="809">
        <v>12</v>
      </c>
      <c r="N37" s="809">
        <v>13</v>
      </c>
      <c r="O37" s="809">
        <v>14</v>
      </c>
      <c r="P37" s="809">
        <v>15</v>
      </c>
      <c r="Q37" s="809">
        <v>16</v>
      </c>
      <c r="R37" s="809">
        <v>17</v>
      </c>
      <c r="S37" s="809">
        <v>18</v>
      </c>
      <c r="T37" s="809">
        <v>19</v>
      </c>
      <c r="U37" s="809">
        <v>20</v>
      </c>
      <c r="V37" s="809">
        <v>21</v>
      </c>
      <c r="W37" s="809">
        <v>22</v>
      </c>
      <c r="X37" s="809">
        <v>23</v>
      </c>
      <c r="Y37" s="809">
        <v>24</v>
      </c>
      <c r="Z37" s="809">
        <v>25</v>
      </c>
      <c r="AA37" s="809">
        <v>26</v>
      </c>
      <c r="AB37" s="809">
        <v>27</v>
      </c>
      <c r="AC37" s="809">
        <v>28</v>
      </c>
      <c r="AD37" s="809">
        <v>29</v>
      </c>
      <c r="AE37" s="809">
        <v>30</v>
      </c>
      <c r="AF37" s="809">
        <v>31</v>
      </c>
      <c r="AG37" s="809">
        <v>32</v>
      </c>
      <c r="AH37" s="809">
        <v>33</v>
      </c>
      <c r="AI37" s="809">
        <v>34</v>
      </c>
      <c r="AJ37" s="809">
        <v>35</v>
      </c>
      <c r="AK37" s="809">
        <v>36</v>
      </c>
      <c r="AL37" s="809">
        <v>37</v>
      </c>
      <c r="AM37" s="809">
        <v>38</v>
      </c>
      <c r="AN37" s="809">
        <v>39</v>
      </c>
      <c r="AO37" s="809">
        <v>40</v>
      </c>
      <c r="AP37" s="809">
        <v>41</v>
      </c>
      <c r="AQ37" s="809">
        <v>42</v>
      </c>
      <c r="AR37" s="809">
        <v>43</v>
      </c>
      <c r="AS37" s="809">
        <v>44</v>
      </c>
      <c r="AT37" s="809">
        <v>45</v>
      </c>
      <c r="AU37" s="809">
        <v>46</v>
      </c>
      <c r="AV37" s="809">
        <v>47</v>
      </c>
      <c r="AW37" s="809">
        <v>48</v>
      </c>
      <c r="AX37" s="809">
        <v>49</v>
      </c>
      <c r="AY37" s="809">
        <v>50</v>
      </c>
      <c r="AZ37" s="809">
        <v>51</v>
      </c>
      <c r="BA37" s="834">
        <v>52</v>
      </c>
      <c r="BB37" s="806" t="s">
        <v>229</v>
      </c>
    </row>
    <row r="38" spans="1:55" ht="15" thickBot="1" x14ac:dyDescent="0.25">
      <c r="A38" s="3275" t="s">
        <v>4</v>
      </c>
      <c r="B38" s="2928" t="s">
        <v>786</v>
      </c>
      <c r="C38" s="2928" t="s">
        <v>786</v>
      </c>
      <c r="D38" s="2928" t="s">
        <v>786</v>
      </c>
      <c r="E38" s="2929" t="s">
        <v>969</v>
      </c>
      <c r="F38" s="2929" t="s">
        <v>969</v>
      </c>
      <c r="G38" s="2929" t="s">
        <v>969</v>
      </c>
      <c r="H38" s="2929" t="s">
        <v>969</v>
      </c>
      <c r="I38" s="2929" t="s">
        <v>969</v>
      </c>
      <c r="J38" s="2929" t="s">
        <v>969</v>
      </c>
      <c r="K38" s="2929" t="s">
        <v>969</v>
      </c>
      <c r="L38" s="2929" t="s">
        <v>969</v>
      </c>
      <c r="M38" s="2929" t="s">
        <v>969</v>
      </c>
      <c r="N38" s="2929" t="s">
        <v>969</v>
      </c>
      <c r="O38" s="2929" t="s">
        <v>969</v>
      </c>
      <c r="P38" s="2929" t="s">
        <v>969</v>
      </c>
      <c r="Q38" s="2929" t="s">
        <v>969</v>
      </c>
      <c r="R38" s="2930" t="s">
        <v>788</v>
      </c>
      <c r="S38" s="2928" t="s">
        <v>786</v>
      </c>
      <c r="T38" s="2928" t="s">
        <v>786</v>
      </c>
      <c r="U38" s="2928" t="s">
        <v>786</v>
      </c>
      <c r="V38" s="2928" t="s">
        <v>786</v>
      </c>
      <c r="W38" s="2928" t="s">
        <v>786</v>
      </c>
      <c r="X38" s="2928" t="s">
        <v>786</v>
      </c>
      <c r="Y38" s="2928" t="s">
        <v>786</v>
      </c>
      <c r="Z38" s="2928" t="s">
        <v>786</v>
      </c>
      <c r="AA38" s="2928" t="s">
        <v>786</v>
      </c>
      <c r="AB38" s="2928" t="s">
        <v>786</v>
      </c>
      <c r="AC38" s="2928" t="s">
        <v>786</v>
      </c>
      <c r="AD38" s="2929" t="s">
        <v>968</v>
      </c>
      <c r="AE38" s="2929" t="s">
        <v>968</v>
      </c>
      <c r="AF38" s="2929" t="s">
        <v>968</v>
      </c>
      <c r="AG38" s="2929" t="s">
        <v>968</v>
      </c>
      <c r="AH38" s="2929" t="s">
        <v>968</v>
      </c>
      <c r="AI38" s="2929" t="s">
        <v>968</v>
      </c>
      <c r="AJ38" s="2929" t="s">
        <v>968</v>
      </c>
      <c r="AK38" s="2929" t="s">
        <v>968</v>
      </c>
      <c r="AL38" s="2929" t="s">
        <v>968</v>
      </c>
      <c r="AM38" s="2929" t="s">
        <v>968</v>
      </c>
      <c r="AN38" s="2929" t="s">
        <v>968</v>
      </c>
      <c r="AO38" s="2929" t="s">
        <v>968</v>
      </c>
      <c r="AP38" s="2929" t="s">
        <v>968</v>
      </c>
      <c r="AQ38" s="2929" t="s">
        <v>968</v>
      </c>
      <c r="AR38" s="2929" t="s">
        <v>968</v>
      </c>
      <c r="AS38" s="2930" t="s">
        <v>788</v>
      </c>
      <c r="AT38" s="2928" t="s">
        <v>786</v>
      </c>
      <c r="AU38" s="2928" t="s">
        <v>786</v>
      </c>
      <c r="AV38" s="2928" t="s">
        <v>786</v>
      </c>
      <c r="AW38" s="2928" t="s">
        <v>786</v>
      </c>
      <c r="AX38" s="2928" t="s">
        <v>786</v>
      </c>
      <c r="AY38" s="2928" t="s">
        <v>786</v>
      </c>
      <c r="AZ38" s="2928" t="s">
        <v>786</v>
      </c>
      <c r="BA38" s="2928" t="s">
        <v>786</v>
      </c>
      <c r="BB38" s="818"/>
    </row>
    <row r="39" spans="1:55" x14ac:dyDescent="0.2">
      <c r="A39" s="2934" t="s">
        <v>626</v>
      </c>
      <c r="B39" s="2973">
        <v>29.92</v>
      </c>
      <c r="C39" s="2939">
        <v>10.3</v>
      </c>
      <c r="D39" s="2939">
        <v>7.54</v>
      </c>
      <c r="E39" s="2939">
        <v>28.259999999999998</v>
      </c>
      <c r="F39" s="2939">
        <v>27.49</v>
      </c>
      <c r="G39" s="2939">
        <v>33.4</v>
      </c>
      <c r="H39" s="2939">
        <v>32.85</v>
      </c>
      <c r="I39" s="2939">
        <v>40.25</v>
      </c>
      <c r="J39" s="2939">
        <v>40.75</v>
      </c>
      <c r="K39" s="2939">
        <v>15.24</v>
      </c>
      <c r="L39" s="2939">
        <v>0</v>
      </c>
      <c r="M39" s="2939">
        <v>18.649999999999999</v>
      </c>
      <c r="N39" s="2939">
        <v>43.59</v>
      </c>
      <c r="O39" s="2939">
        <v>47.35</v>
      </c>
      <c r="P39" s="2939">
        <v>23.27</v>
      </c>
      <c r="Q39" s="2939">
        <v>37.01</v>
      </c>
      <c r="R39" s="2939">
        <v>28.36</v>
      </c>
      <c r="S39" s="2939">
        <v>15.870000000000001</v>
      </c>
      <c r="T39" s="2939">
        <v>19.330000000000002</v>
      </c>
      <c r="U39" s="2939">
        <v>14.59</v>
      </c>
      <c r="V39" s="2939">
        <v>25.810000000000002</v>
      </c>
      <c r="W39" s="2939">
        <v>38.11</v>
      </c>
      <c r="X39" s="2939">
        <v>29.16</v>
      </c>
      <c r="Y39" s="2939">
        <v>40.44</v>
      </c>
      <c r="Z39" s="2939">
        <v>40.559999999999995</v>
      </c>
      <c r="AA39" s="2939">
        <v>40.53</v>
      </c>
      <c r="AB39" s="2939">
        <v>37.880000000000003</v>
      </c>
      <c r="AC39" s="2939">
        <v>44.36</v>
      </c>
      <c r="AD39" s="2939">
        <v>35.11</v>
      </c>
      <c r="AE39" s="2939">
        <v>44.6</v>
      </c>
      <c r="AF39" s="2939">
        <v>51.37</v>
      </c>
      <c r="AG39" s="2939">
        <v>42.64</v>
      </c>
      <c r="AH39" s="2939">
        <v>29.130000000000003</v>
      </c>
      <c r="AI39" s="2939">
        <v>37.22</v>
      </c>
      <c r="AJ39" s="2939">
        <v>41.18</v>
      </c>
      <c r="AK39" s="2939">
        <v>50.24</v>
      </c>
      <c r="AL39" s="2939">
        <v>36.81</v>
      </c>
      <c r="AM39" s="2939">
        <v>43.813827689866905</v>
      </c>
      <c r="AN39" s="2939">
        <v>16.899999999999999</v>
      </c>
      <c r="AO39" s="2939">
        <v>34.159999999999997</v>
      </c>
      <c r="AP39" s="2939">
        <v>62.07</v>
      </c>
      <c r="AQ39" s="2939">
        <v>56.35</v>
      </c>
      <c r="AR39" s="2939">
        <v>18.32</v>
      </c>
      <c r="AS39" s="2939">
        <v>0</v>
      </c>
      <c r="AT39" s="2939">
        <v>11.92</v>
      </c>
      <c r="AU39" s="2939">
        <v>0</v>
      </c>
      <c r="AV39" s="2939">
        <v>0</v>
      </c>
      <c r="AW39" s="2939">
        <v>0</v>
      </c>
      <c r="AX39" s="2939">
        <v>0</v>
      </c>
      <c r="AY39" s="2939">
        <v>3.99</v>
      </c>
      <c r="AZ39" s="2939">
        <v>0</v>
      </c>
      <c r="BA39" s="2940">
        <v>18.09</v>
      </c>
      <c r="BB39" s="3106">
        <f>SUM(B39:BA39)</f>
        <v>1444.7838276898667</v>
      </c>
    </row>
    <row r="40" spans="1:55" x14ac:dyDescent="0.2">
      <c r="A40" s="2935" t="s">
        <v>628</v>
      </c>
      <c r="B40" s="2974">
        <v>208</v>
      </c>
      <c r="C40" s="2938">
        <v>68</v>
      </c>
      <c r="D40" s="2938">
        <v>48</v>
      </c>
      <c r="E40" s="2938">
        <v>189</v>
      </c>
      <c r="F40" s="2938">
        <v>178</v>
      </c>
      <c r="G40" s="2938">
        <v>219</v>
      </c>
      <c r="H40" s="2938">
        <v>228</v>
      </c>
      <c r="I40" s="2938">
        <v>271</v>
      </c>
      <c r="J40" s="2938">
        <v>283</v>
      </c>
      <c r="K40" s="2938">
        <v>111</v>
      </c>
      <c r="L40" s="2938">
        <v>0</v>
      </c>
      <c r="M40" s="2938">
        <v>125</v>
      </c>
      <c r="N40" s="2938">
        <v>289</v>
      </c>
      <c r="O40" s="2938">
        <v>328</v>
      </c>
      <c r="P40" s="2938">
        <v>153</v>
      </c>
      <c r="Q40" s="2938">
        <v>246</v>
      </c>
      <c r="R40" s="2938">
        <v>196</v>
      </c>
      <c r="S40" s="2938">
        <v>91</v>
      </c>
      <c r="T40" s="2938">
        <v>110</v>
      </c>
      <c r="U40" s="2938">
        <v>90</v>
      </c>
      <c r="V40" s="2938">
        <v>152</v>
      </c>
      <c r="W40" s="2938">
        <v>230</v>
      </c>
      <c r="X40" s="2938">
        <v>174</v>
      </c>
      <c r="Y40" s="2938">
        <v>239</v>
      </c>
      <c r="Z40" s="2938">
        <v>234</v>
      </c>
      <c r="AA40" s="2938">
        <v>243</v>
      </c>
      <c r="AB40" s="2938">
        <v>232</v>
      </c>
      <c r="AC40" s="2938">
        <v>265</v>
      </c>
      <c r="AD40" s="2938">
        <v>215</v>
      </c>
      <c r="AE40" s="2938">
        <v>274</v>
      </c>
      <c r="AF40" s="2938">
        <v>333</v>
      </c>
      <c r="AG40" s="2938">
        <v>263</v>
      </c>
      <c r="AH40" s="2938">
        <v>166</v>
      </c>
      <c r="AI40" s="2938">
        <v>231</v>
      </c>
      <c r="AJ40" s="2938">
        <v>256</v>
      </c>
      <c r="AK40" s="2938">
        <v>325</v>
      </c>
      <c r="AL40" s="2938">
        <v>220</v>
      </c>
      <c r="AM40" s="2938">
        <v>299</v>
      </c>
      <c r="AN40" s="2938">
        <v>94</v>
      </c>
      <c r="AO40" s="2938">
        <v>215</v>
      </c>
      <c r="AP40" s="2938">
        <v>360</v>
      </c>
      <c r="AQ40" s="2938">
        <v>331</v>
      </c>
      <c r="AR40" s="2938">
        <v>112</v>
      </c>
      <c r="AS40" s="2938">
        <v>0</v>
      </c>
      <c r="AT40" s="2938">
        <v>62</v>
      </c>
      <c r="AU40" s="2938">
        <v>0</v>
      </c>
      <c r="AV40" s="2938">
        <v>0</v>
      </c>
      <c r="AW40" s="2938">
        <v>0</v>
      </c>
      <c r="AX40" s="2938">
        <v>0</v>
      </c>
      <c r="AY40" s="2938">
        <v>20</v>
      </c>
      <c r="AZ40" s="2938">
        <v>0</v>
      </c>
      <c r="BA40" s="2941">
        <v>95</v>
      </c>
      <c r="BB40" s="3107">
        <f t="shared" ref="BB40:BB44" si="161">SUM(B40:BA40)</f>
        <v>9071</v>
      </c>
    </row>
    <row r="41" spans="1:55" x14ac:dyDescent="0.2">
      <c r="A41" s="2935" t="s">
        <v>761</v>
      </c>
      <c r="B41" s="3009">
        <v>1.5857778939283729</v>
      </c>
      <c r="C41" s="3008">
        <v>1.2075312342712186</v>
      </c>
      <c r="D41" s="3008">
        <v>0.65045413723585466</v>
      </c>
      <c r="E41" s="3008">
        <v>1.1293345418535636</v>
      </c>
      <c r="F41" s="3008">
        <v>1.1497337170845545</v>
      </c>
      <c r="G41" s="3008">
        <v>1.4310845800060228</v>
      </c>
      <c r="H41" s="3008">
        <v>1.4409278374838437</v>
      </c>
      <c r="I41" s="3008">
        <v>1.4182911846306676</v>
      </c>
      <c r="J41" s="3008">
        <v>1.4039225372519748</v>
      </c>
      <c r="K41" s="3008">
        <v>1.1421196127180959</v>
      </c>
      <c r="L41" s="3008">
        <v>0.50785305258822744</v>
      </c>
      <c r="M41" s="3008">
        <v>0.56149180697018242</v>
      </c>
      <c r="N41" s="3008">
        <v>1.0665470003347111</v>
      </c>
      <c r="O41" s="3008">
        <v>1.4830714762844763</v>
      </c>
      <c r="P41" s="3008">
        <v>1.2006999856274339</v>
      </c>
      <c r="Q41" s="3008">
        <v>1.201595900303307</v>
      </c>
      <c r="R41" s="3008">
        <v>1.1166286239505163</v>
      </c>
      <c r="S41" s="3008">
        <v>0.84262841462230897</v>
      </c>
      <c r="T41" s="3008">
        <v>0.75855611533352074</v>
      </c>
      <c r="U41" s="3008">
        <v>0.58059549159811907</v>
      </c>
      <c r="V41" s="3008">
        <v>0.81375975074047224</v>
      </c>
      <c r="W41" s="3008">
        <v>0.97190893820892632</v>
      </c>
      <c r="X41" s="3008">
        <v>1.0663660229390144</v>
      </c>
      <c r="Y41" s="3008">
        <v>1.2137021063011579</v>
      </c>
      <c r="Z41" s="3008">
        <v>1.2447724632944694</v>
      </c>
      <c r="AA41" s="3008">
        <v>1.2258423292988601</v>
      </c>
      <c r="AB41" s="3008">
        <v>1.1451810876358006</v>
      </c>
      <c r="AC41" s="3008">
        <v>1.2133065589232239</v>
      </c>
      <c r="AD41" s="3008">
        <v>1.097193996922875</v>
      </c>
      <c r="AE41" s="3008">
        <v>1.1672810456814779</v>
      </c>
      <c r="AF41" s="3008">
        <v>1.2523582891536602</v>
      </c>
      <c r="AG41" s="3008">
        <v>1.1220965219751522</v>
      </c>
      <c r="AH41" s="3008">
        <v>1.0511495494429466</v>
      </c>
      <c r="AI41" s="3008">
        <v>0.93502051360044569</v>
      </c>
      <c r="AJ41" s="3008">
        <v>1.0177071165366265</v>
      </c>
      <c r="AK41" s="3008">
        <v>1.2390333117038745</v>
      </c>
      <c r="AL41" s="3008">
        <v>1.011959150831609</v>
      </c>
      <c r="AM41" s="3008">
        <v>1.0539375337655508</v>
      </c>
      <c r="AN41" s="3008">
        <v>0.89864736454329164</v>
      </c>
      <c r="AO41" s="3008">
        <v>0.85085513503105081</v>
      </c>
      <c r="AP41" s="3008">
        <v>1.0797032110275104</v>
      </c>
      <c r="AQ41" s="3008">
        <v>1.1568236405825416</v>
      </c>
      <c r="AR41" s="3008">
        <v>0.99867440766828974</v>
      </c>
      <c r="AS41" s="2944">
        <v>0.43802737918426732</v>
      </c>
      <c r="AT41" s="2944">
        <v>0.29687099007830514</v>
      </c>
      <c r="AU41" s="2944"/>
      <c r="AV41" s="2944"/>
      <c r="AW41" s="2944"/>
      <c r="AX41" s="2944"/>
      <c r="AY41" s="2944">
        <v>0.14642919462963061</v>
      </c>
      <c r="AZ41" s="2944"/>
      <c r="BA41" s="2975">
        <v>0.47413029490658321</v>
      </c>
      <c r="BB41" s="3108">
        <f t="shared" si="161"/>
        <v>48.061583048684597</v>
      </c>
    </row>
    <row r="42" spans="1:55" x14ac:dyDescent="0.2">
      <c r="A42" s="2935" t="s">
        <v>979</v>
      </c>
      <c r="B42" s="2943">
        <v>1.0730763542568544</v>
      </c>
      <c r="C42" s="2944">
        <v>1.0831125923779159</v>
      </c>
      <c r="D42" s="2944">
        <v>1.0684983570212598</v>
      </c>
      <c r="E42" s="2944">
        <v>1.0669222884152099</v>
      </c>
      <c r="F42" s="2944">
        <v>1.0709148384015883</v>
      </c>
      <c r="G42" s="2944">
        <v>1.0620130047123659</v>
      </c>
      <c r="H42" s="2944">
        <v>1.0646326833708109</v>
      </c>
      <c r="I42" s="2944">
        <v>1.0587070635645925</v>
      </c>
      <c r="J42" s="2944">
        <v>1.0754826107243012</v>
      </c>
      <c r="K42" s="2944">
        <v>1.0785231814103846</v>
      </c>
      <c r="L42" s="2944" t="s">
        <v>981</v>
      </c>
      <c r="M42" s="2944">
        <v>1.0735147459107239</v>
      </c>
      <c r="N42" s="2944">
        <v>1.0687030595441376</v>
      </c>
      <c r="O42" s="2944">
        <v>1.079800824331564</v>
      </c>
      <c r="P42" s="2944">
        <v>1.0783859830761202</v>
      </c>
      <c r="Q42" s="2944">
        <v>1.0631503007231042</v>
      </c>
      <c r="R42" s="2944">
        <v>1.0643952070911635</v>
      </c>
      <c r="S42" s="2944">
        <v>1.0641447338482599</v>
      </c>
      <c r="T42" s="2944">
        <v>1.0601043967394412</v>
      </c>
      <c r="U42" s="2944">
        <v>1.0609777200951762</v>
      </c>
      <c r="V42" s="2944">
        <v>1.0636355608008701</v>
      </c>
      <c r="W42" s="2944">
        <v>1.0686397613626855</v>
      </c>
      <c r="X42" s="2944">
        <v>1.0579131699291184</v>
      </c>
      <c r="Y42" s="2944">
        <v>1.0615175953784344</v>
      </c>
      <c r="Z42" s="2944">
        <v>1.0623342112522716</v>
      </c>
      <c r="AA42" s="2944">
        <v>1.0628072878441404</v>
      </c>
      <c r="AB42" s="2944">
        <v>1.0608077313624418</v>
      </c>
      <c r="AC42" s="2944">
        <v>1.0612552500262977</v>
      </c>
      <c r="AD42" s="2944">
        <v>1.0566205760795682</v>
      </c>
      <c r="AE42" s="2944">
        <v>1.0658776970855548</v>
      </c>
      <c r="AF42" s="2944">
        <v>1.0620851408894716</v>
      </c>
      <c r="AG42" s="2944">
        <v>1.0583223729043478</v>
      </c>
      <c r="AH42" s="2944">
        <v>1.0701305502405061</v>
      </c>
      <c r="AI42" s="2944">
        <v>1.059630070442831</v>
      </c>
      <c r="AJ42" s="2944">
        <v>1.0593096556286847</v>
      </c>
      <c r="AK42" s="2944">
        <v>1.0609681261169563</v>
      </c>
      <c r="AL42" s="2944">
        <v>1.0712360248389918</v>
      </c>
      <c r="AM42" s="2944">
        <v>1.0706045783393325</v>
      </c>
      <c r="AN42" s="2944">
        <v>1.0592780421074626</v>
      </c>
      <c r="AO42" s="2944">
        <v>1.0680897081135403</v>
      </c>
      <c r="AP42" s="2944">
        <v>1.0609622484570165</v>
      </c>
      <c r="AQ42" s="2944">
        <v>1.0626484630867201</v>
      </c>
      <c r="AR42" s="2944">
        <v>1.0642986365033895</v>
      </c>
      <c r="AS42" s="2938" t="s">
        <v>981</v>
      </c>
      <c r="AT42" s="2944">
        <v>1.095602860533643</v>
      </c>
      <c r="AU42" s="2938"/>
      <c r="AV42" s="2938"/>
      <c r="AW42" s="2938"/>
      <c r="AX42" s="2938"/>
      <c r="AY42" s="2944">
        <v>1.0639658848614073</v>
      </c>
      <c r="AZ42" s="2938"/>
      <c r="BA42" s="2975">
        <v>1.0652275417413284</v>
      </c>
      <c r="BB42" s="3108">
        <f t="shared" si="161"/>
        <v>47.988828691541983</v>
      </c>
    </row>
    <row r="43" spans="1:55" x14ac:dyDescent="0.2">
      <c r="A43" s="2935" t="s">
        <v>980</v>
      </c>
      <c r="B43" s="3009">
        <v>1.5092075462437069</v>
      </c>
      <c r="C43" s="3008">
        <v>1.5454545454545454</v>
      </c>
      <c r="D43" s="3008">
        <v>1.4736842105263157</v>
      </c>
      <c r="E43" s="3008">
        <v>1.4973156227483593</v>
      </c>
      <c r="F43" s="3008">
        <v>1.4641136123393217</v>
      </c>
      <c r="G43" s="3008">
        <v>1.5201666919997971</v>
      </c>
      <c r="H43" s="3008">
        <v>1.5398116058871207</v>
      </c>
      <c r="I43" s="3008">
        <v>1.5199895415674252</v>
      </c>
      <c r="J43" s="3008">
        <v>1.6057133121752418</v>
      </c>
      <c r="K43" s="3008">
        <v>1.6164816527906258</v>
      </c>
      <c r="L43" s="3008" t="s">
        <v>981</v>
      </c>
      <c r="M43" s="3008">
        <v>1.4965268762989712</v>
      </c>
      <c r="N43" s="3008">
        <v>1.4825067036207846</v>
      </c>
      <c r="O43" s="3008">
        <v>1.5742945660471599</v>
      </c>
      <c r="P43" s="3008">
        <v>1.5931381855109672</v>
      </c>
      <c r="Q43" s="3008">
        <v>1.5513453057279813</v>
      </c>
      <c r="R43" s="3008">
        <v>1.6013833698915945</v>
      </c>
      <c r="S43" s="3008">
        <v>1.6374566082465496</v>
      </c>
      <c r="T43" s="3008">
        <v>1.5807073625773569</v>
      </c>
      <c r="U43" s="3008">
        <v>1.4274729330708662</v>
      </c>
      <c r="V43" s="3008">
        <v>1.6252422793319345</v>
      </c>
      <c r="W43" s="3008">
        <v>1.6121863749711001</v>
      </c>
      <c r="X43" s="3008">
        <v>1.5882750984251968</v>
      </c>
      <c r="Y43" s="3008">
        <v>1.6446407409003292</v>
      </c>
      <c r="Z43" s="3008">
        <v>1.6501886063047355</v>
      </c>
      <c r="AA43" s="3008">
        <v>1.654321755081017</v>
      </c>
      <c r="AB43" s="3008">
        <v>1.6344531942024649</v>
      </c>
      <c r="AC43" s="3008">
        <v>1.663840899537621</v>
      </c>
      <c r="AD43" s="3008">
        <v>1.5965216186581641</v>
      </c>
      <c r="AE43" s="3008">
        <v>1.651720915151893</v>
      </c>
      <c r="AF43" s="3008">
        <v>1.6183095061093002</v>
      </c>
      <c r="AG43" s="3008">
        <v>1.6083364231862562</v>
      </c>
      <c r="AH43" s="3008">
        <v>1.5632737127371275</v>
      </c>
      <c r="AI43" s="3008">
        <v>1.5320126251589319</v>
      </c>
      <c r="AJ43" s="3008">
        <v>1.5018227143227143</v>
      </c>
      <c r="AK43" s="3008">
        <v>1.6029558632359708</v>
      </c>
      <c r="AL43" s="3008">
        <v>1.5167703928209846</v>
      </c>
      <c r="AM43" s="3008">
        <v>1.5800095552572058</v>
      </c>
      <c r="AN43" s="3008">
        <v>1.5246697578030934</v>
      </c>
      <c r="AO43" s="3008">
        <v>1.6044057490968424</v>
      </c>
      <c r="AP43" s="3008">
        <v>1.5746001610368461</v>
      </c>
      <c r="AQ43" s="3008">
        <v>1.6155204151903901</v>
      </c>
      <c r="AR43" s="3008">
        <v>1.6169386169386168</v>
      </c>
      <c r="AS43" s="2944" t="s">
        <v>981</v>
      </c>
      <c r="AT43" s="3008">
        <v>1.5515658914728683</v>
      </c>
      <c r="AU43" s="2944"/>
      <c r="AV43" s="2944"/>
      <c r="AW43" s="2944"/>
      <c r="AX43" s="2944"/>
      <c r="AY43" s="3008">
        <v>1.4728682170542635</v>
      </c>
      <c r="AZ43" s="2944"/>
      <c r="BA43" s="3280">
        <v>1.4459055706254669</v>
      </c>
      <c r="BB43" s="3108">
        <f t="shared" si="161"/>
        <v>70.488126907336039</v>
      </c>
    </row>
    <row r="44" spans="1:55" ht="15" thickBot="1" x14ac:dyDescent="0.25">
      <c r="A44" s="2936" t="s">
        <v>183</v>
      </c>
      <c r="B44" s="2942">
        <v>103</v>
      </c>
      <c r="C44" s="2931">
        <v>29</v>
      </c>
      <c r="D44" s="2931">
        <v>28</v>
      </c>
      <c r="E44" s="2931">
        <v>102</v>
      </c>
      <c r="F44" s="2931">
        <v>92</v>
      </c>
      <c r="G44" s="2931">
        <v>101</v>
      </c>
      <c r="H44" s="2931">
        <v>98</v>
      </c>
      <c r="I44" s="2931">
        <v>100</v>
      </c>
      <c r="J44" s="2931">
        <v>97</v>
      </c>
      <c r="K44" s="2931">
        <v>38</v>
      </c>
      <c r="L44" s="2931">
        <v>0</v>
      </c>
      <c r="M44" s="2931">
        <v>55</v>
      </c>
      <c r="N44" s="2931">
        <v>142</v>
      </c>
      <c r="O44" s="2931">
        <v>164</v>
      </c>
      <c r="P44" s="2931">
        <v>73</v>
      </c>
      <c r="Q44" s="2931">
        <v>105</v>
      </c>
      <c r="R44" s="2931">
        <v>105</v>
      </c>
      <c r="S44" s="2931">
        <v>39</v>
      </c>
      <c r="T44" s="2931">
        <v>55</v>
      </c>
      <c r="U44" s="2931">
        <v>398</v>
      </c>
      <c r="V44" s="2931">
        <v>52</v>
      </c>
      <c r="W44" s="2931">
        <v>84</v>
      </c>
      <c r="X44" s="2931">
        <v>533</v>
      </c>
      <c r="Y44" s="2931">
        <v>84</v>
      </c>
      <c r="Z44" s="2931">
        <v>99</v>
      </c>
      <c r="AA44" s="2931">
        <v>96</v>
      </c>
      <c r="AB44" s="2931">
        <v>89</v>
      </c>
      <c r="AC44" s="2931">
        <v>113</v>
      </c>
      <c r="AD44" s="2931">
        <v>81</v>
      </c>
      <c r="AE44" s="2931">
        <v>105</v>
      </c>
      <c r="AF44" s="2931">
        <v>133</v>
      </c>
      <c r="AG44" s="2931">
        <v>353</v>
      </c>
      <c r="AH44" s="2931">
        <v>64</v>
      </c>
      <c r="AI44" s="2931">
        <v>103</v>
      </c>
      <c r="AJ44" s="2931">
        <v>97</v>
      </c>
      <c r="AK44" s="2931">
        <v>100</v>
      </c>
      <c r="AL44" s="2931">
        <v>95</v>
      </c>
      <c r="AM44" s="2931">
        <v>723</v>
      </c>
      <c r="AN44" s="2931">
        <v>42</v>
      </c>
      <c r="AO44" s="2931">
        <v>96</v>
      </c>
      <c r="AP44" s="2931">
        <v>152</v>
      </c>
      <c r="AQ44" s="2931">
        <v>175</v>
      </c>
      <c r="AR44" s="2931">
        <v>46</v>
      </c>
      <c r="AS44" s="2931">
        <v>0</v>
      </c>
      <c r="AT44" s="2931">
        <v>32</v>
      </c>
      <c r="AU44" s="2931">
        <v>0</v>
      </c>
      <c r="AV44" s="2931">
        <v>0</v>
      </c>
      <c r="AW44" s="2931">
        <v>0</v>
      </c>
      <c r="AX44" s="2931">
        <v>0</v>
      </c>
      <c r="AY44" s="2931">
        <v>12</v>
      </c>
      <c r="AZ44" s="2931">
        <v>0</v>
      </c>
      <c r="BA44" s="2932">
        <v>49</v>
      </c>
      <c r="BB44" s="3109">
        <f t="shared" si="161"/>
        <v>5532</v>
      </c>
    </row>
    <row r="45" spans="1:55" ht="15" thickBot="1" x14ac:dyDescent="0.25">
      <c r="A45" s="806">
        <v>2024</v>
      </c>
      <c r="B45" s="807"/>
    </row>
    <row r="46" spans="1:55" ht="15" thickBot="1" x14ac:dyDescent="0.25">
      <c r="A46" s="806" t="s">
        <v>690</v>
      </c>
      <c r="B46" s="808">
        <v>1</v>
      </c>
      <c r="C46" s="809">
        <v>2</v>
      </c>
      <c r="D46" s="809">
        <v>3</v>
      </c>
      <c r="E46" s="809">
        <v>4</v>
      </c>
      <c r="F46" s="809">
        <v>5</v>
      </c>
      <c r="G46" s="809">
        <v>6</v>
      </c>
      <c r="H46" s="809">
        <v>7</v>
      </c>
      <c r="I46" s="809">
        <v>8</v>
      </c>
      <c r="J46" s="809">
        <v>9</v>
      </c>
      <c r="K46" s="809">
        <v>10</v>
      </c>
      <c r="L46" s="809">
        <v>11</v>
      </c>
      <c r="M46" s="809">
        <v>12</v>
      </c>
      <c r="N46" s="809">
        <v>13</v>
      </c>
      <c r="O46" s="809">
        <v>14</v>
      </c>
      <c r="P46" s="809">
        <v>15</v>
      </c>
      <c r="Q46" s="809">
        <v>16</v>
      </c>
      <c r="R46" s="809">
        <v>17</v>
      </c>
      <c r="S46" s="809">
        <v>18</v>
      </c>
      <c r="T46" s="809">
        <v>19</v>
      </c>
      <c r="U46" s="809">
        <v>20</v>
      </c>
      <c r="V46" s="809">
        <v>21</v>
      </c>
      <c r="W46" s="809">
        <v>22</v>
      </c>
      <c r="X46" s="809">
        <v>23</v>
      </c>
      <c r="Y46" s="809">
        <v>24</v>
      </c>
      <c r="Z46" s="809">
        <v>25</v>
      </c>
      <c r="AA46" s="809">
        <v>26</v>
      </c>
      <c r="AB46" s="809">
        <v>27</v>
      </c>
      <c r="AC46" s="809">
        <v>28</v>
      </c>
      <c r="AD46" s="809">
        <v>29</v>
      </c>
      <c r="AE46" s="809">
        <v>30</v>
      </c>
      <c r="AF46" s="809">
        <v>31</v>
      </c>
      <c r="AG46" s="809">
        <v>32</v>
      </c>
      <c r="AH46" s="809">
        <v>33</v>
      </c>
      <c r="AI46" s="809">
        <v>34</v>
      </c>
      <c r="AJ46" s="809">
        <v>35</v>
      </c>
      <c r="AK46" s="809">
        <v>36</v>
      </c>
      <c r="AL46" s="809">
        <v>37</v>
      </c>
      <c r="AM46" s="809">
        <v>38</v>
      </c>
      <c r="AN46" s="809">
        <v>39</v>
      </c>
      <c r="AO46" s="809">
        <v>40</v>
      </c>
      <c r="AP46" s="809">
        <v>41</v>
      </c>
      <c r="AQ46" s="809">
        <v>42</v>
      </c>
      <c r="AR46" s="809">
        <v>43</v>
      </c>
      <c r="AS46" s="809">
        <v>44</v>
      </c>
      <c r="AT46" s="809">
        <v>45</v>
      </c>
      <c r="AU46" s="809">
        <v>46</v>
      </c>
      <c r="AV46" s="809">
        <v>47</v>
      </c>
      <c r="AW46" s="809">
        <v>48</v>
      </c>
      <c r="AX46" s="809">
        <v>49</v>
      </c>
      <c r="AY46" s="809">
        <v>50</v>
      </c>
      <c r="AZ46" s="809">
        <v>51</v>
      </c>
      <c r="BA46" s="834">
        <v>52</v>
      </c>
      <c r="BB46" s="806" t="s">
        <v>229</v>
      </c>
    </row>
    <row r="47" spans="1:55" ht="15" thickBot="1" x14ac:dyDescent="0.25">
      <c r="A47" s="3275" t="s">
        <v>4</v>
      </c>
      <c r="B47" s="2928" t="s">
        <v>786</v>
      </c>
      <c r="C47" s="2928" t="s">
        <v>786</v>
      </c>
      <c r="D47" s="2928" t="s">
        <v>786</v>
      </c>
      <c r="E47" s="2928" t="s">
        <v>786</v>
      </c>
      <c r="F47" s="2929" t="s">
        <v>968</v>
      </c>
      <c r="G47" s="2929" t="s">
        <v>968</v>
      </c>
      <c r="H47" s="2929" t="s">
        <v>968</v>
      </c>
      <c r="I47" s="2929" t="s">
        <v>968</v>
      </c>
      <c r="J47" s="2929" t="s">
        <v>968</v>
      </c>
      <c r="K47" s="2929" t="s">
        <v>968</v>
      </c>
      <c r="L47" s="2929" t="s">
        <v>968</v>
      </c>
      <c r="M47" s="2929" t="s">
        <v>968</v>
      </c>
      <c r="N47" s="2929" t="s">
        <v>968</v>
      </c>
      <c r="O47" s="2929" t="s">
        <v>968</v>
      </c>
      <c r="P47" s="2929" t="s">
        <v>968</v>
      </c>
      <c r="Q47" s="2930" t="s">
        <v>788</v>
      </c>
      <c r="R47" s="901"/>
      <c r="S47" s="901"/>
      <c r="T47" s="901"/>
      <c r="U47" s="901"/>
      <c r="V47" s="901"/>
      <c r="W47" s="901"/>
      <c r="X47" s="901"/>
      <c r="Y47" s="901"/>
      <c r="Z47" s="901"/>
      <c r="AA47" s="901"/>
      <c r="AB47" s="901"/>
      <c r="AC47" s="901"/>
      <c r="AD47" s="901"/>
      <c r="AE47" s="901"/>
      <c r="AF47" s="901"/>
      <c r="AG47" s="901"/>
      <c r="AH47" s="901"/>
      <c r="AI47" s="901"/>
      <c r="AJ47" s="901"/>
      <c r="AK47" s="901"/>
      <c r="AL47" s="901"/>
      <c r="AM47" s="901"/>
      <c r="AN47" s="901"/>
      <c r="AO47" s="901"/>
      <c r="AP47" s="901"/>
      <c r="AQ47" s="901"/>
      <c r="AR47" s="901"/>
      <c r="AS47" s="901"/>
      <c r="AT47" s="901"/>
      <c r="AU47" s="901"/>
      <c r="AV47" s="901"/>
      <c r="AW47" s="901"/>
      <c r="AX47" s="901"/>
      <c r="AY47" s="901"/>
      <c r="AZ47" s="901"/>
      <c r="BA47" s="901"/>
      <c r="BB47" s="818"/>
    </row>
    <row r="48" spans="1:55" x14ac:dyDescent="0.2">
      <c r="A48" s="2934" t="s">
        <v>626</v>
      </c>
      <c r="B48" s="2973">
        <v>14.05</v>
      </c>
      <c r="C48" s="2939">
        <v>18.599999999999998</v>
      </c>
      <c r="D48" s="2939"/>
      <c r="E48" s="2939"/>
      <c r="F48" s="2939"/>
      <c r="G48" s="2939"/>
      <c r="H48" s="2939"/>
      <c r="I48" s="2939"/>
      <c r="J48" s="2939"/>
      <c r="K48" s="2939"/>
      <c r="L48" s="2939"/>
      <c r="M48" s="2939"/>
      <c r="N48" s="2939"/>
      <c r="O48" s="2939"/>
      <c r="P48" s="2939"/>
      <c r="Q48" s="2939"/>
      <c r="R48" s="2939"/>
      <c r="S48" s="2939"/>
      <c r="T48" s="2939"/>
      <c r="U48" s="2939"/>
      <c r="V48" s="2939"/>
      <c r="W48" s="2939"/>
      <c r="X48" s="2939"/>
      <c r="Y48" s="2939"/>
      <c r="Z48" s="2939"/>
      <c r="AA48" s="2939"/>
      <c r="AB48" s="2939"/>
      <c r="AC48" s="2939"/>
      <c r="AD48" s="2939"/>
      <c r="AE48" s="2939"/>
      <c r="AF48" s="2939"/>
      <c r="AG48" s="2939"/>
      <c r="AH48" s="2939"/>
      <c r="AI48" s="2939"/>
      <c r="AJ48" s="2939"/>
      <c r="AK48" s="2939"/>
      <c r="AL48" s="2939"/>
      <c r="AM48" s="2939"/>
      <c r="AN48" s="2939"/>
      <c r="AO48" s="2939"/>
      <c r="AP48" s="2939"/>
      <c r="AQ48" s="2939"/>
      <c r="AR48" s="2939"/>
      <c r="AS48" s="2939"/>
      <c r="AT48" s="2939"/>
      <c r="AU48" s="2939"/>
      <c r="AV48" s="2939"/>
      <c r="AW48" s="2939"/>
      <c r="AX48" s="2939"/>
      <c r="AY48" s="2939"/>
      <c r="AZ48" s="2939"/>
      <c r="BA48" s="2940"/>
      <c r="BB48" s="3106">
        <f>SUM(B48:BA48)</f>
        <v>32.65</v>
      </c>
    </row>
    <row r="49" spans="1:54" x14ac:dyDescent="0.2">
      <c r="A49" s="2935" t="s">
        <v>628</v>
      </c>
      <c r="B49" s="2974">
        <v>82</v>
      </c>
      <c r="C49" s="2938">
        <v>105</v>
      </c>
      <c r="D49" s="2938"/>
      <c r="E49" s="2938"/>
      <c r="F49" s="2938"/>
      <c r="G49" s="2938"/>
      <c r="H49" s="2938"/>
      <c r="I49" s="2938"/>
      <c r="J49" s="2938"/>
      <c r="K49" s="2938"/>
      <c r="L49" s="2938"/>
      <c r="M49" s="2938"/>
      <c r="N49" s="2938"/>
      <c r="O49" s="2938"/>
      <c r="P49" s="2938"/>
      <c r="Q49" s="2938"/>
      <c r="R49" s="2938"/>
      <c r="S49" s="2938"/>
      <c r="T49" s="2938"/>
      <c r="U49" s="2938"/>
      <c r="V49" s="2938"/>
      <c r="W49" s="2938"/>
      <c r="X49" s="2938"/>
      <c r="Y49" s="2938"/>
      <c r="Z49" s="2938"/>
      <c r="AA49" s="2938"/>
      <c r="AB49" s="2938"/>
      <c r="AC49" s="2938"/>
      <c r="AD49" s="2938"/>
      <c r="AE49" s="2938"/>
      <c r="AF49" s="2938"/>
      <c r="AG49" s="2938"/>
      <c r="AH49" s="2938"/>
      <c r="AI49" s="2938"/>
      <c r="AJ49" s="2938"/>
      <c r="AK49" s="2938"/>
      <c r="AL49" s="2938"/>
      <c r="AM49" s="2938"/>
      <c r="AN49" s="2938"/>
      <c r="AO49" s="2938"/>
      <c r="AP49" s="2938"/>
      <c r="AQ49" s="2938"/>
      <c r="AR49" s="2938"/>
      <c r="AS49" s="2938"/>
      <c r="AT49" s="2938"/>
      <c r="AU49" s="2938"/>
      <c r="AV49" s="2938"/>
      <c r="AW49" s="2938"/>
      <c r="AX49" s="2938"/>
      <c r="AY49" s="2938"/>
      <c r="AZ49" s="2938"/>
      <c r="BA49" s="2941"/>
      <c r="BB49" s="3107">
        <f t="shared" ref="BB49:BB53" si="162">SUM(B49:BA49)</f>
        <v>187</v>
      </c>
    </row>
    <row r="50" spans="1:54" x14ac:dyDescent="0.2">
      <c r="A50" s="2935" t="s">
        <v>761</v>
      </c>
      <c r="B50" s="3009">
        <v>1.0645821531715307</v>
      </c>
      <c r="C50" s="3008">
        <v>1.2099098310839742</v>
      </c>
      <c r="D50" s="3008"/>
      <c r="E50" s="3008"/>
      <c r="F50" s="3008"/>
      <c r="G50" s="3008"/>
      <c r="H50" s="3008"/>
      <c r="I50" s="3008"/>
      <c r="J50" s="3008"/>
      <c r="K50" s="3008"/>
      <c r="L50" s="3008"/>
      <c r="M50" s="3008"/>
      <c r="N50" s="3008"/>
      <c r="O50" s="3008"/>
      <c r="P50" s="3008"/>
      <c r="Q50" s="3008"/>
      <c r="R50" s="3008"/>
      <c r="S50" s="3008"/>
      <c r="T50" s="3008"/>
      <c r="U50" s="3008"/>
      <c r="V50" s="3008"/>
      <c r="W50" s="3008"/>
      <c r="X50" s="3008"/>
      <c r="Y50" s="3008"/>
      <c r="Z50" s="3008"/>
      <c r="AA50" s="3008"/>
      <c r="AB50" s="3008"/>
      <c r="AC50" s="3008"/>
      <c r="AD50" s="3008"/>
      <c r="AE50" s="3008"/>
      <c r="AF50" s="3008"/>
      <c r="AG50" s="3008"/>
      <c r="AH50" s="3008"/>
      <c r="AI50" s="3008"/>
      <c r="AJ50" s="3008"/>
      <c r="AK50" s="3008"/>
      <c r="AL50" s="3008"/>
      <c r="AM50" s="3008"/>
      <c r="AN50" s="3008"/>
      <c r="AO50" s="3008"/>
      <c r="AP50" s="3008"/>
      <c r="AQ50" s="3008"/>
      <c r="AR50" s="3008"/>
      <c r="AS50" s="2944"/>
      <c r="AT50" s="2944"/>
      <c r="AU50" s="2944"/>
      <c r="AV50" s="2944"/>
      <c r="AW50" s="2944"/>
      <c r="AX50" s="2944"/>
      <c r="AY50" s="2944"/>
      <c r="AZ50" s="2944"/>
      <c r="BA50" s="2975"/>
      <c r="BB50" s="3108">
        <f t="shared" si="162"/>
        <v>2.2744919842555049</v>
      </c>
    </row>
    <row r="51" spans="1:54" x14ac:dyDescent="0.2">
      <c r="A51" s="2935" t="s">
        <v>979</v>
      </c>
      <c r="B51" s="3268">
        <v>1.0737805370904581</v>
      </c>
      <c r="C51" s="2944">
        <v>1.0628074361449837</v>
      </c>
      <c r="D51" s="2944"/>
      <c r="E51" s="2944"/>
      <c r="F51" s="2944"/>
      <c r="G51" s="2944"/>
      <c r="H51" s="2944"/>
      <c r="I51" s="2944"/>
      <c r="J51" s="2944"/>
      <c r="K51" s="2944"/>
      <c r="L51" s="2944"/>
      <c r="M51" s="2944"/>
      <c r="N51" s="2944"/>
      <c r="O51" s="2944"/>
      <c r="P51" s="2944"/>
      <c r="Q51" s="2944"/>
      <c r="R51" s="2944"/>
      <c r="S51" s="2944"/>
      <c r="T51" s="2944"/>
      <c r="U51" s="2944"/>
      <c r="V51" s="2944"/>
      <c r="W51" s="2944"/>
      <c r="X51" s="2944"/>
      <c r="Y51" s="2944"/>
      <c r="Z51" s="2944"/>
      <c r="AA51" s="2944"/>
      <c r="AB51" s="2944"/>
      <c r="AC51" s="2944"/>
      <c r="AD51" s="2944"/>
      <c r="AE51" s="2944"/>
      <c r="AF51" s="2944"/>
      <c r="AG51" s="2944"/>
      <c r="AH51" s="2944"/>
      <c r="AI51" s="2944"/>
      <c r="AJ51" s="2944"/>
      <c r="AK51" s="2944"/>
      <c r="AL51" s="2944"/>
      <c r="AM51" s="2944"/>
      <c r="AN51" s="2944"/>
      <c r="AO51" s="2944"/>
      <c r="AP51" s="2944"/>
      <c r="AQ51" s="2944"/>
      <c r="AR51" s="2944"/>
      <c r="AS51" s="2938"/>
      <c r="AT51" s="2938"/>
      <c r="AU51" s="2938"/>
      <c r="AV51" s="2938"/>
      <c r="AW51" s="2938"/>
      <c r="AX51" s="2938"/>
      <c r="AY51" s="2938"/>
      <c r="AZ51" s="2938"/>
      <c r="BA51" s="2941"/>
      <c r="BB51" s="3108">
        <f t="shared" si="162"/>
        <v>2.136587973235442</v>
      </c>
    </row>
    <row r="52" spans="1:54" x14ac:dyDescent="0.2">
      <c r="A52" s="2935" t="s">
        <v>980</v>
      </c>
      <c r="B52" s="3009">
        <v>1.5320445933329672</v>
      </c>
      <c r="C52" s="3008">
        <v>1.4565052883515477</v>
      </c>
      <c r="D52" s="3008"/>
      <c r="E52" s="3008"/>
      <c r="F52" s="3008"/>
      <c r="G52" s="3008"/>
      <c r="H52" s="3008"/>
      <c r="I52" s="3008"/>
      <c r="J52" s="3008"/>
      <c r="K52" s="3008"/>
      <c r="L52" s="3008"/>
      <c r="M52" s="3008"/>
      <c r="N52" s="3008"/>
      <c r="O52" s="3008"/>
      <c r="P52" s="3008"/>
      <c r="Q52" s="3008"/>
      <c r="R52" s="3008"/>
      <c r="S52" s="3008"/>
      <c r="T52" s="3008"/>
      <c r="U52" s="3008"/>
      <c r="V52" s="3008"/>
      <c r="W52" s="3008"/>
      <c r="X52" s="3008"/>
      <c r="Y52" s="3008"/>
      <c r="Z52" s="3008"/>
      <c r="AA52" s="3008"/>
      <c r="AB52" s="3008"/>
      <c r="AC52" s="3008"/>
      <c r="AD52" s="3008"/>
      <c r="AE52" s="3008"/>
      <c r="AF52" s="3008"/>
      <c r="AG52" s="3008"/>
      <c r="AH52" s="3008"/>
      <c r="AI52" s="3008"/>
      <c r="AJ52" s="3008"/>
      <c r="AK52" s="3008"/>
      <c r="AL52" s="3008"/>
      <c r="AM52" s="3008"/>
      <c r="AN52" s="3008"/>
      <c r="AO52" s="3008"/>
      <c r="AP52" s="3008"/>
      <c r="AQ52" s="3008"/>
      <c r="AR52" s="3008"/>
      <c r="AS52" s="2944"/>
      <c r="AT52" s="2944"/>
      <c r="AU52" s="2944"/>
      <c r="AV52" s="2944"/>
      <c r="AW52" s="2944"/>
      <c r="AX52" s="2944"/>
      <c r="AY52" s="2944"/>
      <c r="AZ52" s="2944"/>
      <c r="BA52" s="2975"/>
      <c r="BB52" s="3108">
        <f t="shared" si="162"/>
        <v>2.9885498816845146</v>
      </c>
    </row>
    <row r="53" spans="1:54" ht="15" thickBot="1" x14ac:dyDescent="0.25">
      <c r="A53" s="2936" t="s">
        <v>183</v>
      </c>
      <c r="B53" s="3269">
        <v>46</v>
      </c>
      <c r="C53" s="2931">
        <v>57</v>
      </c>
      <c r="D53" s="2931"/>
      <c r="E53" s="2931"/>
      <c r="F53" s="2931"/>
      <c r="G53" s="2931"/>
      <c r="H53" s="2931"/>
      <c r="I53" s="2931"/>
      <c r="J53" s="2931"/>
      <c r="K53" s="2931"/>
      <c r="L53" s="2931"/>
      <c r="M53" s="2931"/>
      <c r="N53" s="2931"/>
      <c r="O53" s="2931"/>
      <c r="P53" s="2931"/>
      <c r="Q53" s="2931"/>
      <c r="R53" s="2931"/>
      <c r="S53" s="2931"/>
      <c r="T53" s="2931"/>
      <c r="U53" s="2931"/>
      <c r="V53" s="2931"/>
      <c r="W53" s="2931"/>
      <c r="X53" s="2931"/>
      <c r="Y53" s="2931"/>
      <c r="Z53" s="2931"/>
      <c r="AA53" s="2931"/>
      <c r="AB53" s="2931"/>
      <c r="AC53" s="2931"/>
      <c r="AD53" s="2931"/>
      <c r="AE53" s="2931"/>
      <c r="AF53" s="2931"/>
      <c r="AG53" s="2931"/>
      <c r="AH53" s="2931"/>
      <c r="AI53" s="2931"/>
      <c r="AJ53" s="2931"/>
      <c r="AK53" s="2931"/>
      <c r="AL53" s="2931"/>
      <c r="AM53" s="2931"/>
      <c r="AN53" s="2931"/>
      <c r="AO53" s="2931"/>
      <c r="AP53" s="2931"/>
      <c r="AQ53" s="2931"/>
      <c r="AR53" s="2931"/>
      <c r="AS53" s="2931"/>
      <c r="AT53" s="2931"/>
      <c r="AU53" s="2931"/>
      <c r="AV53" s="2931"/>
      <c r="AW53" s="2931"/>
      <c r="AX53" s="2931"/>
      <c r="AY53" s="2931"/>
      <c r="AZ53" s="2931"/>
      <c r="BA53" s="2932"/>
      <c r="BB53" s="3109">
        <f t="shared" si="162"/>
        <v>103</v>
      </c>
    </row>
  </sheetData>
  <conditionalFormatting sqref="A6">
    <cfRule type="colorScale" priority="3733">
      <colorScale>
        <cfvo type="min"/>
        <cfvo type="percentile" val="50"/>
        <cfvo type="max"/>
        <color rgb="FF63BE7B"/>
        <color rgb="FFFFEB84"/>
        <color rgb="FFF8696B"/>
      </colorScale>
    </cfRule>
  </conditionalFormatting>
  <conditionalFormatting sqref="A13">
    <cfRule type="colorScale" priority="3734">
      <colorScale>
        <cfvo type="min"/>
        <cfvo type="percentile" val="50"/>
        <cfvo type="max"/>
        <color rgb="FF63BE7B"/>
        <color rgb="FFFFEB84"/>
        <color rgb="FFF8696B"/>
      </colorScale>
    </cfRule>
  </conditionalFormatting>
  <conditionalFormatting sqref="A27">
    <cfRule type="colorScale" priority="48">
      <colorScale>
        <cfvo type="min"/>
        <cfvo type="percentile" val="50"/>
        <cfvo type="max"/>
        <color rgb="FF63BE7B"/>
        <color rgb="FFFFEB84"/>
        <color rgb="FFF8696B"/>
      </colorScale>
    </cfRule>
  </conditionalFormatting>
  <conditionalFormatting sqref="A34">
    <cfRule type="colorScale" priority="36">
      <colorScale>
        <cfvo type="min"/>
        <cfvo type="percentile" val="50"/>
        <cfvo type="max"/>
        <color rgb="FF63BE7B"/>
        <color rgb="FFFFEB84"/>
        <color rgb="FFF8696B"/>
      </colorScale>
    </cfRule>
  </conditionalFormatting>
  <conditionalFormatting sqref="A20:BA20">
    <cfRule type="colorScale" priority="64">
      <colorScale>
        <cfvo type="min"/>
        <cfvo type="percentile" val="50"/>
        <cfvo type="max"/>
        <color rgb="FF63BE7B"/>
        <color rgb="FFFFEB84"/>
        <color rgb="FFF8696B"/>
      </colorScale>
    </cfRule>
  </conditionalFormatting>
  <conditionalFormatting sqref="B4:BA4">
    <cfRule type="colorScale" priority="54">
      <colorScale>
        <cfvo type="min"/>
        <cfvo type="percentile" val="50"/>
        <cfvo type="max"/>
        <color rgb="FF63BE7B"/>
        <color rgb="FFFFEB84"/>
        <color rgb="FFF8696B"/>
      </colorScale>
    </cfRule>
  </conditionalFormatting>
  <conditionalFormatting sqref="B5:BA5">
    <cfRule type="colorScale" priority="53">
      <colorScale>
        <cfvo type="min"/>
        <cfvo type="percentile" val="50"/>
        <cfvo type="max"/>
        <color rgb="FF63BE7B"/>
        <color rgb="FFFFEB84"/>
        <color rgb="FFF8696B"/>
      </colorScale>
    </cfRule>
  </conditionalFormatting>
  <conditionalFormatting sqref="B6:BA6">
    <cfRule type="colorScale" priority="52">
      <colorScale>
        <cfvo type="min"/>
        <cfvo type="percentile" val="50"/>
        <cfvo type="max"/>
        <color rgb="FF63BE7B"/>
        <color rgb="FFFFEB84"/>
        <color rgb="FFF8696B"/>
      </colorScale>
    </cfRule>
  </conditionalFormatting>
  <conditionalFormatting sqref="B11:BA11">
    <cfRule type="colorScale" priority="50">
      <colorScale>
        <cfvo type="min"/>
        <cfvo type="percentile" val="50"/>
        <cfvo type="max"/>
        <color rgb="FF63BE7B"/>
        <color rgb="FFFFEB84"/>
        <color rgb="FFF8696B"/>
      </colorScale>
    </cfRule>
  </conditionalFormatting>
  <conditionalFormatting sqref="B12:BA12">
    <cfRule type="colorScale" priority="49">
      <colorScale>
        <cfvo type="min"/>
        <cfvo type="percentile" val="50"/>
        <cfvo type="max"/>
        <color rgb="FF63BE7B"/>
        <color rgb="FFFFEB84"/>
        <color rgb="FFF8696B"/>
      </colorScale>
    </cfRule>
  </conditionalFormatting>
  <conditionalFormatting sqref="B13:BA13">
    <cfRule type="colorScale" priority="51">
      <colorScale>
        <cfvo type="min"/>
        <cfvo type="percentile" val="50"/>
        <cfvo type="max"/>
        <color rgb="FF63BE7B"/>
        <color rgb="FFFFEB84"/>
        <color rgb="FFF8696B"/>
      </colorScale>
    </cfRule>
  </conditionalFormatting>
  <conditionalFormatting sqref="B18:BA18">
    <cfRule type="colorScale" priority="65">
      <colorScale>
        <cfvo type="min"/>
        <cfvo type="percentile" val="50"/>
        <cfvo type="max"/>
        <color rgb="FF63BE7B"/>
        <color rgb="FFFFEB84"/>
        <color rgb="FFF8696B"/>
      </colorScale>
    </cfRule>
  </conditionalFormatting>
  <conditionalFormatting sqref="B19:BA19">
    <cfRule type="colorScale" priority="66">
      <colorScale>
        <cfvo type="min"/>
        <cfvo type="percentile" val="50"/>
        <cfvo type="max"/>
        <color rgb="FF63BE7B"/>
        <color rgb="FFFFEB84"/>
        <color rgb="FFF8696B"/>
      </colorScale>
    </cfRule>
  </conditionalFormatting>
  <conditionalFormatting sqref="B25:BA25">
    <cfRule type="colorScale" priority="39">
      <colorScale>
        <cfvo type="min"/>
        <cfvo type="percentile" val="50"/>
        <cfvo type="max"/>
        <color rgb="FF63BE7B"/>
        <color rgb="FFFFEB84"/>
        <color rgb="FFF8696B"/>
      </colorScale>
    </cfRule>
  </conditionalFormatting>
  <conditionalFormatting sqref="B26:BA26">
    <cfRule type="colorScale" priority="38">
      <colorScale>
        <cfvo type="min"/>
        <cfvo type="percentile" val="50"/>
        <cfvo type="max"/>
        <color rgb="FF63BE7B"/>
        <color rgb="FFFFEB84"/>
        <color rgb="FFF8696B"/>
      </colorScale>
    </cfRule>
  </conditionalFormatting>
  <conditionalFormatting sqref="B27:BA27">
    <cfRule type="colorScale" priority="37">
      <colorScale>
        <cfvo type="min"/>
        <cfvo type="percentile" val="50"/>
        <cfvo type="max"/>
        <color rgb="FF63BE7B"/>
        <color rgb="FFFFEB84"/>
        <color rgb="FFF8696B"/>
      </colorScale>
    </cfRule>
  </conditionalFormatting>
  <conditionalFormatting sqref="B32:BA32">
    <cfRule type="colorScale" priority="35">
      <colorScale>
        <cfvo type="min"/>
        <cfvo type="percentile" val="50"/>
        <cfvo type="max"/>
        <color rgb="FF63BE7B"/>
        <color rgb="FFFFEB84"/>
        <color rgb="FFF8696B"/>
      </colorScale>
    </cfRule>
  </conditionalFormatting>
  <conditionalFormatting sqref="B33:BA33">
    <cfRule type="colorScale" priority="34">
      <colorScale>
        <cfvo type="min"/>
        <cfvo type="percentile" val="50"/>
        <cfvo type="max"/>
        <color rgb="FF63BE7B"/>
        <color rgb="FFFFEB84"/>
        <color rgb="FFF8696B"/>
      </colorScale>
    </cfRule>
  </conditionalFormatting>
  <conditionalFormatting sqref="B34:BA34">
    <cfRule type="colorScale" priority="33">
      <colorScale>
        <cfvo type="min"/>
        <cfvo type="percentile" val="50"/>
        <cfvo type="max"/>
        <color rgb="FF63BE7B"/>
        <color rgb="FFFFEB84"/>
        <color rgb="FFF8696B"/>
      </colorScale>
    </cfRule>
  </conditionalFormatting>
  <conditionalFormatting sqref="B39:BA39">
    <cfRule type="colorScale" priority="14">
      <colorScale>
        <cfvo type="min"/>
        <cfvo type="percentile" val="50"/>
        <cfvo type="max"/>
        <color rgb="FF63BE7B"/>
        <color rgb="FFFFEB84"/>
        <color rgb="FFF8696B"/>
      </colorScale>
    </cfRule>
  </conditionalFormatting>
  <conditionalFormatting sqref="B40:BA40">
    <cfRule type="colorScale" priority="13">
      <colorScale>
        <cfvo type="min"/>
        <cfvo type="percentile" val="50"/>
        <cfvo type="max"/>
        <color rgb="FF63BE7B"/>
        <color rgb="FFFFEB84"/>
        <color rgb="FFF8696B"/>
      </colorScale>
    </cfRule>
  </conditionalFormatting>
  <conditionalFormatting sqref="B41:BA41">
    <cfRule type="colorScale" priority="12">
      <colorScale>
        <cfvo type="min"/>
        <cfvo type="percentile" val="50"/>
        <cfvo type="max"/>
        <color rgb="FF63BE7B"/>
        <color rgb="FFFFEB84"/>
        <color rgb="FFF8696B"/>
      </colorScale>
    </cfRule>
  </conditionalFormatting>
  <conditionalFormatting sqref="B42:BA42">
    <cfRule type="colorScale" priority="7">
      <colorScale>
        <cfvo type="min"/>
        <cfvo type="percentile" val="50"/>
        <cfvo type="max"/>
        <color rgb="FF63BE7B"/>
        <color rgb="FFFFEB84"/>
        <color rgb="FFF8696B"/>
      </colorScale>
    </cfRule>
  </conditionalFormatting>
  <conditionalFormatting sqref="B43:BA43">
    <cfRule type="colorScale" priority="9">
      <colorScale>
        <cfvo type="min"/>
        <cfvo type="percentile" val="50"/>
        <cfvo type="max"/>
        <color rgb="FFF8696B"/>
        <color rgb="FFFFEB84"/>
        <color rgb="FF63BE7B"/>
      </colorScale>
    </cfRule>
  </conditionalFormatting>
  <conditionalFormatting sqref="B44:BA44">
    <cfRule type="colorScale" priority="8">
      <colorScale>
        <cfvo type="min"/>
        <cfvo type="percentile" val="50"/>
        <cfvo type="max"/>
        <color rgb="FF63BE7B"/>
        <color rgb="FFFFEB84"/>
        <color rgb="FFF8696B"/>
      </colorScale>
    </cfRule>
  </conditionalFormatting>
  <conditionalFormatting sqref="B48:BA48">
    <cfRule type="colorScale" priority="6">
      <colorScale>
        <cfvo type="min"/>
        <cfvo type="percentile" val="50"/>
        <cfvo type="max"/>
        <color rgb="FF63BE7B"/>
        <color rgb="FFFFEB84"/>
        <color rgb="FFF8696B"/>
      </colorScale>
    </cfRule>
  </conditionalFormatting>
  <conditionalFormatting sqref="B49:BA49">
    <cfRule type="colorScale" priority="5">
      <colorScale>
        <cfvo type="min"/>
        <cfvo type="percentile" val="50"/>
        <cfvo type="max"/>
        <color rgb="FF63BE7B"/>
        <color rgb="FFFFEB84"/>
        <color rgb="FFF8696B"/>
      </colorScale>
    </cfRule>
  </conditionalFormatting>
  <conditionalFormatting sqref="B50:BA50">
    <cfRule type="colorScale" priority="4">
      <colorScale>
        <cfvo type="min"/>
        <cfvo type="percentile" val="50"/>
        <cfvo type="max"/>
        <color rgb="FF63BE7B"/>
        <color rgb="FFFFEB84"/>
        <color rgb="FFF8696B"/>
      </colorScale>
    </cfRule>
  </conditionalFormatting>
  <conditionalFormatting sqref="B51:BA51">
    <cfRule type="colorScale" priority="1">
      <colorScale>
        <cfvo type="min"/>
        <cfvo type="percentile" val="50"/>
        <cfvo type="max"/>
        <color rgb="FF63BE7B"/>
        <color rgb="FFFFEB84"/>
        <color rgb="FFF8696B"/>
      </colorScale>
    </cfRule>
  </conditionalFormatting>
  <conditionalFormatting sqref="B52:BA52">
    <cfRule type="colorScale" priority="3">
      <colorScale>
        <cfvo type="min"/>
        <cfvo type="percentile" val="50"/>
        <cfvo type="max"/>
        <color rgb="FFF8696B"/>
        <color rgb="FFFFEB84"/>
        <color rgb="FF63BE7B"/>
      </colorScale>
    </cfRule>
  </conditionalFormatting>
  <conditionalFormatting sqref="B53:BA53">
    <cfRule type="colorScale" priority="2">
      <colorScale>
        <cfvo type="min"/>
        <cfvo type="percentile" val="50"/>
        <cfvo type="max"/>
        <color rgb="FF63BE7B"/>
        <color rgb="FFFFEB84"/>
        <color rgb="FFF8696B"/>
      </colorScale>
    </cfRule>
  </conditionalFormatting>
  <dataValidations disablePrompts="1" count="1">
    <dataValidation type="list" operator="equal" allowBlank="1" showDropDown="1" sqref="B39:B41 B48:B50" xr:uid="{C9141AA1-9B6B-4D4A-A712-CA5EE2EB72FA}">
      <formula1>"ASICS GEL 11-50,ASICS GT 21-40,ASICS GT 21-60"</formula1>
      <formula2>0</formula2>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DF355-6632-0D41-8CCD-F0C3336FEF60}">
  <dimension ref="A4:G38"/>
  <sheetViews>
    <sheetView workbookViewId="0">
      <selection activeCell="Q35" sqref="Q35"/>
    </sheetView>
  </sheetViews>
  <sheetFormatPr baseColWidth="10" defaultRowHeight="13" x14ac:dyDescent="0.15"/>
  <sheetData>
    <row r="4" spans="1:7" x14ac:dyDescent="0.15">
      <c r="B4" t="s">
        <v>628</v>
      </c>
      <c r="C4" t="s">
        <v>1504</v>
      </c>
    </row>
    <row r="5" spans="1:7" x14ac:dyDescent="0.15">
      <c r="B5" t="s">
        <v>1513</v>
      </c>
      <c r="C5" t="s">
        <v>1514</v>
      </c>
      <c r="D5" t="s">
        <v>1507</v>
      </c>
      <c r="E5" t="s">
        <v>1505</v>
      </c>
      <c r="F5" t="s">
        <v>494</v>
      </c>
      <c r="G5" t="s">
        <v>627</v>
      </c>
    </row>
    <row r="6" spans="1:7" x14ac:dyDescent="0.15">
      <c r="A6" s="3376">
        <f>'2018+'!C2189</f>
        <v>45287</v>
      </c>
      <c r="B6" s="3377">
        <f>'2018+'!U2189</f>
        <v>9.6881288039183442</v>
      </c>
      <c r="C6" s="3377">
        <f>'2018+'!AA2189</f>
        <v>9.2371910758636471</v>
      </c>
      <c r="D6" s="62">
        <f>'2018+'!W2189</f>
        <v>0.47250386408426082</v>
      </c>
      <c r="E6" s="62">
        <f>'2018+'!AB2189</f>
        <v>0.4086833448036869</v>
      </c>
      <c r="F6">
        <v>261</v>
      </c>
      <c r="G6">
        <v>241</v>
      </c>
    </row>
    <row r="7" spans="1:7" x14ac:dyDescent="0.15">
      <c r="A7" s="3376">
        <f>'2018+'!C2190</f>
        <v>45288</v>
      </c>
      <c r="B7" s="3377">
        <f>'2018+'!U2190</f>
        <v>9.4574590704917174</v>
      </c>
      <c r="C7" s="3377">
        <f>'2018+'!AA2190</f>
        <v>9.0172579550097502</v>
      </c>
      <c r="D7" s="62">
        <f>'2018+'!W2190</f>
        <v>0.41488144163496071</v>
      </c>
      <c r="E7" s="62">
        <f>'2018+'!AB2190</f>
        <v>0.35884391251055436</v>
      </c>
      <c r="F7">
        <v>261</v>
      </c>
      <c r="G7">
        <v>241</v>
      </c>
    </row>
    <row r="8" spans="1:7" x14ac:dyDescent="0.15">
      <c r="A8" s="3376">
        <f>'2018+'!C2191</f>
        <v>45289</v>
      </c>
      <c r="B8" s="3377">
        <f>'2018+'!U2191</f>
        <v>9.8037100450038199</v>
      </c>
      <c r="C8" s="3377">
        <f>'2018+'!AA2191</f>
        <v>9.2073232417952315</v>
      </c>
      <c r="D8" s="62">
        <f>'2018+'!W2191</f>
        <v>0.69277483876691048</v>
      </c>
      <c r="E8" s="62">
        <f>'2018+'!AB2191</f>
        <v>0.56499635890540201</v>
      </c>
      <c r="F8">
        <v>261</v>
      </c>
      <c r="G8">
        <v>241</v>
      </c>
    </row>
    <row r="9" spans="1:7" x14ac:dyDescent="0.15">
      <c r="A9" s="3376">
        <f>'2018+'!C2192</f>
        <v>45290</v>
      </c>
      <c r="B9" s="3377">
        <f>'2018+'!U2192</f>
        <v>9.5702883772656335</v>
      </c>
      <c r="C9" s="3377">
        <f>'2018+'!AA2192</f>
        <v>8.9881012598477259</v>
      </c>
      <c r="D9" s="62">
        <f>'2018+'!W2192</f>
        <v>0.60829010233192149</v>
      </c>
      <c r="E9" s="62">
        <f>'2018+'!AB2192</f>
        <v>0.49609436391693834</v>
      </c>
      <c r="F9">
        <v>261</v>
      </c>
      <c r="G9">
        <v>241</v>
      </c>
    </row>
    <row r="10" spans="1:7" x14ac:dyDescent="0.15">
      <c r="A10" s="3376">
        <f>'2018+'!C2193</f>
        <v>45291</v>
      </c>
      <c r="B10" s="3377">
        <f>'2018+'!U2193</f>
        <v>10.318614844473595</v>
      </c>
      <c r="C10" s="3377">
        <f>'2018+'!AA2193</f>
        <v>9.5121940869942083</v>
      </c>
      <c r="D10" s="62">
        <f>'2018+'!W2193</f>
        <v>1.0512079565848658</v>
      </c>
      <c r="E10" s="62">
        <f>'2018+'!AB2193</f>
        <v>0.86736302800628062</v>
      </c>
      <c r="F10">
        <v>261</v>
      </c>
      <c r="G10">
        <v>241</v>
      </c>
    </row>
    <row r="11" spans="1:7" x14ac:dyDescent="0.15">
      <c r="A11" s="3376">
        <f>'2018+'!C2194</f>
        <v>45292</v>
      </c>
      <c r="B11" s="3377">
        <f>'2018+'!U2194</f>
        <v>10.072933538652796</v>
      </c>
      <c r="C11" s="3377">
        <f>'2018+'!AA2194</f>
        <v>9.2857132753991074</v>
      </c>
      <c r="D11" s="62">
        <f>'2018+'!W2194</f>
        <v>0.92301186431841875</v>
      </c>
      <c r="E11" s="62">
        <f>'2018+'!AB2194</f>
        <v>0.7615870489811245</v>
      </c>
      <c r="F11">
        <v>261</v>
      </c>
      <c r="G11">
        <v>241</v>
      </c>
    </row>
    <row r="12" spans="1:7" x14ac:dyDescent="0.15">
      <c r="A12" s="3376">
        <f>'2018+'!C2195</f>
        <v>45293</v>
      </c>
      <c r="B12" s="3377">
        <f>'2018+'!U2195</f>
        <v>9.8331017877324918</v>
      </c>
      <c r="C12" s="3377">
        <f>'2018+'!AA2195</f>
        <v>9.0646248640800806</v>
      </c>
      <c r="D12" s="62">
        <f>'2018+'!W2195</f>
        <v>0.81044944184056278</v>
      </c>
      <c r="E12" s="62">
        <f>'2018+'!AB2195</f>
        <v>0.66871057959318247</v>
      </c>
      <c r="F12">
        <v>261</v>
      </c>
      <c r="G12">
        <v>241</v>
      </c>
    </row>
    <row r="13" spans="1:7" x14ac:dyDescent="0.15">
      <c r="A13" s="3376">
        <f>'2018+'!C2196</f>
        <v>45294</v>
      </c>
      <c r="B13" s="3377">
        <f>'2018+'!U2196</f>
        <v>10.741837459453146</v>
      </c>
      <c r="C13" s="3377">
        <f>'2018+'!AA2196</f>
        <v>9.9678480816019839</v>
      </c>
      <c r="D13" s="62">
        <f>'2018+'!W2196</f>
        <v>1.2742617890660377</v>
      </c>
      <c r="E13" s="62">
        <f>'2018+'!AB2196</f>
        <v>1.194836819304502</v>
      </c>
      <c r="F13">
        <v>261</v>
      </c>
      <c r="G13">
        <v>241</v>
      </c>
    </row>
    <row r="14" spans="1:7" x14ac:dyDescent="0.15">
      <c r="A14" s="3376">
        <f>'2018+'!C2197</f>
        <v>45295</v>
      </c>
      <c r="B14" s="3377">
        <f>'2018+'!U2197</f>
        <v>10.486079424704261</v>
      </c>
      <c r="C14" s="3377">
        <f>'2018+'!AA2197</f>
        <v>9.7305183653733653</v>
      </c>
      <c r="D14" s="62">
        <f>'2018+'!W2197</f>
        <v>1.1188640099116431</v>
      </c>
      <c r="E14" s="62">
        <f>'2018+'!AB2197</f>
        <v>1.0491250120722457</v>
      </c>
      <c r="F14">
        <v>261</v>
      </c>
      <c r="G14">
        <v>241</v>
      </c>
    </row>
    <row r="15" spans="1:7" x14ac:dyDescent="0.15">
      <c r="A15" s="3376">
        <f>'2018+'!C2198</f>
        <v>45296</v>
      </c>
      <c r="B15" s="3377">
        <f>'2018+'!U2198</f>
        <v>10.236410866973207</v>
      </c>
      <c r="C15" s="3377">
        <f>'2018+'!AA2198</f>
        <v>9.498839356673999</v>
      </c>
      <c r="D15" s="62">
        <f>'2018+'!W2198</f>
        <v>0.98241717943461337</v>
      </c>
      <c r="E15" s="62">
        <f>'2018+'!AB2198</f>
        <v>0.92118293742928903</v>
      </c>
      <c r="F15">
        <v>261</v>
      </c>
      <c r="G15">
        <v>241</v>
      </c>
    </row>
    <row r="16" spans="1:7" x14ac:dyDescent="0.15">
      <c r="A16" s="3376">
        <f>'2018+'!C2199</f>
        <v>45297</v>
      </c>
      <c r="B16" s="3377">
        <f>'2018+'!U2199</f>
        <v>10.80221060823575</v>
      </c>
      <c r="C16" s="3377">
        <f>'2018+'!AA2199</f>
        <v>10.058390800562714</v>
      </c>
      <c r="D16" s="62">
        <f>'2018+'!W2199</f>
        <v>1.2476091206853648</v>
      </c>
      <c r="E16" s="62">
        <f>'2018+'!AB2199</f>
        <v>1.2143523344241964</v>
      </c>
      <c r="F16">
        <v>261</v>
      </c>
      <c r="G16">
        <v>241</v>
      </c>
    </row>
    <row r="17" spans="1:7" x14ac:dyDescent="0.15">
      <c r="A17" s="3376">
        <f>'2018+'!C2200</f>
        <v>45298</v>
      </c>
      <c r="B17" s="3377">
        <f>'2018+'!U2200</f>
        <v>10.545015117563471</v>
      </c>
      <c r="C17" s="3377">
        <f>'2018+'!AA2200</f>
        <v>9.8189053053112207</v>
      </c>
      <c r="D17" s="62">
        <f>'2018+'!W2200</f>
        <v>1.0954616669432471</v>
      </c>
      <c r="E17" s="62">
        <f>'2018+'!AB2200</f>
        <v>1.0662605863236847</v>
      </c>
      <c r="F17">
        <v>261</v>
      </c>
      <c r="G17">
        <v>241</v>
      </c>
    </row>
    <row r="18" spans="1:7" x14ac:dyDescent="0.15">
      <c r="A18" s="3376">
        <f>'2018+'!C2201</f>
        <v>45299</v>
      </c>
      <c r="B18" s="3377">
        <f>'2018+'!U2201</f>
        <v>11.222514757621484</v>
      </c>
      <c r="C18" s="3377">
        <f>'2018+'!AA2201</f>
        <v>10.466074226613335</v>
      </c>
      <c r="D18" s="62">
        <f>'2018+'!W2201</f>
        <v>1.3787329867171194</v>
      </c>
      <c r="E18" s="62">
        <f>'2018+'!AB2201</f>
        <v>1.3624575148526834</v>
      </c>
      <c r="F18">
        <v>261</v>
      </c>
      <c r="G18">
        <v>241</v>
      </c>
    </row>
    <row r="19" spans="1:7" x14ac:dyDescent="0.15">
      <c r="A19" s="3376">
        <f>'2018+'!C2202</f>
        <v>45300</v>
      </c>
      <c r="B19" s="3377">
        <f>'2018+'!U2202</f>
        <v>10.955312025297163</v>
      </c>
      <c r="C19" s="3377">
        <f>'2018+'!AA2202</f>
        <v>10.216881983122541</v>
      </c>
      <c r="D19" s="62">
        <f>'2018+'!W2202</f>
        <v>1.2105948176052757</v>
      </c>
      <c r="E19" s="62">
        <f>'2018+'!AB2202</f>
        <v>1.1963041593828438</v>
      </c>
      <c r="F19">
        <v>261</v>
      </c>
      <c r="G19">
        <v>241</v>
      </c>
    </row>
    <row r="20" spans="1:7" x14ac:dyDescent="0.15">
      <c r="A20" s="3376">
        <f>'2018+'!C2203</f>
        <v>45301</v>
      </c>
      <c r="B20" s="3377">
        <f>'2018+'!U2203</f>
        <v>11.503995072313897</v>
      </c>
      <c r="C20" s="3377">
        <f>'2018+'!AA2203</f>
        <v>10.735527650191052</v>
      </c>
      <c r="D20" s="62">
        <f>'2018+'!W2203</f>
        <v>1.4103754275240012</v>
      </c>
      <c r="E20" s="62">
        <f>'2018+'!AB2203</f>
        <v>1.4016875809296652</v>
      </c>
      <c r="F20">
        <v>261</v>
      </c>
      <c r="G20">
        <v>241</v>
      </c>
    </row>
    <row r="21" spans="1:7" x14ac:dyDescent="0.15">
      <c r="A21" s="3376">
        <f>'2018+'!C2204</f>
        <v>45302</v>
      </c>
      <c r="B21" s="3377">
        <f>'2018+'!U2204</f>
        <v>11.230090427734995</v>
      </c>
      <c r="C21" s="3377">
        <f>'2018+'!AA2204</f>
        <v>10.479919848996028</v>
      </c>
      <c r="D21" s="62">
        <f>'2018+'!W2204</f>
        <v>1.2383784241674158</v>
      </c>
      <c r="E21" s="62">
        <f>'2018+'!AB2204</f>
        <v>1.2307500710601937</v>
      </c>
      <c r="F21">
        <v>261</v>
      </c>
      <c r="G21">
        <v>241</v>
      </c>
    </row>
    <row r="22" spans="1:7" x14ac:dyDescent="0.15">
      <c r="A22" s="3376">
        <f>'2018+'!C2205</f>
        <v>45303</v>
      </c>
      <c r="B22" s="3377">
        <f>'2018+'!U2205</f>
        <v>10.962707322312733</v>
      </c>
      <c r="C22" s="3377">
        <f>'2018+'!AA2205</f>
        <v>10.230397947829456</v>
      </c>
      <c r="D22" s="62">
        <f>'2018+'!W2205</f>
        <v>1.087356665122609</v>
      </c>
      <c r="E22" s="62">
        <f>'2018+'!AB2205</f>
        <v>1.0806585989796824</v>
      </c>
      <c r="F22">
        <v>261</v>
      </c>
      <c r="G22">
        <v>241</v>
      </c>
    </row>
    <row r="23" spans="1:7" x14ac:dyDescent="0.15">
      <c r="A23" s="3376">
        <f>'2018+'!C2206</f>
        <v>45304</v>
      </c>
      <c r="B23" s="3377">
        <f>'2018+'!U2206</f>
        <v>10.701690481305286</v>
      </c>
      <c r="C23" s="3377">
        <f>'2018+'!AA2206</f>
        <v>9.9868170443097064</v>
      </c>
      <c r="D23" s="62">
        <f>'2018+'!W2206</f>
        <v>0.95475219376619325</v>
      </c>
      <c r="E23" s="62">
        <f>'2018+'!AB2206</f>
        <v>0.94887096495776979</v>
      </c>
      <c r="F23">
        <v>261</v>
      </c>
      <c r="G23">
        <v>241</v>
      </c>
    </row>
    <row r="24" spans="1:7" x14ac:dyDescent="0.15">
      <c r="A24" s="3376">
        <f>'2018+'!C2207</f>
        <v>45305</v>
      </c>
      <c r="B24" s="3377">
        <f>'2018+'!U2207</f>
        <v>11.208793088893255</v>
      </c>
      <c r="C24" s="3377">
        <f>'2018+'!AA2207</f>
        <v>10.368083305159475</v>
      </c>
      <c r="D24" s="62">
        <f>'2018+'!W2207</f>
        <v>1.1891783026852036</v>
      </c>
      <c r="E24" s="62">
        <f>'2018+'!AB2207</f>
        <v>1.1416520422123986</v>
      </c>
      <c r="F24">
        <v>261</v>
      </c>
      <c r="G24">
        <v>241</v>
      </c>
    </row>
    <row r="25" spans="1:7" x14ac:dyDescent="0.15">
      <c r="A25" s="3376">
        <f>'2018+'!C2208</f>
        <v>45306</v>
      </c>
      <c r="B25" s="3377">
        <f>'2018+'!U2208</f>
        <v>11.65620277725294</v>
      </c>
      <c r="C25" s="3377">
        <f>'2018+'!AA2208</f>
        <v>10.764081321703298</v>
      </c>
      <c r="D25" s="62">
        <f>'2018+'!W2208</f>
        <v>1.347847926920511</v>
      </c>
      <c r="E25" s="62">
        <f>'2018+'!AB2208</f>
        <v>1.3008934588692247</v>
      </c>
      <c r="F25">
        <v>261</v>
      </c>
      <c r="G25">
        <v>241</v>
      </c>
    </row>
    <row r="26" spans="1:7" x14ac:dyDescent="0.15">
      <c r="A26" s="3376">
        <f>'2018+'!C2209</f>
        <v>45307</v>
      </c>
      <c r="B26" s="3377">
        <f>'2018+'!U2209</f>
        <v>11.378674139699298</v>
      </c>
      <c r="C26" s="3377">
        <f>'2018+'!AA2209</f>
        <v>10.507793671186553</v>
      </c>
      <c r="D26" s="62">
        <f>'2018+'!W2209</f>
        <v>1.1834762285155707</v>
      </c>
      <c r="E26" s="62">
        <f>'2018+'!AB2209</f>
        <v>1.1422479151046849</v>
      </c>
      <c r="F26">
        <v>261</v>
      </c>
      <c r="G26">
        <v>241</v>
      </c>
    </row>
    <row r="27" spans="1:7" x14ac:dyDescent="0.15">
      <c r="A27" s="3376">
        <f>'2018+'!C2210</f>
        <v>45308</v>
      </c>
      <c r="B27" s="3377">
        <f>'2018+'!U2210</f>
        <v>11.869658088754075</v>
      </c>
      <c r="C27" s="3377">
        <f>'2018+'!AA2210</f>
        <v>11.11475096472973</v>
      </c>
      <c r="D27" s="62">
        <f>'2018+'!W2210</f>
        <v>1.3575832392464955</v>
      </c>
      <c r="E27" s="62">
        <f>'2018+'!AB2210</f>
        <v>1.3883099112719757</v>
      </c>
      <c r="F27">
        <v>261</v>
      </c>
      <c r="G27">
        <v>231</v>
      </c>
    </row>
    <row r="28" spans="1:7" x14ac:dyDescent="0.15">
      <c r="A28" s="3376">
        <f>'2018+'!C2211</f>
        <v>45309</v>
      </c>
      <c r="B28" s="3377">
        <f>'2018+'!U2211</f>
        <v>12.182285277117074</v>
      </c>
      <c r="C28" s="3377">
        <f>'2018+'!AA2211</f>
        <v>11.469161656045689</v>
      </c>
      <c r="D28" s="62">
        <f>'2018+'!W2211</f>
        <v>1.4269465925698772</v>
      </c>
      <c r="E28" s="62">
        <f>'2018+'!AB2211</f>
        <v>1.4770579341393573</v>
      </c>
      <c r="F28">
        <v>261</v>
      </c>
      <c r="G28">
        <v>231</v>
      </c>
    </row>
    <row r="29" spans="1:7" x14ac:dyDescent="0.15">
      <c r="A29" s="3376">
        <f>'2018+'!C2212</f>
        <v>45310</v>
      </c>
      <c r="B29" s="3377">
        <f>'2018+'!U2212</f>
        <v>11.892230865757144</v>
      </c>
      <c r="C29" s="3377">
        <f>'2018+'!AA2212</f>
        <v>11.196086378520791</v>
      </c>
      <c r="D29" s="62">
        <f>'2018+'!W2212</f>
        <v>1.2529287154272091</v>
      </c>
      <c r="E29" s="62">
        <f>'2018+'!AB2212</f>
        <v>1.2969289177808991</v>
      </c>
    </row>
    <row r="30" spans="1:7" x14ac:dyDescent="0.15">
      <c r="A30" s="3376">
        <f>'2018+'!C2213</f>
        <v>45311</v>
      </c>
      <c r="B30" s="3377">
        <f>'2018+'!U2213</f>
        <v>12.370987273715308</v>
      </c>
      <c r="C30" s="3377">
        <f>'2018+'!AA2213</f>
        <v>11.572370036175057</v>
      </c>
      <c r="D30" s="62">
        <f>'2018+'!W2213</f>
        <v>1.4019057258397067</v>
      </c>
      <c r="E30" s="62">
        <f>'2018+'!AB2213</f>
        <v>1.4088133914155785</v>
      </c>
    </row>
    <row r="31" spans="1:7" x14ac:dyDescent="0.15">
      <c r="A31" s="3376">
        <f>'2018+'!C2214</f>
        <v>45312</v>
      </c>
      <c r="B31" s="3377">
        <f>'2018+'!U2214</f>
        <v>12.076439957674467</v>
      </c>
      <c r="C31" s="3377">
        <f>'2018+'!AA2214</f>
        <v>11.296837416266127</v>
      </c>
      <c r="D31" s="62">
        <f>'2018+'!W2214</f>
        <v>1.2309416129324258</v>
      </c>
      <c r="E31" s="62">
        <f>'2018+'!AB2214</f>
        <v>1.2370068802673371</v>
      </c>
    </row>
    <row r="32" spans="1:7" x14ac:dyDescent="0.15">
      <c r="A32" s="3376">
        <f>'2018+'!C2215</f>
        <v>45313</v>
      </c>
      <c r="B32" s="3377">
        <f>'2018+'!U2215</f>
        <v>12.649024720586979</v>
      </c>
      <c r="C32" s="3377">
        <f>'2018+'!AA2215</f>
        <v>11.527865096831219</v>
      </c>
      <c r="D32" s="62">
        <f>'2018+'!W2215</f>
        <v>1.415324870020866</v>
      </c>
      <c r="E32" s="62">
        <f>'2018+'!AB2215</f>
        <v>1.2992815083206652</v>
      </c>
    </row>
    <row r="33" spans="1:5" x14ac:dyDescent="0.15">
      <c r="A33" s="3376">
        <f>'2018+'!C2216</f>
        <v>45314</v>
      </c>
      <c r="B33" s="3377">
        <f>'2018+'!U2216</f>
        <v>14.063397465334909</v>
      </c>
      <c r="C33" s="3377">
        <f>'2018+'!AA2216</f>
        <v>12.420058785001904</v>
      </c>
      <c r="D33" s="62">
        <f>'2018+'!W2216</f>
        <v>1.8230461233415669</v>
      </c>
      <c r="E33" s="62">
        <f>'2018+'!AB2216</f>
        <v>1.5972739180367601</v>
      </c>
    </row>
    <row r="34" spans="1:5" x14ac:dyDescent="0.15">
      <c r="A34" s="3376">
        <f>'2018+'!C2217</f>
        <v>45315</v>
      </c>
      <c r="B34" s="3377">
        <f>'2018+'!U2217</f>
        <v>13.72855466854122</v>
      </c>
      <c r="C34" s="3377">
        <f>'2018+'!AA2217</f>
        <v>12.124343099644717</v>
      </c>
      <c r="D34" s="62">
        <f>'2018+'!W2217</f>
        <v>1.6007234253730833</v>
      </c>
      <c r="E34" s="62">
        <f>'2018+'!AB2217</f>
        <v>1.4024844158371552</v>
      </c>
    </row>
    <row r="35" spans="1:5" x14ac:dyDescent="0.15">
      <c r="A35" s="3376">
        <f>'2018+'!C2218</f>
        <v>45316</v>
      </c>
      <c r="B35" s="3377">
        <f>'2018+'!U2218</f>
        <v>14.261803366909286</v>
      </c>
      <c r="C35" s="3377">
        <f>'2018+'!AA2218</f>
        <v>12.121382549653177</v>
      </c>
      <c r="D35" s="62">
        <f>'2018+'!W2218</f>
        <v>1.6826034248379982</v>
      </c>
      <c r="E35" s="62">
        <f>'2018+'!AB2218</f>
        <v>1.3438496926520662</v>
      </c>
    </row>
    <row r="36" spans="1:5" x14ac:dyDescent="0.15">
      <c r="A36" s="3376">
        <f>'2018+'!C2219</f>
        <v>45317</v>
      </c>
      <c r="B36" s="3377">
        <f>'2018+'!U2219</f>
        <v>13.922236620078111</v>
      </c>
      <c r="C36" s="3377">
        <f>'2018+'!AA2219</f>
        <v>11.832778203232863</v>
      </c>
      <c r="D36" s="62">
        <f>'2018+'!W2219</f>
        <v>1.4774078852236083</v>
      </c>
      <c r="E36" s="62">
        <f>'2018+'!AB2219</f>
        <v>1.179965583792058</v>
      </c>
    </row>
    <row r="37" spans="1:5" x14ac:dyDescent="0.15">
      <c r="A37" s="3376">
        <f>'2018+'!C2220</f>
        <v>45318</v>
      </c>
      <c r="B37" s="3377">
        <f>'2018+'!U2220</f>
        <v>15.306294795790537</v>
      </c>
      <c r="C37" s="3377">
        <f>'2018+'!AA2220</f>
        <v>13.360569198393986</v>
      </c>
      <c r="D37" s="62">
        <f>'2018+'!W2220</f>
        <v>1.8243251792110458</v>
      </c>
      <c r="E37" s="62">
        <f>'2018+'!AB2220</f>
        <v>1.7083706098172107</v>
      </c>
    </row>
    <row r="38" spans="1:5" x14ac:dyDescent="0.15">
      <c r="A38" s="3376">
        <f>'2018+'!C2221</f>
        <v>45319</v>
      </c>
      <c r="B38" s="3377">
        <f>'2018+'!U2221</f>
        <v>14.941859205414572</v>
      </c>
      <c r="C38" s="3377">
        <f>'2018+'!AA2221</f>
        <v>13.042460407956034</v>
      </c>
      <c r="D38" s="62">
        <f>'2018+'!W2221</f>
        <v>1.601846498819455</v>
      </c>
      <c r="E38" s="62">
        <f>'2018+'!AB2221</f>
        <v>1.5000327305712096</v>
      </c>
    </row>
  </sheetData>
  <pageMargins left="0.7" right="0.7" top="0.75" bottom="0.75" header="0.3" footer="0.3"/>
  <pageSetup paperSize="9" orientation="portrait" horizontalDpi="0" verticalDpi="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B5F26-A50E-2C4E-94DB-5D417DD176A8}">
  <dimension ref="A1:N17"/>
  <sheetViews>
    <sheetView workbookViewId="0">
      <pane xSplit="1" topLeftCell="B1" activePane="topRight" state="frozen"/>
      <selection pane="topRight" activeCell="L25" sqref="L25"/>
    </sheetView>
  </sheetViews>
  <sheetFormatPr baseColWidth="10" defaultColWidth="8.83203125" defaultRowHeight="14" x14ac:dyDescent="0.2"/>
  <cols>
    <col min="1" max="1" width="6" style="361" bestFit="1" customWidth="1"/>
    <col min="2" max="2" width="4.5" style="363" customWidth="1"/>
    <col min="3" max="12" width="4.5" style="363" bestFit="1" customWidth="1"/>
    <col min="13" max="13" width="6" style="363" bestFit="1" customWidth="1"/>
    <col min="14" max="16384" width="8.83203125" style="363"/>
  </cols>
  <sheetData>
    <row r="1" spans="1:14" ht="15" thickBot="1" x14ac:dyDescent="0.25">
      <c r="A1" s="806" t="s">
        <v>1489</v>
      </c>
      <c r="B1" s="3253" t="s">
        <v>1456</v>
      </c>
    </row>
    <row r="2" spans="1:14" ht="15" thickBot="1" x14ac:dyDescent="0.25">
      <c r="A2" s="806" t="s">
        <v>1472</v>
      </c>
      <c r="B2" s="3229" t="s">
        <v>1473</v>
      </c>
      <c r="C2" s="3229" t="s">
        <v>1474</v>
      </c>
      <c r="D2" s="3229" t="s">
        <v>1475</v>
      </c>
      <c r="E2" s="3229" t="s">
        <v>1476</v>
      </c>
      <c r="F2" s="3229" t="s">
        <v>1477</v>
      </c>
      <c r="G2" s="3229" t="s">
        <v>1478</v>
      </c>
      <c r="H2" s="3229" t="s">
        <v>1479</v>
      </c>
      <c r="I2" s="3229" t="s">
        <v>1480</v>
      </c>
      <c r="J2" s="3229" t="s">
        <v>1481</v>
      </c>
      <c r="K2" s="3229" t="s">
        <v>1482</v>
      </c>
      <c r="L2" s="3229" t="s">
        <v>1483</v>
      </c>
      <c r="M2" s="806" t="s">
        <v>229</v>
      </c>
    </row>
    <row r="3" spans="1:14" ht="15" thickBot="1" x14ac:dyDescent="0.25">
      <c r="A3" s="3110" t="s">
        <v>4</v>
      </c>
      <c r="B3" s="898" t="s">
        <v>786</v>
      </c>
      <c r="C3" s="901" t="s">
        <v>786</v>
      </c>
      <c r="D3" s="901" t="s">
        <v>786</v>
      </c>
      <c r="E3" s="901" t="s">
        <v>788</v>
      </c>
      <c r="F3" s="901" t="s">
        <v>786</v>
      </c>
      <c r="G3" s="901" t="s">
        <v>786</v>
      </c>
      <c r="H3" s="901" t="s">
        <v>786</v>
      </c>
      <c r="I3" s="901" t="s">
        <v>788</v>
      </c>
      <c r="J3" s="901" t="s">
        <v>786</v>
      </c>
      <c r="K3" s="901" t="s">
        <v>786</v>
      </c>
      <c r="L3" s="902" t="s">
        <v>786</v>
      </c>
      <c r="M3" s="3112"/>
    </row>
    <row r="4" spans="1:14" x14ac:dyDescent="0.2">
      <c r="A4" s="2934" t="s">
        <v>626</v>
      </c>
      <c r="B4" s="2973">
        <v>51</v>
      </c>
      <c r="C4" s="3117">
        <v>57.58</v>
      </c>
      <c r="D4" s="3117">
        <v>58.47</v>
      </c>
      <c r="E4" s="3117">
        <v>36.340000000000003</v>
      </c>
      <c r="F4" s="3117">
        <v>56.76</v>
      </c>
      <c r="G4" s="3117">
        <v>64.67</v>
      </c>
      <c r="H4" s="3117">
        <v>56.627000000000002</v>
      </c>
      <c r="I4" s="3117">
        <v>36.678306309714436</v>
      </c>
      <c r="J4" s="3117">
        <v>38.379999999999995</v>
      </c>
      <c r="K4" s="3117">
        <v>70.14</v>
      </c>
      <c r="L4" s="3118">
        <v>66.600000000000009</v>
      </c>
      <c r="M4" s="3113">
        <f t="shared" ref="M4:M8" si="0">SUM(B4:L4)</f>
        <v>593.24530630971458</v>
      </c>
      <c r="N4" s="364"/>
    </row>
    <row r="5" spans="1:14" x14ac:dyDescent="0.2">
      <c r="A5" s="2935" t="s">
        <v>628</v>
      </c>
      <c r="B5" s="3119">
        <v>322</v>
      </c>
      <c r="C5" s="3120">
        <v>366</v>
      </c>
      <c r="D5" s="3120">
        <v>361</v>
      </c>
      <c r="E5" s="3120">
        <v>208</v>
      </c>
      <c r="F5" s="3120">
        <v>416.92311488888629</v>
      </c>
      <c r="G5" s="3120">
        <v>445.71002509509947</v>
      </c>
      <c r="H5" s="3120">
        <v>351</v>
      </c>
      <c r="I5" s="3120">
        <v>239</v>
      </c>
      <c r="J5" s="3120">
        <v>238</v>
      </c>
      <c r="K5" s="3120">
        <v>405</v>
      </c>
      <c r="L5" s="3121">
        <v>398</v>
      </c>
      <c r="M5" s="3114">
        <f t="shared" si="0"/>
        <v>3750.6331399839855</v>
      </c>
    </row>
    <row r="6" spans="1:14" x14ac:dyDescent="0.2">
      <c r="A6" s="2935" t="s">
        <v>761</v>
      </c>
      <c r="B6" s="3122"/>
      <c r="C6" s="883"/>
      <c r="D6" s="883"/>
      <c r="E6" s="883"/>
      <c r="F6" s="883"/>
      <c r="G6" s="883"/>
      <c r="H6" s="883"/>
      <c r="I6" s="883"/>
      <c r="J6" s="883"/>
      <c r="K6" s="883"/>
      <c r="L6" s="3123"/>
      <c r="M6" s="3115">
        <f t="shared" si="0"/>
        <v>0</v>
      </c>
    </row>
    <row r="7" spans="1:14" x14ac:dyDescent="0.2">
      <c r="A7" s="2935" t="s">
        <v>980</v>
      </c>
      <c r="B7" s="3122"/>
      <c r="C7" s="883"/>
      <c r="D7" s="883"/>
      <c r="E7" s="883"/>
      <c r="F7" s="883"/>
      <c r="G7" s="883"/>
      <c r="H7" s="883"/>
      <c r="I7" s="883"/>
      <c r="J7" s="883"/>
      <c r="K7" s="883"/>
      <c r="L7" s="3123"/>
      <c r="M7" s="3115">
        <f t="shared" si="0"/>
        <v>0</v>
      </c>
    </row>
    <row r="8" spans="1:14" ht="15" thickBot="1" x14ac:dyDescent="0.25">
      <c r="A8" s="3111" t="s">
        <v>183</v>
      </c>
      <c r="B8" s="3124"/>
      <c r="C8" s="3125"/>
      <c r="D8" s="3125"/>
      <c r="E8" s="3125"/>
      <c r="F8" s="3125"/>
      <c r="G8" s="3125"/>
      <c r="H8" s="3125"/>
      <c r="I8" s="3125"/>
      <c r="J8" s="3125"/>
      <c r="K8" s="3125"/>
      <c r="L8" s="3126"/>
      <c r="M8" s="3116">
        <f t="shared" si="0"/>
        <v>0</v>
      </c>
    </row>
    <row r="9" spans="1:14" ht="15" thickBot="1" x14ac:dyDescent="0.25"/>
    <row r="10" spans="1:14" ht="15" thickBot="1" x14ac:dyDescent="0.25">
      <c r="A10" s="806" t="s">
        <v>1490</v>
      </c>
      <c r="B10" s="3253" t="s">
        <v>183</v>
      </c>
    </row>
    <row r="11" spans="1:14" ht="15" thickBot="1" x14ac:dyDescent="0.25">
      <c r="A11" s="3236" t="s">
        <v>1455</v>
      </c>
      <c r="B11" s="3235" t="s">
        <v>1473</v>
      </c>
      <c r="C11" s="3229" t="s">
        <v>1474</v>
      </c>
      <c r="D11" s="3229" t="s">
        <v>1475</v>
      </c>
      <c r="E11" s="3229" t="s">
        <v>1476</v>
      </c>
      <c r="F11" s="3229" t="s">
        <v>1477</v>
      </c>
      <c r="G11" s="3229" t="s">
        <v>1478</v>
      </c>
      <c r="H11" s="3229" t="s">
        <v>1479</v>
      </c>
      <c r="I11" s="3229" t="s">
        <v>1480</v>
      </c>
      <c r="J11" s="3229" t="s">
        <v>1481</v>
      </c>
      <c r="K11" s="3229" t="s">
        <v>1482</v>
      </c>
      <c r="L11" s="3237" t="s">
        <v>1483</v>
      </c>
      <c r="M11" s="3236" t="s">
        <v>229</v>
      </c>
    </row>
    <row r="12" spans="1:14" ht="15" thickBot="1" x14ac:dyDescent="0.25">
      <c r="A12" s="3110" t="s">
        <v>4</v>
      </c>
      <c r="B12" s="898" t="s">
        <v>786</v>
      </c>
      <c r="C12" s="901" t="s">
        <v>786</v>
      </c>
      <c r="D12" s="901" t="s">
        <v>786</v>
      </c>
      <c r="E12" s="901" t="s">
        <v>788</v>
      </c>
      <c r="F12" s="901" t="s">
        <v>786</v>
      </c>
      <c r="G12" s="901" t="s">
        <v>786</v>
      </c>
      <c r="H12" s="901" t="s">
        <v>786</v>
      </c>
      <c r="I12" s="901" t="s">
        <v>788</v>
      </c>
      <c r="J12" s="901" t="s">
        <v>786</v>
      </c>
      <c r="K12" s="901" t="s">
        <v>786</v>
      </c>
      <c r="L12" s="902" t="s">
        <v>786</v>
      </c>
      <c r="M12" s="3112"/>
    </row>
    <row r="13" spans="1:14" x14ac:dyDescent="0.2">
      <c r="A13" s="2934" t="s">
        <v>626</v>
      </c>
      <c r="B13" s="2973">
        <f>SUM('2018+'!H2368:H2376)</f>
        <v>47.464979495715887</v>
      </c>
      <c r="C13" s="3117">
        <f>SUM('2018+'!H2377:H2385)</f>
        <v>37.293912460919628</v>
      </c>
      <c r="D13" s="3117">
        <f>SUM('2018+'!H2386:H2394)</f>
        <v>44.074623817450458</v>
      </c>
      <c r="E13" s="3117">
        <f>SUM('2018+'!H2395:H2403)</f>
        <v>63.503442528651739</v>
      </c>
      <c r="F13" s="3117">
        <f>SUM('2018+'!H2404:H2412)</f>
        <v>71.405952058781793</v>
      </c>
      <c r="G13" s="3117">
        <f>SUM('2018+'!H2413:H2421)</f>
        <v>58.494462736311448</v>
      </c>
      <c r="H13" s="3117">
        <f>SUM('2018+'!H2422:H2430)</f>
        <v>67.804147423812921</v>
      </c>
      <c r="I13" s="3117">
        <f>SUM('2018+'!H2431:H2439)</f>
        <v>66.956558504246573</v>
      </c>
      <c r="J13" s="3117">
        <f>SUM('2018+'!H2440:H2448)</f>
        <v>65.741631367331181</v>
      </c>
      <c r="K13" s="3117">
        <f>SUM('2018+'!H2449:H2457)</f>
        <v>58.464649689441544</v>
      </c>
      <c r="L13" s="3118">
        <f>SUM('2018+'!H2458:H2466)</f>
        <v>81.289924423993341</v>
      </c>
      <c r="M13" s="3113">
        <f t="shared" ref="M13:M17" si="1">SUM(B13:L13)</f>
        <v>662.49428450665664</v>
      </c>
      <c r="N13" s="364">
        <f>MAXA(B13:L13)</f>
        <v>81.289924423993341</v>
      </c>
    </row>
    <row r="14" spans="1:14" x14ac:dyDescent="0.2">
      <c r="A14" s="2935" t="s">
        <v>628</v>
      </c>
      <c r="B14" s="3119">
        <f>SUM('2018+'!K2368:K2376)</f>
        <v>337.16666666666669</v>
      </c>
      <c r="C14" s="3120">
        <f>SUM('2018+'!K2377:K2385)</f>
        <v>264.91666666666669</v>
      </c>
      <c r="D14" s="3120">
        <f>SUM('2018+'!K2386:K2394)</f>
        <v>313.08333333333337</v>
      </c>
      <c r="E14" s="3120">
        <f>SUM('2018+'!K2395:K2403)</f>
        <v>456.01912578231344</v>
      </c>
      <c r="F14" s="3120">
        <f>SUM('2018+'!K2404:K2412)</f>
        <v>518.06741823129346</v>
      </c>
      <c r="G14" s="3120">
        <f>SUM('2018+'!K2413:K2421)</f>
        <v>421.34829244898015</v>
      </c>
      <c r="H14" s="3120">
        <f>SUM('2018+'!K2422:K2430)</f>
        <v>490.1482924489801</v>
      </c>
      <c r="I14" s="3120">
        <f>SUM('2018+'!K2431:K2439)</f>
        <v>484.12745911564684</v>
      </c>
      <c r="J14" s="3120">
        <f>SUM('2018+'!K2440:K2448)</f>
        <v>484.3257515646269</v>
      </c>
      <c r="K14" s="3120">
        <f>SUM('2018+'!K2449:K2457)</f>
        <v>421.9941257823134</v>
      </c>
      <c r="L14" s="3121">
        <f>SUM('2018+'!K2458:K2466)</f>
        <v>585.84829244898015</v>
      </c>
      <c r="M14" s="3114">
        <f t="shared" si="1"/>
        <v>4777.045424489801</v>
      </c>
    </row>
    <row r="15" spans="1:14" x14ac:dyDescent="0.2">
      <c r="A15" s="2935" t="s">
        <v>761</v>
      </c>
      <c r="B15" s="3122"/>
      <c r="C15" s="883"/>
      <c r="D15" s="883"/>
      <c r="E15" s="883"/>
      <c r="F15" s="883"/>
      <c r="G15" s="883"/>
      <c r="H15" s="883"/>
      <c r="I15" s="883"/>
      <c r="J15" s="883"/>
      <c r="K15" s="883"/>
      <c r="L15" s="3123"/>
      <c r="M15" s="3115">
        <f t="shared" si="1"/>
        <v>0</v>
      </c>
    </row>
    <row r="16" spans="1:14" x14ac:dyDescent="0.2">
      <c r="A16" s="2935" t="s">
        <v>980</v>
      </c>
      <c r="B16" s="3122"/>
      <c r="C16" s="883"/>
      <c r="D16" s="883"/>
      <c r="E16" s="883"/>
      <c r="F16" s="883"/>
      <c r="G16" s="883"/>
      <c r="H16" s="883"/>
      <c r="I16" s="883"/>
      <c r="J16" s="883"/>
      <c r="K16" s="883"/>
      <c r="L16" s="3123"/>
      <c r="M16" s="3115">
        <f t="shared" si="1"/>
        <v>0</v>
      </c>
    </row>
    <row r="17" spans="1:13" ht="15" thickBot="1" x14ac:dyDescent="0.25">
      <c r="A17" s="3111" t="s">
        <v>183</v>
      </c>
      <c r="B17" s="3124"/>
      <c r="C17" s="3125"/>
      <c r="D17" s="3125"/>
      <c r="E17" s="3125"/>
      <c r="F17" s="3125"/>
      <c r="G17" s="3125"/>
      <c r="H17" s="3125"/>
      <c r="I17" s="3125"/>
      <c r="J17" s="3125"/>
      <c r="K17" s="3125"/>
      <c r="L17" s="3126"/>
      <c r="M17" s="3116">
        <f t="shared" si="1"/>
        <v>0</v>
      </c>
    </row>
  </sheetData>
  <conditionalFormatting sqref="B4:L4">
    <cfRule type="colorScale" priority="5795">
      <colorScale>
        <cfvo type="min"/>
        <cfvo type="percentile" val="50"/>
        <cfvo type="max"/>
        <color rgb="FF63BE7B"/>
        <color rgb="FFFFEB84"/>
        <color rgb="FFF8696B"/>
      </colorScale>
    </cfRule>
  </conditionalFormatting>
  <conditionalFormatting sqref="B5:L5">
    <cfRule type="colorScale" priority="5796">
      <colorScale>
        <cfvo type="min"/>
        <cfvo type="percentile" val="50"/>
        <cfvo type="max"/>
        <color rgb="FF63BE7B"/>
        <color rgb="FFFFEB84"/>
        <color rgb="FFF8696B"/>
      </colorScale>
    </cfRule>
  </conditionalFormatting>
  <conditionalFormatting sqref="B6:L6">
    <cfRule type="colorScale" priority="5797">
      <colorScale>
        <cfvo type="min"/>
        <cfvo type="percentile" val="50"/>
        <cfvo type="max"/>
        <color rgb="FF63BE7B"/>
        <color rgb="FFFFEB84"/>
        <color rgb="FFF8696B"/>
      </colorScale>
    </cfRule>
  </conditionalFormatting>
  <conditionalFormatting sqref="B7:L7">
    <cfRule type="colorScale" priority="5799">
      <colorScale>
        <cfvo type="min"/>
        <cfvo type="percentile" val="50"/>
        <cfvo type="max"/>
        <color rgb="FFF8696B"/>
        <color rgb="FFFFEB84"/>
        <color rgb="FF63BE7B"/>
      </colorScale>
    </cfRule>
  </conditionalFormatting>
  <conditionalFormatting sqref="B8:L8">
    <cfRule type="colorScale" priority="5800">
      <colorScale>
        <cfvo type="min"/>
        <cfvo type="percentile" val="50"/>
        <cfvo type="max"/>
        <color rgb="FF63BE7B"/>
        <color rgb="FFFFEB84"/>
        <color rgb="FFF8696B"/>
      </colorScale>
    </cfRule>
  </conditionalFormatting>
  <conditionalFormatting sqref="B13:L13">
    <cfRule type="colorScale" priority="1">
      <colorScale>
        <cfvo type="min"/>
        <cfvo type="percentile" val="50"/>
        <cfvo type="max"/>
        <color rgb="FF63BE7B"/>
        <color rgb="FFFFEB84"/>
        <color rgb="FFF8696B"/>
      </colorScale>
    </cfRule>
  </conditionalFormatting>
  <conditionalFormatting sqref="B14:L14">
    <cfRule type="colorScale" priority="2">
      <colorScale>
        <cfvo type="min"/>
        <cfvo type="percentile" val="50"/>
        <cfvo type="max"/>
        <color rgb="FF63BE7B"/>
        <color rgb="FFFFEB84"/>
        <color rgb="FFF8696B"/>
      </colorScale>
    </cfRule>
  </conditionalFormatting>
  <conditionalFormatting sqref="B15:L15">
    <cfRule type="colorScale" priority="3">
      <colorScale>
        <cfvo type="min"/>
        <cfvo type="percentile" val="50"/>
        <cfvo type="max"/>
        <color rgb="FF63BE7B"/>
        <color rgb="FFFFEB84"/>
        <color rgb="FFF8696B"/>
      </colorScale>
    </cfRule>
  </conditionalFormatting>
  <conditionalFormatting sqref="B16:L16">
    <cfRule type="colorScale" priority="4">
      <colorScale>
        <cfvo type="min"/>
        <cfvo type="percentile" val="50"/>
        <cfvo type="max"/>
        <color rgb="FFF8696B"/>
        <color rgb="FFFFEB84"/>
        <color rgb="FF63BE7B"/>
      </colorScale>
    </cfRule>
  </conditionalFormatting>
  <conditionalFormatting sqref="B17:L17">
    <cfRule type="colorScale" priority="5">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B2:D2 E2:L2 B11:L11"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8DF28-9B69-534D-807D-A5D3942A405D}">
  <sheetPr>
    <pageSetUpPr autoPageBreaks="0"/>
  </sheetPr>
  <dimension ref="A1:O359"/>
  <sheetViews>
    <sheetView topLeftCell="A306" zoomScaleNormal="100" workbookViewId="0">
      <selection activeCell="P332" sqref="P332"/>
    </sheetView>
  </sheetViews>
  <sheetFormatPr baseColWidth="10" defaultColWidth="11.5" defaultRowHeight="14" x14ac:dyDescent="0.2"/>
  <cols>
    <col min="1" max="1" width="8.5" style="361" bestFit="1" customWidth="1"/>
    <col min="2" max="2" width="7.5" style="362" bestFit="1" customWidth="1"/>
    <col min="3" max="3" width="8.83203125" style="363" bestFit="1" customWidth="1"/>
    <col min="4" max="6" width="11.5" style="363"/>
    <col min="7" max="7" width="11" style="363" bestFit="1" customWidth="1"/>
    <col min="8" max="8" width="7.5" style="363" bestFit="1" customWidth="1"/>
    <col min="9" max="12" width="11.5" style="363"/>
    <col min="13" max="13" width="8.6640625" style="363" customWidth="1"/>
    <col min="14" max="16384" width="11.5" style="363"/>
  </cols>
  <sheetData>
    <row r="1" spans="1:2" x14ac:dyDescent="0.2">
      <c r="A1" s="3605">
        <v>2007</v>
      </c>
      <c r="B1" s="3605"/>
    </row>
    <row r="2" spans="1:2" ht="15" thickBot="1" x14ac:dyDescent="0.25"/>
    <row r="3" spans="1:2" ht="15" thickBot="1" x14ac:dyDescent="0.25">
      <c r="A3" s="839" t="s">
        <v>778</v>
      </c>
      <c r="B3" s="840" t="s">
        <v>7</v>
      </c>
    </row>
    <row r="4" spans="1:2" x14ac:dyDescent="0.2">
      <c r="A4" s="841" t="s">
        <v>776</v>
      </c>
      <c r="B4" s="842">
        <v>0</v>
      </c>
    </row>
    <row r="5" spans="1:2" x14ac:dyDescent="0.2">
      <c r="A5" s="843" t="s">
        <v>775</v>
      </c>
      <c r="B5" s="844">
        <v>0</v>
      </c>
    </row>
    <row r="6" spans="1:2" x14ac:dyDescent="0.2">
      <c r="A6" s="843" t="s">
        <v>773</v>
      </c>
      <c r="B6" s="844">
        <v>14</v>
      </c>
    </row>
    <row r="7" spans="1:2" x14ac:dyDescent="0.2">
      <c r="A7" s="843" t="s">
        <v>772</v>
      </c>
      <c r="B7" s="844">
        <v>120.5</v>
      </c>
    </row>
    <row r="8" spans="1:2" x14ac:dyDescent="0.2">
      <c r="A8" s="843" t="s">
        <v>771</v>
      </c>
      <c r="B8" s="844">
        <v>96</v>
      </c>
    </row>
    <row r="9" spans="1:2" x14ac:dyDescent="0.2">
      <c r="A9" s="843" t="s">
        <v>770</v>
      </c>
      <c r="B9" s="844">
        <v>137.5</v>
      </c>
    </row>
    <row r="10" spans="1:2" x14ac:dyDescent="0.2">
      <c r="A10" s="843" t="s">
        <v>769</v>
      </c>
      <c r="B10" s="844">
        <v>181</v>
      </c>
    </row>
    <row r="11" spans="1:2" x14ac:dyDescent="0.2">
      <c r="A11" s="843" t="s">
        <v>768</v>
      </c>
      <c r="B11" s="844">
        <v>202</v>
      </c>
    </row>
    <row r="12" spans="1:2" x14ac:dyDescent="0.2">
      <c r="A12" s="843" t="s">
        <v>767</v>
      </c>
      <c r="B12" s="844">
        <f>118+42</f>
        <v>160</v>
      </c>
    </row>
    <row r="13" spans="1:2" x14ac:dyDescent="0.2">
      <c r="A13" s="843" t="s">
        <v>766</v>
      </c>
      <c r="B13" s="844">
        <v>0</v>
      </c>
    </row>
    <row r="14" spans="1:2" x14ac:dyDescent="0.2">
      <c r="A14" s="843" t="s">
        <v>765</v>
      </c>
      <c r="B14" s="844">
        <v>0</v>
      </c>
    </row>
    <row r="15" spans="1:2" ht="15" thickBot="1" x14ac:dyDescent="0.25">
      <c r="A15" s="845" t="s">
        <v>764</v>
      </c>
      <c r="B15" s="846">
        <v>0</v>
      </c>
    </row>
    <row r="16" spans="1:2" x14ac:dyDescent="0.2">
      <c r="A16" s="847" t="s">
        <v>762</v>
      </c>
      <c r="B16" s="848">
        <f>SUM(B4:B15)</f>
        <v>911</v>
      </c>
    </row>
    <row r="17" spans="1:2" ht="15" thickBot="1" x14ac:dyDescent="0.25">
      <c r="A17" s="849" t="s">
        <v>763</v>
      </c>
      <c r="B17" s="850">
        <f>B16/12</f>
        <v>75.916666666666671</v>
      </c>
    </row>
    <row r="19" spans="1:2" x14ac:dyDescent="0.2">
      <c r="A19" s="3605">
        <v>2008</v>
      </c>
      <c r="B19" s="3605"/>
    </row>
    <row r="20" spans="1:2" ht="15" thickBot="1" x14ac:dyDescent="0.25"/>
    <row r="21" spans="1:2" ht="15" thickBot="1" x14ac:dyDescent="0.25">
      <c r="A21" s="839" t="s">
        <v>778</v>
      </c>
      <c r="B21" s="840" t="s">
        <v>7</v>
      </c>
    </row>
    <row r="22" spans="1:2" x14ac:dyDescent="0.2">
      <c r="A22" s="841" t="s">
        <v>776</v>
      </c>
      <c r="B22" s="842">
        <v>0</v>
      </c>
    </row>
    <row r="23" spans="1:2" x14ac:dyDescent="0.2">
      <c r="A23" s="843" t="s">
        <v>775</v>
      </c>
      <c r="B23" s="844">
        <v>0</v>
      </c>
    </row>
    <row r="24" spans="1:2" x14ac:dyDescent="0.2">
      <c r="A24" s="843" t="s">
        <v>773</v>
      </c>
      <c r="B24" s="844">
        <v>10</v>
      </c>
    </row>
    <row r="25" spans="1:2" x14ac:dyDescent="0.2">
      <c r="A25" s="843" t="s">
        <v>772</v>
      </c>
      <c r="B25" s="844">
        <v>52.4</v>
      </c>
    </row>
    <row r="26" spans="1:2" x14ac:dyDescent="0.2">
      <c r="A26" s="843" t="s">
        <v>771</v>
      </c>
      <c r="B26" s="844">
        <v>40.4</v>
      </c>
    </row>
    <row r="27" spans="1:2" x14ac:dyDescent="0.2">
      <c r="A27" s="843" t="s">
        <v>770</v>
      </c>
      <c r="B27" s="844">
        <v>20</v>
      </c>
    </row>
    <row r="28" spans="1:2" x14ac:dyDescent="0.2">
      <c r="A28" s="843" t="s">
        <v>769</v>
      </c>
      <c r="B28" s="844">
        <v>70</v>
      </c>
    </row>
    <row r="29" spans="1:2" x14ac:dyDescent="0.2">
      <c r="A29" s="843" t="s">
        <v>768</v>
      </c>
      <c r="B29" s="844">
        <v>50</v>
      </c>
    </row>
    <row r="30" spans="1:2" x14ac:dyDescent="0.2">
      <c r="A30" s="843" t="s">
        <v>767</v>
      </c>
      <c r="B30" s="844">
        <v>95.95</v>
      </c>
    </row>
    <row r="31" spans="1:2" x14ac:dyDescent="0.2">
      <c r="A31" s="843" t="s">
        <v>766</v>
      </c>
      <c r="B31" s="844">
        <v>79.5</v>
      </c>
    </row>
    <row r="32" spans="1:2" x14ac:dyDescent="0.2">
      <c r="A32" s="843" t="s">
        <v>765</v>
      </c>
      <c r="B32" s="844">
        <v>66.150000000000006</v>
      </c>
    </row>
    <row r="33" spans="1:2" ht="15" thickBot="1" x14ac:dyDescent="0.25">
      <c r="A33" s="845" t="s">
        <v>764</v>
      </c>
      <c r="B33" s="846">
        <v>21.71</v>
      </c>
    </row>
    <row r="34" spans="1:2" x14ac:dyDescent="0.2">
      <c r="A34" s="847" t="s">
        <v>762</v>
      </c>
      <c r="B34" s="848">
        <f>SUM(B22:B33)</f>
        <v>506.10999999999996</v>
      </c>
    </row>
    <row r="35" spans="1:2" ht="15" thickBot="1" x14ac:dyDescent="0.25">
      <c r="A35" s="849" t="s">
        <v>763</v>
      </c>
      <c r="B35" s="850">
        <f>B34/12</f>
        <v>42.17583333333333</v>
      </c>
    </row>
    <row r="37" spans="1:2" x14ac:dyDescent="0.2">
      <c r="A37" s="3605">
        <v>2009</v>
      </c>
      <c r="B37" s="3605"/>
    </row>
    <row r="38" spans="1:2" ht="15" thickBot="1" x14ac:dyDescent="0.25"/>
    <row r="39" spans="1:2" ht="15" thickBot="1" x14ac:dyDescent="0.25">
      <c r="A39" s="839" t="s">
        <v>778</v>
      </c>
      <c r="B39" s="840" t="s">
        <v>7</v>
      </c>
    </row>
    <row r="40" spans="1:2" x14ac:dyDescent="0.2">
      <c r="A40" s="841" t="s">
        <v>776</v>
      </c>
      <c r="B40" s="842">
        <v>28.8</v>
      </c>
    </row>
    <row r="41" spans="1:2" x14ac:dyDescent="0.2">
      <c r="A41" s="843" t="s">
        <v>775</v>
      </c>
      <c r="B41" s="844">
        <v>20.83</v>
      </c>
    </row>
    <row r="42" spans="1:2" x14ac:dyDescent="0.2">
      <c r="A42" s="843" t="s">
        <v>773</v>
      </c>
      <c r="B42" s="844">
        <v>131.63</v>
      </c>
    </row>
    <row r="43" spans="1:2" x14ac:dyDescent="0.2">
      <c r="A43" s="843" t="s">
        <v>772</v>
      </c>
      <c r="B43" s="844">
        <v>140.88999999999999</v>
      </c>
    </row>
    <row r="44" spans="1:2" x14ac:dyDescent="0.2">
      <c r="A44" s="843" t="s">
        <v>771</v>
      </c>
      <c r="B44" s="844">
        <v>135.38999999999999</v>
      </c>
    </row>
    <row r="45" spans="1:2" x14ac:dyDescent="0.2">
      <c r="A45" s="843" t="s">
        <v>770</v>
      </c>
      <c r="B45" s="844">
        <v>105.4</v>
      </c>
    </row>
    <row r="46" spans="1:2" x14ac:dyDescent="0.2">
      <c r="A46" s="843" t="s">
        <v>769</v>
      </c>
      <c r="B46" s="844">
        <v>117.75</v>
      </c>
    </row>
    <row r="47" spans="1:2" x14ac:dyDescent="0.2">
      <c r="A47" s="843" t="s">
        <v>768</v>
      </c>
      <c r="B47" s="844">
        <v>219.2</v>
      </c>
    </row>
    <row r="48" spans="1:2" x14ac:dyDescent="0.2">
      <c r="A48" s="843" t="s">
        <v>767</v>
      </c>
      <c r="B48" s="844">
        <v>54</v>
      </c>
    </row>
    <row r="49" spans="1:2" x14ac:dyDescent="0.2">
      <c r="A49" s="843" t="s">
        <v>766</v>
      </c>
      <c r="B49" s="844">
        <v>82.2</v>
      </c>
    </row>
    <row r="50" spans="1:2" x14ac:dyDescent="0.2">
      <c r="A50" s="843" t="s">
        <v>765</v>
      </c>
      <c r="B50" s="844">
        <v>40</v>
      </c>
    </row>
    <row r="51" spans="1:2" ht="15" thickBot="1" x14ac:dyDescent="0.25">
      <c r="A51" s="845" t="s">
        <v>764</v>
      </c>
      <c r="B51" s="846">
        <v>30.76</v>
      </c>
    </row>
    <row r="52" spans="1:2" x14ac:dyDescent="0.2">
      <c r="A52" s="847" t="s">
        <v>762</v>
      </c>
      <c r="B52" s="848">
        <f>SUM(B40:B51)</f>
        <v>1106.8499999999999</v>
      </c>
    </row>
    <row r="53" spans="1:2" ht="15" thickBot="1" x14ac:dyDescent="0.25">
      <c r="A53" s="849" t="s">
        <v>763</v>
      </c>
      <c r="B53" s="850">
        <f>B52/12</f>
        <v>92.237499999999997</v>
      </c>
    </row>
    <row r="55" spans="1:2" x14ac:dyDescent="0.2">
      <c r="A55" s="3605">
        <v>2010</v>
      </c>
      <c r="B55" s="3605"/>
    </row>
    <row r="56" spans="1:2" ht="15" thickBot="1" x14ac:dyDescent="0.25"/>
    <row r="57" spans="1:2" ht="15" thickBot="1" x14ac:dyDescent="0.25">
      <c r="A57" s="839" t="s">
        <v>778</v>
      </c>
      <c r="B57" s="840" t="s">
        <v>7</v>
      </c>
    </row>
    <row r="58" spans="1:2" x14ac:dyDescent="0.2">
      <c r="A58" s="841" t="s">
        <v>776</v>
      </c>
      <c r="B58" s="842">
        <v>20</v>
      </c>
    </row>
    <row r="59" spans="1:2" x14ac:dyDescent="0.2">
      <c r="A59" s="843" t="s">
        <v>775</v>
      </c>
      <c r="B59" s="844">
        <v>47.6</v>
      </c>
    </row>
    <row r="60" spans="1:2" x14ac:dyDescent="0.2">
      <c r="A60" s="843" t="s">
        <v>773</v>
      </c>
      <c r="B60" s="844">
        <v>119.08</v>
      </c>
    </row>
    <row r="61" spans="1:2" x14ac:dyDescent="0.2">
      <c r="A61" s="843" t="s">
        <v>772</v>
      </c>
      <c r="B61" s="844">
        <v>128.4</v>
      </c>
    </row>
    <row r="62" spans="1:2" x14ac:dyDescent="0.2">
      <c r="A62" s="843" t="s">
        <v>771</v>
      </c>
      <c r="B62" s="844">
        <v>54.57</v>
      </c>
    </row>
    <row r="63" spans="1:2" x14ac:dyDescent="0.2">
      <c r="A63" s="843" t="s">
        <v>770</v>
      </c>
      <c r="B63" s="844">
        <v>66.930000000000007</v>
      </c>
    </row>
    <row r="64" spans="1:2" x14ac:dyDescent="0.2">
      <c r="A64" s="843" t="s">
        <v>769</v>
      </c>
      <c r="B64" s="844">
        <v>55.1</v>
      </c>
    </row>
    <row r="65" spans="1:2" x14ac:dyDescent="0.2">
      <c r="A65" s="843" t="s">
        <v>768</v>
      </c>
      <c r="B65" s="844">
        <v>76.790000000000006</v>
      </c>
    </row>
    <row r="66" spans="1:2" x14ac:dyDescent="0.2">
      <c r="A66" s="843" t="s">
        <v>767</v>
      </c>
      <c r="B66" s="844">
        <v>36.89</v>
      </c>
    </row>
    <row r="67" spans="1:2" x14ac:dyDescent="0.2">
      <c r="A67" s="843" t="s">
        <v>766</v>
      </c>
      <c r="B67" s="844">
        <v>60.8</v>
      </c>
    </row>
    <row r="68" spans="1:2" x14ac:dyDescent="0.2">
      <c r="A68" s="843" t="s">
        <v>765</v>
      </c>
      <c r="B68" s="844">
        <v>10.28</v>
      </c>
    </row>
    <row r="69" spans="1:2" ht="15" thickBot="1" x14ac:dyDescent="0.25">
      <c r="A69" s="845" t="s">
        <v>764</v>
      </c>
      <c r="B69" s="846">
        <f>14.57+9.97</f>
        <v>24.54</v>
      </c>
    </row>
    <row r="70" spans="1:2" x14ac:dyDescent="0.2">
      <c r="A70" s="847" t="s">
        <v>762</v>
      </c>
      <c r="B70" s="848">
        <f>SUM(B58:B69)</f>
        <v>700.9799999999999</v>
      </c>
    </row>
    <row r="71" spans="1:2" ht="15" thickBot="1" x14ac:dyDescent="0.25">
      <c r="A71" s="849" t="s">
        <v>763</v>
      </c>
      <c r="B71" s="850">
        <f>B70/12</f>
        <v>58.414999999999992</v>
      </c>
    </row>
    <row r="73" spans="1:2" x14ac:dyDescent="0.2">
      <c r="A73" s="3605">
        <v>2011</v>
      </c>
      <c r="B73" s="3605"/>
    </row>
    <row r="74" spans="1:2" ht="15" thickBot="1" x14ac:dyDescent="0.25"/>
    <row r="75" spans="1:2" ht="15" thickBot="1" x14ac:dyDescent="0.25">
      <c r="A75" s="839" t="s">
        <v>778</v>
      </c>
      <c r="B75" s="840" t="s">
        <v>7</v>
      </c>
    </row>
    <row r="76" spans="1:2" x14ac:dyDescent="0.2">
      <c r="A76" s="841" t="s">
        <v>776</v>
      </c>
      <c r="B76" s="842">
        <v>17.600000000000001</v>
      </c>
    </row>
    <row r="77" spans="1:2" x14ac:dyDescent="0.2">
      <c r="A77" s="843" t="s">
        <v>775</v>
      </c>
      <c r="B77" s="844">
        <v>22.3</v>
      </c>
    </row>
    <row r="78" spans="1:2" x14ac:dyDescent="0.2">
      <c r="A78" s="843" t="s">
        <v>773</v>
      </c>
      <c r="B78" s="844">
        <f>SUM('2011'!G68:G98)</f>
        <v>71.760000000000005</v>
      </c>
    </row>
    <row r="79" spans="1:2" x14ac:dyDescent="0.2">
      <c r="A79" s="843" t="s">
        <v>772</v>
      </c>
      <c r="B79" s="844">
        <f>SUM('2011'!G99:G128)</f>
        <v>154.05000000000001</v>
      </c>
    </row>
    <row r="80" spans="1:2" x14ac:dyDescent="0.2">
      <c r="A80" s="843" t="s">
        <v>771</v>
      </c>
      <c r="B80" s="844">
        <f>SUM('2011'!G129:G159)</f>
        <v>175.36</v>
      </c>
    </row>
    <row r="81" spans="1:5" x14ac:dyDescent="0.2">
      <c r="A81" s="843" t="s">
        <v>770</v>
      </c>
      <c r="B81" s="844">
        <f>SUM('2011'!G160:G189)</f>
        <v>125.80000000000001</v>
      </c>
    </row>
    <row r="82" spans="1:5" x14ac:dyDescent="0.2">
      <c r="A82" s="843" t="s">
        <v>769</v>
      </c>
      <c r="B82" s="844">
        <f>SUM('2011'!G190:G220)</f>
        <v>193.73</v>
      </c>
    </row>
    <row r="83" spans="1:5" x14ac:dyDescent="0.2">
      <c r="A83" s="843" t="s">
        <v>768</v>
      </c>
      <c r="B83" s="844">
        <f>SUM('2011'!G221:G251)</f>
        <v>202.35999999999999</v>
      </c>
    </row>
    <row r="84" spans="1:5" x14ac:dyDescent="0.2">
      <c r="A84" s="843" t="s">
        <v>767</v>
      </c>
      <c r="B84" s="844">
        <f>SUM('2011'!G252:G281)</f>
        <v>150.82999999999998</v>
      </c>
    </row>
    <row r="85" spans="1:5" x14ac:dyDescent="0.2">
      <c r="A85" s="843" t="s">
        <v>766</v>
      </c>
      <c r="B85" s="844">
        <f>SUM('2011'!G282:G312)</f>
        <v>70.559999999999988</v>
      </c>
    </row>
    <row r="86" spans="1:5" x14ac:dyDescent="0.2">
      <c r="A86" s="843" t="s">
        <v>765</v>
      </c>
      <c r="B86" s="844">
        <f>SUM('2011'!G313:G342)</f>
        <v>37.42</v>
      </c>
    </row>
    <row r="87" spans="1:5" ht="15" thickBot="1" x14ac:dyDescent="0.25">
      <c r="A87" s="845" t="s">
        <v>764</v>
      </c>
      <c r="B87" s="846">
        <f>SUM('2011'!G343:G373)</f>
        <v>72.11</v>
      </c>
    </row>
    <row r="88" spans="1:5" x14ac:dyDescent="0.2">
      <c r="A88" s="847" t="s">
        <v>762</v>
      </c>
      <c r="B88" s="848">
        <f>SUM(B76:B87)</f>
        <v>1293.8800000000001</v>
      </c>
      <c r="C88" s="851"/>
      <c r="D88" s="851"/>
      <c r="E88" s="851"/>
    </row>
    <row r="89" spans="1:5" ht="15" thickBot="1" x14ac:dyDescent="0.25">
      <c r="A89" s="849" t="s">
        <v>763</v>
      </c>
      <c r="B89" s="850">
        <f>B88/12</f>
        <v>107.82333333333334</v>
      </c>
      <c r="C89" s="805"/>
      <c r="D89" s="805"/>
      <c r="E89" s="805"/>
    </row>
    <row r="90" spans="1:5" x14ac:dyDescent="0.2">
      <c r="C90" s="805"/>
      <c r="D90" s="805"/>
      <c r="E90" s="805"/>
    </row>
    <row r="91" spans="1:5" x14ac:dyDescent="0.2">
      <c r="A91" s="3605">
        <v>2012</v>
      </c>
      <c r="B91" s="3605"/>
      <c r="C91" s="805"/>
      <c r="D91" s="805"/>
      <c r="E91" s="805"/>
    </row>
    <row r="92" spans="1:5" ht="15" thickBot="1" x14ac:dyDescent="0.25">
      <c r="C92" s="805"/>
      <c r="D92" s="805"/>
      <c r="E92" s="805"/>
    </row>
    <row r="93" spans="1:5" ht="15" thickBot="1" x14ac:dyDescent="0.25">
      <c r="A93" s="839" t="s">
        <v>778</v>
      </c>
      <c r="B93" s="840" t="s">
        <v>7</v>
      </c>
      <c r="C93" s="805"/>
      <c r="D93" s="805"/>
      <c r="E93" s="805"/>
    </row>
    <row r="94" spans="1:5" x14ac:dyDescent="0.2">
      <c r="A94" s="841" t="s">
        <v>776</v>
      </c>
      <c r="B94" s="842">
        <f>SUM('2012'!G4:G33)</f>
        <v>28.09</v>
      </c>
      <c r="C94" s="805"/>
      <c r="D94" s="805"/>
      <c r="E94" s="805"/>
    </row>
    <row r="95" spans="1:5" x14ac:dyDescent="0.2">
      <c r="A95" s="843" t="s">
        <v>775</v>
      </c>
      <c r="B95" s="844">
        <f>SUM('2012'!G34:G62)</f>
        <v>51.42</v>
      </c>
      <c r="C95" s="805"/>
      <c r="D95" s="805"/>
      <c r="E95" s="805"/>
    </row>
    <row r="96" spans="1:5" x14ac:dyDescent="0.2">
      <c r="A96" s="843" t="s">
        <v>773</v>
      </c>
      <c r="B96" s="844">
        <f>SUM('2012'!G63:G93)</f>
        <v>147.94999999999999</v>
      </c>
      <c r="C96" s="805"/>
      <c r="D96" s="805"/>
      <c r="E96" s="805"/>
    </row>
    <row r="97" spans="1:5" x14ac:dyDescent="0.2">
      <c r="A97" s="843" t="s">
        <v>772</v>
      </c>
      <c r="B97" s="844">
        <f>SUM('2012'!G94:G123)</f>
        <v>134.30000000000001</v>
      </c>
      <c r="C97" s="805"/>
      <c r="D97" s="805"/>
      <c r="E97" s="805"/>
    </row>
    <row r="98" spans="1:5" x14ac:dyDescent="0.2">
      <c r="A98" s="843" t="s">
        <v>771</v>
      </c>
      <c r="B98" s="844">
        <f>SUM('2012'!G124:G154)</f>
        <v>154.69999999999999</v>
      </c>
      <c r="C98" s="805"/>
      <c r="D98" s="805"/>
      <c r="E98" s="805"/>
    </row>
    <row r="99" spans="1:5" x14ac:dyDescent="0.2">
      <c r="A99" s="843" t="s">
        <v>770</v>
      </c>
      <c r="B99" s="844">
        <f>SUM('2012'!G155:G184)</f>
        <v>221.4</v>
      </c>
      <c r="C99" s="805"/>
      <c r="D99" s="805"/>
      <c r="E99" s="805"/>
    </row>
    <row r="100" spans="1:5" x14ac:dyDescent="0.2">
      <c r="A100" s="843" t="s">
        <v>769</v>
      </c>
      <c r="B100" s="844">
        <f>SUM('2012'!G185:G215)</f>
        <v>221.28999999999996</v>
      </c>
      <c r="C100" s="805"/>
      <c r="D100" s="805"/>
      <c r="E100" s="805"/>
    </row>
    <row r="101" spans="1:5" x14ac:dyDescent="0.2">
      <c r="A101" s="843" t="s">
        <v>768</v>
      </c>
      <c r="B101" s="844">
        <f>SUM('2012'!G216:G246)</f>
        <v>232.70000000000002</v>
      </c>
      <c r="C101" s="805"/>
      <c r="D101" s="805"/>
      <c r="E101" s="805"/>
    </row>
    <row r="102" spans="1:5" x14ac:dyDescent="0.2">
      <c r="A102" s="843" t="s">
        <v>767</v>
      </c>
      <c r="B102" s="844">
        <f>SUM('2012'!G247:G276)</f>
        <v>247.36000000000004</v>
      </c>
    </row>
    <row r="103" spans="1:5" x14ac:dyDescent="0.2">
      <c r="A103" s="843" t="s">
        <v>766</v>
      </c>
      <c r="B103" s="844">
        <f>SUM('2012'!G277:G307)</f>
        <v>228.93999999999997</v>
      </c>
    </row>
    <row r="104" spans="1:5" x14ac:dyDescent="0.2">
      <c r="A104" s="843" t="s">
        <v>765</v>
      </c>
      <c r="B104" s="844">
        <f>SUM('2012'!G308:G337)</f>
        <v>10.67</v>
      </c>
    </row>
    <row r="105" spans="1:5" ht="15" thickBot="1" x14ac:dyDescent="0.25">
      <c r="A105" s="845" t="s">
        <v>764</v>
      </c>
      <c r="B105" s="846">
        <f>SUM('2012'!G338:G368)</f>
        <v>22.09</v>
      </c>
    </row>
    <row r="106" spans="1:5" x14ac:dyDescent="0.2">
      <c r="A106" s="847" t="s">
        <v>762</v>
      </c>
      <c r="B106" s="848">
        <f>SUM(B94:B105)</f>
        <v>1700.91</v>
      </c>
    </row>
    <row r="107" spans="1:5" ht="15" thickBot="1" x14ac:dyDescent="0.25">
      <c r="A107" s="849" t="s">
        <v>763</v>
      </c>
      <c r="B107" s="850">
        <f>B106/12</f>
        <v>141.74250000000001</v>
      </c>
    </row>
    <row r="109" spans="1:5" x14ac:dyDescent="0.2">
      <c r="A109" s="3605">
        <v>2013</v>
      </c>
      <c r="B109" s="3605"/>
    </row>
    <row r="110" spans="1:5" ht="15" thickBot="1" x14ac:dyDescent="0.25"/>
    <row r="111" spans="1:5" ht="15" thickBot="1" x14ac:dyDescent="0.25">
      <c r="A111" s="839" t="s">
        <v>778</v>
      </c>
      <c r="B111" s="840" t="s">
        <v>7</v>
      </c>
    </row>
    <row r="112" spans="1:5" x14ac:dyDescent="0.2">
      <c r="A112" s="841" t="s">
        <v>776</v>
      </c>
      <c r="B112" s="842">
        <f>SUM('2013'!G4:G35)</f>
        <v>32.6</v>
      </c>
    </row>
    <row r="113" spans="1:2" x14ac:dyDescent="0.2">
      <c r="A113" s="843" t="s">
        <v>775</v>
      </c>
      <c r="B113" s="844">
        <f>SUM('2013'!G36:G63)</f>
        <v>20.990000000000002</v>
      </c>
    </row>
    <row r="114" spans="1:2" x14ac:dyDescent="0.2">
      <c r="A114" s="843" t="s">
        <v>773</v>
      </c>
      <c r="B114" s="844">
        <f>SUM('2013'!G64:G94)</f>
        <v>18.829999999999998</v>
      </c>
    </row>
    <row r="115" spans="1:2" x14ac:dyDescent="0.2">
      <c r="A115" s="843" t="s">
        <v>772</v>
      </c>
      <c r="B115" s="844">
        <f>SUM('2013'!G95:G124)</f>
        <v>31.509999999999998</v>
      </c>
    </row>
    <row r="116" spans="1:2" x14ac:dyDescent="0.2">
      <c r="A116" s="843" t="s">
        <v>771</v>
      </c>
      <c r="B116" s="844">
        <f>SUM('2013'!G125:G155)</f>
        <v>73.81</v>
      </c>
    </row>
    <row r="117" spans="1:2" x14ac:dyDescent="0.2">
      <c r="A117" s="843" t="s">
        <v>770</v>
      </c>
      <c r="B117" s="844">
        <f>SUM('2013'!G156:G185)</f>
        <v>32.86</v>
      </c>
    </row>
    <row r="118" spans="1:2" x14ac:dyDescent="0.2">
      <c r="A118" s="843" t="s">
        <v>769</v>
      </c>
      <c r="B118" s="844">
        <f>SUM('2013'!G186:G216)</f>
        <v>62.91</v>
      </c>
    </row>
    <row r="119" spans="1:2" x14ac:dyDescent="0.2">
      <c r="A119" s="843" t="s">
        <v>768</v>
      </c>
      <c r="B119" s="844">
        <f>SUM('2013'!G217:G247)</f>
        <v>75.760000000000005</v>
      </c>
    </row>
    <row r="120" spans="1:2" x14ac:dyDescent="0.2">
      <c r="A120" s="843" t="s">
        <v>767</v>
      </c>
      <c r="B120" s="844">
        <f>SUM('2013'!G248:G277)</f>
        <v>43.29</v>
      </c>
    </row>
    <row r="121" spans="1:2" x14ac:dyDescent="0.2">
      <c r="A121" s="843" t="s">
        <v>766</v>
      </c>
      <c r="B121" s="844">
        <f>SUM('2013'!G278:G308)</f>
        <v>107.41999999999999</v>
      </c>
    </row>
    <row r="122" spans="1:2" x14ac:dyDescent="0.2">
      <c r="A122" s="843" t="s">
        <v>765</v>
      </c>
      <c r="B122" s="844">
        <f>SUM('2013'!G309:G338)</f>
        <v>63.019999999999996</v>
      </c>
    </row>
    <row r="123" spans="1:2" ht="15" thickBot="1" x14ac:dyDescent="0.25">
      <c r="A123" s="845" t="s">
        <v>764</v>
      </c>
      <c r="B123" s="846">
        <f>SUM('2013'!G339:G369)</f>
        <v>0</v>
      </c>
    </row>
    <row r="124" spans="1:2" x14ac:dyDescent="0.2">
      <c r="A124" s="847" t="s">
        <v>762</v>
      </c>
      <c r="B124" s="848">
        <f>SUM(B112:B123)</f>
        <v>563</v>
      </c>
    </row>
    <row r="125" spans="1:2" ht="15" thickBot="1" x14ac:dyDescent="0.25">
      <c r="A125" s="849" t="s">
        <v>763</v>
      </c>
      <c r="B125" s="850">
        <f>B124/12</f>
        <v>46.916666666666664</v>
      </c>
    </row>
    <row r="127" spans="1:2" x14ac:dyDescent="0.2">
      <c r="A127" s="3605">
        <v>2014</v>
      </c>
      <c r="B127" s="3605"/>
    </row>
    <row r="128" spans="1:2" ht="15" thickBot="1" x14ac:dyDescent="0.25"/>
    <row r="129" spans="1:2" ht="15" thickBot="1" x14ac:dyDescent="0.25">
      <c r="A129" s="839" t="s">
        <v>778</v>
      </c>
      <c r="B129" s="840" t="s">
        <v>7</v>
      </c>
    </row>
    <row r="130" spans="1:2" x14ac:dyDescent="0.2">
      <c r="A130" s="841" t="s">
        <v>776</v>
      </c>
      <c r="B130" s="842">
        <f>SUM('2014'!F5:F36)</f>
        <v>88.190000000000012</v>
      </c>
    </row>
    <row r="131" spans="1:2" x14ac:dyDescent="0.2">
      <c r="A131" s="843" t="s">
        <v>775</v>
      </c>
      <c r="B131" s="844">
        <f>SUM('2014'!F37:F64)</f>
        <v>153.19999999999999</v>
      </c>
    </row>
    <row r="132" spans="1:2" x14ac:dyDescent="0.2">
      <c r="A132" s="843" t="s">
        <v>773</v>
      </c>
      <c r="B132" s="844">
        <f>SUM('2014'!F65:F95)</f>
        <v>239.17</v>
      </c>
    </row>
    <row r="133" spans="1:2" x14ac:dyDescent="0.2">
      <c r="A133" s="843" t="s">
        <v>772</v>
      </c>
      <c r="B133" s="844">
        <f>SUM('2014'!F96:F125)</f>
        <v>194.69</v>
      </c>
    </row>
    <row r="134" spans="1:2" x14ac:dyDescent="0.2">
      <c r="A134" s="843" t="s">
        <v>771</v>
      </c>
      <c r="B134" s="844">
        <f>SUM('2014'!F126:F156)</f>
        <v>103.595</v>
      </c>
    </row>
    <row r="135" spans="1:2" x14ac:dyDescent="0.2">
      <c r="A135" s="843" t="s">
        <v>770</v>
      </c>
      <c r="B135" s="844">
        <f>SUM('2014'!F157:F186)</f>
        <v>101.83000000000001</v>
      </c>
    </row>
    <row r="136" spans="1:2" x14ac:dyDescent="0.2">
      <c r="A136" s="843" t="s">
        <v>769</v>
      </c>
      <c r="B136" s="844">
        <f>SUM('2014'!F187:F217)</f>
        <v>165.26</v>
      </c>
    </row>
    <row r="137" spans="1:2" x14ac:dyDescent="0.2">
      <c r="A137" s="843" t="s">
        <v>768</v>
      </c>
      <c r="B137" s="844">
        <f>SUM('2014'!F218:F248)</f>
        <v>208.23999999999998</v>
      </c>
    </row>
    <row r="138" spans="1:2" x14ac:dyDescent="0.2">
      <c r="A138" s="843" t="s">
        <v>767</v>
      </c>
      <c r="B138" s="844">
        <f>SUM('2014'!F249:F278)</f>
        <v>236.13000000000002</v>
      </c>
    </row>
    <row r="139" spans="1:2" x14ac:dyDescent="0.2">
      <c r="A139" s="843" t="s">
        <v>766</v>
      </c>
      <c r="B139" s="844">
        <f>SUM('2014'!F279:F309)</f>
        <v>249.63000000000005</v>
      </c>
    </row>
    <row r="140" spans="1:2" x14ac:dyDescent="0.2">
      <c r="A140" s="843" t="s">
        <v>765</v>
      </c>
      <c r="B140" s="844">
        <f>SUM('2014'!F310:F339)</f>
        <v>137.33500000000001</v>
      </c>
    </row>
    <row r="141" spans="1:2" ht="15" thickBot="1" x14ac:dyDescent="0.25">
      <c r="A141" s="845" t="s">
        <v>764</v>
      </c>
      <c r="B141" s="846">
        <f>SUM('2014'!F340:F370)</f>
        <v>73.23</v>
      </c>
    </row>
    <row r="142" spans="1:2" x14ac:dyDescent="0.2">
      <c r="A142" s="847" t="s">
        <v>762</v>
      </c>
      <c r="B142" s="848">
        <f>SUM(B130:B141)</f>
        <v>1950.5000000000002</v>
      </c>
    </row>
    <row r="143" spans="1:2" ht="15" thickBot="1" x14ac:dyDescent="0.25">
      <c r="A143" s="849" t="s">
        <v>763</v>
      </c>
      <c r="B143" s="850">
        <f>B142/12</f>
        <v>162.54166666666669</v>
      </c>
    </row>
    <row r="145" spans="1:2" x14ac:dyDescent="0.2">
      <c r="A145" s="3605">
        <v>2015</v>
      </c>
      <c r="B145" s="3605"/>
    </row>
    <row r="146" spans="1:2" ht="15" thickBot="1" x14ac:dyDescent="0.25"/>
    <row r="147" spans="1:2" ht="15" thickBot="1" x14ac:dyDescent="0.25">
      <c r="A147" s="839" t="s">
        <v>778</v>
      </c>
      <c r="B147" s="840" t="s">
        <v>7</v>
      </c>
    </row>
    <row r="148" spans="1:2" x14ac:dyDescent="0.2">
      <c r="A148" s="841" t="s">
        <v>776</v>
      </c>
      <c r="B148" s="842">
        <f>SUM('2015'!E7:E37)</f>
        <v>128.68</v>
      </c>
    </row>
    <row r="149" spans="1:2" x14ac:dyDescent="0.2">
      <c r="A149" s="843" t="s">
        <v>775</v>
      </c>
      <c r="B149" s="844">
        <f>SUM('2015'!E38:E65)</f>
        <v>185.71</v>
      </c>
    </row>
    <row r="150" spans="1:2" x14ac:dyDescent="0.2">
      <c r="A150" s="843" t="s">
        <v>773</v>
      </c>
      <c r="B150" s="844">
        <f>SUM('2015'!E66:E96)</f>
        <v>266.02000000000004</v>
      </c>
    </row>
    <row r="151" spans="1:2" x14ac:dyDescent="0.2">
      <c r="A151" s="843" t="s">
        <v>772</v>
      </c>
      <c r="B151" s="844">
        <f>SUM('2015'!E97:E126)</f>
        <v>221.36199999999999</v>
      </c>
    </row>
    <row r="152" spans="1:2" x14ac:dyDescent="0.2">
      <c r="A152" s="843" t="s">
        <v>771</v>
      </c>
      <c r="B152" s="844">
        <f>SUM('2015'!E127:E157)</f>
        <v>96.230000000000018</v>
      </c>
    </row>
    <row r="153" spans="1:2" x14ac:dyDescent="0.2">
      <c r="A153" s="843" t="s">
        <v>770</v>
      </c>
      <c r="B153" s="844">
        <f>SUM('2015'!E158:E187)</f>
        <v>196.79000000000002</v>
      </c>
    </row>
    <row r="154" spans="1:2" x14ac:dyDescent="0.2">
      <c r="A154" s="843" t="s">
        <v>769</v>
      </c>
      <c r="B154" s="844">
        <f>SUM('2015'!E188:E218)</f>
        <v>139.64000000000001</v>
      </c>
    </row>
    <row r="155" spans="1:2" x14ac:dyDescent="0.2">
      <c r="A155" s="843" t="s">
        <v>768</v>
      </c>
      <c r="B155" s="844">
        <f>SUM('2015'!E219:E249)</f>
        <v>267.2</v>
      </c>
    </row>
    <row r="156" spans="1:2" x14ac:dyDescent="0.2">
      <c r="A156" s="843" t="s">
        <v>767</v>
      </c>
      <c r="B156" s="844">
        <f>SUM('2015'!E250:E279)</f>
        <v>222.48499999999999</v>
      </c>
    </row>
    <row r="157" spans="1:2" x14ac:dyDescent="0.2">
      <c r="A157" s="843" t="s">
        <v>766</v>
      </c>
      <c r="B157" s="844">
        <f>SUM('2015'!E280:E310)</f>
        <v>10.5</v>
      </c>
    </row>
    <row r="158" spans="1:2" x14ac:dyDescent="0.2">
      <c r="A158" s="843" t="s">
        <v>765</v>
      </c>
      <c r="B158" s="844">
        <f>SUM('2015'!E311:E340)</f>
        <v>64.070000000000007</v>
      </c>
    </row>
    <row r="159" spans="1:2" ht="15" thickBot="1" x14ac:dyDescent="0.25">
      <c r="A159" s="845" t="s">
        <v>764</v>
      </c>
      <c r="B159" s="846">
        <f>SUM('2015'!E341:E371)</f>
        <v>73.92</v>
      </c>
    </row>
    <row r="160" spans="1:2" x14ac:dyDescent="0.2">
      <c r="A160" s="847" t="s">
        <v>762</v>
      </c>
      <c r="B160" s="848">
        <f>SUM(B148:B159)</f>
        <v>1872.6070000000002</v>
      </c>
    </row>
    <row r="161" spans="1:2" ht="15" thickBot="1" x14ac:dyDescent="0.25">
      <c r="A161" s="849" t="s">
        <v>763</v>
      </c>
      <c r="B161" s="850">
        <f>B160/12</f>
        <v>156.05058333333335</v>
      </c>
    </row>
    <row r="163" spans="1:2" x14ac:dyDescent="0.2">
      <c r="A163" s="3604">
        <v>2016</v>
      </c>
      <c r="B163" s="3604"/>
    </row>
    <row r="164" spans="1:2" ht="15" thickBot="1" x14ac:dyDescent="0.25"/>
    <row r="165" spans="1:2" ht="15" thickBot="1" x14ac:dyDescent="0.25">
      <c r="A165" s="839" t="s">
        <v>778</v>
      </c>
      <c r="B165" s="840" t="s">
        <v>7</v>
      </c>
    </row>
    <row r="166" spans="1:2" x14ac:dyDescent="0.2">
      <c r="A166" s="841" t="s">
        <v>776</v>
      </c>
      <c r="B166" s="842">
        <f>SUM('2016'!E4:E31)</f>
        <v>43.019999999999996</v>
      </c>
    </row>
    <row r="167" spans="1:2" x14ac:dyDescent="0.2">
      <c r="A167" s="843" t="s">
        <v>775</v>
      </c>
      <c r="B167" s="842">
        <f>SUM('2016'!E32:E60)</f>
        <v>32.35</v>
      </c>
    </row>
    <row r="168" spans="1:2" x14ac:dyDescent="0.2">
      <c r="A168" s="843" t="s">
        <v>773</v>
      </c>
      <c r="B168" s="844">
        <f>SUM('2016'!E61:E91)</f>
        <v>62.46</v>
      </c>
    </row>
    <row r="169" spans="1:2" x14ac:dyDescent="0.2">
      <c r="A169" s="843" t="s">
        <v>772</v>
      </c>
      <c r="B169" s="844">
        <f>SUM('2016'!E92:E121)</f>
        <v>124.56</v>
      </c>
    </row>
    <row r="170" spans="1:2" x14ac:dyDescent="0.2">
      <c r="A170" s="843" t="s">
        <v>771</v>
      </c>
      <c r="B170" s="844">
        <f>SUM('2016'!E122:E152)</f>
        <v>85.95</v>
      </c>
    </row>
    <row r="171" spans="1:2" x14ac:dyDescent="0.2">
      <c r="A171" s="843" t="s">
        <v>770</v>
      </c>
      <c r="B171" s="844">
        <f>SUM('2016'!E153:E182)</f>
        <v>106.52</v>
      </c>
    </row>
    <row r="172" spans="1:2" x14ac:dyDescent="0.2">
      <c r="A172" s="843" t="s">
        <v>769</v>
      </c>
      <c r="B172" s="844">
        <f>SUM('2016'!E183:E213)</f>
        <v>60.23</v>
      </c>
    </row>
    <row r="173" spans="1:2" x14ac:dyDescent="0.2">
      <c r="A173" s="843" t="s">
        <v>768</v>
      </c>
      <c r="B173" s="844">
        <f>SUM('2016'!E214:E244)</f>
        <v>49.900000000000006</v>
      </c>
    </row>
    <row r="174" spans="1:2" x14ac:dyDescent="0.2">
      <c r="A174" s="843" t="s">
        <v>767</v>
      </c>
      <c r="B174" s="844">
        <f>SUM('2016'!E245:E274)</f>
        <v>48.06</v>
      </c>
    </row>
    <row r="175" spans="1:2" x14ac:dyDescent="0.2">
      <c r="A175" s="843" t="s">
        <v>766</v>
      </c>
      <c r="B175" s="844">
        <f>SUM('2016'!E275:E305)</f>
        <v>62.82</v>
      </c>
    </row>
    <row r="176" spans="1:2" x14ac:dyDescent="0.2">
      <c r="A176" s="843" t="s">
        <v>765</v>
      </c>
      <c r="B176" s="844">
        <f>SUM('2016'!E306:E335)</f>
        <v>41.78</v>
      </c>
    </row>
    <row r="177" spans="1:2" ht="15" thickBot="1" x14ac:dyDescent="0.25">
      <c r="A177" s="845" t="s">
        <v>764</v>
      </c>
      <c r="B177" s="846">
        <f>SUM('2016'!E336:E366)</f>
        <v>10.7</v>
      </c>
    </row>
    <row r="178" spans="1:2" x14ac:dyDescent="0.2">
      <c r="A178" s="847" t="s">
        <v>762</v>
      </c>
      <c r="B178" s="848">
        <f>SUM(B166:B177)</f>
        <v>728.35</v>
      </c>
    </row>
    <row r="179" spans="1:2" ht="15" thickBot="1" x14ac:dyDescent="0.25">
      <c r="A179" s="849" t="s">
        <v>763</v>
      </c>
      <c r="B179" s="850">
        <f>B178/12</f>
        <v>60.695833333333333</v>
      </c>
    </row>
    <row r="180" spans="1:2" x14ac:dyDescent="0.2">
      <c r="A180" s="363"/>
      <c r="B180" s="364"/>
    </row>
    <row r="181" spans="1:2" x14ac:dyDescent="0.2">
      <c r="A181" s="3604">
        <v>2017</v>
      </c>
      <c r="B181" s="3604"/>
    </row>
    <row r="182" spans="1:2" ht="15" thickBot="1" x14ac:dyDescent="0.25"/>
    <row r="183" spans="1:2" ht="15" thickBot="1" x14ac:dyDescent="0.25">
      <c r="A183" s="839" t="s">
        <v>778</v>
      </c>
      <c r="B183" s="840" t="s">
        <v>7</v>
      </c>
    </row>
    <row r="184" spans="1:2" x14ac:dyDescent="0.2">
      <c r="A184" s="841" t="s">
        <v>776</v>
      </c>
      <c r="B184" s="842">
        <f>SUM('2017'!E4:E33)</f>
        <v>67.850000000000009</v>
      </c>
    </row>
    <row r="185" spans="1:2" x14ac:dyDescent="0.2">
      <c r="A185" s="843" t="s">
        <v>775</v>
      </c>
      <c r="B185" s="842">
        <f>SUM('2017'!E34:E61)</f>
        <v>71.91</v>
      </c>
    </row>
    <row r="186" spans="1:2" x14ac:dyDescent="0.2">
      <c r="A186" s="843" t="s">
        <v>773</v>
      </c>
      <c r="B186" s="844">
        <f>SUM('2017'!E62:E92)</f>
        <v>183.2</v>
      </c>
    </row>
    <row r="187" spans="1:2" x14ac:dyDescent="0.2">
      <c r="A187" s="843" t="s">
        <v>772</v>
      </c>
      <c r="B187" s="844">
        <f>SUM('2017'!E93:E122)</f>
        <v>230.10999999999999</v>
      </c>
    </row>
    <row r="188" spans="1:2" x14ac:dyDescent="0.2">
      <c r="A188" s="843" t="s">
        <v>771</v>
      </c>
      <c r="B188" s="844">
        <f>SUM('2017'!E123:E153)</f>
        <v>188.86</v>
      </c>
    </row>
    <row r="189" spans="1:2" x14ac:dyDescent="0.2">
      <c r="A189" s="843" t="s">
        <v>770</v>
      </c>
      <c r="B189" s="844">
        <f>SUM('2017'!E154:E183)</f>
        <v>50.9</v>
      </c>
    </row>
    <row r="190" spans="1:2" x14ac:dyDescent="0.2">
      <c r="A190" s="843" t="s">
        <v>769</v>
      </c>
      <c r="B190" s="844">
        <f>SUM('2017'!E184:E214)</f>
        <v>88.39</v>
      </c>
    </row>
    <row r="191" spans="1:2" x14ac:dyDescent="0.2">
      <c r="A191" s="843" t="s">
        <v>768</v>
      </c>
      <c r="B191" s="844">
        <f>SUM('2017'!E215:E245)</f>
        <v>86.989999999999981</v>
      </c>
    </row>
    <row r="192" spans="1:2" x14ac:dyDescent="0.2">
      <c r="A192" s="843" t="s">
        <v>767</v>
      </c>
      <c r="B192" s="844">
        <f>SUM('2017'!E246:E275)</f>
        <v>100.38999999999999</v>
      </c>
    </row>
    <row r="193" spans="1:2" x14ac:dyDescent="0.2">
      <c r="A193" s="843" t="s">
        <v>766</v>
      </c>
      <c r="B193" s="844">
        <f>SUM('2017'!E276:E306)</f>
        <v>131.53</v>
      </c>
    </row>
    <row r="194" spans="1:2" x14ac:dyDescent="0.2">
      <c r="A194" s="843" t="s">
        <v>765</v>
      </c>
      <c r="B194" s="844">
        <f>SUM('2017'!E307:E337)</f>
        <v>106.27000000000001</v>
      </c>
    </row>
    <row r="195" spans="1:2" ht="15" thickBot="1" x14ac:dyDescent="0.25">
      <c r="A195" s="845" t="s">
        <v>764</v>
      </c>
      <c r="B195" s="846">
        <f>SUM('2017'!E339:E371)</f>
        <v>71.835000000000008</v>
      </c>
    </row>
    <row r="196" spans="1:2" x14ac:dyDescent="0.2">
      <c r="A196" s="847" t="s">
        <v>762</v>
      </c>
      <c r="B196" s="848">
        <f>SUM(B184:B195)</f>
        <v>1378.2349999999999</v>
      </c>
    </row>
    <row r="197" spans="1:2" ht="15" thickBot="1" x14ac:dyDescent="0.25">
      <c r="A197" s="849" t="s">
        <v>763</v>
      </c>
      <c r="B197" s="850">
        <f>B196/12</f>
        <v>114.85291666666666</v>
      </c>
    </row>
    <row r="199" spans="1:2" x14ac:dyDescent="0.2">
      <c r="A199" s="3604">
        <v>2018</v>
      </c>
      <c r="B199" s="3604"/>
    </row>
    <row r="200" spans="1:2" ht="15" thickBot="1" x14ac:dyDescent="0.25"/>
    <row r="201" spans="1:2" ht="15" thickBot="1" x14ac:dyDescent="0.25">
      <c r="A201" s="839" t="s">
        <v>778</v>
      </c>
      <c r="B201" s="840" t="s">
        <v>7</v>
      </c>
    </row>
    <row r="202" spans="1:2" x14ac:dyDescent="0.2">
      <c r="A202" s="841" t="s">
        <v>776</v>
      </c>
      <c r="B202" s="842">
        <f>SUM('2018+'!H3:H33)</f>
        <v>170.48999999999998</v>
      </c>
    </row>
    <row r="203" spans="1:2" x14ac:dyDescent="0.2">
      <c r="A203" s="843" t="s">
        <v>775</v>
      </c>
      <c r="B203" s="842">
        <f>SUM('2018+'!H34:H61)</f>
        <v>222.57999999999998</v>
      </c>
    </row>
    <row r="204" spans="1:2" x14ac:dyDescent="0.2">
      <c r="A204" s="843" t="s">
        <v>773</v>
      </c>
      <c r="B204" s="844">
        <f>SUM('2018+'!H62:H92)</f>
        <v>218.86500000000001</v>
      </c>
    </row>
    <row r="205" spans="1:2" x14ac:dyDescent="0.2">
      <c r="A205" s="843" t="s">
        <v>772</v>
      </c>
      <c r="B205" s="844">
        <f>SUM('2018+'!H93:H122)</f>
        <v>145.39000000000001</v>
      </c>
    </row>
    <row r="206" spans="1:2" x14ac:dyDescent="0.2">
      <c r="A206" s="843" t="s">
        <v>771</v>
      </c>
      <c r="B206" s="844">
        <f>SUM('2018+'!H123:H153)</f>
        <v>132.16</v>
      </c>
    </row>
    <row r="207" spans="1:2" x14ac:dyDescent="0.2">
      <c r="A207" s="843" t="s">
        <v>770</v>
      </c>
      <c r="B207" s="844">
        <f>SUM('2018+'!H154:H183)</f>
        <v>213.27000000000004</v>
      </c>
    </row>
    <row r="208" spans="1:2" x14ac:dyDescent="0.2">
      <c r="A208" s="843" t="s">
        <v>769</v>
      </c>
      <c r="B208" s="844">
        <f>SUM('2018+'!H184:H214)</f>
        <v>288</v>
      </c>
    </row>
    <row r="209" spans="1:15" x14ac:dyDescent="0.2">
      <c r="A209" s="843" t="s">
        <v>768</v>
      </c>
      <c r="B209" s="844">
        <f>SUM('2018+'!H215:H245)</f>
        <v>275.89</v>
      </c>
    </row>
    <row r="210" spans="1:15" x14ac:dyDescent="0.2">
      <c r="A210" s="843" t="s">
        <v>767</v>
      </c>
      <c r="B210" s="844">
        <f>SUM('2018+'!H246:H275)</f>
        <v>141.83500000000001</v>
      </c>
    </row>
    <row r="211" spans="1:15" x14ac:dyDescent="0.2">
      <c r="A211" s="843" t="s">
        <v>766</v>
      </c>
      <c r="B211" s="844">
        <f>SUM('2018+'!H276:H306)</f>
        <v>138.28</v>
      </c>
    </row>
    <row r="212" spans="1:15" x14ac:dyDescent="0.2">
      <c r="A212" s="843" t="s">
        <v>765</v>
      </c>
      <c r="B212" s="844">
        <f>SUM('2018+'!H307:H336)</f>
        <v>151.99999999999997</v>
      </c>
    </row>
    <row r="213" spans="1:15" ht="15" thickBot="1" x14ac:dyDescent="0.25">
      <c r="A213" s="845" t="s">
        <v>764</v>
      </c>
      <c r="B213" s="846">
        <f>SUM('2018+'!H337:H367)</f>
        <v>131.78</v>
      </c>
    </row>
    <row r="214" spans="1:15" x14ac:dyDescent="0.2">
      <c r="A214" s="847" t="s">
        <v>762</v>
      </c>
      <c r="B214" s="848">
        <f>SUM(B202:B213)</f>
        <v>2230.54</v>
      </c>
    </row>
    <row r="215" spans="1:15" ht="15" thickBot="1" x14ac:dyDescent="0.25">
      <c r="A215" s="849" t="s">
        <v>763</v>
      </c>
      <c r="B215" s="850">
        <f>B214/12</f>
        <v>185.87833333333333</v>
      </c>
      <c r="O215" s="364"/>
    </row>
    <row r="217" spans="1:15" x14ac:dyDescent="0.2">
      <c r="A217" s="3604">
        <v>2019</v>
      </c>
      <c r="B217" s="3604"/>
    </row>
    <row r="218" spans="1:15" ht="15" thickBot="1" x14ac:dyDescent="0.25"/>
    <row r="219" spans="1:15" ht="15" thickBot="1" x14ac:dyDescent="0.25">
      <c r="A219" s="839" t="s">
        <v>778</v>
      </c>
      <c r="B219" s="840" t="s">
        <v>7</v>
      </c>
    </row>
    <row r="220" spans="1:15" x14ac:dyDescent="0.2">
      <c r="A220" s="841" t="s">
        <v>776</v>
      </c>
      <c r="B220" s="842">
        <f>SUM('2018+'!$H$368:$H$398)</f>
        <v>166.29999999999998</v>
      </c>
    </row>
    <row r="221" spans="1:15" x14ac:dyDescent="0.2">
      <c r="A221" s="843" t="s">
        <v>775</v>
      </c>
      <c r="B221" s="842">
        <f>SUM('2018+'!$H$399:$H$426)</f>
        <v>176.93000000000004</v>
      </c>
    </row>
    <row r="222" spans="1:15" x14ac:dyDescent="0.2">
      <c r="A222" s="843" t="s">
        <v>773</v>
      </c>
      <c r="B222" s="844">
        <f>SUM('2018+'!$H$427:$H$457)</f>
        <v>233.71</v>
      </c>
    </row>
    <row r="223" spans="1:15" x14ac:dyDescent="0.2">
      <c r="A223" s="843" t="s">
        <v>772</v>
      </c>
      <c r="B223" s="844">
        <f>SUM('2018+'!$H$458:$H$487)</f>
        <v>275.64999999999998</v>
      </c>
    </row>
    <row r="224" spans="1:15" x14ac:dyDescent="0.2">
      <c r="A224" s="843" t="s">
        <v>771</v>
      </c>
      <c r="B224" s="844">
        <f>SUM('2018+'!$H$488:$H$518)</f>
        <v>239.25999999999996</v>
      </c>
    </row>
    <row r="225" spans="1:12" x14ac:dyDescent="0.2">
      <c r="A225" s="843" t="s">
        <v>770</v>
      </c>
      <c r="B225" s="844">
        <f>SUM('2018+'!$H$519:$H$548)</f>
        <v>61.019999999999996</v>
      </c>
    </row>
    <row r="226" spans="1:12" x14ac:dyDescent="0.2">
      <c r="A226" s="843" t="s">
        <v>769</v>
      </c>
      <c r="B226" s="844">
        <f>SUM('2018+'!$H$549:$H$579)</f>
        <v>73.179999999999993</v>
      </c>
    </row>
    <row r="227" spans="1:12" x14ac:dyDescent="0.2">
      <c r="A227" s="843" t="s">
        <v>768</v>
      </c>
      <c r="B227" s="844">
        <f>SUM('2018+'!$H$580:$H$610)</f>
        <v>149.70999999999998</v>
      </c>
    </row>
    <row r="228" spans="1:12" x14ac:dyDescent="0.2">
      <c r="A228" s="843" t="s">
        <v>767</v>
      </c>
      <c r="B228" s="844">
        <f>SUM('2018+'!$H$611:$H$640)</f>
        <v>146.72</v>
      </c>
    </row>
    <row r="229" spans="1:12" x14ac:dyDescent="0.2">
      <c r="A229" s="843" t="s">
        <v>766</v>
      </c>
      <c r="B229" s="844">
        <f>SUM('2018+'!$H$641:$H$671)</f>
        <v>118.36999999999998</v>
      </c>
    </row>
    <row r="230" spans="1:12" x14ac:dyDescent="0.2">
      <c r="A230" s="843" t="s">
        <v>765</v>
      </c>
      <c r="B230" s="844">
        <f>SUM('2018+'!$H$672:$H$701)</f>
        <v>120.52</v>
      </c>
    </row>
    <row r="231" spans="1:12" ht="15" thickBot="1" x14ac:dyDescent="0.25">
      <c r="A231" s="845" t="s">
        <v>764</v>
      </c>
      <c r="B231" s="846">
        <f>SUM('2018+'!$H$702:$H$732)</f>
        <v>87.45</v>
      </c>
    </row>
    <row r="232" spans="1:12" x14ac:dyDescent="0.2">
      <c r="A232" s="847" t="s">
        <v>762</v>
      </c>
      <c r="B232" s="848">
        <f>SUM(B220:B231)</f>
        <v>1848.82</v>
      </c>
    </row>
    <row r="233" spans="1:12" ht="15" thickBot="1" x14ac:dyDescent="0.25">
      <c r="A233" s="849" t="s">
        <v>763</v>
      </c>
      <c r="B233" s="850">
        <f>B232/12</f>
        <v>154.06833333333333</v>
      </c>
    </row>
    <row r="235" spans="1:12" x14ac:dyDescent="0.2">
      <c r="A235" s="3604">
        <v>2020</v>
      </c>
      <c r="B235" s="3604"/>
    </row>
    <row r="236" spans="1:12" ht="15" thickBot="1" x14ac:dyDescent="0.25">
      <c r="K236" s="361"/>
      <c r="L236" s="852"/>
    </row>
    <row r="237" spans="1:12" ht="15" thickBot="1" x14ac:dyDescent="0.25">
      <c r="A237" s="839" t="s">
        <v>778</v>
      </c>
      <c r="B237" s="840" t="s">
        <v>7</v>
      </c>
    </row>
    <row r="238" spans="1:12" x14ac:dyDescent="0.2">
      <c r="A238" s="841" t="s">
        <v>776</v>
      </c>
      <c r="B238" s="842">
        <f>SUM('2018+'!H733:H763)</f>
        <v>129.49</v>
      </c>
    </row>
    <row r="239" spans="1:12" x14ac:dyDescent="0.2">
      <c r="A239" s="843" t="s">
        <v>775</v>
      </c>
      <c r="B239" s="842">
        <f>SUM('2018+'!H764:H792)</f>
        <v>110.81</v>
      </c>
    </row>
    <row r="240" spans="1:12" x14ac:dyDescent="0.2">
      <c r="A240" s="843" t="s">
        <v>773</v>
      </c>
      <c r="B240" s="844">
        <f>SUM('2018+'!H793:H823)</f>
        <v>181.26999999999998</v>
      </c>
    </row>
    <row r="241" spans="1:2" x14ac:dyDescent="0.2">
      <c r="A241" s="843" t="s">
        <v>772</v>
      </c>
      <c r="B241" s="844">
        <f>SUM('2018+'!H824:H853)</f>
        <v>186.31</v>
      </c>
    </row>
    <row r="242" spans="1:2" x14ac:dyDescent="0.2">
      <c r="A242" s="843" t="s">
        <v>771</v>
      </c>
      <c r="B242" s="844">
        <f>SUM('2018+'!H854:H884)</f>
        <v>216.57999999999996</v>
      </c>
    </row>
    <row r="243" spans="1:2" x14ac:dyDescent="0.2">
      <c r="A243" s="843" t="s">
        <v>770</v>
      </c>
      <c r="B243" s="844">
        <f>SUM('2018+'!H885:H914)</f>
        <v>207.57000000000002</v>
      </c>
    </row>
    <row r="244" spans="1:2" x14ac:dyDescent="0.2">
      <c r="A244" s="843" t="s">
        <v>769</v>
      </c>
      <c r="B244" s="844">
        <f>SUM('2018+'!H915:H945)</f>
        <v>169.23000000000002</v>
      </c>
    </row>
    <row r="245" spans="1:2" x14ac:dyDescent="0.2">
      <c r="A245" s="843" t="s">
        <v>768</v>
      </c>
      <c r="B245" s="844">
        <f>SUM('2018+'!H946:H976)</f>
        <v>199.79000000000002</v>
      </c>
    </row>
    <row r="246" spans="1:2" x14ac:dyDescent="0.2">
      <c r="A246" s="843" t="s">
        <v>767</v>
      </c>
      <c r="B246" s="844">
        <f>SUM('2018+'!H977:H1006)</f>
        <v>186.67</v>
      </c>
    </row>
    <row r="247" spans="1:2" x14ac:dyDescent="0.2">
      <c r="A247" s="843" t="s">
        <v>766</v>
      </c>
      <c r="B247" s="844">
        <f>SUM('2018+'!H1007:H1037)</f>
        <v>158.44</v>
      </c>
    </row>
    <row r="248" spans="1:2" x14ac:dyDescent="0.2">
      <c r="A248" s="843" t="s">
        <v>765</v>
      </c>
      <c r="B248" s="844">
        <f>SUM('2018+'!H1038:H1067)</f>
        <v>145.69</v>
      </c>
    </row>
    <row r="249" spans="1:2" ht="15" thickBot="1" x14ac:dyDescent="0.25">
      <c r="A249" s="845" t="s">
        <v>764</v>
      </c>
      <c r="B249" s="846">
        <f>SUM('2018+'!H1068:H1098)</f>
        <v>153.82999999999998</v>
      </c>
    </row>
    <row r="250" spans="1:2" x14ac:dyDescent="0.2">
      <c r="A250" s="847" t="s">
        <v>762</v>
      </c>
      <c r="B250" s="848">
        <f>SUM(B238:B249)</f>
        <v>2045.68</v>
      </c>
    </row>
    <row r="251" spans="1:2" ht="15" thickBot="1" x14ac:dyDescent="0.25">
      <c r="A251" s="849" t="s">
        <v>763</v>
      </c>
      <c r="B251" s="850">
        <f>B250/12</f>
        <v>170.47333333333333</v>
      </c>
    </row>
    <row r="253" spans="1:2" x14ac:dyDescent="0.2">
      <c r="A253" s="3604">
        <v>2021</v>
      </c>
      <c r="B253" s="3604"/>
    </row>
    <row r="254" spans="1:2" ht="15" thickBot="1" x14ac:dyDescent="0.25"/>
    <row r="255" spans="1:2" ht="15" thickBot="1" x14ac:dyDescent="0.25">
      <c r="A255" s="839" t="s">
        <v>778</v>
      </c>
      <c r="B255" s="840" t="s">
        <v>7</v>
      </c>
    </row>
    <row r="256" spans="1:2" x14ac:dyDescent="0.2">
      <c r="A256" s="841" t="s">
        <v>776</v>
      </c>
      <c r="B256" s="842">
        <v>179.34000000000003</v>
      </c>
    </row>
    <row r="257" spans="1:2" x14ac:dyDescent="0.2">
      <c r="A257" s="843" t="s">
        <v>775</v>
      </c>
      <c r="B257" s="842">
        <v>178.46999999999997</v>
      </c>
    </row>
    <row r="258" spans="1:2" x14ac:dyDescent="0.2">
      <c r="A258" s="843" t="s">
        <v>773</v>
      </c>
      <c r="B258" s="844">
        <v>164.11999999999998</v>
      </c>
    </row>
    <row r="259" spans="1:2" x14ac:dyDescent="0.2">
      <c r="A259" s="843" t="s">
        <v>772</v>
      </c>
      <c r="B259" s="844">
        <v>89.72999999999999</v>
      </c>
    </row>
    <row r="260" spans="1:2" x14ac:dyDescent="0.2">
      <c r="A260" s="843" t="s">
        <v>771</v>
      </c>
      <c r="B260" s="844">
        <v>99.15</v>
      </c>
    </row>
    <row r="261" spans="1:2" x14ac:dyDescent="0.2">
      <c r="A261" s="843" t="s">
        <v>770</v>
      </c>
      <c r="B261" s="844">
        <v>86.089999999999989</v>
      </c>
    </row>
    <row r="262" spans="1:2" x14ac:dyDescent="0.2">
      <c r="A262" s="843" t="s">
        <v>769</v>
      </c>
      <c r="B262" s="844">
        <v>34.57</v>
      </c>
    </row>
    <row r="263" spans="1:2" x14ac:dyDescent="0.2">
      <c r="A263" s="843" t="s">
        <v>768</v>
      </c>
      <c r="B263" s="844">
        <v>114.77</v>
      </c>
    </row>
    <row r="264" spans="1:2" x14ac:dyDescent="0.2">
      <c r="A264" s="843" t="s">
        <v>767</v>
      </c>
      <c r="B264" s="844">
        <v>123.85999999999999</v>
      </c>
    </row>
    <row r="265" spans="1:2" x14ac:dyDescent="0.2">
      <c r="A265" s="843" t="s">
        <v>766</v>
      </c>
      <c r="B265" s="844">
        <v>51.68</v>
      </c>
    </row>
    <row r="266" spans="1:2" x14ac:dyDescent="0.2">
      <c r="A266" s="843" t="s">
        <v>765</v>
      </c>
      <c r="B266" s="844">
        <v>93.27</v>
      </c>
    </row>
    <row r="267" spans="1:2" ht="15" thickBot="1" x14ac:dyDescent="0.25">
      <c r="A267" s="845" t="s">
        <v>764</v>
      </c>
      <c r="B267" s="846">
        <v>105.37999999999998</v>
      </c>
    </row>
    <row r="268" spans="1:2" x14ac:dyDescent="0.2">
      <c r="A268" s="847" t="s">
        <v>762</v>
      </c>
      <c r="B268" s="848">
        <f>SUM(B256:B267)</f>
        <v>1320.4299999999998</v>
      </c>
    </row>
    <row r="269" spans="1:2" ht="15" thickBot="1" x14ac:dyDescent="0.25">
      <c r="A269" s="849" t="s">
        <v>763</v>
      </c>
      <c r="B269" s="850">
        <f>B268/12</f>
        <v>110.03583333333331</v>
      </c>
    </row>
    <row r="271" spans="1:2" x14ac:dyDescent="0.2">
      <c r="A271" s="3604">
        <v>2022</v>
      </c>
      <c r="B271" s="3604"/>
    </row>
    <row r="272" spans="1:2" ht="15" thickBot="1" x14ac:dyDescent="0.25"/>
    <row r="273" spans="1:13" ht="15" thickBot="1" x14ac:dyDescent="0.25">
      <c r="A273" s="839" t="s">
        <v>778</v>
      </c>
      <c r="B273" s="840" t="s">
        <v>7</v>
      </c>
    </row>
    <row r="274" spans="1:13" x14ac:dyDescent="0.2">
      <c r="A274" s="841" t="s">
        <v>776</v>
      </c>
      <c r="B274" s="842">
        <v>180.66</v>
      </c>
    </row>
    <row r="275" spans="1:13" x14ac:dyDescent="0.2">
      <c r="A275" s="843" t="s">
        <v>775</v>
      </c>
      <c r="B275" s="842">
        <v>200.89</v>
      </c>
    </row>
    <row r="276" spans="1:13" x14ac:dyDescent="0.2">
      <c r="A276" s="843" t="s">
        <v>773</v>
      </c>
      <c r="B276" s="844">
        <v>204.95</v>
      </c>
    </row>
    <row r="277" spans="1:13" x14ac:dyDescent="0.2">
      <c r="A277" s="843" t="s">
        <v>772</v>
      </c>
      <c r="B277" s="844">
        <v>194.09999999999997</v>
      </c>
    </row>
    <row r="278" spans="1:13" x14ac:dyDescent="0.2">
      <c r="A278" s="843" t="s">
        <v>771</v>
      </c>
      <c r="B278" s="844">
        <v>111.07</v>
      </c>
    </row>
    <row r="279" spans="1:13" x14ac:dyDescent="0.2">
      <c r="A279" s="843" t="s">
        <v>770</v>
      </c>
      <c r="B279" s="844">
        <v>148.60999999999999</v>
      </c>
    </row>
    <row r="280" spans="1:13" x14ac:dyDescent="0.2">
      <c r="A280" s="843" t="s">
        <v>769</v>
      </c>
      <c r="B280" s="844">
        <v>123.79000000000002</v>
      </c>
    </row>
    <row r="281" spans="1:13" x14ac:dyDescent="0.2">
      <c r="A281" s="843" t="s">
        <v>768</v>
      </c>
      <c r="B281" s="844">
        <v>121.01</v>
      </c>
    </row>
    <row r="282" spans="1:13" x14ac:dyDescent="0.2">
      <c r="A282" s="843" t="s">
        <v>767</v>
      </c>
      <c r="B282" s="844">
        <v>84.06</v>
      </c>
    </row>
    <row r="283" spans="1:13" x14ac:dyDescent="0.2">
      <c r="A283" s="843" t="s">
        <v>766</v>
      </c>
      <c r="B283" s="844">
        <v>31.950000000000003</v>
      </c>
    </row>
    <row r="284" spans="1:13" x14ac:dyDescent="0.2">
      <c r="A284" s="843" t="s">
        <v>765</v>
      </c>
      <c r="B284" s="844">
        <v>66.08</v>
      </c>
      <c r="M284" s="364"/>
    </row>
    <row r="285" spans="1:13" ht="15" thickBot="1" x14ac:dyDescent="0.25">
      <c r="A285" s="845" t="s">
        <v>764</v>
      </c>
      <c r="B285" s="846">
        <v>81.090000000000018</v>
      </c>
    </row>
    <row r="286" spans="1:13" x14ac:dyDescent="0.2">
      <c r="A286" s="847" t="s">
        <v>762</v>
      </c>
      <c r="B286" s="848">
        <f>SUM(B274:B285)</f>
        <v>1548.2599999999995</v>
      </c>
    </row>
    <row r="287" spans="1:13" ht="15" thickBot="1" x14ac:dyDescent="0.25">
      <c r="A287" s="849" t="s">
        <v>763</v>
      </c>
      <c r="B287" s="850">
        <f>B286/12</f>
        <v>129.02166666666662</v>
      </c>
    </row>
    <row r="289" spans="1:2" x14ac:dyDescent="0.2">
      <c r="A289" s="3604">
        <v>2023</v>
      </c>
      <c r="B289" s="3604"/>
    </row>
    <row r="290" spans="1:2" ht="15" thickBot="1" x14ac:dyDescent="0.25"/>
    <row r="291" spans="1:2" ht="15" thickBot="1" x14ac:dyDescent="0.25">
      <c r="A291" s="839" t="s">
        <v>778</v>
      </c>
      <c r="B291" s="840" t="s">
        <v>7</v>
      </c>
    </row>
    <row r="292" spans="1:2" x14ac:dyDescent="0.2">
      <c r="A292" s="841" t="s">
        <v>776</v>
      </c>
      <c r="B292" s="842">
        <f>SUM('2018+'!H1829:H1859)</f>
        <v>82.35</v>
      </c>
    </row>
    <row r="293" spans="1:2" x14ac:dyDescent="0.2">
      <c r="A293" s="843" t="s">
        <v>775</v>
      </c>
      <c r="B293" s="842">
        <f>SUM('2018+'!H1860:H1887)</f>
        <v>143.94</v>
      </c>
    </row>
    <row r="294" spans="1:2" x14ac:dyDescent="0.2">
      <c r="A294" s="843" t="s">
        <v>773</v>
      </c>
      <c r="B294" s="844">
        <f>SUM('2018+'!H1888:H1918)</f>
        <v>89.250000000000014</v>
      </c>
    </row>
    <row r="295" spans="1:2" x14ac:dyDescent="0.2">
      <c r="A295" s="843" t="s">
        <v>772</v>
      </c>
      <c r="B295" s="844">
        <f>SUM('2018+'!H1919:H1948)</f>
        <v>148.69</v>
      </c>
    </row>
    <row r="296" spans="1:2" x14ac:dyDescent="0.2">
      <c r="A296" s="843" t="s">
        <v>771</v>
      </c>
      <c r="B296" s="844">
        <f>SUM('2018+'!H1949:H1979)</f>
        <v>88.21</v>
      </c>
    </row>
    <row r="297" spans="1:2" x14ac:dyDescent="0.2">
      <c r="A297" s="843" t="s">
        <v>770</v>
      </c>
      <c r="B297" s="844">
        <f>SUM('2018+'!H1980:H2009)</f>
        <v>164.20000000000005</v>
      </c>
    </row>
    <row r="298" spans="1:2" x14ac:dyDescent="0.2">
      <c r="A298" s="843" t="s">
        <v>769</v>
      </c>
      <c r="B298" s="844">
        <f>SUM('2018+'!H2010:H2040)</f>
        <v>181.96</v>
      </c>
    </row>
    <row r="299" spans="1:2" x14ac:dyDescent="0.2">
      <c r="A299" s="843" t="s">
        <v>768</v>
      </c>
      <c r="B299" s="844">
        <f>SUM('2018+'!H2041:H2071)</f>
        <v>172.29</v>
      </c>
    </row>
    <row r="300" spans="1:2" x14ac:dyDescent="0.2">
      <c r="A300" s="843" t="s">
        <v>767</v>
      </c>
      <c r="B300" s="844">
        <f>SUM('2018+'!H2072:H2101)</f>
        <v>169.26700000000002</v>
      </c>
    </row>
    <row r="301" spans="1:2" x14ac:dyDescent="0.2">
      <c r="A301" s="843" t="s">
        <v>766</v>
      </c>
      <c r="B301" s="844">
        <f>SUM('2018+'!H2102:H2132)</f>
        <v>170.9</v>
      </c>
    </row>
    <row r="302" spans="1:2" x14ac:dyDescent="0.2">
      <c r="A302" s="843" t="s">
        <v>765</v>
      </c>
      <c r="B302" s="844">
        <f>SUM('2018+'!H2133:H2162)</f>
        <v>11.92</v>
      </c>
    </row>
    <row r="303" spans="1:2" ht="15" thickBot="1" x14ac:dyDescent="0.25">
      <c r="A303" s="845" t="s">
        <v>764</v>
      </c>
      <c r="B303" s="846">
        <f>SUM('2018+'!H2163:H2193)</f>
        <v>22.08</v>
      </c>
    </row>
    <row r="304" spans="1:2" x14ac:dyDescent="0.2">
      <c r="A304" s="847" t="s">
        <v>762</v>
      </c>
      <c r="B304" s="848">
        <f>SUM(B292:B303)</f>
        <v>1445.0570000000002</v>
      </c>
    </row>
    <row r="305" spans="1:2" ht="15" thickBot="1" x14ac:dyDescent="0.25">
      <c r="A305" s="849" t="s">
        <v>763</v>
      </c>
      <c r="B305" s="850">
        <f>B304/12</f>
        <v>120.42141666666669</v>
      </c>
    </row>
    <row r="306" spans="1:2" x14ac:dyDescent="0.2">
      <c r="B306" s="363"/>
    </row>
    <row r="307" spans="1:2" x14ac:dyDescent="0.2">
      <c r="A307" s="3604">
        <v>2024</v>
      </c>
      <c r="B307" s="3604"/>
    </row>
    <row r="308" spans="1:2" ht="15" thickBot="1" x14ac:dyDescent="0.25"/>
    <row r="309" spans="1:2" ht="15" thickBot="1" x14ac:dyDescent="0.25">
      <c r="A309" s="839" t="s">
        <v>778</v>
      </c>
      <c r="B309" s="840" t="s">
        <v>7</v>
      </c>
    </row>
    <row r="310" spans="1:2" x14ac:dyDescent="0.2">
      <c r="A310" s="841" t="s">
        <v>776</v>
      </c>
      <c r="B310" s="842">
        <f>SUM('2018+'!H2194:H2224)</f>
        <v>107.49686422416866</v>
      </c>
    </row>
    <row r="311" spans="1:2" x14ac:dyDescent="0.2">
      <c r="A311" s="843" t="s">
        <v>775</v>
      </c>
      <c r="B311" s="842"/>
    </row>
    <row r="312" spans="1:2" x14ac:dyDescent="0.2">
      <c r="A312" s="843" t="s">
        <v>773</v>
      </c>
      <c r="B312" s="844"/>
    </row>
    <row r="313" spans="1:2" x14ac:dyDescent="0.2">
      <c r="A313" s="843" t="s">
        <v>772</v>
      </c>
      <c r="B313" s="844"/>
    </row>
    <row r="314" spans="1:2" x14ac:dyDescent="0.2">
      <c r="A314" s="843" t="s">
        <v>771</v>
      </c>
      <c r="B314" s="844"/>
    </row>
    <row r="315" spans="1:2" x14ac:dyDescent="0.2">
      <c r="A315" s="843" t="s">
        <v>770</v>
      </c>
      <c r="B315" s="844"/>
    </row>
    <row r="316" spans="1:2" x14ac:dyDescent="0.2">
      <c r="A316" s="843" t="s">
        <v>769</v>
      </c>
      <c r="B316" s="844"/>
    </row>
    <row r="317" spans="1:2" x14ac:dyDescent="0.2">
      <c r="A317" s="843" t="s">
        <v>768</v>
      </c>
      <c r="B317" s="844"/>
    </row>
    <row r="318" spans="1:2" x14ac:dyDescent="0.2">
      <c r="A318" s="843" t="s">
        <v>767</v>
      </c>
      <c r="B318" s="844"/>
    </row>
    <row r="319" spans="1:2" x14ac:dyDescent="0.2">
      <c r="A319" s="843" t="s">
        <v>766</v>
      </c>
      <c r="B319" s="844"/>
    </row>
    <row r="320" spans="1:2" x14ac:dyDescent="0.2">
      <c r="A320" s="843" t="s">
        <v>765</v>
      </c>
      <c r="B320" s="844"/>
    </row>
    <row r="321" spans="1:13" ht="15" thickBot="1" x14ac:dyDescent="0.25">
      <c r="A321" s="845" t="s">
        <v>764</v>
      </c>
      <c r="B321" s="846"/>
    </row>
    <row r="322" spans="1:13" x14ac:dyDescent="0.2">
      <c r="A322" s="847" t="s">
        <v>762</v>
      </c>
      <c r="B322" s="848">
        <f>SUM(B310:B321)</f>
        <v>107.49686422416866</v>
      </c>
    </row>
    <row r="323" spans="1:13" ht="15" thickBot="1" x14ac:dyDescent="0.25">
      <c r="A323" s="849" t="s">
        <v>763</v>
      </c>
      <c r="B323" s="850">
        <f>B322/12</f>
        <v>8.9580720186807223</v>
      </c>
    </row>
    <row r="324" spans="1:13" x14ac:dyDescent="0.2">
      <c r="B324" s="363"/>
    </row>
    <row r="325" spans="1:13" x14ac:dyDescent="0.2">
      <c r="B325" s="363"/>
    </row>
    <row r="326" spans="1:13" x14ac:dyDescent="0.2">
      <c r="B326" s="363"/>
    </row>
    <row r="327" spans="1:13" x14ac:dyDescent="0.2">
      <c r="B327" s="363"/>
      <c r="K327" s="3604" t="s">
        <v>777</v>
      </c>
      <c r="L327" s="3604"/>
    </row>
    <row r="328" spans="1:13" ht="15" thickBot="1" x14ac:dyDescent="0.25">
      <c r="B328" s="363"/>
    </row>
    <row r="329" spans="1:13" ht="15" thickBot="1" x14ac:dyDescent="0.25">
      <c r="B329" s="363"/>
      <c r="K329" s="853" t="s">
        <v>774</v>
      </c>
      <c r="L329" s="854" t="s">
        <v>7</v>
      </c>
      <c r="M329" s="811" t="s">
        <v>1443</v>
      </c>
    </row>
    <row r="330" spans="1:13" x14ac:dyDescent="0.2">
      <c r="B330" s="363"/>
      <c r="K330" s="3265">
        <v>2007</v>
      </c>
      <c r="L330" s="3118">
        <f>B16</f>
        <v>911</v>
      </c>
    </row>
    <row r="331" spans="1:13" x14ac:dyDescent="0.2">
      <c r="B331" s="363"/>
      <c r="I331" s="363" t="s">
        <v>960</v>
      </c>
      <c r="K331" s="3266">
        <v>2008</v>
      </c>
      <c r="L331" s="2941">
        <f>B34</f>
        <v>506.10999999999996</v>
      </c>
    </row>
    <row r="332" spans="1:13" x14ac:dyDescent="0.2">
      <c r="B332" s="363"/>
      <c r="G332" s="2902" t="s">
        <v>1516</v>
      </c>
      <c r="H332" s="363" t="s">
        <v>7</v>
      </c>
      <c r="K332" s="3266">
        <v>2009</v>
      </c>
      <c r="L332" s="2941">
        <f>B52</f>
        <v>1106.8499999999999</v>
      </c>
    </row>
    <row r="333" spans="1:13" x14ac:dyDescent="0.2">
      <c r="B333" s="363"/>
      <c r="G333" s="2903" t="s">
        <v>1496</v>
      </c>
      <c r="H333" s="364"/>
      <c r="K333" s="3266">
        <v>2010</v>
      </c>
      <c r="L333" s="2941">
        <f>B70</f>
        <v>700.9799999999999</v>
      </c>
    </row>
    <row r="334" spans="1:13" x14ac:dyDescent="0.2">
      <c r="B334" s="363"/>
      <c r="G334" s="2905" t="s">
        <v>847</v>
      </c>
      <c r="H334" s="364">
        <v>107.49686422416863</v>
      </c>
      <c r="K334" s="3266">
        <v>2011</v>
      </c>
      <c r="L334" s="2941">
        <f>B88</f>
        <v>1293.8800000000001</v>
      </c>
    </row>
    <row r="335" spans="1:13" x14ac:dyDescent="0.2">
      <c r="B335" s="363"/>
      <c r="G335" s="2905" t="s">
        <v>848</v>
      </c>
      <c r="H335" s="364">
        <v>152.65533517398129</v>
      </c>
      <c r="K335" s="3266">
        <v>2012</v>
      </c>
      <c r="L335" s="2941">
        <f>B106</f>
        <v>1700.91</v>
      </c>
      <c r="M335" s="362"/>
    </row>
    <row r="336" spans="1:13" x14ac:dyDescent="0.2">
      <c r="B336" s="363"/>
      <c r="G336" s="2905" t="s">
        <v>1519</v>
      </c>
      <c r="H336" s="364">
        <v>186.74086869137938</v>
      </c>
      <c r="K336" s="3266">
        <v>2013</v>
      </c>
      <c r="L336" s="2941">
        <f>B124</f>
        <v>563</v>
      </c>
      <c r="M336" s="362"/>
    </row>
    <row r="337" spans="2:13" x14ac:dyDescent="0.2">
      <c r="B337" s="363"/>
      <c r="G337" s="2905" t="s">
        <v>843</v>
      </c>
      <c r="H337" s="364">
        <v>115.74213406959254</v>
      </c>
      <c r="K337" s="3266">
        <v>2014</v>
      </c>
      <c r="L337" s="2941">
        <f>B142</f>
        <v>1950.5000000000002</v>
      </c>
      <c r="M337" s="362"/>
    </row>
    <row r="338" spans="2:13" x14ac:dyDescent="0.2">
      <c r="B338" s="363"/>
      <c r="G338" s="2905" t="s">
        <v>1520</v>
      </c>
      <c r="H338" s="364">
        <v>125.44316009582057</v>
      </c>
      <c r="K338" s="3266">
        <v>2015</v>
      </c>
      <c r="L338" s="2941">
        <f>SUM(B148:B159)</f>
        <v>1872.6070000000002</v>
      </c>
      <c r="M338" s="362"/>
    </row>
    <row r="339" spans="2:13" x14ac:dyDescent="0.2">
      <c r="B339" s="363"/>
      <c r="G339" s="2905" t="s">
        <v>849</v>
      </c>
      <c r="H339" s="364">
        <v>139.00458280888228</v>
      </c>
      <c r="K339" s="3266">
        <v>2016</v>
      </c>
      <c r="L339" s="2941">
        <f>SUM(B166:B177)</f>
        <v>728.35</v>
      </c>
      <c r="M339" s="362"/>
    </row>
    <row r="340" spans="2:13" x14ac:dyDescent="0.2">
      <c r="B340" s="363"/>
      <c r="G340" s="2905" t="s">
        <v>850</v>
      </c>
      <c r="H340" s="364">
        <v>172.77668671388662</v>
      </c>
      <c r="K340" s="3266">
        <v>2017</v>
      </c>
      <c r="L340" s="2941">
        <f>B196</f>
        <v>1378.2349999999999</v>
      </c>
      <c r="M340" s="362"/>
    </row>
    <row r="341" spans="2:13" x14ac:dyDescent="0.2">
      <c r="B341" s="363"/>
      <c r="G341" s="2905" t="s">
        <v>851</v>
      </c>
      <c r="H341" s="364">
        <v>234.21364605758893</v>
      </c>
      <c r="K341" s="3266">
        <v>2018</v>
      </c>
      <c r="L341" s="2941">
        <f>B214</f>
        <v>2230.54</v>
      </c>
      <c r="M341" s="362"/>
    </row>
    <row r="342" spans="2:13" x14ac:dyDescent="0.2">
      <c r="B342" s="363"/>
      <c r="G342" s="2905" t="s">
        <v>961</v>
      </c>
      <c r="H342" s="364">
        <v>220.75280603296056</v>
      </c>
      <c r="K342" s="3266">
        <v>2019</v>
      </c>
      <c r="L342" s="2941">
        <f>B232</f>
        <v>1848.82</v>
      </c>
      <c r="M342" s="362"/>
    </row>
    <row r="343" spans="2:13" x14ac:dyDescent="0.2">
      <c r="B343" s="363"/>
      <c r="G343" s="2905" t="s">
        <v>1521</v>
      </c>
      <c r="H343" s="364">
        <v>157.09769432839317</v>
      </c>
      <c r="K343" s="3266">
        <v>2020</v>
      </c>
      <c r="L343" s="2941">
        <f>B250</f>
        <v>2045.68</v>
      </c>
      <c r="M343" s="362"/>
    </row>
    <row r="344" spans="2:13" x14ac:dyDescent="0.2">
      <c r="B344" s="363"/>
      <c r="G344" s="2905" t="s">
        <v>852</v>
      </c>
      <c r="H344" s="364">
        <v>127.1383379349533</v>
      </c>
      <c r="K344" s="3266">
        <v>2021</v>
      </c>
      <c r="L344" s="2941">
        <f>B268</f>
        <v>1320.4299999999998</v>
      </c>
      <c r="M344" s="362"/>
    </row>
    <row r="345" spans="2:13" x14ac:dyDescent="0.2">
      <c r="B345" s="363"/>
      <c r="G345" s="2905" t="s">
        <v>1522</v>
      </c>
      <c r="H345" s="364">
        <v>142.3949384871477</v>
      </c>
      <c r="K345" s="3266">
        <v>2022</v>
      </c>
      <c r="L345" s="2941">
        <f>B286</f>
        <v>1548.2599999999995</v>
      </c>
      <c r="M345" s="362"/>
    </row>
    <row r="346" spans="2:13" x14ac:dyDescent="0.2">
      <c r="B346" s="363"/>
      <c r="G346" s="2903" t="s">
        <v>1517</v>
      </c>
      <c r="H346" s="364">
        <v>1881.4570546187549</v>
      </c>
      <c r="K346" s="3266">
        <v>2023</v>
      </c>
      <c r="L346" s="2941">
        <f>B304</f>
        <v>1445.0570000000002</v>
      </c>
      <c r="M346" s="362">
        <f>AVERAGE(L341:L345)</f>
        <v>1798.7459999999999</v>
      </c>
    </row>
    <row r="347" spans="2:13" ht="15" thickBot="1" x14ac:dyDescent="0.25">
      <c r="B347" s="363"/>
      <c r="G347"/>
      <c r="H347"/>
      <c r="K347" s="3267">
        <v>2024</v>
      </c>
      <c r="L347" s="3126">
        <f>B322</f>
        <v>107.49686422416866</v>
      </c>
      <c r="M347" s="362">
        <f>AVERAGE(L342:L346)</f>
        <v>1641.6493999999998</v>
      </c>
    </row>
    <row r="348" spans="2:13" ht="15" thickBot="1" x14ac:dyDescent="0.25">
      <c r="B348" s="363"/>
      <c r="G348"/>
      <c r="H348"/>
      <c r="K348" s="857" t="s">
        <v>762</v>
      </c>
      <c r="L348" s="858">
        <f>SUM(L330:L347)</f>
        <v>23258.705864224168</v>
      </c>
      <c r="M348" s="362">
        <f>AVERAGE(L343:L347)</f>
        <v>1293.3847728448336</v>
      </c>
    </row>
    <row r="349" spans="2:13" x14ac:dyDescent="0.2">
      <c r="B349" s="363"/>
      <c r="G349"/>
      <c r="H349"/>
    </row>
    <row r="350" spans="2:13" x14ac:dyDescent="0.2">
      <c r="B350" s="363"/>
      <c r="G350"/>
      <c r="H350"/>
    </row>
    <row r="351" spans="2:13" x14ac:dyDescent="0.2">
      <c r="B351" s="363"/>
      <c r="G351"/>
      <c r="H351"/>
    </row>
    <row r="352" spans="2:13" x14ac:dyDescent="0.2">
      <c r="B352" s="363"/>
      <c r="G352"/>
      <c r="H352"/>
    </row>
    <row r="353" spans="2:8" x14ac:dyDescent="0.2">
      <c r="B353" s="363"/>
      <c r="G353"/>
      <c r="H353"/>
    </row>
    <row r="354" spans="2:8" x14ac:dyDescent="0.2">
      <c r="B354" s="363"/>
      <c r="G354"/>
      <c r="H354"/>
    </row>
    <row r="355" spans="2:8" x14ac:dyDescent="0.2">
      <c r="G355"/>
      <c r="H355"/>
    </row>
    <row r="356" spans="2:8" x14ac:dyDescent="0.2">
      <c r="G356"/>
      <c r="H356"/>
    </row>
    <row r="357" spans="2:8" x14ac:dyDescent="0.2">
      <c r="G357"/>
      <c r="H357"/>
    </row>
    <row r="358" spans="2:8" x14ac:dyDescent="0.2">
      <c r="G358"/>
      <c r="H358"/>
    </row>
    <row r="359" spans="2:8" x14ac:dyDescent="0.2">
      <c r="G359"/>
      <c r="H359"/>
    </row>
  </sheetData>
  <sheetProtection selectLockedCells="1" selectUnlockedCells="1"/>
  <mergeCells count="19">
    <mergeCell ref="A91:B91"/>
    <mergeCell ref="A1:B1"/>
    <mergeCell ref="A19:B19"/>
    <mergeCell ref="A37:B37"/>
    <mergeCell ref="A55:B55"/>
    <mergeCell ref="A73:B73"/>
    <mergeCell ref="A109:B109"/>
    <mergeCell ref="A127:B127"/>
    <mergeCell ref="A145:B145"/>
    <mergeCell ref="A217:B217"/>
    <mergeCell ref="A199:B199"/>
    <mergeCell ref="A253:B253"/>
    <mergeCell ref="K327:L327"/>
    <mergeCell ref="A181:B181"/>
    <mergeCell ref="A163:B163"/>
    <mergeCell ref="A235:B235"/>
    <mergeCell ref="A271:B271"/>
    <mergeCell ref="A289:B289"/>
    <mergeCell ref="A307:B307"/>
  </mergeCells>
  <conditionalFormatting sqref="L330:L347">
    <cfRule type="colorScale" priority="1">
      <colorScale>
        <cfvo type="min"/>
        <cfvo type="percentile" val="50"/>
        <cfvo type="max"/>
        <color rgb="FF63BE7B"/>
        <color rgb="FFFFEB84"/>
        <color rgb="FFF8696B"/>
      </colorScale>
    </cfRule>
  </conditionalFormatting>
  <pageMargins left="0.78749999999999998" right="0.78749999999999998" top="0.78749999999999998" bottom="0.78749999999999998" header="0.51180555555555551" footer="0.51180555555555551"/>
  <pageSetup paperSize="9" firstPageNumber="0" orientation="landscape" horizontalDpi="300" verticalDpi="300" r:id="rId2"/>
  <ignoredErrors>
    <ignoredError sqref="A184:B203 A148:B175 A1:B140" formulaRange="1"/>
  </ignoredErrors>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FFA62-E5B3-7D48-8503-D90675FD73A1}">
  <dimension ref="B3:F17"/>
  <sheetViews>
    <sheetView workbookViewId="0">
      <selection activeCell="K37" sqref="K37"/>
    </sheetView>
  </sheetViews>
  <sheetFormatPr baseColWidth="10" defaultColWidth="10.83203125" defaultRowHeight="13" x14ac:dyDescent="0.15"/>
  <cols>
    <col min="1" max="1" width="4.83203125" customWidth="1"/>
    <col min="2" max="2" width="13.83203125" bestFit="1" customWidth="1"/>
    <col min="3" max="3" width="15.1640625" bestFit="1" customWidth="1"/>
    <col min="4" max="6" width="5.1640625" bestFit="1" customWidth="1"/>
    <col min="7" max="7" width="10.33203125" bestFit="1" customWidth="1"/>
    <col min="8" max="10" width="13.83203125" bestFit="1" customWidth="1"/>
    <col min="11" max="15" width="21.33203125" bestFit="1" customWidth="1"/>
    <col min="16" max="16" width="20.5" bestFit="1" customWidth="1"/>
    <col min="17" max="17" width="22.6640625" bestFit="1" customWidth="1"/>
    <col min="18" max="18" width="4.1640625" bestFit="1" customWidth="1"/>
    <col min="19" max="19" width="4" bestFit="1" customWidth="1"/>
    <col min="20" max="20" width="6.6640625" bestFit="1" customWidth="1"/>
    <col min="21" max="21" width="3.83203125" bestFit="1" customWidth="1"/>
    <col min="22" max="22" width="4" bestFit="1" customWidth="1"/>
    <col min="23" max="23" width="6.6640625" bestFit="1" customWidth="1"/>
    <col min="24" max="25" width="4.33203125" bestFit="1" customWidth="1"/>
    <col min="26" max="26" width="6.6640625" bestFit="1" customWidth="1"/>
    <col min="27" max="28" width="4.1640625" bestFit="1" customWidth="1"/>
    <col min="29" max="29" width="7" bestFit="1" customWidth="1"/>
    <col min="30" max="30" width="4.1640625" bestFit="1" customWidth="1"/>
    <col min="31" max="31" width="4" bestFit="1" customWidth="1"/>
    <col min="32" max="32" width="6.6640625" bestFit="1" customWidth="1"/>
    <col min="33" max="33" width="3.83203125" bestFit="1" customWidth="1"/>
    <col min="34" max="34" width="4.1640625" bestFit="1" customWidth="1"/>
    <col min="35" max="35" width="6.6640625" bestFit="1" customWidth="1"/>
    <col min="36" max="37" width="4.33203125" bestFit="1" customWidth="1"/>
    <col min="38" max="38" width="6.6640625" bestFit="1" customWidth="1"/>
    <col min="39" max="40" width="4.1640625" bestFit="1" customWidth="1"/>
    <col min="41" max="41" width="7" bestFit="1" customWidth="1"/>
    <col min="42" max="42" width="4.1640625" bestFit="1" customWidth="1"/>
    <col min="43" max="43" width="4" bestFit="1" customWidth="1"/>
    <col min="44" max="44" width="6.6640625" bestFit="1" customWidth="1"/>
    <col min="45" max="45" width="3.83203125" bestFit="1" customWidth="1"/>
    <col min="46" max="46" width="4" bestFit="1" customWidth="1"/>
    <col min="47" max="47" width="6.6640625" bestFit="1" customWidth="1"/>
    <col min="48" max="49" width="4.33203125" bestFit="1" customWidth="1"/>
    <col min="50" max="50" width="6.6640625" bestFit="1" customWidth="1"/>
    <col min="51" max="52" width="4.1640625" bestFit="1" customWidth="1"/>
    <col min="53" max="53" width="7" bestFit="1" customWidth="1"/>
    <col min="54" max="54" width="4.1640625" bestFit="1" customWidth="1"/>
    <col min="55" max="55" width="4" bestFit="1" customWidth="1"/>
    <col min="56" max="56" width="6.6640625" bestFit="1" customWidth="1"/>
    <col min="57" max="57" width="3.83203125" bestFit="1" customWidth="1"/>
    <col min="58" max="58" width="4" bestFit="1" customWidth="1"/>
    <col min="59" max="59" width="6.6640625" bestFit="1" customWidth="1"/>
    <col min="60" max="61" width="4.33203125" bestFit="1" customWidth="1"/>
    <col min="62" max="62" width="6.6640625" bestFit="1" customWidth="1"/>
    <col min="63" max="64" width="4.1640625" bestFit="1" customWidth="1"/>
    <col min="65" max="65" width="7" bestFit="1" customWidth="1"/>
    <col min="66" max="66" width="13.83203125" bestFit="1" customWidth="1"/>
  </cols>
  <sheetData>
    <row r="3" spans="2:6" x14ac:dyDescent="0.15">
      <c r="B3" s="366" t="s">
        <v>954</v>
      </c>
      <c r="C3" s="366" t="s">
        <v>1518</v>
      </c>
    </row>
    <row r="4" spans="2:6" x14ac:dyDescent="0.15">
      <c r="B4" s="366" t="s">
        <v>1516</v>
      </c>
      <c r="C4" s="2901" t="s">
        <v>905</v>
      </c>
      <c r="D4" t="s">
        <v>952</v>
      </c>
      <c r="E4" t="s">
        <v>973</v>
      </c>
      <c r="F4" t="s">
        <v>1496</v>
      </c>
    </row>
    <row r="5" spans="2:6" x14ac:dyDescent="0.15">
      <c r="B5" s="367" t="s">
        <v>847</v>
      </c>
      <c r="C5" s="3642">
        <v>620</v>
      </c>
      <c r="D5" s="3642">
        <v>694</v>
      </c>
      <c r="E5" s="3642">
        <v>285</v>
      </c>
      <c r="F5" s="3642">
        <v>148</v>
      </c>
    </row>
    <row r="6" spans="2:6" x14ac:dyDescent="0.15">
      <c r="B6" s="367" t="s">
        <v>848</v>
      </c>
      <c r="C6" s="3642">
        <v>542</v>
      </c>
      <c r="D6" s="3642">
        <v>865</v>
      </c>
      <c r="E6" s="3642">
        <v>404</v>
      </c>
      <c r="F6" s="3642"/>
    </row>
    <row r="7" spans="2:6" x14ac:dyDescent="0.15">
      <c r="B7" s="367" t="s">
        <v>1519</v>
      </c>
      <c r="C7" s="3642">
        <v>584</v>
      </c>
      <c r="D7" s="3642">
        <v>1708</v>
      </c>
      <c r="E7" s="3642">
        <v>255</v>
      </c>
      <c r="F7" s="3642"/>
    </row>
    <row r="8" spans="2:6" x14ac:dyDescent="0.15">
      <c r="B8" s="367" t="s">
        <v>843</v>
      </c>
      <c r="C8" s="3642">
        <v>360</v>
      </c>
      <c r="D8" s="3642">
        <v>735</v>
      </c>
      <c r="E8" s="3642">
        <v>488</v>
      </c>
      <c r="F8" s="3642"/>
    </row>
    <row r="9" spans="2:6" x14ac:dyDescent="0.15">
      <c r="B9" s="367" t="s">
        <v>1520</v>
      </c>
      <c r="C9" s="3642">
        <v>748</v>
      </c>
      <c r="D9" s="3642">
        <v>495</v>
      </c>
      <c r="E9" s="3642">
        <v>573</v>
      </c>
      <c r="F9" s="3642"/>
    </row>
    <row r="10" spans="2:6" x14ac:dyDescent="0.15">
      <c r="B10" s="367" t="s">
        <v>849</v>
      </c>
      <c r="C10" s="3642">
        <v>203</v>
      </c>
      <c r="D10" s="3642">
        <v>1102</v>
      </c>
      <c r="E10" s="3642">
        <v>822</v>
      </c>
      <c r="F10" s="3642"/>
    </row>
    <row r="11" spans="2:6" x14ac:dyDescent="0.15">
      <c r="B11" s="367" t="s">
        <v>850</v>
      </c>
      <c r="C11" s="3642">
        <v>84</v>
      </c>
      <c r="D11" s="3642">
        <v>807</v>
      </c>
      <c r="E11" s="3642">
        <v>447</v>
      </c>
      <c r="F11" s="3642"/>
    </row>
    <row r="12" spans="2:6" x14ac:dyDescent="0.15">
      <c r="B12" s="367" t="s">
        <v>851</v>
      </c>
      <c r="C12" s="3642">
        <v>339</v>
      </c>
      <c r="D12" s="3642">
        <v>1073</v>
      </c>
      <c r="E12" s="3642">
        <v>675</v>
      </c>
      <c r="F12" s="3642"/>
    </row>
    <row r="13" spans="2:6" x14ac:dyDescent="0.15">
      <c r="B13" s="367" t="s">
        <v>961</v>
      </c>
      <c r="C13" s="3642">
        <v>1011</v>
      </c>
      <c r="D13" s="3642">
        <v>268</v>
      </c>
      <c r="E13" s="3642">
        <v>1021</v>
      </c>
      <c r="F13" s="3642"/>
    </row>
    <row r="14" spans="2:6" x14ac:dyDescent="0.15">
      <c r="B14" s="367" t="s">
        <v>1521</v>
      </c>
      <c r="C14" s="3642">
        <v>143</v>
      </c>
      <c r="D14" s="3642">
        <v>108</v>
      </c>
      <c r="E14" s="3642">
        <v>469</v>
      </c>
      <c r="F14" s="3642"/>
    </row>
    <row r="15" spans="2:6" x14ac:dyDescent="0.15">
      <c r="B15" s="367" t="s">
        <v>852</v>
      </c>
      <c r="C15" s="3642">
        <v>302</v>
      </c>
      <c r="D15" s="3642">
        <v>173</v>
      </c>
      <c r="E15" s="3642">
        <v>32</v>
      </c>
      <c r="F15" s="3642"/>
    </row>
    <row r="16" spans="2:6" x14ac:dyDescent="0.15">
      <c r="B16" s="367" t="s">
        <v>1522</v>
      </c>
      <c r="C16" s="3642">
        <v>364</v>
      </c>
      <c r="D16" s="3642">
        <v>271</v>
      </c>
      <c r="E16" s="3642">
        <v>61</v>
      </c>
      <c r="F16" s="3642"/>
    </row>
    <row r="17" spans="2:6" x14ac:dyDescent="0.15">
      <c r="B17" s="367" t="s">
        <v>1517</v>
      </c>
      <c r="C17" s="3642">
        <v>5300</v>
      </c>
      <c r="D17" s="3642">
        <v>8299</v>
      </c>
      <c r="E17" s="3642">
        <v>5532</v>
      </c>
      <c r="F17" s="3642">
        <v>148</v>
      </c>
    </row>
  </sheetData>
  <pageMargins left="0.7" right="0.7" top="0.78740157499999996" bottom="0.78740157499999996"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7D97A-E52B-FF44-B49E-B33E53CF74DF}">
  <dimension ref="A1:M533"/>
  <sheetViews>
    <sheetView workbookViewId="0">
      <pane ySplit="1" topLeftCell="A2" activePane="bottomLeft" state="frozen"/>
      <selection pane="bottomLeft" activeCell="N126" sqref="N126"/>
    </sheetView>
  </sheetViews>
  <sheetFormatPr baseColWidth="10" defaultColWidth="10.83203125" defaultRowHeight="16" x14ac:dyDescent="0.2"/>
  <cols>
    <col min="1" max="1" width="4.1640625" style="3147" bestFit="1" customWidth="1"/>
    <col min="2" max="2" width="12.1640625" style="3167" bestFit="1" customWidth="1"/>
    <col min="3" max="3" width="23.83203125" style="3147" bestFit="1" customWidth="1"/>
    <col min="4" max="4" width="5.6640625" style="3147" bestFit="1" customWidth="1"/>
    <col min="5" max="5" width="7.33203125" style="3147" bestFit="1" customWidth="1"/>
    <col min="6" max="6" width="6" style="3168" bestFit="1" customWidth="1"/>
    <col min="7" max="8" width="10.83203125" style="3147"/>
    <col min="9" max="9" width="5.83203125" style="3147" bestFit="1" customWidth="1"/>
    <col min="10" max="10" width="3.1640625" style="3147" bestFit="1" customWidth="1"/>
    <col min="11" max="11" width="5.33203125" style="3147" bestFit="1" customWidth="1"/>
    <col min="12" max="12" width="3.1640625" style="3147" bestFit="1" customWidth="1"/>
    <col min="13" max="13" width="5.1640625" style="3147" bestFit="1" customWidth="1"/>
    <col min="14" max="16384" width="10.83203125" style="3147"/>
  </cols>
  <sheetData>
    <row r="1" spans="1:13" ht="17" thickBot="1" x14ac:dyDescent="0.25">
      <c r="A1" s="3373" t="s">
        <v>664</v>
      </c>
      <c r="B1" s="3374" t="s">
        <v>982</v>
      </c>
      <c r="C1" s="3375" t="s">
        <v>983</v>
      </c>
      <c r="D1" s="3375" t="s">
        <v>984</v>
      </c>
      <c r="E1" s="3375" t="s">
        <v>236</v>
      </c>
      <c r="F1" s="3372" t="s">
        <v>985</v>
      </c>
      <c r="G1" s="3378" t="s">
        <v>1511</v>
      </c>
      <c r="H1" s="3385" t="s">
        <v>1512</v>
      </c>
      <c r="K1" s="3359" t="s">
        <v>229</v>
      </c>
      <c r="L1" s="3148">
        <f>COUNTIF(F1:F532,F3)</f>
        <v>17</v>
      </c>
      <c r="M1" s="3207">
        <f>L1/A533</f>
        <v>3.2015065913370999E-2</v>
      </c>
    </row>
    <row r="2" spans="1:13" x14ac:dyDescent="0.2">
      <c r="A2" s="3219">
        <v>1</v>
      </c>
      <c r="B2" s="3210">
        <v>2353045928</v>
      </c>
      <c r="C2" s="3149" t="s">
        <v>986</v>
      </c>
      <c r="D2" s="3149">
        <v>323</v>
      </c>
      <c r="E2" s="3150">
        <v>5</v>
      </c>
      <c r="F2" s="3360" t="s">
        <v>411</v>
      </c>
      <c r="G2" s="3382">
        <v>489235396</v>
      </c>
      <c r="H2" s="3379">
        <v>126035176</v>
      </c>
    </row>
    <row r="3" spans="1:13" ht="17" thickBot="1" x14ac:dyDescent="0.25">
      <c r="A3" s="3223">
        <v>1</v>
      </c>
      <c r="B3" s="3211">
        <v>846163246</v>
      </c>
      <c r="C3" s="3151" t="s">
        <v>987</v>
      </c>
      <c r="D3" s="3151">
        <v>432</v>
      </c>
      <c r="E3" s="3152">
        <v>5</v>
      </c>
      <c r="F3" s="3361" t="s">
        <v>411</v>
      </c>
      <c r="G3" s="3398">
        <v>489020427</v>
      </c>
      <c r="H3" s="3399">
        <v>126969849</v>
      </c>
    </row>
    <row r="4" spans="1:13" ht="17" thickBot="1" x14ac:dyDescent="0.25">
      <c r="A4" s="3224">
        <v>1</v>
      </c>
      <c r="B4" s="3212">
        <v>3431111121</v>
      </c>
      <c r="C4" s="3153" t="s">
        <v>988</v>
      </c>
      <c r="D4" s="3153">
        <v>410</v>
      </c>
      <c r="E4" s="3154">
        <v>10</v>
      </c>
      <c r="F4" s="3362" t="s">
        <v>411</v>
      </c>
      <c r="G4" s="3402">
        <v>489691622</v>
      </c>
      <c r="H4" s="3403">
        <v>126820345</v>
      </c>
    </row>
    <row r="5" spans="1:13" x14ac:dyDescent="0.2">
      <c r="A5" s="3222">
        <v>1</v>
      </c>
      <c r="B5" s="3210">
        <v>9920801944</v>
      </c>
      <c r="C5" s="3149" t="s">
        <v>989</v>
      </c>
      <c r="D5" s="3149">
        <v>468</v>
      </c>
      <c r="E5" s="3150">
        <v>15</v>
      </c>
      <c r="F5" s="3363" t="s">
        <v>411</v>
      </c>
      <c r="G5" s="3400">
        <v>489800149</v>
      </c>
      <c r="H5" s="3401">
        <v>127122376</v>
      </c>
    </row>
    <row r="6" spans="1:13" x14ac:dyDescent="0.2">
      <c r="A6" s="3220">
        <v>1</v>
      </c>
      <c r="B6" s="3213">
        <v>9921378786</v>
      </c>
      <c r="C6" s="3155" t="s">
        <v>990</v>
      </c>
      <c r="D6" s="3155">
        <v>477</v>
      </c>
      <c r="E6" s="3156">
        <v>15</v>
      </c>
      <c r="F6" s="3364"/>
      <c r="G6" s="3383">
        <v>490106303</v>
      </c>
      <c r="H6" s="3380">
        <v>126761641</v>
      </c>
    </row>
    <row r="7" spans="1:13" x14ac:dyDescent="0.2">
      <c r="A7" s="3220">
        <v>1</v>
      </c>
      <c r="B7" s="3213">
        <v>9920600097</v>
      </c>
      <c r="C7" s="3155" t="s">
        <v>991</v>
      </c>
      <c r="D7" s="3155">
        <v>481</v>
      </c>
      <c r="E7" s="3156">
        <v>15</v>
      </c>
      <c r="F7" s="3365" t="s">
        <v>411</v>
      </c>
      <c r="G7" s="3383">
        <v>489873931</v>
      </c>
      <c r="H7" s="3380">
        <v>127032577</v>
      </c>
    </row>
    <row r="8" spans="1:13" x14ac:dyDescent="0.2">
      <c r="A8" s="3220">
        <v>1</v>
      </c>
      <c r="B8" s="3213">
        <v>3031511861</v>
      </c>
      <c r="C8" s="3155" t="s">
        <v>992</v>
      </c>
      <c r="D8" s="3155">
        <v>525</v>
      </c>
      <c r="E8" s="3156">
        <v>15</v>
      </c>
      <c r="F8" s="3364"/>
      <c r="G8" s="3383">
        <v>489995899</v>
      </c>
      <c r="H8" s="3380">
        <v>125972608</v>
      </c>
    </row>
    <row r="9" spans="1:13" x14ac:dyDescent="0.2">
      <c r="A9" s="3220">
        <v>1</v>
      </c>
      <c r="B9" s="3214">
        <v>7280161690</v>
      </c>
      <c r="C9" s="3157" t="s">
        <v>993</v>
      </c>
      <c r="D9" s="3157">
        <v>593</v>
      </c>
      <c r="E9" s="3158">
        <v>15</v>
      </c>
      <c r="F9" s="3366" t="s">
        <v>411</v>
      </c>
      <c r="G9" s="3383">
        <v>489578661</v>
      </c>
      <c r="H9" s="3380">
        <v>127586805</v>
      </c>
    </row>
    <row r="10" spans="1:13" x14ac:dyDescent="0.2">
      <c r="A10" s="3220">
        <v>1</v>
      </c>
      <c r="B10" s="3213">
        <v>2983633075</v>
      </c>
      <c r="C10" s="3155" t="s">
        <v>994</v>
      </c>
      <c r="D10" s="3155">
        <v>614</v>
      </c>
      <c r="E10" s="3156">
        <v>15</v>
      </c>
      <c r="F10" s="3364" t="s">
        <v>411</v>
      </c>
      <c r="G10" s="3383">
        <v>489791330</v>
      </c>
      <c r="H10" s="3380">
        <v>127852738</v>
      </c>
    </row>
    <row r="11" spans="1:13" x14ac:dyDescent="0.2">
      <c r="A11" s="3220">
        <v>1</v>
      </c>
      <c r="B11" s="3213">
        <v>3086835031</v>
      </c>
      <c r="C11" s="3155" t="s">
        <v>995</v>
      </c>
      <c r="D11" s="3155"/>
      <c r="E11" s="3156">
        <v>15</v>
      </c>
      <c r="F11" s="3364"/>
      <c r="G11" s="3383">
        <v>489329853</v>
      </c>
      <c r="H11" s="3380">
        <v>128292497</v>
      </c>
    </row>
    <row r="12" spans="1:13" ht="17" thickBot="1" x14ac:dyDescent="0.25">
      <c r="A12" s="3221">
        <v>1</v>
      </c>
      <c r="B12" s="3215">
        <v>3802079605</v>
      </c>
      <c r="C12" s="3159" t="s">
        <v>996</v>
      </c>
      <c r="D12" s="3159"/>
      <c r="E12" s="3160">
        <v>15</v>
      </c>
      <c r="F12" s="3367"/>
      <c r="G12" s="3384">
        <v>490139967</v>
      </c>
      <c r="H12" s="3381">
        <v>126004989</v>
      </c>
    </row>
    <row r="13" spans="1:13" x14ac:dyDescent="0.2">
      <c r="A13" s="3222">
        <v>1</v>
      </c>
      <c r="B13" s="3216">
        <v>2366970862</v>
      </c>
      <c r="C13" s="3161" t="s">
        <v>997</v>
      </c>
      <c r="D13" s="3161">
        <v>510</v>
      </c>
      <c r="E13" s="3162">
        <v>20</v>
      </c>
      <c r="F13" s="3368"/>
      <c r="G13" s="3400">
        <v>490059544</v>
      </c>
      <c r="H13" s="3401">
        <v>124283247</v>
      </c>
    </row>
    <row r="14" spans="1:13" x14ac:dyDescent="0.2">
      <c r="A14" s="3220">
        <v>1</v>
      </c>
      <c r="B14" s="3213">
        <v>1799419331</v>
      </c>
      <c r="C14" s="3155" t="s">
        <v>998</v>
      </c>
      <c r="D14" s="3155">
        <v>569</v>
      </c>
      <c r="E14" s="3156">
        <v>20</v>
      </c>
      <c r="F14" s="3364"/>
      <c r="G14" s="3383">
        <v>489132501</v>
      </c>
      <c r="H14" s="3380">
        <v>128986333</v>
      </c>
    </row>
    <row r="15" spans="1:13" x14ac:dyDescent="0.2">
      <c r="A15" s="3220">
        <v>1</v>
      </c>
      <c r="B15" s="3213">
        <v>5082450213</v>
      </c>
      <c r="C15" s="3155" t="s">
        <v>999</v>
      </c>
      <c r="D15" s="3155">
        <v>602</v>
      </c>
      <c r="E15" s="3156">
        <v>20</v>
      </c>
      <c r="F15" s="3364"/>
      <c r="G15" s="3383">
        <v>490601119</v>
      </c>
      <c r="H15" s="3380">
        <v>126086160</v>
      </c>
    </row>
    <row r="16" spans="1:13" x14ac:dyDescent="0.2">
      <c r="A16" s="3220">
        <v>1</v>
      </c>
      <c r="B16" s="3213">
        <v>5092616675</v>
      </c>
      <c r="C16" s="3155" t="s">
        <v>1000</v>
      </c>
      <c r="D16" s="3155">
        <v>615</v>
      </c>
      <c r="E16" s="3156">
        <v>20</v>
      </c>
      <c r="F16" s="3364"/>
      <c r="G16" s="3383">
        <v>490581381</v>
      </c>
      <c r="H16" s="3380">
        <v>126800738</v>
      </c>
    </row>
    <row r="17" spans="1:8" x14ac:dyDescent="0.2">
      <c r="A17" s="3220">
        <v>1</v>
      </c>
      <c r="B17" s="3213">
        <v>5082450209</v>
      </c>
      <c r="C17" s="3155" t="s">
        <v>1001</v>
      </c>
      <c r="D17" s="3155">
        <v>619</v>
      </c>
      <c r="E17" s="3156">
        <v>20</v>
      </c>
      <c r="F17" s="3364"/>
      <c r="G17" s="3383">
        <v>490355836</v>
      </c>
      <c r="H17" s="3380">
        <v>126117460</v>
      </c>
    </row>
    <row r="18" spans="1:8" x14ac:dyDescent="0.2">
      <c r="A18" s="3220">
        <v>1</v>
      </c>
      <c r="B18" s="3213">
        <v>5082450210</v>
      </c>
      <c r="C18" s="3155" t="s">
        <v>1002</v>
      </c>
      <c r="D18" s="3155">
        <v>624</v>
      </c>
      <c r="E18" s="3156">
        <v>20</v>
      </c>
      <c r="F18" s="3364"/>
      <c r="G18" s="3383">
        <v>490380994</v>
      </c>
      <c r="H18" s="3380">
        <v>126088865</v>
      </c>
    </row>
    <row r="19" spans="1:8" x14ac:dyDescent="0.2">
      <c r="A19" s="3220">
        <v>1</v>
      </c>
      <c r="B19" s="3213">
        <v>5082450204</v>
      </c>
      <c r="C19" s="3155" t="s">
        <v>1003</v>
      </c>
      <c r="D19" s="3155">
        <v>632</v>
      </c>
      <c r="E19" s="3156">
        <v>20</v>
      </c>
      <c r="F19" s="3364"/>
      <c r="G19" s="3383">
        <v>490162402</v>
      </c>
      <c r="H19" s="3380">
        <v>125500206</v>
      </c>
    </row>
    <row r="20" spans="1:8" x14ac:dyDescent="0.2">
      <c r="A20" s="3220">
        <v>1</v>
      </c>
      <c r="B20" s="3213">
        <v>5082450211</v>
      </c>
      <c r="C20" s="3155" t="s">
        <v>1004</v>
      </c>
      <c r="D20" s="3155">
        <v>652</v>
      </c>
      <c r="E20" s="3156">
        <v>20</v>
      </c>
      <c r="F20" s="3364"/>
      <c r="G20" s="3383">
        <v>490480666</v>
      </c>
      <c r="H20" s="3380">
        <v>126064745</v>
      </c>
    </row>
    <row r="21" spans="1:8" x14ac:dyDescent="0.2">
      <c r="A21" s="3220">
        <v>1</v>
      </c>
      <c r="B21" s="3213">
        <v>5086538075</v>
      </c>
      <c r="C21" s="3155" t="s">
        <v>1005</v>
      </c>
      <c r="D21" s="3155">
        <v>655</v>
      </c>
      <c r="E21" s="3156">
        <v>20</v>
      </c>
      <c r="F21" s="3364"/>
      <c r="G21" s="3383">
        <v>490373536</v>
      </c>
      <c r="H21" s="3380">
        <v>125883221</v>
      </c>
    </row>
    <row r="22" spans="1:8" x14ac:dyDescent="0.2">
      <c r="A22" s="3220">
        <v>1</v>
      </c>
      <c r="B22" s="3213">
        <v>1417936143</v>
      </c>
      <c r="C22" s="3155" t="s">
        <v>1006</v>
      </c>
      <c r="D22" s="3155">
        <v>679</v>
      </c>
      <c r="E22" s="3156">
        <v>20</v>
      </c>
      <c r="F22" s="3364"/>
      <c r="G22" s="3383">
        <v>490345779</v>
      </c>
      <c r="H22" s="3380">
        <v>125811028</v>
      </c>
    </row>
    <row r="23" spans="1:8" x14ac:dyDescent="0.2">
      <c r="A23" s="3220">
        <v>1</v>
      </c>
      <c r="B23" s="3213">
        <v>5086538074</v>
      </c>
      <c r="C23" s="3155" t="s">
        <v>1007</v>
      </c>
      <c r="D23" s="3155">
        <v>684</v>
      </c>
      <c r="E23" s="3156">
        <v>20</v>
      </c>
      <c r="F23" s="3364"/>
      <c r="G23" s="3383">
        <v>490479125</v>
      </c>
      <c r="H23" s="3380">
        <v>126952280</v>
      </c>
    </row>
    <row r="24" spans="1:8" x14ac:dyDescent="0.2">
      <c r="A24" s="3220">
        <v>1</v>
      </c>
      <c r="B24" s="3213">
        <v>5082450208</v>
      </c>
      <c r="C24" s="3155" t="s">
        <v>1008</v>
      </c>
      <c r="D24" s="3155">
        <v>687</v>
      </c>
      <c r="E24" s="3156">
        <v>20</v>
      </c>
      <c r="F24" s="3364"/>
      <c r="G24" s="3383">
        <v>490481480</v>
      </c>
      <c r="H24" s="3380">
        <v>125903096</v>
      </c>
    </row>
    <row r="25" spans="1:8" x14ac:dyDescent="0.2">
      <c r="A25" s="3220">
        <v>1</v>
      </c>
      <c r="B25" s="3213">
        <v>5082450212</v>
      </c>
      <c r="C25" s="3155" t="s">
        <v>1009</v>
      </c>
      <c r="D25" s="3155">
        <v>688</v>
      </c>
      <c r="E25" s="3156">
        <v>20</v>
      </c>
      <c r="F25" s="3364"/>
      <c r="G25" s="3383">
        <v>490527503</v>
      </c>
      <c r="H25" s="3380">
        <v>125988915</v>
      </c>
    </row>
    <row r="26" spans="1:8" x14ac:dyDescent="0.2">
      <c r="A26" s="3220">
        <v>1</v>
      </c>
      <c r="B26" s="3213">
        <v>5082450207</v>
      </c>
      <c r="C26" s="3155" t="s">
        <v>1010</v>
      </c>
      <c r="D26" s="3155">
        <v>696</v>
      </c>
      <c r="E26" s="3156">
        <v>20</v>
      </c>
      <c r="F26" s="3364"/>
      <c r="G26" s="3383">
        <v>490520746</v>
      </c>
      <c r="H26" s="3380">
        <v>125630933</v>
      </c>
    </row>
    <row r="27" spans="1:8" x14ac:dyDescent="0.2">
      <c r="A27" s="3220">
        <v>1</v>
      </c>
      <c r="B27" s="3213">
        <v>5082450205</v>
      </c>
      <c r="C27" s="3155" t="s">
        <v>1011</v>
      </c>
      <c r="D27" s="3155">
        <v>698</v>
      </c>
      <c r="E27" s="3156">
        <v>20</v>
      </c>
      <c r="F27" s="3364"/>
      <c r="G27" s="3383">
        <v>490106589</v>
      </c>
      <c r="H27" s="3380">
        <v>125179149</v>
      </c>
    </row>
    <row r="28" spans="1:8" x14ac:dyDescent="0.2">
      <c r="A28" s="3220">
        <v>1</v>
      </c>
      <c r="B28" s="3213">
        <v>5082450206</v>
      </c>
      <c r="C28" s="3155" t="s">
        <v>1011</v>
      </c>
      <c r="D28" s="3155">
        <v>703</v>
      </c>
      <c r="E28" s="3156">
        <v>20</v>
      </c>
      <c r="F28" s="3364"/>
      <c r="G28" s="3383">
        <v>490139059</v>
      </c>
      <c r="H28" s="3380">
        <v>125194630</v>
      </c>
    </row>
    <row r="29" spans="1:8" x14ac:dyDescent="0.2">
      <c r="A29" s="3220">
        <v>1</v>
      </c>
      <c r="B29" s="3213">
        <v>5086538073</v>
      </c>
      <c r="C29" s="3155" t="s">
        <v>1012</v>
      </c>
      <c r="D29" s="3155">
        <v>704</v>
      </c>
      <c r="E29" s="3156">
        <v>20</v>
      </c>
      <c r="F29" s="3364"/>
      <c r="G29" s="3383">
        <v>490480486</v>
      </c>
      <c r="H29" s="3380">
        <v>126840361</v>
      </c>
    </row>
    <row r="30" spans="1:8" x14ac:dyDescent="0.2">
      <c r="A30" s="3220">
        <v>1</v>
      </c>
      <c r="B30" s="3213">
        <v>1420723116</v>
      </c>
      <c r="C30" s="3155" t="s">
        <v>1013</v>
      </c>
      <c r="D30" s="3155">
        <v>709</v>
      </c>
      <c r="E30" s="3156">
        <v>20</v>
      </c>
      <c r="F30" s="3364"/>
      <c r="G30" s="3383">
        <v>490485375</v>
      </c>
      <c r="H30" s="3380">
        <v>126775127</v>
      </c>
    </row>
    <row r="31" spans="1:8" x14ac:dyDescent="0.2">
      <c r="A31" s="3220">
        <v>1</v>
      </c>
      <c r="B31" s="3213">
        <v>1407494789</v>
      </c>
      <c r="C31" s="3155" t="s">
        <v>1014</v>
      </c>
      <c r="D31" s="3155">
        <v>721</v>
      </c>
      <c r="E31" s="3156">
        <v>20</v>
      </c>
      <c r="F31" s="3364"/>
      <c r="G31" s="3383">
        <v>489316446</v>
      </c>
      <c r="H31" s="3380">
        <v>128546924</v>
      </c>
    </row>
    <row r="32" spans="1:8" x14ac:dyDescent="0.2">
      <c r="A32" s="3220">
        <v>1</v>
      </c>
      <c r="B32" s="3213">
        <v>9951402030</v>
      </c>
      <c r="C32" s="3155" t="s">
        <v>1015</v>
      </c>
      <c r="D32" s="3155">
        <v>724</v>
      </c>
      <c r="E32" s="3156">
        <v>20</v>
      </c>
      <c r="F32" s="3364"/>
      <c r="G32" s="3383">
        <v>490129421</v>
      </c>
      <c r="H32" s="3380">
        <v>127391646</v>
      </c>
    </row>
    <row r="33" spans="1:8" x14ac:dyDescent="0.2">
      <c r="A33" s="3220">
        <v>1</v>
      </c>
      <c r="B33" s="3213">
        <v>9951402029</v>
      </c>
      <c r="C33" s="3155" t="s">
        <v>1016</v>
      </c>
      <c r="D33" s="3155">
        <v>728</v>
      </c>
      <c r="E33" s="3156">
        <v>20</v>
      </c>
      <c r="F33" s="3364"/>
      <c r="G33" s="3383">
        <v>490157295</v>
      </c>
      <c r="H33" s="3380">
        <v>127366707</v>
      </c>
    </row>
    <row r="34" spans="1:8" x14ac:dyDescent="0.2">
      <c r="A34" s="3220">
        <v>1</v>
      </c>
      <c r="B34" s="3213">
        <v>1417936137</v>
      </c>
      <c r="C34" s="3155" t="s">
        <v>1017</v>
      </c>
      <c r="D34" s="3155">
        <v>740</v>
      </c>
      <c r="E34" s="3156">
        <v>20</v>
      </c>
      <c r="F34" s="3364"/>
      <c r="G34" s="3383">
        <v>490267300</v>
      </c>
      <c r="H34" s="3380">
        <v>125536376</v>
      </c>
    </row>
    <row r="35" spans="1:8" x14ac:dyDescent="0.2">
      <c r="A35" s="3220">
        <v>1</v>
      </c>
      <c r="B35" s="3213">
        <v>8532601693</v>
      </c>
      <c r="C35" s="3155" t="s">
        <v>1018</v>
      </c>
      <c r="D35" s="3155">
        <v>814</v>
      </c>
      <c r="E35" s="3156">
        <v>20</v>
      </c>
      <c r="F35" s="3364"/>
      <c r="G35" s="3383">
        <v>490364331</v>
      </c>
      <c r="H35" s="3380">
        <v>127473026</v>
      </c>
    </row>
    <row r="36" spans="1:8" x14ac:dyDescent="0.2">
      <c r="A36" s="3220">
        <v>1</v>
      </c>
      <c r="B36" s="3213">
        <v>1841412900</v>
      </c>
      <c r="C36" s="3155" t="s">
        <v>1019</v>
      </c>
      <c r="D36" s="3155">
        <v>881</v>
      </c>
      <c r="E36" s="3156">
        <v>20</v>
      </c>
      <c r="F36" s="3364"/>
      <c r="G36" s="3383">
        <v>490033459</v>
      </c>
      <c r="H36" s="3380">
        <v>128159007</v>
      </c>
    </row>
    <row r="37" spans="1:8" x14ac:dyDescent="0.2">
      <c r="A37" s="3220">
        <v>1</v>
      </c>
      <c r="B37" s="3214">
        <v>297562061</v>
      </c>
      <c r="C37" s="3157" t="s">
        <v>1020</v>
      </c>
      <c r="D37" s="3157">
        <v>928</v>
      </c>
      <c r="E37" s="3158">
        <v>20</v>
      </c>
      <c r="F37" s="3366" t="s">
        <v>411</v>
      </c>
      <c r="G37" s="3383">
        <v>489547041</v>
      </c>
      <c r="H37" s="3380">
        <v>128429102</v>
      </c>
    </row>
    <row r="38" spans="1:8" x14ac:dyDescent="0.2">
      <c r="A38" s="3220">
        <v>1</v>
      </c>
      <c r="B38" s="3213">
        <v>295667592</v>
      </c>
      <c r="C38" s="3155" t="s">
        <v>1021</v>
      </c>
      <c r="D38" s="3155">
        <v>1024</v>
      </c>
      <c r="E38" s="3156">
        <v>20</v>
      </c>
      <c r="F38" s="3364"/>
      <c r="G38" s="3383">
        <v>490023398</v>
      </c>
      <c r="H38" s="3380">
        <v>128488065</v>
      </c>
    </row>
    <row r="39" spans="1:8" x14ac:dyDescent="0.2">
      <c r="A39" s="3220">
        <v>1</v>
      </c>
      <c r="B39" s="3213">
        <v>295668282</v>
      </c>
      <c r="C39" s="3155" t="s">
        <v>1022</v>
      </c>
      <c r="D39" s="3155">
        <v>1048</v>
      </c>
      <c r="E39" s="3156">
        <v>20</v>
      </c>
      <c r="F39" s="3364"/>
      <c r="G39" s="3383">
        <v>490219662</v>
      </c>
      <c r="H39" s="3380">
        <v>128211454</v>
      </c>
    </row>
    <row r="40" spans="1:8" x14ac:dyDescent="0.2">
      <c r="A40" s="3220">
        <v>1</v>
      </c>
      <c r="B40" s="3213">
        <v>309432989</v>
      </c>
      <c r="C40" s="3155" t="s">
        <v>1023</v>
      </c>
      <c r="D40" s="3155">
        <v>1056</v>
      </c>
      <c r="E40" s="3156">
        <v>20</v>
      </c>
      <c r="F40" s="3364"/>
      <c r="G40" s="3383">
        <v>489959040</v>
      </c>
      <c r="H40" s="3380">
        <v>128571683</v>
      </c>
    </row>
    <row r="41" spans="1:8" x14ac:dyDescent="0.2">
      <c r="A41" s="3220">
        <v>1</v>
      </c>
      <c r="B41" s="3214">
        <v>295661960</v>
      </c>
      <c r="C41" s="3157" t="s">
        <v>1024</v>
      </c>
      <c r="D41" s="3157">
        <v>1095</v>
      </c>
      <c r="E41" s="3158">
        <v>20</v>
      </c>
      <c r="F41" s="3366" t="s">
        <v>411</v>
      </c>
      <c r="G41" s="3383">
        <v>489643769</v>
      </c>
      <c r="H41" s="3380">
        <v>128800093</v>
      </c>
    </row>
    <row r="42" spans="1:8" ht="17" thickBot="1" x14ac:dyDescent="0.25">
      <c r="A42" s="3223">
        <v>1</v>
      </c>
      <c r="B42" s="3217">
        <v>4187219671</v>
      </c>
      <c r="C42" s="3163" t="s">
        <v>1025</v>
      </c>
      <c r="D42" s="3163"/>
      <c r="E42" s="3164">
        <v>20</v>
      </c>
      <c r="F42" s="3369"/>
      <c r="G42" s="3384">
        <v>490090297</v>
      </c>
      <c r="H42" s="3381">
        <v>128074193</v>
      </c>
    </row>
    <row r="43" spans="1:8" x14ac:dyDescent="0.2">
      <c r="A43" s="3219">
        <v>1</v>
      </c>
      <c r="B43" s="3210">
        <v>2388822367</v>
      </c>
      <c r="C43" s="3149" t="s">
        <v>1026</v>
      </c>
      <c r="D43" s="3149">
        <v>380</v>
      </c>
      <c r="E43" s="3150">
        <v>25</v>
      </c>
      <c r="F43" s="3360"/>
      <c r="G43" s="3400">
        <v>489999996</v>
      </c>
      <c r="H43" s="3401">
        <v>124030169</v>
      </c>
    </row>
    <row r="44" spans="1:8" x14ac:dyDescent="0.2">
      <c r="A44" s="3220">
        <v>1</v>
      </c>
      <c r="B44" s="3213">
        <v>9357124354</v>
      </c>
      <c r="C44" s="3155" t="s">
        <v>1027</v>
      </c>
      <c r="D44" s="3155">
        <v>388</v>
      </c>
      <c r="E44" s="3156">
        <v>25</v>
      </c>
      <c r="F44" s="3364"/>
      <c r="G44" s="3383">
        <v>488394916</v>
      </c>
      <c r="H44" s="3380">
        <v>129676309</v>
      </c>
    </row>
    <row r="45" spans="1:8" x14ac:dyDescent="0.2">
      <c r="A45" s="3220">
        <v>1</v>
      </c>
      <c r="B45" s="3213">
        <v>2364277247</v>
      </c>
      <c r="C45" s="3155" t="s">
        <v>1028</v>
      </c>
      <c r="D45" s="3155">
        <v>399</v>
      </c>
      <c r="E45" s="3156">
        <v>25</v>
      </c>
      <c r="F45" s="3364"/>
      <c r="G45" s="3383">
        <v>490036671</v>
      </c>
      <c r="H45" s="3380">
        <v>124018920</v>
      </c>
    </row>
    <row r="46" spans="1:8" x14ac:dyDescent="0.2">
      <c r="A46" s="3220">
        <v>1</v>
      </c>
      <c r="B46" s="3213">
        <v>2366972993</v>
      </c>
      <c r="C46" s="3155" t="s">
        <v>1029</v>
      </c>
      <c r="D46" s="3155">
        <v>407</v>
      </c>
      <c r="E46" s="3156">
        <v>25</v>
      </c>
      <c r="F46" s="3364"/>
      <c r="G46" s="3383">
        <v>490115778</v>
      </c>
      <c r="H46" s="3380">
        <v>124104729</v>
      </c>
    </row>
    <row r="47" spans="1:8" x14ac:dyDescent="0.2">
      <c r="A47" s="3220">
        <v>1</v>
      </c>
      <c r="B47" s="3213">
        <v>10798951134</v>
      </c>
      <c r="C47" s="3155" t="s">
        <v>1030</v>
      </c>
      <c r="D47" s="3155">
        <v>431</v>
      </c>
      <c r="E47" s="3156">
        <v>25</v>
      </c>
      <c r="F47" s="3364"/>
      <c r="G47" s="3383">
        <v>488711511</v>
      </c>
      <c r="H47" s="3380">
        <v>129491365</v>
      </c>
    </row>
    <row r="48" spans="1:8" x14ac:dyDescent="0.2">
      <c r="A48" s="3220">
        <v>1</v>
      </c>
      <c r="B48" s="3213">
        <v>2366969298</v>
      </c>
      <c r="C48" s="3155" t="s">
        <v>1031</v>
      </c>
      <c r="D48" s="3155">
        <v>443</v>
      </c>
      <c r="E48" s="3156">
        <v>25</v>
      </c>
      <c r="F48" s="3364"/>
      <c r="G48" s="3383">
        <v>490105780</v>
      </c>
      <c r="H48" s="3380">
        <v>124164764</v>
      </c>
    </row>
    <row r="49" spans="1:8" x14ac:dyDescent="0.2">
      <c r="A49" s="3220">
        <v>1</v>
      </c>
      <c r="B49" s="3213">
        <v>2398954761</v>
      </c>
      <c r="C49" s="3155" t="s">
        <v>1032</v>
      </c>
      <c r="D49" s="3155">
        <v>443</v>
      </c>
      <c r="E49" s="3156">
        <v>25</v>
      </c>
      <c r="F49" s="3364"/>
      <c r="G49" s="3383">
        <v>490138802</v>
      </c>
      <c r="H49" s="3380">
        <v>124006272</v>
      </c>
    </row>
    <row r="50" spans="1:8" x14ac:dyDescent="0.2">
      <c r="A50" s="3220">
        <v>1</v>
      </c>
      <c r="B50" s="3213">
        <v>2365793601</v>
      </c>
      <c r="C50" s="3155" t="s">
        <v>1033</v>
      </c>
      <c r="D50" s="3155">
        <v>446</v>
      </c>
      <c r="E50" s="3156">
        <v>25</v>
      </c>
      <c r="F50" s="3364"/>
      <c r="G50" s="3383">
        <v>490049702</v>
      </c>
      <c r="H50" s="3380">
        <v>123925833</v>
      </c>
    </row>
    <row r="51" spans="1:8" x14ac:dyDescent="0.2">
      <c r="A51" s="3220">
        <v>1</v>
      </c>
      <c r="B51" s="3213">
        <v>1498943483</v>
      </c>
      <c r="C51" s="3155" t="s">
        <v>1034</v>
      </c>
      <c r="D51" s="3155">
        <v>614</v>
      </c>
      <c r="E51" s="3156">
        <v>25</v>
      </c>
      <c r="F51" s="3364"/>
      <c r="G51" s="3383">
        <v>488850233</v>
      </c>
      <c r="H51" s="3380">
        <v>129445751</v>
      </c>
    </row>
    <row r="52" spans="1:8" x14ac:dyDescent="0.2">
      <c r="A52" s="3220">
        <v>1</v>
      </c>
      <c r="B52" s="3213">
        <v>9573743166</v>
      </c>
      <c r="C52" s="3155" t="s">
        <v>1035</v>
      </c>
      <c r="D52" s="3155">
        <v>637</v>
      </c>
      <c r="E52" s="3156">
        <v>25</v>
      </c>
      <c r="F52" s="3364"/>
      <c r="G52" s="3383">
        <v>490818338</v>
      </c>
      <c r="H52" s="3380">
        <v>125509557</v>
      </c>
    </row>
    <row r="53" spans="1:8" x14ac:dyDescent="0.2">
      <c r="A53" s="3220">
        <v>1</v>
      </c>
      <c r="B53" s="3213">
        <v>1498943480</v>
      </c>
      <c r="C53" s="3155" t="s">
        <v>992</v>
      </c>
      <c r="D53" s="3155">
        <v>651</v>
      </c>
      <c r="E53" s="3156">
        <v>25</v>
      </c>
      <c r="F53" s="3364"/>
      <c r="G53" s="3383">
        <v>488934060</v>
      </c>
      <c r="H53" s="3380">
        <v>129465999</v>
      </c>
    </row>
    <row r="54" spans="1:8" x14ac:dyDescent="0.2">
      <c r="A54" s="3220">
        <v>1</v>
      </c>
      <c r="B54" s="3213">
        <v>5082450215</v>
      </c>
      <c r="C54" s="3155" t="s">
        <v>1036</v>
      </c>
      <c r="D54" s="3155">
        <v>654</v>
      </c>
      <c r="E54" s="3156">
        <v>25</v>
      </c>
      <c r="F54" s="3364"/>
      <c r="G54" s="3383">
        <v>490924071</v>
      </c>
      <c r="H54" s="3380">
        <v>125723909</v>
      </c>
    </row>
    <row r="55" spans="1:8" x14ac:dyDescent="0.2">
      <c r="A55" s="3220">
        <v>1</v>
      </c>
      <c r="B55" s="3213">
        <v>5082450214</v>
      </c>
      <c r="C55" s="3155" t="s">
        <v>1037</v>
      </c>
      <c r="D55" s="3155">
        <v>659</v>
      </c>
      <c r="E55" s="3156">
        <v>25</v>
      </c>
      <c r="F55" s="3364"/>
      <c r="G55" s="3383">
        <v>490692462</v>
      </c>
      <c r="H55" s="3380">
        <v>125740330</v>
      </c>
    </row>
    <row r="56" spans="1:8" x14ac:dyDescent="0.2">
      <c r="A56" s="3220">
        <v>1</v>
      </c>
      <c r="B56" s="3213">
        <v>1498943476</v>
      </c>
      <c r="C56" s="3155" t="s">
        <v>1038</v>
      </c>
      <c r="D56" s="3155">
        <v>666</v>
      </c>
      <c r="E56" s="3156">
        <v>25</v>
      </c>
      <c r="F56" s="3364"/>
      <c r="G56" s="3383">
        <v>488891166</v>
      </c>
      <c r="H56" s="3380">
        <v>129462408</v>
      </c>
    </row>
    <row r="57" spans="1:8" x14ac:dyDescent="0.2">
      <c r="A57" s="3220">
        <v>1</v>
      </c>
      <c r="B57" s="3213">
        <v>10805611532</v>
      </c>
      <c r="C57" s="3155" t="s">
        <v>1039</v>
      </c>
      <c r="D57" s="3155">
        <v>675</v>
      </c>
      <c r="E57" s="3156">
        <v>25</v>
      </c>
      <c r="F57" s="3364"/>
      <c r="G57" s="3383">
        <v>489751820</v>
      </c>
      <c r="H57" s="3380">
        <v>129357469</v>
      </c>
    </row>
    <row r="58" spans="1:8" x14ac:dyDescent="0.2">
      <c r="A58" s="3220">
        <v>1</v>
      </c>
      <c r="B58" s="3213">
        <v>10805635143</v>
      </c>
      <c r="C58" s="3155" t="s">
        <v>1040</v>
      </c>
      <c r="D58" s="3155">
        <v>675</v>
      </c>
      <c r="E58" s="3156">
        <v>25</v>
      </c>
      <c r="F58" s="3364"/>
      <c r="G58" s="3383">
        <v>489578128</v>
      </c>
      <c r="H58" s="3380">
        <v>129563302</v>
      </c>
    </row>
    <row r="59" spans="1:8" x14ac:dyDescent="0.2">
      <c r="A59" s="3220">
        <v>1</v>
      </c>
      <c r="B59" s="3213">
        <v>1407465707</v>
      </c>
      <c r="C59" s="3155" t="s">
        <v>1041</v>
      </c>
      <c r="D59" s="3155">
        <v>684</v>
      </c>
      <c r="E59" s="3156">
        <v>25</v>
      </c>
      <c r="F59" s="3364"/>
      <c r="G59" s="3383">
        <v>489081538</v>
      </c>
      <c r="H59" s="3380">
        <v>129539771</v>
      </c>
    </row>
    <row r="60" spans="1:8" x14ac:dyDescent="0.2">
      <c r="A60" s="3220">
        <v>1</v>
      </c>
      <c r="B60" s="3213">
        <v>6637237138</v>
      </c>
      <c r="C60" s="3155" t="s">
        <v>1042</v>
      </c>
      <c r="D60" s="3155">
        <v>688</v>
      </c>
      <c r="E60" s="3156">
        <v>25</v>
      </c>
      <c r="F60" s="3364"/>
      <c r="G60" s="3383">
        <v>490645424</v>
      </c>
      <c r="H60" s="3380">
        <v>128225489</v>
      </c>
    </row>
    <row r="61" spans="1:8" x14ac:dyDescent="0.2">
      <c r="A61" s="3220">
        <v>1</v>
      </c>
      <c r="B61" s="3213">
        <v>10805617737</v>
      </c>
      <c r="C61" s="3155" t="s">
        <v>1043</v>
      </c>
      <c r="D61" s="3155">
        <v>690</v>
      </c>
      <c r="E61" s="3156">
        <v>25</v>
      </c>
      <c r="F61" s="3364"/>
      <c r="G61" s="3383">
        <v>489608560</v>
      </c>
      <c r="H61" s="3380">
        <v>129323137</v>
      </c>
    </row>
    <row r="62" spans="1:8" x14ac:dyDescent="0.2">
      <c r="A62" s="3220">
        <v>1</v>
      </c>
      <c r="B62" s="3213">
        <v>10805635109</v>
      </c>
      <c r="C62" s="3155" t="s">
        <v>1044</v>
      </c>
      <c r="D62" s="3155">
        <v>696</v>
      </c>
      <c r="E62" s="3156">
        <v>25</v>
      </c>
      <c r="F62" s="3364"/>
      <c r="G62" s="3383">
        <v>489674983</v>
      </c>
      <c r="H62" s="3380">
        <v>129475379</v>
      </c>
    </row>
    <row r="63" spans="1:8" x14ac:dyDescent="0.2">
      <c r="A63" s="3220">
        <v>1</v>
      </c>
      <c r="B63" s="3213">
        <v>10805637321</v>
      </c>
      <c r="C63" s="3155" t="s">
        <v>1045</v>
      </c>
      <c r="D63" s="3155">
        <v>717</v>
      </c>
      <c r="E63" s="3156">
        <v>25</v>
      </c>
      <c r="F63" s="3364"/>
      <c r="G63" s="3383">
        <v>489631876</v>
      </c>
      <c r="H63" s="3380">
        <v>129422271</v>
      </c>
    </row>
    <row r="64" spans="1:8" x14ac:dyDescent="0.2">
      <c r="A64" s="3220">
        <v>1</v>
      </c>
      <c r="B64" s="3213">
        <v>2455697061</v>
      </c>
      <c r="C64" s="3155" t="s">
        <v>1046</v>
      </c>
      <c r="D64" s="3155">
        <v>748</v>
      </c>
      <c r="E64" s="3156">
        <v>25</v>
      </c>
      <c r="F64" s="3364"/>
      <c r="G64" s="3383">
        <v>490737042</v>
      </c>
      <c r="H64" s="3380">
        <v>128320742</v>
      </c>
    </row>
    <row r="65" spans="1:8" x14ac:dyDescent="0.2">
      <c r="A65" s="3220">
        <v>1</v>
      </c>
      <c r="B65" s="3213">
        <v>1399515171</v>
      </c>
      <c r="C65" s="3155" t="s">
        <v>1047</v>
      </c>
      <c r="D65" s="3155">
        <v>775</v>
      </c>
      <c r="E65" s="3156">
        <v>25</v>
      </c>
      <c r="F65" s="3364"/>
      <c r="G65" s="3383">
        <v>489061670</v>
      </c>
      <c r="H65" s="3380">
        <v>129476403</v>
      </c>
    </row>
    <row r="66" spans="1:8" x14ac:dyDescent="0.2">
      <c r="A66" s="3220">
        <v>1</v>
      </c>
      <c r="B66" s="3213">
        <v>2455697062</v>
      </c>
      <c r="C66" s="3155" t="s">
        <v>1048</v>
      </c>
      <c r="D66" s="3155">
        <v>822</v>
      </c>
      <c r="E66" s="3156">
        <v>25</v>
      </c>
      <c r="F66" s="3364"/>
      <c r="G66" s="3383">
        <v>490493887</v>
      </c>
      <c r="H66" s="3380">
        <v>128309023</v>
      </c>
    </row>
    <row r="67" spans="1:8" x14ac:dyDescent="0.2">
      <c r="A67" s="3220">
        <v>1</v>
      </c>
      <c r="B67" s="3213">
        <v>3678888819</v>
      </c>
      <c r="C67" s="3155" t="s">
        <v>1049</v>
      </c>
      <c r="D67" s="3155">
        <v>830</v>
      </c>
      <c r="E67" s="3156">
        <v>25</v>
      </c>
      <c r="F67" s="3370" t="s">
        <v>411</v>
      </c>
      <c r="G67" s="3383">
        <v>489337549</v>
      </c>
      <c r="H67" s="3380">
        <v>129053977</v>
      </c>
    </row>
    <row r="68" spans="1:8" x14ac:dyDescent="0.2">
      <c r="A68" s="3220">
        <v>1</v>
      </c>
      <c r="B68" s="3213">
        <v>2388611234</v>
      </c>
      <c r="C68" s="3155" t="s">
        <v>1050</v>
      </c>
      <c r="D68" s="3155">
        <v>896</v>
      </c>
      <c r="E68" s="3156">
        <v>25</v>
      </c>
      <c r="F68" s="3364"/>
      <c r="G68" s="3383">
        <v>490538336</v>
      </c>
      <c r="H68" s="3380">
        <v>127974831</v>
      </c>
    </row>
    <row r="69" spans="1:8" x14ac:dyDescent="0.2">
      <c r="A69" s="3220">
        <v>1</v>
      </c>
      <c r="B69" s="3213">
        <v>1407431204</v>
      </c>
      <c r="C69" s="3155" t="s">
        <v>1051</v>
      </c>
      <c r="D69" s="3155">
        <v>934</v>
      </c>
      <c r="E69" s="3156">
        <v>25</v>
      </c>
      <c r="F69" s="3364"/>
      <c r="G69" s="3383">
        <v>489450348</v>
      </c>
      <c r="H69" s="3380">
        <v>129419822</v>
      </c>
    </row>
    <row r="70" spans="1:8" x14ac:dyDescent="0.2">
      <c r="A70" s="3220">
        <v>1</v>
      </c>
      <c r="B70" s="3213">
        <v>1470641948</v>
      </c>
      <c r="C70" s="3155" t="s">
        <v>1052</v>
      </c>
      <c r="D70" s="3155">
        <v>978</v>
      </c>
      <c r="E70" s="3156">
        <v>25</v>
      </c>
      <c r="F70" s="3364"/>
      <c r="G70" s="3383">
        <v>490386264</v>
      </c>
      <c r="H70" s="3380">
        <v>128126073</v>
      </c>
    </row>
    <row r="71" spans="1:8" x14ac:dyDescent="0.2">
      <c r="A71" s="3220">
        <v>1</v>
      </c>
      <c r="B71" s="3213">
        <v>1470641950</v>
      </c>
      <c r="C71" s="3155" t="s">
        <v>1053</v>
      </c>
      <c r="D71" s="3155">
        <v>978</v>
      </c>
      <c r="E71" s="3156">
        <v>25</v>
      </c>
      <c r="F71" s="3364"/>
      <c r="G71" s="3383">
        <v>490381908</v>
      </c>
      <c r="H71" s="3380">
        <v>128071797</v>
      </c>
    </row>
    <row r="72" spans="1:8" x14ac:dyDescent="0.2">
      <c r="A72" s="3220">
        <v>1</v>
      </c>
      <c r="B72" s="3213">
        <v>1868730821</v>
      </c>
      <c r="C72" s="3155" t="s">
        <v>1054</v>
      </c>
      <c r="D72" s="3155">
        <v>998</v>
      </c>
      <c r="E72" s="3156">
        <v>25</v>
      </c>
      <c r="F72" s="3364"/>
      <c r="G72" s="3383">
        <v>489892230</v>
      </c>
      <c r="H72" s="3380">
        <v>128951903</v>
      </c>
    </row>
    <row r="73" spans="1:8" x14ac:dyDescent="0.2">
      <c r="A73" s="3220">
        <v>1</v>
      </c>
      <c r="B73" s="3213">
        <v>10859184955</v>
      </c>
      <c r="C73" s="3209" t="s">
        <v>1119</v>
      </c>
      <c r="D73" s="3155">
        <v>999</v>
      </c>
      <c r="E73" s="3156">
        <v>25</v>
      </c>
      <c r="F73" s="3370" t="s">
        <v>411</v>
      </c>
      <c r="G73" s="3383">
        <v>489442217</v>
      </c>
      <c r="H73" s="3380">
        <v>129019779</v>
      </c>
    </row>
    <row r="74" spans="1:8" x14ac:dyDescent="0.2">
      <c r="A74" s="3220">
        <v>1</v>
      </c>
      <c r="B74" s="3213">
        <v>1272507425</v>
      </c>
      <c r="C74" s="3155" t="s">
        <v>1055</v>
      </c>
      <c r="D74" s="3155">
        <v>1022</v>
      </c>
      <c r="E74" s="3156">
        <v>25</v>
      </c>
      <c r="F74" s="3364"/>
      <c r="G74" s="3383">
        <v>489344318</v>
      </c>
      <c r="H74" s="3380">
        <v>129435935</v>
      </c>
    </row>
    <row r="75" spans="1:8" x14ac:dyDescent="0.2">
      <c r="A75" s="3220">
        <v>1</v>
      </c>
      <c r="B75" s="3213">
        <v>1491248965</v>
      </c>
      <c r="C75" s="3155" t="s">
        <v>1056</v>
      </c>
      <c r="D75" s="3155">
        <v>1025</v>
      </c>
      <c r="E75" s="3156">
        <v>25</v>
      </c>
      <c r="F75" s="3364"/>
      <c r="G75" s="3383">
        <v>490004257</v>
      </c>
      <c r="H75" s="3380">
        <v>128556089</v>
      </c>
    </row>
    <row r="76" spans="1:8" x14ac:dyDescent="0.2">
      <c r="A76" s="3220">
        <v>1</v>
      </c>
      <c r="B76" s="3214">
        <v>1407484391</v>
      </c>
      <c r="C76" s="3157" t="s">
        <v>1057</v>
      </c>
      <c r="D76" s="3157">
        <v>1048</v>
      </c>
      <c r="E76" s="3158">
        <v>25</v>
      </c>
      <c r="F76" s="3366" t="s">
        <v>411</v>
      </c>
      <c r="G76" s="3383">
        <v>489503368</v>
      </c>
      <c r="H76" s="3380">
        <v>128961756</v>
      </c>
    </row>
    <row r="77" spans="1:8" x14ac:dyDescent="0.2">
      <c r="A77" s="3220">
        <v>1</v>
      </c>
      <c r="B77" s="3214">
        <v>414734287</v>
      </c>
      <c r="C77" s="3157" t="s">
        <v>1058</v>
      </c>
      <c r="D77" s="3157">
        <v>1050</v>
      </c>
      <c r="E77" s="3158">
        <v>25</v>
      </c>
      <c r="F77" s="3366" t="s">
        <v>411</v>
      </c>
      <c r="G77" s="3383">
        <v>489485091</v>
      </c>
      <c r="H77" s="3380">
        <v>128988447</v>
      </c>
    </row>
    <row r="78" spans="1:8" ht="17" thickBot="1" x14ac:dyDescent="0.25">
      <c r="A78" s="3221">
        <v>1</v>
      </c>
      <c r="B78" s="3215">
        <v>1416318813</v>
      </c>
      <c r="C78" s="3159" t="s">
        <v>1059</v>
      </c>
      <c r="D78" s="3159">
        <v>1053</v>
      </c>
      <c r="E78" s="3160">
        <v>25</v>
      </c>
      <c r="F78" s="3367"/>
      <c r="G78" s="3384">
        <v>489756706</v>
      </c>
      <c r="H78" s="3381">
        <v>128878642</v>
      </c>
    </row>
    <row r="79" spans="1:8" x14ac:dyDescent="0.2">
      <c r="A79" s="3222">
        <v>1</v>
      </c>
      <c r="B79" s="3216">
        <v>2365737143</v>
      </c>
      <c r="C79" s="3161" t="s">
        <v>1060</v>
      </c>
      <c r="D79" s="3161">
        <v>368</v>
      </c>
      <c r="E79" s="3162">
        <v>30</v>
      </c>
      <c r="F79" s="3368"/>
      <c r="G79" s="3400">
        <v>488274892</v>
      </c>
      <c r="H79" s="3401">
        <v>129730118</v>
      </c>
    </row>
    <row r="80" spans="1:8" x14ac:dyDescent="0.2">
      <c r="A80" s="3220">
        <v>1</v>
      </c>
      <c r="B80" s="3213">
        <v>10792517557</v>
      </c>
      <c r="C80" s="3155" t="s">
        <v>1061</v>
      </c>
      <c r="D80" s="3155">
        <v>422</v>
      </c>
      <c r="E80" s="3156">
        <v>30</v>
      </c>
      <c r="F80" s="3364"/>
      <c r="G80" s="3383">
        <v>488041783</v>
      </c>
      <c r="H80" s="3380">
        <v>130002165</v>
      </c>
    </row>
    <row r="81" spans="1:8" x14ac:dyDescent="0.2">
      <c r="A81" s="3220">
        <v>1</v>
      </c>
      <c r="B81" s="3213">
        <v>5089724449</v>
      </c>
      <c r="C81" s="3155" t="s">
        <v>1062</v>
      </c>
      <c r="D81" s="3155">
        <v>449</v>
      </c>
      <c r="E81" s="3156">
        <v>30</v>
      </c>
      <c r="F81" s="3364"/>
      <c r="G81" s="3383">
        <v>491480507</v>
      </c>
      <c r="H81" s="3380">
        <v>126028452</v>
      </c>
    </row>
    <row r="82" spans="1:8" x14ac:dyDescent="0.2">
      <c r="A82" s="3220">
        <v>1</v>
      </c>
      <c r="B82" s="3213">
        <v>5084622918</v>
      </c>
      <c r="C82" s="3155" t="s">
        <v>1063</v>
      </c>
      <c r="D82" s="3155">
        <v>461</v>
      </c>
      <c r="E82" s="3156">
        <v>30</v>
      </c>
      <c r="F82" s="3364"/>
      <c r="G82" s="3383">
        <v>491349284</v>
      </c>
      <c r="H82" s="3380">
        <v>126508672</v>
      </c>
    </row>
    <row r="83" spans="1:8" x14ac:dyDescent="0.2">
      <c r="A83" s="3220">
        <v>1</v>
      </c>
      <c r="B83" s="3213">
        <v>1579621442</v>
      </c>
      <c r="C83" s="3155" t="s">
        <v>1064</v>
      </c>
      <c r="D83" s="3155">
        <v>463</v>
      </c>
      <c r="E83" s="3156">
        <v>30</v>
      </c>
      <c r="F83" s="3364"/>
      <c r="G83" s="3383">
        <v>488551274</v>
      </c>
      <c r="H83" s="3380">
        <v>129744356</v>
      </c>
    </row>
    <row r="84" spans="1:8" x14ac:dyDescent="0.2">
      <c r="A84" s="3220">
        <v>1</v>
      </c>
      <c r="B84" s="3213">
        <v>5084622919</v>
      </c>
      <c r="C84" s="3155" t="s">
        <v>1065</v>
      </c>
      <c r="D84" s="3155">
        <v>472</v>
      </c>
      <c r="E84" s="3156">
        <v>30</v>
      </c>
      <c r="F84" s="3364"/>
      <c r="G84" s="3383">
        <v>491485229</v>
      </c>
      <c r="H84" s="3380">
        <v>126538813</v>
      </c>
    </row>
    <row r="85" spans="1:8" x14ac:dyDescent="0.2">
      <c r="A85" s="3220">
        <v>1</v>
      </c>
      <c r="B85" s="3213">
        <v>6766980880</v>
      </c>
      <c r="C85" s="3155" t="s">
        <v>1066</v>
      </c>
      <c r="D85" s="3155">
        <v>507</v>
      </c>
      <c r="E85" s="3156">
        <v>30</v>
      </c>
      <c r="F85" s="3364"/>
      <c r="G85" s="3383">
        <v>490869504</v>
      </c>
      <c r="H85" s="3380">
        <v>128743666</v>
      </c>
    </row>
    <row r="86" spans="1:8" x14ac:dyDescent="0.2">
      <c r="A86" s="3220">
        <v>1</v>
      </c>
      <c r="B86" s="3213">
        <v>2370859091</v>
      </c>
      <c r="C86" s="3155" t="s">
        <v>992</v>
      </c>
      <c r="D86" s="3155">
        <v>508</v>
      </c>
      <c r="E86" s="3156">
        <v>30</v>
      </c>
      <c r="F86" s="3364"/>
      <c r="G86" s="3383">
        <v>488585465</v>
      </c>
      <c r="H86" s="3380">
        <v>129756759</v>
      </c>
    </row>
    <row r="87" spans="1:8" x14ac:dyDescent="0.2">
      <c r="A87" s="3220">
        <v>1</v>
      </c>
      <c r="B87" s="3213">
        <v>5120209943</v>
      </c>
      <c r="C87" s="3155" t="s">
        <v>1067</v>
      </c>
      <c r="D87" s="3155">
        <v>510</v>
      </c>
      <c r="E87" s="3156">
        <v>30</v>
      </c>
      <c r="F87" s="3364"/>
      <c r="G87" s="3383">
        <v>491344883</v>
      </c>
      <c r="H87" s="3380">
        <v>126434645</v>
      </c>
    </row>
    <row r="88" spans="1:8" x14ac:dyDescent="0.2">
      <c r="A88" s="3220">
        <v>1</v>
      </c>
      <c r="B88" s="3213">
        <v>1774722885</v>
      </c>
      <c r="C88" s="3155" t="s">
        <v>1068</v>
      </c>
      <c r="D88" s="3155">
        <v>512</v>
      </c>
      <c r="E88" s="3156">
        <v>30</v>
      </c>
      <c r="F88" s="3364"/>
      <c r="G88" s="3383">
        <v>488070160</v>
      </c>
      <c r="H88" s="3380">
        <v>130238237</v>
      </c>
    </row>
    <row r="89" spans="1:8" x14ac:dyDescent="0.2">
      <c r="A89" s="3220">
        <v>1</v>
      </c>
      <c r="B89" s="3213">
        <v>5086538072</v>
      </c>
      <c r="C89" s="3155" t="s">
        <v>1069</v>
      </c>
      <c r="D89" s="3155">
        <v>521</v>
      </c>
      <c r="E89" s="3156">
        <v>30</v>
      </c>
      <c r="F89" s="3364"/>
      <c r="G89" s="3383">
        <v>491456086</v>
      </c>
      <c r="H89" s="3380">
        <v>126675327</v>
      </c>
    </row>
    <row r="90" spans="1:8" x14ac:dyDescent="0.2">
      <c r="A90" s="3220">
        <v>1</v>
      </c>
      <c r="B90" s="3213">
        <v>5166826202</v>
      </c>
      <c r="C90" s="3155" t="s">
        <v>1070</v>
      </c>
      <c r="D90" s="3155">
        <v>528</v>
      </c>
      <c r="E90" s="3156">
        <v>30</v>
      </c>
      <c r="F90" s="3364"/>
      <c r="G90" s="3383">
        <v>491560977</v>
      </c>
      <c r="H90" s="3380">
        <v>126204797</v>
      </c>
    </row>
    <row r="91" spans="1:8" x14ac:dyDescent="0.2">
      <c r="A91" s="3220">
        <v>1</v>
      </c>
      <c r="B91" s="3213">
        <v>5082451522</v>
      </c>
      <c r="C91" s="3155" t="s">
        <v>1071</v>
      </c>
      <c r="D91" s="3155">
        <v>532</v>
      </c>
      <c r="E91" s="3156">
        <v>30</v>
      </c>
      <c r="F91" s="3364"/>
      <c r="G91" s="3383">
        <v>491471722</v>
      </c>
      <c r="H91" s="3380">
        <v>126173140</v>
      </c>
    </row>
    <row r="92" spans="1:8" x14ac:dyDescent="0.2">
      <c r="A92" s="3220">
        <v>1</v>
      </c>
      <c r="B92" s="3213">
        <v>10792540246</v>
      </c>
      <c r="C92" s="3155" t="s">
        <v>1072</v>
      </c>
      <c r="D92" s="3155">
        <v>547</v>
      </c>
      <c r="E92" s="3156">
        <v>30</v>
      </c>
      <c r="F92" s="3364"/>
      <c r="G92" s="3383">
        <v>488377395</v>
      </c>
      <c r="H92" s="3380">
        <v>129948091</v>
      </c>
    </row>
    <row r="93" spans="1:8" x14ac:dyDescent="0.2">
      <c r="A93" s="3220">
        <v>1</v>
      </c>
      <c r="B93" s="3213">
        <v>5079433192</v>
      </c>
      <c r="C93" s="3155" t="s">
        <v>1073</v>
      </c>
      <c r="D93" s="3155">
        <v>553</v>
      </c>
      <c r="E93" s="3156">
        <v>30</v>
      </c>
      <c r="F93" s="3364"/>
      <c r="G93" s="3383">
        <v>491529269</v>
      </c>
      <c r="H93" s="3380">
        <v>125722040</v>
      </c>
    </row>
    <row r="94" spans="1:8" x14ac:dyDescent="0.2">
      <c r="A94" s="3220">
        <v>1</v>
      </c>
      <c r="B94" s="3213">
        <v>5079433191</v>
      </c>
      <c r="C94" s="3155" t="s">
        <v>1074</v>
      </c>
      <c r="D94" s="3155">
        <v>557</v>
      </c>
      <c r="E94" s="3156">
        <v>30</v>
      </c>
      <c r="F94" s="3364"/>
      <c r="G94" s="3383">
        <v>491504379</v>
      </c>
      <c r="H94" s="3380">
        <v>125737735</v>
      </c>
    </row>
    <row r="95" spans="1:8" x14ac:dyDescent="0.2">
      <c r="A95" s="3220">
        <v>1</v>
      </c>
      <c r="B95" s="3213">
        <v>5082451521</v>
      </c>
      <c r="C95" s="3155" t="s">
        <v>1075</v>
      </c>
      <c r="D95" s="3155">
        <v>557</v>
      </c>
      <c r="E95" s="3156">
        <v>30</v>
      </c>
      <c r="F95" s="3364"/>
      <c r="G95" s="3383">
        <v>491469527</v>
      </c>
      <c r="H95" s="3380">
        <v>126248731</v>
      </c>
    </row>
    <row r="96" spans="1:8" x14ac:dyDescent="0.2">
      <c r="A96" s="3220">
        <v>1</v>
      </c>
      <c r="B96" s="3213">
        <v>5120209942</v>
      </c>
      <c r="C96" s="3155" t="s">
        <v>1076</v>
      </c>
      <c r="D96" s="3155">
        <v>566</v>
      </c>
      <c r="E96" s="3156">
        <v>30</v>
      </c>
      <c r="F96" s="3364"/>
      <c r="G96" s="3383">
        <v>491390665</v>
      </c>
      <c r="H96" s="3380">
        <v>126337998</v>
      </c>
    </row>
    <row r="97" spans="1:8" x14ac:dyDescent="0.2">
      <c r="A97" s="3220">
        <v>1</v>
      </c>
      <c r="B97" s="3213">
        <v>3633010599</v>
      </c>
      <c r="C97" s="3155" t="s">
        <v>1077</v>
      </c>
      <c r="D97" s="3155">
        <v>577</v>
      </c>
      <c r="E97" s="3156">
        <v>30</v>
      </c>
      <c r="F97" s="3364"/>
      <c r="G97" s="3383">
        <v>488619059</v>
      </c>
      <c r="H97" s="3380">
        <v>130130558</v>
      </c>
    </row>
    <row r="98" spans="1:8" x14ac:dyDescent="0.2">
      <c r="A98" s="3220">
        <v>1</v>
      </c>
      <c r="B98" s="3213">
        <v>4820027975</v>
      </c>
      <c r="C98" s="3155" t="s">
        <v>1078</v>
      </c>
      <c r="D98" s="3155">
        <v>594</v>
      </c>
      <c r="E98" s="3156">
        <v>30</v>
      </c>
      <c r="F98" s="3364"/>
      <c r="G98" s="3383">
        <v>491056378</v>
      </c>
      <c r="H98" s="3380">
        <v>124727699</v>
      </c>
    </row>
    <row r="99" spans="1:8" x14ac:dyDescent="0.2">
      <c r="A99" s="3220">
        <v>1</v>
      </c>
      <c r="B99" s="3213">
        <v>5082450220</v>
      </c>
      <c r="C99" s="3155" t="s">
        <v>1079</v>
      </c>
      <c r="D99" s="3155">
        <v>599</v>
      </c>
      <c r="E99" s="3156">
        <v>30</v>
      </c>
      <c r="F99" s="3364"/>
      <c r="G99" s="3383">
        <v>491527669</v>
      </c>
      <c r="H99" s="3380">
        <v>126292270</v>
      </c>
    </row>
    <row r="100" spans="1:8" x14ac:dyDescent="0.2">
      <c r="A100" s="3220">
        <v>1</v>
      </c>
      <c r="B100" s="3213">
        <v>1704184549</v>
      </c>
      <c r="C100" s="3155" t="s">
        <v>1080</v>
      </c>
      <c r="D100" s="3155">
        <v>609</v>
      </c>
      <c r="E100" s="3156">
        <v>30</v>
      </c>
      <c r="F100" s="3364"/>
      <c r="G100" s="3383">
        <v>488272040</v>
      </c>
      <c r="H100" s="3380">
        <v>130266154</v>
      </c>
    </row>
    <row r="101" spans="1:8" x14ac:dyDescent="0.2">
      <c r="A101" s="3220">
        <v>1</v>
      </c>
      <c r="B101" s="3213">
        <v>3595010708</v>
      </c>
      <c r="C101" s="3155" t="s">
        <v>1081</v>
      </c>
      <c r="D101" s="3155">
        <v>609</v>
      </c>
      <c r="E101" s="3156">
        <v>30</v>
      </c>
      <c r="F101" s="3364"/>
      <c r="G101" s="3383">
        <v>491140618</v>
      </c>
      <c r="H101" s="3380">
        <v>124923957</v>
      </c>
    </row>
    <row r="102" spans="1:8" x14ac:dyDescent="0.2">
      <c r="A102" s="3220">
        <v>1</v>
      </c>
      <c r="B102" s="3213">
        <v>5079433190</v>
      </c>
      <c r="C102" s="3155" t="s">
        <v>1082</v>
      </c>
      <c r="D102" s="3155">
        <v>616</v>
      </c>
      <c r="E102" s="3156">
        <v>30</v>
      </c>
      <c r="F102" s="3364"/>
      <c r="G102" s="3383">
        <v>491301558</v>
      </c>
      <c r="H102" s="3380">
        <v>126167824</v>
      </c>
    </row>
    <row r="103" spans="1:8" x14ac:dyDescent="0.2">
      <c r="A103" s="3220">
        <v>1</v>
      </c>
      <c r="B103" s="3213">
        <v>10764697556</v>
      </c>
      <c r="C103" s="3155" t="s">
        <v>1083</v>
      </c>
      <c r="D103" s="3155">
        <v>627</v>
      </c>
      <c r="E103" s="3156">
        <v>30</v>
      </c>
      <c r="F103" s="3364"/>
      <c r="G103" s="3383">
        <v>489663855</v>
      </c>
      <c r="H103" s="3380">
        <v>129915047</v>
      </c>
    </row>
    <row r="104" spans="1:8" x14ac:dyDescent="0.2">
      <c r="A104" s="3220">
        <v>1</v>
      </c>
      <c r="B104" s="3213">
        <v>2450057590</v>
      </c>
      <c r="C104" s="3155" t="s">
        <v>1084</v>
      </c>
      <c r="D104" s="3155">
        <v>641</v>
      </c>
      <c r="E104" s="3156">
        <v>30</v>
      </c>
      <c r="F104" s="3364"/>
      <c r="G104" s="3383">
        <v>490718398</v>
      </c>
      <c r="H104" s="3380">
        <v>128567351</v>
      </c>
    </row>
    <row r="105" spans="1:8" x14ac:dyDescent="0.2">
      <c r="A105" s="3220">
        <v>1</v>
      </c>
      <c r="B105" s="3213">
        <v>5079433189</v>
      </c>
      <c r="C105" s="3155" t="s">
        <v>1085</v>
      </c>
      <c r="D105" s="3155">
        <v>642</v>
      </c>
      <c r="E105" s="3156">
        <v>30</v>
      </c>
      <c r="F105" s="3364"/>
      <c r="G105" s="3383">
        <v>491361771</v>
      </c>
      <c r="H105" s="3380">
        <v>126250954</v>
      </c>
    </row>
    <row r="106" spans="1:8" x14ac:dyDescent="0.2">
      <c r="A106" s="3220">
        <v>1</v>
      </c>
      <c r="B106" s="3213">
        <v>3292193182</v>
      </c>
      <c r="C106" s="3155" t="s">
        <v>992</v>
      </c>
      <c r="D106" s="3155">
        <v>643</v>
      </c>
      <c r="E106" s="3156">
        <v>30</v>
      </c>
      <c r="F106" s="3364"/>
      <c r="G106" s="3383">
        <v>490394547</v>
      </c>
      <c r="H106" s="3380">
        <v>129645389</v>
      </c>
    </row>
    <row r="107" spans="1:8" x14ac:dyDescent="0.2">
      <c r="A107" s="3220">
        <v>1</v>
      </c>
      <c r="B107" s="3213">
        <v>1734997824</v>
      </c>
      <c r="C107" s="3155" t="s">
        <v>1086</v>
      </c>
      <c r="D107" s="3155">
        <v>651</v>
      </c>
      <c r="E107" s="3156">
        <v>30</v>
      </c>
      <c r="F107" s="3364"/>
      <c r="G107" s="3383">
        <v>488547480</v>
      </c>
      <c r="H107" s="3380">
        <v>130161365</v>
      </c>
    </row>
    <row r="108" spans="1:8" x14ac:dyDescent="0.2">
      <c r="A108" s="3220">
        <v>1</v>
      </c>
      <c r="B108" s="3213">
        <v>5084622916</v>
      </c>
      <c r="C108" s="3155" t="s">
        <v>1087</v>
      </c>
      <c r="D108" s="3155">
        <v>671</v>
      </c>
      <c r="E108" s="3156">
        <v>30</v>
      </c>
      <c r="F108" s="3364"/>
      <c r="G108" s="3383">
        <v>491325322</v>
      </c>
      <c r="H108" s="3380">
        <v>126861947</v>
      </c>
    </row>
    <row r="109" spans="1:8" x14ac:dyDescent="0.2">
      <c r="A109" s="3220">
        <v>1</v>
      </c>
      <c r="B109" s="3213">
        <v>5084622917</v>
      </c>
      <c r="C109" s="3155" t="s">
        <v>1088</v>
      </c>
      <c r="D109" s="3155">
        <v>681</v>
      </c>
      <c r="E109" s="3156">
        <v>30</v>
      </c>
      <c r="F109" s="3364"/>
      <c r="G109" s="3383">
        <v>491312066</v>
      </c>
      <c r="H109" s="3380">
        <v>126834855</v>
      </c>
    </row>
    <row r="110" spans="1:8" x14ac:dyDescent="0.2">
      <c r="A110" s="3220">
        <v>1</v>
      </c>
      <c r="B110" s="3213">
        <v>1407404108</v>
      </c>
      <c r="C110" s="3155" t="s">
        <v>1089</v>
      </c>
      <c r="D110" s="3155">
        <v>687</v>
      </c>
      <c r="E110" s="3156">
        <v>30</v>
      </c>
      <c r="F110" s="3364"/>
      <c r="G110" s="3383">
        <v>489719171</v>
      </c>
      <c r="H110" s="3380">
        <v>130166549</v>
      </c>
    </row>
    <row r="111" spans="1:8" x14ac:dyDescent="0.2">
      <c r="A111" s="3220">
        <v>1</v>
      </c>
      <c r="B111" s="3213">
        <v>10780602005</v>
      </c>
      <c r="C111" s="3155" t="s">
        <v>1090</v>
      </c>
      <c r="D111" s="3155">
        <v>704</v>
      </c>
      <c r="E111" s="3156">
        <v>30</v>
      </c>
      <c r="F111" s="3364"/>
      <c r="G111" s="3383">
        <v>488544163</v>
      </c>
      <c r="H111" s="3380">
        <v>130312443</v>
      </c>
    </row>
    <row r="112" spans="1:8" x14ac:dyDescent="0.2">
      <c r="A112" s="3220">
        <v>1</v>
      </c>
      <c r="B112" s="3213">
        <v>10751947660</v>
      </c>
      <c r="C112" s="3155" t="s">
        <v>1091</v>
      </c>
      <c r="D112" s="3155">
        <v>716</v>
      </c>
      <c r="E112" s="3156">
        <v>30</v>
      </c>
      <c r="F112" s="3364"/>
      <c r="G112" s="3383">
        <v>489013880</v>
      </c>
      <c r="H112" s="3380">
        <v>129885220</v>
      </c>
    </row>
    <row r="113" spans="1:8" x14ac:dyDescent="0.2">
      <c r="A113" s="3220">
        <v>1</v>
      </c>
      <c r="B113" s="3213">
        <v>1404355088</v>
      </c>
      <c r="C113" s="3155" t="s">
        <v>1092</v>
      </c>
      <c r="D113" s="3155">
        <v>723</v>
      </c>
      <c r="E113" s="3156">
        <v>30</v>
      </c>
      <c r="F113" s="3364"/>
      <c r="G113" s="3383">
        <v>488929932</v>
      </c>
      <c r="H113" s="3380">
        <v>129925943</v>
      </c>
    </row>
    <row r="114" spans="1:8" x14ac:dyDescent="0.2">
      <c r="A114" s="3220">
        <v>1</v>
      </c>
      <c r="B114" s="3213">
        <v>1407391644</v>
      </c>
      <c r="C114" s="3155" t="s">
        <v>1093</v>
      </c>
      <c r="D114" s="3155">
        <v>727</v>
      </c>
      <c r="E114" s="3156">
        <v>30</v>
      </c>
      <c r="F114" s="3364"/>
      <c r="G114" s="3383">
        <v>489371703</v>
      </c>
      <c r="H114" s="3380">
        <v>129870433</v>
      </c>
    </row>
    <row r="115" spans="1:8" x14ac:dyDescent="0.2">
      <c r="A115" s="3220">
        <v>1</v>
      </c>
      <c r="B115" s="3213">
        <v>4280155736</v>
      </c>
      <c r="C115" s="3155" t="s">
        <v>1094</v>
      </c>
      <c r="D115" s="3155">
        <v>728</v>
      </c>
      <c r="E115" s="3156">
        <v>30</v>
      </c>
      <c r="F115" s="3364"/>
      <c r="G115" s="3383">
        <v>488461118</v>
      </c>
      <c r="H115" s="3380">
        <v>130239630</v>
      </c>
    </row>
    <row r="116" spans="1:8" x14ac:dyDescent="0.2">
      <c r="A116" s="3220">
        <v>1</v>
      </c>
      <c r="B116" s="3213">
        <v>10763675182</v>
      </c>
      <c r="C116" s="3155" t="s">
        <v>1095</v>
      </c>
      <c r="D116" s="3155">
        <v>756</v>
      </c>
      <c r="E116" s="3156">
        <v>30</v>
      </c>
      <c r="F116" s="3364"/>
      <c r="G116" s="3383">
        <v>488847515</v>
      </c>
      <c r="H116" s="3380">
        <v>129960108</v>
      </c>
    </row>
    <row r="117" spans="1:8" x14ac:dyDescent="0.2">
      <c r="A117" s="3220">
        <v>1</v>
      </c>
      <c r="B117" s="3213">
        <v>10764697620</v>
      </c>
      <c r="C117" s="3155" t="s">
        <v>992</v>
      </c>
      <c r="D117" s="3155">
        <v>768</v>
      </c>
      <c r="E117" s="3156">
        <v>30</v>
      </c>
      <c r="F117" s="3364"/>
      <c r="G117" s="3383">
        <v>489580523</v>
      </c>
      <c r="H117" s="3380">
        <v>130048406</v>
      </c>
    </row>
    <row r="118" spans="1:8" x14ac:dyDescent="0.2">
      <c r="A118" s="3220">
        <v>1</v>
      </c>
      <c r="B118" s="3213">
        <v>10772132881</v>
      </c>
      <c r="C118" s="3155" t="s">
        <v>1096</v>
      </c>
      <c r="D118" s="3155">
        <v>783</v>
      </c>
      <c r="E118" s="3156">
        <v>30</v>
      </c>
      <c r="F118" s="3364"/>
      <c r="G118" s="3383">
        <v>489577987</v>
      </c>
      <c r="H118" s="3380">
        <v>130167282</v>
      </c>
    </row>
    <row r="119" spans="1:8" x14ac:dyDescent="0.2">
      <c r="A119" s="3220">
        <v>1</v>
      </c>
      <c r="B119" s="3213">
        <v>8569819697</v>
      </c>
      <c r="C119" s="3155" t="s">
        <v>1097</v>
      </c>
      <c r="D119" s="3155">
        <v>786</v>
      </c>
      <c r="E119" s="3156">
        <v>30</v>
      </c>
      <c r="F119" s="3364"/>
      <c r="G119" s="3383">
        <v>490709112</v>
      </c>
      <c r="H119" s="3380">
        <v>128419805</v>
      </c>
    </row>
    <row r="120" spans="1:8" x14ac:dyDescent="0.2">
      <c r="A120" s="3220">
        <v>1</v>
      </c>
      <c r="B120" s="3213">
        <v>9282812853</v>
      </c>
      <c r="C120" s="3155" t="s">
        <v>1098</v>
      </c>
      <c r="D120" s="3155">
        <v>807</v>
      </c>
      <c r="E120" s="3156">
        <v>30</v>
      </c>
      <c r="F120" s="3364"/>
      <c r="G120" s="3383">
        <v>488781394</v>
      </c>
      <c r="H120" s="3380">
        <v>129930559</v>
      </c>
    </row>
    <row r="121" spans="1:8" x14ac:dyDescent="0.2">
      <c r="A121" s="3220">
        <v>1</v>
      </c>
      <c r="B121" s="3213">
        <v>3283485115</v>
      </c>
      <c r="C121" s="3155" t="s">
        <v>1099</v>
      </c>
      <c r="D121" s="3155">
        <v>810</v>
      </c>
      <c r="E121" s="3156">
        <v>30</v>
      </c>
      <c r="F121" s="3364"/>
      <c r="G121" s="3383">
        <v>490157073</v>
      </c>
      <c r="H121" s="3380">
        <v>129405198</v>
      </c>
    </row>
    <row r="122" spans="1:8" x14ac:dyDescent="0.2">
      <c r="A122" s="3220">
        <v>1</v>
      </c>
      <c r="B122" s="3213">
        <v>1404351251</v>
      </c>
      <c r="C122" s="3155" t="s">
        <v>992</v>
      </c>
      <c r="D122" s="3155">
        <v>835</v>
      </c>
      <c r="E122" s="3156">
        <v>30</v>
      </c>
      <c r="F122" s="3364"/>
      <c r="G122" s="3383">
        <v>489215624</v>
      </c>
      <c r="H122" s="3380">
        <v>129990247</v>
      </c>
    </row>
    <row r="123" spans="1:8" x14ac:dyDescent="0.2">
      <c r="A123" s="3220">
        <v>1</v>
      </c>
      <c r="B123" s="3213">
        <v>9705949303</v>
      </c>
      <c r="C123" s="3155" t="s">
        <v>1100</v>
      </c>
      <c r="D123" s="3155">
        <v>924</v>
      </c>
      <c r="E123" s="3156">
        <v>30</v>
      </c>
      <c r="F123" s="3364"/>
      <c r="G123" s="3383">
        <v>488819981</v>
      </c>
      <c r="H123" s="3380">
        <v>130343006</v>
      </c>
    </row>
    <row r="124" spans="1:8" x14ac:dyDescent="0.2">
      <c r="A124" s="3220">
        <v>1</v>
      </c>
      <c r="B124" s="3213">
        <v>9705924219</v>
      </c>
      <c r="C124" s="3155" t="s">
        <v>1101</v>
      </c>
      <c r="D124" s="3155">
        <v>980</v>
      </c>
      <c r="E124" s="3156">
        <v>30</v>
      </c>
      <c r="F124" s="3364"/>
      <c r="G124" s="3383">
        <v>488912703</v>
      </c>
      <c r="H124" s="3380">
        <v>130459320</v>
      </c>
    </row>
    <row r="125" spans="1:8" x14ac:dyDescent="0.2">
      <c r="A125" s="3220">
        <v>1</v>
      </c>
      <c r="B125" s="3213">
        <v>1404357596</v>
      </c>
      <c r="C125" s="3155" t="s">
        <v>1102</v>
      </c>
      <c r="D125" s="3155">
        <v>984</v>
      </c>
      <c r="E125" s="3156">
        <v>30</v>
      </c>
      <c r="F125" s="3364"/>
      <c r="G125" s="3383">
        <v>489036526</v>
      </c>
      <c r="H125" s="3380">
        <v>130453947</v>
      </c>
    </row>
    <row r="126" spans="1:8" x14ac:dyDescent="0.2">
      <c r="A126" s="3220">
        <v>1</v>
      </c>
      <c r="B126" s="3213">
        <v>9196153697</v>
      </c>
      <c r="C126" s="3155" t="s">
        <v>996</v>
      </c>
      <c r="D126" s="3155">
        <v>1000</v>
      </c>
      <c r="E126" s="3156">
        <v>30</v>
      </c>
      <c r="F126" s="3364"/>
      <c r="G126" s="3383">
        <v>489114981</v>
      </c>
      <c r="H126" s="3380">
        <v>130003300</v>
      </c>
    </row>
    <row r="127" spans="1:8" x14ac:dyDescent="0.2">
      <c r="A127" s="3220">
        <v>1</v>
      </c>
      <c r="B127" s="3213">
        <v>987564984</v>
      </c>
      <c r="C127" s="3155" t="s">
        <v>1103</v>
      </c>
      <c r="D127" s="3155">
        <v>1043</v>
      </c>
      <c r="E127" s="3156">
        <v>30</v>
      </c>
      <c r="F127" s="3364"/>
      <c r="G127" s="3383">
        <v>489033901</v>
      </c>
      <c r="H127" s="3380">
        <v>130081744</v>
      </c>
    </row>
    <row r="128" spans="1:8" x14ac:dyDescent="0.2">
      <c r="A128" s="3220">
        <v>1</v>
      </c>
      <c r="B128" s="3214">
        <v>323838844</v>
      </c>
      <c r="C128" s="3157" t="s">
        <v>1104</v>
      </c>
      <c r="D128" s="3157">
        <v>1092</v>
      </c>
      <c r="E128" s="3158">
        <v>30</v>
      </c>
      <c r="F128" s="3366" t="s">
        <v>411</v>
      </c>
      <c r="G128" s="3383">
        <v>488972514</v>
      </c>
      <c r="H128" s="3380">
        <v>130221150</v>
      </c>
    </row>
    <row r="129" spans="1:8" x14ac:dyDescent="0.2">
      <c r="A129" s="3220">
        <v>1</v>
      </c>
      <c r="B129" s="3214">
        <v>323839655</v>
      </c>
      <c r="C129" s="3157" t="s">
        <v>1105</v>
      </c>
      <c r="D129" s="3157">
        <v>1097</v>
      </c>
      <c r="E129" s="3158">
        <v>30</v>
      </c>
      <c r="F129" s="3366" t="s">
        <v>411</v>
      </c>
      <c r="G129" s="3383">
        <v>489240769</v>
      </c>
      <c r="H129" s="3380">
        <v>130374226</v>
      </c>
    </row>
    <row r="130" spans="1:8" x14ac:dyDescent="0.2">
      <c r="A130" s="3220">
        <v>1</v>
      </c>
      <c r="B130" s="3214">
        <v>323850384</v>
      </c>
      <c r="C130" s="3157" t="s">
        <v>1106</v>
      </c>
      <c r="D130" s="3157">
        <v>1114</v>
      </c>
      <c r="E130" s="3158">
        <v>30</v>
      </c>
      <c r="F130" s="3366" t="s">
        <v>411</v>
      </c>
      <c r="G130" s="3383">
        <v>489065480</v>
      </c>
      <c r="H130" s="3380">
        <v>130300211</v>
      </c>
    </row>
    <row r="131" spans="1:8" x14ac:dyDescent="0.2">
      <c r="A131" s="3220">
        <v>1</v>
      </c>
      <c r="B131" s="3213">
        <v>323839344</v>
      </c>
      <c r="C131" s="3155" t="s">
        <v>1107</v>
      </c>
      <c r="D131" s="3155">
        <v>1121</v>
      </c>
      <c r="E131" s="3156">
        <v>30</v>
      </c>
      <c r="F131" s="3364"/>
      <c r="G131" s="3383">
        <v>489281616</v>
      </c>
      <c r="H131" s="3380">
        <v>130277588</v>
      </c>
    </row>
    <row r="132" spans="1:8" x14ac:dyDescent="0.2">
      <c r="A132" s="3220">
        <v>1</v>
      </c>
      <c r="B132" s="3213">
        <v>1404352472</v>
      </c>
      <c r="C132" s="3155" t="s">
        <v>1108</v>
      </c>
      <c r="D132" s="3155"/>
      <c r="E132" s="3156">
        <v>30</v>
      </c>
      <c r="F132" s="3364"/>
      <c r="G132" s="3383">
        <v>489224929</v>
      </c>
      <c r="H132" s="3380">
        <v>129876950</v>
      </c>
    </row>
    <row r="133" spans="1:8" ht="17" thickBot="1" x14ac:dyDescent="0.25">
      <c r="A133" s="3220">
        <v>1</v>
      </c>
      <c r="B133" s="3217">
        <v>2487020687</v>
      </c>
      <c r="C133" s="3163" t="s">
        <v>1109</v>
      </c>
      <c r="D133" s="3163"/>
      <c r="E133" s="3164">
        <v>30</v>
      </c>
      <c r="F133" s="3369"/>
      <c r="G133" s="3384">
        <v>491064846</v>
      </c>
      <c r="H133" s="3381">
        <v>124550015</v>
      </c>
    </row>
    <row r="134" spans="1:8" x14ac:dyDescent="0.2">
      <c r="A134" s="3220">
        <v>1</v>
      </c>
      <c r="B134" s="3210">
        <v>2880736838</v>
      </c>
      <c r="C134" s="3149" t="s">
        <v>1110</v>
      </c>
      <c r="D134" s="3149">
        <v>337</v>
      </c>
      <c r="E134" s="3150">
        <v>35</v>
      </c>
      <c r="F134" s="3360"/>
      <c r="G134" s="3400">
        <v>487723363</v>
      </c>
      <c r="H134" s="3401">
        <v>130475265</v>
      </c>
    </row>
    <row r="135" spans="1:8" x14ac:dyDescent="0.2">
      <c r="A135" s="3220">
        <v>1</v>
      </c>
      <c r="B135" s="3213">
        <v>10792539945</v>
      </c>
      <c r="C135" s="3155" t="s">
        <v>1111</v>
      </c>
      <c r="D135" s="3155">
        <v>382</v>
      </c>
      <c r="E135" s="3156">
        <v>35</v>
      </c>
      <c r="F135" s="3364"/>
      <c r="G135" s="3383">
        <v>487892448</v>
      </c>
      <c r="H135" s="3380">
        <v>130557489</v>
      </c>
    </row>
    <row r="136" spans="1:8" x14ac:dyDescent="0.2">
      <c r="A136" s="3220">
        <v>1</v>
      </c>
      <c r="B136" s="3213">
        <v>5166826201</v>
      </c>
      <c r="C136" s="3155" t="s">
        <v>1112</v>
      </c>
      <c r="D136" s="3155">
        <v>402</v>
      </c>
      <c r="E136" s="3156">
        <v>35</v>
      </c>
      <c r="F136" s="3364"/>
      <c r="G136" s="3383">
        <v>491851704</v>
      </c>
      <c r="H136" s="3380">
        <v>126160267</v>
      </c>
    </row>
    <row r="137" spans="1:8" x14ac:dyDescent="0.2">
      <c r="A137" s="3220">
        <v>1</v>
      </c>
      <c r="B137" s="3213">
        <v>5176796044</v>
      </c>
      <c r="C137" s="3155" t="s">
        <v>1113</v>
      </c>
      <c r="D137" s="3155">
        <v>416</v>
      </c>
      <c r="E137" s="3156">
        <v>35</v>
      </c>
      <c r="F137" s="3364"/>
      <c r="G137" s="3383">
        <v>491890432</v>
      </c>
      <c r="H137" s="3380">
        <v>126005493</v>
      </c>
    </row>
    <row r="138" spans="1:8" x14ac:dyDescent="0.2">
      <c r="A138" s="3220">
        <v>1</v>
      </c>
      <c r="B138" s="3213">
        <v>5166826200</v>
      </c>
      <c r="C138" s="3155" t="s">
        <v>1114</v>
      </c>
      <c r="D138" s="3155">
        <v>421</v>
      </c>
      <c r="E138" s="3156">
        <v>35</v>
      </c>
      <c r="F138" s="3364"/>
      <c r="G138" s="3383">
        <v>492005769</v>
      </c>
      <c r="H138" s="3380">
        <v>126034943</v>
      </c>
    </row>
    <row r="139" spans="1:8" x14ac:dyDescent="0.2">
      <c r="A139" s="3220">
        <v>1</v>
      </c>
      <c r="B139" s="3213">
        <v>10795176553</v>
      </c>
      <c r="C139" s="3155" t="s">
        <v>1115</v>
      </c>
      <c r="D139" s="3155">
        <v>421</v>
      </c>
      <c r="E139" s="3156">
        <v>35</v>
      </c>
      <c r="F139" s="3364"/>
      <c r="G139" s="3383">
        <v>488169386</v>
      </c>
      <c r="H139" s="3380">
        <v>131007242</v>
      </c>
    </row>
    <row r="140" spans="1:8" x14ac:dyDescent="0.2">
      <c r="A140" s="3220">
        <v>1</v>
      </c>
      <c r="B140" s="3213">
        <v>5082450219</v>
      </c>
      <c r="C140" s="3155" t="s">
        <v>1116</v>
      </c>
      <c r="D140" s="3155">
        <v>432</v>
      </c>
      <c r="E140" s="3156">
        <v>35</v>
      </c>
      <c r="F140" s="3364"/>
      <c r="G140" s="3383">
        <v>491811291</v>
      </c>
      <c r="H140" s="3380">
        <v>126224771</v>
      </c>
    </row>
    <row r="141" spans="1:8" x14ac:dyDescent="0.2">
      <c r="A141" s="3220">
        <v>1</v>
      </c>
      <c r="B141" s="3213">
        <v>5166826199</v>
      </c>
      <c r="C141" s="3155" t="s">
        <v>1117</v>
      </c>
      <c r="D141" s="3155">
        <v>434</v>
      </c>
      <c r="E141" s="3156">
        <v>35</v>
      </c>
      <c r="F141" s="3364"/>
      <c r="G141" s="3383">
        <v>491944161</v>
      </c>
      <c r="H141" s="3380">
        <v>126166071</v>
      </c>
    </row>
    <row r="142" spans="1:8" x14ac:dyDescent="0.2">
      <c r="A142" s="3220">
        <v>1</v>
      </c>
      <c r="B142" s="3213">
        <v>10792517556</v>
      </c>
      <c r="C142" s="3155" t="s">
        <v>1118</v>
      </c>
      <c r="D142" s="3155">
        <v>434</v>
      </c>
      <c r="E142" s="3156">
        <v>35</v>
      </c>
      <c r="F142" s="3364"/>
      <c r="G142" s="3383">
        <v>487996521</v>
      </c>
      <c r="H142" s="3380">
        <v>130236965</v>
      </c>
    </row>
    <row r="143" spans="1:8" x14ac:dyDescent="0.2">
      <c r="A143" s="3220">
        <v>1</v>
      </c>
      <c r="B143" s="3213">
        <v>5082450217</v>
      </c>
      <c r="C143" s="3155" t="s">
        <v>1119</v>
      </c>
      <c r="D143" s="3155">
        <v>435</v>
      </c>
      <c r="E143" s="3156">
        <v>35</v>
      </c>
      <c r="F143" s="3364"/>
      <c r="G143" s="3383">
        <v>491846480</v>
      </c>
      <c r="H143" s="3380">
        <v>125998858</v>
      </c>
    </row>
    <row r="144" spans="1:8" x14ac:dyDescent="0.2">
      <c r="A144" s="3220">
        <v>1</v>
      </c>
      <c r="B144" s="3213">
        <v>10793518626</v>
      </c>
      <c r="C144" s="3155" t="s">
        <v>1120</v>
      </c>
      <c r="D144" s="3155">
        <v>437</v>
      </c>
      <c r="E144" s="3156">
        <v>35</v>
      </c>
      <c r="F144" s="3364"/>
      <c r="G144" s="3383">
        <v>488171646</v>
      </c>
      <c r="H144" s="3380">
        <v>130709410</v>
      </c>
    </row>
    <row r="145" spans="1:8" x14ac:dyDescent="0.2">
      <c r="A145" s="3220">
        <v>1</v>
      </c>
      <c r="B145" s="3213">
        <v>5176796035</v>
      </c>
      <c r="C145" s="3155" t="s">
        <v>1121</v>
      </c>
      <c r="D145" s="3155">
        <v>443</v>
      </c>
      <c r="E145" s="3156">
        <v>35</v>
      </c>
      <c r="F145" s="3364"/>
      <c r="G145" s="3383">
        <v>491919840</v>
      </c>
      <c r="H145" s="3380">
        <v>126635456</v>
      </c>
    </row>
    <row r="146" spans="1:8" x14ac:dyDescent="0.2">
      <c r="A146" s="3220">
        <v>1</v>
      </c>
      <c r="B146" s="3213">
        <v>10793574124</v>
      </c>
      <c r="C146" s="3155" t="s">
        <v>1122</v>
      </c>
      <c r="D146" s="3155">
        <v>445</v>
      </c>
      <c r="E146" s="3156">
        <v>35</v>
      </c>
      <c r="F146" s="3364"/>
      <c r="G146" s="3383">
        <v>488350207</v>
      </c>
      <c r="H146" s="3380">
        <v>130727541</v>
      </c>
    </row>
    <row r="147" spans="1:8" x14ac:dyDescent="0.2">
      <c r="A147" s="3220">
        <v>1</v>
      </c>
      <c r="B147" s="3213">
        <v>5166826198</v>
      </c>
      <c r="C147" s="3155" t="s">
        <v>1123</v>
      </c>
      <c r="D147" s="3155">
        <v>447</v>
      </c>
      <c r="E147" s="3156">
        <v>35</v>
      </c>
      <c r="F147" s="3364"/>
      <c r="G147" s="3383">
        <v>491885842</v>
      </c>
      <c r="H147" s="3380">
        <v>126272772</v>
      </c>
    </row>
    <row r="148" spans="1:8" x14ac:dyDescent="0.2">
      <c r="A148" s="3220">
        <v>1</v>
      </c>
      <c r="B148" s="3213">
        <v>5176796043</v>
      </c>
      <c r="C148" s="3155" t="s">
        <v>1124</v>
      </c>
      <c r="D148" s="3155">
        <v>450</v>
      </c>
      <c r="E148" s="3156">
        <v>35</v>
      </c>
      <c r="F148" s="3364"/>
      <c r="G148" s="3383">
        <v>491689303</v>
      </c>
      <c r="H148" s="3380">
        <v>126103151</v>
      </c>
    </row>
    <row r="149" spans="1:8" x14ac:dyDescent="0.2">
      <c r="A149" s="3220">
        <v>1</v>
      </c>
      <c r="B149" s="3213">
        <v>5176796039</v>
      </c>
      <c r="C149" s="3155" t="s">
        <v>1125</v>
      </c>
      <c r="D149" s="3155">
        <v>451</v>
      </c>
      <c r="E149" s="3156">
        <v>35</v>
      </c>
      <c r="F149" s="3364"/>
      <c r="G149" s="3383">
        <v>491653252</v>
      </c>
      <c r="H149" s="3380">
        <v>126337341</v>
      </c>
    </row>
    <row r="150" spans="1:8" x14ac:dyDescent="0.2">
      <c r="A150" s="3220">
        <v>1</v>
      </c>
      <c r="B150" s="3213">
        <v>2450057589</v>
      </c>
      <c r="C150" s="3155" t="s">
        <v>1115</v>
      </c>
      <c r="D150" s="3155">
        <v>457</v>
      </c>
      <c r="E150" s="3156">
        <v>35</v>
      </c>
      <c r="F150" s="3364"/>
      <c r="G150" s="3383">
        <v>491133141</v>
      </c>
      <c r="H150" s="3380">
        <v>128734666</v>
      </c>
    </row>
    <row r="151" spans="1:8" x14ac:dyDescent="0.2">
      <c r="A151" s="3220">
        <v>1</v>
      </c>
      <c r="B151" s="3213">
        <v>5176796042</v>
      </c>
      <c r="C151" s="3155" t="s">
        <v>1027</v>
      </c>
      <c r="D151" s="3155">
        <v>457</v>
      </c>
      <c r="E151" s="3156">
        <v>35</v>
      </c>
      <c r="F151" s="3364"/>
      <c r="G151" s="3383">
        <v>491720988</v>
      </c>
      <c r="H151" s="3380">
        <v>126050828</v>
      </c>
    </row>
    <row r="152" spans="1:8" x14ac:dyDescent="0.2">
      <c r="A152" s="3220">
        <v>1</v>
      </c>
      <c r="B152" s="3213">
        <v>5176796036</v>
      </c>
      <c r="C152" s="3155" t="s">
        <v>1126</v>
      </c>
      <c r="D152" s="3155">
        <v>459</v>
      </c>
      <c r="E152" s="3156">
        <v>35</v>
      </c>
      <c r="F152" s="3364"/>
      <c r="G152" s="3383">
        <v>491744221</v>
      </c>
      <c r="H152" s="3380">
        <v>126542275</v>
      </c>
    </row>
    <row r="153" spans="1:8" x14ac:dyDescent="0.2">
      <c r="A153" s="3220">
        <v>1</v>
      </c>
      <c r="B153" s="3213">
        <v>5176796038</v>
      </c>
      <c r="C153" s="3155" t="s">
        <v>1127</v>
      </c>
      <c r="D153" s="3155">
        <v>461</v>
      </c>
      <c r="E153" s="3156">
        <v>35</v>
      </c>
      <c r="F153" s="3364"/>
      <c r="G153" s="3383">
        <v>491634261</v>
      </c>
      <c r="H153" s="3380">
        <v>126427222</v>
      </c>
    </row>
    <row r="154" spans="1:8" x14ac:dyDescent="0.2">
      <c r="A154" s="3220">
        <v>1</v>
      </c>
      <c r="B154" s="3213">
        <v>5082450218</v>
      </c>
      <c r="C154" s="3155" t="s">
        <v>992</v>
      </c>
      <c r="D154" s="3155">
        <v>463</v>
      </c>
      <c r="E154" s="3156">
        <v>35</v>
      </c>
      <c r="F154" s="3364"/>
      <c r="G154" s="3383">
        <v>491770166</v>
      </c>
      <c r="H154" s="3380">
        <v>126099045</v>
      </c>
    </row>
    <row r="155" spans="1:8" x14ac:dyDescent="0.2">
      <c r="A155" s="3220">
        <v>1</v>
      </c>
      <c r="B155" s="3213">
        <v>5176796040</v>
      </c>
      <c r="C155" s="3155" t="s">
        <v>1128</v>
      </c>
      <c r="D155" s="3155">
        <v>465</v>
      </c>
      <c r="E155" s="3156">
        <v>35</v>
      </c>
      <c r="F155" s="3364"/>
      <c r="G155" s="3383">
        <v>491661711</v>
      </c>
      <c r="H155" s="3380">
        <v>126246801</v>
      </c>
    </row>
    <row r="156" spans="1:8" x14ac:dyDescent="0.2">
      <c r="A156" s="3220">
        <v>1</v>
      </c>
      <c r="B156" s="3213">
        <v>5120209941</v>
      </c>
      <c r="C156" s="3155" t="s">
        <v>1129</v>
      </c>
      <c r="D156" s="3155">
        <v>470</v>
      </c>
      <c r="E156" s="3156">
        <v>35</v>
      </c>
      <c r="F156" s="3364"/>
      <c r="G156" s="3383">
        <v>491707088</v>
      </c>
      <c r="H156" s="3380">
        <v>126533791</v>
      </c>
    </row>
    <row r="157" spans="1:8" x14ac:dyDescent="0.2">
      <c r="A157" s="3220">
        <v>1</v>
      </c>
      <c r="B157" s="3213">
        <v>5116036783</v>
      </c>
      <c r="C157" s="3155" t="s">
        <v>1084</v>
      </c>
      <c r="D157" s="3155">
        <v>471</v>
      </c>
      <c r="E157" s="3156">
        <v>35</v>
      </c>
      <c r="F157" s="3364"/>
      <c r="G157" s="3383">
        <v>491935003</v>
      </c>
      <c r="H157" s="3380">
        <v>126957617</v>
      </c>
    </row>
    <row r="158" spans="1:8" x14ac:dyDescent="0.2">
      <c r="A158" s="3220">
        <v>1</v>
      </c>
      <c r="B158" s="3213">
        <v>10780602314</v>
      </c>
      <c r="C158" s="3155" t="s">
        <v>1130</v>
      </c>
      <c r="D158" s="3155">
        <v>472</v>
      </c>
      <c r="E158" s="3156">
        <v>35</v>
      </c>
      <c r="F158" s="3364"/>
      <c r="G158" s="3383">
        <v>488557964</v>
      </c>
      <c r="H158" s="3380">
        <v>130777699</v>
      </c>
    </row>
    <row r="159" spans="1:8" x14ac:dyDescent="0.2">
      <c r="A159" s="3220">
        <v>1</v>
      </c>
      <c r="B159" s="3213">
        <v>10793518638</v>
      </c>
      <c r="C159" s="3155" t="s">
        <v>1130</v>
      </c>
      <c r="D159" s="3155">
        <v>472</v>
      </c>
      <c r="E159" s="3156">
        <v>35</v>
      </c>
      <c r="F159" s="3364"/>
      <c r="G159" s="3383">
        <v>488115692</v>
      </c>
      <c r="H159" s="3380">
        <v>130607593</v>
      </c>
    </row>
    <row r="160" spans="1:8" x14ac:dyDescent="0.2">
      <c r="A160" s="3220">
        <v>1</v>
      </c>
      <c r="B160" s="3213">
        <v>6314498991</v>
      </c>
      <c r="C160" s="3155" t="s">
        <v>1112</v>
      </c>
      <c r="D160" s="3155">
        <v>475</v>
      </c>
      <c r="E160" s="3156">
        <v>35</v>
      </c>
      <c r="F160" s="3364"/>
      <c r="G160" s="3383">
        <v>491398680</v>
      </c>
      <c r="H160" s="3380">
        <v>124506166</v>
      </c>
    </row>
    <row r="161" spans="1:8" x14ac:dyDescent="0.2">
      <c r="A161" s="3220">
        <v>1</v>
      </c>
      <c r="B161" s="3213">
        <v>5176796037</v>
      </c>
      <c r="C161" s="3155" t="s">
        <v>1131</v>
      </c>
      <c r="D161" s="3155">
        <v>477</v>
      </c>
      <c r="E161" s="3156">
        <v>35</v>
      </c>
      <c r="F161" s="3364"/>
      <c r="G161" s="3383">
        <v>491645289</v>
      </c>
      <c r="H161" s="3380">
        <v>126547004</v>
      </c>
    </row>
    <row r="162" spans="1:8" x14ac:dyDescent="0.2">
      <c r="A162" s="3220">
        <v>1</v>
      </c>
      <c r="B162" s="3213">
        <v>5176796041</v>
      </c>
      <c r="C162" s="3155" t="s">
        <v>1132</v>
      </c>
      <c r="D162" s="3155">
        <v>478</v>
      </c>
      <c r="E162" s="3156">
        <v>35</v>
      </c>
      <c r="F162" s="3364"/>
      <c r="G162" s="3383">
        <v>491694064</v>
      </c>
      <c r="H162" s="3380">
        <v>126232848</v>
      </c>
    </row>
    <row r="163" spans="1:8" x14ac:dyDescent="0.2">
      <c r="A163" s="3220">
        <v>1</v>
      </c>
      <c r="B163" s="3213">
        <v>6314498988</v>
      </c>
      <c r="C163" s="3155" t="s">
        <v>1133</v>
      </c>
      <c r="D163" s="3155">
        <v>478</v>
      </c>
      <c r="E163" s="3156">
        <v>35</v>
      </c>
      <c r="F163" s="3364"/>
      <c r="G163" s="3383">
        <v>491471186</v>
      </c>
      <c r="H163" s="3380">
        <v>124539938</v>
      </c>
    </row>
    <row r="164" spans="1:8" x14ac:dyDescent="0.2">
      <c r="A164" s="3220">
        <v>1</v>
      </c>
      <c r="B164" s="3213">
        <v>5166282107</v>
      </c>
      <c r="C164" s="3155" t="s">
        <v>1134</v>
      </c>
      <c r="D164" s="3155">
        <v>483</v>
      </c>
      <c r="E164" s="3156">
        <v>35</v>
      </c>
      <c r="F164" s="3364"/>
      <c r="G164" s="3383">
        <v>491847478</v>
      </c>
      <c r="H164" s="3380">
        <v>125592680</v>
      </c>
    </row>
    <row r="165" spans="1:8" x14ac:dyDescent="0.2">
      <c r="A165" s="3220">
        <v>1</v>
      </c>
      <c r="B165" s="3213">
        <v>6314498987</v>
      </c>
      <c r="C165" s="3155" t="s">
        <v>1135</v>
      </c>
      <c r="D165" s="3155">
        <v>494</v>
      </c>
      <c r="E165" s="3156">
        <v>35</v>
      </c>
      <c r="F165" s="3364"/>
      <c r="G165" s="3383">
        <v>491491661</v>
      </c>
      <c r="H165" s="3380">
        <v>124664094</v>
      </c>
    </row>
    <row r="166" spans="1:8" x14ac:dyDescent="0.2">
      <c r="A166" s="3220">
        <v>1</v>
      </c>
      <c r="B166" s="3213">
        <v>5166282105</v>
      </c>
      <c r="C166" s="3155" t="s">
        <v>1136</v>
      </c>
      <c r="D166" s="3155">
        <v>499</v>
      </c>
      <c r="E166" s="3156">
        <v>35</v>
      </c>
      <c r="F166" s="3364"/>
      <c r="G166" s="3383">
        <v>491605332</v>
      </c>
      <c r="H166" s="3380">
        <v>125726461</v>
      </c>
    </row>
    <row r="167" spans="1:8" x14ac:dyDescent="0.2">
      <c r="A167" s="3220">
        <v>1</v>
      </c>
      <c r="B167" s="3213">
        <v>5166282106</v>
      </c>
      <c r="C167" s="3155" t="s">
        <v>1137</v>
      </c>
      <c r="D167" s="3155">
        <v>502</v>
      </c>
      <c r="E167" s="3156">
        <v>35</v>
      </c>
      <c r="F167" s="3364"/>
      <c r="G167" s="3383">
        <v>491658310</v>
      </c>
      <c r="H167" s="3380">
        <v>125649160</v>
      </c>
    </row>
    <row r="168" spans="1:8" x14ac:dyDescent="0.2">
      <c r="A168" s="3220">
        <v>1</v>
      </c>
      <c r="B168" s="3213">
        <v>10796085196</v>
      </c>
      <c r="C168" s="3155" t="s">
        <v>1138</v>
      </c>
      <c r="D168" s="3155">
        <v>502</v>
      </c>
      <c r="E168" s="3156">
        <v>35</v>
      </c>
      <c r="F168" s="3364"/>
      <c r="G168" s="3383">
        <v>488516278</v>
      </c>
      <c r="H168" s="3380">
        <v>131105679</v>
      </c>
    </row>
    <row r="169" spans="1:8" x14ac:dyDescent="0.2">
      <c r="A169" s="3220">
        <v>1</v>
      </c>
      <c r="B169" s="3213">
        <v>6314498996</v>
      </c>
      <c r="C169" s="3155" t="s">
        <v>1139</v>
      </c>
      <c r="D169" s="3155">
        <v>505</v>
      </c>
      <c r="E169" s="3156">
        <v>35</v>
      </c>
      <c r="F169" s="3364"/>
      <c r="G169" s="3383">
        <v>491565683</v>
      </c>
      <c r="H169" s="3380">
        <v>124201171</v>
      </c>
    </row>
    <row r="170" spans="1:8" x14ac:dyDescent="0.2">
      <c r="A170" s="3220">
        <v>1</v>
      </c>
      <c r="B170" s="3213">
        <v>6314498992</v>
      </c>
      <c r="C170" s="3155" t="s">
        <v>1140</v>
      </c>
      <c r="D170" s="3155">
        <v>516</v>
      </c>
      <c r="E170" s="3156">
        <v>35</v>
      </c>
      <c r="F170" s="3364"/>
      <c r="G170" s="3383">
        <v>491406156</v>
      </c>
      <c r="H170" s="3380">
        <v>124389028</v>
      </c>
    </row>
    <row r="171" spans="1:8" x14ac:dyDescent="0.2">
      <c r="A171" s="3220">
        <v>1</v>
      </c>
      <c r="B171" s="3213">
        <v>5116036785</v>
      </c>
      <c r="C171" s="3155" t="s">
        <v>1141</v>
      </c>
      <c r="D171" s="3155">
        <v>518</v>
      </c>
      <c r="E171" s="3156">
        <v>35</v>
      </c>
      <c r="F171" s="3364"/>
      <c r="G171" s="3383">
        <v>491927235</v>
      </c>
      <c r="H171" s="3380">
        <v>127121142</v>
      </c>
    </row>
    <row r="172" spans="1:8" x14ac:dyDescent="0.2">
      <c r="A172" s="3220">
        <v>1</v>
      </c>
      <c r="B172" s="3213">
        <v>6314498998</v>
      </c>
      <c r="C172" s="3155" t="s">
        <v>1142</v>
      </c>
      <c r="D172" s="3155">
        <v>530</v>
      </c>
      <c r="E172" s="3156">
        <v>35</v>
      </c>
      <c r="F172" s="3364"/>
      <c r="G172" s="3383">
        <v>491443802</v>
      </c>
      <c r="H172" s="3380">
        <v>124209975</v>
      </c>
    </row>
    <row r="173" spans="1:8" x14ac:dyDescent="0.2">
      <c r="A173" s="3220">
        <v>1</v>
      </c>
      <c r="B173" s="3213">
        <v>6314498990</v>
      </c>
      <c r="C173" s="3155" t="s">
        <v>1143</v>
      </c>
      <c r="D173" s="3155">
        <v>532</v>
      </c>
      <c r="E173" s="3156">
        <v>35</v>
      </c>
      <c r="F173" s="3364"/>
      <c r="G173" s="3383">
        <v>491413128</v>
      </c>
      <c r="H173" s="3380">
        <v>124633449</v>
      </c>
    </row>
    <row r="174" spans="1:8" x14ac:dyDescent="0.2">
      <c r="A174" s="3220">
        <v>1</v>
      </c>
      <c r="B174" s="3213">
        <v>6314498994</v>
      </c>
      <c r="C174" s="3155" t="s">
        <v>1144</v>
      </c>
      <c r="D174" s="3155">
        <v>535</v>
      </c>
      <c r="E174" s="3156">
        <v>35</v>
      </c>
      <c r="F174" s="3364"/>
      <c r="G174" s="3383">
        <v>491548264</v>
      </c>
      <c r="H174" s="3380">
        <v>124084512</v>
      </c>
    </row>
    <row r="175" spans="1:8" x14ac:dyDescent="0.2">
      <c r="A175" s="3220">
        <v>1</v>
      </c>
      <c r="B175" s="3213">
        <v>6314498995</v>
      </c>
      <c r="C175" s="3155" t="s">
        <v>1008</v>
      </c>
      <c r="D175" s="3155">
        <v>535</v>
      </c>
      <c r="E175" s="3156">
        <v>35</v>
      </c>
      <c r="F175" s="3364"/>
      <c r="G175" s="3383">
        <v>491536031</v>
      </c>
      <c r="H175" s="3380">
        <v>124235870</v>
      </c>
    </row>
    <row r="176" spans="1:8" x14ac:dyDescent="0.2">
      <c r="A176" s="3220">
        <v>1</v>
      </c>
      <c r="B176" s="3213">
        <v>61270684</v>
      </c>
      <c r="C176" s="3155" t="s">
        <v>1145</v>
      </c>
      <c r="D176" s="3155">
        <v>540</v>
      </c>
      <c r="E176" s="3156">
        <v>35</v>
      </c>
      <c r="F176" s="3364"/>
      <c r="G176" s="3383">
        <v>490264545</v>
      </c>
      <c r="H176" s="3380">
        <v>122560197</v>
      </c>
    </row>
    <row r="177" spans="1:8" x14ac:dyDescent="0.2">
      <c r="A177" s="3220">
        <v>1</v>
      </c>
      <c r="B177" s="3213">
        <v>10793553781</v>
      </c>
      <c r="C177" s="3155" t="s">
        <v>1130</v>
      </c>
      <c r="D177" s="3155">
        <v>542</v>
      </c>
      <c r="E177" s="3156">
        <v>35</v>
      </c>
      <c r="F177" s="3364"/>
      <c r="G177" s="3383">
        <v>488244547</v>
      </c>
      <c r="H177" s="3380">
        <v>130645895</v>
      </c>
    </row>
    <row r="178" spans="1:8" x14ac:dyDescent="0.2">
      <c r="A178" s="3220">
        <v>1</v>
      </c>
      <c r="B178" s="3213">
        <v>6314498993</v>
      </c>
      <c r="C178" s="3155" t="s">
        <v>1146</v>
      </c>
      <c r="D178" s="3155">
        <v>545</v>
      </c>
      <c r="E178" s="3156">
        <v>35</v>
      </c>
      <c r="F178" s="3364"/>
      <c r="G178" s="3383">
        <v>491528971</v>
      </c>
      <c r="H178" s="3380">
        <v>124040090</v>
      </c>
    </row>
    <row r="179" spans="1:8" x14ac:dyDescent="0.2">
      <c r="A179" s="3220">
        <v>1</v>
      </c>
      <c r="B179" s="3213">
        <v>6314498997</v>
      </c>
      <c r="C179" s="3155" t="s">
        <v>1147</v>
      </c>
      <c r="D179" s="3155">
        <v>550</v>
      </c>
      <c r="E179" s="3156">
        <v>35</v>
      </c>
      <c r="F179" s="3364"/>
      <c r="G179" s="3383">
        <v>491495669</v>
      </c>
      <c r="H179" s="3380">
        <v>124213850</v>
      </c>
    </row>
    <row r="180" spans="1:8" x14ac:dyDescent="0.2">
      <c r="A180" s="3220">
        <v>1</v>
      </c>
      <c r="B180" s="3213">
        <v>6315435069</v>
      </c>
      <c r="C180" s="3155" t="s">
        <v>1148</v>
      </c>
      <c r="D180" s="3155">
        <v>559</v>
      </c>
      <c r="E180" s="3156">
        <v>35</v>
      </c>
      <c r="F180" s="3364"/>
      <c r="G180" s="3383">
        <v>491556572</v>
      </c>
      <c r="H180" s="3380">
        <v>123917049</v>
      </c>
    </row>
    <row r="181" spans="1:8" x14ac:dyDescent="0.2">
      <c r="A181" s="3220">
        <v>1</v>
      </c>
      <c r="B181" s="3213">
        <v>10780600227</v>
      </c>
      <c r="C181" s="3155" t="s">
        <v>1149</v>
      </c>
      <c r="D181" s="3155">
        <v>562</v>
      </c>
      <c r="E181" s="3156">
        <v>35</v>
      </c>
      <c r="F181" s="3364"/>
      <c r="G181" s="3383">
        <v>488405570</v>
      </c>
      <c r="H181" s="3380">
        <v>130479169</v>
      </c>
    </row>
    <row r="182" spans="1:8" x14ac:dyDescent="0.2">
      <c r="A182" s="3220">
        <v>1</v>
      </c>
      <c r="B182" s="3213">
        <v>4187219670</v>
      </c>
      <c r="C182" s="3155" t="s">
        <v>1150</v>
      </c>
      <c r="D182" s="3155">
        <v>565</v>
      </c>
      <c r="E182" s="3156">
        <v>35</v>
      </c>
      <c r="F182" s="3364"/>
      <c r="G182" s="3383">
        <v>491469943</v>
      </c>
      <c r="H182" s="3380">
        <v>124084945</v>
      </c>
    </row>
    <row r="183" spans="1:8" x14ac:dyDescent="0.2">
      <c r="A183" s="3220">
        <v>1</v>
      </c>
      <c r="B183" s="3213">
        <v>6314508734</v>
      </c>
      <c r="C183" s="3155" t="s">
        <v>1151</v>
      </c>
      <c r="D183" s="3155">
        <v>571</v>
      </c>
      <c r="E183" s="3156">
        <v>35</v>
      </c>
      <c r="F183" s="3364"/>
      <c r="G183" s="3383">
        <v>491274662</v>
      </c>
      <c r="H183" s="3380">
        <v>123501388</v>
      </c>
    </row>
    <row r="184" spans="1:8" x14ac:dyDescent="0.2">
      <c r="A184" s="3220">
        <v>1</v>
      </c>
      <c r="B184" s="3213">
        <v>10777129154</v>
      </c>
      <c r="C184" s="3155" t="s">
        <v>1119</v>
      </c>
      <c r="D184" s="3155">
        <v>576</v>
      </c>
      <c r="E184" s="3156">
        <v>35</v>
      </c>
      <c r="F184" s="3364"/>
      <c r="G184" s="3383">
        <v>489608278</v>
      </c>
      <c r="H184" s="3380">
        <v>130980635</v>
      </c>
    </row>
    <row r="185" spans="1:8" x14ac:dyDescent="0.2">
      <c r="A185" s="3220">
        <v>1</v>
      </c>
      <c r="B185" s="3213">
        <v>10796085192</v>
      </c>
      <c r="C185" s="3155" t="s">
        <v>1152</v>
      </c>
      <c r="D185" s="3155">
        <v>578</v>
      </c>
      <c r="E185" s="3156">
        <v>35</v>
      </c>
      <c r="F185" s="3364"/>
      <c r="G185" s="3383">
        <v>488551928</v>
      </c>
      <c r="H185" s="3380">
        <v>131066465</v>
      </c>
    </row>
    <row r="186" spans="1:8" x14ac:dyDescent="0.2">
      <c r="A186" s="3220">
        <v>1</v>
      </c>
      <c r="B186" s="3213">
        <v>5001231975</v>
      </c>
      <c r="C186" s="3155" t="s">
        <v>1008</v>
      </c>
      <c r="D186" s="3155">
        <v>581</v>
      </c>
      <c r="E186" s="3156">
        <v>35</v>
      </c>
      <c r="F186" s="3364"/>
      <c r="G186" s="3383">
        <v>490611207</v>
      </c>
      <c r="H186" s="3380">
        <v>129990015</v>
      </c>
    </row>
    <row r="187" spans="1:8" x14ac:dyDescent="0.2">
      <c r="A187" s="3220">
        <v>1</v>
      </c>
      <c r="B187" s="3213">
        <v>6314508735</v>
      </c>
      <c r="C187" s="3155" t="s">
        <v>1153</v>
      </c>
      <c r="D187" s="3155">
        <v>583</v>
      </c>
      <c r="E187" s="3156">
        <v>35</v>
      </c>
      <c r="F187" s="3364"/>
      <c r="G187" s="3383">
        <v>491318309</v>
      </c>
      <c r="H187" s="3380">
        <v>123539731</v>
      </c>
    </row>
    <row r="188" spans="1:8" x14ac:dyDescent="0.2">
      <c r="A188" s="3220">
        <v>1</v>
      </c>
      <c r="B188" s="3213">
        <v>3625256516</v>
      </c>
      <c r="C188" s="3155" t="s">
        <v>1154</v>
      </c>
      <c r="D188" s="3155">
        <v>584</v>
      </c>
      <c r="E188" s="3156">
        <v>35</v>
      </c>
      <c r="F188" s="3364"/>
      <c r="G188" s="3383">
        <v>491527182</v>
      </c>
      <c r="H188" s="3380">
        <v>125245238</v>
      </c>
    </row>
    <row r="189" spans="1:8" x14ac:dyDescent="0.2">
      <c r="A189" s="3220">
        <v>1</v>
      </c>
      <c r="B189" s="3213">
        <v>6315435071</v>
      </c>
      <c r="C189" s="3155" t="s">
        <v>1155</v>
      </c>
      <c r="D189" s="3155">
        <v>593</v>
      </c>
      <c r="E189" s="3156">
        <v>35</v>
      </c>
      <c r="F189" s="3364"/>
      <c r="G189" s="3383">
        <v>491387323</v>
      </c>
      <c r="H189" s="3380">
        <v>123472926</v>
      </c>
    </row>
    <row r="190" spans="1:8" x14ac:dyDescent="0.2">
      <c r="A190" s="3220">
        <v>1</v>
      </c>
      <c r="B190" s="3213">
        <v>10777129108</v>
      </c>
      <c r="C190" s="3155" t="s">
        <v>1008</v>
      </c>
      <c r="D190" s="3155">
        <v>600</v>
      </c>
      <c r="E190" s="3156">
        <v>35</v>
      </c>
      <c r="F190" s="3364"/>
      <c r="G190" s="3383">
        <v>489265174</v>
      </c>
      <c r="H190" s="3380">
        <v>131101763</v>
      </c>
    </row>
    <row r="191" spans="1:8" x14ac:dyDescent="0.2">
      <c r="A191" s="3220">
        <v>1</v>
      </c>
      <c r="B191" s="3213">
        <v>3491457655</v>
      </c>
      <c r="C191" s="3155" t="s">
        <v>1156</v>
      </c>
      <c r="D191" s="3155">
        <v>601</v>
      </c>
      <c r="E191" s="3156">
        <v>35</v>
      </c>
      <c r="F191" s="3364"/>
      <c r="G191" s="3383">
        <v>490587289</v>
      </c>
      <c r="H191" s="3380">
        <v>123129608</v>
      </c>
    </row>
    <row r="192" spans="1:8" x14ac:dyDescent="0.2">
      <c r="A192" s="3220">
        <v>1</v>
      </c>
      <c r="B192" s="3213">
        <v>5089226542</v>
      </c>
      <c r="C192" s="3155" t="s">
        <v>1157</v>
      </c>
      <c r="D192" s="3155">
        <v>602</v>
      </c>
      <c r="E192" s="3156">
        <v>35</v>
      </c>
      <c r="F192" s="3364"/>
      <c r="G192" s="3383">
        <v>491991128</v>
      </c>
      <c r="H192" s="3380">
        <v>127187722</v>
      </c>
    </row>
    <row r="193" spans="1:8" x14ac:dyDescent="0.2">
      <c r="A193" s="3220">
        <v>1</v>
      </c>
      <c r="B193" s="3213">
        <v>10777129159</v>
      </c>
      <c r="C193" s="3155" t="s">
        <v>1026</v>
      </c>
      <c r="D193" s="3155">
        <v>602</v>
      </c>
      <c r="E193" s="3156">
        <v>35</v>
      </c>
      <c r="F193" s="3364"/>
      <c r="G193" s="3383">
        <v>489457578</v>
      </c>
      <c r="H193" s="3380">
        <v>130947643</v>
      </c>
    </row>
    <row r="194" spans="1:8" x14ac:dyDescent="0.2">
      <c r="A194" s="3220">
        <v>1</v>
      </c>
      <c r="B194" s="3213">
        <v>6314508733</v>
      </c>
      <c r="C194" s="3155" t="s">
        <v>1158</v>
      </c>
      <c r="D194" s="3155">
        <v>605</v>
      </c>
      <c r="E194" s="3156">
        <v>35</v>
      </c>
      <c r="F194" s="3364"/>
      <c r="G194" s="3383">
        <v>491347840</v>
      </c>
      <c r="H194" s="3380">
        <v>123608031</v>
      </c>
    </row>
    <row r="195" spans="1:8" x14ac:dyDescent="0.2">
      <c r="A195" s="3220">
        <v>1</v>
      </c>
      <c r="B195" s="3213">
        <v>10777129137</v>
      </c>
      <c r="C195" s="3155" t="s">
        <v>1159</v>
      </c>
      <c r="D195" s="3155">
        <v>613</v>
      </c>
      <c r="E195" s="3156">
        <v>35</v>
      </c>
      <c r="F195" s="3364"/>
      <c r="G195" s="3383">
        <v>489174726</v>
      </c>
      <c r="H195" s="3380">
        <v>131076658</v>
      </c>
    </row>
    <row r="196" spans="1:8" x14ac:dyDescent="0.2">
      <c r="A196" s="3220">
        <v>1</v>
      </c>
      <c r="B196" s="3213">
        <v>6314508732</v>
      </c>
      <c r="C196" s="3155" t="s">
        <v>1136</v>
      </c>
      <c r="D196" s="3155">
        <v>621</v>
      </c>
      <c r="E196" s="3156">
        <v>35</v>
      </c>
      <c r="F196" s="3364"/>
      <c r="G196" s="3383">
        <v>491245381</v>
      </c>
      <c r="H196" s="3380">
        <v>123747865</v>
      </c>
    </row>
    <row r="197" spans="1:8" x14ac:dyDescent="0.2">
      <c r="A197" s="3220">
        <v>1</v>
      </c>
      <c r="B197" s="3213">
        <v>10777129155</v>
      </c>
      <c r="C197" s="3155" t="s">
        <v>1160</v>
      </c>
      <c r="D197" s="3155">
        <v>621</v>
      </c>
      <c r="E197" s="3156">
        <v>35</v>
      </c>
      <c r="F197" s="3364"/>
      <c r="G197" s="3383">
        <v>489565800</v>
      </c>
      <c r="H197" s="3380">
        <v>130840087</v>
      </c>
    </row>
    <row r="198" spans="1:8" x14ac:dyDescent="0.2">
      <c r="A198" s="3220">
        <v>1</v>
      </c>
      <c r="B198" s="3213">
        <v>10777129152</v>
      </c>
      <c r="C198" s="3155" t="s">
        <v>1161</v>
      </c>
      <c r="D198" s="3155">
        <v>635</v>
      </c>
      <c r="E198" s="3156">
        <v>35</v>
      </c>
      <c r="F198" s="3364"/>
      <c r="G198" s="3383">
        <v>489515638</v>
      </c>
      <c r="H198" s="3380">
        <v>130858326</v>
      </c>
    </row>
    <row r="199" spans="1:8" x14ac:dyDescent="0.2">
      <c r="A199" s="3220">
        <v>1</v>
      </c>
      <c r="B199" s="3213">
        <v>5089226543</v>
      </c>
      <c r="C199" s="3155" t="s">
        <v>1162</v>
      </c>
      <c r="D199" s="3155">
        <v>646</v>
      </c>
      <c r="E199" s="3156">
        <v>35</v>
      </c>
      <c r="F199" s="3364"/>
      <c r="G199" s="3383">
        <v>491909334</v>
      </c>
      <c r="H199" s="3380">
        <v>127677694</v>
      </c>
    </row>
    <row r="200" spans="1:8" x14ac:dyDescent="0.2">
      <c r="A200" s="3220">
        <v>1</v>
      </c>
      <c r="B200" s="3213">
        <v>1756787439</v>
      </c>
      <c r="C200" s="3155" t="s">
        <v>1163</v>
      </c>
      <c r="D200" s="3155">
        <v>652</v>
      </c>
      <c r="E200" s="3156">
        <v>35</v>
      </c>
      <c r="F200" s="3364"/>
      <c r="G200" s="3383">
        <v>491203874</v>
      </c>
      <c r="H200" s="3380">
        <v>123761635</v>
      </c>
    </row>
    <row r="201" spans="1:8" x14ac:dyDescent="0.2">
      <c r="A201" s="3220">
        <v>1</v>
      </c>
      <c r="B201" s="3213">
        <v>10777029896</v>
      </c>
      <c r="C201" s="3155" t="s">
        <v>1112</v>
      </c>
      <c r="D201" s="3155">
        <v>662</v>
      </c>
      <c r="E201" s="3156">
        <v>35</v>
      </c>
      <c r="F201" s="3364"/>
      <c r="G201" s="3383">
        <v>489295696</v>
      </c>
      <c r="H201" s="3380">
        <v>130855322</v>
      </c>
    </row>
    <row r="202" spans="1:8" x14ac:dyDescent="0.2">
      <c r="A202" s="3220">
        <v>1</v>
      </c>
      <c r="B202" s="3213">
        <v>1404364860</v>
      </c>
      <c r="C202" s="3155" t="s">
        <v>1164</v>
      </c>
      <c r="D202" s="3155">
        <v>663</v>
      </c>
      <c r="E202" s="3156">
        <v>35</v>
      </c>
      <c r="F202" s="3364"/>
      <c r="G202" s="3383">
        <v>489416362</v>
      </c>
      <c r="H202" s="3380">
        <v>130875161</v>
      </c>
    </row>
    <row r="203" spans="1:8" x14ac:dyDescent="0.2">
      <c r="A203" s="3220">
        <v>1</v>
      </c>
      <c r="B203" s="3213">
        <v>10777129107</v>
      </c>
      <c r="C203" s="3155" t="s">
        <v>1026</v>
      </c>
      <c r="D203" s="3155">
        <v>666</v>
      </c>
      <c r="E203" s="3156">
        <v>35</v>
      </c>
      <c r="F203" s="3364"/>
      <c r="G203" s="3383">
        <v>489099915</v>
      </c>
      <c r="H203" s="3380">
        <v>131098920</v>
      </c>
    </row>
    <row r="204" spans="1:8" x14ac:dyDescent="0.2">
      <c r="A204" s="3220">
        <v>1</v>
      </c>
      <c r="B204" s="3213">
        <v>3252441016</v>
      </c>
      <c r="C204" s="3155" t="s">
        <v>1165</v>
      </c>
      <c r="D204" s="3155">
        <v>672</v>
      </c>
      <c r="E204" s="3156">
        <v>35</v>
      </c>
      <c r="F204" s="3364"/>
      <c r="G204" s="3383">
        <v>490586241</v>
      </c>
      <c r="H204" s="3380">
        <v>129853930</v>
      </c>
    </row>
    <row r="205" spans="1:8" x14ac:dyDescent="0.2">
      <c r="A205" s="3220">
        <v>1</v>
      </c>
      <c r="B205" s="3213">
        <v>591937869</v>
      </c>
      <c r="C205" s="3155" t="s">
        <v>1026</v>
      </c>
      <c r="D205" s="3155">
        <v>673</v>
      </c>
      <c r="E205" s="3156">
        <v>35</v>
      </c>
      <c r="F205" s="3364"/>
      <c r="G205" s="3383">
        <v>490614251</v>
      </c>
      <c r="H205" s="3380">
        <v>129639370</v>
      </c>
    </row>
    <row r="206" spans="1:8" x14ac:dyDescent="0.2">
      <c r="A206" s="3220">
        <v>1</v>
      </c>
      <c r="B206" s="3213">
        <v>4865834075</v>
      </c>
      <c r="C206" s="3155" t="s">
        <v>1166</v>
      </c>
      <c r="D206" s="3155">
        <v>675</v>
      </c>
      <c r="E206" s="3156">
        <v>35</v>
      </c>
      <c r="F206" s="3364"/>
      <c r="G206" s="3383">
        <v>490407014</v>
      </c>
      <c r="H206" s="3380">
        <v>130555250</v>
      </c>
    </row>
    <row r="207" spans="1:8" x14ac:dyDescent="0.2">
      <c r="A207" s="3220">
        <v>1</v>
      </c>
      <c r="B207" s="3213">
        <v>1756787438</v>
      </c>
      <c r="C207" s="3155" t="s">
        <v>1167</v>
      </c>
      <c r="D207" s="3155">
        <v>677</v>
      </c>
      <c r="E207" s="3156">
        <v>35</v>
      </c>
      <c r="F207" s="3364"/>
      <c r="G207" s="3383">
        <v>491220595</v>
      </c>
      <c r="H207" s="3380">
        <v>124001082</v>
      </c>
    </row>
    <row r="208" spans="1:8" x14ac:dyDescent="0.2">
      <c r="A208" s="3220">
        <v>1</v>
      </c>
      <c r="B208" s="3213">
        <v>10764697987</v>
      </c>
      <c r="C208" s="3155" t="s">
        <v>1168</v>
      </c>
      <c r="D208" s="3155">
        <v>696</v>
      </c>
      <c r="E208" s="3156">
        <v>35</v>
      </c>
      <c r="F208" s="3364"/>
      <c r="G208" s="3383">
        <v>489144197</v>
      </c>
      <c r="H208" s="3380">
        <v>130960089</v>
      </c>
    </row>
    <row r="209" spans="1:8" x14ac:dyDescent="0.2">
      <c r="A209" s="3220">
        <v>1</v>
      </c>
      <c r="B209" s="3213">
        <v>591935258</v>
      </c>
      <c r="C209" s="3155" t="s">
        <v>1169</v>
      </c>
      <c r="D209" s="3155">
        <v>705</v>
      </c>
      <c r="E209" s="3156">
        <v>35</v>
      </c>
      <c r="F209" s="3364"/>
      <c r="G209" s="3383">
        <v>490607078</v>
      </c>
      <c r="H209" s="3380">
        <v>129799272</v>
      </c>
    </row>
    <row r="210" spans="1:8" x14ac:dyDescent="0.2">
      <c r="A210" s="3220">
        <v>1</v>
      </c>
      <c r="B210" s="3213">
        <v>10764160963</v>
      </c>
      <c r="C210" s="3155" t="s">
        <v>1170</v>
      </c>
      <c r="D210" s="3155">
        <v>709</v>
      </c>
      <c r="E210" s="3156">
        <v>35</v>
      </c>
      <c r="F210" s="3364"/>
      <c r="G210" s="3383">
        <v>489136159</v>
      </c>
      <c r="H210" s="3380">
        <v>130810583</v>
      </c>
    </row>
    <row r="211" spans="1:8" x14ac:dyDescent="0.2">
      <c r="A211" s="3220">
        <v>1</v>
      </c>
      <c r="B211" s="3213">
        <v>10764132464</v>
      </c>
      <c r="C211" s="3155" t="s">
        <v>1171</v>
      </c>
      <c r="D211" s="3155">
        <v>724</v>
      </c>
      <c r="E211" s="3156">
        <v>35</v>
      </c>
      <c r="F211" s="3364"/>
      <c r="G211" s="3383">
        <v>488868786</v>
      </c>
      <c r="H211" s="3380">
        <v>130900866</v>
      </c>
    </row>
    <row r="212" spans="1:8" x14ac:dyDescent="0.2">
      <c r="A212" s="3220">
        <v>1</v>
      </c>
      <c r="B212" s="3213">
        <v>10777029897</v>
      </c>
      <c r="C212" s="3155" t="s">
        <v>1172</v>
      </c>
      <c r="D212" s="3155">
        <v>725</v>
      </c>
      <c r="E212" s="3156">
        <v>35</v>
      </c>
      <c r="F212" s="3364"/>
      <c r="G212" s="3383">
        <v>489208285</v>
      </c>
      <c r="H212" s="3380">
        <v>130857575</v>
      </c>
    </row>
    <row r="213" spans="1:8" x14ac:dyDescent="0.2">
      <c r="A213" s="3220">
        <v>1</v>
      </c>
      <c r="B213" s="3213">
        <v>10764161048</v>
      </c>
      <c r="C213" s="3155" t="s">
        <v>1173</v>
      </c>
      <c r="D213" s="3155">
        <v>728</v>
      </c>
      <c r="E213" s="3156">
        <v>35</v>
      </c>
      <c r="F213" s="3364"/>
      <c r="G213" s="3383">
        <v>489007709</v>
      </c>
      <c r="H213" s="3380">
        <v>130736554</v>
      </c>
    </row>
    <row r="214" spans="1:8" x14ac:dyDescent="0.2">
      <c r="A214" s="3220">
        <v>1</v>
      </c>
      <c r="B214" s="3213">
        <v>10764160962</v>
      </c>
      <c r="C214" s="3155" t="s">
        <v>1174</v>
      </c>
      <c r="D214" s="3155">
        <v>751</v>
      </c>
      <c r="E214" s="3156">
        <v>35</v>
      </c>
      <c r="F214" s="3364"/>
      <c r="G214" s="3383">
        <v>489120858</v>
      </c>
      <c r="H214" s="3380">
        <v>130734837</v>
      </c>
    </row>
    <row r="215" spans="1:8" x14ac:dyDescent="0.2">
      <c r="A215" s="3220">
        <v>1</v>
      </c>
      <c r="B215" s="3213">
        <v>10764160961</v>
      </c>
      <c r="C215" s="3155" t="s">
        <v>1175</v>
      </c>
      <c r="D215" s="3155">
        <v>759</v>
      </c>
      <c r="E215" s="3156">
        <v>35</v>
      </c>
      <c r="F215" s="3364"/>
      <c r="G215" s="3383">
        <v>489133056</v>
      </c>
      <c r="H215" s="3380">
        <v>130643320</v>
      </c>
    </row>
    <row r="216" spans="1:8" x14ac:dyDescent="0.2">
      <c r="A216" s="3220">
        <v>1</v>
      </c>
      <c r="B216" s="3213">
        <v>10780565660</v>
      </c>
      <c r="C216" s="3155" t="s">
        <v>1176</v>
      </c>
      <c r="D216" s="3155">
        <v>798</v>
      </c>
      <c r="E216" s="3156">
        <v>35</v>
      </c>
      <c r="F216" s="3364"/>
      <c r="G216" s="3383">
        <v>488494816</v>
      </c>
      <c r="H216" s="3380">
        <v>130659413</v>
      </c>
    </row>
    <row r="217" spans="1:8" x14ac:dyDescent="0.2">
      <c r="A217" s="3220">
        <v>1</v>
      </c>
      <c r="B217" s="3213">
        <v>10780600169</v>
      </c>
      <c r="C217" s="3155" t="s">
        <v>1030</v>
      </c>
      <c r="D217" s="3155">
        <v>798</v>
      </c>
      <c r="E217" s="3156">
        <v>35</v>
      </c>
      <c r="F217" s="3364"/>
      <c r="G217" s="3383">
        <v>488652723</v>
      </c>
      <c r="H217" s="3380">
        <v>130514789</v>
      </c>
    </row>
    <row r="218" spans="1:8" x14ac:dyDescent="0.2">
      <c r="A218" s="3220">
        <v>1</v>
      </c>
      <c r="B218" s="3213">
        <v>1407404123</v>
      </c>
      <c r="C218" s="3155" t="s">
        <v>1177</v>
      </c>
      <c r="D218" s="3155">
        <v>818</v>
      </c>
      <c r="E218" s="3156">
        <v>35</v>
      </c>
      <c r="F218" s="3364"/>
      <c r="G218" s="3383">
        <v>489526445</v>
      </c>
      <c r="H218" s="3380">
        <v>130456657</v>
      </c>
    </row>
    <row r="219" spans="1:8" x14ac:dyDescent="0.2">
      <c r="A219" s="3220">
        <v>1</v>
      </c>
      <c r="B219" s="3213">
        <v>10795248634</v>
      </c>
      <c r="C219" s="3155" t="s">
        <v>1178</v>
      </c>
      <c r="D219" s="3155">
        <v>818</v>
      </c>
      <c r="E219" s="3156">
        <v>35</v>
      </c>
      <c r="F219" s="3364"/>
      <c r="G219" s="3383">
        <v>488860249</v>
      </c>
      <c r="H219" s="3380">
        <v>131077731</v>
      </c>
    </row>
    <row r="220" spans="1:8" x14ac:dyDescent="0.2">
      <c r="A220" s="3220">
        <v>1</v>
      </c>
      <c r="B220" s="3213">
        <v>9293796971</v>
      </c>
      <c r="C220" s="3155" t="s">
        <v>1036</v>
      </c>
      <c r="D220" s="3155">
        <v>819</v>
      </c>
      <c r="E220" s="3156">
        <v>35</v>
      </c>
      <c r="F220" s="3364"/>
      <c r="G220" s="3383">
        <v>488755134</v>
      </c>
      <c r="H220" s="3380">
        <v>130941607</v>
      </c>
    </row>
    <row r="221" spans="1:8" x14ac:dyDescent="0.2">
      <c r="A221" s="3220">
        <v>1</v>
      </c>
      <c r="B221" s="3213">
        <v>1404363111</v>
      </c>
      <c r="C221" s="3155" t="s">
        <v>1179</v>
      </c>
      <c r="D221" s="3155">
        <v>824</v>
      </c>
      <c r="E221" s="3156">
        <v>35</v>
      </c>
      <c r="F221" s="3364"/>
      <c r="G221" s="3383">
        <v>489197435</v>
      </c>
      <c r="H221" s="3380">
        <v>130630651</v>
      </c>
    </row>
    <row r="222" spans="1:8" x14ac:dyDescent="0.2">
      <c r="A222" s="3220">
        <v>1</v>
      </c>
      <c r="B222" s="3213">
        <v>1407404121</v>
      </c>
      <c r="C222" s="3155" t="s">
        <v>1180</v>
      </c>
      <c r="D222" s="3155">
        <v>871</v>
      </c>
      <c r="E222" s="3156">
        <v>35</v>
      </c>
      <c r="F222" s="3364"/>
      <c r="G222" s="3383">
        <v>489576042</v>
      </c>
      <c r="H222" s="3380">
        <v>130334777</v>
      </c>
    </row>
    <row r="223" spans="1:8" x14ac:dyDescent="0.2">
      <c r="A223" s="3220">
        <v>1</v>
      </c>
      <c r="B223" s="3213">
        <v>2450057591</v>
      </c>
      <c r="C223" s="3155" t="s">
        <v>999</v>
      </c>
      <c r="D223" s="3155">
        <v>882</v>
      </c>
      <c r="E223" s="3156">
        <v>35</v>
      </c>
      <c r="F223" s="3364"/>
      <c r="G223" s="3383">
        <v>490929436</v>
      </c>
      <c r="H223" s="3380">
        <v>129649528</v>
      </c>
    </row>
    <row r="224" spans="1:8" x14ac:dyDescent="0.2">
      <c r="A224" s="3220">
        <v>1</v>
      </c>
      <c r="B224" s="3213">
        <v>591818020</v>
      </c>
      <c r="C224" s="3155" t="s">
        <v>1181</v>
      </c>
      <c r="D224" s="3155">
        <v>886</v>
      </c>
      <c r="E224" s="3156">
        <v>35</v>
      </c>
      <c r="F224" s="3364"/>
      <c r="G224" s="3383">
        <v>488749128</v>
      </c>
      <c r="H224" s="3380">
        <v>131103491</v>
      </c>
    </row>
    <row r="225" spans="1:8" x14ac:dyDescent="0.2">
      <c r="A225" s="3220">
        <v>1</v>
      </c>
      <c r="B225" s="3213">
        <v>1404364857</v>
      </c>
      <c r="C225" s="3155" t="s">
        <v>1182</v>
      </c>
      <c r="D225" s="3155">
        <v>891</v>
      </c>
      <c r="E225" s="3156">
        <v>35</v>
      </c>
      <c r="F225" s="3364"/>
      <c r="G225" s="3383">
        <v>489336584</v>
      </c>
      <c r="H225" s="3380">
        <v>130888894</v>
      </c>
    </row>
    <row r="226" spans="1:8" x14ac:dyDescent="0.2">
      <c r="A226" s="3220">
        <v>1</v>
      </c>
      <c r="B226" s="3213">
        <v>2996229872</v>
      </c>
      <c r="C226" s="3155" t="s">
        <v>1183</v>
      </c>
      <c r="D226" s="3155">
        <v>898</v>
      </c>
      <c r="E226" s="3156">
        <v>35</v>
      </c>
      <c r="F226" s="3364"/>
      <c r="G226" s="3383">
        <v>490991072</v>
      </c>
      <c r="H226" s="3380">
        <v>129600509</v>
      </c>
    </row>
    <row r="227" spans="1:8" x14ac:dyDescent="0.2">
      <c r="A227" s="3220">
        <v>1</v>
      </c>
      <c r="B227" s="3213">
        <v>1378735198</v>
      </c>
      <c r="C227" s="3155" t="s">
        <v>1184</v>
      </c>
      <c r="D227" s="3155">
        <v>901</v>
      </c>
      <c r="E227" s="3156">
        <v>35</v>
      </c>
      <c r="F227" s="3364"/>
      <c r="G227" s="3383">
        <v>489326754</v>
      </c>
      <c r="H227" s="3380">
        <v>130646430</v>
      </c>
    </row>
    <row r="228" spans="1:8" x14ac:dyDescent="0.2">
      <c r="A228" s="3220">
        <v>1</v>
      </c>
      <c r="B228" s="3213">
        <v>2362228098</v>
      </c>
      <c r="C228" s="3155" t="s">
        <v>1185</v>
      </c>
      <c r="D228" s="3155">
        <v>917</v>
      </c>
      <c r="E228" s="3156">
        <v>35</v>
      </c>
      <c r="F228" s="3364"/>
      <c r="G228" s="3383">
        <v>488709360</v>
      </c>
      <c r="H228" s="3380">
        <v>130705657</v>
      </c>
    </row>
    <row r="229" spans="1:8" x14ac:dyDescent="0.2">
      <c r="A229" s="3220">
        <v>1</v>
      </c>
      <c r="B229" s="3213">
        <v>10764132472</v>
      </c>
      <c r="C229" s="3155" t="s">
        <v>996</v>
      </c>
      <c r="D229" s="3155">
        <v>919</v>
      </c>
      <c r="E229" s="3156">
        <v>35</v>
      </c>
      <c r="F229" s="3364"/>
      <c r="G229" s="3383">
        <v>488882895</v>
      </c>
      <c r="H229" s="3380">
        <v>130596220</v>
      </c>
    </row>
    <row r="230" spans="1:8" x14ac:dyDescent="0.2">
      <c r="A230" s="3220">
        <v>1</v>
      </c>
      <c r="B230" s="3213">
        <v>1177290609</v>
      </c>
      <c r="C230" s="3155" t="s">
        <v>1186</v>
      </c>
      <c r="D230" s="3155"/>
      <c r="E230" s="3156">
        <v>35</v>
      </c>
      <c r="F230" s="3364"/>
      <c r="G230" s="3383">
        <v>491495982</v>
      </c>
      <c r="H230" s="3380">
        <v>124085625</v>
      </c>
    </row>
    <row r="231" spans="1:8" x14ac:dyDescent="0.2">
      <c r="A231" s="3220">
        <v>1</v>
      </c>
      <c r="B231" s="3213">
        <v>1313209783</v>
      </c>
      <c r="C231" s="3155" t="s">
        <v>1187</v>
      </c>
      <c r="D231" s="3155"/>
      <c r="E231" s="3156">
        <v>35</v>
      </c>
      <c r="F231" s="3364"/>
      <c r="G231" s="3383">
        <v>490190825</v>
      </c>
      <c r="H231" s="3380">
        <v>130335409</v>
      </c>
    </row>
    <row r="232" spans="1:8" x14ac:dyDescent="0.2">
      <c r="A232" s="3220">
        <v>1</v>
      </c>
      <c r="B232" s="3213">
        <v>1486378033</v>
      </c>
      <c r="C232" s="3155" t="s">
        <v>1188</v>
      </c>
      <c r="D232" s="3155"/>
      <c r="E232" s="3156">
        <v>35</v>
      </c>
      <c r="F232" s="3364"/>
      <c r="G232" s="3383">
        <v>491696152</v>
      </c>
      <c r="H232" s="3380">
        <v>127892431</v>
      </c>
    </row>
    <row r="233" spans="1:8" x14ac:dyDescent="0.2">
      <c r="A233" s="3220">
        <v>1</v>
      </c>
      <c r="B233" s="3213">
        <v>1486404877</v>
      </c>
      <c r="C233" s="3155" t="s">
        <v>1189</v>
      </c>
      <c r="D233" s="3155"/>
      <c r="E233" s="3156">
        <v>35</v>
      </c>
      <c r="F233" s="3364"/>
      <c r="G233" s="3383">
        <v>491345922</v>
      </c>
      <c r="H233" s="3380">
        <v>128143488</v>
      </c>
    </row>
    <row r="234" spans="1:8" x14ac:dyDescent="0.2">
      <c r="A234" s="3220">
        <v>1</v>
      </c>
      <c r="B234" s="3213">
        <v>1756787646</v>
      </c>
      <c r="C234" s="3155" t="s">
        <v>1190</v>
      </c>
      <c r="D234" s="3155"/>
      <c r="E234" s="3156">
        <v>35</v>
      </c>
      <c r="F234" s="3364"/>
      <c r="G234" s="3383">
        <v>491338544</v>
      </c>
      <c r="H234" s="3380">
        <v>123858029</v>
      </c>
    </row>
    <row r="235" spans="1:8" x14ac:dyDescent="0.2">
      <c r="A235" s="3220">
        <v>1</v>
      </c>
      <c r="B235" s="3213">
        <v>2051573244</v>
      </c>
      <c r="C235" s="3155" t="s">
        <v>1191</v>
      </c>
      <c r="D235" s="3155"/>
      <c r="E235" s="3156">
        <v>35</v>
      </c>
      <c r="F235" s="3364"/>
      <c r="G235" s="3383">
        <v>490084291</v>
      </c>
      <c r="H235" s="3380">
        <v>130372816</v>
      </c>
    </row>
    <row r="236" spans="1:8" x14ac:dyDescent="0.2">
      <c r="A236" s="3220">
        <v>1</v>
      </c>
      <c r="B236" s="3213">
        <v>2051573245</v>
      </c>
      <c r="C236" s="3155" t="s">
        <v>1192</v>
      </c>
      <c r="D236" s="3155"/>
      <c r="E236" s="3156">
        <v>35</v>
      </c>
      <c r="F236" s="3364"/>
      <c r="G236" s="3383">
        <v>490240768</v>
      </c>
      <c r="H236" s="3380">
        <v>130288273</v>
      </c>
    </row>
    <row r="237" spans="1:8" x14ac:dyDescent="0.2">
      <c r="A237" s="3220">
        <v>1</v>
      </c>
      <c r="B237" s="3213">
        <v>2880736840</v>
      </c>
      <c r="C237" s="3155" t="s">
        <v>1193</v>
      </c>
      <c r="D237" s="3155"/>
      <c r="E237" s="3156">
        <v>35</v>
      </c>
      <c r="F237" s="3364"/>
      <c r="G237" s="3383">
        <v>487771046</v>
      </c>
      <c r="H237" s="3380">
        <v>130543949</v>
      </c>
    </row>
    <row r="238" spans="1:8" ht="17" thickBot="1" x14ac:dyDescent="0.25">
      <c r="A238" s="3220">
        <v>1</v>
      </c>
      <c r="B238" s="3215">
        <v>3595169591</v>
      </c>
      <c r="C238" s="3159" t="s">
        <v>1194</v>
      </c>
      <c r="D238" s="3159"/>
      <c r="E238" s="3160">
        <v>35</v>
      </c>
      <c r="F238" s="3367"/>
      <c r="G238" s="3383">
        <v>491416833</v>
      </c>
      <c r="H238" s="3380">
        <v>128551079</v>
      </c>
    </row>
    <row r="239" spans="1:8" x14ac:dyDescent="0.2">
      <c r="A239" s="3220">
        <v>1</v>
      </c>
      <c r="B239" s="3216">
        <v>2479574542</v>
      </c>
      <c r="C239" s="3161" t="s">
        <v>1195</v>
      </c>
      <c r="D239" s="3161">
        <v>367</v>
      </c>
      <c r="E239" s="3162">
        <v>40</v>
      </c>
      <c r="F239" s="3368"/>
      <c r="G239" s="3383">
        <v>487265807</v>
      </c>
      <c r="H239" s="3380">
        <v>130770061</v>
      </c>
    </row>
    <row r="240" spans="1:8" x14ac:dyDescent="0.2">
      <c r="A240" s="3220">
        <v>1</v>
      </c>
      <c r="B240" s="3213">
        <v>5179403911</v>
      </c>
      <c r="C240" s="3155" t="s">
        <v>1116</v>
      </c>
      <c r="D240" s="3155">
        <v>404</v>
      </c>
      <c r="E240" s="3156">
        <v>40</v>
      </c>
      <c r="F240" s="3364"/>
      <c r="G240" s="3383">
        <v>492075918</v>
      </c>
      <c r="H240" s="3380">
        <v>125837736</v>
      </c>
    </row>
    <row r="241" spans="1:8" x14ac:dyDescent="0.2">
      <c r="A241" s="3220">
        <v>1</v>
      </c>
      <c r="B241" s="3213">
        <v>5179403912</v>
      </c>
      <c r="C241" s="3155" t="s">
        <v>1032</v>
      </c>
      <c r="D241" s="3155">
        <v>406</v>
      </c>
      <c r="E241" s="3156">
        <v>40</v>
      </c>
      <c r="F241" s="3364"/>
      <c r="G241" s="3383">
        <v>492064463</v>
      </c>
      <c r="H241" s="3380">
        <v>125747447</v>
      </c>
    </row>
    <row r="242" spans="1:8" x14ac:dyDescent="0.2">
      <c r="A242" s="3220">
        <v>1</v>
      </c>
      <c r="B242" s="3213">
        <v>5082450216</v>
      </c>
      <c r="C242" s="3155" t="s">
        <v>1036</v>
      </c>
      <c r="D242" s="3155">
        <v>416</v>
      </c>
      <c r="E242" s="3156">
        <v>40</v>
      </c>
      <c r="F242" s="3364"/>
      <c r="G242" s="3383">
        <v>492170625</v>
      </c>
      <c r="H242" s="3380">
        <v>125419501</v>
      </c>
    </row>
    <row r="243" spans="1:8" x14ac:dyDescent="0.2">
      <c r="A243" s="3220">
        <v>1</v>
      </c>
      <c r="B243" s="3213">
        <v>8663161765</v>
      </c>
      <c r="C243" s="3155" t="s">
        <v>1196</v>
      </c>
      <c r="D243" s="3155">
        <v>423</v>
      </c>
      <c r="E243" s="3156">
        <v>40</v>
      </c>
      <c r="F243" s="3364"/>
      <c r="G243" s="3383">
        <v>487214374</v>
      </c>
      <c r="H243" s="3380">
        <v>130993491</v>
      </c>
    </row>
    <row r="244" spans="1:8" x14ac:dyDescent="0.2">
      <c r="A244" s="3220">
        <v>1</v>
      </c>
      <c r="B244" s="3213">
        <v>10794917344</v>
      </c>
      <c r="C244" s="3155" t="s">
        <v>1197</v>
      </c>
      <c r="D244" s="3155">
        <v>438</v>
      </c>
      <c r="E244" s="3156">
        <v>40</v>
      </c>
      <c r="F244" s="3364"/>
      <c r="G244" s="3383">
        <v>488369627</v>
      </c>
      <c r="H244" s="3380">
        <v>131401527</v>
      </c>
    </row>
    <row r="245" spans="1:8" x14ac:dyDescent="0.2">
      <c r="A245" s="3220">
        <v>1</v>
      </c>
      <c r="B245" s="3213">
        <v>3491457657</v>
      </c>
      <c r="C245" s="3155" t="s">
        <v>1198</v>
      </c>
      <c r="D245" s="3155">
        <v>450</v>
      </c>
      <c r="E245" s="3156">
        <v>40</v>
      </c>
      <c r="F245" s="3364"/>
      <c r="G245" s="3383">
        <v>490326625</v>
      </c>
      <c r="H245" s="3380">
        <v>121541154</v>
      </c>
    </row>
    <row r="246" spans="1:8" x14ac:dyDescent="0.2">
      <c r="A246" s="3220">
        <v>1</v>
      </c>
      <c r="B246" s="3213">
        <v>5086661602</v>
      </c>
      <c r="C246" s="3155" t="s">
        <v>1199</v>
      </c>
      <c r="D246" s="3155">
        <v>476</v>
      </c>
      <c r="E246" s="3156">
        <v>40</v>
      </c>
      <c r="F246" s="3364"/>
      <c r="G246" s="3383">
        <v>490390360</v>
      </c>
      <c r="H246" s="3380">
        <v>121722781</v>
      </c>
    </row>
    <row r="247" spans="1:8" x14ac:dyDescent="0.2">
      <c r="A247" s="3220">
        <v>1</v>
      </c>
      <c r="B247" s="3213">
        <v>1232877091</v>
      </c>
      <c r="C247" s="3155" t="s">
        <v>1200</v>
      </c>
      <c r="D247" s="3155">
        <v>515</v>
      </c>
      <c r="E247" s="3156">
        <v>40</v>
      </c>
      <c r="F247" s="3364"/>
      <c r="G247" s="3383">
        <v>491685707</v>
      </c>
      <c r="H247" s="3380">
        <v>123603203</v>
      </c>
    </row>
    <row r="248" spans="1:8" x14ac:dyDescent="0.2">
      <c r="A248" s="3220">
        <v>1</v>
      </c>
      <c r="B248" s="3213">
        <v>3595142245</v>
      </c>
      <c r="C248" s="3155" t="s">
        <v>1201</v>
      </c>
      <c r="D248" s="3155">
        <v>516</v>
      </c>
      <c r="E248" s="3156">
        <v>40</v>
      </c>
      <c r="F248" s="3364"/>
      <c r="G248" s="3383">
        <v>492025805</v>
      </c>
      <c r="H248" s="3380">
        <v>127108444</v>
      </c>
    </row>
    <row r="249" spans="1:8" x14ac:dyDescent="0.2">
      <c r="A249" s="3220">
        <v>1</v>
      </c>
      <c r="B249" s="3213">
        <v>5079433188</v>
      </c>
      <c r="C249" s="3155" t="s">
        <v>1202</v>
      </c>
      <c r="D249" s="3155">
        <v>519</v>
      </c>
      <c r="E249" s="3156">
        <v>40</v>
      </c>
      <c r="F249" s="3364"/>
      <c r="G249" s="3383">
        <v>492114371</v>
      </c>
      <c r="H249" s="3380">
        <v>125584931</v>
      </c>
    </row>
    <row r="250" spans="1:8" x14ac:dyDescent="0.2">
      <c r="A250" s="3220">
        <v>1</v>
      </c>
      <c r="B250" s="3213">
        <v>5086565962</v>
      </c>
      <c r="C250" s="3155" t="s">
        <v>1203</v>
      </c>
      <c r="D250" s="3155">
        <v>543</v>
      </c>
      <c r="E250" s="3156">
        <v>40</v>
      </c>
      <c r="F250" s="3364"/>
      <c r="G250" s="3383">
        <v>492178500</v>
      </c>
      <c r="H250" s="3380">
        <v>127624870</v>
      </c>
    </row>
    <row r="251" spans="1:8" x14ac:dyDescent="0.2">
      <c r="A251" s="3220">
        <v>1</v>
      </c>
      <c r="B251" s="3213">
        <v>4865859909</v>
      </c>
      <c r="C251" s="3155" t="s">
        <v>1008</v>
      </c>
      <c r="D251" s="3155">
        <v>547</v>
      </c>
      <c r="E251" s="3156">
        <v>40</v>
      </c>
      <c r="F251" s="3364"/>
      <c r="G251" s="3383">
        <v>490519099</v>
      </c>
      <c r="H251" s="3380">
        <v>130540752</v>
      </c>
    </row>
    <row r="252" spans="1:8" x14ac:dyDescent="0.2">
      <c r="A252" s="3220">
        <v>1</v>
      </c>
      <c r="B252" s="3213">
        <v>6315435070</v>
      </c>
      <c r="C252" s="3155" t="s">
        <v>996</v>
      </c>
      <c r="D252" s="3155">
        <v>582</v>
      </c>
      <c r="E252" s="3156">
        <v>40</v>
      </c>
      <c r="F252" s="3364"/>
      <c r="G252" s="3383">
        <v>491574218</v>
      </c>
      <c r="H252" s="3380">
        <v>123747272</v>
      </c>
    </row>
    <row r="253" spans="1:8" x14ac:dyDescent="0.2">
      <c r="A253" s="3220">
        <v>1</v>
      </c>
      <c r="B253" s="3213">
        <v>467457622</v>
      </c>
      <c r="C253" s="3155" t="s">
        <v>1204</v>
      </c>
      <c r="D253" s="3155">
        <v>584</v>
      </c>
      <c r="E253" s="3156">
        <v>40</v>
      </c>
      <c r="F253" s="3364"/>
      <c r="G253" s="3383">
        <v>491207787</v>
      </c>
      <c r="H253" s="3380">
        <v>122164079</v>
      </c>
    </row>
    <row r="254" spans="1:8" x14ac:dyDescent="0.2">
      <c r="A254" s="3220">
        <v>1</v>
      </c>
      <c r="B254" s="3213">
        <v>906245584</v>
      </c>
      <c r="C254" s="3155" t="s">
        <v>1205</v>
      </c>
      <c r="D254" s="3155">
        <v>594</v>
      </c>
      <c r="E254" s="3156">
        <v>40</v>
      </c>
      <c r="F254" s="3364"/>
      <c r="G254" s="3383">
        <v>491375950</v>
      </c>
      <c r="H254" s="3380">
        <v>129677913</v>
      </c>
    </row>
    <row r="255" spans="1:8" x14ac:dyDescent="0.2">
      <c r="A255" s="3220">
        <v>1</v>
      </c>
      <c r="B255" s="3213">
        <v>5689555678</v>
      </c>
      <c r="C255" s="3155" t="s">
        <v>1206</v>
      </c>
      <c r="D255" s="3155">
        <v>709</v>
      </c>
      <c r="E255" s="3156">
        <v>40</v>
      </c>
      <c r="F255" s="3364"/>
      <c r="G255" s="3383">
        <v>490177061</v>
      </c>
      <c r="H255" s="3380">
        <v>131442717</v>
      </c>
    </row>
    <row r="256" spans="1:8" x14ac:dyDescent="0.2">
      <c r="A256" s="3220">
        <v>1</v>
      </c>
      <c r="B256" s="3213">
        <v>10797291054</v>
      </c>
      <c r="C256" s="3155" t="s">
        <v>1207</v>
      </c>
      <c r="D256" s="3155">
        <v>712</v>
      </c>
      <c r="E256" s="3156">
        <v>40</v>
      </c>
      <c r="F256" s="3364"/>
      <c r="G256" s="3383">
        <v>488774949</v>
      </c>
      <c r="H256" s="3380">
        <v>131627798</v>
      </c>
    </row>
    <row r="257" spans="1:8" x14ac:dyDescent="0.2">
      <c r="A257" s="3220">
        <v>1</v>
      </c>
      <c r="B257" s="3213">
        <v>10797291055</v>
      </c>
      <c r="C257" s="3155" t="s">
        <v>1208</v>
      </c>
      <c r="D257" s="3155">
        <v>722</v>
      </c>
      <c r="E257" s="3156">
        <v>40</v>
      </c>
      <c r="F257" s="3364"/>
      <c r="G257" s="3383">
        <v>488752087</v>
      </c>
      <c r="H257" s="3380">
        <v>131639707</v>
      </c>
    </row>
    <row r="258" spans="1:8" x14ac:dyDescent="0.2">
      <c r="A258" s="3220">
        <v>1</v>
      </c>
      <c r="B258" s="3213">
        <v>10797320169</v>
      </c>
      <c r="C258" s="3155" t="s">
        <v>1209</v>
      </c>
      <c r="D258" s="3155">
        <v>736</v>
      </c>
      <c r="E258" s="3156">
        <v>40</v>
      </c>
      <c r="F258" s="3364"/>
      <c r="G258" s="3383">
        <v>488708688</v>
      </c>
      <c r="H258" s="3380">
        <v>131427920</v>
      </c>
    </row>
    <row r="259" spans="1:8" x14ac:dyDescent="0.2">
      <c r="A259" s="3220">
        <v>1</v>
      </c>
      <c r="B259" s="3213">
        <v>2388719375</v>
      </c>
      <c r="C259" s="3155" t="s">
        <v>1210</v>
      </c>
      <c r="D259" s="3155">
        <v>742</v>
      </c>
      <c r="E259" s="3156">
        <v>40</v>
      </c>
      <c r="F259" s="3364"/>
      <c r="G259" s="3383">
        <v>492160822</v>
      </c>
      <c r="H259" s="3380">
        <v>128065002</v>
      </c>
    </row>
    <row r="260" spans="1:8" x14ac:dyDescent="0.2">
      <c r="A260" s="3220">
        <v>1</v>
      </c>
      <c r="B260" s="3213">
        <v>10797352139</v>
      </c>
      <c r="C260" s="3155" t="s">
        <v>1211</v>
      </c>
      <c r="D260" s="3155">
        <v>752</v>
      </c>
      <c r="E260" s="3156">
        <v>40</v>
      </c>
      <c r="F260" s="3364"/>
      <c r="G260" s="3383">
        <v>488596187</v>
      </c>
      <c r="H260" s="3380">
        <v>131576675</v>
      </c>
    </row>
    <row r="261" spans="1:8" x14ac:dyDescent="0.2">
      <c r="A261" s="3220">
        <v>1</v>
      </c>
      <c r="B261" s="3213">
        <v>10797352153</v>
      </c>
      <c r="C261" s="3155" t="s">
        <v>1212</v>
      </c>
      <c r="D261" s="3155">
        <v>796</v>
      </c>
      <c r="E261" s="3156">
        <v>40</v>
      </c>
      <c r="F261" s="3364"/>
      <c r="G261" s="3383">
        <v>488586870</v>
      </c>
      <c r="H261" s="3380">
        <v>131729936</v>
      </c>
    </row>
    <row r="262" spans="1:8" x14ac:dyDescent="0.2">
      <c r="A262" s="3220">
        <v>1</v>
      </c>
      <c r="B262" s="3213">
        <v>9290721329</v>
      </c>
      <c r="C262" s="3155" t="s">
        <v>1056</v>
      </c>
      <c r="D262" s="3155">
        <v>801</v>
      </c>
      <c r="E262" s="3156">
        <v>40</v>
      </c>
      <c r="F262" s="3364"/>
      <c r="G262" s="3383">
        <v>488744024</v>
      </c>
      <c r="H262" s="3380">
        <v>131233516</v>
      </c>
    </row>
    <row r="263" spans="1:8" x14ac:dyDescent="0.2">
      <c r="A263" s="3220">
        <v>1</v>
      </c>
      <c r="B263" s="3213">
        <v>1839444558</v>
      </c>
      <c r="C263" s="3155" t="s">
        <v>1213</v>
      </c>
      <c r="D263" s="3155">
        <v>818</v>
      </c>
      <c r="E263" s="3156">
        <v>40</v>
      </c>
      <c r="F263" s="3364"/>
      <c r="G263" s="3383">
        <v>490675190</v>
      </c>
      <c r="H263" s="3380">
        <v>130574965</v>
      </c>
    </row>
    <row r="264" spans="1:8" x14ac:dyDescent="0.2">
      <c r="A264" s="3220">
        <v>1</v>
      </c>
      <c r="B264" s="3213">
        <v>3873788210</v>
      </c>
      <c r="C264" s="3155" t="s">
        <v>1086</v>
      </c>
      <c r="D264" s="3155">
        <v>833</v>
      </c>
      <c r="E264" s="3156">
        <v>40</v>
      </c>
      <c r="F264" s="3364"/>
      <c r="G264" s="3383">
        <v>490128939</v>
      </c>
      <c r="H264" s="3380">
        <v>131338318</v>
      </c>
    </row>
    <row r="265" spans="1:8" x14ac:dyDescent="0.2">
      <c r="A265" s="3220">
        <v>1</v>
      </c>
      <c r="B265" s="3213">
        <v>1161322926</v>
      </c>
      <c r="C265" s="3155" t="s">
        <v>1214</v>
      </c>
      <c r="D265" s="3155">
        <v>869</v>
      </c>
      <c r="E265" s="3156">
        <v>40</v>
      </c>
      <c r="F265" s="3364"/>
      <c r="G265" s="3383">
        <v>490459941</v>
      </c>
      <c r="H265" s="3380">
        <v>130935857</v>
      </c>
    </row>
    <row r="266" spans="1:8" x14ac:dyDescent="0.2">
      <c r="A266" s="3220">
        <v>1</v>
      </c>
      <c r="B266" s="3213">
        <v>1839444562</v>
      </c>
      <c r="C266" s="3155" t="s">
        <v>1215</v>
      </c>
      <c r="D266" s="3155">
        <v>876</v>
      </c>
      <c r="E266" s="3156">
        <v>40</v>
      </c>
      <c r="F266" s="3364"/>
      <c r="G266" s="3383">
        <v>490700545</v>
      </c>
      <c r="H266" s="3380">
        <v>130399630</v>
      </c>
    </row>
    <row r="267" spans="1:8" x14ac:dyDescent="0.2">
      <c r="A267" s="3220">
        <v>1</v>
      </c>
      <c r="B267" s="3213">
        <v>436158256</v>
      </c>
      <c r="C267" s="3155" t="s">
        <v>1216</v>
      </c>
      <c r="D267" s="3155">
        <v>914</v>
      </c>
      <c r="E267" s="3156">
        <v>40</v>
      </c>
      <c r="F267" s="3364"/>
      <c r="G267" s="3383">
        <v>490494155</v>
      </c>
      <c r="H267" s="3380">
        <v>130806915</v>
      </c>
    </row>
    <row r="268" spans="1:8" x14ac:dyDescent="0.2">
      <c r="A268" s="3220">
        <v>1</v>
      </c>
      <c r="B268" s="3213">
        <v>416678030</v>
      </c>
      <c r="C268" s="3155" t="s">
        <v>1217</v>
      </c>
      <c r="D268" s="3155">
        <v>983</v>
      </c>
      <c r="E268" s="3156">
        <v>40</v>
      </c>
      <c r="F268" s="3364"/>
      <c r="G268" s="3383">
        <v>490369388</v>
      </c>
      <c r="H268" s="3380">
        <v>131053062</v>
      </c>
    </row>
    <row r="269" spans="1:8" x14ac:dyDescent="0.2">
      <c r="A269" s="3220">
        <v>1</v>
      </c>
      <c r="B269" s="3213">
        <v>173853050</v>
      </c>
      <c r="C269" s="3155" t="s">
        <v>1218</v>
      </c>
      <c r="D269" s="3155">
        <v>999</v>
      </c>
      <c r="E269" s="3156">
        <v>40</v>
      </c>
      <c r="F269" s="3364"/>
      <c r="G269" s="3383">
        <v>491764528</v>
      </c>
      <c r="H269" s="3380">
        <v>129227995</v>
      </c>
    </row>
    <row r="270" spans="1:8" x14ac:dyDescent="0.2">
      <c r="A270" s="3220">
        <v>1</v>
      </c>
      <c r="B270" s="3213">
        <v>173849666</v>
      </c>
      <c r="C270" s="3155" t="s">
        <v>1219</v>
      </c>
      <c r="D270" s="3155">
        <v>1034</v>
      </c>
      <c r="E270" s="3156">
        <v>40</v>
      </c>
      <c r="F270" s="3364"/>
      <c r="G270" s="3383">
        <v>491732347</v>
      </c>
      <c r="H270" s="3380">
        <v>129422827</v>
      </c>
    </row>
    <row r="271" spans="1:8" x14ac:dyDescent="0.2">
      <c r="A271" s="3220">
        <v>1</v>
      </c>
      <c r="B271" s="3213">
        <v>173849656</v>
      </c>
      <c r="C271" s="3155" t="s">
        <v>1220</v>
      </c>
      <c r="D271" s="3155">
        <v>1042</v>
      </c>
      <c r="E271" s="3156">
        <v>40</v>
      </c>
      <c r="F271" s="3364"/>
      <c r="G271" s="3383">
        <v>491702239</v>
      </c>
      <c r="H271" s="3380">
        <v>129604782</v>
      </c>
    </row>
    <row r="272" spans="1:8" x14ac:dyDescent="0.2">
      <c r="A272" s="3220">
        <v>1</v>
      </c>
      <c r="B272" s="3213">
        <v>2452343798</v>
      </c>
      <c r="C272" s="3155" t="s">
        <v>1221</v>
      </c>
      <c r="D272" s="3155">
        <v>1042</v>
      </c>
      <c r="E272" s="3156">
        <v>40</v>
      </c>
      <c r="F272" s="3364"/>
      <c r="G272" s="3383">
        <v>491613125</v>
      </c>
      <c r="H272" s="3380">
        <v>129747480</v>
      </c>
    </row>
    <row r="273" spans="1:8" x14ac:dyDescent="0.2">
      <c r="A273" s="3220">
        <v>1</v>
      </c>
      <c r="B273" s="3213">
        <v>2848573065</v>
      </c>
      <c r="C273" s="3155" t="s">
        <v>1222</v>
      </c>
      <c r="D273" s="3155">
        <v>1050</v>
      </c>
      <c r="E273" s="3156">
        <v>40</v>
      </c>
      <c r="F273" s="3364"/>
      <c r="G273" s="3383">
        <v>491268435</v>
      </c>
      <c r="H273" s="3380">
        <v>130458981</v>
      </c>
    </row>
    <row r="274" spans="1:8" x14ac:dyDescent="0.2">
      <c r="A274" s="3220">
        <v>1</v>
      </c>
      <c r="B274" s="3213">
        <v>96428401</v>
      </c>
      <c r="C274" s="3155" t="s">
        <v>1223</v>
      </c>
      <c r="D274" s="3155">
        <v>1132</v>
      </c>
      <c r="E274" s="3156">
        <v>40</v>
      </c>
      <c r="F274" s="3364"/>
      <c r="G274" s="3383">
        <v>491659000</v>
      </c>
      <c r="H274" s="3380">
        <v>129729999</v>
      </c>
    </row>
    <row r="275" spans="1:8" x14ac:dyDescent="0.2">
      <c r="A275" s="3220">
        <v>1</v>
      </c>
      <c r="B275" s="3213">
        <v>416634867</v>
      </c>
      <c r="C275" s="3155" t="s">
        <v>1039</v>
      </c>
      <c r="D275" s="3155"/>
      <c r="E275" s="3156">
        <v>40</v>
      </c>
      <c r="F275" s="3364"/>
      <c r="G275" s="3383">
        <v>489036275</v>
      </c>
      <c r="H275" s="3380">
        <v>131818276</v>
      </c>
    </row>
    <row r="276" spans="1:8" x14ac:dyDescent="0.2">
      <c r="A276" s="3220">
        <v>1</v>
      </c>
      <c r="B276" s="3213">
        <v>459569430</v>
      </c>
      <c r="C276" s="3155" t="s">
        <v>1224</v>
      </c>
      <c r="D276" s="3155"/>
      <c r="E276" s="3156">
        <v>40</v>
      </c>
      <c r="F276" s="3364"/>
      <c r="G276" s="3383">
        <v>488104826</v>
      </c>
      <c r="H276" s="3380">
        <v>131642459</v>
      </c>
    </row>
    <row r="277" spans="1:8" x14ac:dyDescent="0.2">
      <c r="A277" s="3220">
        <v>1</v>
      </c>
      <c r="B277" s="3213">
        <v>1875462397</v>
      </c>
      <c r="C277" s="3155" t="s">
        <v>1225</v>
      </c>
      <c r="D277" s="3155"/>
      <c r="E277" s="3156">
        <v>40</v>
      </c>
      <c r="F277" s="3364"/>
      <c r="G277" s="3383">
        <v>490028314</v>
      </c>
      <c r="H277" s="3380">
        <v>131432312</v>
      </c>
    </row>
    <row r="278" spans="1:8" x14ac:dyDescent="0.2">
      <c r="A278" s="3220">
        <v>1</v>
      </c>
      <c r="B278" s="3213">
        <v>1875478089</v>
      </c>
      <c r="C278" s="3155" t="s">
        <v>1226</v>
      </c>
      <c r="D278" s="3155"/>
      <c r="E278" s="3156">
        <v>40</v>
      </c>
      <c r="F278" s="3364"/>
      <c r="G278" s="3383">
        <v>489815288</v>
      </c>
      <c r="H278" s="3380">
        <v>131166666</v>
      </c>
    </row>
    <row r="279" spans="1:8" x14ac:dyDescent="0.2">
      <c r="A279" s="3220">
        <v>1</v>
      </c>
      <c r="B279" s="3213">
        <v>1875478131</v>
      </c>
      <c r="C279" s="3155" t="s">
        <v>1227</v>
      </c>
      <c r="D279" s="3155"/>
      <c r="E279" s="3156">
        <v>40</v>
      </c>
      <c r="F279" s="3364"/>
      <c r="G279" s="3383">
        <v>489891610</v>
      </c>
      <c r="H279" s="3380">
        <v>131038134</v>
      </c>
    </row>
    <row r="280" spans="1:8" x14ac:dyDescent="0.2">
      <c r="A280" s="3220">
        <v>1</v>
      </c>
      <c r="B280" s="3213">
        <v>1875478132</v>
      </c>
      <c r="C280" s="3155" t="s">
        <v>992</v>
      </c>
      <c r="D280" s="3155"/>
      <c r="E280" s="3156">
        <v>40</v>
      </c>
      <c r="F280" s="3364"/>
      <c r="G280" s="3383">
        <v>489747123</v>
      </c>
      <c r="H280" s="3380">
        <v>131077831</v>
      </c>
    </row>
    <row r="281" spans="1:8" x14ac:dyDescent="0.2">
      <c r="A281" s="3220">
        <v>1</v>
      </c>
      <c r="B281" s="3213">
        <v>10794899112</v>
      </c>
      <c r="C281" s="3155" t="s">
        <v>1228</v>
      </c>
      <c r="D281" s="3155"/>
      <c r="E281" s="3156">
        <v>40</v>
      </c>
      <c r="F281" s="3364"/>
      <c r="G281" s="3383">
        <v>488442146</v>
      </c>
      <c r="H281" s="3380">
        <v>131158197</v>
      </c>
    </row>
    <row r="282" spans="1:8" ht="17" thickBot="1" x14ac:dyDescent="0.25">
      <c r="A282" s="3220">
        <v>1</v>
      </c>
      <c r="B282" s="3217">
        <v>10794917346</v>
      </c>
      <c r="C282" s="3163" t="s">
        <v>1229</v>
      </c>
      <c r="D282" s="3163"/>
      <c r="E282" s="3164">
        <v>40</v>
      </c>
      <c r="F282" s="3369"/>
      <c r="G282" s="3383">
        <v>488367402</v>
      </c>
      <c r="H282" s="3380">
        <v>131236303</v>
      </c>
    </row>
    <row r="283" spans="1:8" x14ac:dyDescent="0.2">
      <c r="A283" s="3220">
        <v>1</v>
      </c>
      <c r="B283" s="3210">
        <v>356304449</v>
      </c>
      <c r="C283" s="3149" t="s">
        <v>1230</v>
      </c>
      <c r="D283" s="3149">
        <v>390</v>
      </c>
      <c r="E283" s="3150">
        <v>45</v>
      </c>
      <c r="F283" s="3360"/>
      <c r="G283" s="3383">
        <v>490420460</v>
      </c>
      <c r="H283" s="3380">
        <v>121074857</v>
      </c>
    </row>
    <row r="284" spans="1:8" x14ac:dyDescent="0.2">
      <c r="A284" s="3220">
        <v>1</v>
      </c>
      <c r="B284" s="3213">
        <v>1068936853</v>
      </c>
      <c r="C284" s="3155" t="s">
        <v>1112</v>
      </c>
      <c r="D284" s="3155">
        <v>408</v>
      </c>
      <c r="E284" s="3156">
        <v>45</v>
      </c>
      <c r="F284" s="3364"/>
      <c r="G284" s="3383">
        <v>490548181</v>
      </c>
      <c r="H284" s="3380">
        <v>121126898</v>
      </c>
    </row>
    <row r="285" spans="1:8" x14ac:dyDescent="0.2">
      <c r="A285" s="3220">
        <v>1</v>
      </c>
      <c r="B285" s="3213">
        <v>1320118701</v>
      </c>
      <c r="C285" s="3155" t="s">
        <v>1231</v>
      </c>
      <c r="D285" s="3155">
        <v>410</v>
      </c>
      <c r="E285" s="3156">
        <v>45</v>
      </c>
      <c r="F285" s="3364"/>
      <c r="G285" s="3383">
        <v>490692697</v>
      </c>
      <c r="H285" s="3380">
        <v>121109635</v>
      </c>
    </row>
    <row r="286" spans="1:8" x14ac:dyDescent="0.2">
      <c r="A286" s="3220">
        <v>1</v>
      </c>
      <c r="B286" s="3213">
        <v>5595776539</v>
      </c>
      <c r="C286" s="3155" t="s">
        <v>1232</v>
      </c>
      <c r="D286" s="3155">
        <v>431</v>
      </c>
      <c r="E286" s="3156">
        <v>45</v>
      </c>
      <c r="F286" s="3364"/>
      <c r="G286" s="3383">
        <v>492467761</v>
      </c>
      <c r="H286" s="3380">
        <v>127716475</v>
      </c>
    </row>
    <row r="287" spans="1:8" x14ac:dyDescent="0.2">
      <c r="A287" s="3220">
        <v>1</v>
      </c>
      <c r="B287" s="3213">
        <v>5595776541</v>
      </c>
      <c r="C287" s="3155" t="s">
        <v>1233</v>
      </c>
      <c r="D287" s="3155">
        <v>479</v>
      </c>
      <c r="E287" s="3156">
        <v>45</v>
      </c>
      <c r="F287" s="3364"/>
      <c r="G287" s="3383">
        <v>492425371</v>
      </c>
      <c r="H287" s="3380">
        <v>127799152</v>
      </c>
    </row>
    <row r="288" spans="1:8" x14ac:dyDescent="0.2">
      <c r="A288" s="3220">
        <v>1</v>
      </c>
      <c r="B288" s="3213">
        <v>5595776542</v>
      </c>
      <c r="C288" s="3155" t="s">
        <v>1115</v>
      </c>
      <c r="D288" s="3155">
        <v>496</v>
      </c>
      <c r="E288" s="3156">
        <v>45</v>
      </c>
      <c r="F288" s="3364"/>
      <c r="G288" s="3383">
        <v>492552411</v>
      </c>
      <c r="H288" s="3380">
        <v>128204863</v>
      </c>
    </row>
    <row r="289" spans="1:8" x14ac:dyDescent="0.2">
      <c r="A289" s="3220">
        <v>1</v>
      </c>
      <c r="B289" s="3213">
        <v>5595776540</v>
      </c>
      <c r="C289" s="3155" t="s">
        <v>1074</v>
      </c>
      <c r="D289" s="3155">
        <v>505</v>
      </c>
      <c r="E289" s="3156">
        <v>45</v>
      </c>
      <c r="F289" s="3364"/>
      <c r="G289" s="3383">
        <v>492468937</v>
      </c>
      <c r="H289" s="3380">
        <v>127836060</v>
      </c>
    </row>
    <row r="290" spans="1:8" x14ac:dyDescent="0.2">
      <c r="A290" s="3220">
        <v>1</v>
      </c>
      <c r="B290" s="3213">
        <v>5439432164</v>
      </c>
      <c r="C290" s="3155" t="s">
        <v>1234</v>
      </c>
      <c r="D290" s="3155">
        <v>556</v>
      </c>
      <c r="E290" s="3156">
        <v>45</v>
      </c>
      <c r="F290" s="3364"/>
      <c r="G290" s="3383">
        <v>492596924</v>
      </c>
      <c r="H290" s="3380">
        <v>128492864</v>
      </c>
    </row>
    <row r="291" spans="1:8" x14ac:dyDescent="0.2">
      <c r="A291" s="3220">
        <v>1</v>
      </c>
      <c r="B291" s="3213">
        <v>10817080564</v>
      </c>
      <c r="C291" s="3155" t="s">
        <v>1235</v>
      </c>
      <c r="D291" s="3155">
        <v>579</v>
      </c>
      <c r="E291" s="3156">
        <v>45</v>
      </c>
      <c r="F291" s="3364"/>
      <c r="G291" s="3383">
        <v>488368991</v>
      </c>
      <c r="H291" s="3380">
        <v>131924236</v>
      </c>
    </row>
    <row r="292" spans="1:8" x14ac:dyDescent="0.2">
      <c r="A292" s="3220">
        <v>1</v>
      </c>
      <c r="B292" s="3213">
        <v>427281914</v>
      </c>
      <c r="C292" s="3155" t="s">
        <v>1236</v>
      </c>
      <c r="D292" s="3155">
        <v>610</v>
      </c>
      <c r="E292" s="3156">
        <v>45</v>
      </c>
      <c r="F292" s="3364"/>
      <c r="G292" s="3383">
        <v>491856668</v>
      </c>
      <c r="H292" s="3380">
        <v>122178899</v>
      </c>
    </row>
    <row r="293" spans="1:8" x14ac:dyDescent="0.2">
      <c r="A293" s="3220">
        <v>1</v>
      </c>
      <c r="B293" s="3213">
        <v>6738423245</v>
      </c>
      <c r="C293" s="3155" t="s">
        <v>1237</v>
      </c>
      <c r="D293" s="3155">
        <v>650</v>
      </c>
      <c r="E293" s="3156">
        <v>45</v>
      </c>
      <c r="F293" s="3364"/>
      <c r="G293" s="3383">
        <v>489969731</v>
      </c>
      <c r="H293" s="3380">
        <v>131921339</v>
      </c>
    </row>
    <row r="294" spans="1:8" x14ac:dyDescent="0.2">
      <c r="A294" s="3220">
        <v>1</v>
      </c>
      <c r="B294" s="3213">
        <v>5084658314</v>
      </c>
      <c r="C294" s="3155" t="s">
        <v>1238</v>
      </c>
      <c r="D294" s="3155">
        <v>653</v>
      </c>
      <c r="E294" s="3156">
        <v>45</v>
      </c>
      <c r="F294" s="3364"/>
      <c r="G294" s="3383">
        <v>492225744</v>
      </c>
      <c r="H294" s="3380">
        <v>128583350</v>
      </c>
    </row>
    <row r="295" spans="1:8" x14ac:dyDescent="0.2">
      <c r="A295" s="3220">
        <v>1</v>
      </c>
      <c r="B295" s="3213">
        <v>671758541</v>
      </c>
      <c r="C295" s="3155" t="s">
        <v>1239</v>
      </c>
      <c r="D295" s="3155">
        <v>690</v>
      </c>
      <c r="E295" s="3156">
        <v>45</v>
      </c>
      <c r="F295" s="3364"/>
      <c r="G295" s="3383">
        <v>489506596</v>
      </c>
      <c r="H295" s="3380">
        <v>131758079</v>
      </c>
    </row>
    <row r="296" spans="1:8" x14ac:dyDescent="0.2">
      <c r="A296" s="3220">
        <v>1</v>
      </c>
      <c r="B296" s="3213">
        <v>5084657726</v>
      </c>
      <c r="C296" s="3155" t="s">
        <v>1150</v>
      </c>
      <c r="D296" s="3155">
        <v>700</v>
      </c>
      <c r="E296" s="3156">
        <v>45</v>
      </c>
      <c r="F296" s="3364"/>
      <c r="G296" s="3383">
        <v>492378054</v>
      </c>
      <c r="H296" s="3380">
        <v>128775674</v>
      </c>
    </row>
    <row r="297" spans="1:8" x14ac:dyDescent="0.2">
      <c r="A297" s="3220">
        <v>1</v>
      </c>
      <c r="B297" s="3213">
        <v>3942355134</v>
      </c>
      <c r="C297" s="3155" t="s">
        <v>1240</v>
      </c>
      <c r="D297" s="3155">
        <v>745</v>
      </c>
      <c r="E297" s="3156">
        <v>45</v>
      </c>
      <c r="F297" s="3364"/>
      <c r="G297" s="3383">
        <v>489381768</v>
      </c>
      <c r="H297" s="3380">
        <v>132396828</v>
      </c>
    </row>
    <row r="298" spans="1:8" x14ac:dyDescent="0.2">
      <c r="A298" s="3220">
        <v>1</v>
      </c>
      <c r="B298" s="3213">
        <v>10797352204</v>
      </c>
      <c r="C298" s="3155" t="s">
        <v>1065</v>
      </c>
      <c r="D298" s="3155">
        <v>758</v>
      </c>
      <c r="E298" s="3156">
        <v>45</v>
      </c>
      <c r="F298" s="3364"/>
      <c r="G298" s="3383">
        <v>488558705</v>
      </c>
      <c r="H298" s="3380">
        <v>131968975</v>
      </c>
    </row>
    <row r="299" spans="1:8" x14ac:dyDescent="0.2">
      <c r="A299" s="3220">
        <v>1</v>
      </c>
      <c r="B299" s="3213">
        <v>1719388195</v>
      </c>
      <c r="C299" s="3155" t="s">
        <v>1241</v>
      </c>
      <c r="D299" s="3155">
        <v>765</v>
      </c>
      <c r="E299" s="3156">
        <v>45</v>
      </c>
      <c r="F299" s="3364"/>
      <c r="G299" s="3383">
        <v>488305919</v>
      </c>
      <c r="H299" s="3380">
        <v>132365928</v>
      </c>
    </row>
    <row r="300" spans="1:8" x14ac:dyDescent="0.2">
      <c r="A300" s="3220">
        <v>1</v>
      </c>
      <c r="B300" s="3213">
        <v>1719390861</v>
      </c>
      <c r="C300" s="3155" t="s">
        <v>1242</v>
      </c>
      <c r="D300" s="3155">
        <v>766</v>
      </c>
      <c r="E300" s="3156">
        <v>45</v>
      </c>
      <c r="F300" s="3364"/>
      <c r="G300" s="3383">
        <v>488380707</v>
      </c>
      <c r="H300" s="3380">
        <v>132375691</v>
      </c>
    </row>
    <row r="301" spans="1:8" x14ac:dyDescent="0.2">
      <c r="A301" s="3220">
        <v>1</v>
      </c>
      <c r="B301" s="3213">
        <v>3258596862</v>
      </c>
      <c r="C301" s="3155" t="s">
        <v>1243</v>
      </c>
      <c r="D301" s="3155">
        <v>778</v>
      </c>
      <c r="E301" s="3156">
        <v>45</v>
      </c>
      <c r="F301" s="3364"/>
      <c r="G301" s="3383">
        <v>489785582</v>
      </c>
      <c r="H301" s="3380">
        <v>132134709</v>
      </c>
    </row>
    <row r="302" spans="1:8" x14ac:dyDescent="0.2">
      <c r="A302" s="3220">
        <v>1</v>
      </c>
      <c r="B302" s="3213">
        <v>4876804240</v>
      </c>
      <c r="C302" s="3155" t="s">
        <v>1244</v>
      </c>
      <c r="D302" s="3155">
        <v>808</v>
      </c>
      <c r="E302" s="3156">
        <v>45</v>
      </c>
      <c r="F302" s="3364"/>
      <c r="G302" s="3383">
        <v>488679743</v>
      </c>
      <c r="H302" s="3380">
        <v>131844604</v>
      </c>
    </row>
    <row r="303" spans="1:8" x14ac:dyDescent="0.2">
      <c r="A303" s="3220">
        <v>1</v>
      </c>
      <c r="B303" s="3213">
        <v>2468531711</v>
      </c>
      <c r="C303" s="3155" t="s">
        <v>1245</v>
      </c>
      <c r="D303" s="3155">
        <v>820</v>
      </c>
      <c r="E303" s="3156">
        <v>45</v>
      </c>
      <c r="F303" s="3364"/>
      <c r="G303" s="3383">
        <v>489784846</v>
      </c>
      <c r="H303" s="3380">
        <v>132198435</v>
      </c>
    </row>
    <row r="304" spans="1:8" x14ac:dyDescent="0.2">
      <c r="A304" s="3220">
        <v>1</v>
      </c>
      <c r="B304" s="3213">
        <v>459569909</v>
      </c>
      <c r="C304" s="3155" t="s">
        <v>1246</v>
      </c>
      <c r="D304" s="3155">
        <v>832</v>
      </c>
      <c r="E304" s="3156">
        <v>45</v>
      </c>
      <c r="F304" s="3364"/>
      <c r="G304" s="3383">
        <v>488082788</v>
      </c>
      <c r="H304" s="3380">
        <v>131754956</v>
      </c>
    </row>
    <row r="305" spans="1:8" x14ac:dyDescent="0.2">
      <c r="A305" s="3220">
        <v>1</v>
      </c>
      <c r="B305" s="3213">
        <v>4849561178</v>
      </c>
      <c r="C305" s="3155" t="s">
        <v>1247</v>
      </c>
      <c r="D305" s="3155">
        <v>862</v>
      </c>
      <c r="E305" s="3156">
        <v>45</v>
      </c>
      <c r="F305" s="3364"/>
      <c r="G305" s="3383">
        <v>491778606</v>
      </c>
      <c r="H305" s="3380">
        <v>130348769</v>
      </c>
    </row>
    <row r="306" spans="1:8" x14ac:dyDescent="0.2">
      <c r="A306" s="3220">
        <v>1</v>
      </c>
      <c r="B306" s="3213">
        <v>535979310</v>
      </c>
      <c r="C306" s="3155" t="s">
        <v>992</v>
      </c>
      <c r="D306" s="3155">
        <v>870</v>
      </c>
      <c r="E306" s="3156">
        <v>45</v>
      </c>
      <c r="F306" s="3364"/>
      <c r="G306" s="3383">
        <v>489763298</v>
      </c>
      <c r="H306" s="3380">
        <v>132292152</v>
      </c>
    </row>
    <row r="307" spans="1:8" x14ac:dyDescent="0.2">
      <c r="A307" s="3220">
        <v>1</v>
      </c>
      <c r="B307" s="3213">
        <v>2996218122</v>
      </c>
      <c r="C307" s="3155" t="s">
        <v>1248</v>
      </c>
      <c r="D307" s="3155">
        <v>880</v>
      </c>
      <c r="E307" s="3156">
        <v>45</v>
      </c>
      <c r="F307" s="3364"/>
      <c r="G307" s="3383">
        <v>488702326</v>
      </c>
      <c r="H307" s="3380">
        <v>132132403</v>
      </c>
    </row>
    <row r="308" spans="1:8" x14ac:dyDescent="0.2">
      <c r="A308" s="3220">
        <v>1</v>
      </c>
      <c r="B308" s="3213">
        <v>4463038861</v>
      </c>
      <c r="C308" s="3155" t="s">
        <v>1091</v>
      </c>
      <c r="D308" s="3155">
        <v>886</v>
      </c>
      <c r="E308" s="3156">
        <v>45</v>
      </c>
      <c r="F308" s="3364"/>
      <c r="G308" s="3383">
        <v>491429779</v>
      </c>
      <c r="H308" s="3380">
        <v>131150216</v>
      </c>
    </row>
    <row r="309" spans="1:8" x14ac:dyDescent="0.2">
      <c r="A309" s="3220">
        <v>1</v>
      </c>
      <c r="B309" s="3213">
        <v>1719314030</v>
      </c>
      <c r="C309" s="3155" t="s">
        <v>1249</v>
      </c>
      <c r="D309" s="3155">
        <v>913</v>
      </c>
      <c r="E309" s="3156">
        <v>45</v>
      </c>
      <c r="F309" s="3364"/>
      <c r="G309" s="3383">
        <v>488288330</v>
      </c>
      <c r="H309" s="3380">
        <v>132179358</v>
      </c>
    </row>
    <row r="310" spans="1:8" x14ac:dyDescent="0.2">
      <c r="A310" s="3220">
        <v>1</v>
      </c>
      <c r="B310" s="3213">
        <v>5438329539</v>
      </c>
      <c r="C310" s="3155" t="s">
        <v>1250</v>
      </c>
      <c r="D310" s="3155">
        <v>915</v>
      </c>
      <c r="E310" s="3156">
        <v>45</v>
      </c>
      <c r="F310" s="3364"/>
      <c r="G310" s="3383">
        <v>492472080</v>
      </c>
      <c r="H310" s="3380">
        <v>129012404</v>
      </c>
    </row>
    <row r="311" spans="1:8" x14ac:dyDescent="0.2">
      <c r="A311" s="3220">
        <v>1</v>
      </c>
      <c r="B311" s="3213">
        <v>5438329540</v>
      </c>
      <c r="C311" s="3155" t="s">
        <v>1251</v>
      </c>
      <c r="D311" s="3155">
        <v>915</v>
      </c>
      <c r="E311" s="3156">
        <v>45</v>
      </c>
      <c r="F311" s="3364"/>
      <c r="G311" s="3383">
        <v>492443179</v>
      </c>
      <c r="H311" s="3380">
        <v>129117946</v>
      </c>
    </row>
    <row r="312" spans="1:8" x14ac:dyDescent="0.2">
      <c r="A312" s="3220">
        <v>1</v>
      </c>
      <c r="B312" s="3213">
        <v>5440135922</v>
      </c>
      <c r="C312" s="3155" t="s">
        <v>1252</v>
      </c>
      <c r="D312" s="3155">
        <v>923</v>
      </c>
      <c r="E312" s="3156">
        <v>45</v>
      </c>
      <c r="F312" s="3364"/>
      <c r="G312" s="3383">
        <v>492429536</v>
      </c>
      <c r="H312" s="3380">
        <v>129308331</v>
      </c>
    </row>
    <row r="313" spans="1:8" x14ac:dyDescent="0.2">
      <c r="A313" s="3220">
        <v>1</v>
      </c>
      <c r="B313" s="3213">
        <v>5438329538</v>
      </c>
      <c r="C313" s="3155" t="s">
        <v>1253</v>
      </c>
      <c r="D313" s="3155">
        <v>940</v>
      </c>
      <c r="E313" s="3156">
        <v>45</v>
      </c>
      <c r="F313" s="3364"/>
      <c r="G313" s="3383">
        <v>492474153</v>
      </c>
      <c r="H313" s="3380">
        <v>128924981</v>
      </c>
    </row>
    <row r="314" spans="1:8" x14ac:dyDescent="0.2">
      <c r="A314" s="3220">
        <v>1</v>
      </c>
      <c r="B314" s="3213">
        <v>281997902</v>
      </c>
      <c r="C314" s="3155" t="s">
        <v>1254</v>
      </c>
      <c r="D314" s="3155">
        <v>955</v>
      </c>
      <c r="E314" s="3156">
        <v>45</v>
      </c>
      <c r="F314" s="3364"/>
      <c r="G314" s="3383">
        <v>490571546</v>
      </c>
      <c r="H314" s="3380">
        <v>131243106</v>
      </c>
    </row>
    <row r="315" spans="1:8" x14ac:dyDescent="0.2">
      <c r="A315" s="3220">
        <v>1</v>
      </c>
      <c r="B315" s="3213">
        <v>2482160663</v>
      </c>
      <c r="C315" s="3155" t="s">
        <v>1255</v>
      </c>
      <c r="D315" s="3155">
        <v>957</v>
      </c>
      <c r="E315" s="3156">
        <v>45</v>
      </c>
      <c r="F315" s="3364"/>
      <c r="G315" s="3383">
        <v>492418162</v>
      </c>
      <c r="H315" s="3380">
        <v>129037996</v>
      </c>
    </row>
    <row r="316" spans="1:8" x14ac:dyDescent="0.2">
      <c r="A316" s="3220">
        <v>1</v>
      </c>
      <c r="B316" s="3213">
        <v>416644868</v>
      </c>
      <c r="C316" s="3155" t="s">
        <v>1256</v>
      </c>
      <c r="D316" s="3155">
        <v>965</v>
      </c>
      <c r="E316" s="3156">
        <v>45</v>
      </c>
      <c r="F316" s="3364"/>
      <c r="G316" s="3383">
        <v>490450716</v>
      </c>
      <c r="H316" s="3380">
        <v>131815386</v>
      </c>
    </row>
    <row r="317" spans="1:8" x14ac:dyDescent="0.2">
      <c r="A317" s="3220">
        <v>1</v>
      </c>
      <c r="B317" s="3213">
        <v>290221611</v>
      </c>
      <c r="C317" s="3155" t="s">
        <v>1257</v>
      </c>
      <c r="D317" s="3155">
        <v>976</v>
      </c>
      <c r="E317" s="3156">
        <v>45</v>
      </c>
      <c r="F317" s="3364"/>
      <c r="G317" s="3383">
        <v>492494248</v>
      </c>
      <c r="H317" s="3380">
        <v>128908193</v>
      </c>
    </row>
    <row r="318" spans="1:8" x14ac:dyDescent="0.2">
      <c r="A318" s="3220">
        <v>1</v>
      </c>
      <c r="B318" s="3213">
        <v>3712727227</v>
      </c>
      <c r="C318" s="3155" t="s">
        <v>1258</v>
      </c>
      <c r="D318" s="3155">
        <v>979</v>
      </c>
      <c r="E318" s="3156">
        <v>45</v>
      </c>
      <c r="F318" s="3364"/>
      <c r="G318" s="3383">
        <v>492410441</v>
      </c>
      <c r="H318" s="3380">
        <v>129155616</v>
      </c>
    </row>
    <row r="319" spans="1:8" x14ac:dyDescent="0.2">
      <c r="A319" s="3220">
        <v>1</v>
      </c>
      <c r="B319" s="3213">
        <v>2996336468</v>
      </c>
      <c r="C319" s="3155" t="s">
        <v>1259</v>
      </c>
      <c r="D319" s="3155">
        <v>993</v>
      </c>
      <c r="E319" s="3156">
        <v>45</v>
      </c>
      <c r="F319" s="3364"/>
      <c r="G319" s="3383">
        <v>490571097</v>
      </c>
      <c r="H319" s="3380">
        <v>131340578</v>
      </c>
    </row>
    <row r="320" spans="1:8" x14ac:dyDescent="0.2">
      <c r="A320" s="3220">
        <v>1</v>
      </c>
      <c r="B320" s="3213">
        <v>459569899</v>
      </c>
      <c r="C320" s="3155" t="s">
        <v>1260</v>
      </c>
      <c r="D320" s="3155">
        <v>1010</v>
      </c>
      <c r="E320" s="3156">
        <v>45</v>
      </c>
      <c r="F320" s="3364"/>
      <c r="G320" s="3383">
        <v>488170156</v>
      </c>
      <c r="H320" s="3380">
        <v>132167342</v>
      </c>
    </row>
    <row r="321" spans="1:8" x14ac:dyDescent="0.2">
      <c r="A321" s="3220">
        <v>1</v>
      </c>
      <c r="B321" s="3213">
        <v>2388746485</v>
      </c>
      <c r="C321" s="3155" t="s">
        <v>1261</v>
      </c>
      <c r="D321" s="3155">
        <v>1015</v>
      </c>
      <c r="E321" s="3156">
        <v>45</v>
      </c>
      <c r="F321" s="3364"/>
      <c r="G321" s="3383">
        <v>491420189</v>
      </c>
      <c r="H321" s="3380">
        <v>130897298</v>
      </c>
    </row>
    <row r="322" spans="1:8" x14ac:dyDescent="0.2">
      <c r="A322" s="3220">
        <v>1</v>
      </c>
      <c r="B322" s="3213">
        <v>4290014350</v>
      </c>
      <c r="C322" s="3155" t="s">
        <v>1262</v>
      </c>
      <c r="D322" s="3155">
        <v>1015</v>
      </c>
      <c r="E322" s="3156">
        <v>45</v>
      </c>
      <c r="F322" s="3364"/>
      <c r="G322" s="3383">
        <v>491417710</v>
      </c>
      <c r="H322" s="3380">
        <v>131002423</v>
      </c>
    </row>
    <row r="323" spans="1:8" x14ac:dyDescent="0.2">
      <c r="A323" s="3220">
        <v>1</v>
      </c>
      <c r="B323" s="3213">
        <v>290221610</v>
      </c>
      <c r="C323" s="3155" t="s">
        <v>1263</v>
      </c>
      <c r="D323" s="3155">
        <v>1017</v>
      </c>
      <c r="E323" s="3156">
        <v>45</v>
      </c>
      <c r="F323" s="3364"/>
      <c r="G323" s="3383">
        <v>492401279</v>
      </c>
      <c r="H323" s="3380">
        <v>129264333</v>
      </c>
    </row>
    <row r="324" spans="1:8" x14ac:dyDescent="0.2">
      <c r="A324" s="3220">
        <v>1</v>
      </c>
      <c r="B324" s="3213">
        <v>2388719374</v>
      </c>
      <c r="C324" s="3155" t="s">
        <v>1264</v>
      </c>
      <c r="D324" s="3155">
        <v>1047</v>
      </c>
      <c r="E324" s="3156">
        <v>45</v>
      </c>
      <c r="F324" s="3364"/>
      <c r="G324" s="3383">
        <v>491631148</v>
      </c>
      <c r="H324" s="3380">
        <v>130265857</v>
      </c>
    </row>
    <row r="325" spans="1:8" x14ac:dyDescent="0.2">
      <c r="A325" s="3220">
        <v>1</v>
      </c>
      <c r="B325" s="3213">
        <v>775651325</v>
      </c>
      <c r="C325" s="3155" t="s">
        <v>1265</v>
      </c>
      <c r="D325" s="3155">
        <v>1050</v>
      </c>
      <c r="E325" s="3156">
        <v>45</v>
      </c>
      <c r="F325" s="3364"/>
      <c r="G325" s="3383">
        <v>492348824</v>
      </c>
      <c r="H325" s="3380">
        <v>129440756</v>
      </c>
    </row>
    <row r="326" spans="1:8" x14ac:dyDescent="0.2">
      <c r="A326" s="3220">
        <v>1</v>
      </c>
      <c r="B326" s="3213">
        <v>2996234834</v>
      </c>
      <c r="C326" s="3155" t="s">
        <v>1266</v>
      </c>
      <c r="D326" s="3155">
        <v>1050</v>
      </c>
      <c r="E326" s="3156">
        <v>45</v>
      </c>
      <c r="F326" s="3364"/>
      <c r="G326" s="3383">
        <v>490601635</v>
      </c>
      <c r="H326" s="3380">
        <v>131793388</v>
      </c>
    </row>
    <row r="327" spans="1:8" x14ac:dyDescent="0.2">
      <c r="A327" s="3220">
        <v>1</v>
      </c>
      <c r="B327" s="3213">
        <v>2962212596</v>
      </c>
      <c r="C327" s="3155" t="s">
        <v>1099</v>
      </c>
      <c r="D327" s="3155">
        <v>1058</v>
      </c>
      <c r="E327" s="3156">
        <v>45</v>
      </c>
      <c r="F327" s="3364"/>
      <c r="G327" s="3383">
        <v>491301691</v>
      </c>
      <c r="H327" s="3380">
        <v>131120544</v>
      </c>
    </row>
    <row r="328" spans="1:8" x14ac:dyDescent="0.2">
      <c r="A328" s="3220">
        <v>1</v>
      </c>
      <c r="B328" s="3213">
        <v>290221627</v>
      </c>
      <c r="C328" s="3155" t="s">
        <v>1267</v>
      </c>
      <c r="D328" s="3155">
        <v>1073</v>
      </c>
      <c r="E328" s="3156">
        <v>45</v>
      </c>
      <c r="F328" s="3364"/>
      <c r="G328" s="3383">
        <v>492372852</v>
      </c>
      <c r="H328" s="3380">
        <v>129329665</v>
      </c>
    </row>
    <row r="329" spans="1:8" x14ac:dyDescent="0.2">
      <c r="A329" s="3220">
        <v>1</v>
      </c>
      <c r="B329" s="3213">
        <v>403315504</v>
      </c>
      <c r="C329" s="3155" t="s">
        <v>1268</v>
      </c>
      <c r="D329" s="3155">
        <v>1079</v>
      </c>
      <c r="E329" s="3156">
        <v>45</v>
      </c>
      <c r="F329" s="3364"/>
      <c r="G329" s="3383">
        <v>491569817</v>
      </c>
      <c r="H329" s="3380">
        <v>130149053</v>
      </c>
    </row>
    <row r="330" spans="1:8" x14ac:dyDescent="0.2">
      <c r="A330" s="3220">
        <v>1</v>
      </c>
      <c r="B330" s="3213">
        <v>2482160659</v>
      </c>
      <c r="C330" s="3155" t="s">
        <v>1269</v>
      </c>
      <c r="D330" s="3155">
        <v>1079</v>
      </c>
      <c r="E330" s="3156">
        <v>45</v>
      </c>
      <c r="F330" s="3364"/>
      <c r="G330" s="3383">
        <v>492336945</v>
      </c>
      <c r="H330" s="3380">
        <v>129356052</v>
      </c>
    </row>
    <row r="331" spans="1:8" x14ac:dyDescent="0.2">
      <c r="A331" s="3220">
        <v>1</v>
      </c>
      <c r="B331" s="3213">
        <v>3637961577</v>
      </c>
      <c r="C331" s="3155" t="s">
        <v>1270</v>
      </c>
      <c r="D331" s="3155">
        <v>1084</v>
      </c>
      <c r="E331" s="3156">
        <v>45</v>
      </c>
      <c r="F331" s="3364"/>
      <c r="G331" s="3383">
        <v>491374752</v>
      </c>
      <c r="H331" s="3380">
        <v>130890264</v>
      </c>
    </row>
    <row r="332" spans="1:8" x14ac:dyDescent="0.2">
      <c r="A332" s="3220">
        <v>1</v>
      </c>
      <c r="B332" s="3213">
        <v>2996234032</v>
      </c>
      <c r="C332" s="3155" t="s">
        <v>1271</v>
      </c>
      <c r="D332" s="3155">
        <v>1108</v>
      </c>
      <c r="E332" s="3156">
        <v>45</v>
      </c>
      <c r="F332" s="3364"/>
      <c r="G332" s="3383">
        <v>490701329</v>
      </c>
      <c r="H332" s="3380">
        <v>131578244</v>
      </c>
    </row>
    <row r="333" spans="1:8" x14ac:dyDescent="0.2">
      <c r="A333" s="3220">
        <v>1</v>
      </c>
      <c r="B333" s="3213">
        <v>1878093630</v>
      </c>
      <c r="C333" s="3155" t="s">
        <v>1272</v>
      </c>
      <c r="D333" s="3155">
        <v>1134</v>
      </c>
      <c r="E333" s="3156">
        <v>45</v>
      </c>
      <c r="F333" s="3364"/>
      <c r="G333" s="3383">
        <v>491236936</v>
      </c>
      <c r="H333" s="3380">
        <v>130641426</v>
      </c>
    </row>
    <row r="334" spans="1:8" x14ac:dyDescent="0.2">
      <c r="A334" s="3220">
        <v>1</v>
      </c>
      <c r="B334" s="3213">
        <v>7452948345</v>
      </c>
      <c r="C334" s="3155" t="s">
        <v>1273</v>
      </c>
      <c r="D334" s="3155">
        <v>1154</v>
      </c>
      <c r="E334" s="3156">
        <v>45</v>
      </c>
      <c r="F334" s="3364"/>
      <c r="G334" s="3383">
        <v>491586561</v>
      </c>
      <c r="H334" s="3380">
        <v>130249647</v>
      </c>
    </row>
    <row r="335" spans="1:8" x14ac:dyDescent="0.2">
      <c r="A335" s="3220">
        <v>1</v>
      </c>
      <c r="B335" s="3213">
        <v>4316949760</v>
      </c>
      <c r="C335" s="3155" t="s">
        <v>1263</v>
      </c>
      <c r="D335" s="3155">
        <v>1175</v>
      </c>
      <c r="E335" s="3156">
        <v>45</v>
      </c>
      <c r="F335" s="3364"/>
      <c r="G335" s="3383">
        <v>491373421</v>
      </c>
      <c r="H335" s="3380">
        <v>130762288</v>
      </c>
    </row>
    <row r="336" spans="1:8" x14ac:dyDescent="0.2">
      <c r="A336" s="3220">
        <v>1</v>
      </c>
      <c r="B336" s="3213">
        <v>7452948346</v>
      </c>
      <c r="C336" s="3155" t="s">
        <v>1274</v>
      </c>
      <c r="D336" s="3155">
        <v>1183</v>
      </c>
      <c r="E336" s="3156">
        <v>45</v>
      </c>
      <c r="F336" s="3364"/>
      <c r="G336" s="3383">
        <v>491504372</v>
      </c>
      <c r="H336" s="3380">
        <v>130564589</v>
      </c>
    </row>
    <row r="337" spans="1:8" x14ac:dyDescent="0.2">
      <c r="A337" s="3220">
        <v>1</v>
      </c>
      <c r="B337" s="3213">
        <v>1149812832</v>
      </c>
      <c r="C337" s="3155" t="s">
        <v>1275</v>
      </c>
      <c r="D337" s="3155">
        <v>1208</v>
      </c>
      <c r="E337" s="3156">
        <v>45</v>
      </c>
      <c r="F337" s="3364"/>
      <c r="G337" s="3383">
        <v>490776795</v>
      </c>
      <c r="H337" s="3380">
        <v>131332083</v>
      </c>
    </row>
    <row r="338" spans="1:8" x14ac:dyDescent="0.2">
      <c r="A338" s="3220">
        <v>1</v>
      </c>
      <c r="B338" s="3213">
        <v>2410851703</v>
      </c>
      <c r="C338" s="3155" t="s">
        <v>1276</v>
      </c>
      <c r="D338" s="3155">
        <v>1228</v>
      </c>
      <c r="E338" s="3156">
        <v>45</v>
      </c>
      <c r="F338" s="3364"/>
      <c r="G338" s="3383">
        <v>491086495</v>
      </c>
      <c r="H338" s="3380">
        <v>131468493</v>
      </c>
    </row>
    <row r="339" spans="1:8" x14ac:dyDescent="0.2">
      <c r="A339" s="3220">
        <v>1</v>
      </c>
      <c r="B339" s="3213">
        <v>873636642</v>
      </c>
      <c r="C339" s="3155" t="s">
        <v>1277</v>
      </c>
      <c r="D339" s="3155">
        <v>1235</v>
      </c>
      <c r="E339" s="3156">
        <v>45</v>
      </c>
      <c r="F339" s="3364"/>
      <c r="G339" s="3383">
        <v>491465603</v>
      </c>
      <c r="H339" s="3380">
        <v>130645594</v>
      </c>
    </row>
    <row r="340" spans="1:8" x14ac:dyDescent="0.2">
      <c r="A340" s="3220">
        <v>1</v>
      </c>
      <c r="B340" s="3213">
        <v>403307514</v>
      </c>
      <c r="C340" s="3155" t="s">
        <v>1278</v>
      </c>
      <c r="D340" s="3155">
        <v>1262</v>
      </c>
      <c r="E340" s="3156">
        <v>45</v>
      </c>
      <c r="F340" s="3364"/>
      <c r="G340" s="3383">
        <v>491292361</v>
      </c>
      <c r="H340" s="3380">
        <v>130682204</v>
      </c>
    </row>
    <row r="341" spans="1:8" x14ac:dyDescent="0.2">
      <c r="A341" s="3220">
        <v>1</v>
      </c>
      <c r="B341" s="3213">
        <v>403303195</v>
      </c>
      <c r="C341" s="3155" t="s">
        <v>1279</v>
      </c>
      <c r="D341" s="3155">
        <v>1287</v>
      </c>
      <c r="E341" s="3156">
        <v>45</v>
      </c>
      <c r="F341" s="3364"/>
      <c r="G341" s="3383">
        <v>491237073</v>
      </c>
      <c r="H341" s="3380">
        <v>130830635</v>
      </c>
    </row>
    <row r="342" spans="1:8" x14ac:dyDescent="0.2">
      <c r="A342" s="3220">
        <v>1</v>
      </c>
      <c r="B342" s="3213">
        <v>2996234833</v>
      </c>
      <c r="C342" s="3155" t="s">
        <v>1280</v>
      </c>
      <c r="D342" s="3155">
        <v>1340</v>
      </c>
      <c r="E342" s="3156">
        <v>45</v>
      </c>
      <c r="F342" s="3364"/>
      <c r="G342" s="3383">
        <v>490933970</v>
      </c>
      <c r="H342" s="3380">
        <v>131428476</v>
      </c>
    </row>
    <row r="343" spans="1:8" x14ac:dyDescent="0.2">
      <c r="A343" s="3220">
        <v>1</v>
      </c>
      <c r="B343" s="3213">
        <v>96428405</v>
      </c>
      <c r="C343" s="3155" t="s">
        <v>1281</v>
      </c>
      <c r="D343" s="3155">
        <v>1384</v>
      </c>
      <c r="E343" s="3156">
        <v>45</v>
      </c>
      <c r="F343" s="3364"/>
      <c r="G343" s="3383">
        <v>491133011</v>
      </c>
      <c r="H343" s="3380">
        <v>131100722</v>
      </c>
    </row>
    <row r="344" spans="1:8" x14ac:dyDescent="0.2">
      <c r="A344" s="3220">
        <v>1</v>
      </c>
      <c r="B344" s="3214">
        <v>26863050</v>
      </c>
      <c r="C344" s="3157" t="s">
        <v>1282</v>
      </c>
      <c r="D344" s="3157">
        <v>1456</v>
      </c>
      <c r="E344" s="3158">
        <v>45</v>
      </c>
      <c r="F344" s="3366" t="s">
        <v>411</v>
      </c>
      <c r="G344" s="3383">
        <v>491124718</v>
      </c>
      <c r="H344" s="3380">
        <v>131361900</v>
      </c>
    </row>
    <row r="345" spans="1:8" x14ac:dyDescent="0.2">
      <c r="A345" s="3220">
        <v>1</v>
      </c>
      <c r="B345" s="3213">
        <v>1719396100</v>
      </c>
      <c r="C345" s="3155" t="s">
        <v>1283</v>
      </c>
      <c r="D345" s="3155"/>
      <c r="E345" s="3156">
        <v>45</v>
      </c>
      <c r="F345" s="3364"/>
      <c r="G345" s="3383">
        <v>488222031</v>
      </c>
      <c r="H345" s="3380">
        <v>132094237</v>
      </c>
    </row>
    <row r="346" spans="1:8" x14ac:dyDescent="0.2">
      <c r="A346" s="3220">
        <v>1</v>
      </c>
      <c r="B346" s="3213">
        <v>1875438824</v>
      </c>
      <c r="C346" s="3155" t="s">
        <v>1008</v>
      </c>
      <c r="D346" s="3155"/>
      <c r="E346" s="3156">
        <v>45</v>
      </c>
      <c r="F346" s="3364"/>
      <c r="G346" s="3383">
        <v>490000160</v>
      </c>
      <c r="H346" s="3380">
        <v>131794302</v>
      </c>
    </row>
    <row r="347" spans="1:8" x14ac:dyDescent="0.2">
      <c r="A347" s="3220">
        <v>1</v>
      </c>
      <c r="B347" s="3213">
        <v>1875438884</v>
      </c>
      <c r="C347" s="3155" t="s">
        <v>1112</v>
      </c>
      <c r="D347" s="3155"/>
      <c r="E347" s="3156">
        <v>45</v>
      </c>
      <c r="F347" s="3364"/>
      <c r="G347" s="3383">
        <v>490069684</v>
      </c>
      <c r="H347" s="3380">
        <v>131802158</v>
      </c>
    </row>
    <row r="348" spans="1:8" x14ac:dyDescent="0.2">
      <c r="A348" s="3220">
        <v>1</v>
      </c>
      <c r="B348" s="3213">
        <v>3009214864</v>
      </c>
      <c r="C348" s="3155" t="s">
        <v>1284</v>
      </c>
      <c r="D348" s="3155"/>
      <c r="E348" s="3156">
        <v>45</v>
      </c>
      <c r="F348" s="3364"/>
      <c r="G348" s="3383">
        <v>492284712</v>
      </c>
      <c r="H348" s="3380">
        <v>129308205</v>
      </c>
    </row>
    <row r="349" spans="1:8" ht="17" thickBot="1" x14ac:dyDescent="0.25">
      <c r="A349" s="3220">
        <v>1</v>
      </c>
      <c r="B349" s="3215">
        <v>3045856733</v>
      </c>
      <c r="C349" s="3159" t="s">
        <v>1285</v>
      </c>
      <c r="D349" s="3159"/>
      <c r="E349" s="3160">
        <v>45</v>
      </c>
      <c r="F349" s="3367"/>
      <c r="G349" s="3383">
        <v>490040178</v>
      </c>
      <c r="H349" s="3380">
        <v>132126805</v>
      </c>
    </row>
    <row r="350" spans="1:8" x14ac:dyDescent="0.2">
      <c r="A350" s="3220">
        <v>1</v>
      </c>
      <c r="B350" s="3216">
        <v>3490703457</v>
      </c>
      <c r="C350" s="3161" t="s">
        <v>1026</v>
      </c>
      <c r="D350" s="3161">
        <v>436</v>
      </c>
      <c r="E350" s="3162">
        <v>50</v>
      </c>
      <c r="F350" s="3368"/>
      <c r="G350" s="3383">
        <v>491261275</v>
      </c>
      <c r="H350" s="3380">
        <v>121330575</v>
      </c>
    </row>
    <row r="351" spans="1:8" x14ac:dyDescent="0.2">
      <c r="A351" s="3220">
        <v>1</v>
      </c>
      <c r="B351" s="3213">
        <v>5440135924</v>
      </c>
      <c r="C351" s="3155" t="s">
        <v>1286</v>
      </c>
      <c r="D351" s="3155">
        <v>497</v>
      </c>
      <c r="E351" s="3156">
        <v>50</v>
      </c>
      <c r="F351" s="3364"/>
      <c r="G351" s="3383">
        <v>492771656</v>
      </c>
      <c r="H351" s="3380">
        <v>129396669</v>
      </c>
    </row>
    <row r="352" spans="1:8" x14ac:dyDescent="0.2">
      <c r="A352" s="3220">
        <v>1</v>
      </c>
      <c r="B352" s="3213">
        <v>5176796033</v>
      </c>
      <c r="C352" s="3155" t="s">
        <v>1287</v>
      </c>
      <c r="D352" s="3155">
        <v>590</v>
      </c>
      <c r="E352" s="3156">
        <v>50</v>
      </c>
      <c r="F352" s="3364"/>
      <c r="G352" s="3383">
        <v>492530403</v>
      </c>
      <c r="H352" s="3380">
        <v>129936735</v>
      </c>
    </row>
    <row r="353" spans="1:8" x14ac:dyDescent="0.2">
      <c r="A353" s="3220">
        <v>1</v>
      </c>
      <c r="B353" s="3213">
        <v>5176796034</v>
      </c>
      <c r="C353" s="3155" t="s">
        <v>1288</v>
      </c>
      <c r="D353" s="3155">
        <v>595</v>
      </c>
      <c r="E353" s="3156">
        <v>50</v>
      </c>
      <c r="F353" s="3364"/>
      <c r="G353" s="3383">
        <v>492493304</v>
      </c>
      <c r="H353" s="3380">
        <v>130003333</v>
      </c>
    </row>
    <row r="354" spans="1:8" x14ac:dyDescent="0.2">
      <c r="A354" s="3220">
        <v>1</v>
      </c>
      <c r="B354" s="3213">
        <v>5176796029</v>
      </c>
      <c r="C354" s="3155" t="s">
        <v>1289</v>
      </c>
      <c r="D354" s="3155">
        <v>605</v>
      </c>
      <c r="E354" s="3156">
        <v>50</v>
      </c>
      <c r="F354" s="3364"/>
      <c r="G354" s="3383">
        <v>492716636</v>
      </c>
      <c r="H354" s="3380">
        <v>129809471</v>
      </c>
    </row>
    <row r="355" spans="1:8" x14ac:dyDescent="0.2">
      <c r="A355" s="3220">
        <v>1</v>
      </c>
      <c r="B355" s="3213">
        <v>5176796032</v>
      </c>
      <c r="C355" s="3155" t="s">
        <v>1290</v>
      </c>
      <c r="D355" s="3155">
        <v>626</v>
      </c>
      <c r="E355" s="3156">
        <v>50</v>
      </c>
      <c r="F355" s="3364"/>
      <c r="G355" s="3383">
        <v>492695571</v>
      </c>
      <c r="H355" s="3380">
        <v>129973026</v>
      </c>
    </row>
    <row r="356" spans="1:8" x14ac:dyDescent="0.2">
      <c r="A356" s="3220">
        <v>1</v>
      </c>
      <c r="B356" s="3213">
        <v>1719410971</v>
      </c>
      <c r="C356" s="3155" t="s">
        <v>1291</v>
      </c>
      <c r="D356" s="3155">
        <v>630</v>
      </c>
      <c r="E356" s="3156">
        <v>50</v>
      </c>
      <c r="F356" s="3364"/>
      <c r="G356" s="3383">
        <v>488563004</v>
      </c>
      <c r="H356" s="3380">
        <v>132961057</v>
      </c>
    </row>
    <row r="357" spans="1:8" x14ac:dyDescent="0.2">
      <c r="A357" s="3220">
        <v>1</v>
      </c>
      <c r="B357" s="3213">
        <v>5176796030</v>
      </c>
      <c r="C357" s="3155" t="s">
        <v>1089</v>
      </c>
      <c r="D357" s="3155">
        <v>636</v>
      </c>
      <c r="E357" s="3156">
        <v>50</v>
      </c>
      <c r="F357" s="3364"/>
      <c r="G357" s="3383">
        <v>492736201</v>
      </c>
      <c r="H357" s="3380">
        <v>129733988</v>
      </c>
    </row>
    <row r="358" spans="1:8" x14ac:dyDescent="0.2">
      <c r="A358" s="3220">
        <v>1</v>
      </c>
      <c r="B358" s="3213">
        <v>5176796031</v>
      </c>
      <c r="C358" s="3155" t="s">
        <v>1292</v>
      </c>
      <c r="D358" s="3155">
        <v>662</v>
      </c>
      <c r="E358" s="3156">
        <v>50</v>
      </c>
      <c r="F358" s="3364"/>
      <c r="G358" s="3383">
        <v>492644744</v>
      </c>
      <c r="H358" s="3380">
        <v>129999204</v>
      </c>
    </row>
    <row r="359" spans="1:8" x14ac:dyDescent="0.2">
      <c r="A359" s="3220">
        <v>1</v>
      </c>
      <c r="B359" s="3213">
        <v>1637808138</v>
      </c>
      <c r="C359" s="3155" t="s">
        <v>1112</v>
      </c>
      <c r="D359" s="3155">
        <v>667</v>
      </c>
      <c r="E359" s="3156">
        <v>50</v>
      </c>
      <c r="F359" s="3364"/>
      <c r="G359" s="3383">
        <v>488801521</v>
      </c>
      <c r="H359" s="3380">
        <v>133126966</v>
      </c>
    </row>
    <row r="360" spans="1:8" x14ac:dyDescent="0.2">
      <c r="A360" s="3220">
        <v>1</v>
      </c>
      <c r="B360" s="3213">
        <v>3258612961</v>
      </c>
      <c r="C360" s="3155" t="s">
        <v>1293</v>
      </c>
      <c r="D360" s="3155">
        <v>676</v>
      </c>
      <c r="E360" s="3156">
        <v>50</v>
      </c>
      <c r="F360" s="3364"/>
      <c r="G360" s="3383">
        <v>490009734</v>
      </c>
      <c r="H360" s="3380">
        <v>132309323</v>
      </c>
    </row>
    <row r="361" spans="1:8" x14ac:dyDescent="0.2">
      <c r="A361" s="3220">
        <v>1</v>
      </c>
      <c r="B361" s="3213">
        <v>1637827733</v>
      </c>
      <c r="C361" s="3155" t="s">
        <v>1077</v>
      </c>
      <c r="D361" s="3155">
        <v>680</v>
      </c>
      <c r="E361" s="3156">
        <v>50</v>
      </c>
      <c r="F361" s="3364"/>
      <c r="G361" s="3383">
        <v>488654477</v>
      </c>
      <c r="H361" s="3380">
        <v>132675766</v>
      </c>
    </row>
    <row r="362" spans="1:8" x14ac:dyDescent="0.2">
      <c r="A362" s="3220">
        <v>1</v>
      </c>
      <c r="B362" s="3213">
        <v>5590095744</v>
      </c>
      <c r="C362" s="3155" t="s">
        <v>1294</v>
      </c>
      <c r="D362" s="3155">
        <v>692</v>
      </c>
      <c r="E362" s="3156">
        <v>50</v>
      </c>
      <c r="F362" s="3364"/>
      <c r="G362" s="3383">
        <v>487794505</v>
      </c>
      <c r="H362" s="3380">
        <v>132341802</v>
      </c>
    </row>
    <row r="363" spans="1:8" x14ac:dyDescent="0.2">
      <c r="A363" s="3220">
        <v>1</v>
      </c>
      <c r="B363" s="3213">
        <v>606492368</v>
      </c>
      <c r="C363" s="3155" t="s">
        <v>1295</v>
      </c>
      <c r="D363" s="3155">
        <v>749</v>
      </c>
      <c r="E363" s="3156">
        <v>50</v>
      </c>
      <c r="F363" s="3364"/>
      <c r="G363" s="3383">
        <v>489518062</v>
      </c>
      <c r="H363" s="3380">
        <v>132528126</v>
      </c>
    </row>
    <row r="364" spans="1:8" x14ac:dyDescent="0.2">
      <c r="A364" s="3220">
        <v>1</v>
      </c>
      <c r="B364" s="3213">
        <v>3258612962</v>
      </c>
      <c r="C364" s="3155" t="s">
        <v>1296</v>
      </c>
      <c r="D364" s="3155">
        <v>755</v>
      </c>
      <c r="E364" s="3156">
        <v>50</v>
      </c>
      <c r="F364" s="3364"/>
      <c r="G364" s="3383">
        <v>489924344</v>
      </c>
      <c r="H364" s="3380">
        <v>132624516</v>
      </c>
    </row>
    <row r="365" spans="1:8" x14ac:dyDescent="0.2">
      <c r="A365" s="3220">
        <v>1</v>
      </c>
      <c r="B365" s="3213">
        <v>5551151323</v>
      </c>
      <c r="C365" s="3155" t="s">
        <v>1009</v>
      </c>
      <c r="D365" s="3155">
        <v>774</v>
      </c>
      <c r="E365" s="3156">
        <v>50</v>
      </c>
      <c r="F365" s="3364"/>
      <c r="G365" s="3383">
        <v>492414207</v>
      </c>
      <c r="H365" s="3380">
        <v>130206159</v>
      </c>
    </row>
    <row r="366" spans="1:8" x14ac:dyDescent="0.2">
      <c r="A366" s="3220">
        <v>1</v>
      </c>
      <c r="B366" s="3213">
        <v>5551151324</v>
      </c>
      <c r="C366" s="3155" t="s">
        <v>1297</v>
      </c>
      <c r="D366" s="3155">
        <v>775</v>
      </c>
      <c r="E366" s="3156">
        <v>50</v>
      </c>
      <c r="F366" s="3364"/>
      <c r="G366" s="3383">
        <v>492406922</v>
      </c>
      <c r="H366" s="3380">
        <v>130099515</v>
      </c>
    </row>
    <row r="367" spans="1:8" x14ac:dyDescent="0.2">
      <c r="A367" s="3220">
        <v>1</v>
      </c>
      <c r="B367" s="3213">
        <v>5551151321</v>
      </c>
      <c r="C367" s="3155" t="s">
        <v>1298</v>
      </c>
      <c r="D367" s="3155">
        <v>780</v>
      </c>
      <c r="E367" s="3156">
        <v>50</v>
      </c>
      <c r="F367" s="3364"/>
      <c r="G367" s="3383">
        <v>492391926</v>
      </c>
      <c r="H367" s="3380">
        <v>130392141</v>
      </c>
    </row>
    <row r="368" spans="1:8" x14ac:dyDescent="0.2">
      <c r="A368" s="3220">
        <v>1</v>
      </c>
      <c r="B368" s="3213">
        <v>1350051064</v>
      </c>
      <c r="C368" s="3155" t="s">
        <v>1299</v>
      </c>
      <c r="D368" s="3155">
        <v>782</v>
      </c>
      <c r="E368" s="3156">
        <v>50</v>
      </c>
      <c r="F368" s="3364"/>
      <c r="G368" s="3383">
        <v>490694772</v>
      </c>
      <c r="H368" s="3380">
        <v>132391857</v>
      </c>
    </row>
    <row r="369" spans="1:8" x14ac:dyDescent="0.2">
      <c r="A369" s="3220">
        <v>1</v>
      </c>
      <c r="B369" s="3213">
        <v>5440135923</v>
      </c>
      <c r="C369" s="3155" t="s">
        <v>1300</v>
      </c>
      <c r="D369" s="3155">
        <v>793</v>
      </c>
      <c r="E369" s="3156">
        <v>50</v>
      </c>
      <c r="F369" s="3364"/>
      <c r="G369" s="3383">
        <v>492351093</v>
      </c>
      <c r="H369" s="3380">
        <v>129690945</v>
      </c>
    </row>
    <row r="370" spans="1:8" x14ac:dyDescent="0.2">
      <c r="A370" s="3220">
        <v>1</v>
      </c>
      <c r="B370" s="3213">
        <v>3194373475</v>
      </c>
      <c r="C370" s="3155" t="s">
        <v>1301</v>
      </c>
      <c r="D370" s="3155">
        <v>808</v>
      </c>
      <c r="E370" s="3156">
        <v>50</v>
      </c>
      <c r="F370" s="3364"/>
      <c r="G370" s="3383">
        <v>489874629</v>
      </c>
      <c r="H370" s="3380">
        <v>132400056</v>
      </c>
    </row>
    <row r="371" spans="1:8" x14ac:dyDescent="0.2">
      <c r="A371" s="3220">
        <v>1</v>
      </c>
      <c r="B371" s="3213">
        <v>3258612963</v>
      </c>
      <c r="C371" s="3155" t="s">
        <v>1294</v>
      </c>
      <c r="D371" s="3155">
        <v>827</v>
      </c>
      <c r="E371" s="3156">
        <v>50</v>
      </c>
      <c r="F371" s="3364"/>
      <c r="G371" s="3383">
        <v>489866662</v>
      </c>
      <c r="H371" s="3380">
        <v>132593005</v>
      </c>
    </row>
    <row r="372" spans="1:8" x14ac:dyDescent="0.2">
      <c r="A372" s="3220">
        <v>1</v>
      </c>
      <c r="B372" s="3213">
        <v>416427242</v>
      </c>
      <c r="C372" s="3155" t="s">
        <v>1302</v>
      </c>
      <c r="D372" s="3155">
        <v>858</v>
      </c>
      <c r="E372" s="3156">
        <v>50</v>
      </c>
      <c r="F372" s="3364"/>
      <c r="G372" s="3383">
        <v>489694705</v>
      </c>
      <c r="H372" s="3380">
        <v>132555143</v>
      </c>
    </row>
    <row r="373" spans="1:8" x14ac:dyDescent="0.2">
      <c r="A373" s="3220">
        <v>1</v>
      </c>
      <c r="B373" s="3213">
        <v>1716906832</v>
      </c>
      <c r="C373" s="3155" t="s">
        <v>1303</v>
      </c>
      <c r="D373" s="3155">
        <v>863</v>
      </c>
      <c r="E373" s="3156">
        <v>50</v>
      </c>
      <c r="F373" s="3364"/>
      <c r="G373" s="3383">
        <v>489259059</v>
      </c>
      <c r="H373" s="3380">
        <v>132778733</v>
      </c>
    </row>
    <row r="374" spans="1:8" x14ac:dyDescent="0.2">
      <c r="A374" s="3220">
        <v>1</v>
      </c>
      <c r="B374" s="3213">
        <v>4122663604</v>
      </c>
      <c r="C374" s="3155" t="s">
        <v>1304</v>
      </c>
      <c r="D374" s="3155">
        <v>875</v>
      </c>
      <c r="E374" s="3156">
        <v>50</v>
      </c>
      <c r="F374" s="3364"/>
      <c r="G374" s="3383">
        <v>491138305</v>
      </c>
      <c r="H374" s="3380">
        <v>132012030</v>
      </c>
    </row>
    <row r="375" spans="1:8" x14ac:dyDescent="0.2">
      <c r="A375" s="3220">
        <v>1</v>
      </c>
      <c r="B375" s="3213">
        <v>564965776</v>
      </c>
      <c r="C375" s="3155" t="s">
        <v>1305</v>
      </c>
      <c r="D375" s="3155">
        <v>878</v>
      </c>
      <c r="E375" s="3156">
        <v>50</v>
      </c>
      <c r="F375" s="3364"/>
      <c r="G375" s="3383">
        <v>489146856</v>
      </c>
      <c r="H375" s="3380">
        <v>133040868</v>
      </c>
    </row>
    <row r="376" spans="1:8" x14ac:dyDescent="0.2">
      <c r="A376" s="3220">
        <v>1</v>
      </c>
      <c r="B376" s="3213">
        <v>3595999220</v>
      </c>
      <c r="C376" s="3155" t="s">
        <v>1306</v>
      </c>
      <c r="D376" s="3155">
        <v>903</v>
      </c>
      <c r="E376" s="3156">
        <v>50</v>
      </c>
      <c r="F376" s="3364"/>
      <c r="G376" s="3383">
        <v>492323334</v>
      </c>
      <c r="H376" s="3380">
        <v>130568058</v>
      </c>
    </row>
    <row r="377" spans="1:8" x14ac:dyDescent="0.2">
      <c r="A377" s="3220">
        <v>1</v>
      </c>
      <c r="B377" s="3213">
        <v>1512928601</v>
      </c>
      <c r="C377" s="3155" t="s">
        <v>1307</v>
      </c>
      <c r="D377" s="3155">
        <v>906</v>
      </c>
      <c r="E377" s="3156">
        <v>50</v>
      </c>
      <c r="F377" s="3364"/>
      <c r="G377" s="3383">
        <v>488139896</v>
      </c>
      <c r="H377" s="3380">
        <v>132648902</v>
      </c>
    </row>
    <row r="378" spans="1:8" x14ac:dyDescent="0.2">
      <c r="A378" s="3220">
        <v>1</v>
      </c>
      <c r="B378" s="3213">
        <v>1512928578</v>
      </c>
      <c r="C378" s="3155" t="s">
        <v>1308</v>
      </c>
      <c r="D378" s="3155">
        <v>913</v>
      </c>
      <c r="E378" s="3156">
        <v>50</v>
      </c>
      <c r="F378" s="3364"/>
      <c r="G378" s="3383">
        <v>488133171</v>
      </c>
      <c r="H378" s="3380">
        <v>132585880</v>
      </c>
    </row>
    <row r="379" spans="1:8" x14ac:dyDescent="0.2">
      <c r="A379" s="3220">
        <v>1</v>
      </c>
      <c r="B379" s="3213">
        <v>2673647869</v>
      </c>
      <c r="C379" s="3155" t="s">
        <v>1309</v>
      </c>
      <c r="D379" s="3155">
        <v>920</v>
      </c>
      <c r="E379" s="3156">
        <v>50</v>
      </c>
      <c r="F379" s="3364"/>
      <c r="G379" s="3383">
        <v>491142192</v>
      </c>
      <c r="H379" s="3380">
        <v>132217967</v>
      </c>
    </row>
    <row r="380" spans="1:8" x14ac:dyDescent="0.2">
      <c r="A380" s="3220">
        <v>1</v>
      </c>
      <c r="B380" s="3213">
        <v>2669374024</v>
      </c>
      <c r="C380" s="3155" t="s">
        <v>1056</v>
      </c>
      <c r="D380" s="3155">
        <v>941</v>
      </c>
      <c r="E380" s="3156">
        <v>50</v>
      </c>
      <c r="F380" s="3364"/>
      <c r="G380" s="3383">
        <v>491079434</v>
      </c>
      <c r="H380" s="3380">
        <v>132062999</v>
      </c>
    </row>
    <row r="381" spans="1:8" x14ac:dyDescent="0.2">
      <c r="A381" s="3220">
        <v>1</v>
      </c>
      <c r="B381" s="3213">
        <v>1512928602</v>
      </c>
      <c r="C381" s="3155" t="s">
        <v>1310</v>
      </c>
      <c r="D381" s="3155">
        <v>942</v>
      </c>
      <c r="E381" s="3156">
        <v>50</v>
      </c>
      <c r="F381" s="3364"/>
      <c r="G381" s="3383">
        <v>488176285</v>
      </c>
      <c r="H381" s="3380">
        <v>132570665</v>
      </c>
    </row>
    <row r="382" spans="1:8" x14ac:dyDescent="0.2">
      <c r="A382" s="3220">
        <v>1</v>
      </c>
      <c r="B382" s="3213">
        <v>841768928</v>
      </c>
      <c r="C382" s="3155" t="s">
        <v>1311</v>
      </c>
      <c r="D382" s="3155">
        <v>951</v>
      </c>
      <c r="E382" s="3156">
        <v>50</v>
      </c>
      <c r="F382" s="3364"/>
      <c r="G382" s="3383">
        <v>489318145</v>
      </c>
      <c r="H382" s="3380">
        <v>132580614</v>
      </c>
    </row>
    <row r="383" spans="1:8" x14ac:dyDescent="0.2">
      <c r="A383" s="3220">
        <v>1</v>
      </c>
      <c r="B383" s="3213">
        <v>435237776</v>
      </c>
      <c r="C383" s="3155" t="s">
        <v>1312</v>
      </c>
      <c r="D383" s="3155">
        <v>959</v>
      </c>
      <c r="E383" s="3156">
        <v>50</v>
      </c>
      <c r="F383" s="3364"/>
      <c r="G383" s="3383">
        <v>489504287</v>
      </c>
      <c r="H383" s="3380">
        <v>132790963</v>
      </c>
    </row>
    <row r="384" spans="1:8" x14ac:dyDescent="0.2">
      <c r="A384" s="3220">
        <v>1</v>
      </c>
      <c r="B384" s="3213">
        <v>5440873966</v>
      </c>
      <c r="C384" s="3155" t="s">
        <v>1313</v>
      </c>
      <c r="D384" s="3155">
        <v>978</v>
      </c>
      <c r="E384" s="3156">
        <v>50</v>
      </c>
      <c r="F384" s="3364"/>
      <c r="G384" s="3383">
        <v>491440873</v>
      </c>
      <c r="H384" s="3380">
        <v>131362017</v>
      </c>
    </row>
    <row r="385" spans="1:8" x14ac:dyDescent="0.2">
      <c r="A385" s="3220">
        <v>1</v>
      </c>
      <c r="B385" s="3213">
        <v>538378363</v>
      </c>
      <c r="C385" s="3155" t="s">
        <v>1314</v>
      </c>
      <c r="D385" s="3155">
        <v>1043</v>
      </c>
      <c r="E385" s="3156">
        <v>50</v>
      </c>
      <c r="F385" s="3364"/>
      <c r="G385" s="3383">
        <v>489342375</v>
      </c>
      <c r="H385" s="3380">
        <v>132792772</v>
      </c>
    </row>
    <row r="386" spans="1:8" x14ac:dyDescent="0.2">
      <c r="A386" s="3220">
        <v>1</v>
      </c>
      <c r="B386" s="3213">
        <v>2388719376</v>
      </c>
      <c r="C386" s="3155" t="s">
        <v>1315</v>
      </c>
      <c r="D386" s="3155">
        <v>1062</v>
      </c>
      <c r="E386" s="3156">
        <v>50</v>
      </c>
      <c r="F386" s="3364"/>
      <c r="G386" s="3383">
        <v>491472222</v>
      </c>
      <c r="H386" s="3380">
        <v>131572222</v>
      </c>
    </row>
    <row r="387" spans="1:8" x14ac:dyDescent="0.2">
      <c r="A387" s="3220">
        <v>1</v>
      </c>
      <c r="B387" s="3213">
        <v>576647358</v>
      </c>
      <c r="C387" s="3155" t="s">
        <v>1316</v>
      </c>
      <c r="D387" s="3155">
        <v>1102</v>
      </c>
      <c r="E387" s="3156">
        <v>50</v>
      </c>
      <c r="F387" s="3364"/>
      <c r="G387" s="3383">
        <v>492269640</v>
      </c>
      <c r="H387" s="3380">
        <v>130891868</v>
      </c>
    </row>
    <row r="388" spans="1:8" x14ac:dyDescent="0.2">
      <c r="A388" s="3220">
        <v>1</v>
      </c>
      <c r="B388" s="3213">
        <v>2389014575</v>
      </c>
      <c r="C388" s="3155" t="s">
        <v>1317</v>
      </c>
      <c r="D388" s="3155">
        <v>1125</v>
      </c>
      <c r="E388" s="3156">
        <v>50</v>
      </c>
      <c r="F388" s="3364"/>
      <c r="G388" s="3383">
        <v>491376826</v>
      </c>
      <c r="H388" s="3380">
        <v>131466086</v>
      </c>
    </row>
    <row r="389" spans="1:8" x14ac:dyDescent="0.2">
      <c r="A389" s="3220">
        <v>1</v>
      </c>
      <c r="B389" s="3213">
        <v>2969872191</v>
      </c>
      <c r="C389" s="3155" t="s">
        <v>1318</v>
      </c>
      <c r="D389" s="3155">
        <v>1138</v>
      </c>
      <c r="E389" s="3156">
        <v>50</v>
      </c>
      <c r="F389" s="3364"/>
      <c r="G389" s="3383">
        <v>491947024</v>
      </c>
      <c r="H389" s="3380">
        <v>131324031</v>
      </c>
    </row>
    <row r="390" spans="1:8" x14ac:dyDescent="0.2">
      <c r="A390" s="3220">
        <v>1</v>
      </c>
      <c r="B390" s="3213">
        <v>2969966047</v>
      </c>
      <c r="C390" s="3155" t="s">
        <v>1319</v>
      </c>
      <c r="D390" s="3155">
        <v>1169</v>
      </c>
      <c r="E390" s="3156">
        <v>50</v>
      </c>
      <c r="F390" s="3364"/>
      <c r="G390" s="3383">
        <v>491906293</v>
      </c>
      <c r="H390" s="3380">
        <v>131371358</v>
      </c>
    </row>
    <row r="391" spans="1:8" x14ac:dyDescent="0.2">
      <c r="A391" s="3220">
        <v>1</v>
      </c>
      <c r="B391" s="3213">
        <v>5440873965</v>
      </c>
      <c r="C391" s="3155" t="s">
        <v>1320</v>
      </c>
      <c r="D391" s="3155">
        <v>1173</v>
      </c>
      <c r="E391" s="3156">
        <v>50</v>
      </c>
      <c r="F391" s="3364"/>
      <c r="G391" s="3383">
        <v>491411388</v>
      </c>
      <c r="H391" s="3380">
        <v>131595548</v>
      </c>
    </row>
    <row r="392" spans="1:8" x14ac:dyDescent="0.2">
      <c r="A392" s="3220">
        <v>1</v>
      </c>
      <c r="B392" s="3213">
        <v>265094431</v>
      </c>
      <c r="C392" s="3155" t="s">
        <v>1321</v>
      </c>
      <c r="D392" s="3155">
        <v>1266</v>
      </c>
      <c r="E392" s="3156">
        <v>50</v>
      </c>
      <c r="F392" s="3364"/>
      <c r="G392" s="3383">
        <v>492017348</v>
      </c>
      <c r="H392" s="3380">
        <v>131032394</v>
      </c>
    </row>
    <row r="393" spans="1:8" x14ac:dyDescent="0.2">
      <c r="A393" s="3220">
        <v>1</v>
      </c>
      <c r="B393" s="3213">
        <v>96428403</v>
      </c>
      <c r="C393" s="3155" t="s">
        <v>1322</v>
      </c>
      <c r="D393" s="3155">
        <v>1293</v>
      </c>
      <c r="E393" s="3156">
        <v>50</v>
      </c>
      <c r="F393" s="3364"/>
      <c r="G393" s="3383">
        <v>492031833</v>
      </c>
      <c r="H393" s="3380">
        <v>131097845</v>
      </c>
    </row>
    <row r="394" spans="1:8" x14ac:dyDescent="0.2">
      <c r="A394" s="3220">
        <v>1</v>
      </c>
      <c r="B394" s="3213">
        <v>347056141</v>
      </c>
      <c r="C394" s="3155" t="s">
        <v>1074</v>
      </c>
      <c r="D394" s="3155"/>
      <c r="E394" s="3156">
        <v>50</v>
      </c>
      <c r="F394" s="3364"/>
      <c r="G394" s="3383">
        <v>491949659</v>
      </c>
      <c r="H394" s="3380">
        <v>121852712</v>
      </c>
    </row>
    <row r="395" spans="1:8" x14ac:dyDescent="0.2">
      <c r="A395" s="3220">
        <v>1</v>
      </c>
      <c r="B395" s="3213">
        <v>662571491</v>
      </c>
      <c r="C395" s="3155" t="s">
        <v>1323</v>
      </c>
      <c r="D395" s="3155"/>
      <c r="E395" s="3156">
        <v>50</v>
      </c>
      <c r="F395" s="3364"/>
      <c r="G395" s="3383">
        <v>492128257</v>
      </c>
      <c r="H395" s="3380">
        <v>121743103</v>
      </c>
    </row>
    <row r="396" spans="1:8" x14ac:dyDescent="0.2">
      <c r="A396" s="3220">
        <v>1</v>
      </c>
      <c r="B396" s="3213">
        <v>662571497</v>
      </c>
      <c r="C396" s="3155" t="s">
        <v>1324</v>
      </c>
      <c r="D396" s="3155"/>
      <c r="E396" s="3156">
        <v>50</v>
      </c>
      <c r="F396" s="3364"/>
      <c r="G396" s="3383">
        <v>492127047</v>
      </c>
      <c r="H396" s="3380">
        <v>121760040</v>
      </c>
    </row>
    <row r="397" spans="1:8" x14ac:dyDescent="0.2">
      <c r="A397" s="3220">
        <v>1</v>
      </c>
      <c r="B397" s="3213">
        <v>1719410927</v>
      </c>
      <c r="C397" s="3155" t="s">
        <v>1325</v>
      </c>
      <c r="D397" s="3155"/>
      <c r="E397" s="3156">
        <v>50</v>
      </c>
      <c r="F397" s="3364"/>
      <c r="G397" s="3383">
        <v>488512742</v>
      </c>
      <c r="H397" s="3380">
        <v>132948397</v>
      </c>
    </row>
    <row r="398" spans="1:8" x14ac:dyDescent="0.2">
      <c r="A398" s="3220">
        <v>1</v>
      </c>
      <c r="B398" s="3213">
        <v>2970748586</v>
      </c>
      <c r="C398" s="3155" t="s">
        <v>1326</v>
      </c>
      <c r="D398" s="3155"/>
      <c r="E398" s="3156">
        <v>50</v>
      </c>
      <c r="F398" s="3364"/>
      <c r="G398" s="3383">
        <v>491893925</v>
      </c>
      <c r="H398" s="3380">
        <v>131360916</v>
      </c>
    </row>
    <row r="399" spans="1:8" x14ac:dyDescent="0.2">
      <c r="A399" s="3220">
        <v>1</v>
      </c>
      <c r="B399" s="3213">
        <v>3806569586</v>
      </c>
      <c r="C399" s="3155" t="s">
        <v>1327</v>
      </c>
      <c r="D399" s="3155"/>
      <c r="E399" s="3156">
        <v>50</v>
      </c>
      <c r="F399" s="3364"/>
      <c r="G399" s="3383">
        <v>492074908</v>
      </c>
      <c r="H399" s="3380">
        <v>130865990</v>
      </c>
    </row>
    <row r="400" spans="1:8" x14ac:dyDescent="0.2">
      <c r="A400" s="3220">
        <v>1</v>
      </c>
      <c r="B400" s="3213">
        <v>4248130320</v>
      </c>
      <c r="C400" s="3155" t="s">
        <v>1328</v>
      </c>
      <c r="D400" s="3155"/>
      <c r="E400" s="3156">
        <v>50</v>
      </c>
      <c r="F400" s="3364"/>
      <c r="G400" s="3383">
        <v>491099890</v>
      </c>
      <c r="H400" s="3380">
        <v>131599046</v>
      </c>
    </row>
    <row r="401" spans="1:8" ht="17" thickBot="1" x14ac:dyDescent="0.25">
      <c r="A401" s="3220">
        <v>1</v>
      </c>
      <c r="B401" s="3217">
        <v>5339642524</v>
      </c>
      <c r="C401" s="3163" t="s">
        <v>1329</v>
      </c>
      <c r="D401" s="3163"/>
      <c r="E401" s="3164">
        <v>50</v>
      </c>
      <c r="F401" s="3369"/>
      <c r="G401" s="3383">
        <v>491668578</v>
      </c>
      <c r="H401" s="3380">
        <v>121779443</v>
      </c>
    </row>
    <row r="402" spans="1:8" x14ac:dyDescent="0.2">
      <c r="A402" s="3220">
        <v>1</v>
      </c>
      <c r="B402" s="3210">
        <v>8590098513</v>
      </c>
      <c r="C402" s="3149" t="s">
        <v>992</v>
      </c>
      <c r="D402" s="3149">
        <v>428</v>
      </c>
      <c r="E402" s="3150">
        <v>55</v>
      </c>
      <c r="F402" s="3360"/>
      <c r="G402" s="3383">
        <v>486365607</v>
      </c>
      <c r="H402" s="3380">
        <v>132736962</v>
      </c>
    </row>
    <row r="403" spans="1:8" x14ac:dyDescent="0.2">
      <c r="A403" s="3220">
        <v>1</v>
      </c>
      <c r="B403" s="3213">
        <v>9162344995</v>
      </c>
      <c r="C403" s="3155" t="s">
        <v>1330</v>
      </c>
      <c r="D403" s="3155">
        <v>502</v>
      </c>
      <c r="E403" s="3156">
        <v>55</v>
      </c>
      <c r="F403" s="3364"/>
      <c r="G403" s="3383">
        <v>486613780</v>
      </c>
      <c r="H403" s="3380">
        <v>132638827</v>
      </c>
    </row>
    <row r="404" spans="1:8" x14ac:dyDescent="0.2">
      <c r="A404" s="3220">
        <v>1</v>
      </c>
      <c r="B404" s="3213">
        <v>2493825649</v>
      </c>
      <c r="C404" s="3155" t="s">
        <v>1331</v>
      </c>
      <c r="D404" s="3155">
        <v>513</v>
      </c>
      <c r="E404" s="3156">
        <v>55</v>
      </c>
      <c r="F404" s="3364"/>
      <c r="G404" s="3383">
        <v>487854789</v>
      </c>
      <c r="H404" s="3380">
        <v>133660449</v>
      </c>
    </row>
    <row r="405" spans="1:8" x14ac:dyDescent="0.2">
      <c r="A405" s="3220">
        <v>1</v>
      </c>
      <c r="B405" s="3213">
        <v>2549215740</v>
      </c>
      <c r="C405" s="3155" t="s">
        <v>1332</v>
      </c>
      <c r="D405" s="3155">
        <v>520</v>
      </c>
      <c r="E405" s="3156">
        <v>55</v>
      </c>
      <c r="F405" s="3364"/>
      <c r="G405" s="3383">
        <v>487614100</v>
      </c>
      <c r="H405" s="3380">
        <v>133359566</v>
      </c>
    </row>
    <row r="406" spans="1:8" x14ac:dyDescent="0.2">
      <c r="A406" s="3220">
        <v>1</v>
      </c>
      <c r="B406" s="3213">
        <v>1720464279</v>
      </c>
      <c r="C406" s="3155" t="s">
        <v>1333</v>
      </c>
      <c r="D406" s="3155">
        <v>534</v>
      </c>
      <c r="E406" s="3156">
        <v>55</v>
      </c>
      <c r="F406" s="3364"/>
      <c r="G406" s="3383">
        <v>488113468</v>
      </c>
      <c r="H406" s="3380">
        <v>133622744</v>
      </c>
    </row>
    <row r="407" spans="1:8" x14ac:dyDescent="0.2">
      <c r="A407" s="3220">
        <v>1</v>
      </c>
      <c r="B407" s="3213">
        <v>2481838675</v>
      </c>
      <c r="C407" s="3155" t="s">
        <v>1334</v>
      </c>
      <c r="D407" s="3155">
        <v>539</v>
      </c>
      <c r="E407" s="3156">
        <v>55</v>
      </c>
      <c r="F407" s="3364"/>
      <c r="G407" s="3383">
        <v>487878266</v>
      </c>
      <c r="H407" s="3380">
        <v>133487670</v>
      </c>
    </row>
    <row r="408" spans="1:8" x14ac:dyDescent="0.2">
      <c r="A408" s="3220">
        <v>1</v>
      </c>
      <c r="B408" s="3213">
        <v>1720461275</v>
      </c>
      <c r="C408" s="3155" t="s">
        <v>1335</v>
      </c>
      <c r="D408" s="3155">
        <v>582</v>
      </c>
      <c r="E408" s="3156">
        <v>55</v>
      </c>
      <c r="F408" s="3364"/>
      <c r="G408" s="3383">
        <v>487997441</v>
      </c>
      <c r="H408" s="3380">
        <v>133593991</v>
      </c>
    </row>
    <row r="409" spans="1:8" x14ac:dyDescent="0.2">
      <c r="A409" s="3220">
        <v>1</v>
      </c>
      <c r="B409" s="3213">
        <v>5596708112</v>
      </c>
      <c r="C409" s="3155" t="s">
        <v>1336</v>
      </c>
      <c r="D409" s="3155">
        <v>599</v>
      </c>
      <c r="E409" s="3156">
        <v>55</v>
      </c>
      <c r="F409" s="3364"/>
      <c r="G409" s="3383">
        <v>492824821</v>
      </c>
      <c r="H409" s="3380">
        <v>129753930</v>
      </c>
    </row>
    <row r="410" spans="1:8" x14ac:dyDescent="0.2">
      <c r="A410" s="3220">
        <v>1</v>
      </c>
      <c r="B410" s="3213">
        <v>1708860112</v>
      </c>
      <c r="C410" s="3155" t="s">
        <v>1337</v>
      </c>
      <c r="D410" s="3155">
        <v>623</v>
      </c>
      <c r="E410" s="3156">
        <v>55</v>
      </c>
      <c r="F410" s="3364"/>
      <c r="G410" s="3383">
        <v>487556495</v>
      </c>
      <c r="H410" s="3380">
        <v>133074661</v>
      </c>
    </row>
    <row r="411" spans="1:8" x14ac:dyDescent="0.2">
      <c r="A411" s="3220">
        <v>1</v>
      </c>
      <c r="B411" s="3213">
        <v>1482161211</v>
      </c>
      <c r="C411" s="3155" t="s">
        <v>1008</v>
      </c>
      <c r="D411" s="3155">
        <v>664</v>
      </c>
      <c r="E411" s="3156">
        <v>55</v>
      </c>
      <c r="F411" s="3364"/>
      <c r="G411" s="3383">
        <v>490034363</v>
      </c>
      <c r="H411" s="3380">
        <v>133044000</v>
      </c>
    </row>
    <row r="412" spans="1:8" x14ac:dyDescent="0.2">
      <c r="A412" s="3220">
        <v>1</v>
      </c>
      <c r="B412" s="3213">
        <v>5551151328</v>
      </c>
      <c r="C412" s="3155" t="s">
        <v>1338</v>
      </c>
      <c r="D412" s="3155">
        <v>677</v>
      </c>
      <c r="E412" s="3156">
        <v>55</v>
      </c>
      <c r="F412" s="3364"/>
      <c r="G412" s="3383">
        <v>492830072</v>
      </c>
      <c r="H412" s="3380">
        <v>130271911</v>
      </c>
    </row>
    <row r="413" spans="1:8" x14ac:dyDescent="0.2">
      <c r="A413" s="3220">
        <v>1</v>
      </c>
      <c r="B413" s="3213">
        <v>1602542020</v>
      </c>
      <c r="C413" s="3155" t="s">
        <v>1009</v>
      </c>
      <c r="D413" s="3155">
        <v>686</v>
      </c>
      <c r="E413" s="3156">
        <v>55</v>
      </c>
      <c r="F413" s="3364"/>
      <c r="G413" s="3383">
        <v>488710547</v>
      </c>
      <c r="H413" s="3380">
        <v>133431158</v>
      </c>
    </row>
    <row r="414" spans="1:8" x14ac:dyDescent="0.2">
      <c r="A414" s="3220">
        <v>1</v>
      </c>
      <c r="B414" s="3213">
        <v>1602541842</v>
      </c>
      <c r="C414" s="3155" t="s">
        <v>1077</v>
      </c>
      <c r="D414" s="3155">
        <v>703</v>
      </c>
      <c r="E414" s="3156">
        <v>55</v>
      </c>
      <c r="F414" s="3364"/>
      <c r="G414" s="3383">
        <v>488733143</v>
      </c>
      <c r="H414" s="3380">
        <v>133335050</v>
      </c>
    </row>
    <row r="415" spans="1:8" x14ac:dyDescent="0.2">
      <c r="A415" s="3220">
        <v>1</v>
      </c>
      <c r="B415" s="3213">
        <v>5082465214</v>
      </c>
      <c r="C415" s="3155" t="s">
        <v>1204</v>
      </c>
      <c r="D415" s="3155">
        <v>705</v>
      </c>
      <c r="E415" s="3156">
        <v>55</v>
      </c>
      <c r="F415" s="3364"/>
      <c r="G415" s="3383">
        <v>492716797</v>
      </c>
      <c r="H415" s="3380">
        <v>130272730</v>
      </c>
    </row>
    <row r="416" spans="1:8" x14ac:dyDescent="0.2">
      <c r="A416" s="3220">
        <v>1</v>
      </c>
      <c r="B416" s="3213">
        <v>5082465215</v>
      </c>
      <c r="C416" s="3155" t="s">
        <v>1339</v>
      </c>
      <c r="D416" s="3155">
        <v>705</v>
      </c>
      <c r="E416" s="3156">
        <v>55</v>
      </c>
      <c r="F416" s="3364"/>
      <c r="G416" s="3383">
        <v>492666499</v>
      </c>
      <c r="H416" s="3380">
        <v>130259899</v>
      </c>
    </row>
    <row r="417" spans="1:8" x14ac:dyDescent="0.2">
      <c r="A417" s="3220">
        <v>1</v>
      </c>
      <c r="B417" s="3213">
        <v>1482153892</v>
      </c>
      <c r="C417" s="3155" t="s">
        <v>1294</v>
      </c>
      <c r="D417" s="3155">
        <v>734</v>
      </c>
      <c r="E417" s="3156">
        <v>55</v>
      </c>
      <c r="F417" s="3364"/>
      <c r="G417" s="3383">
        <v>490125570</v>
      </c>
      <c r="H417" s="3380">
        <v>133186479</v>
      </c>
    </row>
    <row r="418" spans="1:8" x14ac:dyDescent="0.2">
      <c r="A418" s="3220">
        <v>1</v>
      </c>
      <c r="B418" s="3213">
        <v>1637742696</v>
      </c>
      <c r="C418" s="3155" t="s">
        <v>1340</v>
      </c>
      <c r="D418" s="3155">
        <v>738</v>
      </c>
      <c r="E418" s="3156">
        <v>55</v>
      </c>
      <c r="F418" s="3364"/>
      <c r="G418" s="3383">
        <v>488725515</v>
      </c>
      <c r="H418" s="3380">
        <v>133214406</v>
      </c>
    </row>
    <row r="419" spans="1:8" x14ac:dyDescent="0.2">
      <c r="A419" s="3220">
        <v>1</v>
      </c>
      <c r="B419" s="3213">
        <v>1602557838</v>
      </c>
      <c r="C419" s="3155" t="s">
        <v>1341</v>
      </c>
      <c r="D419" s="3155">
        <v>744</v>
      </c>
      <c r="E419" s="3156">
        <v>55</v>
      </c>
      <c r="F419" s="3364"/>
      <c r="G419" s="3383">
        <v>488882425</v>
      </c>
      <c r="H419" s="3380">
        <v>133794222</v>
      </c>
    </row>
    <row r="420" spans="1:8" x14ac:dyDescent="0.2">
      <c r="A420" s="3220">
        <v>1</v>
      </c>
      <c r="B420" s="3213">
        <v>5551151322</v>
      </c>
      <c r="C420" s="3155" t="s">
        <v>1342</v>
      </c>
      <c r="D420" s="3155">
        <v>750</v>
      </c>
      <c r="E420" s="3156">
        <v>55</v>
      </c>
      <c r="F420" s="3364"/>
      <c r="G420" s="3383">
        <v>492494402</v>
      </c>
      <c r="H420" s="3380">
        <v>130516171</v>
      </c>
    </row>
    <row r="421" spans="1:8" x14ac:dyDescent="0.2">
      <c r="A421" s="3220">
        <v>1</v>
      </c>
      <c r="B421" s="3213">
        <v>1631533588</v>
      </c>
      <c r="C421" s="3155" t="s">
        <v>1343</v>
      </c>
      <c r="D421" s="3155">
        <v>752</v>
      </c>
      <c r="E421" s="3156">
        <v>55</v>
      </c>
      <c r="F421" s="3364"/>
      <c r="G421" s="3383">
        <v>488620758</v>
      </c>
      <c r="H421" s="3380">
        <v>133732777</v>
      </c>
    </row>
    <row r="422" spans="1:8" x14ac:dyDescent="0.2">
      <c r="A422" s="3220">
        <v>1</v>
      </c>
      <c r="B422" s="3213">
        <v>3673432656</v>
      </c>
      <c r="C422" s="3155" t="s">
        <v>1344</v>
      </c>
      <c r="D422" s="3155">
        <v>757</v>
      </c>
      <c r="E422" s="3156">
        <v>55</v>
      </c>
      <c r="F422" s="3364"/>
      <c r="G422" s="3383">
        <v>492534585</v>
      </c>
      <c r="H422" s="3380">
        <v>130491840</v>
      </c>
    </row>
    <row r="423" spans="1:8" x14ac:dyDescent="0.2">
      <c r="A423" s="3220">
        <v>1</v>
      </c>
      <c r="B423" s="3213">
        <v>2389007421</v>
      </c>
      <c r="C423" s="3155" t="s">
        <v>999</v>
      </c>
      <c r="D423" s="3155">
        <v>934</v>
      </c>
      <c r="E423" s="3156">
        <v>55</v>
      </c>
      <c r="F423" s="3364"/>
      <c r="G423" s="3383">
        <v>490391581</v>
      </c>
      <c r="H423" s="3380">
        <v>132892725</v>
      </c>
    </row>
    <row r="424" spans="1:8" x14ac:dyDescent="0.2">
      <c r="A424" s="3220">
        <v>1</v>
      </c>
      <c r="B424" s="3213">
        <v>2996241294</v>
      </c>
      <c r="C424" s="3155" t="s">
        <v>1345</v>
      </c>
      <c r="D424" s="3155">
        <v>1039</v>
      </c>
      <c r="E424" s="3156">
        <v>55</v>
      </c>
      <c r="F424" s="3364"/>
      <c r="G424" s="3383">
        <v>490215876</v>
      </c>
      <c r="H424" s="3380">
        <v>133553605</v>
      </c>
    </row>
    <row r="425" spans="1:8" x14ac:dyDescent="0.2">
      <c r="A425" s="3220">
        <v>1</v>
      </c>
      <c r="B425" s="3213">
        <v>1891813231</v>
      </c>
      <c r="C425" s="3155" t="s">
        <v>1346</v>
      </c>
      <c r="D425" s="3155">
        <v>1093</v>
      </c>
      <c r="E425" s="3156">
        <v>55</v>
      </c>
      <c r="F425" s="3364"/>
      <c r="G425" s="3383">
        <v>492147288</v>
      </c>
      <c r="H425" s="3380">
        <v>131144343</v>
      </c>
    </row>
    <row r="426" spans="1:8" x14ac:dyDescent="0.2">
      <c r="A426" s="3220">
        <v>1</v>
      </c>
      <c r="B426" s="3213">
        <v>576647349</v>
      </c>
      <c r="C426" s="3155" t="s">
        <v>1347</v>
      </c>
      <c r="D426" s="3155">
        <v>1100</v>
      </c>
      <c r="E426" s="3156">
        <v>55</v>
      </c>
      <c r="F426" s="3364"/>
      <c r="G426" s="3383">
        <v>492166689</v>
      </c>
      <c r="H426" s="3380">
        <v>131138594</v>
      </c>
    </row>
    <row r="427" spans="1:8" x14ac:dyDescent="0.2">
      <c r="A427" s="3220">
        <v>1</v>
      </c>
      <c r="B427" s="3213">
        <v>3194358028</v>
      </c>
      <c r="C427" s="3155" t="s">
        <v>1348</v>
      </c>
      <c r="D427" s="3155">
        <v>1145</v>
      </c>
      <c r="E427" s="3156">
        <v>55</v>
      </c>
      <c r="F427" s="3364"/>
      <c r="G427" s="3383">
        <v>490787465</v>
      </c>
      <c r="H427" s="3380">
        <v>132876243</v>
      </c>
    </row>
    <row r="428" spans="1:8" x14ac:dyDescent="0.2">
      <c r="A428" s="3220">
        <v>1</v>
      </c>
      <c r="B428" s="3213">
        <v>173866922</v>
      </c>
      <c r="C428" s="3155" t="s">
        <v>1349</v>
      </c>
      <c r="D428" s="3155">
        <v>1190</v>
      </c>
      <c r="E428" s="3156">
        <v>55</v>
      </c>
      <c r="F428" s="3364"/>
      <c r="G428" s="3383">
        <v>490885068</v>
      </c>
      <c r="H428" s="3380">
        <v>132732424</v>
      </c>
    </row>
    <row r="429" spans="1:8" x14ac:dyDescent="0.2">
      <c r="A429" s="3220">
        <v>1</v>
      </c>
      <c r="B429" s="3213">
        <v>1350032421</v>
      </c>
      <c r="C429" s="3155" t="s">
        <v>1350</v>
      </c>
      <c r="D429" s="3155">
        <v>1193</v>
      </c>
      <c r="E429" s="3156">
        <v>55</v>
      </c>
      <c r="F429" s="3364"/>
      <c r="G429" s="3383">
        <v>490673998</v>
      </c>
      <c r="H429" s="3380">
        <v>133311385</v>
      </c>
    </row>
    <row r="430" spans="1:8" x14ac:dyDescent="0.2">
      <c r="A430" s="3220">
        <v>1</v>
      </c>
      <c r="B430" s="3213">
        <v>1350030716</v>
      </c>
      <c r="C430" s="3155" t="s">
        <v>1351</v>
      </c>
      <c r="D430" s="3155">
        <v>1199</v>
      </c>
      <c r="E430" s="3156">
        <v>55</v>
      </c>
      <c r="F430" s="3364"/>
      <c r="G430" s="3383">
        <v>490521408</v>
      </c>
      <c r="H430" s="3380">
        <v>133372696</v>
      </c>
    </row>
    <row r="431" spans="1:8" x14ac:dyDescent="0.2">
      <c r="A431" s="3220">
        <v>1</v>
      </c>
      <c r="B431" s="3213">
        <v>2996241295</v>
      </c>
      <c r="C431" s="3155" t="s">
        <v>1352</v>
      </c>
      <c r="D431" s="3155">
        <v>1265</v>
      </c>
      <c r="E431" s="3156">
        <v>55</v>
      </c>
      <c r="F431" s="3364"/>
      <c r="G431" s="3383">
        <v>490527189</v>
      </c>
      <c r="H431" s="3380">
        <v>133453269</v>
      </c>
    </row>
    <row r="432" spans="1:8" x14ac:dyDescent="0.2">
      <c r="A432" s="3220">
        <v>1</v>
      </c>
      <c r="B432" s="3213">
        <v>2996235651</v>
      </c>
      <c r="C432" s="3155" t="s">
        <v>1353</v>
      </c>
      <c r="D432" s="3155">
        <v>1269</v>
      </c>
      <c r="E432" s="3156">
        <v>55</v>
      </c>
      <c r="F432" s="3364"/>
      <c r="G432" s="3383">
        <v>490947511</v>
      </c>
      <c r="H432" s="3380">
        <v>132826889</v>
      </c>
    </row>
    <row r="433" spans="1:8" x14ac:dyDescent="0.2">
      <c r="A433" s="3220">
        <v>1</v>
      </c>
      <c r="B433" s="3213">
        <v>4978104062</v>
      </c>
      <c r="C433" s="3155" t="s">
        <v>1354</v>
      </c>
      <c r="D433" s="3155">
        <v>1315</v>
      </c>
      <c r="E433" s="3156">
        <v>55</v>
      </c>
      <c r="F433" s="3364"/>
      <c r="G433" s="3383">
        <v>490847366</v>
      </c>
      <c r="H433" s="3380">
        <v>132799821</v>
      </c>
    </row>
    <row r="434" spans="1:8" x14ac:dyDescent="0.2">
      <c r="A434" s="3220">
        <v>1</v>
      </c>
      <c r="B434" s="3213">
        <v>1355321835</v>
      </c>
      <c r="C434" s="3155" t="s">
        <v>1355</v>
      </c>
      <c r="D434" s="3155"/>
      <c r="E434" s="3156">
        <v>55</v>
      </c>
      <c r="F434" s="3364"/>
      <c r="G434" s="3383">
        <v>489194173</v>
      </c>
      <c r="H434" s="3380">
        <v>133642355</v>
      </c>
    </row>
    <row r="435" spans="1:8" x14ac:dyDescent="0.2">
      <c r="A435" s="3220">
        <v>1</v>
      </c>
      <c r="B435" s="3213">
        <v>1585617175</v>
      </c>
      <c r="C435" s="3155" t="s">
        <v>1356</v>
      </c>
      <c r="D435" s="3155"/>
      <c r="E435" s="3156">
        <v>55</v>
      </c>
      <c r="F435" s="3364"/>
      <c r="G435" s="3383">
        <v>488722330</v>
      </c>
      <c r="H435" s="3380">
        <v>133543789</v>
      </c>
    </row>
    <row r="436" spans="1:8" x14ac:dyDescent="0.2">
      <c r="A436" s="3220">
        <v>1</v>
      </c>
      <c r="B436" s="3213">
        <v>1585642759</v>
      </c>
      <c r="C436" s="3155" t="s">
        <v>1357</v>
      </c>
      <c r="D436" s="3155"/>
      <c r="E436" s="3156">
        <v>55</v>
      </c>
      <c r="F436" s="3364"/>
      <c r="G436" s="3383">
        <v>488465001</v>
      </c>
      <c r="H436" s="3380">
        <v>133274501</v>
      </c>
    </row>
    <row r="437" spans="1:8" x14ac:dyDescent="0.2">
      <c r="A437" s="3220">
        <v>1</v>
      </c>
      <c r="B437" s="3213">
        <v>1602560075</v>
      </c>
      <c r="C437" s="3155" t="s">
        <v>1358</v>
      </c>
      <c r="D437" s="3155"/>
      <c r="E437" s="3156">
        <v>55</v>
      </c>
      <c r="F437" s="3364"/>
      <c r="G437" s="3383">
        <v>488939705</v>
      </c>
      <c r="H437" s="3380">
        <v>133519564</v>
      </c>
    </row>
    <row r="438" spans="1:8" x14ac:dyDescent="0.2">
      <c r="A438" s="3220">
        <v>1</v>
      </c>
      <c r="B438" s="3213">
        <v>1737969348</v>
      </c>
      <c r="C438" s="3155" t="s">
        <v>1359</v>
      </c>
      <c r="D438" s="3155"/>
      <c r="E438" s="3156">
        <v>55</v>
      </c>
      <c r="F438" s="3364"/>
      <c r="G438" s="3383">
        <v>488446402</v>
      </c>
      <c r="H438" s="3380">
        <v>133265210</v>
      </c>
    </row>
    <row r="439" spans="1:8" x14ac:dyDescent="0.2">
      <c r="A439" s="3220">
        <v>1</v>
      </c>
      <c r="B439" s="3213">
        <v>2491284346</v>
      </c>
      <c r="C439" s="3155" t="s">
        <v>1360</v>
      </c>
      <c r="D439" s="3155"/>
      <c r="E439" s="3156">
        <v>55</v>
      </c>
      <c r="F439" s="3364"/>
      <c r="G439" s="3383">
        <v>490702859</v>
      </c>
      <c r="H439" s="3380">
        <v>132720820</v>
      </c>
    </row>
    <row r="440" spans="1:8" x14ac:dyDescent="0.2">
      <c r="A440" s="3220">
        <v>1</v>
      </c>
      <c r="B440" s="3213">
        <v>3656894794</v>
      </c>
      <c r="C440" s="3155" t="s">
        <v>1361</v>
      </c>
      <c r="D440" s="3155"/>
      <c r="E440" s="3156">
        <v>55</v>
      </c>
      <c r="F440" s="3364"/>
      <c r="G440" s="3383">
        <v>490824462</v>
      </c>
      <c r="H440" s="3380">
        <v>132863311</v>
      </c>
    </row>
    <row r="441" spans="1:8" ht="17" thickBot="1" x14ac:dyDescent="0.25">
      <c r="A441" s="3220">
        <v>1</v>
      </c>
      <c r="B441" s="3215">
        <v>4848276479</v>
      </c>
      <c r="C441" s="3159" t="s">
        <v>1362</v>
      </c>
      <c r="D441" s="3159"/>
      <c r="E441" s="3160">
        <v>55</v>
      </c>
      <c r="F441" s="3367"/>
      <c r="G441" s="3383">
        <v>490569994</v>
      </c>
      <c r="H441" s="3380">
        <v>133239198</v>
      </c>
    </row>
    <row r="442" spans="1:8" x14ac:dyDescent="0.2">
      <c r="A442" s="3220">
        <v>1</v>
      </c>
      <c r="B442" s="3210">
        <v>8590098510</v>
      </c>
      <c r="C442" s="3149" t="s">
        <v>1363</v>
      </c>
      <c r="D442" s="3149">
        <v>402</v>
      </c>
      <c r="E442" s="3150">
        <v>60</v>
      </c>
      <c r="F442" s="3360"/>
      <c r="G442" s="3383">
        <v>486152527</v>
      </c>
      <c r="H442" s="3380">
        <v>132922924</v>
      </c>
    </row>
    <row r="443" spans="1:8" x14ac:dyDescent="0.2">
      <c r="A443" s="3220">
        <v>1</v>
      </c>
      <c r="B443" s="3213">
        <v>8590098511</v>
      </c>
      <c r="C443" s="3155" t="s">
        <v>1364</v>
      </c>
      <c r="D443" s="3155">
        <v>462</v>
      </c>
      <c r="E443" s="3156">
        <v>60</v>
      </c>
      <c r="F443" s="3364"/>
      <c r="G443" s="3383">
        <v>486280566</v>
      </c>
      <c r="H443" s="3380">
        <v>132999515</v>
      </c>
    </row>
    <row r="444" spans="1:8" x14ac:dyDescent="0.2">
      <c r="A444" s="3220">
        <v>1</v>
      </c>
      <c r="B444" s="3213">
        <v>1720487658</v>
      </c>
      <c r="C444" s="3155" t="s">
        <v>1365</v>
      </c>
      <c r="D444" s="3155">
        <v>537</v>
      </c>
      <c r="E444" s="3156">
        <v>60</v>
      </c>
      <c r="F444" s="3364"/>
      <c r="G444" s="3383">
        <v>487879125</v>
      </c>
      <c r="H444" s="3380">
        <v>133793761</v>
      </c>
    </row>
    <row r="445" spans="1:8" x14ac:dyDescent="0.2">
      <c r="A445" s="3220">
        <v>1</v>
      </c>
      <c r="B445" s="3213">
        <v>8590098512</v>
      </c>
      <c r="C445" s="3155" t="s">
        <v>1366</v>
      </c>
      <c r="D445" s="3155">
        <v>560</v>
      </c>
      <c r="E445" s="3156">
        <v>60</v>
      </c>
      <c r="F445" s="3364"/>
      <c r="G445" s="3383">
        <v>486393610</v>
      </c>
      <c r="H445" s="3380">
        <v>133015743</v>
      </c>
    </row>
    <row r="446" spans="1:8" x14ac:dyDescent="0.2">
      <c r="A446" s="3220">
        <v>1</v>
      </c>
      <c r="B446" s="3213">
        <v>1720487630</v>
      </c>
      <c r="C446" s="3155" t="s">
        <v>1367</v>
      </c>
      <c r="D446" s="3155">
        <v>566</v>
      </c>
      <c r="E446" s="3156">
        <v>60</v>
      </c>
      <c r="F446" s="3364"/>
      <c r="G446" s="3383">
        <v>487739570</v>
      </c>
      <c r="H446" s="3380">
        <v>133780243</v>
      </c>
    </row>
    <row r="447" spans="1:8" x14ac:dyDescent="0.2">
      <c r="A447" s="3220">
        <v>1</v>
      </c>
      <c r="B447" s="3213">
        <v>1584111668</v>
      </c>
      <c r="C447" s="3155" t="s">
        <v>1368</v>
      </c>
      <c r="D447" s="3155">
        <v>572</v>
      </c>
      <c r="E447" s="3156">
        <v>60</v>
      </c>
      <c r="F447" s="3364"/>
      <c r="G447" s="3383">
        <v>487709039</v>
      </c>
      <c r="H447" s="3380">
        <v>134262550</v>
      </c>
    </row>
    <row r="448" spans="1:8" x14ac:dyDescent="0.2">
      <c r="A448" s="3220">
        <v>1</v>
      </c>
      <c r="B448" s="3213">
        <v>4466421577</v>
      </c>
      <c r="C448" s="3155" t="s">
        <v>1369</v>
      </c>
      <c r="D448" s="3155">
        <v>608</v>
      </c>
      <c r="E448" s="3156">
        <v>60</v>
      </c>
      <c r="F448" s="3364"/>
      <c r="G448" s="3383">
        <v>487493244</v>
      </c>
      <c r="H448" s="3380">
        <v>133617601</v>
      </c>
    </row>
    <row r="449" spans="1:8" x14ac:dyDescent="0.2">
      <c r="A449" s="3220">
        <v>1</v>
      </c>
      <c r="B449" s="3213">
        <v>1584111670</v>
      </c>
      <c r="C449" s="3155" t="s">
        <v>1370</v>
      </c>
      <c r="D449" s="3155">
        <v>638</v>
      </c>
      <c r="E449" s="3156">
        <v>60</v>
      </c>
      <c r="F449" s="3364"/>
      <c r="G449" s="3383">
        <v>487896681</v>
      </c>
      <c r="H449" s="3380">
        <v>134345317</v>
      </c>
    </row>
    <row r="450" spans="1:8" x14ac:dyDescent="0.2">
      <c r="A450" s="3220">
        <v>1</v>
      </c>
      <c r="B450" s="3213">
        <v>1751528895</v>
      </c>
      <c r="C450" s="3155" t="s">
        <v>1130</v>
      </c>
      <c r="D450" s="3155">
        <v>754</v>
      </c>
      <c r="E450" s="3156">
        <v>60</v>
      </c>
      <c r="F450" s="3364"/>
      <c r="G450" s="3383">
        <v>488419420</v>
      </c>
      <c r="H450" s="3380">
        <v>134354913</v>
      </c>
    </row>
    <row r="451" spans="1:8" x14ac:dyDescent="0.2">
      <c r="A451" s="3220">
        <v>1</v>
      </c>
      <c r="B451" s="3213">
        <v>4704220815</v>
      </c>
      <c r="C451" s="3155" t="s">
        <v>1204</v>
      </c>
      <c r="D451" s="3155">
        <v>820</v>
      </c>
      <c r="E451" s="3156">
        <v>60</v>
      </c>
      <c r="F451" s="3364"/>
      <c r="G451" s="3383">
        <v>488924503</v>
      </c>
      <c r="H451" s="3380">
        <v>134293207</v>
      </c>
    </row>
    <row r="452" spans="1:8" x14ac:dyDescent="0.2">
      <c r="A452" s="3220">
        <v>1</v>
      </c>
      <c r="B452" s="3213">
        <v>3721908793</v>
      </c>
      <c r="C452" s="3155" t="s">
        <v>1371</v>
      </c>
      <c r="D452" s="3155">
        <v>852</v>
      </c>
      <c r="E452" s="3156">
        <v>60</v>
      </c>
      <c r="F452" s="3364"/>
      <c r="G452" s="3383">
        <v>489391887</v>
      </c>
      <c r="H452" s="3380">
        <v>134031133</v>
      </c>
    </row>
    <row r="453" spans="1:8" x14ac:dyDescent="0.2">
      <c r="A453" s="3220">
        <v>1</v>
      </c>
      <c r="B453" s="3213">
        <v>2996244038</v>
      </c>
      <c r="C453" s="3155" t="s">
        <v>1372</v>
      </c>
      <c r="D453" s="3155">
        <v>865</v>
      </c>
      <c r="E453" s="3156">
        <v>60</v>
      </c>
      <c r="F453" s="3364"/>
      <c r="G453" s="3383">
        <v>488940025</v>
      </c>
      <c r="H453" s="3380">
        <v>133934814</v>
      </c>
    </row>
    <row r="454" spans="1:8" x14ac:dyDescent="0.2">
      <c r="A454" s="3220">
        <v>1</v>
      </c>
      <c r="B454" s="3213">
        <v>5138366345</v>
      </c>
      <c r="C454" s="3155" t="s">
        <v>1373</v>
      </c>
      <c r="D454" s="3155">
        <v>1134</v>
      </c>
      <c r="E454" s="3156">
        <v>60</v>
      </c>
      <c r="F454" s="3364"/>
      <c r="G454" s="3383">
        <v>489578049</v>
      </c>
      <c r="H454" s="3380">
        <v>133877646</v>
      </c>
    </row>
    <row r="455" spans="1:8" x14ac:dyDescent="0.2">
      <c r="A455" s="3220">
        <v>1</v>
      </c>
      <c r="B455" s="3213">
        <v>2996241293</v>
      </c>
      <c r="C455" s="3155" t="s">
        <v>1374</v>
      </c>
      <c r="D455" s="3155">
        <v>1257</v>
      </c>
      <c r="E455" s="3156">
        <v>60</v>
      </c>
      <c r="F455" s="3364"/>
      <c r="G455" s="3383">
        <v>490452334</v>
      </c>
      <c r="H455" s="3380">
        <v>133631037</v>
      </c>
    </row>
    <row r="456" spans="1:8" x14ac:dyDescent="0.2">
      <c r="A456" s="3220">
        <v>1</v>
      </c>
      <c r="B456" s="3213">
        <v>2486503354</v>
      </c>
      <c r="C456" s="3155" t="s">
        <v>1375</v>
      </c>
      <c r="D456" s="3155">
        <v>1260</v>
      </c>
      <c r="E456" s="3156">
        <v>60</v>
      </c>
      <c r="F456" s="3364"/>
      <c r="G456" s="3383">
        <v>489879311</v>
      </c>
      <c r="H456" s="3380">
        <v>133805457</v>
      </c>
    </row>
    <row r="457" spans="1:8" x14ac:dyDescent="0.2">
      <c r="A457" s="3220">
        <v>1</v>
      </c>
      <c r="B457" s="3213">
        <v>577336417</v>
      </c>
      <c r="C457" s="3155" t="s">
        <v>1376</v>
      </c>
      <c r="D457" s="3155">
        <v>1276</v>
      </c>
      <c r="E457" s="3156">
        <v>60</v>
      </c>
      <c r="F457" s="3364"/>
      <c r="G457" s="3383">
        <v>489727165</v>
      </c>
      <c r="H457" s="3380">
        <v>134258767</v>
      </c>
    </row>
    <row r="458" spans="1:8" x14ac:dyDescent="0.2">
      <c r="A458" s="3220">
        <v>1</v>
      </c>
      <c r="B458" s="3213">
        <v>3480665605</v>
      </c>
      <c r="C458" s="3155" t="s">
        <v>1377</v>
      </c>
      <c r="D458" s="3155">
        <v>1304</v>
      </c>
      <c r="E458" s="3156">
        <v>60</v>
      </c>
      <c r="F458" s="3364"/>
      <c r="G458" s="3383">
        <v>489664901</v>
      </c>
      <c r="H458" s="3380">
        <v>134405838</v>
      </c>
    </row>
    <row r="459" spans="1:8" x14ac:dyDescent="0.2">
      <c r="A459" s="3220">
        <v>1</v>
      </c>
      <c r="B459" s="3213">
        <v>2413491281</v>
      </c>
      <c r="C459" s="3155" t="s">
        <v>1378</v>
      </c>
      <c r="D459" s="3155">
        <v>1399</v>
      </c>
      <c r="E459" s="3156">
        <v>60</v>
      </c>
      <c r="F459" s="3364"/>
      <c r="G459" s="3383">
        <v>489837020</v>
      </c>
      <c r="H459" s="3380">
        <v>133791457</v>
      </c>
    </row>
    <row r="460" spans="1:8" x14ac:dyDescent="0.2">
      <c r="A460" s="3220">
        <v>1</v>
      </c>
      <c r="B460" s="3213">
        <v>96405646</v>
      </c>
      <c r="C460" s="3155" t="s">
        <v>1379</v>
      </c>
      <c r="D460" s="3155">
        <v>1453</v>
      </c>
      <c r="E460" s="3156">
        <v>60</v>
      </c>
      <c r="F460" s="3364"/>
      <c r="G460" s="3383">
        <v>489785352</v>
      </c>
      <c r="H460" s="3380">
        <v>133889715</v>
      </c>
    </row>
    <row r="461" spans="1:8" x14ac:dyDescent="0.2">
      <c r="A461" s="3220">
        <v>1</v>
      </c>
      <c r="B461" s="3213">
        <v>1270510248</v>
      </c>
      <c r="C461" s="3155" t="s">
        <v>1380</v>
      </c>
      <c r="D461" s="3155"/>
      <c r="E461" s="3156">
        <v>60</v>
      </c>
      <c r="F461" s="3364"/>
      <c r="G461" s="3383">
        <v>490074465</v>
      </c>
      <c r="H461" s="3380">
        <v>134027836</v>
      </c>
    </row>
    <row r="462" spans="1:8" x14ac:dyDescent="0.2">
      <c r="A462" s="3220">
        <v>1</v>
      </c>
      <c r="B462" s="3213">
        <v>1720487650</v>
      </c>
      <c r="C462" s="3155" t="s">
        <v>1055</v>
      </c>
      <c r="D462" s="3155"/>
      <c r="E462" s="3156">
        <v>60</v>
      </c>
      <c r="F462" s="3364"/>
      <c r="G462" s="3383">
        <v>487741267</v>
      </c>
      <c r="H462" s="3380">
        <v>133820154</v>
      </c>
    </row>
    <row r="463" spans="1:8" x14ac:dyDescent="0.2">
      <c r="A463" s="3220">
        <v>1</v>
      </c>
      <c r="B463" s="3213">
        <v>1774951385</v>
      </c>
      <c r="C463" s="3155" t="s">
        <v>1381</v>
      </c>
      <c r="D463" s="3155"/>
      <c r="E463" s="3156">
        <v>60</v>
      </c>
      <c r="F463" s="3364"/>
      <c r="G463" s="3383">
        <v>488905971</v>
      </c>
      <c r="H463" s="3380">
        <v>134395641</v>
      </c>
    </row>
    <row r="464" spans="1:8" x14ac:dyDescent="0.2">
      <c r="A464" s="3220">
        <v>1</v>
      </c>
      <c r="B464" s="3213">
        <v>2976643043</v>
      </c>
      <c r="C464" s="3155" t="s">
        <v>1382</v>
      </c>
      <c r="D464" s="3155"/>
      <c r="E464" s="3156">
        <v>60</v>
      </c>
      <c r="F464" s="3364"/>
      <c r="G464" s="3383">
        <v>490498975</v>
      </c>
      <c r="H464" s="3380">
        <v>133563224</v>
      </c>
    </row>
    <row r="465" spans="1:8" x14ac:dyDescent="0.2">
      <c r="A465" s="3220">
        <v>1</v>
      </c>
      <c r="B465" s="3213">
        <v>3370296585</v>
      </c>
      <c r="C465" s="3155" t="s">
        <v>1383</v>
      </c>
      <c r="D465" s="3155"/>
      <c r="E465" s="3156">
        <v>60</v>
      </c>
      <c r="F465" s="3364"/>
      <c r="G465" s="3383">
        <v>488645965</v>
      </c>
      <c r="H465" s="3380">
        <v>134007879</v>
      </c>
    </row>
    <row r="466" spans="1:8" x14ac:dyDescent="0.2">
      <c r="A466" s="3220">
        <v>1</v>
      </c>
      <c r="B466" s="3213">
        <v>3481238184</v>
      </c>
      <c r="C466" s="3155" t="s">
        <v>1384</v>
      </c>
      <c r="D466" s="3155"/>
      <c r="E466" s="3156">
        <v>60</v>
      </c>
      <c r="F466" s="3364"/>
      <c r="G466" s="3383">
        <v>489694063</v>
      </c>
      <c r="H466" s="3380">
        <v>133893469</v>
      </c>
    </row>
    <row r="467" spans="1:8" ht="17" thickBot="1" x14ac:dyDescent="0.25">
      <c r="A467" s="3220">
        <v>1</v>
      </c>
      <c r="B467" s="3215">
        <v>3986429911</v>
      </c>
      <c r="C467" s="3159" t="s">
        <v>1385</v>
      </c>
      <c r="D467" s="3159"/>
      <c r="E467" s="3160">
        <v>60</v>
      </c>
      <c r="F467" s="3367"/>
      <c r="G467" s="3383">
        <v>489708881</v>
      </c>
      <c r="H467" s="3380">
        <v>133968287</v>
      </c>
    </row>
    <row r="468" spans="1:8" x14ac:dyDescent="0.2">
      <c r="A468" s="3220">
        <v>1</v>
      </c>
      <c r="B468" s="3210">
        <v>9269928112</v>
      </c>
      <c r="C468" s="3149" t="s">
        <v>1386</v>
      </c>
      <c r="D468" s="3149">
        <v>386</v>
      </c>
      <c r="E468" s="3150">
        <v>65</v>
      </c>
      <c r="F468" s="3360"/>
      <c r="G468" s="3383">
        <v>486150311</v>
      </c>
      <c r="H468" s="3380">
        <v>133866022</v>
      </c>
    </row>
    <row r="469" spans="1:8" x14ac:dyDescent="0.2">
      <c r="A469" s="3220">
        <v>1</v>
      </c>
      <c r="B469" s="3213">
        <v>3930587904</v>
      </c>
      <c r="C469" s="3155" t="s">
        <v>1204</v>
      </c>
      <c r="D469" s="3155">
        <v>583</v>
      </c>
      <c r="E469" s="3156">
        <v>65</v>
      </c>
      <c r="F469" s="3364"/>
      <c r="G469" s="3383">
        <v>487458001</v>
      </c>
      <c r="H469" s="3380">
        <v>134892374</v>
      </c>
    </row>
    <row r="470" spans="1:8" x14ac:dyDescent="0.2">
      <c r="A470" s="3220">
        <v>1</v>
      </c>
      <c r="B470" s="3213">
        <v>1857507754</v>
      </c>
      <c r="C470" s="3155" t="s">
        <v>1387</v>
      </c>
      <c r="D470" s="3155">
        <v>671</v>
      </c>
      <c r="E470" s="3156">
        <v>65</v>
      </c>
      <c r="F470" s="3364"/>
      <c r="G470" s="3383">
        <v>488292768</v>
      </c>
      <c r="H470" s="3380">
        <v>134559508</v>
      </c>
    </row>
    <row r="471" spans="1:8" x14ac:dyDescent="0.2">
      <c r="A471" s="3220">
        <v>1</v>
      </c>
      <c r="B471" s="3213">
        <v>2268278345</v>
      </c>
      <c r="C471" s="3155" t="s">
        <v>996</v>
      </c>
      <c r="D471" s="3155">
        <v>875</v>
      </c>
      <c r="E471" s="3156">
        <v>65</v>
      </c>
      <c r="F471" s="3364"/>
      <c r="G471" s="3383">
        <v>488515811</v>
      </c>
      <c r="H471" s="3380">
        <v>134582633</v>
      </c>
    </row>
    <row r="472" spans="1:8" x14ac:dyDescent="0.2">
      <c r="A472" s="3220">
        <v>1</v>
      </c>
      <c r="B472" s="3213">
        <v>5092289928</v>
      </c>
      <c r="C472" s="3155" t="s">
        <v>1388</v>
      </c>
      <c r="D472" s="3155">
        <v>976</v>
      </c>
      <c r="E472" s="3156">
        <v>65</v>
      </c>
      <c r="F472" s="3364"/>
      <c r="G472" s="3383">
        <v>489147050</v>
      </c>
      <c r="H472" s="3380">
        <v>135001755</v>
      </c>
    </row>
    <row r="473" spans="1:8" x14ac:dyDescent="0.2">
      <c r="A473" s="3220">
        <v>1</v>
      </c>
      <c r="B473" s="3213">
        <v>445764708</v>
      </c>
      <c r="C473" s="3155" t="s">
        <v>1389</v>
      </c>
      <c r="D473" s="3155">
        <v>1151</v>
      </c>
      <c r="E473" s="3156">
        <v>65</v>
      </c>
      <c r="F473" s="3364"/>
      <c r="G473" s="3383">
        <v>489246800</v>
      </c>
      <c r="H473" s="3380">
        <v>134845986</v>
      </c>
    </row>
    <row r="474" spans="1:8" x14ac:dyDescent="0.2">
      <c r="A474" s="3220">
        <v>1</v>
      </c>
      <c r="B474" s="3213">
        <v>445970161</v>
      </c>
      <c r="C474" s="3155" t="s">
        <v>1390</v>
      </c>
      <c r="D474" s="3155">
        <v>1233</v>
      </c>
      <c r="E474" s="3156">
        <v>65</v>
      </c>
      <c r="F474" s="3364"/>
      <c r="G474" s="3383">
        <v>489510092</v>
      </c>
      <c r="H474" s="3380">
        <v>134797727</v>
      </c>
    </row>
    <row r="475" spans="1:8" x14ac:dyDescent="0.2">
      <c r="A475" s="3220">
        <v>1</v>
      </c>
      <c r="B475" s="3213">
        <v>7972230710</v>
      </c>
      <c r="C475" s="3155" t="s">
        <v>1391</v>
      </c>
      <c r="D475" s="3155">
        <v>1279</v>
      </c>
      <c r="E475" s="3156">
        <v>65</v>
      </c>
      <c r="F475" s="3364"/>
      <c r="G475" s="3383">
        <v>489367145</v>
      </c>
      <c r="H475" s="3380">
        <v>135210641</v>
      </c>
    </row>
    <row r="476" spans="1:8" x14ac:dyDescent="0.2">
      <c r="A476" s="3220">
        <v>1</v>
      </c>
      <c r="B476" s="3213">
        <v>3242752334</v>
      </c>
      <c r="C476" s="3155" t="s">
        <v>1392</v>
      </c>
      <c r="D476" s="3155">
        <v>1280</v>
      </c>
      <c r="E476" s="3156">
        <v>65</v>
      </c>
      <c r="F476" s="3364"/>
      <c r="G476" s="3383">
        <v>489686858</v>
      </c>
      <c r="H476" s="3380">
        <v>135150775</v>
      </c>
    </row>
    <row r="477" spans="1:8" x14ac:dyDescent="0.2">
      <c r="A477" s="3220">
        <v>1</v>
      </c>
      <c r="B477" s="3213">
        <v>410947529</v>
      </c>
      <c r="C477" s="3155" t="s">
        <v>1393</v>
      </c>
      <c r="D477" s="3155">
        <v>1373</v>
      </c>
      <c r="E477" s="3156">
        <v>65</v>
      </c>
      <c r="F477" s="3364"/>
      <c r="G477" s="3383">
        <v>489391964</v>
      </c>
      <c r="H477" s="3380">
        <v>135067775</v>
      </c>
    </row>
    <row r="478" spans="1:8" x14ac:dyDescent="0.2">
      <c r="A478" s="3220">
        <v>1</v>
      </c>
      <c r="B478" s="3213">
        <v>576571442</v>
      </c>
      <c r="C478" s="3155" t="s">
        <v>1394</v>
      </c>
      <c r="D478" s="3155">
        <v>1376</v>
      </c>
      <c r="E478" s="3156">
        <v>65</v>
      </c>
      <c r="F478" s="3364"/>
      <c r="G478" s="3383">
        <v>489639997</v>
      </c>
      <c r="H478" s="3380">
        <v>134502885</v>
      </c>
    </row>
    <row r="479" spans="1:8" x14ac:dyDescent="0.2">
      <c r="A479" s="3220">
        <v>1</v>
      </c>
      <c r="B479" s="3213">
        <v>605457854</v>
      </c>
      <c r="C479" s="3155" t="s">
        <v>1395</v>
      </c>
      <c r="D479" s="3155"/>
      <c r="E479" s="3156">
        <v>65</v>
      </c>
      <c r="F479" s="3364"/>
      <c r="G479" s="3383">
        <v>488938149</v>
      </c>
      <c r="H479" s="3380">
        <v>135116318</v>
      </c>
    </row>
    <row r="480" spans="1:8" x14ac:dyDescent="0.2">
      <c r="A480" s="3220">
        <v>1</v>
      </c>
      <c r="B480" s="3213">
        <v>1880064913</v>
      </c>
      <c r="C480" s="3155" t="s">
        <v>1396</v>
      </c>
      <c r="D480" s="3155"/>
      <c r="E480" s="3156">
        <v>65</v>
      </c>
      <c r="F480" s="3364"/>
      <c r="G480" s="3383">
        <v>487367261</v>
      </c>
      <c r="H480" s="3380">
        <v>134603941</v>
      </c>
    </row>
    <row r="481" spans="1:8" x14ac:dyDescent="0.2">
      <c r="A481" s="3220">
        <v>1</v>
      </c>
      <c r="B481" s="3213">
        <v>2640761492</v>
      </c>
      <c r="C481" s="3155" t="s">
        <v>1397</v>
      </c>
      <c r="D481" s="3155"/>
      <c r="E481" s="3156">
        <v>65</v>
      </c>
      <c r="F481" s="3364"/>
      <c r="G481" s="3383">
        <v>488281982</v>
      </c>
      <c r="H481" s="3380">
        <v>134577657</v>
      </c>
    </row>
    <row r="482" spans="1:8" x14ac:dyDescent="0.2">
      <c r="A482" s="3220">
        <v>1</v>
      </c>
      <c r="B482" s="3213">
        <v>5092752013</v>
      </c>
      <c r="C482" s="3155" t="s">
        <v>1398</v>
      </c>
      <c r="D482" s="3155"/>
      <c r="E482" s="3156">
        <v>65</v>
      </c>
      <c r="F482" s="3364"/>
      <c r="G482" s="3383">
        <v>489235567</v>
      </c>
      <c r="H482" s="3380">
        <v>135007109</v>
      </c>
    </row>
    <row r="483" spans="1:8" ht="17" thickBot="1" x14ac:dyDescent="0.25">
      <c r="A483" s="3220">
        <v>1</v>
      </c>
      <c r="B483" s="3215">
        <v>5481093106</v>
      </c>
      <c r="C483" s="3159" t="s">
        <v>1399</v>
      </c>
      <c r="D483" s="3159"/>
      <c r="E483" s="3160">
        <v>65</v>
      </c>
      <c r="F483" s="3367"/>
      <c r="G483" s="3383">
        <v>488017055</v>
      </c>
      <c r="H483" s="3380">
        <v>134787791</v>
      </c>
    </row>
    <row r="484" spans="1:8" x14ac:dyDescent="0.2">
      <c r="A484" s="3220">
        <v>1</v>
      </c>
      <c r="B484" s="3210">
        <v>5481894882</v>
      </c>
      <c r="C484" s="3149" t="s">
        <v>1400</v>
      </c>
      <c r="D484" s="3149">
        <v>575</v>
      </c>
      <c r="E484" s="3150">
        <v>70</v>
      </c>
      <c r="F484" s="3360"/>
      <c r="G484" s="3383">
        <v>488130949</v>
      </c>
      <c r="H484" s="3380">
        <v>135207262</v>
      </c>
    </row>
    <row r="485" spans="1:8" x14ac:dyDescent="0.2">
      <c r="A485" s="3220">
        <v>1</v>
      </c>
      <c r="B485" s="3213">
        <v>605418981</v>
      </c>
      <c r="C485" s="3155" t="s">
        <v>1401</v>
      </c>
      <c r="D485" s="3155">
        <v>1002</v>
      </c>
      <c r="E485" s="3156">
        <v>70</v>
      </c>
      <c r="F485" s="3364"/>
      <c r="G485" s="3383">
        <v>488884396</v>
      </c>
      <c r="H485" s="3380">
        <v>135400865</v>
      </c>
    </row>
    <row r="486" spans="1:8" x14ac:dyDescent="0.2">
      <c r="A486" s="3220">
        <v>1</v>
      </c>
      <c r="B486" s="3213">
        <v>605503339</v>
      </c>
      <c r="C486" s="3155" t="s">
        <v>1402</v>
      </c>
      <c r="D486" s="3155">
        <v>1011</v>
      </c>
      <c r="E486" s="3156">
        <v>70</v>
      </c>
      <c r="F486" s="3364"/>
      <c r="G486" s="3383">
        <v>488873002</v>
      </c>
      <c r="H486" s="3380">
        <v>135310852</v>
      </c>
    </row>
    <row r="487" spans="1:8" x14ac:dyDescent="0.2">
      <c r="A487" s="3220">
        <v>1</v>
      </c>
      <c r="B487" s="3213">
        <v>1278984529</v>
      </c>
      <c r="C487" s="3155" t="s">
        <v>1403</v>
      </c>
      <c r="D487" s="3155">
        <v>1196</v>
      </c>
      <c r="E487" s="3156">
        <v>70</v>
      </c>
      <c r="F487" s="3364"/>
      <c r="G487" s="3383">
        <v>489150996</v>
      </c>
      <c r="H487" s="3380">
        <v>135301565</v>
      </c>
    </row>
    <row r="488" spans="1:8" x14ac:dyDescent="0.2">
      <c r="A488" s="3220">
        <v>1</v>
      </c>
      <c r="B488" s="3213">
        <v>2365417233</v>
      </c>
      <c r="C488" s="3155" t="s">
        <v>1404</v>
      </c>
      <c r="D488" s="3155">
        <v>1203</v>
      </c>
      <c r="E488" s="3156">
        <v>70</v>
      </c>
      <c r="F488" s="3364"/>
      <c r="G488" s="3383">
        <v>489576901</v>
      </c>
      <c r="H488" s="3380">
        <v>135417946</v>
      </c>
    </row>
    <row r="489" spans="1:8" x14ac:dyDescent="0.2">
      <c r="A489" s="3220">
        <v>1</v>
      </c>
      <c r="B489" s="3213">
        <v>3799225463</v>
      </c>
      <c r="C489" s="3155" t="s">
        <v>1299</v>
      </c>
      <c r="D489" s="3155">
        <v>1257</v>
      </c>
      <c r="E489" s="3156">
        <v>70</v>
      </c>
      <c r="F489" s="3364"/>
      <c r="G489" s="3383">
        <v>489241523</v>
      </c>
      <c r="H489" s="3380">
        <v>135260505</v>
      </c>
    </row>
    <row r="490" spans="1:8" x14ac:dyDescent="0.2">
      <c r="A490" s="3220">
        <v>1</v>
      </c>
      <c r="B490" s="3213">
        <v>3755818454</v>
      </c>
      <c r="C490" s="3155" t="s">
        <v>1405</v>
      </c>
      <c r="D490" s="3155">
        <v>1260</v>
      </c>
      <c r="E490" s="3156">
        <v>70</v>
      </c>
      <c r="F490" s="3364"/>
      <c r="G490" s="3383">
        <v>489235854</v>
      </c>
      <c r="H490" s="3380">
        <v>135263267</v>
      </c>
    </row>
    <row r="491" spans="1:8" x14ac:dyDescent="0.2">
      <c r="A491" s="3220">
        <v>1</v>
      </c>
      <c r="B491" s="3213">
        <v>2996252119</v>
      </c>
      <c r="C491" s="3155" t="s">
        <v>1406</v>
      </c>
      <c r="D491" s="3155">
        <v>1263</v>
      </c>
      <c r="E491" s="3156">
        <v>70</v>
      </c>
      <c r="F491" s="3364"/>
      <c r="G491" s="3383">
        <v>489654959</v>
      </c>
      <c r="H491" s="3380">
        <v>135755324</v>
      </c>
    </row>
    <row r="492" spans="1:8" x14ac:dyDescent="0.2">
      <c r="A492" s="3220">
        <v>1</v>
      </c>
      <c r="B492" s="3213">
        <v>469869745</v>
      </c>
      <c r="C492" s="3155" t="s">
        <v>1407</v>
      </c>
      <c r="D492" s="3155">
        <v>1342</v>
      </c>
      <c r="E492" s="3156">
        <v>70</v>
      </c>
      <c r="F492" s="3364"/>
      <c r="G492" s="3383">
        <v>489530022</v>
      </c>
      <c r="H492" s="3380">
        <v>135226830</v>
      </c>
    </row>
    <row r="493" spans="1:8" ht="17" thickBot="1" x14ac:dyDescent="0.25">
      <c r="A493" s="3220">
        <v>1</v>
      </c>
      <c r="B493" s="3215">
        <v>1864939054</v>
      </c>
      <c r="C493" s="3159" t="s">
        <v>1408</v>
      </c>
      <c r="D493" s="3159"/>
      <c r="E493" s="3160">
        <v>70</v>
      </c>
      <c r="F493" s="3367"/>
      <c r="G493" s="3383">
        <v>487976570</v>
      </c>
      <c r="H493" s="3380">
        <v>135281372</v>
      </c>
    </row>
    <row r="494" spans="1:8" x14ac:dyDescent="0.2">
      <c r="A494" s="3220">
        <v>1</v>
      </c>
      <c r="B494" s="3210">
        <v>814886691</v>
      </c>
      <c r="C494" s="3149" t="s">
        <v>1409</v>
      </c>
      <c r="D494" s="3149">
        <v>628</v>
      </c>
      <c r="E494" s="3150">
        <v>75</v>
      </c>
      <c r="F494" s="3360"/>
      <c r="G494" s="3383">
        <v>487353965</v>
      </c>
      <c r="H494" s="3380">
        <v>135794471</v>
      </c>
    </row>
    <row r="495" spans="1:8" x14ac:dyDescent="0.2">
      <c r="A495" s="3220">
        <v>1</v>
      </c>
      <c r="B495" s="3213">
        <v>814886713</v>
      </c>
      <c r="C495" s="3155" t="s">
        <v>1410</v>
      </c>
      <c r="D495" s="3155">
        <v>793</v>
      </c>
      <c r="E495" s="3156">
        <v>75</v>
      </c>
      <c r="F495" s="3364"/>
      <c r="G495" s="3383">
        <v>487047900</v>
      </c>
      <c r="H495" s="3380">
        <v>136059200</v>
      </c>
    </row>
    <row r="496" spans="1:8" x14ac:dyDescent="0.2">
      <c r="A496" s="3220">
        <v>1</v>
      </c>
      <c r="B496" s="3213">
        <v>2389014566</v>
      </c>
      <c r="C496" s="3155" t="s">
        <v>996</v>
      </c>
      <c r="D496" s="3155">
        <v>830</v>
      </c>
      <c r="E496" s="3156">
        <v>75</v>
      </c>
      <c r="F496" s="3364"/>
      <c r="G496" s="3383">
        <v>486822222</v>
      </c>
      <c r="H496" s="3380">
        <v>135875000</v>
      </c>
    </row>
    <row r="497" spans="1:8" x14ac:dyDescent="0.2">
      <c r="A497" s="3220">
        <v>1</v>
      </c>
      <c r="B497" s="3213">
        <v>1845701589</v>
      </c>
      <c r="C497" s="3155" t="s">
        <v>1112</v>
      </c>
      <c r="D497" s="3155">
        <v>890</v>
      </c>
      <c r="E497" s="3156">
        <v>75</v>
      </c>
      <c r="F497" s="3364"/>
      <c r="G497" s="3383">
        <v>488458696</v>
      </c>
      <c r="H497" s="3380">
        <v>136427333</v>
      </c>
    </row>
    <row r="498" spans="1:8" x14ac:dyDescent="0.2">
      <c r="A498" s="3220">
        <v>1</v>
      </c>
      <c r="B498" s="3213">
        <v>2996255523</v>
      </c>
      <c r="C498" s="3155" t="s">
        <v>1411</v>
      </c>
      <c r="D498" s="3155">
        <v>1010</v>
      </c>
      <c r="E498" s="3156">
        <v>75</v>
      </c>
      <c r="F498" s="3364"/>
      <c r="G498" s="3383">
        <v>488703261</v>
      </c>
      <c r="H498" s="3380">
        <v>136572910</v>
      </c>
    </row>
    <row r="499" spans="1:8" x14ac:dyDescent="0.2">
      <c r="A499" s="3220">
        <v>1</v>
      </c>
      <c r="B499" s="3213">
        <v>5114561790</v>
      </c>
      <c r="C499" s="3155" t="s">
        <v>1027</v>
      </c>
      <c r="D499" s="3155">
        <v>1018</v>
      </c>
      <c r="E499" s="3156">
        <v>75</v>
      </c>
      <c r="F499" s="3364"/>
      <c r="G499" s="3383">
        <v>489122140</v>
      </c>
      <c r="H499" s="3380">
        <v>136420522</v>
      </c>
    </row>
    <row r="500" spans="1:8" x14ac:dyDescent="0.2">
      <c r="A500" s="3220">
        <v>1</v>
      </c>
      <c r="B500" s="3213">
        <v>2996255524</v>
      </c>
      <c r="C500" s="3155" t="s">
        <v>1412</v>
      </c>
      <c r="D500" s="3155">
        <v>1060</v>
      </c>
      <c r="E500" s="3156">
        <v>75</v>
      </c>
      <c r="F500" s="3364"/>
      <c r="G500" s="3383">
        <v>488563241</v>
      </c>
      <c r="H500" s="3380">
        <v>136549035</v>
      </c>
    </row>
    <row r="501" spans="1:8" x14ac:dyDescent="0.2">
      <c r="A501" s="3220">
        <v>1</v>
      </c>
      <c r="B501" s="3213">
        <v>2996255522</v>
      </c>
      <c r="C501" s="3155" t="s">
        <v>1413</v>
      </c>
      <c r="D501" s="3155">
        <v>1100</v>
      </c>
      <c r="E501" s="3156">
        <v>75</v>
      </c>
      <c r="F501" s="3364"/>
      <c r="G501" s="3383">
        <v>488951650</v>
      </c>
      <c r="H501" s="3380">
        <v>136269428</v>
      </c>
    </row>
    <row r="502" spans="1:8" ht="17" thickBot="1" x14ac:dyDescent="0.25">
      <c r="A502" s="3220">
        <v>1</v>
      </c>
      <c r="B502" s="3215">
        <v>417100704</v>
      </c>
      <c r="C502" s="3159" t="s">
        <v>1414</v>
      </c>
      <c r="D502" s="3159">
        <v>1139</v>
      </c>
      <c r="E502" s="3160">
        <v>75</v>
      </c>
      <c r="F502" s="3367"/>
      <c r="G502" s="3383">
        <v>488891850</v>
      </c>
      <c r="H502" s="3380">
        <v>136431786</v>
      </c>
    </row>
    <row r="503" spans="1:8" x14ac:dyDescent="0.2">
      <c r="A503" s="3220">
        <v>1</v>
      </c>
      <c r="B503" s="3210">
        <v>1329432528</v>
      </c>
      <c r="C503" s="3149" t="s">
        <v>1415</v>
      </c>
      <c r="D503" s="3149">
        <v>745</v>
      </c>
      <c r="E503" s="3150">
        <v>80</v>
      </c>
      <c r="F503" s="3360"/>
      <c r="G503" s="3383">
        <v>486619491</v>
      </c>
      <c r="H503" s="3380">
        <v>136140230</v>
      </c>
    </row>
    <row r="504" spans="1:8" x14ac:dyDescent="0.2">
      <c r="A504" s="3220">
        <v>1</v>
      </c>
      <c r="B504" s="3213">
        <v>814886704</v>
      </c>
      <c r="C504" s="3155" t="s">
        <v>1416</v>
      </c>
      <c r="D504" s="3155">
        <v>755</v>
      </c>
      <c r="E504" s="3156">
        <v>80</v>
      </c>
      <c r="F504" s="3364"/>
      <c r="G504" s="3383">
        <v>487491700</v>
      </c>
      <c r="H504" s="3380">
        <v>136530500</v>
      </c>
    </row>
    <row r="505" spans="1:8" x14ac:dyDescent="0.2">
      <c r="A505" s="3220">
        <v>1</v>
      </c>
      <c r="B505" s="3213">
        <v>428608606</v>
      </c>
      <c r="C505" s="3155" t="s">
        <v>1417</v>
      </c>
      <c r="D505" s="3155">
        <v>793</v>
      </c>
      <c r="E505" s="3156">
        <v>80</v>
      </c>
      <c r="F505" s="3364"/>
      <c r="G505" s="3383">
        <v>486510959</v>
      </c>
      <c r="H505" s="3380">
        <v>136513777</v>
      </c>
    </row>
    <row r="506" spans="1:8" x14ac:dyDescent="0.2">
      <c r="A506" s="3220">
        <v>1</v>
      </c>
      <c r="B506" s="3213">
        <v>1777783073</v>
      </c>
      <c r="C506" s="3155" t="s">
        <v>1418</v>
      </c>
      <c r="D506" s="3155">
        <v>821</v>
      </c>
      <c r="E506" s="3156">
        <v>80</v>
      </c>
      <c r="F506" s="3364"/>
      <c r="G506" s="3383">
        <v>488905042</v>
      </c>
      <c r="H506" s="3380">
        <v>136691268</v>
      </c>
    </row>
    <row r="507" spans="1:8" x14ac:dyDescent="0.2">
      <c r="A507" s="3220">
        <v>1</v>
      </c>
      <c r="B507" s="3213">
        <v>10540144144</v>
      </c>
      <c r="C507" s="3155" t="s">
        <v>1419</v>
      </c>
      <c r="D507" s="3155">
        <v>829</v>
      </c>
      <c r="E507" s="3156">
        <v>80</v>
      </c>
      <c r="F507" s="3364"/>
      <c r="G507" s="3383">
        <v>487552160</v>
      </c>
      <c r="H507" s="3380">
        <v>137027891</v>
      </c>
    </row>
    <row r="508" spans="1:8" x14ac:dyDescent="0.2">
      <c r="A508" s="3220">
        <v>1</v>
      </c>
      <c r="B508" s="3213">
        <v>814886693</v>
      </c>
      <c r="C508" s="3155" t="s">
        <v>1420</v>
      </c>
      <c r="D508" s="3155">
        <v>945</v>
      </c>
      <c r="E508" s="3156">
        <v>80</v>
      </c>
      <c r="F508" s="3364"/>
      <c r="G508" s="3383">
        <v>486850001</v>
      </c>
      <c r="H508" s="3380">
        <v>136580499</v>
      </c>
    </row>
    <row r="509" spans="1:8" x14ac:dyDescent="0.2">
      <c r="A509" s="3220">
        <v>1</v>
      </c>
      <c r="B509" s="3213">
        <v>2996257321</v>
      </c>
      <c r="C509" s="3155" t="s">
        <v>1421</v>
      </c>
      <c r="D509" s="3155">
        <v>1146</v>
      </c>
      <c r="E509" s="3156">
        <v>80</v>
      </c>
      <c r="F509" s="3364"/>
      <c r="G509" s="3383">
        <v>488435733</v>
      </c>
      <c r="H509" s="3380">
        <v>136992756</v>
      </c>
    </row>
    <row r="510" spans="1:8" x14ac:dyDescent="0.2">
      <c r="A510" s="3220">
        <v>1</v>
      </c>
      <c r="B510" s="3213">
        <v>305665620</v>
      </c>
      <c r="C510" s="3155" t="s">
        <v>1422</v>
      </c>
      <c r="D510" s="3155">
        <v>1166</v>
      </c>
      <c r="E510" s="3156">
        <v>80</v>
      </c>
      <c r="F510" s="3364"/>
      <c r="G510" s="3383">
        <v>488185711</v>
      </c>
      <c r="H510" s="3380">
        <v>136782443</v>
      </c>
    </row>
    <row r="511" spans="1:8" ht="17" thickBot="1" x14ac:dyDescent="0.25">
      <c r="A511" s="3220">
        <v>1</v>
      </c>
      <c r="B511" s="3215">
        <v>7954388046</v>
      </c>
      <c r="C511" s="3159" t="s">
        <v>1272</v>
      </c>
      <c r="D511" s="3159"/>
      <c r="E511" s="3160">
        <v>80</v>
      </c>
      <c r="F511" s="3367"/>
      <c r="G511" s="3383">
        <v>487647430</v>
      </c>
      <c r="H511" s="3380">
        <v>136948783</v>
      </c>
    </row>
    <row r="512" spans="1:8" x14ac:dyDescent="0.2">
      <c r="A512" s="3220">
        <v>1</v>
      </c>
      <c r="B512" s="3216">
        <v>1846801307</v>
      </c>
      <c r="C512" s="3161" t="s">
        <v>1423</v>
      </c>
      <c r="D512" s="3161">
        <v>706</v>
      </c>
      <c r="E512" s="3162">
        <v>85</v>
      </c>
      <c r="F512" s="3368"/>
      <c r="G512" s="3383">
        <v>487522121</v>
      </c>
      <c r="H512" s="3380">
        <v>137477277</v>
      </c>
    </row>
    <row r="513" spans="1:8" x14ac:dyDescent="0.2">
      <c r="A513" s="3220">
        <v>1</v>
      </c>
      <c r="B513" s="3213">
        <v>3239839912</v>
      </c>
      <c r="C513" s="3155" t="s">
        <v>1424</v>
      </c>
      <c r="D513" s="3155">
        <v>759</v>
      </c>
      <c r="E513" s="3156">
        <v>85</v>
      </c>
      <c r="F513" s="3364"/>
      <c r="G513" s="3383">
        <v>487699484</v>
      </c>
      <c r="H513" s="3380">
        <v>137394357</v>
      </c>
    </row>
    <row r="514" spans="1:8" x14ac:dyDescent="0.2">
      <c r="A514" s="3220">
        <v>1</v>
      </c>
      <c r="B514" s="3213">
        <v>1846783812</v>
      </c>
      <c r="C514" s="3155" t="s">
        <v>1425</v>
      </c>
      <c r="D514" s="3155">
        <v>807</v>
      </c>
      <c r="E514" s="3156">
        <v>85</v>
      </c>
      <c r="F514" s="3364"/>
      <c r="G514" s="3383">
        <v>487505129</v>
      </c>
      <c r="H514" s="3380">
        <v>137272164</v>
      </c>
    </row>
    <row r="515" spans="1:8" x14ac:dyDescent="0.2">
      <c r="A515" s="3220">
        <v>1</v>
      </c>
      <c r="B515" s="3213">
        <v>1846787256</v>
      </c>
      <c r="C515" s="3155" t="s">
        <v>1426</v>
      </c>
      <c r="D515" s="3155">
        <v>812</v>
      </c>
      <c r="E515" s="3156">
        <v>85</v>
      </c>
      <c r="F515" s="3364"/>
      <c r="G515" s="3383">
        <v>487591014</v>
      </c>
      <c r="H515" s="3380">
        <v>137212919</v>
      </c>
    </row>
    <row r="516" spans="1:8" x14ac:dyDescent="0.2">
      <c r="A516" s="3220">
        <v>1</v>
      </c>
      <c r="B516" s="3213">
        <v>8620915790</v>
      </c>
      <c r="C516" s="3155" t="s">
        <v>992</v>
      </c>
      <c r="D516" s="3155">
        <v>855</v>
      </c>
      <c r="E516" s="3156">
        <v>85</v>
      </c>
      <c r="F516" s="3364"/>
      <c r="G516" s="3383">
        <v>486232180</v>
      </c>
      <c r="H516" s="3380">
        <v>137082724</v>
      </c>
    </row>
    <row r="517" spans="1:8" x14ac:dyDescent="0.2">
      <c r="A517" s="3220">
        <v>1</v>
      </c>
      <c r="B517" s="3213">
        <v>428608605</v>
      </c>
      <c r="C517" s="3155" t="s">
        <v>1427</v>
      </c>
      <c r="D517" s="3155">
        <v>862</v>
      </c>
      <c r="E517" s="3156">
        <v>85</v>
      </c>
      <c r="F517" s="3364"/>
      <c r="G517" s="3383">
        <v>486474966</v>
      </c>
      <c r="H517" s="3380">
        <v>136858196</v>
      </c>
    </row>
    <row r="518" spans="1:8" x14ac:dyDescent="0.2">
      <c r="A518" s="3220">
        <v>1</v>
      </c>
      <c r="B518" s="3213">
        <v>4973997354</v>
      </c>
      <c r="C518" s="3155" t="s">
        <v>1428</v>
      </c>
      <c r="D518" s="3155">
        <v>929</v>
      </c>
      <c r="E518" s="3156">
        <v>85</v>
      </c>
      <c r="F518" s="3364"/>
      <c r="G518" s="3383">
        <v>487748578</v>
      </c>
      <c r="H518" s="3380">
        <v>137711840</v>
      </c>
    </row>
    <row r="519" spans="1:8" x14ac:dyDescent="0.2">
      <c r="A519" s="3220">
        <v>1</v>
      </c>
      <c r="B519" s="3213">
        <v>2996257320</v>
      </c>
      <c r="C519" s="3155" t="s">
        <v>1429</v>
      </c>
      <c r="D519" s="3155">
        <v>1028</v>
      </c>
      <c r="E519" s="3156">
        <v>85</v>
      </c>
      <c r="F519" s="3364"/>
      <c r="G519" s="3383">
        <v>488380795</v>
      </c>
      <c r="H519" s="3380">
        <v>137399609</v>
      </c>
    </row>
    <row r="520" spans="1:8" ht="17" thickBot="1" x14ac:dyDescent="0.25">
      <c r="A520" s="3220">
        <v>1</v>
      </c>
      <c r="B520" s="3217">
        <v>2580587491</v>
      </c>
      <c r="C520" s="3163" t="s">
        <v>1430</v>
      </c>
      <c r="D520" s="3163"/>
      <c r="E520" s="3164">
        <v>85</v>
      </c>
      <c r="F520" s="3369"/>
      <c r="G520" s="3383">
        <v>487406726</v>
      </c>
      <c r="H520" s="3380">
        <v>137053418</v>
      </c>
    </row>
    <row r="521" spans="1:8" x14ac:dyDescent="0.2">
      <c r="A521" s="3220">
        <v>1</v>
      </c>
      <c r="B521" s="3210">
        <v>3508869811</v>
      </c>
      <c r="C521" s="3149" t="s">
        <v>1431</v>
      </c>
      <c r="D521" s="3149">
        <v>586</v>
      </c>
      <c r="E521" s="3150">
        <v>90</v>
      </c>
      <c r="F521" s="3360"/>
      <c r="G521" s="3383">
        <v>485225288</v>
      </c>
      <c r="H521" s="3380">
        <v>137216404</v>
      </c>
    </row>
    <row r="522" spans="1:8" x14ac:dyDescent="0.2">
      <c r="A522" s="3220">
        <v>1</v>
      </c>
      <c r="B522" s="3213">
        <v>9687638994</v>
      </c>
      <c r="C522" s="3155" t="s">
        <v>1432</v>
      </c>
      <c r="D522" s="3155">
        <v>654</v>
      </c>
      <c r="E522" s="3156">
        <v>90</v>
      </c>
      <c r="F522" s="3364"/>
      <c r="G522" s="3383">
        <v>486966004</v>
      </c>
      <c r="H522" s="3380">
        <v>138195811</v>
      </c>
    </row>
    <row r="523" spans="1:8" x14ac:dyDescent="0.2">
      <c r="A523" s="3220">
        <v>1</v>
      </c>
      <c r="B523" s="3213">
        <v>7840768981</v>
      </c>
      <c r="C523" s="3155" t="s">
        <v>1433</v>
      </c>
      <c r="D523" s="3155">
        <v>692</v>
      </c>
      <c r="E523" s="3156">
        <v>90</v>
      </c>
      <c r="F523" s="3364"/>
      <c r="G523" s="3383">
        <v>486993217</v>
      </c>
      <c r="H523" s="3380">
        <v>138025613</v>
      </c>
    </row>
    <row r="524" spans="1:8" x14ac:dyDescent="0.2">
      <c r="A524" s="3220">
        <v>1</v>
      </c>
      <c r="B524" s="3213">
        <v>270091916</v>
      </c>
      <c r="C524" s="3155" t="s">
        <v>1434</v>
      </c>
      <c r="D524" s="3155">
        <v>727</v>
      </c>
      <c r="E524" s="3156">
        <v>90</v>
      </c>
      <c r="F524" s="3364"/>
      <c r="G524" s="3383">
        <v>487081245</v>
      </c>
      <c r="H524" s="3380">
        <v>137903125</v>
      </c>
    </row>
    <row r="525" spans="1:8" x14ac:dyDescent="0.2">
      <c r="A525" s="3220">
        <v>1</v>
      </c>
      <c r="B525" s="3213">
        <v>270091875</v>
      </c>
      <c r="C525" s="3155" t="s">
        <v>1435</v>
      </c>
      <c r="D525" s="3155">
        <v>767</v>
      </c>
      <c r="E525" s="3156">
        <v>90</v>
      </c>
      <c r="F525" s="3364"/>
      <c r="G525" s="3383">
        <v>486015300</v>
      </c>
      <c r="H525" s="3380">
        <v>137788112</v>
      </c>
    </row>
    <row r="526" spans="1:8" x14ac:dyDescent="0.2">
      <c r="A526" s="3220">
        <v>1</v>
      </c>
      <c r="B526" s="3213">
        <v>2686304899</v>
      </c>
      <c r="C526" s="3155" t="s">
        <v>1436</v>
      </c>
      <c r="D526" s="3155">
        <v>899</v>
      </c>
      <c r="E526" s="3156">
        <v>90</v>
      </c>
      <c r="F526" s="3364"/>
      <c r="G526" s="3383">
        <v>486569210</v>
      </c>
      <c r="H526" s="3380">
        <v>137444404</v>
      </c>
    </row>
    <row r="527" spans="1:8" x14ac:dyDescent="0.2">
      <c r="A527" s="3220">
        <v>1</v>
      </c>
      <c r="B527" s="3213">
        <v>972202151</v>
      </c>
      <c r="C527" s="3155" t="s">
        <v>1437</v>
      </c>
      <c r="D527" s="3155">
        <v>930</v>
      </c>
      <c r="E527" s="3156">
        <v>90</v>
      </c>
      <c r="F527" s="3364"/>
      <c r="G527" s="3383">
        <v>486545958</v>
      </c>
      <c r="H527" s="3380">
        <v>137963569</v>
      </c>
    </row>
    <row r="528" spans="1:8" x14ac:dyDescent="0.2">
      <c r="A528" s="3220">
        <v>1</v>
      </c>
      <c r="B528" s="3213">
        <v>2996252971</v>
      </c>
      <c r="C528" s="3155" t="s">
        <v>1438</v>
      </c>
      <c r="D528" s="3155">
        <v>1042</v>
      </c>
      <c r="E528" s="3156">
        <v>90</v>
      </c>
      <c r="F528" s="3364"/>
      <c r="G528" s="3383">
        <v>487958348</v>
      </c>
      <c r="H528" s="3380">
        <v>138008330</v>
      </c>
    </row>
    <row r="529" spans="1:8" x14ac:dyDescent="0.2">
      <c r="A529" s="3220">
        <v>1</v>
      </c>
      <c r="B529" s="3213">
        <v>814886698</v>
      </c>
      <c r="C529" s="3155" t="s">
        <v>1439</v>
      </c>
      <c r="D529" s="3155">
        <v>1235</v>
      </c>
      <c r="E529" s="3156">
        <v>90</v>
      </c>
      <c r="F529" s="3364"/>
      <c r="G529" s="3383">
        <v>487850000</v>
      </c>
      <c r="H529" s="3380">
        <v>137885900</v>
      </c>
    </row>
    <row r="530" spans="1:8" x14ac:dyDescent="0.2">
      <c r="A530" s="3220">
        <v>1</v>
      </c>
      <c r="B530" s="3213">
        <v>95964264</v>
      </c>
      <c r="C530" s="3155" t="s">
        <v>1440</v>
      </c>
      <c r="D530" s="3155">
        <v>1323</v>
      </c>
      <c r="E530" s="3156">
        <v>90</v>
      </c>
      <c r="F530" s="3364"/>
      <c r="G530" s="3383">
        <v>487806790</v>
      </c>
      <c r="H530" s="3380">
        <v>138031771</v>
      </c>
    </row>
    <row r="531" spans="1:8" ht="17" thickBot="1" x14ac:dyDescent="0.25">
      <c r="A531" s="3220">
        <v>1</v>
      </c>
      <c r="B531" s="3215">
        <v>95964265</v>
      </c>
      <c r="C531" s="3159" t="s">
        <v>1272</v>
      </c>
      <c r="D531" s="3159">
        <v>1333</v>
      </c>
      <c r="E531" s="3160">
        <v>90</v>
      </c>
      <c r="F531" s="3367"/>
      <c r="G531" s="3383">
        <v>487847492</v>
      </c>
      <c r="H531" s="3380">
        <v>138027768</v>
      </c>
    </row>
    <row r="532" spans="1:8" ht="17" thickBot="1" x14ac:dyDescent="0.25">
      <c r="A532" s="3221">
        <v>1</v>
      </c>
      <c r="B532" s="3218">
        <v>270091856</v>
      </c>
      <c r="C532" s="3165" t="s">
        <v>1441</v>
      </c>
      <c r="D532" s="3165">
        <v>733</v>
      </c>
      <c r="E532" s="3166">
        <v>95</v>
      </c>
      <c r="F532" s="3371"/>
      <c r="G532" s="3384">
        <v>485727904</v>
      </c>
      <c r="H532" s="3381">
        <v>137841343</v>
      </c>
    </row>
    <row r="533" spans="1:8" x14ac:dyDescent="0.2">
      <c r="A533" s="3147">
        <f>SUM(A2:A532)</f>
        <v>531</v>
      </c>
      <c r="F533" s="3168">
        <f>COUNTIF(F1:F532,F3)</f>
        <v>17</v>
      </c>
    </row>
  </sheetData>
  <autoFilter ref="B1:F532" xr:uid="{6937D97A-E52B-FF44-B49E-B33E53CF74DF}"/>
  <conditionalFormatting sqref="G1:H1 K1 B1:F532">
    <cfRule type="expression" dxfId="0" priority="2">
      <formula>$F1="x"</formula>
    </cfRule>
  </conditionalFormatting>
  <pageMargins left="0.7" right="0.7" top="0.78740157499999996" bottom="0.78740157499999996" header="0.3" footer="0.3"/>
  <pageSetup paperSize="9"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399E8-433E-0E42-9CA1-5160084BCDCC}">
  <dimension ref="A1:D1498"/>
  <sheetViews>
    <sheetView zoomScaleNormal="100" workbookViewId="0">
      <pane ySplit="1" topLeftCell="A1430" activePane="bottomLeft" state="frozen"/>
      <selection pane="bottomLeft" activeCell="P1447" sqref="P1447"/>
    </sheetView>
  </sheetViews>
  <sheetFormatPr baseColWidth="10" defaultColWidth="11.5" defaultRowHeight="13" x14ac:dyDescent="0.15"/>
  <cols>
    <col min="1" max="1" width="9.5" style="2780" bestFit="1" customWidth="1"/>
    <col min="2" max="2" width="8.5" style="374" bestFit="1" customWidth="1"/>
    <col min="3" max="3" width="6.5" style="393" bestFit="1" customWidth="1"/>
    <col min="4" max="4" width="4.33203125" bestFit="1" customWidth="1"/>
  </cols>
  <sheetData>
    <row r="1" spans="1:4" ht="14" thickBot="1" x14ac:dyDescent="0.2">
      <c r="B1" t="s">
        <v>855</v>
      </c>
      <c r="C1" s="393" t="s">
        <v>753</v>
      </c>
      <c r="D1" t="s">
        <v>779</v>
      </c>
    </row>
    <row r="2" spans="1:4" ht="15" x14ac:dyDescent="0.2">
      <c r="A2" s="2781">
        <v>43862</v>
      </c>
      <c r="B2" s="2783">
        <f>IFERROR(AVERAGE('2018+'!S721:S764),"")</f>
        <v>1.5358092813304942</v>
      </c>
      <c r="C2" s="2784">
        <f>IFERROR(AVERAGE('2018+'!N721:N764),"")</f>
        <v>1.0631895622930982</v>
      </c>
      <c r="D2" s="2785">
        <f>'2018+'!U764</f>
        <v>25.512711337655379</v>
      </c>
    </row>
    <row r="3" spans="1:4" ht="15" x14ac:dyDescent="0.2">
      <c r="A3" s="2781">
        <v>43863</v>
      </c>
      <c r="B3" s="2786">
        <f>IFERROR(AVERAGE('2018+'!S722:S765),"")</f>
        <v>1.5433947023553762</v>
      </c>
      <c r="C3" s="2782">
        <f>IFERROR(AVERAGE('2018+'!N722:N765),"")</f>
        <v>1.0622344012458547</v>
      </c>
      <c r="D3" s="2787">
        <f>'2018+'!U765</f>
        <v>26.548122972473109</v>
      </c>
    </row>
    <row r="4" spans="1:4" ht="15" x14ac:dyDescent="0.2">
      <c r="A4" s="2781">
        <v>43864</v>
      </c>
      <c r="B4" s="2786">
        <f>IFERROR(AVERAGE('2018+'!S723:S766),"")</f>
        <v>1.5433947023553762</v>
      </c>
      <c r="C4" s="2782">
        <f>IFERROR(AVERAGE('2018+'!N723:N766),"")</f>
        <v>1.0622344012458547</v>
      </c>
      <c r="D4" s="2787">
        <f>'2018+'!U766</f>
        <v>25.916024806461845</v>
      </c>
    </row>
    <row r="5" spans="1:4" ht="15" x14ac:dyDescent="0.2">
      <c r="A5" s="2781">
        <v>43865</v>
      </c>
      <c r="B5" s="2786">
        <f>IFERROR(AVERAGE('2018+'!S724:S767),"")</f>
        <v>1.5479258292269287</v>
      </c>
      <c r="C5" s="2782">
        <f>IFERROR(AVERAGE('2018+'!N724:N767),"")</f>
        <v>1.0617586023555574</v>
      </c>
      <c r="D5" s="2787">
        <f>'2018+'!U767</f>
        <v>26.894214692022278</v>
      </c>
    </row>
    <row r="6" spans="1:4" ht="15" x14ac:dyDescent="0.2">
      <c r="A6" s="2781">
        <v>43866</v>
      </c>
      <c r="B6" s="2786">
        <f>IFERROR(AVERAGE('2018+'!S725:S768),"")</f>
        <v>1.5479258292269287</v>
      </c>
      <c r="C6" s="2782">
        <f>IFERROR(AVERAGE('2018+'!N725:N768),"")</f>
        <v>1.0617586023555574</v>
      </c>
      <c r="D6" s="2787">
        <f>'2018+'!U768</f>
        <v>26.253876246974126</v>
      </c>
    </row>
    <row r="7" spans="1:4" ht="15" x14ac:dyDescent="0.2">
      <c r="A7" s="2781">
        <v>43867</v>
      </c>
      <c r="B7" s="2786">
        <f>IFERROR(AVERAGE('2018+'!S726:S769),"")</f>
        <v>1.5502906352074661</v>
      </c>
      <c r="C7" s="2782">
        <f>IFERROR(AVERAGE('2018+'!N726:N769),"")</f>
        <v>1.0616019500400637</v>
      </c>
      <c r="D7" s="2787">
        <f>'2018+'!U769</f>
        <v>27.224022050617599</v>
      </c>
    </row>
    <row r="8" spans="1:4" ht="15" x14ac:dyDescent="0.2">
      <c r="A8" s="2781">
        <v>43868</v>
      </c>
      <c r="B8" s="2786">
        <f>IFERROR(AVERAGE('2018+'!S727:S770),"")</f>
        <v>1.5502906352074661</v>
      </c>
      <c r="C8" s="2782">
        <f>IFERROR(AVERAGE('2018+'!N727:N770),"")</f>
        <v>1.0616019500400637</v>
      </c>
      <c r="D8" s="2787">
        <f>'2018+'!U770</f>
        <v>26.575831049412418</v>
      </c>
    </row>
    <row r="9" spans="1:4" ht="15" x14ac:dyDescent="0.2">
      <c r="A9" s="2781">
        <v>43869</v>
      </c>
      <c r="B9" s="2786">
        <f>IFERROR(AVERAGE('2018+'!S728:S771),"")</f>
        <v>1.555287370743786</v>
      </c>
      <c r="C9" s="2782">
        <f>IFERROR(AVERAGE('2018+'!N728:N771),"")</f>
        <v>1.0609307756195243</v>
      </c>
      <c r="D9" s="2787">
        <f>'2018+'!U771</f>
        <v>27.585930310140693</v>
      </c>
    </row>
    <row r="10" spans="1:4" ht="15" x14ac:dyDescent="0.2">
      <c r="A10" s="2781">
        <v>43870</v>
      </c>
      <c r="B10" s="2786">
        <f>IFERROR(AVERAGE('2018+'!S729:S772),"")</f>
        <v>1.555287370743786</v>
      </c>
      <c r="C10" s="2782">
        <f>IFERROR(AVERAGE('2018+'!N729:N772),"")</f>
        <v>1.0609307756195243</v>
      </c>
      <c r="D10" s="2787">
        <f>'2018+'!U772</f>
        <v>26.929122445613533</v>
      </c>
    </row>
    <row r="11" spans="1:4" ht="15" x14ac:dyDescent="0.2">
      <c r="A11" s="2781">
        <v>43871</v>
      </c>
      <c r="B11" s="2786">
        <f>IFERROR(AVERAGE('2018+'!S730:S773),"")</f>
        <v>1.5556202371935581</v>
      </c>
      <c r="C11" s="2782">
        <f>IFERROR(AVERAGE('2018+'!N730:N773),"")</f>
        <v>1.060321275858868</v>
      </c>
      <c r="D11" s="2787">
        <f>'2018+'!U773</f>
        <v>26.287952863575114</v>
      </c>
    </row>
    <row r="12" spans="1:4" ht="15" x14ac:dyDescent="0.2">
      <c r="A12" s="2781">
        <v>43872</v>
      </c>
      <c r="B12" s="2786">
        <f>IFERROR(AVERAGE('2018+'!S731:S774),"")</f>
        <v>1.558331954032995</v>
      </c>
      <c r="C12" s="2782">
        <f>IFERROR(AVERAGE('2018+'!N731:N774),"")</f>
        <v>1.0595552477354366</v>
      </c>
      <c r="D12" s="2787">
        <f>'2018+'!U774</f>
        <v>27.257287319204277</v>
      </c>
    </row>
    <row r="13" spans="1:4" ht="15" x14ac:dyDescent="0.2">
      <c r="A13" s="2781">
        <v>43873</v>
      </c>
      <c r="B13" s="2786">
        <f>IFERROR(AVERAGE('2018+'!S732:S775),"")</f>
        <v>1.558331954032995</v>
      </c>
      <c r="C13" s="2782">
        <f>IFERROR(AVERAGE('2018+'!N732:N775),"")</f>
        <v>1.0595552477354366</v>
      </c>
      <c r="D13" s="2787">
        <f>'2018+'!U775</f>
        <v>26.608304287794653</v>
      </c>
    </row>
    <row r="14" spans="1:4" ht="15" x14ac:dyDescent="0.2">
      <c r="A14" s="2781">
        <v>43874</v>
      </c>
      <c r="B14" s="2786">
        <f>IFERROR(AVERAGE('2018+'!S733:S776),"")</f>
        <v>1.565059116767417</v>
      </c>
      <c r="C14" s="2782">
        <f>IFERROR(AVERAGE('2018+'!N733:N776),"")</f>
        <v>1.0595911669679487</v>
      </c>
      <c r="D14" s="2787">
        <f>'2018+'!U776</f>
        <v>27.450963709513829</v>
      </c>
    </row>
    <row r="15" spans="1:4" ht="15" x14ac:dyDescent="0.2">
      <c r="A15" s="2781">
        <v>43875</v>
      </c>
      <c r="B15" s="2786">
        <f>IFERROR(AVERAGE('2018+'!S734:S777),"")</f>
        <v>1.5692879127538637</v>
      </c>
      <c r="C15" s="2782">
        <f>IFERROR(AVERAGE('2018+'!N734:N777),"")</f>
        <v>1.0594621491301479</v>
      </c>
      <c r="D15" s="2787">
        <f>'2018+'!U777</f>
        <v>28.297369335477786</v>
      </c>
    </row>
    <row r="16" spans="1:4" ht="15" x14ac:dyDescent="0.2">
      <c r="A16" s="2781">
        <v>43876</v>
      </c>
      <c r="B16" s="2786">
        <f>IFERROR(AVERAGE('2018+'!S735:S778),"")</f>
        <v>1.5718381537759969</v>
      </c>
      <c r="C16" s="2782">
        <f>IFERROR(AVERAGE('2018+'!N735:N778),"")</f>
        <v>1.0591094230488645</v>
      </c>
      <c r="D16" s="2787">
        <f>'2018+'!U778</f>
        <v>27.623622446537837</v>
      </c>
    </row>
    <row r="17" spans="1:4" ht="15" x14ac:dyDescent="0.2">
      <c r="A17" s="2781">
        <v>43877</v>
      </c>
      <c r="B17" s="2786">
        <f>IFERROR(AVERAGE('2018+'!S736:S779),"")</f>
        <v>1.5717697360200831</v>
      </c>
      <c r="C17" s="2782">
        <f>IFERROR(AVERAGE('2018+'!N736:N779),"")</f>
        <v>1.058496057159579</v>
      </c>
      <c r="D17" s="2787">
        <f>'2018+'!U779</f>
        <v>28.942107626382175</v>
      </c>
    </row>
    <row r="18" spans="1:4" ht="15" x14ac:dyDescent="0.2">
      <c r="A18" s="2781">
        <v>43878</v>
      </c>
      <c r="B18" s="2786">
        <f>IFERROR(AVERAGE('2018+'!S737:S780),"")</f>
        <v>1.5771582613315589</v>
      </c>
      <c r="C18" s="2782">
        <f>IFERROR(AVERAGE('2018+'!N737:N780),"")</f>
        <v>1.0583285693448541</v>
      </c>
      <c r="D18" s="2787">
        <f>'2018+'!U780</f>
        <v>28.253009825754027</v>
      </c>
    </row>
    <row r="19" spans="1:4" ht="15" x14ac:dyDescent="0.2">
      <c r="A19" s="2781">
        <v>43879</v>
      </c>
      <c r="B19" s="2786">
        <f>IFERROR(AVERAGE('2018+'!S738:S781),"")</f>
        <v>1.5817589948815223</v>
      </c>
      <c r="C19" s="2782">
        <f>IFERROR(AVERAGE('2018+'!N738:N781),"")</f>
        <v>1.0584231263781705</v>
      </c>
      <c r="D19" s="2787">
        <f>'2018+'!U781</f>
        <v>28.866033401331311</v>
      </c>
    </row>
    <row r="20" spans="1:4" ht="15" x14ac:dyDescent="0.2">
      <c r="A20" s="2781">
        <v>43880</v>
      </c>
      <c r="B20" s="2786">
        <f>IFERROR(AVERAGE('2018+'!S739:S782),"")</f>
        <v>1.5860620998752868</v>
      </c>
      <c r="C20" s="2782">
        <f>IFERROR(AVERAGE('2018+'!N739:N782),"")</f>
        <v>1.0592163347688552</v>
      </c>
      <c r="D20" s="2787">
        <f>'2018+'!U782</f>
        <v>28.178746891775802</v>
      </c>
    </row>
    <row r="21" spans="1:4" ht="15" x14ac:dyDescent="0.2">
      <c r="A21" s="2781">
        <v>43881</v>
      </c>
      <c r="B21" s="2786">
        <f>IFERROR(AVERAGE('2018+'!S740:S783),"")</f>
        <v>1.5860620998752868</v>
      </c>
      <c r="C21" s="2782">
        <f>IFERROR(AVERAGE('2018+'!N740:N783),"")</f>
        <v>1.0592163347688552</v>
      </c>
      <c r="D21" s="2787">
        <f>'2018+'!U783</f>
        <v>27.507824346733521</v>
      </c>
    </row>
    <row r="22" spans="1:4" ht="15" x14ac:dyDescent="0.2">
      <c r="A22" s="2781">
        <v>43882</v>
      </c>
      <c r="B22" s="2786">
        <f>IFERROR(AVERAGE('2018+'!S741:S784),"")</f>
        <v>1.5860620998752868</v>
      </c>
      <c r="C22" s="2782">
        <f>IFERROR(AVERAGE('2018+'!N741:N784),"")</f>
        <v>1.0592163347688552</v>
      </c>
      <c r="D22" s="2787">
        <f>'2018+'!U784</f>
        <v>26.852876148001769</v>
      </c>
    </row>
    <row r="23" spans="1:4" ht="15" x14ac:dyDescent="0.2">
      <c r="A23" s="2781">
        <v>43883</v>
      </c>
      <c r="B23" s="2786">
        <f>IFERROR(AVERAGE('2018+'!S742:S785),"")</f>
        <v>1.5860620998752868</v>
      </c>
      <c r="C23" s="2782">
        <f>IFERROR(AVERAGE('2018+'!N742:N785),"")</f>
        <v>1.0592163347688552</v>
      </c>
      <c r="D23" s="2787">
        <f>'2018+'!U785</f>
        <v>26.213521954001727</v>
      </c>
    </row>
    <row r="24" spans="1:4" ht="15" x14ac:dyDescent="0.2">
      <c r="A24" s="2781">
        <v>43884</v>
      </c>
      <c r="B24" s="2786">
        <f>IFERROR(AVERAGE('2018+'!S743:S786),"")</f>
        <v>1.5878701059926335</v>
      </c>
      <c r="C24" s="2782">
        <f>IFERROR(AVERAGE('2018+'!N743:N786),"")</f>
        <v>1.0595400846432586</v>
      </c>
      <c r="D24" s="2787">
        <f>'2018+'!U786</f>
        <v>27.327485717001686</v>
      </c>
    </row>
    <row r="25" spans="1:4" ht="15" x14ac:dyDescent="0.2">
      <c r="A25" s="2781">
        <v>43885</v>
      </c>
      <c r="B25" s="2786">
        <f>IFERROR(AVERAGE('2018+'!S744:S787),"")</f>
        <v>1.5896550150168578</v>
      </c>
      <c r="C25" s="2782">
        <f>IFERROR(AVERAGE('2018+'!N744:N787),"")</f>
        <v>1.059268860675926</v>
      </c>
      <c r="D25" s="2787">
        <f>'2018+'!U787</f>
        <v>26.676831295168313</v>
      </c>
    </row>
    <row r="26" spans="1:4" ht="15" x14ac:dyDescent="0.2">
      <c r="A26" s="2781">
        <v>43886</v>
      </c>
      <c r="B26" s="2786">
        <f>IFERROR(AVERAGE('2018+'!S745:S788),"")</f>
        <v>1.5896550150168578</v>
      </c>
      <c r="C26" s="2782">
        <f>IFERROR(AVERAGE('2018+'!N745:N788),"")</f>
        <v>1.059268860675926</v>
      </c>
      <c r="D26" s="2787">
        <f>'2018+'!U788</f>
        <v>26.041668645283352</v>
      </c>
    </row>
    <row r="27" spans="1:4" ht="15" x14ac:dyDescent="0.2">
      <c r="A27" s="2781">
        <v>43887</v>
      </c>
      <c r="B27" s="2786">
        <f>IFERROR(AVERAGE('2018+'!S746:S789),"")</f>
        <v>1.5922890525871829</v>
      </c>
      <c r="C27" s="2782">
        <f>IFERROR(AVERAGE('2018+'!N746:N789),"")</f>
        <v>1.0589712388308814</v>
      </c>
      <c r="D27" s="2787">
        <f>'2018+'!U789</f>
        <v>26.99305748706232</v>
      </c>
    </row>
    <row r="28" spans="1:4" ht="15" x14ac:dyDescent="0.2">
      <c r="A28" s="2781">
        <v>43888</v>
      </c>
      <c r="B28" s="2786">
        <f>IFERROR(AVERAGE('2018+'!S747:S790),"")</f>
        <v>1.5958211155593975</v>
      </c>
      <c r="C28" s="2782">
        <f>IFERROR(AVERAGE('2018+'!N747:N790),"")</f>
        <v>1.0587005007777128</v>
      </c>
      <c r="D28" s="2787">
        <f>'2018+'!U790</f>
        <v>26.350365642132264</v>
      </c>
    </row>
    <row r="29" spans="1:4" ht="15" x14ac:dyDescent="0.2">
      <c r="A29" s="2781">
        <v>43889</v>
      </c>
      <c r="B29" s="2786">
        <f>IFERROR(AVERAGE('2018+'!S748:S791),"")</f>
        <v>1.5958211155593975</v>
      </c>
      <c r="C29" s="2782">
        <f>IFERROR(AVERAGE('2018+'!N748:N791),"")</f>
        <v>1.0587005007777128</v>
      </c>
      <c r="D29" s="2787">
        <f>'2018+'!U791</f>
        <v>25.722975983986256</v>
      </c>
    </row>
    <row r="30" spans="1:4" ht="15" x14ac:dyDescent="0.2">
      <c r="A30" s="2781">
        <v>43890</v>
      </c>
      <c r="B30" s="2786">
        <f>IFERROR(AVERAGE('2018+'!S749:S792),"")</f>
        <v>1.5984438935843022</v>
      </c>
      <c r="C30" s="2782">
        <f>IFERROR(AVERAGE('2018+'!N749:N792),"")</f>
        <v>1.0583208276464002</v>
      </c>
      <c r="D30" s="2787">
        <f>'2018+'!U792</f>
        <v>25.110524174843725</v>
      </c>
    </row>
    <row r="31" spans="1:4" ht="15" x14ac:dyDescent="0.2">
      <c r="A31" s="2781">
        <v>43891</v>
      </c>
      <c r="B31" s="2786">
        <f>IFERROR(AVERAGE('2018+'!S750:S793),"")</f>
        <v>1.5977856623430231</v>
      </c>
      <c r="C31" s="2782">
        <f>IFERROR(AVERAGE('2018+'!N750:N793),"")</f>
        <v>1.0583154157126196</v>
      </c>
      <c r="D31" s="2787">
        <f>'2018+'!U793</f>
        <v>26.155511694490304</v>
      </c>
    </row>
    <row r="32" spans="1:4" ht="15" x14ac:dyDescent="0.2">
      <c r="A32" s="2781">
        <v>43892</v>
      </c>
      <c r="B32" s="2786">
        <f>IFERROR(AVERAGE('2018+'!S751:S794),"")</f>
        <v>1.5977856623430231</v>
      </c>
      <c r="C32" s="2782">
        <f>IFERROR(AVERAGE('2018+'!N751:N794),"")</f>
        <v>1.0583154157126196</v>
      </c>
      <c r="D32" s="2787">
        <f>'2018+'!U794</f>
        <v>25.532761416050057</v>
      </c>
    </row>
    <row r="33" spans="1:4" ht="15" x14ac:dyDescent="0.2">
      <c r="A33" s="2781">
        <v>43893</v>
      </c>
      <c r="B33" s="2786">
        <f>IFERROR(AVERAGE('2018+'!S752:S795),"")</f>
        <v>1.6000375375622498</v>
      </c>
      <c r="C33" s="2782">
        <f>IFERROR(AVERAGE('2018+'!N752:N795),"")</f>
        <v>1.0571378536276053</v>
      </c>
      <c r="D33" s="2787">
        <f>'2018+'!U795</f>
        <v>24.924838525191724</v>
      </c>
    </row>
    <row r="34" spans="1:4" ht="15" x14ac:dyDescent="0.2">
      <c r="A34" s="2781">
        <v>43894</v>
      </c>
      <c r="B34" s="2786">
        <f>IFERROR(AVERAGE('2018+'!S753:S796),"")</f>
        <v>1.6007874416003267</v>
      </c>
      <c r="C34" s="2782">
        <f>IFERROR(AVERAGE('2018+'!N753:N796),"")</f>
        <v>1.057363710172859</v>
      </c>
      <c r="D34" s="2787">
        <f>'2018+'!U796</f>
        <v>26.069485226972873</v>
      </c>
    </row>
    <row r="35" spans="1:4" ht="15" x14ac:dyDescent="0.2">
      <c r="A35" s="2781">
        <v>43895</v>
      </c>
      <c r="B35" s="2786">
        <f>IFERROR(AVERAGE('2018+'!S754:S797),"")</f>
        <v>1.6021901012256048</v>
      </c>
      <c r="C35" s="2782">
        <f>IFERROR(AVERAGE('2018+'!N754:N797),"")</f>
        <v>1.0568030038395266</v>
      </c>
      <c r="D35" s="2787">
        <f>'2018+'!U797</f>
        <v>25.448783197759234</v>
      </c>
    </row>
    <row r="36" spans="1:4" ht="15" x14ac:dyDescent="0.2">
      <c r="A36" s="2781">
        <v>43896</v>
      </c>
      <c r="B36" s="2786">
        <f>IFERROR(AVERAGE('2018+'!S755:S798),"")</f>
        <v>1.6007310477456456</v>
      </c>
      <c r="C36" s="2782">
        <f>IFERROR(AVERAGE('2018+'!N755:N798),"")</f>
        <v>1.0566442217884782</v>
      </c>
      <c r="D36" s="2787">
        <f>'2018+'!U798</f>
        <v>26.247621693050679</v>
      </c>
    </row>
    <row r="37" spans="1:4" ht="15" x14ac:dyDescent="0.2">
      <c r="A37" s="2781">
        <v>43897</v>
      </c>
      <c r="B37" s="2786">
        <f>IFERROR(AVERAGE('2018+'!S756:S799),"")</f>
        <v>1.6007310477456456</v>
      </c>
      <c r="C37" s="2782">
        <f>IFERROR(AVERAGE('2018+'!N756:N799),"")</f>
        <v>1.0566442217884782</v>
      </c>
      <c r="D37" s="2787">
        <f>'2018+'!U799</f>
        <v>25.622678319406614</v>
      </c>
    </row>
    <row r="38" spans="1:4" ht="15" x14ac:dyDescent="0.2">
      <c r="A38" s="2781">
        <v>43898</v>
      </c>
      <c r="B38" s="2786">
        <f>IFERROR(AVERAGE('2018+'!S757:S800),"")</f>
        <v>1.601716182933504</v>
      </c>
      <c r="C38" s="2782">
        <f>IFERROR(AVERAGE('2018+'!N757:N800),"")</f>
        <v>1.0577953693283859</v>
      </c>
      <c r="D38" s="2787">
        <f>'2018+'!U800</f>
        <v>27.322138359420741</v>
      </c>
    </row>
    <row r="39" spans="1:4" ht="15" x14ac:dyDescent="0.2">
      <c r="A39" s="2781">
        <v>43899</v>
      </c>
      <c r="B39" s="2786">
        <f>IFERROR(AVERAGE('2018+'!S758:S801),"")</f>
        <v>1.5996606768171318</v>
      </c>
      <c r="C39" s="2782">
        <f>IFERROR(AVERAGE('2018+'!N758:N801),"")</f>
        <v>1.0584857415080289</v>
      </c>
      <c r="D39" s="2787">
        <f>'2018+'!U801</f>
        <v>27.98113506514882</v>
      </c>
    </row>
    <row r="40" spans="1:4" ht="15" x14ac:dyDescent="0.2">
      <c r="A40" s="2781">
        <v>43900</v>
      </c>
      <c r="B40" s="2786">
        <f>IFERROR(AVERAGE('2018+'!S759:S802),"")</f>
        <v>1.5997196521240649</v>
      </c>
      <c r="C40" s="2782">
        <f>IFERROR(AVERAGE('2018+'!N759:N802),"")</f>
        <v>1.0577687824233764</v>
      </c>
      <c r="D40" s="2787">
        <f>'2018+'!U802</f>
        <v>27.314917563597657</v>
      </c>
    </row>
    <row r="41" spans="1:4" ht="15" x14ac:dyDescent="0.2">
      <c r="A41" s="2781">
        <v>43901</v>
      </c>
      <c r="B41" s="2786">
        <f>IFERROR(AVERAGE('2018+'!S760:S803),"")</f>
        <v>1.602467482467502</v>
      </c>
      <c r="C41" s="2782">
        <f>IFERROR(AVERAGE('2018+'!N760:N803),"")</f>
        <v>1.0570564916241074</v>
      </c>
      <c r="D41" s="2787">
        <f>'2018+'!U803</f>
        <v>28.116943335892952</v>
      </c>
    </row>
    <row r="42" spans="1:4" ht="15" x14ac:dyDescent="0.2">
      <c r="A42" s="2781">
        <v>43902</v>
      </c>
      <c r="B42" s="2786">
        <f>IFERROR(AVERAGE('2018+'!S761:S804),"")</f>
        <v>1.6038732670311824</v>
      </c>
      <c r="C42" s="2782">
        <f>IFERROR(AVERAGE('2018+'!N761:N804),"")</f>
        <v>1.0563602575547626</v>
      </c>
      <c r="D42" s="2787">
        <f>'2018+'!U804</f>
        <v>27.447492304085976</v>
      </c>
    </row>
    <row r="43" spans="1:4" ht="15" x14ac:dyDescent="0.2">
      <c r="A43" s="2781">
        <v>43903</v>
      </c>
      <c r="B43" s="2786">
        <f>IFERROR(AVERAGE('2018+'!S762:S805),"")</f>
        <v>1.6032409903992546</v>
      </c>
      <c r="C43" s="2782">
        <f>IFERROR(AVERAGE('2018+'!N762:N805),"")</f>
        <v>1.0554025414292383</v>
      </c>
      <c r="D43" s="2787">
        <f>'2018+'!U805</f>
        <v>28.127313915893453</v>
      </c>
    </row>
    <row r="44" spans="1:4" ht="15" x14ac:dyDescent="0.2">
      <c r="A44" s="2781">
        <v>43904</v>
      </c>
      <c r="B44" s="2786">
        <f>IFERROR(AVERAGE('2018+'!S763:S806),"")</f>
        <v>1.6032409903992546</v>
      </c>
      <c r="C44" s="2782">
        <f>IFERROR(AVERAGE('2018+'!N763:N806),"")</f>
        <v>1.0554025414292383</v>
      </c>
      <c r="D44" s="2787">
        <f>'2018+'!U806</f>
        <v>27.457615965515036</v>
      </c>
    </row>
    <row r="45" spans="1:4" ht="15" x14ac:dyDescent="0.2">
      <c r="A45" s="2781">
        <v>43905</v>
      </c>
      <c r="B45" s="2786">
        <f>IFERROR(AVERAGE('2018+'!S764:S807),"")</f>
        <v>1.6080114271293779</v>
      </c>
      <c r="C45" s="2782">
        <f>IFERROR(AVERAGE('2018+'!N764:N807),"")</f>
        <v>1.0552723410289373</v>
      </c>
      <c r="D45" s="2787">
        <f>'2018+'!U807</f>
        <v>29.01814891871706</v>
      </c>
    </row>
    <row r="46" spans="1:4" ht="15" x14ac:dyDescent="0.2">
      <c r="A46" s="2781">
        <v>43906</v>
      </c>
      <c r="B46" s="2786">
        <f>IFERROR(AVERAGE('2018+'!S765:S808),"")</f>
        <v>1.6080114271293779</v>
      </c>
      <c r="C46" s="2782">
        <f>IFERROR(AVERAGE('2018+'!N765:N808),"")</f>
        <v>1.0552723410289373</v>
      </c>
      <c r="D46" s="2787">
        <f>'2018+'!U808</f>
        <v>28.327240611128559</v>
      </c>
    </row>
    <row r="47" spans="1:4" ht="15" x14ac:dyDescent="0.2">
      <c r="A47" s="2781">
        <v>43907</v>
      </c>
      <c r="B47" s="2786">
        <f>IFERROR(AVERAGE('2018+'!S766:S809),"")</f>
        <v>1.6084975247377773</v>
      </c>
      <c r="C47" s="2782">
        <f>IFERROR(AVERAGE('2018+'!N766:N809),"")</f>
        <v>1.05389350411126</v>
      </c>
      <c r="D47" s="2787">
        <f>'2018+'!U809</f>
        <v>29.343258691815976</v>
      </c>
    </row>
    <row r="48" spans="1:4" ht="15" x14ac:dyDescent="0.2">
      <c r="A48" s="2781">
        <v>43908</v>
      </c>
      <c r="B48" s="2786">
        <f>IFERROR(AVERAGE('2018+'!S767:S810),"")</f>
        <v>1.6084975247377773</v>
      </c>
      <c r="C48" s="2782">
        <f>IFERROR(AVERAGE('2018+'!N767:N810),"")</f>
        <v>1.05389350411126</v>
      </c>
      <c r="D48" s="2787">
        <f>'2018+'!U810</f>
        <v>28.644609675344167</v>
      </c>
    </row>
    <row r="49" spans="1:4" ht="15" x14ac:dyDescent="0.2">
      <c r="A49" s="2781">
        <v>43909</v>
      </c>
      <c r="B49" s="2786">
        <f>IFERROR(AVERAGE('2018+'!S768:S811),"")</f>
        <v>1.6040233900246188</v>
      </c>
      <c r="C49" s="2782">
        <f>IFERROR(AVERAGE('2018+'!N768:N811),"")</f>
        <v>1.0534021642021945</v>
      </c>
      <c r="D49" s="2787">
        <f>'2018+'!U811</f>
        <v>29.343547540216925</v>
      </c>
    </row>
    <row r="50" spans="1:4" ht="15" x14ac:dyDescent="0.2">
      <c r="A50" s="2781">
        <v>43910</v>
      </c>
      <c r="B50" s="2786">
        <f>IFERROR(AVERAGE('2018+'!S769:S812),"")</f>
        <v>1.6012849070905522</v>
      </c>
      <c r="C50" s="2782">
        <f>IFERROR(AVERAGE('2018+'!N769:N812),"")</f>
        <v>1.0534572866228504</v>
      </c>
      <c r="D50" s="2787">
        <f>'2018+'!U812</f>
        <v>29.787748789259378</v>
      </c>
    </row>
    <row r="51" spans="1:4" ht="15" x14ac:dyDescent="0.2">
      <c r="A51" s="2781">
        <v>43911</v>
      </c>
      <c r="B51" s="2786">
        <f>IFERROR(AVERAGE('2018+'!S770:S813),"")</f>
        <v>1.6017284736291526</v>
      </c>
      <c r="C51" s="2782">
        <f>IFERROR(AVERAGE('2018+'!N770:N813),"")</f>
        <v>1.0531770275839911</v>
      </c>
      <c r="D51" s="2787">
        <f>'2018+'!U813</f>
        <v>29.078516675229395</v>
      </c>
    </row>
    <row r="52" spans="1:4" ht="15" x14ac:dyDescent="0.2">
      <c r="A52" s="2781">
        <v>43912</v>
      </c>
      <c r="B52" s="2786">
        <f>IFERROR(AVERAGE('2018+'!S771:S814),"")</f>
        <v>1.5997491928048377</v>
      </c>
      <c r="C52" s="2782">
        <f>IFERROR(AVERAGE('2018+'!N771:N814),"")</f>
        <v>1.05311117603454</v>
      </c>
      <c r="D52" s="2787">
        <f>'2018+'!U814</f>
        <v>30.743313897247742</v>
      </c>
    </row>
    <row r="53" spans="1:4" ht="15" x14ac:dyDescent="0.2">
      <c r="A53" s="2781">
        <v>43913</v>
      </c>
      <c r="B53" s="2786">
        <f>IFERROR(AVERAGE('2018+'!S772:S815),"")</f>
        <v>1.5980332060484361</v>
      </c>
      <c r="C53" s="2782">
        <f>IFERROR(AVERAGE('2018+'!N772:N815),"")</f>
        <v>1.0531403050784889</v>
      </c>
      <c r="D53" s="2787">
        <f>'2018+'!U815</f>
        <v>30.011330233027557</v>
      </c>
    </row>
    <row r="54" spans="1:4" ht="15" x14ac:dyDescent="0.2">
      <c r="A54" s="2781">
        <v>43914</v>
      </c>
      <c r="B54" s="2786">
        <f>IFERROR(AVERAGE('2018+'!S773:S816),"")</f>
        <v>1.5991899399065983</v>
      </c>
      <c r="C54" s="2782">
        <f>IFERROR(AVERAGE('2018+'!N773:N816),"")</f>
        <v>1.0526764878217167</v>
      </c>
      <c r="D54" s="2787">
        <f>'2018+'!U816</f>
        <v>30.70153665605071</v>
      </c>
    </row>
    <row r="55" spans="1:4" ht="15" x14ac:dyDescent="0.2">
      <c r="A55" s="2781">
        <v>43915</v>
      </c>
      <c r="B55" s="2786">
        <f>IFERROR(AVERAGE('2018+'!S774:S817),"")</f>
        <v>1.5991899399065983</v>
      </c>
      <c r="C55" s="2782">
        <f>IFERROR(AVERAGE('2018+'!N774:N817),"")</f>
        <v>1.0526764878217167</v>
      </c>
      <c r="D55" s="2787">
        <f>'2018+'!U817</f>
        <v>29.970547688049503</v>
      </c>
    </row>
    <row r="56" spans="1:4" ht="15" x14ac:dyDescent="0.2">
      <c r="A56" s="2781">
        <v>43916</v>
      </c>
      <c r="B56" s="2786">
        <f>IFERROR(AVERAGE('2018+'!S775:S818),"")</f>
        <v>1.601349353340846</v>
      </c>
      <c r="C56" s="2782">
        <f>IFERROR(AVERAGE('2018+'!N775:N818),"")</f>
        <v>1.0523293609844342</v>
      </c>
      <c r="D56" s="2787">
        <f>'2018+'!U818</f>
        <v>30.756963219286419</v>
      </c>
    </row>
    <row r="57" spans="1:4" ht="15" x14ac:dyDescent="0.2">
      <c r="A57" s="2781">
        <v>43917</v>
      </c>
      <c r="B57" s="2786">
        <f>IFERROR(AVERAGE('2018+'!S776:S819),"")</f>
        <v>1.599662523463945</v>
      </c>
      <c r="C57" s="2782">
        <f>IFERROR(AVERAGE('2018+'!N776:N819),"")</f>
        <v>1.0524271118260333</v>
      </c>
      <c r="D57" s="2787">
        <f>'2018+'!U819</f>
        <v>31.357987904541503</v>
      </c>
    </row>
    <row r="58" spans="1:4" ht="15" x14ac:dyDescent="0.2">
      <c r="A58" s="2781">
        <v>43918</v>
      </c>
      <c r="B58" s="2786">
        <f>IFERROR(AVERAGE('2018+'!S777:S820),"")</f>
        <v>1.5981255293559573</v>
      </c>
      <c r="C58" s="2782">
        <f>IFERROR(AVERAGE('2018+'!N777:N820),"")</f>
        <v>1.0521217065262338</v>
      </c>
      <c r="D58" s="2787">
        <f>'2018+'!U820</f>
        <v>32.158988192528611</v>
      </c>
    </row>
    <row r="59" spans="1:4" ht="15" x14ac:dyDescent="0.2">
      <c r="A59" s="2781">
        <v>43919</v>
      </c>
      <c r="B59" s="2786">
        <f>IFERROR(AVERAGE('2018+'!S778:S821),"")</f>
        <v>1.5953133709582703</v>
      </c>
      <c r="C59" s="2782">
        <f>IFERROR(AVERAGE('2018+'!N778:N821),"")</f>
        <v>1.0517717026274547</v>
      </c>
      <c r="D59" s="2787">
        <f>'2018+'!U821</f>
        <v>33.107583711754117</v>
      </c>
    </row>
    <row r="60" spans="1:4" ht="15" x14ac:dyDescent="0.2">
      <c r="A60" s="2781">
        <v>43920</v>
      </c>
      <c r="B60" s="2786">
        <f>IFERROR(AVERAGE('2018+'!S779:S822),"")</f>
        <v>1.5953133709582703</v>
      </c>
      <c r="C60" s="2782">
        <f>IFERROR(AVERAGE('2018+'!N779:N822),"")</f>
        <v>1.0517717026274547</v>
      </c>
      <c r="D60" s="2787">
        <f>'2018+'!U822</f>
        <v>32.319307909093304</v>
      </c>
    </row>
    <row r="61" spans="1:4" ht="15" x14ac:dyDescent="0.2">
      <c r="A61" s="2781">
        <v>43921</v>
      </c>
      <c r="B61" s="2786">
        <f>IFERROR(AVERAGE('2018+'!S780:S823),"")</f>
        <v>1.5965555495732981</v>
      </c>
      <c r="C61" s="2782">
        <f>IFERROR(AVERAGE('2018+'!N780:N823),"")</f>
        <v>1.0520181824956696</v>
      </c>
      <c r="D61" s="2787">
        <f>'2018+'!U823</f>
        <v>31.549800577924415</v>
      </c>
    </row>
    <row r="62" spans="1:4" ht="15" x14ac:dyDescent="0.2">
      <c r="A62" s="2781">
        <v>43922</v>
      </c>
      <c r="B62" s="2786">
        <f>IFERROR(AVERAGE('2018+'!S781:S824),"")</f>
        <v>1.5949757749121956</v>
      </c>
      <c r="C62" s="2782">
        <f>IFERROR(AVERAGE('2018+'!N781:N824),"")</f>
        <v>1.0518919977915742</v>
      </c>
      <c r="D62" s="2787">
        <f>'2018+'!U824</f>
        <v>32.322424373688122</v>
      </c>
    </row>
    <row r="63" spans="1:4" ht="15" x14ac:dyDescent="0.2">
      <c r="A63" s="2781">
        <v>43923</v>
      </c>
      <c r="B63" s="2786">
        <f>IFERROR(AVERAGE('2018+'!S782:S825),"")</f>
        <v>1.5912659170412637</v>
      </c>
      <c r="C63" s="2782">
        <f>IFERROR(AVERAGE('2018+'!N782:N825),"")</f>
        <v>1.0514756121805937</v>
      </c>
      <c r="D63" s="2787">
        <f>'2018+'!U825</f>
        <v>31.552842840981263</v>
      </c>
    </row>
    <row r="64" spans="1:4" ht="15" x14ac:dyDescent="0.2">
      <c r="A64" s="2781">
        <v>43924</v>
      </c>
      <c r="B64" s="2786">
        <f>IFERROR(AVERAGE('2018+'!S783:S826),"")</f>
        <v>1.5936068510828652</v>
      </c>
      <c r="C64" s="2782">
        <f>IFERROR(AVERAGE('2018+'!N783:N826),"")</f>
        <v>1.0515864827932266</v>
      </c>
      <c r="D64" s="2787">
        <f>'2018+'!U826</f>
        <v>32.325394201910278</v>
      </c>
    </row>
    <row r="65" spans="1:4" ht="15" x14ac:dyDescent="0.2">
      <c r="A65" s="2781">
        <v>43925</v>
      </c>
      <c r="B65" s="2786">
        <f>IFERROR(AVERAGE('2018+'!S784:S827),"")</f>
        <v>1.5936068510828652</v>
      </c>
      <c r="C65" s="2782">
        <f>IFERROR(AVERAGE('2018+'!N784:N827),"")</f>
        <v>1.0515864827932266</v>
      </c>
      <c r="D65" s="2787">
        <f>'2018+'!U827</f>
        <v>31.555741959007651</v>
      </c>
    </row>
    <row r="66" spans="1:4" ht="15" x14ac:dyDescent="0.2">
      <c r="A66" s="2781">
        <v>43926</v>
      </c>
      <c r="B66" s="2786">
        <f>IFERROR(AVERAGE('2018+'!S785:S828),"")</f>
        <v>1.5943653631994195</v>
      </c>
      <c r="C66" s="2782">
        <f>IFERROR(AVERAGE('2018+'!N785:N828),"")</f>
        <v>1.0514431352035751</v>
      </c>
      <c r="D66" s="2787">
        <f>'2018+'!U828</f>
        <v>32.971081436174138</v>
      </c>
    </row>
    <row r="67" spans="1:4" ht="15" x14ac:dyDescent="0.2">
      <c r="A67" s="2781">
        <v>43927</v>
      </c>
      <c r="B67" s="2786">
        <f>IFERROR(AVERAGE('2018+'!S786:S829),"")</f>
        <v>1.5943653631994195</v>
      </c>
      <c r="C67" s="2782">
        <f>IFERROR(AVERAGE('2018+'!N786:N829),"")</f>
        <v>1.0514431352035751</v>
      </c>
      <c r="D67" s="2787">
        <f>'2018+'!U829</f>
        <v>32.186055687693802</v>
      </c>
    </row>
    <row r="68" spans="1:4" ht="15" x14ac:dyDescent="0.2">
      <c r="A68" s="2781">
        <v>43928</v>
      </c>
      <c r="B68" s="2786">
        <f>IFERROR(AVERAGE('2018+'!S787:S830),"")</f>
        <v>1.5930388461030953</v>
      </c>
      <c r="C68" s="2782">
        <f>IFERROR(AVERAGE('2018+'!N787:N830),"")</f>
        <v>1.0504211040635556</v>
      </c>
      <c r="D68" s="2787">
        <f>'2018+'!U830</f>
        <v>32.848292457034425</v>
      </c>
    </row>
    <row r="69" spans="1:4" ht="15" x14ac:dyDescent="0.2">
      <c r="A69" s="2781">
        <v>43929</v>
      </c>
      <c r="B69" s="2786">
        <f>IFERROR(AVERAGE('2018+'!S788:S831),"")</f>
        <v>1.5930388461030953</v>
      </c>
      <c r="C69" s="2782">
        <f>IFERROR(AVERAGE('2018+'!N788:N831),"")</f>
        <v>1.0504211040635556</v>
      </c>
      <c r="D69" s="2787">
        <f>'2018+'!U831</f>
        <v>32.06619025567646</v>
      </c>
    </row>
    <row r="70" spans="1:4" ht="15" x14ac:dyDescent="0.2">
      <c r="A70" s="2781">
        <v>43930</v>
      </c>
      <c r="B70" s="2786">
        <f>IFERROR(AVERAGE('2018+'!S789:S832),"")</f>
        <v>1.5945207633548193</v>
      </c>
      <c r="C70" s="2782">
        <f>IFERROR(AVERAGE('2018+'!N789:N832),"")</f>
        <v>1.0496221659632661</v>
      </c>
      <c r="D70" s="2787">
        <f>'2018+'!U832</f>
        <v>32.96937620196988</v>
      </c>
    </row>
    <row r="71" spans="1:4" ht="15" x14ac:dyDescent="0.2">
      <c r="A71" s="2781">
        <v>43931</v>
      </c>
      <c r="B71" s="2786">
        <f>IFERROR(AVERAGE('2018+'!S790:S833),"")</f>
        <v>1.5895016327727129</v>
      </c>
      <c r="C71" s="2782">
        <f>IFERROR(AVERAGE('2018+'!N790:N833),"")</f>
        <v>1.0497911702399281</v>
      </c>
      <c r="D71" s="2787">
        <f>'2018+'!U833</f>
        <v>33.589152959065835</v>
      </c>
    </row>
    <row r="72" spans="1:4" ht="15" x14ac:dyDescent="0.2">
      <c r="A72" s="2781">
        <v>43932</v>
      </c>
      <c r="B72" s="2786">
        <f>IFERROR(AVERAGE('2018+'!S791:S834),"")</f>
        <v>1.5895016327727129</v>
      </c>
      <c r="C72" s="2782">
        <f>IFERROR(AVERAGE('2018+'!N791:N834),"")</f>
        <v>1.0497911702399281</v>
      </c>
      <c r="D72" s="2787">
        <f>'2018+'!U834</f>
        <v>32.789411221945223</v>
      </c>
    </row>
    <row r="73" spans="1:4" ht="15" x14ac:dyDescent="0.2">
      <c r="A73" s="2781">
        <v>43933</v>
      </c>
      <c r="B73" s="2786">
        <f>IFERROR(AVERAGE('2018+'!S792:S835),"")</f>
        <v>1.5868524934596135</v>
      </c>
      <c r="C73" s="2782">
        <f>IFERROR(AVERAGE('2018+'!N792:N835),"")</f>
        <v>1.0497423903338958</v>
      </c>
      <c r="D73" s="2787">
        <f>'2018+'!U835</f>
        <v>34.508710954756047</v>
      </c>
    </row>
    <row r="74" spans="1:4" ht="15" x14ac:dyDescent="0.2">
      <c r="A74" s="2781">
        <v>43934</v>
      </c>
      <c r="B74" s="2786">
        <f>IFERROR(AVERAGE('2018+'!S793:S836),"")</f>
        <v>1.5868524934596135</v>
      </c>
      <c r="C74" s="2782">
        <f>IFERROR(AVERAGE('2018+'!N793:N836),"")</f>
        <v>1.0497423903338958</v>
      </c>
      <c r="D74" s="2787">
        <f>'2018+'!U836</f>
        <v>33.687074979642809</v>
      </c>
    </row>
    <row r="75" spans="1:4" ht="15" x14ac:dyDescent="0.2">
      <c r="A75" s="2781">
        <v>43935</v>
      </c>
      <c r="B75" s="2786">
        <f>IFERROR(AVERAGE('2018+'!S794:S837),"")</f>
        <v>1.5868967987526199</v>
      </c>
      <c r="C75" s="2782">
        <f>IFERROR(AVERAGE('2018+'!N794:N837),"")</f>
        <v>1.0490436360397666</v>
      </c>
      <c r="D75" s="2787">
        <f>'2018+'!U837</f>
        <v>34.313573194413216</v>
      </c>
    </row>
    <row r="76" spans="1:4" ht="15" x14ac:dyDescent="0.2">
      <c r="A76" s="2781">
        <v>43936</v>
      </c>
      <c r="B76" s="2786">
        <f>IFERROR(AVERAGE('2018+'!S795:S838),"")</f>
        <v>1.5868967987526199</v>
      </c>
      <c r="C76" s="2782">
        <f>IFERROR(AVERAGE('2018+'!N795:N838),"")</f>
        <v>1.0490436360397666</v>
      </c>
      <c r="D76" s="2787">
        <f>'2018+'!U838</f>
        <v>33.496583356450998</v>
      </c>
    </row>
    <row r="77" spans="1:4" ht="15" x14ac:dyDescent="0.2">
      <c r="A77" s="2781">
        <v>43937</v>
      </c>
      <c r="B77" s="2786">
        <f>IFERROR(AVERAGE('2018+'!S796:S839),"")</f>
        <v>1.58975459342825</v>
      </c>
      <c r="C77" s="2782">
        <f>IFERROR(AVERAGE('2018+'!N796:N839),"")</f>
        <v>1.048885685184566</v>
      </c>
      <c r="D77" s="2787">
        <f>'2018+'!U839</f>
        <v>34.3180932765355</v>
      </c>
    </row>
    <row r="78" spans="1:4" ht="15" x14ac:dyDescent="0.2">
      <c r="A78" s="2781">
        <v>43938</v>
      </c>
      <c r="B78" s="2786">
        <f>IFERROR(AVERAGE('2018+'!S797:S840),"")</f>
        <v>1.5842076645117558</v>
      </c>
      <c r="C78" s="2782">
        <f>IFERROR(AVERAGE('2018+'!N797:N840),"")</f>
        <v>1.0495081863490339</v>
      </c>
      <c r="D78" s="2787">
        <f>'2018+'!U840</f>
        <v>34.858138674713224</v>
      </c>
    </row>
    <row r="79" spans="1:4" ht="15" x14ac:dyDescent="0.2">
      <c r="A79" s="2781">
        <v>43939</v>
      </c>
      <c r="B79" s="2786">
        <f>IFERROR(AVERAGE('2018+'!S798:S841),"")</f>
        <v>1.5842076645117558</v>
      </c>
      <c r="C79" s="2782">
        <f>IFERROR(AVERAGE('2018+'!N798:N841),"")</f>
        <v>1.0495081863490339</v>
      </c>
      <c r="D79" s="2787">
        <f>'2018+'!U841</f>
        <v>34.028182991981957</v>
      </c>
    </row>
    <row r="80" spans="1:4" ht="15" x14ac:dyDescent="0.2">
      <c r="A80" s="2781">
        <v>43940</v>
      </c>
      <c r="B80" s="2786">
        <f>IFERROR(AVERAGE('2018+'!S799:S842),"")</f>
        <v>1.5817549458356328</v>
      </c>
      <c r="C80" s="2782">
        <f>IFERROR(AVERAGE('2018+'!N799:N842),"")</f>
        <v>1.0497158299991118</v>
      </c>
      <c r="D80" s="2787">
        <f>'2018+'!U842</f>
        <v>35.622750063601437</v>
      </c>
    </row>
    <row r="81" spans="1:4" ht="15" x14ac:dyDescent="0.2">
      <c r="A81" s="2781">
        <v>43941</v>
      </c>
      <c r="B81" s="2786">
        <f>IFERROR(AVERAGE('2018+'!S800:S843),"")</f>
        <v>1.5817549458356328</v>
      </c>
      <c r="C81" s="2782">
        <f>IFERROR(AVERAGE('2018+'!N800:N843),"")</f>
        <v>1.0497158299991118</v>
      </c>
      <c r="D81" s="2787">
        <f>'2018+'!U843</f>
        <v>34.774589347801403</v>
      </c>
    </row>
    <row r="82" spans="1:4" ht="15" x14ac:dyDescent="0.2">
      <c r="A82" s="2781">
        <v>43942</v>
      </c>
      <c r="B82" s="2786">
        <f>IFERROR(AVERAGE('2018+'!S801:S844),"")</f>
        <v>1.5791886801861803</v>
      </c>
      <c r="C82" s="2782">
        <f>IFERROR(AVERAGE('2018+'!N801:N844),"")</f>
        <v>1.0494341899357886</v>
      </c>
      <c r="D82" s="2787">
        <f>'2018+'!U844</f>
        <v>35.637099125234705</v>
      </c>
    </row>
    <row r="83" spans="1:4" ht="15" x14ac:dyDescent="0.2">
      <c r="A83" s="2781">
        <v>43943</v>
      </c>
      <c r="B83" s="2786">
        <f>IFERROR(AVERAGE('2018+'!S802:S845),"")</f>
        <v>1.5799966201679247</v>
      </c>
      <c r="C83" s="2782">
        <f>IFERROR(AVERAGE('2018+'!N802:N845),"")</f>
        <v>1.0485104973113943</v>
      </c>
      <c r="D83" s="2787">
        <f>'2018+'!U845</f>
        <v>34.788596765110071</v>
      </c>
    </row>
    <row r="84" spans="1:4" ht="15" x14ac:dyDescent="0.2">
      <c r="A84" s="2781">
        <v>43944</v>
      </c>
      <c r="B84" s="2786">
        <f>IFERROR(AVERAGE('2018+'!S803:S846),"")</f>
        <v>1.5810971883446887</v>
      </c>
      <c r="C84" s="2782">
        <f>IFERROR(AVERAGE('2018+'!N803:N846),"")</f>
        <v>1.0480902903079816</v>
      </c>
      <c r="D84" s="2787">
        <f>'2018+'!U846</f>
        <v>35.722201604036023</v>
      </c>
    </row>
    <row r="85" spans="1:4" ht="15" x14ac:dyDescent="0.2">
      <c r="A85" s="2781">
        <v>43945</v>
      </c>
      <c r="B85" s="2786">
        <f>IFERROR(AVERAGE('2018+'!S804:S847),"")</f>
        <v>1.5801861983866552</v>
      </c>
      <c r="C85" s="2782">
        <f>IFERROR(AVERAGE('2018+'!N804:N847),"")</f>
        <v>1.0494021845092449</v>
      </c>
      <c r="D85" s="2787">
        <f>'2018+'!U847</f>
        <v>36.276434899178021</v>
      </c>
    </row>
    <row r="86" spans="1:4" ht="15" x14ac:dyDescent="0.2">
      <c r="A86" s="2781">
        <v>43946</v>
      </c>
      <c r="B86" s="2786">
        <f>IFERROR(AVERAGE('2018+'!S805:S848),"")</f>
        <v>1.5801861983866552</v>
      </c>
      <c r="C86" s="2782">
        <f>IFERROR(AVERAGE('2018+'!N805:N848),"")</f>
        <v>1.0494021845092449</v>
      </c>
      <c r="D86" s="2787">
        <f>'2018+'!U848</f>
        <v>35.412710258721404</v>
      </c>
    </row>
    <row r="87" spans="1:4" ht="15" x14ac:dyDescent="0.2">
      <c r="A87" s="2781">
        <v>43947</v>
      </c>
      <c r="B87" s="2786">
        <f>IFERROR(AVERAGE('2018+'!S806:S849),"")</f>
        <v>1.5772944517716994</v>
      </c>
      <c r="C87" s="2782">
        <f>IFERROR(AVERAGE('2018+'!N806:N849),"")</f>
        <v>1.0501150132879513</v>
      </c>
      <c r="D87" s="2787">
        <f>'2018+'!U849</f>
        <v>37.355264776370895</v>
      </c>
    </row>
    <row r="88" spans="1:4" ht="15" x14ac:dyDescent="0.2">
      <c r="A88" s="2781">
        <v>43948</v>
      </c>
      <c r="B88" s="2786">
        <f>IFERROR(AVERAGE('2018+'!S807:S850),"")</f>
        <v>1.5772944517716994</v>
      </c>
      <c r="C88" s="2782">
        <f>IFERROR(AVERAGE('2018+'!N807:N850),"")</f>
        <v>1.0501150132879513</v>
      </c>
      <c r="D88" s="2787">
        <f>'2018+'!U850</f>
        <v>36.465853710266828</v>
      </c>
    </row>
    <row r="89" spans="1:4" ht="15" x14ac:dyDescent="0.2">
      <c r="A89" s="2781">
        <v>43949</v>
      </c>
      <c r="B89" s="2786">
        <f>IFERROR(AVERAGE('2018+'!S808:S851),"")</f>
        <v>1.5787432700571788</v>
      </c>
      <c r="C89" s="2782">
        <f>IFERROR(AVERAGE('2018+'!N808:N851),"")</f>
        <v>1.0502727514545886</v>
      </c>
      <c r="D89" s="2787">
        <f>'2018+'!U851</f>
        <v>35.597619098117619</v>
      </c>
    </row>
    <row r="90" spans="1:4" ht="15" x14ac:dyDescent="0.2">
      <c r="A90" s="2781">
        <v>43950</v>
      </c>
      <c r="B90" s="2786">
        <f>IFERROR(AVERAGE('2018+'!S809:S852),"")</f>
        <v>1.5751466439058064</v>
      </c>
      <c r="C90" s="2782">
        <f>IFERROR(AVERAGE('2018+'!N809:N852),"")</f>
        <v>1.0507388143299026</v>
      </c>
      <c r="D90" s="2787">
        <f>'2018+'!U852</f>
        <v>36.059580548162437</v>
      </c>
    </row>
    <row r="91" spans="1:4" ht="15" x14ac:dyDescent="0.2">
      <c r="A91" s="2781">
        <v>43951</v>
      </c>
      <c r="B91" s="2786">
        <f>IFERROR(AVERAGE('2018+'!S810:S853),"")</f>
        <v>1.5725384486349661</v>
      </c>
      <c r="C91" s="2782">
        <f>IFERROR(AVERAGE('2018+'!N810:N853),"")</f>
        <v>1.0516225867864653</v>
      </c>
      <c r="D91" s="2787">
        <f>'2018+'!U853</f>
        <v>35.201019106539519</v>
      </c>
    </row>
    <row r="92" spans="1:4" ht="15" x14ac:dyDescent="0.2">
      <c r="A92" s="2781">
        <v>43952</v>
      </c>
      <c r="B92" s="2786">
        <f>IFERROR(AVERAGE('2018+'!S811:S854),"")</f>
        <v>1.5698136323227949</v>
      </c>
      <c r="C92" s="2782">
        <f>IFERROR(AVERAGE('2018+'!N811:N854),"")</f>
        <v>1.0516575907545531</v>
      </c>
      <c r="D92" s="2787">
        <f>'2018+'!U854</f>
        <v>35.815280556383819</v>
      </c>
    </row>
    <row r="93" spans="1:4" ht="15" x14ac:dyDescent="0.2">
      <c r="A93" s="2781">
        <v>43953</v>
      </c>
      <c r="B93" s="2786">
        <f>IFERROR(AVERAGE('2018+'!S812:S855),"")</f>
        <v>1.5729989326786589</v>
      </c>
      <c r="C93" s="2782">
        <f>IFERROR(AVERAGE('2018+'!N812:N855),"")</f>
        <v>1.0518451488017628</v>
      </c>
      <c r="D93" s="2787">
        <f>'2018+'!U855</f>
        <v>34.962535781231821</v>
      </c>
    </row>
    <row r="94" spans="1:4" ht="15" x14ac:dyDescent="0.2">
      <c r="A94" s="2781">
        <v>43954</v>
      </c>
      <c r="B94" s="2786">
        <f>IFERROR(AVERAGE('2018+'!S813:S856),"")</f>
        <v>1.5667616879006585</v>
      </c>
      <c r="C94" s="2782">
        <f>IFERROR(AVERAGE('2018+'!N813:N856),"")</f>
        <v>1.0519851591393927</v>
      </c>
      <c r="D94" s="2787">
        <f>'2018+'!U856</f>
        <v>35.891999215012014</v>
      </c>
    </row>
    <row r="95" spans="1:4" ht="15" x14ac:dyDescent="0.2">
      <c r="A95" s="2781">
        <v>43955</v>
      </c>
      <c r="B95" s="2786">
        <f>IFERROR(AVERAGE('2018+'!S814:S857),"")</f>
        <v>1.5667616879006585</v>
      </c>
      <c r="C95" s="2782">
        <f>IFERROR(AVERAGE('2018+'!N814:N857),"")</f>
        <v>1.0519851591393927</v>
      </c>
      <c r="D95" s="2787">
        <f>'2018+'!U857</f>
        <v>35.037427805130775</v>
      </c>
    </row>
    <row r="96" spans="1:4" ht="15" x14ac:dyDescent="0.2">
      <c r="A96" s="2781">
        <v>43956</v>
      </c>
      <c r="B96" s="2786">
        <f>IFERROR(AVERAGE('2018+'!S815:S858),"")</f>
        <v>1.5631412697395175</v>
      </c>
      <c r="C96" s="2782">
        <f>IFERROR(AVERAGE('2018+'!N815:N858),"")</f>
        <v>1.0521608575755121</v>
      </c>
      <c r="D96" s="2787">
        <f>'2018+'!U858</f>
        <v>35.584155714532422</v>
      </c>
    </row>
    <row r="97" spans="1:4" ht="15" x14ac:dyDescent="0.2">
      <c r="A97" s="2781">
        <v>43957</v>
      </c>
      <c r="B97" s="2786">
        <f>IFERROR(AVERAGE('2018+'!S816:S859),"")</f>
        <v>1.5631412697395175</v>
      </c>
      <c r="C97" s="2782">
        <f>IFERROR(AVERAGE('2018+'!N816:N859),"")</f>
        <v>1.0521608575755121</v>
      </c>
      <c r="D97" s="2787">
        <f>'2018+'!U859</f>
        <v>34.736913911805459</v>
      </c>
    </row>
    <row r="98" spans="1:4" ht="15" x14ac:dyDescent="0.2">
      <c r="A98" s="2781">
        <v>43958</v>
      </c>
      <c r="B98" s="2786">
        <f>IFERROR(AVERAGE('2018+'!S817:S860),"")</f>
        <v>1.5626726491820364</v>
      </c>
      <c r="C98" s="2782">
        <f>IFERROR(AVERAGE('2018+'!N817:N860),"")</f>
        <v>1.0520364993331792</v>
      </c>
      <c r="D98" s="2787">
        <f>'2018+'!U860</f>
        <v>35.528892152000566</v>
      </c>
    </row>
    <row r="99" spans="1:4" ht="15" x14ac:dyDescent="0.2">
      <c r="A99" s="2781">
        <v>43959</v>
      </c>
      <c r="B99" s="2786">
        <f>IFERROR(AVERAGE('2018+'!S818:S861),"")</f>
        <v>1.5611577800275216</v>
      </c>
      <c r="C99" s="2782">
        <f>IFERROR(AVERAGE('2018+'!N818:N861),"")</f>
        <v>1.0529569417649252</v>
      </c>
      <c r="D99" s="2787">
        <f>'2018+'!U861</f>
        <v>36.016299481714839</v>
      </c>
    </row>
    <row r="100" spans="1:4" ht="15" x14ac:dyDescent="0.2">
      <c r="A100" s="2781">
        <v>43960</v>
      </c>
      <c r="B100" s="2786">
        <f>IFERROR(AVERAGE('2018+'!S819:S862),"")</f>
        <v>1.5572806780362047</v>
      </c>
      <c r="C100" s="2782">
        <f>IFERROR(AVERAGE('2018+'!N819:N862),"")</f>
        <v>1.0535458058064628</v>
      </c>
      <c r="D100" s="2787">
        <f>'2018+'!U862</f>
        <v>35.158768541674007</v>
      </c>
    </row>
    <row r="101" spans="1:4" ht="15" x14ac:dyDescent="0.2">
      <c r="A101" s="2781">
        <v>43961</v>
      </c>
      <c r="B101" s="2786">
        <f>IFERROR(AVERAGE('2018+'!S820:S863),"")</f>
        <v>1.5550975632443944</v>
      </c>
      <c r="C101" s="2782">
        <f>IFERROR(AVERAGE('2018+'!N820:N863),"")</f>
        <v>1.0539740078732611</v>
      </c>
      <c r="D101" s="2787">
        <f>'2018+'!U863</f>
        <v>37.369274052586533</v>
      </c>
    </row>
    <row r="102" spans="1:4" ht="15" x14ac:dyDescent="0.2">
      <c r="A102" s="2781">
        <v>43962</v>
      </c>
      <c r="B102" s="2786">
        <f>IFERROR(AVERAGE('2018+'!S821:S864),"")</f>
        <v>1.5529562760121876</v>
      </c>
      <c r="C102" s="2782">
        <f>IFERROR(AVERAGE('2018+'!N821:N864),"")</f>
        <v>1.0541331739478561</v>
      </c>
      <c r="D102" s="2787">
        <f>'2018+'!U864</f>
        <v>36.479529432286853</v>
      </c>
    </row>
    <row r="103" spans="1:4" ht="15" x14ac:dyDescent="0.2">
      <c r="A103" s="2781">
        <v>43963</v>
      </c>
      <c r="B103" s="2786">
        <f>IFERROR(AVERAGE('2018+'!S822:S865),"")</f>
        <v>1.5552864697161091</v>
      </c>
      <c r="C103" s="2782">
        <f>IFERROR(AVERAGE('2018+'!N822:N865),"")</f>
        <v>1.054478977637439</v>
      </c>
      <c r="D103" s="2787">
        <f>'2018+'!U865</f>
        <v>37.134778731518118</v>
      </c>
    </row>
    <row r="104" spans="1:4" ht="15" x14ac:dyDescent="0.2">
      <c r="A104" s="2781">
        <v>43964</v>
      </c>
      <c r="B104" s="2786">
        <f>IFERROR(AVERAGE('2018+'!S823:S866),"")</f>
        <v>1.5552864697161091</v>
      </c>
      <c r="C104" s="2782">
        <f>IFERROR(AVERAGE('2018+'!N823:N866),"")</f>
        <v>1.054478977637439</v>
      </c>
      <c r="D104" s="2787">
        <f>'2018+'!U866</f>
        <v>36.250617333148639</v>
      </c>
    </row>
    <row r="105" spans="1:4" ht="15" x14ac:dyDescent="0.2">
      <c r="A105" s="2781">
        <v>43965</v>
      </c>
      <c r="B105" s="2786">
        <f>IFERROR(AVERAGE('2018+'!S824:S867),"")</f>
        <v>1.5570633121699238</v>
      </c>
      <c r="C105" s="2782">
        <f>IFERROR(AVERAGE('2018+'!N824:N867),"")</f>
        <v>1.0536023117319668</v>
      </c>
      <c r="D105" s="2787">
        <f>'2018+'!U867</f>
        <v>37.316078825216529</v>
      </c>
    </row>
    <row r="106" spans="1:4" ht="15" x14ac:dyDescent="0.2">
      <c r="A106" s="2781">
        <v>43966</v>
      </c>
      <c r="B106" s="2786">
        <f>IFERROR(AVERAGE('2018+'!S825:S868),"")</f>
        <v>1.5564649660360348</v>
      </c>
      <c r="C106" s="2782">
        <f>IFERROR(AVERAGE('2018+'!N825:N868),"")</f>
        <v>1.0538492554858314</v>
      </c>
      <c r="D106" s="2787">
        <f>'2018+'!U868</f>
        <v>37.61807694842566</v>
      </c>
    </row>
    <row r="107" spans="1:4" ht="15" x14ac:dyDescent="0.2">
      <c r="A107" s="2781">
        <v>43967</v>
      </c>
      <c r="B107" s="2786">
        <f>IFERROR(AVERAGE('2018+'!S826:S869),"")</f>
        <v>1.5564649660360348</v>
      </c>
      <c r="C107" s="2782">
        <f>IFERROR(AVERAGE('2018+'!N826:N869),"")</f>
        <v>1.0538492554858314</v>
      </c>
      <c r="D107" s="2787">
        <f>'2018+'!U869</f>
        <v>36.722408449653621</v>
      </c>
    </row>
    <row r="108" spans="1:4" ht="15" x14ac:dyDescent="0.2">
      <c r="A108" s="2781">
        <v>43968</v>
      </c>
      <c r="B108" s="2786">
        <f>IFERROR(AVERAGE('2018+'!S827:S870),"")</f>
        <v>1.5528393793022146</v>
      </c>
      <c r="C108" s="2782">
        <f>IFERROR(AVERAGE('2018+'!N827:N870),"")</f>
        <v>1.0540966269503658</v>
      </c>
      <c r="D108" s="2787">
        <f>'2018+'!U870</f>
        <v>38.871874915138058</v>
      </c>
    </row>
    <row r="109" spans="1:4" ht="15" x14ac:dyDescent="0.2">
      <c r="A109" s="2781">
        <v>43969</v>
      </c>
      <c r="B109" s="2786">
        <f>IFERROR(AVERAGE('2018+'!S828:S871),"")</f>
        <v>1.5528393793022146</v>
      </c>
      <c r="C109" s="2782">
        <f>IFERROR(AVERAGE('2018+'!N828:N871),"")</f>
        <v>1.0540966269503658</v>
      </c>
      <c r="D109" s="2787">
        <f>'2018+'!U871</f>
        <v>37.946354083825248</v>
      </c>
    </row>
    <row r="110" spans="1:4" ht="15" x14ac:dyDescent="0.2">
      <c r="A110" s="2781">
        <v>43970</v>
      </c>
      <c r="B110" s="2786">
        <f>IFERROR(AVERAGE('2018+'!S829:S872),"")</f>
        <v>1.5523624317664437</v>
      </c>
      <c r="C110" s="2782">
        <f>IFERROR(AVERAGE('2018+'!N829:N872),"")</f>
        <v>1.0541067358446696</v>
      </c>
      <c r="D110" s="2787">
        <f>'2018+'!U872</f>
        <v>38.566678986591313</v>
      </c>
    </row>
    <row r="111" spans="1:4" ht="15" x14ac:dyDescent="0.2">
      <c r="A111" s="2781">
        <v>43971</v>
      </c>
      <c r="B111" s="2786">
        <f>IFERROR(AVERAGE('2018+'!S830:S873),"")</f>
        <v>1.5523624317664437</v>
      </c>
      <c r="C111" s="2782">
        <f>IFERROR(AVERAGE('2018+'!N830:N873),"")</f>
        <v>1.0541067358446696</v>
      </c>
      <c r="D111" s="2787">
        <f>'2018+'!U873</f>
        <v>37.648424725005803</v>
      </c>
    </row>
    <row r="112" spans="1:4" ht="15" x14ac:dyDescent="0.2">
      <c r="A112" s="2781">
        <v>43972</v>
      </c>
      <c r="B112" s="2786">
        <f>IFERROR(AVERAGE('2018+'!S831:S874),"")</f>
        <v>1.5523624317664437</v>
      </c>
      <c r="C112" s="2782">
        <f>IFERROR(AVERAGE('2018+'!N831:N874),"")</f>
        <v>1.0545806527432862</v>
      </c>
      <c r="D112" s="2787">
        <f>'2018+'!U874</f>
        <v>36.75203366012471</v>
      </c>
    </row>
    <row r="113" spans="1:4" ht="15" x14ac:dyDescent="0.2">
      <c r="A113" s="2781">
        <v>43973</v>
      </c>
      <c r="B113" s="2786">
        <f>IFERROR(AVERAGE('2018+'!S832:S875),"")</f>
        <v>1.5521482563687679</v>
      </c>
      <c r="C113" s="2782">
        <f>IFERROR(AVERAGE('2018+'!N832:N875),"")</f>
        <v>1.0546882320216375</v>
      </c>
      <c r="D113" s="2787">
        <f>'2018+'!U875</f>
        <v>37.662699525359834</v>
      </c>
    </row>
    <row r="114" spans="1:4" ht="15" x14ac:dyDescent="0.2">
      <c r="A114" s="2781">
        <v>43974</v>
      </c>
      <c r="B114" s="2786">
        <f>IFERROR(AVERAGE('2018+'!S833:S876),"")</f>
        <v>1.5459872877077991</v>
      </c>
      <c r="C114" s="2782">
        <f>IFERROR(AVERAGE('2018+'!N833:N876),"")</f>
        <v>1.0558088899589939</v>
      </c>
      <c r="D114" s="2787">
        <f>'2018+'!U876</f>
        <v>38.26596858427984</v>
      </c>
    </row>
    <row r="115" spans="1:4" ht="15" x14ac:dyDescent="0.2">
      <c r="A115" s="2781">
        <v>43975</v>
      </c>
      <c r="B115" s="2786">
        <f>IFERROR(AVERAGE('2018+'!S834:S877),"")</f>
        <v>1.5460563099975664</v>
      </c>
      <c r="C115" s="2782">
        <f>IFERROR(AVERAGE('2018+'!N834:N877),"")</f>
        <v>1.0557460319967145</v>
      </c>
      <c r="D115" s="2787">
        <f>'2018+'!U877</f>
        <v>40.521540760844601</v>
      </c>
    </row>
    <row r="116" spans="1:4" ht="15" x14ac:dyDescent="0.2">
      <c r="A116" s="2781">
        <v>43976</v>
      </c>
      <c r="B116" s="2786">
        <f>IFERROR(AVERAGE('2018+'!S835:S878),"")</f>
        <v>1.5460563099975664</v>
      </c>
      <c r="C116" s="2782">
        <f>IFERROR(AVERAGE('2018+'!N835:N878),"")</f>
        <v>1.0557460319967145</v>
      </c>
      <c r="D116" s="2787">
        <f>'2018+'!U878</f>
        <v>39.556742171300684</v>
      </c>
    </row>
    <row r="117" spans="1:4" ht="15" x14ac:dyDescent="0.2">
      <c r="A117" s="2781">
        <v>43977</v>
      </c>
      <c r="B117" s="2786">
        <f>IFERROR(AVERAGE('2018+'!S836:S879),"")</f>
        <v>1.5508412860034728</v>
      </c>
      <c r="C117" s="2782">
        <f>IFERROR(AVERAGE('2018+'!N836:N879),"")</f>
        <v>1.0564932698734613</v>
      </c>
      <c r="D117" s="2787">
        <f>'2018+'!U879</f>
        <v>40.138724500555426</v>
      </c>
    </row>
    <row r="118" spans="1:4" ht="15" x14ac:dyDescent="0.2">
      <c r="A118" s="2781">
        <v>43978</v>
      </c>
      <c r="B118" s="2786">
        <f>IFERROR(AVERAGE('2018+'!S837:S880),"")</f>
        <v>1.5508412860034728</v>
      </c>
      <c r="C118" s="2782">
        <f>IFERROR(AVERAGE('2018+'!N837:N880),"")</f>
        <v>1.0564932698734613</v>
      </c>
      <c r="D118" s="2787">
        <f>'2018+'!U880</f>
        <v>39.183040583875538</v>
      </c>
    </row>
    <row r="119" spans="1:4" ht="15" x14ac:dyDescent="0.2">
      <c r="A119" s="2781">
        <v>43979</v>
      </c>
      <c r="B119" s="2786">
        <f>IFERROR(AVERAGE('2018+'!S838:S881),"")</f>
        <v>1.5532169155645785</v>
      </c>
      <c r="C119" s="2782">
        <f>IFERROR(AVERAGE('2018+'!N838:N881),"")</f>
        <v>1.0571921256415731</v>
      </c>
      <c r="D119" s="2787">
        <f>'2018+'!U881</f>
        <v>39.77392056997374</v>
      </c>
    </row>
    <row r="120" spans="1:4" ht="15" x14ac:dyDescent="0.2">
      <c r="A120" s="2781">
        <v>43980</v>
      </c>
      <c r="B120" s="2786">
        <f>IFERROR(AVERAGE('2018+'!S839:S882),"")</f>
        <v>1.5532169155645785</v>
      </c>
      <c r="C120" s="2782">
        <f>IFERROR(AVERAGE('2018+'!N839:N882),"")</f>
        <v>1.0571921256415731</v>
      </c>
      <c r="D120" s="2787">
        <f>'2018+'!U882</f>
        <v>38.826922461164841</v>
      </c>
    </row>
    <row r="121" spans="1:4" ht="15" x14ac:dyDescent="0.2">
      <c r="A121" s="2781">
        <v>43981</v>
      </c>
      <c r="B121" s="2786">
        <f>IFERROR(AVERAGE('2018+'!S840:S883),"")</f>
        <v>1.5517196239484417</v>
      </c>
      <c r="C121" s="2782">
        <f>IFERROR(AVERAGE('2018+'!N840:N883),"")</f>
        <v>1.0581720779400274</v>
      </c>
      <c r="D121" s="2787">
        <f>'2018+'!U883</f>
        <v>39.973900497803776</v>
      </c>
    </row>
    <row r="122" spans="1:4" ht="15" x14ac:dyDescent="0.2">
      <c r="A122" s="2781">
        <v>43982</v>
      </c>
      <c r="B122" s="2786">
        <f>IFERROR(AVERAGE('2018+'!S841:S884),"")</f>
        <v>1.5547874588901189</v>
      </c>
      <c r="C122" s="2782">
        <f>IFERROR(AVERAGE('2018+'!N841:N884),"")</f>
        <v>1.0573538353678931</v>
      </c>
      <c r="D122" s="2787">
        <f>'2018+'!U884</f>
        <v>39.022140962141783</v>
      </c>
    </row>
    <row r="123" spans="1:4" ht="15" x14ac:dyDescent="0.2">
      <c r="A123" s="2781">
        <v>43983</v>
      </c>
      <c r="B123" s="2786">
        <f>IFERROR(AVERAGE('2018+'!S842:S885),"")</f>
        <v>1.5582180319414147</v>
      </c>
      <c r="C123" s="2782">
        <f>IFERROR(AVERAGE('2018+'!N842:N885),"")</f>
        <v>1.0572965225417468</v>
      </c>
      <c r="D123" s="2787">
        <f>'2018+'!U885</f>
        <v>39.473994748757455</v>
      </c>
    </row>
    <row r="124" spans="1:4" ht="15" x14ac:dyDescent="0.2">
      <c r="A124" s="2781">
        <v>43984</v>
      </c>
      <c r="B124" s="2786">
        <f>IFERROR(AVERAGE('2018+'!S843:S886),"")</f>
        <v>1.560070866509327</v>
      </c>
      <c r="C124" s="2782">
        <f>IFERROR(AVERAGE('2018+'!N843:N886),"")</f>
        <v>1.0572234480382769</v>
      </c>
      <c r="D124" s="2787">
        <f>'2018+'!U886</f>
        <v>38.534137730929899</v>
      </c>
    </row>
    <row r="125" spans="1:4" ht="15" x14ac:dyDescent="0.2">
      <c r="A125" s="2781">
        <v>43985</v>
      </c>
      <c r="B125" s="2786">
        <f>IFERROR(AVERAGE('2018+'!S844:S887),"")</f>
        <v>1.5618251601149167</v>
      </c>
      <c r="C125" s="2782">
        <f>IFERROR(AVERAGE('2018+'!N844:N887),"")</f>
        <v>1.0568703877033487</v>
      </c>
      <c r="D125" s="2787">
        <f>'2018+'!U887</f>
        <v>39.164277308764902</v>
      </c>
    </row>
    <row r="126" spans="1:4" ht="15" x14ac:dyDescent="0.2">
      <c r="A126" s="2781">
        <v>43986</v>
      </c>
      <c r="B126" s="2786">
        <f>IFERROR(AVERAGE('2018+'!S845:S888),"")</f>
        <v>1.5635168337431011</v>
      </c>
      <c r="C126" s="2782">
        <f>IFERROR(AVERAGE('2018+'!N845:N888),"")</f>
        <v>1.0568829897744478</v>
      </c>
      <c r="D126" s="2787">
        <f>'2018+'!U888</f>
        <v>38.231794515699072</v>
      </c>
    </row>
    <row r="127" spans="1:4" ht="15" x14ac:dyDescent="0.2">
      <c r="A127" s="2781">
        <v>43987</v>
      </c>
      <c r="B127" s="2786">
        <f>IFERROR(AVERAGE('2018+'!S846:S889),"")</f>
        <v>1.5626089081165151</v>
      </c>
      <c r="C127" s="2782">
        <f>IFERROR(AVERAGE('2018+'!N846:N889),"")</f>
        <v>1.0570674563987719</v>
      </c>
      <c r="D127" s="2787">
        <f>'2018+'!U889</f>
        <v>38.964370836753858</v>
      </c>
    </row>
    <row r="128" spans="1:4" ht="15" x14ac:dyDescent="0.2">
      <c r="A128" s="2781">
        <v>43988</v>
      </c>
      <c r="B128" s="2786">
        <f>IFERROR(AVERAGE('2018+'!S847:S890),"")</f>
        <v>1.5607045016689611</v>
      </c>
      <c r="C128" s="2782">
        <f>IFERROR(AVERAGE('2018+'!N847:N890),"")</f>
        <v>1.0578962448410629</v>
      </c>
      <c r="D128" s="2787">
        <f>'2018+'!U890</f>
        <v>38.036647721593049</v>
      </c>
    </row>
    <row r="129" spans="1:4" ht="15" x14ac:dyDescent="0.2">
      <c r="A129" s="2781">
        <v>43989</v>
      </c>
      <c r="B129" s="2786">
        <f>IFERROR(AVERAGE('2018+'!S848:S891),"")</f>
        <v>1.5575575083940156</v>
      </c>
      <c r="C129" s="2782">
        <f>IFERROR(AVERAGE('2018+'!N848:N891),"")</f>
        <v>1.0572200027972978</v>
      </c>
      <c r="D129" s="2787">
        <f>'2018+'!U891</f>
        <v>40.464346585364645</v>
      </c>
    </row>
    <row r="130" spans="1:4" ht="15" x14ac:dyDescent="0.2">
      <c r="A130" s="2781">
        <v>43990</v>
      </c>
      <c r="B130" s="2786">
        <f>IFERROR(AVERAGE('2018+'!S849:S892),"")</f>
        <v>1.5575575083940156</v>
      </c>
      <c r="C130" s="2782">
        <f>IFERROR(AVERAGE('2018+'!N849:N892),"")</f>
        <v>1.0572200027972978</v>
      </c>
      <c r="D130" s="2787">
        <f>'2018+'!U892</f>
        <v>39.500909761903578</v>
      </c>
    </row>
    <row r="131" spans="1:4" ht="15" x14ac:dyDescent="0.2">
      <c r="A131" s="2781">
        <v>43991</v>
      </c>
      <c r="B131" s="2786">
        <f>IFERROR(AVERAGE('2018+'!S850:S893),"")</f>
        <v>1.560386869502038</v>
      </c>
      <c r="C131" s="2782">
        <f>IFERROR(AVERAGE('2018+'!N850:N893),"")</f>
        <v>1.056505062460068</v>
      </c>
      <c r="D131" s="2787">
        <f>'2018+'!U893</f>
        <v>41.012792862810635</v>
      </c>
    </row>
    <row r="132" spans="1:4" ht="15" x14ac:dyDescent="0.2">
      <c r="A132" s="2781">
        <v>43992</v>
      </c>
      <c r="B132" s="2786">
        <f>IFERROR(AVERAGE('2018+'!S851:S894),"")</f>
        <v>1.560386869502038</v>
      </c>
      <c r="C132" s="2782">
        <f>IFERROR(AVERAGE('2018+'!N851:N894),"")</f>
        <v>1.056505062460068</v>
      </c>
      <c r="D132" s="2787">
        <f>'2018+'!U894</f>
        <v>40.036297794648476</v>
      </c>
    </row>
    <row r="133" spans="1:4" ht="15" x14ac:dyDescent="0.2">
      <c r="A133" s="2781">
        <v>43993</v>
      </c>
      <c r="B133" s="2786">
        <f>IFERROR(AVERAGE('2018+'!S852:S895),"")</f>
        <v>1.5588322884009915</v>
      </c>
      <c r="C133" s="2782">
        <f>IFERROR(AVERAGE('2018+'!N852:N895),"")</f>
        <v>1.0568758580912332</v>
      </c>
      <c r="D133" s="2787">
        <f>'2018+'!U895</f>
        <v>40.868766894775895</v>
      </c>
    </row>
    <row r="134" spans="1:4" ht="15" x14ac:dyDescent="0.2">
      <c r="A134" s="2781">
        <v>43994</v>
      </c>
      <c r="B134" s="2786">
        <f>IFERROR(AVERAGE('2018+'!S853:S896),"")</f>
        <v>1.5620646116333148</v>
      </c>
      <c r="C134" s="2782">
        <f>IFERROR(AVERAGE('2018+'!N853:N896),"")</f>
        <v>1.0570689090520438</v>
      </c>
      <c r="D134" s="2787">
        <f>'2018+'!U896</f>
        <v>41.038558159185996</v>
      </c>
    </row>
    <row r="135" spans="1:4" ht="15" x14ac:dyDescent="0.2">
      <c r="A135" s="2781">
        <v>43995</v>
      </c>
      <c r="B135" s="2786">
        <f>IFERROR(AVERAGE('2018+'!S854:S897),"")</f>
        <v>1.5620646116333148</v>
      </c>
      <c r="C135" s="2782">
        <f>IFERROR(AVERAGE('2018+'!N854:N897),"")</f>
        <v>1.0570689090520438</v>
      </c>
      <c r="D135" s="2787">
        <f>'2018+'!U897</f>
        <v>40.061449631586328</v>
      </c>
    </row>
    <row r="136" spans="1:4" ht="15" x14ac:dyDescent="0.2">
      <c r="A136" s="2781">
        <v>43996</v>
      </c>
      <c r="B136" s="2786">
        <f>IFERROR(AVERAGE('2018+'!S855:S898),"")</f>
        <v>1.5622729449666479</v>
      </c>
      <c r="C136" s="2782">
        <f>IFERROR(AVERAGE('2018+'!N855:N898),"")</f>
        <v>1.0573692645323403</v>
      </c>
      <c r="D136" s="2787">
        <f>'2018+'!U898</f>
        <v>41.964748449881888</v>
      </c>
    </row>
    <row r="137" spans="1:4" ht="15" x14ac:dyDescent="0.2">
      <c r="A137" s="2781">
        <v>43997</v>
      </c>
      <c r="B137" s="2786">
        <f>IFERROR(AVERAGE('2018+'!S856:S899),"")</f>
        <v>1.5622729449666479</v>
      </c>
      <c r="C137" s="2782">
        <f>IFERROR(AVERAGE('2018+'!N856:N899),"")</f>
        <v>1.0573692645323403</v>
      </c>
      <c r="D137" s="2787">
        <f>'2018+'!U899</f>
        <v>40.965587772503746</v>
      </c>
    </row>
    <row r="138" spans="1:4" ht="15" x14ac:dyDescent="0.2">
      <c r="A138" s="2781">
        <v>43998</v>
      </c>
      <c r="B138" s="2786">
        <f>IFERROR(AVERAGE('2018+'!S857:S900),"")</f>
        <v>1.5748333314400782</v>
      </c>
      <c r="C138" s="2782">
        <f>IFERROR(AVERAGE('2018+'!N857:N900),"")</f>
        <v>1.0573230176275057</v>
      </c>
      <c r="D138" s="2787">
        <f>'2018+'!U900</f>
        <v>41.490216635063177</v>
      </c>
    </row>
    <row r="139" spans="1:4" ht="15" x14ac:dyDescent="0.2">
      <c r="A139" s="2781">
        <v>43999</v>
      </c>
      <c r="B139" s="2786">
        <f>IFERROR(AVERAGE('2018+'!S858:S901),"")</f>
        <v>1.5748333314400782</v>
      </c>
      <c r="C139" s="2782">
        <f>IFERROR(AVERAGE('2018+'!N858:N901),"")</f>
        <v>1.0573230176275057</v>
      </c>
      <c r="D139" s="2787">
        <f>'2018+'!U901</f>
        <v>40.502354334228343</v>
      </c>
    </row>
    <row r="140" spans="1:4" ht="15" x14ac:dyDescent="0.2">
      <c r="A140" s="2781">
        <v>44000</v>
      </c>
      <c r="B140" s="2786">
        <f>IFERROR(AVERAGE('2018+'!S859:S902),"")</f>
        <v>1.5815257150410469</v>
      </c>
      <c r="C140" s="2782">
        <f>IFERROR(AVERAGE('2018+'!N859:N902),"")</f>
        <v>1.0566698244253157</v>
      </c>
      <c r="D140" s="2787">
        <f>'2018+'!U902</f>
        <v>41.776107802460999</v>
      </c>
    </row>
    <row r="141" spans="1:4" ht="15" x14ac:dyDescent="0.2">
      <c r="A141" s="2781">
        <v>44001</v>
      </c>
      <c r="B141" s="2786">
        <f>IFERROR(AVERAGE('2018+'!S860:S903),"")</f>
        <v>1.5815257150410469</v>
      </c>
      <c r="C141" s="2782">
        <f>IFERROR(AVERAGE('2018+'!N860:N903),"")</f>
        <v>1.0566698244253157</v>
      </c>
      <c r="D141" s="2787">
        <f>'2018+'!U903</f>
        <v>40.781438569069067</v>
      </c>
    </row>
    <row r="142" spans="1:4" ht="15" x14ac:dyDescent="0.2">
      <c r="A142" s="2781">
        <v>44002</v>
      </c>
      <c r="B142" s="2786">
        <f>IFERROR(AVERAGE('2018+'!S861:S904),"")</f>
        <v>1.5779446664599985</v>
      </c>
      <c r="C142" s="2782">
        <f>IFERROR(AVERAGE('2018+'!N861:N904),"")</f>
        <v>1.0576217168844269</v>
      </c>
      <c r="D142" s="2787">
        <f>'2018+'!U904</f>
        <v>41.286642412662658</v>
      </c>
    </row>
    <row r="143" spans="1:4" ht="15" x14ac:dyDescent="0.2">
      <c r="A143" s="2781">
        <v>44003</v>
      </c>
      <c r="B143" s="2786">
        <f>IFERROR(AVERAGE('2018+'!S862:S905),"")</f>
        <v>1.5781371440568683</v>
      </c>
      <c r="C143" s="2782">
        <f>IFERROR(AVERAGE('2018+'!N862:N905),"")</f>
        <v>1.0572348078793257</v>
      </c>
      <c r="D143" s="2787">
        <f>'2018+'!U905</f>
        <v>43.946484259980217</v>
      </c>
    </row>
    <row r="144" spans="1:4" ht="15" x14ac:dyDescent="0.2">
      <c r="A144" s="2781">
        <v>44004</v>
      </c>
      <c r="B144" s="2786">
        <f>IFERROR(AVERAGE('2018+'!S863:S906),"")</f>
        <v>1.5781371440568683</v>
      </c>
      <c r="C144" s="2782">
        <f>IFERROR(AVERAGE('2018+'!N863:N906),"")</f>
        <v>1.0572348078793257</v>
      </c>
      <c r="D144" s="2787">
        <f>'2018+'!U906</f>
        <v>42.900139396647354</v>
      </c>
    </row>
    <row r="145" spans="1:4" ht="15" x14ac:dyDescent="0.2">
      <c r="A145" s="2781">
        <v>44005</v>
      </c>
      <c r="B145" s="2786">
        <f>IFERROR(AVERAGE('2018+'!S864:S907),"")</f>
        <v>1.5808511813761108</v>
      </c>
      <c r="C145" s="2782">
        <f>IFERROR(AVERAGE('2018+'!N864:N907),"")</f>
        <v>1.0569120178627238</v>
      </c>
      <c r="D145" s="2787">
        <f>'2018+'!U907</f>
        <v>41.87870750625099</v>
      </c>
    </row>
    <row r="146" spans="1:4" ht="15" x14ac:dyDescent="0.2">
      <c r="A146" s="2781">
        <v>44006</v>
      </c>
      <c r="B146" s="2786">
        <f>IFERROR(AVERAGE('2018+'!S865:S908),"")</f>
        <v>1.5808511813761108</v>
      </c>
      <c r="C146" s="2782">
        <f>IFERROR(AVERAGE('2018+'!N865:N908),"")</f>
        <v>1.0569120178627238</v>
      </c>
      <c r="D146" s="2787">
        <f>'2018+'!U908</f>
        <v>40.881595422768825</v>
      </c>
    </row>
    <row r="147" spans="1:4" ht="15" x14ac:dyDescent="0.2">
      <c r="A147" s="2781">
        <v>44007</v>
      </c>
      <c r="B147" s="2786">
        <f>IFERROR(AVERAGE('2018+'!S866:S909),"")</f>
        <v>1.5794127097437798</v>
      </c>
      <c r="C147" s="2782">
        <f>IFERROR(AVERAGE('2018+'!N866:N909),"")</f>
        <v>1.0567765458816243</v>
      </c>
      <c r="D147" s="2787">
        <f>'2018+'!U909</f>
        <v>41.432033626988613</v>
      </c>
    </row>
    <row r="148" spans="1:4" ht="15" x14ac:dyDescent="0.2">
      <c r="A148" s="2781">
        <v>44008</v>
      </c>
      <c r="B148" s="2786">
        <f>IFERROR(AVERAGE('2018+'!S867:S910),"")</f>
        <v>1.5794127097437798</v>
      </c>
      <c r="C148" s="2782">
        <f>IFERROR(AVERAGE('2018+'!N867:N910),"")</f>
        <v>1.0567765458816243</v>
      </c>
      <c r="D148" s="2787">
        <f>'2018+'!U910</f>
        <v>40.445556635869835</v>
      </c>
    </row>
    <row r="149" spans="1:4" ht="15" x14ac:dyDescent="0.2">
      <c r="A149" s="2781">
        <v>44009</v>
      </c>
      <c r="B149" s="2786">
        <f>IFERROR(AVERAGE('2018+'!S868:S911),"")</f>
        <v>1.5731025602659288</v>
      </c>
      <c r="C149" s="2782">
        <f>IFERROR(AVERAGE('2018+'!N868:N911),"")</f>
        <v>1.0583982633146103</v>
      </c>
      <c r="D149" s="2787">
        <f>'2018+'!U911</f>
        <v>41.911138620730078</v>
      </c>
    </row>
    <row r="150" spans="1:4" ht="15" x14ac:dyDescent="0.2">
      <c r="A150" s="2781">
        <v>44010</v>
      </c>
      <c r="B150" s="2786">
        <f>IFERROR(AVERAGE('2018+'!S869:S912),"")</f>
        <v>1.5741700257048032</v>
      </c>
      <c r="C150" s="2782">
        <f>IFERROR(AVERAGE('2018+'!N869:N912),"")</f>
        <v>1.0585393228378919</v>
      </c>
      <c r="D150" s="2787">
        <f>'2018+'!U912</f>
        <v>40.913254367855551</v>
      </c>
    </row>
    <row r="151" spans="1:4" ht="15" x14ac:dyDescent="0.2">
      <c r="A151" s="2781">
        <v>44011</v>
      </c>
      <c r="B151" s="2786">
        <f>IFERROR(AVERAGE('2018+'!S870:S913),"")</f>
        <v>1.5741700257048032</v>
      </c>
      <c r="C151" s="2782">
        <f>IFERROR(AVERAGE('2018+'!N870:N913),"")</f>
        <v>1.0585393228378919</v>
      </c>
      <c r="D151" s="2787">
        <f>'2018+'!U913</f>
        <v>39.939129263858987</v>
      </c>
    </row>
    <row r="152" spans="1:4" ht="15" x14ac:dyDescent="0.2">
      <c r="A152" s="2781">
        <v>44012</v>
      </c>
      <c r="B152" s="2786">
        <f>IFERROR(AVERAGE('2018+'!S871:S914),"")</f>
        <v>1.5691179063376153</v>
      </c>
      <c r="C152" s="2782">
        <f>IFERROR(AVERAGE('2018+'!N871:N914),"")</f>
        <v>1.058482109154234</v>
      </c>
      <c r="D152" s="2787">
        <f>'2018+'!U914</f>
        <v>40.607245233767109</v>
      </c>
    </row>
    <row r="153" spans="1:4" ht="15" x14ac:dyDescent="0.2">
      <c r="A153" s="2781">
        <v>44013</v>
      </c>
      <c r="B153" s="2786">
        <f>IFERROR(AVERAGE('2018+'!S872:S915),"")</f>
        <v>1.5691179063376153</v>
      </c>
      <c r="C153" s="2782">
        <f>IFERROR(AVERAGE('2018+'!N872:N915),"")</f>
        <v>1.058482109154234</v>
      </c>
      <c r="D153" s="2787">
        <f>'2018+'!U915</f>
        <v>39.640406061534563</v>
      </c>
    </row>
    <row r="154" spans="1:4" ht="15" x14ac:dyDescent="0.2">
      <c r="A154" s="2781">
        <v>44014</v>
      </c>
      <c r="B154" s="2786">
        <f>IFERROR(AVERAGE('2018+'!S873:S916),"")</f>
        <v>1.5676795054811057</v>
      </c>
      <c r="C154" s="2782">
        <f>IFERROR(AVERAGE('2018+'!N873:N916),"")</f>
        <v>1.0589724421477362</v>
      </c>
      <c r="D154" s="2787">
        <f>'2018+'!U916</f>
        <v>38.696586869593261</v>
      </c>
    </row>
    <row r="155" spans="1:4" ht="15" x14ac:dyDescent="0.2">
      <c r="A155" s="2781">
        <v>44015</v>
      </c>
      <c r="B155" s="2786">
        <f>IFERROR(AVERAGE('2018+'!S874:S917),"")</f>
        <v>1.5716017213214306</v>
      </c>
      <c r="C155" s="2782">
        <f>IFERROR(AVERAGE('2018+'!N874:N917),"")</f>
        <v>1.0593255798191703</v>
      </c>
      <c r="D155" s="2787">
        <f>'2018+'!U917</f>
        <v>38.989525277460089</v>
      </c>
    </row>
    <row r="156" spans="1:4" ht="15" x14ac:dyDescent="0.2">
      <c r="A156" s="2781">
        <v>44016</v>
      </c>
      <c r="B156" s="2786">
        <f>IFERROR(AVERAGE('2018+'!S875:S918),"")</f>
        <v>1.5716017213214306</v>
      </c>
      <c r="C156" s="2782">
        <f>IFERROR(AVERAGE('2018+'!N875:N918),"")</f>
        <v>1.0593255798191703</v>
      </c>
      <c r="D156" s="2787">
        <f>'2018+'!U918</f>
        <v>38.061203247044375</v>
      </c>
    </row>
    <row r="157" spans="1:4" ht="15" x14ac:dyDescent="0.2">
      <c r="A157" s="2781">
        <v>44017</v>
      </c>
      <c r="B157" s="2786">
        <f>IFERROR(AVERAGE('2018+'!S876:S919),"")</f>
        <v>1.5774639146836238</v>
      </c>
      <c r="C157" s="2782">
        <f>IFERROR(AVERAGE('2018+'!N876:N919),"")</f>
        <v>1.0597954468686781</v>
      </c>
      <c r="D157" s="2787">
        <f>'2018+'!U919</f>
        <v>38.607365074495696</v>
      </c>
    </row>
    <row r="158" spans="1:4" ht="15" x14ac:dyDescent="0.2">
      <c r="A158" s="2781">
        <v>44018</v>
      </c>
      <c r="B158" s="2786">
        <f>IFERROR(AVERAGE('2018+'!S877:S920),"")</f>
        <v>1.582210873583902</v>
      </c>
      <c r="C158" s="2782">
        <f>IFERROR(AVERAGE('2018+'!N877:N920),"")</f>
        <v>1.0598381532994394</v>
      </c>
      <c r="D158" s="2787">
        <f>'2018+'!U920</f>
        <v>37.688142096531514</v>
      </c>
    </row>
    <row r="159" spans="1:4" ht="15" x14ac:dyDescent="0.2">
      <c r="A159" s="2781">
        <v>44019</v>
      </c>
      <c r="B159" s="2786">
        <f>IFERROR(AVERAGE('2018+'!S878:S921),"")</f>
        <v>1.572338002449633</v>
      </c>
      <c r="C159" s="2782">
        <f>IFERROR(AVERAGE('2018+'!N878:N921),"")</f>
        <v>1.0600562176286961</v>
      </c>
      <c r="D159" s="2787">
        <f>'2018+'!U921</f>
        <v>39.481281570423619</v>
      </c>
    </row>
    <row r="160" spans="1:4" ht="15" x14ac:dyDescent="0.2">
      <c r="A160" s="2781">
        <v>44020</v>
      </c>
      <c r="B160" s="2786">
        <f>IFERROR(AVERAGE('2018+'!S879:S922),"")</f>
        <v>1.572338002449633</v>
      </c>
      <c r="C160" s="2782">
        <f>IFERROR(AVERAGE('2018+'!N879:N922),"")</f>
        <v>1.0600562176286961</v>
      </c>
      <c r="D160" s="2787">
        <f>'2018+'!U922</f>
        <v>38.541251056842107</v>
      </c>
    </row>
    <row r="161" spans="1:4" ht="15" x14ac:dyDescent="0.2">
      <c r="A161" s="2781">
        <v>44021</v>
      </c>
      <c r="B161" s="2786">
        <f>IFERROR(AVERAGE('2018+'!S880:S923),"")</f>
        <v>1.5687843599364555</v>
      </c>
      <c r="C161" s="2782">
        <f>IFERROR(AVERAGE('2018+'!N880:N923),"")</f>
        <v>1.0596952207448971</v>
      </c>
      <c r="D161" s="2787">
        <f>'2018+'!U923</f>
        <v>37.623602222155391</v>
      </c>
    </row>
    <row r="162" spans="1:4" ht="15" x14ac:dyDescent="0.2">
      <c r="A162" s="2781">
        <v>44022</v>
      </c>
      <c r="B162" s="2786">
        <f>IFERROR(AVERAGE('2018+'!S881:S924),"")</f>
        <v>1.5708217831744282</v>
      </c>
      <c r="C162" s="2782">
        <f>IFERROR(AVERAGE('2018+'!N881:N924),"")</f>
        <v>1.0596952207448971</v>
      </c>
      <c r="D162" s="2787">
        <f>'2018+'!U924</f>
        <v>38.156373597818359</v>
      </c>
    </row>
    <row r="163" spans="1:4" ht="15" x14ac:dyDescent="0.2">
      <c r="A163" s="2781">
        <v>44023</v>
      </c>
      <c r="B163" s="2786">
        <f>IFERROR(AVERAGE('2018+'!S882:S925),"")</f>
        <v>1.567164290772866</v>
      </c>
      <c r="C163" s="2782">
        <f>IFERROR(AVERAGE('2018+'!N882:N925),"")</f>
        <v>1.0597819727722357</v>
      </c>
      <c r="D163" s="2787">
        <f>'2018+'!U925</f>
        <v>37.247888512156017</v>
      </c>
    </row>
    <row r="164" spans="1:4" ht="15" x14ac:dyDescent="0.2">
      <c r="A164" s="2781">
        <v>44024</v>
      </c>
      <c r="B164" s="2786">
        <f>IFERROR(AVERAGE('2018+'!S883:S926),"")</f>
        <v>1.5660583433046056</v>
      </c>
      <c r="C164" s="2782">
        <f>IFERROR(AVERAGE('2018+'!N883:N926),"")</f>
        <v>1.0596023446461975</v>
      </c>
      <c r="D164" s="2787">
        <f>'2018+'!U926</f>
        <v>38.432462595199922</v>
      </c>
    </row>
    <row r="165" spans="1:4" ht="15" x14ac:dyDescent="0.2">
      <c r="A165" s="2781">
        <v>44025</v>
      </c>
      <c r="B165" s="2786">
        <f>IFERROR(AVERAGE('2018+'!S884:S927),"")</f>
        <v>1.5633838168608132</v>
      </c>
      <c r="C165" s="2782">
        <f>IFERROR(AVERAGE('2018+'!N884:N927),"")</f>
        <v>1.0590722637534642</v>
      </c>
      <c r="D165" s="2787">
        <f>'2018+'!U927</f>
        <v>37.517403961980875</v>
      </c>
    </row>
    <row r="166" spans="1:4" ht="15" x14ac:dyDescent="0.2">
      <c r="A166" s="2781">
        <v>44026</v>
      </c>
      <c r="B166" s="2786">
        <f>IFERROR(AVERAGE('2018+'!S885:S928),"")</f>
        <v>1.5546311334288094</v>
      </c>
      <c r="C166" s="2782">
        <f>IFERROR(AVERAGE('2018+'!N885:N928),"")</f>
        <v>1.0590722637534642</v>
      </c>
      <c r="D166" s="2787">
        <f>'2018+'!U928</f>
        <v>39.100322915267043</v>
      </c>
    </row>
    <row r="167" spans="1:4" ht="15" x14ac:dyDescent="0.2">
      <c r="A167" s="2781">
        <v>44027</v>
      </c>
      <c r="B167" s="2786">
        <f>IFERROR(AVERAGE('2018+'!S886:S929),"")</f>
        <v>1.5505066294941892</v>
      </c>
      <c r="C167" s="2782">
        <f>IFERROR(AVERAGE('2018+'!N886:N929),"")</f>
        <v>1.0592656347667819</v>
      </c>
      <c r="D167" s="2787">
        <f>'2018+'!U929</f>
        <v>38.169362845855922</v>
      </c>
    </row>
    <row r="168" spans="1:4" ht="15" x14ac:dyDescent="0.2">
      <c r="A168" s="2781">
        <v>44028</v>
      </c>
      <c r="B168" s="2786">
        <f>IFERROR(AVERAGE('2018+'!S887:S930),"")</f>
        <v>1.5505066294941892</v>
      </c>
      <c r="C168" s="2782">
        <f>IFERROR(AVERAGE('2018+'!N887:N930),"")</f>
        <v>1.0592656347667819</v>
      </c>
      <c r="D168" s="2787">
        <f>'2018+'!U930</f>
        <v>37.260568492383165</v>
      </c>
    </row>
    <row r="169" spans="1:4" ht="15" x14ac:dyDescent="0.2">
      <c r="A169" s="2781">
        <v>44029</v>
      </c>
      <c r="B169" s="2786">
        <f>IFERROR(AVERAGE('2018+'!S888:S931),"")</f>
        <v>1.5505790932623051</v>
      </c>
      <c r="C169" s="2782">
        <f>IFERROR(AVERAGE('2018+'!N888:N931),"")</f>
        <v>1.060676345213156</v>
      </c>
      <c r="D169" s="2787">
        <f>'2018+'!U931</f>
        <v>37.968650194945468</v>
      </c>
    </row>
    <row r="170" spans="1:4" ht="15" x14ac:dyDescent="0.2">
      <c r="A170" s="2781">
        <v>44030</v>
      </c>
      <c r="B170" s="2786">
        <f>IFERROR(AVERAGE('2018+'!S889:S932),"")</f>
        <v>1.5505790932623051</v>
      </c>
      <c r="C170" s="2782">
        <f>IFERROR(AVERAGE('2018+'!N889:N932),"")</f>
        <v>1.060676345213156</v>
      </c>
      <c r="D170" s="2787">
        <f>'2018+'!U932</f>
        <v>37.064634714113431</v>
      </c>
    </row>
    <row r="171" spans="1:4" ht="15" x14ac:dyDescent="0.2">
      <c r="A171" s="2781">
        <v>44031</v>
      </c>
      <c r="B171" s="2786">
        <f>IFERROR(AVERAGE('2018+'!S890:S933),"")</f>
        <v>1.5492898637763286</v>
      </c>
      <c r="C171" s="2782">
        <f>IFERROR(AVERAGE('2018+'!N890:N933),"")</f>
        <v>1.0605464946916072</v>
      </c>
      <c r="D171" s="2787">
        <f>'2018+'!U933</f>
        <v>38.277381506634541</v>
      </c>
    </row>
    <row r="172" spans="1:4" ht="15" x14ac:dyDescent="0.2">
      <c r="A172" s="2781">
        <v>44032</v>
      </c>
      <c r="B172" s="2786">
        <f>IFERROR(AVERAGE('2018+'!S891:S934),"")</f>
        <v>1.5492898637763286</v>
      </c>
      <c r="C172" s="2782">
        <f>IFERROR(AVERAGE('2018+'!N891:N934),"")</f>
        <v>1.0605464946916072</v>
      </c>
      <c r="D172" s="2787">
        <f>'2018+'!U934</f>
        <v>37.366015280286099</v>
      </c>
    </row>
    <row r="173" spans="1:4" ht="15" x14ac:dyDescent="0.2">
      <c r="A173" s="2781">
        <v>44033</v>
      </c>
      <c r="B173" s="2786">
        <f>IFERROR(AVERAGE('2018+'!S892:S935),"")</f>
        <v>1.5487034537289639</v>
      </c>
      <c r="C173" s="2782">
        <f>IFERROR(AVERAGE('2018+'!N892:N935),"")</f>
        <v>1.0605318107068489</v>
      </c>
      <c r="D173" s="2787">
        <f>'2018+'!U935</f>
        <v>36.476348249803095</v>
      </c>
    </row>
    <row r="174" spans="1:4" ht="15" x14ac:dyDescent="0.2">
      <c r="A174" s="2781">
        <v>44034</v>
      </c>
      <c r="B174" s="2786">
        <f>IFERROR(AVERAGE('2018+'!S893:S936),"")</f>
        <v>1.5487034537289639</v>
      </c>
      <c r="C174" s="2782">
        <f>IFERROR(AVERAGE('2018+'!N893:N936),"")</f>
        <v>1.0605318107068489</v>
      </c>
      <c r="D174" s="2787">
        <f>'2018+'!U936</f>
        <v>35.607863767664924</v>
      </c>
    </row>
    <row r="175" spans="1:4" ht="15" x14ac:dyDescent="0.2">
      <c r="A175" s="2781">
        <v>44035</v>
      </c>
      <c r="B175" s="2786">
        <f>IFERROR(AVERAGE('2018+'!S894:S937),"")</f>
        <v>1.5410323150980729</v>
      </c>
      <c r="C175" s="2782">
        <f>IFERROR(AVERAGE('2018+'!N894:N937),"")</f>
        <v>1.0617190763678703</v>
      </c>
      <c r="D175" s="2787">
        <f>'2018+'!U937</f>
        <v>35.760057487482428</v>
      </c>
    </row>
    <row r="176" spans="1:4" ht="15" x14ac:dyDescent="0.2">
      <c r="A176" s="2781">
        <v>44036</v>
      </c>
      <c r="B176" s="2786">
        <f>IFERROR(AVERAGE('2018+'!S895:S938),"")</f>
        <v>1.5410323150980729</v>
      </c>
      <c r="C176" s="2782">
        <f>IFERROR(AVERAGE('2018+'!N895:N938),"")</f>
        <v>1.0617190763678703</v>
      </c>
      <c r="D176" s="2787">
        <f>'2018+'!U938</f>
        <v>34.908627547304278</v>
      </c>
    </row>
    <row r="177" spans="1:4" ht="15" x14ac:dyDescent="0.2">
      <c r="A177" s="2781">
        <v>44037</v>
      </c>
      <c r="B177" s="2786">
        <f>IFERROR(AVERAGE('2018+'!S896:S939),"")</f>
        <v>1.5375080090368489</v>
      </c>
      <c r="C177" s="2782">
        <f>IFERROR(AVERAGE('2018+'!N896:N939),"")</f>
        <v>1.0621645060471645</v>
      </c>
      <c r="D177" s="2787">
        <f>'2018+'!U939</f>
        <v>36.101279272368458</v>
      </c>
    </row>
    <row r="178" spans="1:4" ht="15" x14ac:dyDescent="0.2">
      <c r="A178" s="2781">
        <v>44038</v>
      </c>
      <c r="B178" s="2786">
        <f>IFERROR(AVERAGE('2018+'!S897:S940),"")</f>
        <v>1.5341289091131265</v>
      </c>
      <c r="C178" s="2782">
        <f>IFERROR(AVERAGE('2018+'!N897:N940),"")</f>
        <v>1.0617627205565701</v>
      </c>
      <c r="D178" s="2787">
        <f>'2018+'!U940</f>
        <v>37.4083916706454</v>
      </c>
    </row>
    <row r="179" spans="1:4" ht="15" x14ac:dyDescent="0.2">
      <c r="A179" s="2781">
        <v>44039</v>
      </c>
      <c r="B179" s="2786">
        <f>IFERROR(AVERAGE('2018+'!S898:S941),"")</f>
        <v>1.5341289091131265</v>
      </c>
      <c r="C179" s="2782">
        <f>IFERROR(AVERAGE('2018+'!N898:N941),"")</f>
        <v>1.0617627205565701</v>
      </c>
      <c r="D179" s="2787">
        <f>'2018+'!U941</f>
        <v>36.517715678487178</v>
      </c>
    </row>
    <row r="180" spans="1:4" ht="15" x14ac:dyDescent="0.2">
      <c r="A180" s="2781">
        <v>44040</v>
      </c>
      <c r="B180" s="2786">
        <f>IFERROR(AVERAGE('2018+'!S899:S942),"")</f>
        <v>1.539354473022901</v>
      </c>
      <c r="C180" s="2782">
        <f>IFERROR(AVERAGE('2018+'!N899:N942),"")</f>
        <v>1.0612264460285588</v>
      </c>
      <c r="D180" s="2787">
        <f>'2018+'!U942</f>
        <v>37.195865305189862</v>
      </c>
    </row>
    <row r="181" spans="1:4" ht="15" x14ac:dyDescent="0.2">
      <c r="A181" s="2781">
        <v>44041</v>
      </c>
      <c r="B181" s="2786">
        <f>IFERROR(AVERAGE('2018+'!S900:S943),"")</f>
        <v>1.539354473022901</v>
      </c>
      <c r="C181" s="2782">
        <f>IFERROR(AVERAGE('2018+'!N900:N943),"")</f>
        <v>1.0612264460285588</v>
      </c>
      <c r="D181" s="2787">
        <f>'2018+'!U943</f>
        <v>36.3102494645901</v>
      </c>
    </row>
    <row r="182" spans="1:4" ht="15" x14ac:dyDescent="0.2">
      <c r="A182" s="2781">
        <v>44042</v>
      </c>
      <c r="B182" s="2786">
        <f>IFERROR(AVERAGE('2018+'!S901:S944),"")</f>
        <v>1.5295719958404397</v>
      </c>
      <c r="C182" s="2782">
        <f>IFERROR(AVERAGE('2018+'!N901:N944),"")</f>
        <v>1.0599656990720969</v>
      </c>
      <c r="D182" s="2787">
        <f>'2018+'!U944</f>
        <v>37.207624477337959</v>
      </c>
    </row>
    <row r="183" spans="1:4" ht="15" x14ac:dyDescent="0.2">
      <c r="A183" s="2781">
        <v>44043</v>
      </c>
      <c r="B183" s="2786">
        <f>IFERROR(AVERAGE('2018+'!S902:S945),"")</f>
        <v>1.5326670394592703</v>
      </c>
      <c r="C183" s="2782">
        <f>IFERROR(AVERAGE('2018+'!N902:N945),"")</f>
        <v>1.0597680679586412</v>
      </c>
      <c r="D183" s="2787">
        <f>'2018+'!U945</f>
        <v>37.65506198978229</v>
      </c>
    </row>
    <row r="184" spans="1:4" ht="15" x14ac:dyDescent="0.2">
      <c r="A184" s="2781">
        <v>44044</v>
      </c>
      <c r="B184" s="2786">
        <f>IFERROR(AVERAGE('2018+'!S903:S946),"")</f>
        <v>1.5270447549118702</v>
      </c>
      <c r="C184" s="2782">
        <f>IFERROR(AVERAGE('2018+'!N903:N946),"")</f>
        <v>1.0611514926550245</v>
      </c>
      <c r="D184" s="2787">
        <f>'2018+'!U946</f>
        <v>36.758512894787472</v>
      </c>
    </row>
    <row r="185" spans="1:4" ht="15" x14ac:dyDescent="0.2">
      <c r="A185" s="2781">
        <v>44045</v>
      </c>
      <c r="B185" s="2786">
        <f>IFERROR(AVERAGE('2018+'!S904:S947),"")</f>
        <v>1.5281025891087228</v>
      </c>
      <c r="C185" s="2782">
        <f>IFERROR(AVERAGE('2018+'!N904:N947),"")</f>
        <v>1.061491511998603</v>
      </c>
      <c r="D185" s="2787">
        <f>'2018+'!U947</f>
        <v>38.049976873483011</v>
      </c>
    </row>
    <row r="186" spans="1:4" ht="15" x14ac:dyDescent="0.2">
      <c r="A186" s="2781">
        <v>44046</v>
      </c>
      <c r="B186" s="2786">
        <f>IFERROR(AVERAGE('2018+'!S905:S948),"")</f>
        <v>1.5282951230384216</v>
      </c>
      <c r="C186" s="2782">
        <f>IFERROR(AVERAGE('2018+'!N905:N948),"")</f>
        <v>1.0613319927738092</v>
      </c>
      <c r="D186" s="2787">
        <f>'2018+'!U948</f>
        <v>37.144025043161989</v>
      </c>
    </row>
    <row r="187" spans="1:4" ht="15" x14ac:dyDescent="0.2">
      <c r="A187" s="2781">
        <v>44047</v>
      </c>
      <c r="B187" s="2786">
        <f>IFERROR(AVERAGE('2018+'!S906:S949),"")</f>
        <v>1.5259725074466843</v>
      </c>
      <c r="C187" s="2782">
        <f>IFERROR(AVERAGE('2018+'!N906:N949),"")</f>
        <v>1.0590006611140395</v>
      </c>
      <c r="D187" s="2787">
        <f>'2018+'!U949</f>
        <v>38.235833970705748</v>
      </c>
    </row>
    <row r="188" spans="1:4" ht="15" x14ac:dyDescent="0.2">
      <c r="A188" s="2781">
        <v>44048</v>
      </c>
      <c r="B188" s="2786">
        <f>IFERROR(AVERAGE('2018+'!S907:S950),"")</f>
        <v>1.5300282127830116</v>
      </c>
      <c r="C188" s="2782">
        <f>IFERROR(AVERAGE('2018+'!N907:N950),"")</f>
        <v>1.0594692887511807</v>
      </c>
      <c r="D188" s="2787">
        <f>'2018+'!U950</f>
        <v>38.587361733307993</v>
      </c>
    </row>
    <row r="189" spans="1:4" ht="15" x14ac:dyDescent="0.2">
      <c r="A189" s="2781">
        <v>44049</v>
      </c>
      <c r="B189" s="2786">
        <f>IFERROR(AVERAGE('2018+'!S908:S951),"")</f>
        <v>1.5300282127830116</v>
      </c>
      <c r="C189" s="2782">
        <f>IFERROR(AVERAGE('2018+'!N908:N951),"")</f>
        <v>1.0594692887511807</v>
      </c>
      <c r="D189" s="2787">
        <f>'2018+'!U951</f>
        <v>37.668615025372091</v>
      </c>
    </row>
    <row r="190" spans="1:4" ht="15" x14ac:dyDescent="0.2">
      <c r="A190" s="2781">
        <v>44050</v>
      </c>
      <c r="B190" s="2786">
        <f>IFERROR(AVERAGE('2018+'!S909:S952),"")</f>
        <v>1.532589894527238</v>
      </c>
      <c r="C190" s="2782">
        <f>IFERROR(AVERAGE('2018+'!N909:N952),"")</f>
        <v>1.0589690718950371</v>
      </c>
      <c r="D190" s="2787">
        <f>'2018+'!U952</f>
        <v>38.152695620006092</v>
      </c>
    </row>
    <row r="191" spans="1:4" ht="15" x14ac:dyDescent="0.2">
      <c r="A191" s="2781">
        <v>44051</v>
      </c>
      <c r="B191" s="2786">
        <f>IFERROR(AVERAGE('2018+'!S910:S953),"")</f>
        <v>1.5287814330492204</v>
      </c>
      <c r="C191" s="2782">
        <f>IFERROR(AVERAGE('2018+'!N910:N953),"")</f>
        <v>1.0592671195125272</v>
      </c>
      <c r="D191" s="2787">
        <f>'2018+'!U953</f>
        <v>37.244298105244042</v>
      </c>
    </row>
    <row r="192" spans="1:4" ht="15" x14ac:dyDescent="0.2">
      <c r="A192" s="2781">
        <v>44052</v>
      </c>
      <c r="B192" s="2786">
        <f>IFERROR(AVERAGE('2018+'!S911:S954),"")</f>
        <v>1.5306530365413042</v>
      </c>
      <c r="C192" s="2782">
        <f>IFERROR(AVERAGE('2018+'!N911:N954),"")</f>
        <v>1.0594909715327152</v>
      </c>
      <c r="D192" s="2787">
        <f>'2018+'!U954</f>
        <v>39.405148150357277</v>
      </c>
    </row>
    <row r="193" spans="1:4" ht="15" x14ac:dyDescent="0.2">
      <c r="A193" s="2781">
        <v>44053</v>
      </c>
      <c r="B193" s="2786">
        <f>IFERROR(AVERAGE('2018+'!S912:S955),"")</f>
        <v>1.5346346679602059</v>
      </c>
      <c r="C193" s="2782">
        <f>IFERROR(AVERAGE('2018+'!N912:N955),"")</f>
        <v>1.058741136510577</v>
      </c>
      <c r="D193" s="2787">
        <f>'2018+'!U955</f>
        <v>38.46693033725353</v>
      </c>
    </row>
    <row r="194" spans="1:4" ht="15" x14ac:dyDescent="0.2">
      <c r="A194" s="2781">
        <v>44054</v>
      </c>
      <c r="B194" s="2786">
        <f>IFERROR(AVERAGE('2018+'!S913:S956),"")</f>
        <v>1.5299264261241947</v>
      </c>
      <c r="C194" s="2782">
        <f>IFERROR(AVERAGE('2018+'!N913:N956),"")</f>
        <v>1.0576283288817996</v>
      </c>
      <c r="D194" s="2787">
        <f>'2018+'!U956</f>
        <v>39.122479614937973</v>
      </c>
    </row>
    <row r="195" spans="1:4" ht="15" x14ac:dyDescent="0.2">
      <c r="A195" s="2781">
        <v>44055</v>
      </c>
      <c r="B195" s="2786">
        <f>IFERROR(AVERAGE('2018+'!S914:S957),"")</f>
        <v>1.5346030658458221</v>
      </c>
      <c r="C195" s="2782">
        <f>IFERROR(AVERAGE('2018+'!N914:N957),"")</f>
        <v>1.0578479407518397</v>
      </c>
      <c r="D195" s="2787">
        <f>'2018+'!U957</f>
        <v>39.548134862201351</v>
      </c>
    </row>
    <row r="196" spans="1:4" ht="15" x14ac:dyDescent="0.2">
      <c r="A196" s="2781">
        <v>44056</v>
      </c>
      <c r="B196" s="2786">
        <f>IFERROR(AVERAGE('2018+'!S915:S958),"")</f>
        <v>1.5388274779832944</v>
      </c>
      <c r="C196" s="2782">
        <f>IFERROR(AVERAGE('2018+'!N915:N958),"")</f>
        <v>1.0578479407518397</v>
      </c>
      <c r="D196" s="2787">
        <f>'2018+'!U958</f>
        <v>38.606512603577507</v>
      </c>
    </row>
    <row r="197" spans="1:4" ht="15" x14ac:dyDescent="0.2">
      <c r="A197" s="2781">
        <v>44057</v>
      </c>
      <c r="B197" s="2786">
        <f>IFERROR(AVERAGE('2018+'!S916:S959),"")</f>
        <v>1.5414274330779731</v>
      </c>
      <c r="C197" s="2782">
        <f>IFERROR(AVERAGE('2018+'!N916:N959),"")</f>
        <v>1.0565075873223366</v>
      </c>
      <c r="D197" s="2787">
        <f>'2018+'!U959</f>
        <v>39.425405160635187</v>
      </c>
    </row>
    <row r="198" spans="1:4" ht="15" x14ac:dyDescent="0.2">
      <c r="A198" s="2781">
        <v>44058</v>
      </c>
      <c r="B198" s="2786">
        <f>IFERROR(AVERAGE('2018+'!S917:S960),"")</f>
        <v>1.5414274330779731</v>
      </c>
      <c r="C198" s="2782">
        <f>IFERROR(AVERAGE('2018+'!N917:N960),"")</f>
        <v>1.0565075873223366</v>
      </c>
      <c r="D198" s="2787">
        <f>'2018+'!U960</f>
        <v>38.486705037762917</v>
      </c>
    </row>
    <row r="199" spans="1:4" ht="15" x14ac:dyDescent="0.2">
      <c r="A199" s="2781">
        <v>44059</v>
      </c>
      <c r="B199" s="2786">
        <f>IFERROR(AVERAGE('2018+'!S918:S961),"")</f>
        <v>1.5385366201871606</v>
      </c>
      <c r="C199" s="2782">
        <f>IFERROR(AVERAGE('2018+'!N918:N961),"")</f>
        <v>1.0563187835971064</v>
      </c>
      <c r="D199" s="2787">
        <f>'2018+'!U961</f>
        <v>40.546545394006657</v>
      </c>
    </row>
    <row r="200" spans="1:4" ht="15" x14ac:dyDescent="0.2">
      <c r="A200" s="2781">
        <v>44060</v>
      </c>
      <c r="B200" s="2786">
        <f>IFERROR(AVERAGE('2018+'!S919:S962),"")</f>
        <v>1.5385366201871606</v>
      </c>
      <c r="C200" s="2782">
        <f>IFERROR(AVERAGE('2018+'!N919:N962),"")</f>
        <v>1.0563187835971064</v>
      </c>
      <c r="D200" s="2787">
        <f>'2018+'!U962</f>
        <v>39.581151456054116</v>
      </c>
    </row>
    <row r="201" spans="1:4" ht="15" x14ac:dyDescent="0.2">
      <c r="A201" s="2781">
        <v>44061</v>
      </c>
      <c r="B201" s="2786">
        <f>IFERROR(AVERAGE('2018+'!S920:S963),"")</f>
        <v>1.5375209691715097</v>
      </c>
      <c r="C201" s="2782">
        <f>IFERROR(AVERAGE('2018+'!N920:N963),"")</f>
        <v>1.0561756825773749</v>
      </c>
      <c r="D201" s="2787">
        <f>'2018+'!U963</f>
        <v>39.757790707100447</v>
      </c>
    </row>
    <row r="202" spans="1:4" ht="15" x14ac:dyDescent="0.2">
      <c r="A202" s="2781">
        <v>44062</v>
      </c>
      <c r="B202" s="2786">
        <f>IFERROR(AVERAGE('2018+'!S921:S964),"")</f>
        <v>1.5375209691715097</v>
      </c>
      <c r="C202" s="2782">
        <f>IFERROR(AVERAGE('2018+'!N921:N964),"")</f>
        <v>1.0561756825773749</v>
      </c>
      <c r="D202" s="2787">
        <f>'2018+'!U964</f>
        <v>38.811176642645677</v>
      </c>
    </row>
    <row r="203" spans="1:4" ht="15" x14ac:dyDescent="0.2">
      <c r="A203" s="2781">
        <v>44063</v>
      </c>
      <c r="B203" s="2786">
        <f>IFERROR(AVERAGE('2018+'!S922:S965),"")</f>
        <v>1.5484388069752273</v>
      </c>
      <c r="C203" s="2782">
        <f>IFERROR(AVERAGE('2018+'!N922:N965),"")</f>
        <v>1.0563786358901892</v>
      </c>
      <c r="D203" s="2787">
        <f>'2018+'!U965</f>
        <v>39.315672436868397</v>
      </c>
    </row>
    <row r="204" spans="1:4" ht="15" x14ac:dyDescent="0.2">
      <c r="A204" s="2781">
        <v>44064</v>
      </c>
      <c r="B204" s="2786">
        <f>IFERROR(AVERAGE('2018+'!S923:S966),"")</f>
        <v>1.5484388069752273</v>
      </c>
      <c r="C204" s="2782">
        <f>IFERROR(AVERAGE('2018+'!N923:N966),"")</f>
        <v>1.0563786358901892</v>
      </c>
      <c r="D204" s="2787">
        <f>'2018+'!U966</f>
        <v>38.379584997895343</v>
      </c>
    </row>
    <row r="205" spans="1:4" ht="15" x14ac:dyDescent="0.2">
      <c r="A205" s="2781">
        <v>44065</v>
      </c>
      <c r="B205" s="2786">
        <f>IFERROR(AVERAGE('2018+'!S924:S967),"")</f>
        <v>1.5507459788197173</v>
      </c>
      <c r="C205" s="2782">
        <f>IFERROR(AVERAGE('2018+'!N924:N967),"")</f>
        <v>1.0578446369482457</v>
      </c>
      <c r="D205" s="2787">
        <f>'2018+'!U967</f>
        <v>39.441975831278789</v>
      </c>
    </row>
    <row r="206" spans="1:4" ht="15" x14ac:dyDescent="0.2">
      <c r="A206" s="2781">
        <v>44066</v>
      </c>
      <c r="B206" s="2786">
        <f>IFERROR(AVERAGE('2018+'!S925:S968),"")</f>
        <v>1.5479812393145276</v>
      </c>
      <c r="C206" s="2782">
        <f>IFERROR(AVERAGE('2018+'!N925:N968),"")</f>
        <v>1.0578446369482457</v>
      </c>
      <c r="D206" s="2787">
        <f>'2018+'!U968</f>
        <v>38.502881168629294</v>
      </c>
    </row>
    <row r="207" spans="1:4" ht="15" x14ac:dyDescent="0.2">
      <c r="A207" s="2781">
        <v>44067</v>
      </c>
      <c r="B207" s="2786">
        <f>IFERROR(AVERAGE('2018+'!S926:S969),"")</f>
        <v>1.5479812393145276</v>
      </c>
      <c r="C207" s="2782">
        <f>IFERROR(AVERAGE('2018+'!N926:N969),"")</f>
        <v>1.0578446369482457</v>
      </c>
      <c r="D207" s="2787">
        <f>'2018+'!U969</f>
        <v>37.586145902709546</v>
      </c>
    </row>
    <row r="208" spans="1:4" ht="15" x14ac:dyDescent="0.2">
      <c r="A208" s="2781">
        <v>44068</v>
      </c>
      <c r="B208" s="2786">
        <f>IFERROR(AVERAGE('2018+'!S927:S970),"")</f>
        <v>1.550725655351946</v>
      </c>
      <c r="C208" s="2782">
        <f>IFERROR(AVERAGE('2018+'!N927:N970),"")</f>
        <v>1.0582513755645362</v>
      </c>
      <c r="D208" s="2787">
        <f>'2018+'!U970</f>
        <v>38.215047190740272</v>
      </c>
    </row>
    <row r="209" spans="1:4" ht="15" x14ac:dyDescent="0.2">
      <c r="A209" s="2781">
        <v>44069</v>
      </c>
      <c r="B209" s="2786">
        <f>IFERROR(AVERAGE('2018+'!S928:S971),"")</f>
        <v>1.550725655351946</v>
      </c>
      <c r="C209" s="2782">
        <f>IFERROR(AVERAGE('2018+'!N928:N971),"")</f>
        <v>1.0582513755645362</v>
      </c>
      <c r="D209" s="2787">
        <f>'2018+'!U971</f>
        <v>37.305165114770269</v>
      </c>
    </row>
    <row r="210" spans="1:4" ht="15" x14ac:dyDescent="0.2">
      <c r="A210" s="2781">
        <v>44070</v>
      </c>
      <c r="B210" s="2786">
        <f>IFERROR(AVERAGE('2018+'!S929:S972),"")</f>
        <v>1.5583492841023356</v>
      </c>
      <c r="C210" s="2782">
        <f>IFERROR(AVERAGE('2018+'!N929:N972),"")</f>
        <v>1.0572228452426997</v>
      </c>
      <c r="D210" s="2787">
        <f>'2018+'!U972</f>
        <v>38.035994516799548</v>
      </c>
    </row>
    <row r="211" spans="1:4" ht="15" x14ac:dyDescent="0.2">
      <c r="A211" s="2781">
        <v>44071</v>
      </c>
      <c r="B211" s="2786">
        <f>IFERROR(AVERAGE('2018+'!S930:S973),"")</f>
        <v>1.5590570050401313</v>
      </c>
      <c r="C211" s="2782">
        <f>IFERROR(AVERAGE('2018+'!N930:N973),"")</f>
        <v>1.0578745427813159</v>
      </c>
      <c r="D211" s="2787">
        <f>'2018+'!U973</f>
        <v>38.558947028304317</v>
      </c>
    </row>
    <row r="212" spans="1:4" ht="15" x14ac:dyDescent="0.2">
      <c r="A212" s="2781">
        <v>44072</v>
      </c>
      <c r="B212" s="2786">
        <f>IFERROR(AVERAGE('2018+'!S931:S974),"")</f>
        <v>1.5590570050401313</v>
      </c>
      <c r="C212" s="2782">
        <f>IFERROR(AVERAGE('2018+'!N931:N974),"")</f>
        <v>1.0578745427813159</v>
      </c>
      <c r="D212" s="2787">
        <f>'2018+'!U974</f>
        <v>37.640876860963736</v>
      </c>
    </row>
    <row r="213" spans="1:4" ht="15" x14ac:dyDescent="0.2">
      <c r="A213" s="2781">
        <v>44073</v>
      </c>
      <c r="B213" s="2786">
        <f>IFERROR(AVERAGE('2018+'!S932:S975),"")</f>
        <v>1.5573073134437982</v>
      </c>
      <c r="C213" s="2782">
        <f>IFERROR(AVERAGE('2018+'!N932:N975),"")</f>
        <v>1.0575159731758117</v>
      </c>
      <c r="D213" s="2787">
        <f>'2018+'!U975</f>
        <v>39.79228455475031</v>
      </c>
    </row>
    <row r="214" spans="1:4" ht="15" x14ac:dyDescent="0.2">
      <c r="A214" s="2781">
        <v>44074</v>
      </c>
      <c r="B214" s="2786">
        <f>IFERROR(AVERAGE('2018+'!S933:S976),"")</f>
        <v>1.5573073134437982</v>
      </c>
      <c r="C214" s="2782">
        <f>IFERROR(AVERAGE('2018+'!N933:N976),"")</f>
        <v>1.0575159731758117</v>
      </c>
      <c r="D214" s="2787">
        <f>'2018+'!U976</f>
        <v>38.844849208208636</v>
      </c>
    </row>
    <row r="215" spans="1:4" ht="15" x14ac:dyDescent="0.2">
      <c r="A215" s="2781">
        <v>44075</v>
      </c>
      <c r="B215" s="2786">
        <f>IFERROR(AVERAGE('2018+'!S934:S977),"")</f>
        <v>1.562514802866789</v>
      </c>
      <c r="C215" s="2782">
        <f>IFERROR(AVERAGE('2018+'!N934:N977),"")</f>
        <v>1.0574514551827647</v>
      </c>
      <c r="D215" s="2787">
        <f>'2018+'!U977</f>
        <v>39.467590893727476</v>
      </c>
    </row>
    <row r="216" spans="1:4" ht="15" x14ac:dyDescent="0.2">
      <c r="A216" s="2781">
        <v>44076</v>
      </c>
      <c r="B216" s="2786">
        <f>IFERROR(AVERAGE('2018+'!S935:S978),"")</f>
        <v>1.562514802866789</v>
      </c>
      <c r="C216" s="2782">
        <f>IFERROR(AVERAGE('2018+'!N935:N978),"")</f>
        <v>1.0574514551827647</v>
      </c>
      <c r="D216" s="2787">
        <f>'2018+'!U978</f>
        <v>38.527886348638724</v>
      </c>
    </row>
    <row r="217" spans="1:4" ht="15" x14ac:dyDescent="0.2">
      <c r="A217" s="2781">
        <v>44077</v>
      </c>
      <c r="B217" s="2786">
        <f>IFERROR(AVERAGE('2018+'!S936:S979),"")</f>
        <v>1.5604730824770694</v>
      </c>
      <c r="C217" s="2782">
        <f>IFERROR(AVERAGE('2018+'!N936:N979),"")</f>
        <v>1.0564035574467798</v>
      </c>
      <c r="D217" s="2787">
        <f>'2018+'!U979</f>
        <v>39.324841435575898</v>
      </c>
    </row>
    <row r="218" spans="1:4" ht="15" x14ac:dyDescent="0.2">
      <c r="A218" s="2781">
        <v>44078</v>
      </c>
      <c r="B218" s="2786">
        <f>IFERROR(AVERAGE('2018+'!S937:S980),"")</f>
        <v>1.5604730824770694</v>
      </c>
      <c r="C218" s="2782">
        <f>IFERROR(AVERAGE('2018+'!N937:N980),"")</f>
        <v>1.0564035574467798</v>
      </c>
      <c r="D218" s="2787">
        <f>'2018+'!U980</f>
        <v>38.388535687109808</v>
      </c>
    </row>
    <row r="219" spans="1:4" ht="15" x14ac:dyDescent="0.2">
      <c r="A219" s="2781">
        <v>44079</v>
      </c>
      <c r="B219" s="2786">
        <f>IFERROR(AVERAGE('2018+'!S938:S981),"")</f>
        <v>1.5634051812425014</v>
      </c>
      <c r="C219" s="2782">
        <f>IFERROR(AVERAGE('2018+'!N938:N981),"")</f>
        <v>1.056826370141364</v>
      </c>
      <c r="D219" s="2787">
        <f>'2018+'!U981</f>
        <v>38.784046742178624</v>
      </c>
    </row>
    <row r="220" spans="1:4" ht="15" x14ac:dyDescent="0.2">
      <c r="A220" s="2781">
        <v>44080</v>
      </c>
      <c r="B220" s="2786">
        <f>IFERROR(AVERAGE('2018+'!S939:S982),"")</f>
        <v>1.5631224951195619</v>
      </c>
      <c r="C220" s="2782">
        <f>IFERROR(AVERAGE('2018+'!N939:N982),"")</f>
        <v>1.0567393463696397</v>
      </c>
      <c r="D220" s="2787">
        <f>'2018+'!U982</f>
        <v>41.384426581650558</v>
      </c>
    </row>
    <row r="221" spans="1:4" ht="15" x14ac:dyDescent="0.2">
      <c r="A221" s="2781">
        <v>44081</v>
      </c>
      <c r="B221" s="2786">
        <f>IFERROR(AVERAGE('2018+'!S940:S983),"")</f>
        <v>1.5675811362531407</v>
      </c>
      <c r="C221" s="2782">
        <f>IFERROR(AVERAGE('2018+'!N940:N983),"")</f>
        <v>1.0561184785884519</v>
      </c>
      <c r="D221" s="2787">
        <f>'2018+'!U983</f>
        <v>40.39908309161126</v>
      </c>
    </row>
    <row r="222" spans="1:4" ht="15" x14ac:dyDescent="0.2">
      <c r="A222" s="2781">
        <v>44082</v>
      </c>
      <c r="B222" s="2786">
        <f>IFERROR(AVERAGE('2018+'!S941:S984),"")</f>
        <v>1.5702673986359172</v>
      </c>
      <c r="C222" s="2782">
        <f>IFERROR(AVERAGE('2018+'!N941:N984),"")</f>
        <v>1.0559091711562727</v>
      </c>
      <c r="D222" s="2787">
        <f>'2018+'!U984</f>
        <v>39.437200160858609</v>
      </c>
    </row>
    <row r="223" spans="1:4" ht="15" x14ac:dyDescent="0.2">
      <c r="A223" s="2781">
        <v>44083</v>
      </c>
      <c r="B223" s="2786">
        <f>IFERROR(AVERAGE('2018+'!S942:S985),"")</f>
        <v>1.5708652313850617</v>
      </c>
      <c r="C223" s="2782">
        <f>IFERROR(AVERAGE('2018+'!N942:N985),"")</f>
        <v>1.0561347292955452</v>
      </c>
      <c r="D223" s="2787">
        <f>'2018+'!U985</f>
        <v>39.855362061790544</v>
      </c>
    </row>
    <row r="224" spans="1:4" ht="15" x14ac:dyDescent="0.2">
      <c r="A224" s="2781">
        <v>44084</v>
      </c>
      <c r="B224" s="2786">
        <f>IFERROR(AVERAGE('2018+'!S943:S986),"")</f>
        <v>1.5691016079049092</v>
      </c>
      <c r="C224" s="2782">
        <f>IFERROR(AVERAGE('2018+'!N943:N986),"")</f>
        <v>1.0563058751725851</v>
      </c>
      <c r="D224" s="2787">
        <f>'2018+'!U986</f>
        <v>38.90642486984315</v>
      </c>
    </row>
    <row r="225" spans="1:4" ht="15" x14ac:dyDescent="0.2">
      <c r="A225" s="2781">
        <v>44085</v>
      </c>
      <c r="B225" s="2786">
        <f>IFERROR(AVERAGE('2018+'!S944:S987),"")</f>
        <v>1.5698801350564542</v>
      </c>
      <c r="C225" s="2782">
        <f>IFERROR(AVERAGE('2018+'!N944:N987),"")</f>
        <v>1.0564176852642495</v>
      </c>
      <c r="D225" s="2787">
        <f>'2018+'!U987</f>
        <v>39.337224277704024</v>
      </c>
    </row>
    <row r="226" spans="1:4" ht="15" x14ac:dyDescent="0.2">
      <c r="A226" s="2781">
        <v>44086</v>
      </c>
      <c r="B226" s="2786">
        <f>IFERROR(AVERAGE('2018+'!S945:S988),"")</f>
        <v>1.571988866565655</v>
      </c>
      <c r="C226" s="2782">
        <f>IFERROR(AVERAGE('2018+'!N945:N988),"")</f>
        <v>1.0571704334230456</v>
      </c>
      <c r="D226" s="2787">
        <f>'2018+'!U988</f>
        <v>38.400623699663456</v>
      </c>
    </row>
    <row r="227" spans="1:4" ht="15" x14ac:dyDescent="0.2">
      <c r="A227" s="2781">
        <v>44087</v>
      </c>
      <c r="B227" s="2786">
        <f>IFERROR(AVERAGE('2018+'!S946:S989),"")</f>
        <v>1.5630428412394477</v>
      </c>
      <c r="C227" s="2782">
        <f>IFERROR(AVERAGE('2018+'!N946:N989),"")</f>
        <v>1.0571781243799907</v>
      </c>
      <c r="D227" s="2787">
        <f>'2018+'!U989</f>
        <v>39.938704087766709</v>
      </c>
    </row>
    <row r="228" spans="1:4" ht="15" x14ac:dyDescent="0.2">
      <c r="A228" s="2781">
        <v>44088</v>
      </c>
      <c r="B228" s="2786">
        <f>IFERROR(AVERAGE('2018+'!S947:S990),"")</f>
        <v>1.5630428412394477</v>
      </c>
      <c r="C228" s="2782">
        <f>IFERROR(AVERAGE('2018+'!N947:N990),"")</f>
        <v>1.0571781243799907</v>
      </c>
      <c r="D228" s="2787">
        <f>'2018+'!U990</f>
        <v>38.987782561867505</v>
      </c>
    </row>
    <row r="229" spans="1:4" ht="15" x14ac:dyDescent="0.2">
      <c r="A229" s="2781">
        <v>44089</v>
      </c>
      <c r="B229" s="2786">
        <f>IFERROR(AVERAGE('2018+'!S948:S991),"")</f>
        <v>1.5634315985565754</v>
      </c>
      <c r="C229" s="2782">
        <f>IFERROR(AVERAGE('2018+'!N948:N991),"")</f>
        <v>1.0567940903902331</v>
      </c>
      <c r="D229" s="2787">
        <f>'2018+'!U991</f>
        <v>39.750807459353837</v>
      </c>
    </row>
    <row r="230" spans="1:4" ht="15" x14ac:dyDescent="0.2">
      <c r="A230" s="2781">
        <v>44090</v>
      </c>
      <c r="B230" s="2786">
        <f>IFERROR(AVERAGE('2018+'!S949:S992),"")</f>
        <v>1.5634315985565754</v>
      </c>
      <c r="C230" s="2782">
        <f>IFERROR(AVERAGE('2018+'!N949:N992),"")</f>
        <v>1.0567940903902331</v>
      </c>
      <c r="D230" s="2787">
        <f>'2018+'!U992</f>
        <v>38.804359662702552</v>
      </c>
    </row>
    <row r="231" spans="1:4" ht="15" x14ac:dyDescent="0.2">
      <c r="A231" s="2781">
        <v>44091</v>
      </c>
      <c r="B231" s="2786">
        <f>IFERROR(AVERAGE('2018+'!S950:S993),"")</f>
        <v>1.5705928853374274</v>
      </c>
      <c r="C231" s="2782">
        <f>IFERROR(AVERAGE('2018+'!N950:N993),"")</f>
        <v>1.0583545045653913</v>
      </c>
      <c r="D231" s="2787">
        <f>'2018+'!U993</f>
        <v>39.213779670733445</v>
      </c>
    </row>
    <row r="232" spans="1:4" ht="15" x14ac:dyDescent="0.2">
      <c r="A232" s="2781">
        <v>44092</v>
      </c>
      <c r="B232" s="2786">
        <f>IFERROR(AVERAGE('2018+'!S951:S994),"")</f>
        <v>1.5718030601525321</v>
      </c>
      <c r="C232" s="2782">
        <f>IFERROR(AVERAGE('2018+'!N951:N994),"")</f>
        <v>1.0579414527643118</v>
      </c>
      <c r="D232" s="2787">
        <f>'2018+'!U994</f>
        <v>39.589642059525502</v>
      </c>
    </row>
    <row r="233" spans="1:4" ht="15" x14ac:dyDescent="0.2">
      <c r="A233" s="2781">
        <v>44093</v>
      </c>
      <c r="B233" s="2786">
        <f>IFERROR(AVERAGE('2018+'!S952:S995),"")</f>
        <v>1.5718030601525321</v>
      </c>
      <c r="C233" s="2782">
        <f>IFERROR(AVERAGE('2018+'!N952:N995),"")</f>
        <v>1.0579414527643118</v>
      </c>
      <c r="D233" s="2787">
        <f>'2018+'!U995</f>
        <v>38.647031534298705</v>
      </c>
    </row>
    <row r="234" spans="1:4" ht="15" x14ac:dyDescent="0.2">
      <c r="A234" s="2781">
        <v>44094</v>
      </c>
      <c r="B234" s="2786">
        <f>IFERROR(AVERAGE('2018+'!S953:S996),"")</f>
        <v>1.5739130345770846</v>
      </c>
      <c r="C234" s="2782">
        <f>IFERROR(AVERAGE('2018+'!N953:N996),"")</f>
        <v>1.0583136938276363</v>
      </c>
      <c r="D234" s="2787">
        <f>'2018+'!U996</f>
        <v>39.250673640624925</v>
      </c>
    </row>
    <row r="235" spans="1:4" ht="15" x14ac:dyDescent="0.2">
      <c r="A235" s="2781">
        <v>44095</v>
      </c>
      <c r="B235" s="2786">
        <f>IFERROR(AVERAGE('2018+'!S954:S997),"")</f>
        <v>1.5739130345770846</v>
      </c>
      <c r="C235" s="2782">
        <f>IFERROR(AVERAGE('2018+'!N954:N997),"")</f>
        <v>1.0583136938276363</v>
      </c>
      <c r="D235" s="2787">
        <f>'2018+'!U997</f>
        <v>38.31613379203862</v>
      </c>
    </row>
    <row r="236" spans="1:4" ht="15" x14ac:dyDescent="0.2">
      <c r="A236" s="2781">
        <v>44096</v>
      </c>
      <c r="B236" s="2786">
        <f>IFERROR(AVERAGE('2018+'!S955:S998),"")</f>
        <v>1.5743689616287562</v>
      </c>
      <c r="C236" s="2782">
        <f>IFERROR(AVERAGE('2018+'!N955:N998),"")</f>
        <v>1.0581717521897707</v>
      </c>
      <c r="D236" s="2787">
        <f>'2018+'!U998</f>
        <v>38.880035368418653</v>
      </c>
    </row>
    <row r="237" spans="1:4" ht="15" x14ac:dyDescent="0.2">
      <c r="A237" s="2781">
        <v>44097</v>
      </c>
      <c r="B237" s="2786">
        <f>IFERROR(AVERAGE('2018+'!S956:S999),"")</f>
        <v>1.5754369215608914</v>
      </c>
      <c r="C237" s="2782">
        <f>IFERROR(AVERAGE('2018+'!N956:N999),"")</f>
        <v>1.0574481156050688</v>
      </c>
      <c r="D237" s="2787">
        <f>'2018+'!U999</f>
        <v>39.811463097742021</v>
      </c>
    </row>
    <row r="238" spans="1:4" ht="15" x14ac:dyDescent="0.2">
      <c r="A238" s="2781">
        <v>44098</v>
      </c>
      <c r="B238" s="2786">
        <f>IFERROR(AVERAGE('2018+'!S957:S1000),"")</f>
        <v>1.5790326396494514</v>
      </c>
      <c r="C238" s="2782">
        <f>IFERROR(AVERAGE('2018+'!N957:N1000),"")</f>
        <v>1.0582669740007882</v>
      </c>
      <c r="D238" s="2787">
        <f>'2018+'!U1000</f>
        <v>40.196904452557689</v>
      </c>
    </row>
    <row r="239" spans="1:4" ht="15" x14ac:dyDescent="0.2">
      <c r="A239" s="2781">
        <v>44099</v>
      </c>
      <c r="B239" s="2786">
        <f>IFERROR(AVERAGE('2018+'!S958:S1001),"")</f>
        <v>1.5766943848516015</v>
      </c>
      <c r="C239" s="2782">
        <f>IFERROR(AVERAGE('2018+'!N958:N1001),"")</f>
        <v>1.058126303242984</v>
      </c>
      <c r="D239" s="2787">
        <f>'2018+'!U1001</f>
        <v>39.239835298925364</v>
      </c>
    </row>
    <row r="240" spans="1:4" ht="15" x14ac:dyDescent="0.2">
      <c r="A240" s="2781">
        <v>44100</v>
      </c>
      <c r="B240" s="2786">
        <f>IFERROR(AVERAGE('2018+'!S959:S1002),"")</f>
        <v>1.5766943848516015</v>
      </c>
      <c r="C240" s="2782">
        <f>IFERROR(AVERAGE('2018+'!N959:N1002),"")</f>
        <v>1.058126303242984</v>
      </c>
      <c r="D240" s="2787">
        <f>'2018+'!U1002</f>
        <v>38.305553506093808</v>
      </c>
    </row>
    <row r="241" spans="1:4" ht="15" x14ac:dyDescent="0.2">
      <c r="A241" s="2781">
        <v>44101</v>
      </c>
      <c r="B241" s="2786">
        <f>IFERROR(AVERAGE('2018+'!S960:S1003),"")</f>
        <v>1.5759009625781908</v>
      </c>
      <c r="C241" s="2782">
        <f>IFERROR(AVERAGE('2018+'!N960:N1003),"")</f>
        <v>1.0591660670228975</v>
      </c>
      <c r="D241" s="2787">
        <f>'2018+'!U1003</f>
        <v>39.655421279758244</v>
      </c>
    </row>
    <row r="242" spans="1:4" ht="15" x14ac:dyDescent="0.2">
      <c r="A242" s="2781">
        <v>44102</v>
      </c>
      <c r="B242" s="2786">
        <f>IFERROR(AVERAGE('2018+'!S961:S1004),"")</f>
        <v>1.5759009625781908</v>
      </c>
      <c r="C242" s="2782">
        <f>IFERROR(AVERAGE('2018+'!N961:N1004),"")</f>
        <v>1.0591660670228975</v>
      </c>
      <c r="D242" s="2787">
        <f>'2018+'!U1004</f>
        <v>38.711244582621141</v>
      </c>
    </row>
    <row r="243" spans="1:4" ht="15" x14ac:dyDescent="0.2">
      <c r="A243" s="2781">
        <v>44103</v>
      </c>
      <c r="B243" s="2786">
        <f>IFERROR(AVERAGE('2018+'!S962:S1005),"")</f>
        <v>1.574901202410993</v>
      </c>
      <c r="C243" s="2782">
        <f>IFERROR(AVERAGE('2018+'!N962:N1005),"")</f>
        <v>1.0584805297993403</v>
      </c>
      <c r="D243" s="2787">
        <f>'2018+'!U1005</f>
        <v>39.313357806844451</v>
      </c>
    </row>
    <row r="244" spans="1:4" ht="15" x14ac:dyDescent="0.2">
      <c r="A244" s="2781">
        <v>44104</v>
      </c>
      <c r="B244" s="2786">
        <f>IFERROR(AVERAGE('2018+'!S963:S1006),"")</f>
        <v>1.574901202410993</v>
      </c>
      <c r="C244" s="2782">
        <f>IFERROR(AVERAGE('2018+'!N963:N1006),"")</f>
        <v>1.0584805297993403</v>
      </c>
      <c r="D244" s="2787">
        <f>'2018+'!U1006</f>
        <v>38.377325478110059</v>
      </c>
    </row>
    <row r="245" spans="1:4" ht="15" x14ac:dyDescent="0.2">
      <c r="A245" s="2781">
        <v>44105</v>
      </c>
      <c r="B245" s="2786">
        <f>IFERROR(AVERAGE('2018+'!S964:S1007),"")</f>
        <v>1.5713127955275767</v>
      </c>
      <c r="C245" s="2782">
        <f>IFERROR(AVERAGE('2018+'!N964:N1007),"")</f>
        <v>1.0581960814512985</v>
      </c>
      <c r="D245" s="2787">
        <f>'2018+'!U1007</f>
        <v>37.463579633393152</v>
      </c>
    </row>
    <row r="246" spans="1:4" ht="15" x14ac:dyDescent="0.2">
      <c r="A246" s="2781">
        <v>44106</v>
      </c>
      <c r="B246" s="2786">
        <f>IFERROR(AVERAGE('2018+'!S965:S1008),"")</f>
        <v>1.5720485563358406</v>
      </c>
      <c r="C246" s="2782">
        <f>IFERROR(AVERAGE('2018+'!N965:N1008),"")</f>
        <v>1.0573672816209643</v>
      </c>
      <c r="D246" s="2787">
        <f>'2018+'!U1008</f>
        <v>38.690637261169506</v>
      </c>
    </row>
    <row r="247" spans="1:4" ht="15" x14ac:dyDescent="0.2">
      <c r="A247" s="2781">
        <v>44107</v>
      </c>
      <c r="B247" s="2786">
        <f>IFERROR(AVERAGE('2018+'!S966:S1009),"")</f>
        <v>1.574808890831882</v>
      </c>
      <c r="C247" s="2782">
        <f>IFERROR(AVERAGE('2018+'!N966:N1009),"")</f>
        <v>1.0570203389766013</v>
      </c>
      <c r="D247" s="2787">
        <f>'2018+'!U1009</f>
        <v>39.078955421617849</v>
      </c>
    </row>
    <row r="248" spans="1:4" ht="15" x14ac:dyDescent="0.2">
      <c r="A248" s="2781">
        <v>44108</v>
      </c>
      <c r="B248" s="2786">
        <f>IFERROR(AVERAGE('2018+'!S967:S1010),"")</f>
        <v>1.5769735438547319</v>
      </c>
      <c r="C248" s="2782">
        <f>IFERROR(AVERAGE('2018+'!N967:N1010),"")</f>
        <v>1.056614797100534</v>
      </c>
      <c r="D248" s="2787">
        <f>'2018+'!U1010</f>
        <v>41.838980292531708</v>
      </c>
    </row>
    <row r="249" spans="1:4" ht="15" x14ac:dyDescent="0.2">
      <c r="A249" s="2781">
        <v>44109</v>
      </c>
      <c r="B249" s="2786">
        <f>IFERROR(AVERAGE('2018+'!S968:S1011),"")</f>
        <v>1.5759070127441335</v>
      </c>
      <c r="C249" s="2782">
        <f>IFERROR(AVERAGE('2018+'!N968:N1011),"")</f>
        <v>1.0552928034664075</v>
      </c>
      <c r="D249" s="2787">
        <f>'2018+'!U1011</f>
        <v>40.842814095090475</v>
      </c>
    </row>
    <row r="250" spans="1:4" ht="15" x14ac:dyDescent="0.2">
      <c r="A250" s="2781">
        <v>44110</v>
      </c>
      <c r="B250" s="2786">
        <f>IFERROR(AVERAGE('2018+'!S969:S1012),"")</f>
        <v>1.575091638386837</v>
      </c>
      <c r="C250" s="2782">
        <f>IFERROR(AVERAGE('2018+'!N969:N1012),"")</f>
        <v>1.0553843475102376</v>
      </c>
      <c r="D250" s="2787">
        <f>'2018+'!U1012</f>
        <v>41.441794711874032</v>
      </c>
    </row>
    <row r="251" spans="1:4" ht="15" x14ac:dyDescent="0.2">
      <c r="A251" s="2781">
        <v>44111</v>
      </c>
      <c r="B251" s="2786">
        <f>IFERROR(AVERAGE('2018+'!S970:S1013),"")</f>
        <v>1.575091638386837</v>
      </c>
      <c r="C251" s="2782">
        <f>IFERROR(AVERAGE('2018+'!N970:N1013),"")</f>
        <v>1.0553843475102376</v>
      </c>
      <c r="D251" s="2787">
        <f>'2018+'!U1013</f>
        <v>40.455085313972269</v>
      </c>
    </row>
    <row r="252" spans="1:4" ht="15" x14ac:dyDescent="0.2">
      <c r="A252" s="2781">
        <v>44112</v>
      </c>
      <c r="B252" s="2786">
        <f>IFERROR(AVERAGE('2018+'!S971:S1014),"")</f>
        <v>1.5751895600495072</v>
      </c>
      <c r="C252" s="2782">
        <f>IFERROR(AVERAGE('2018+'!N971:N1014),"")</f>
        <v>1.0541540265155209</v>
      </c>
      <c r="D252" s="2787">
        <f>'2018+'!U1014</f>
        <v>41.349011854115787</v>
      </c>
    </row>
    <row r="253" spans="1:4" ht="15" x14ac:dyDescent="0.2">
      <c r="A253" s="2781">
        <v>44113</v>
      </c>
      <c r="B253" s="2786">
        <f>IFERROR(AVERAGE('2018+'!S972:S1015),"")</f>
        <v>1.5746062200717694</v>
      </c>
      <c r="C253" s="2782">
        <f>IFERROR(AVERAGE('2018+'!N972:N1015),"")</f>
        <v>1.0541679434293683</v>
      </c>
      <c r="D253" s="2787">
        <f>'2018+'!U1015</f>
        <v>41.626416333779694</v>
      </c>
    </row>
    <row r="254" spans="1:4" ht="15" x14ac:dyDescent="0.2">
      <c r="A254" s="2781">
        <v>44114</v>
      </c>
      <c r="B254" s="2786">
        <f>IFERROR(AVERAGE('2018+'!S973:S1016),"")</f>
        <v>1.5757440918540391</v>
      </c>
      <c r="C254" s="2782">
        <f>IFERROR(AVERAGE('2018+'!N973:N1016),"")</f>
        <v>1.0549294958042987</v>
      </c>
      <c r="D254" s="2787">
        <f>'2018+'!U1016</f>
        <v>40.635311182975414</v>
      </c>
    </row>
    <row r="255" spans="1:4" ht="15" x14ac:dyDescent="0.2">
      <c r="A255" s="2781">
        <v>44115</v>
      </c>
      <c r="B255" s="2786">
        <f>IFERROR(AVERAGE('2018+'!S974:S1017),"")</f>
        <v>1.5766174822549752</v>
      </c>
      <c r="C255" s="2782">
        <f>IFERROR(AVERAGE('2018+'!N974:N1017),"")</f>
        <v>1.055617482831555</v>
      </c>
      <c r="D255" s="2787">
        <f>'2018+'!U1017</f>
        <v>42.572565678618858</v>
      </c>
    </row>
    <row r="256" spans="1:4" ht="15" x14ac:dyDescent="0.2">
      <c r="A256" s="2781">
        <v>44116</v>
      </c>
      <c r="B256" s="2786">
        <f>IFERROR(AVERAGE('2018+'!S975:S1018),"")</f>
        <v>1.5766174822549752</v>
      </c>
      <c r="C256" s="2782">
        <f>IFERROR(AVERAGE('2018+'!N975:N1018),"")</f>
        <v>1.055617482831555</v>
      </c>
      <c r="D256" s="2787">
        <f>'2018+'!U1018</f>
        <v>41.558933162461265</v>
      </c>
    </row>
    <row r="257" spans="1:4" ht="15" x14ac:dyDescent="0.2">
      <c r="A257" s="2781">
        <v>44117</v>
      </c>
      <c r="B257" s="2786">
        <f>IFERROR(AVERAGE('2018+'!S976:S1019),"")</f>
        <v>1.5742620253124064</v>
      </c>
      <c r="C257" s="2782">
        <f>IFERROR(AVERAGE('2018+'!N976:N1019),"")</f>
        <v>1.0543335484291076</v>
      </c>
      <c r="D257" s="2787">
        <f>'2018+'!U1019</f>
        <v>42.093244277640757</v>
      </c>
    </row>
    <row r="258" spans="1:4" ht="15" x14ac:dyDescent="0.2">
      <c r="A258" s="2781">
        <v>44118</v>
      </c>
      <c r="B258" s="2786">
        <f>IFERROR(AVERAGE('2018+'!S977:S1020),"")</f>
        <v>1.5742620253124064</v>
      </c>
      <c r="C258" s="2782">
        <f>IFERROR(AVERAGE('2018+'!N977:N1020),"")</f>
        <v>1.0543335484291076</v>
      </c>
      <c r="D258" s="2787">
        <f>'2018+'!U1020</f>
        <v>41.091024175792171</v>
      </c>
    </row>
    <row r="259" spans="1:4" ht="15" x14ac:dyDescent="0.2">
      <c r="A259" s="2781">
        <v>44119</v>
      </c>
      <c r="B259" s="2786">
        <f>IFERROR(AVERAGE('2018+'!S978:S1021),"")</f>
        <v>1.5701619897758035</v>
      </c>
      <c r="C259" s="2782">
        <f>IFERROR(AVERAGE('2018+'!N978:N1021),"")</f>
        <v>1.0541358110426875</v>
      </c>
      <c r="D259" s="2787">
        <f>'2018+'!U1021</f>
        <v>41.374571219225693</v>
      </c>
    </row>
    <row r="260" spans="1:4" ht="15" x14ac:dyDescent="0.2">
      <c r="A260" s="2781">
        <v>44120</v>
      </c>
      <c r="B260" s="2786">
        <f>IFERROR(AVERAGE('2018+'!S979:S1022),"")</f>
        <v>1.5701619897758035</v>
      </c>
      <c r="C260" s="2782">
        <f>IFERROR(AVERAGE('2018+'!N979:N1022),"")</f>
        <v>1.0541358110426875</v>
      </c>
      <c r="D260" s="2787">
        <f>'2018+'!U1022</f>
        <v>40.389462380672697</v>
      </c>
    </row>
    <row r="261" spans="1:4" ht="15" x14ac:dyDescent="0.2">
      <c r="A261" s="2781">
        <v>44121</v>
      </c>
      <c r="B261" s="2786">
        <f>IFERROR(AVERAGE('2018+'!S980:S1023),"")</f>
        <v>1.5726249670045986</v>
      </c>
      <c r="C261" s="2782">
        <f>IFERROR(AVERAGE('2018+'!N980:N1023),"")</f>
        <v>1.0550806293966681</v>
      </c>
      <c r="D261" s="2787">
        <f>'2018+'!U1023</f>
        <v>39.427808514466207</v>
      </c>
    </row>
    <row r="262" spans="1:4" ht="15" x14ac:dyDescent="0.2">
      <c r="A262" s="2781">
        <v>44122</v>
      </c>
      <c r="B262" s="2786">
        <f>IFERROR(AVERAGE('2018+'!S981:S1024),"")</f>
        <v>1.5727923573696747</v>
      </c>
      <c r="C262" s="2782">
        <f>IFERROR(AVERAGE('2018+'!N981:N1024),"")</f>
        <v>1.0545837466664774</v>
      </c>
      <c r="D262" s="2787">
        <f>'2018+'!U1024</f>
        <v>39.941432121264633</v>
      </c>
    </row>
    <row r="263" spans="1:4" ht="15" x14ac:dyDescent="0.2">
      <c r="A263" s="2781">
        <v>44123</v>
      </c>
      <c r="B263" s="2786">
        <f>IFERROR(AVERAGE('2018+'!S982:S1025),"")</f>
        <v>1.5748300283020116</v>
      </c>
      <c r="C263" s="2782">
        <f>IFERROR(AVERAGE('2018+'!N982:N1025),"")</f>
        <v>1.0540397777823716</v>
      </c>
      <c r="D263" s="2787">
        <f>'2018+'!U1025</f>
        <v>38.990445642186906</v>
      </c>
    </row>
    <row r="264" spans="1:4" ht="15" x14ac:dyDescent="0.2">
      <c r="A264" s="2781">
        <v>44124</v>
      </c>
      <c r="B264" s="2786">
        <f>IFERROR(AVERAGE('2018+'!S983:S1026),"")</f>
        <v>1.5785274753531338</v>
      </c>
      <c r="C264" s="2782">
        <f>IFERROR(AVERAGE('2018+'!N983:N1026),"")</f>
        <v>1.0526968844169167</v>
      </c>
      <c r="D264" s="2787">
        <f>'2018+'!U1026</f>
        <v>39.538292174515789</v>
      </c>
    </row>
    <row r="265" spans="1:4" ht="15" x14ac:dyDescent="0.2">
      <c r="A265" s="2781">
        <v>44125</v>
      </c>
      <c r="B265" s="2786">
        <f>IFERROR(AVERAGE('2018+'!S984:S1027),"")</f>
        <v>1.5785274753531338</v>
      </c>
      <c r="C265" s="2782">
        <f>IFERROR(AVERAGE('2018+'!N984:N1027),"")</f>
        <v>1.0526968844169167</v>
      </c>
      <c r="D265" s="2787">
        <f>'2018+'!U1027</f>
        <v>38.596904265598745</v>
      </c>
    </row>
    <row r="266" spans="1:4" ht="15" x14ac:dyDescent="0.2">
      <c r="A266" s="2781">
        <v>44126</v>
      </c>
      <c r="B266" s="2786">
        <f>IFERROR(AVERAGE('2018+'!S985:S1028),"")</f>
        <v>1.5785274753531338</v>
      </c>
      <c r="C266" s="2782">
        <f>IFERROR(AVERAGE('2018+'!N985:N1028),"")</f>
        <v>1.0526968844169167</v>
      </c>
      <c r="D266" s="2787">
        <f>'2018+'!U1028</f>
        <v>37.677930354513059</v>
      </c>
    </row>
    <row r="267" spans="1:4" ht="15" x14ac:dyDescent="0.2">
      <c r="A267" s="2781">
        <v>44127</v>
      </c>
      <c r="B267" s="2786">
        <f>IFERROR(AVERAGE('2018+'!S986:S1029),"")</f>
        <v>1.5794598762855347</v>
      </c>
      <c r="C267" s="2782">
        <f>IFERROR(AVERAGE('2018+'!N986:N1029),"")</f>
        <v>1.0521750474596101</v>
      </c>
      <c r="D267" s="2787">
        <f>'2018+'!U1029</f>
        <v>37.899884393691316</v>
      </c>
    </row>
    <row r="268" spans="1:4" ht="15" x14ac:dyDescent="0.2">
      <c r="A268" s="2781">
        <v>44128</v>
      </c>
      <c r="B268" s="2786">
        <f>IFERROR(AVERAGE('2018+'!S987:S1030),"")</f>
        <v>1.5794598762855347</v>
      </c>
      <c r="C268" s="2782">
        <f>IFERROR(AVERAGE('2018+'!N987:N1030),"")</f>
        <v>1.0521750474596101</v>
      </c>
      <c r="D268" s="2787">
        <f>'2018+'!U1030</f>
        <v>36.997506193841524</v>
      </c>
    </row>
    <row r="269" spans="1:4" ht="15" x14ac:dyDescent="0.2">
      <c r="A269" s="2781">
        <v>44129</v>
      </c>
      <c r="B269" s="2786">
        <f>IFERROR(AVERAGE('2018+'!S988:S1031),"")</f>
        <v>1.5808714808514035</v>
      </c>
      <c r="C269" s="2782">
        <f>IFERROR(AVERAGE('2018+'!N988:N1031),"")</f>
        <v>1.0503488008538595</v>
      </c>
      <c r="D269" s="2787">
        <f>'2018+'!U1031</f>
        <v>38.330898903511965</v>
      </c>
    </row>
    <row r="270" spans="1:4" ht="15" x14ac:dyDescent="0.2">
      <c r="A270" s="2781">
        <v>44130</v>
      </c>
      <c r="B270" s="2786">
        <f>IFERROR(AVERAGE('2018+'!S989:S1032),"")</f>
        <v>1.5808714808514035</v>
      </c>
      <c r="C270" s="2782">
        <f>IFERROR(AVERAGE('2018+'!N989:N1032),"")</f>
        <v>1.0503488008538595</v>
      </c>
      <c r="D270" s="2787">
        <f>'2018+'!U1032</f>
        <v>37.418258453428344</v>
      </c>
    </row>
    <row r="271" spans="1:4" ht="15" x14ac:dyDescent="0.2">
      <c r="A271" s="2781">
        <v>44131</v>
      </c>
      <c r="B271" s="2786">
        <f>IFERROR(AVERAGE('2018+'!S990:S1033),"")</f>
        <v>1.5897422624485451</v>
      </c>
      <c r="C271" s="2782">
        <f>IFERROR(AVERAGE('2018+'!N990:N1033),"")</f>
        <v>1.0503488008538595</v>
      </c>
      <c r="D271" s="2787">
        <f>'2018+'!U1033</f>
        <v>36.527347537870526</v>
      </c>
    </row>
    <row r="272" spans="1:4" ht="15" x14ac:dyDescent="0.2">
      <c r="A272" s="2781">
        <v>44132</v>
      </c>
      <c r="B272" s="2786">
        <f>IFERROR(AVERAGE('2018+'!S991:S1034),"")</f>
        <v>1.5897422624485451</v>
      </c>
      <c r="C272" s="2782">
        <f>IFERROR(AVERAGE('2018+'!N991:N1034),"")</f>
        <v>1.0503488008538595</v>
      </c>
      <c r="D272" s="2787">
        <f>'2018+'!U1034</f>
        <v>35.657648786968849</v>
      </c>
    </row>
    <row r="273" spans="1:4" ht="15" x14ac:dyDescent="0.2">
      <c r="A273" s="2781">
        <v>44133</v>
      </c>
      <c r="B273" s="2786">
        <f>IFERROR(AVERAGE('2018+'!S992:S1035),"")</f>
        <v>1.591294615082149</v>
      </c>
      <c r="C273" s="2782">
        <f>IFERROR(AVERAGE('2018+'!N992:N1035),"")</f>
        <v>1.0499938373214703</v>
      </c>
      <c r="D273" s="2787">
        <f>'2018+'!U1035</f>
        <v>34.80865714918388</v>
      </c>
    </row>
    <row r="274" spans="1:4" ht="15" x14ac:dyDescent="0.2">
      <c r="A274" s="2781">
        <v>44134</v>
      </c>
      <c r="B274" s="2786">
        <f>IFERROR(AVERAGE('2018+'!S993:S1036),"")</f>
        <v>1.591294615082149</v>
      </c>
      <c r="C274" s="2782">
        <f>IFERROR(AVERAGE('2018+'!N993:N1036),"")</f>
        <v>1.0499938373214703</v>
      </c>
      <c r="D274" s="2787">
        <f>'2018+'!U1036</f>
        <v>33.979879598012836</v>
      </c>
    </row>
    <row r="275" spans="1:4" ht="15" x14ac:dyDescent="0.2">
      <c r="A275" s="2781">
        <v>44135</v>
      </c>
      <c r="B275" s="2786">
        <f>IFERROR(AVERAGE('2018+'!S994:S1037),"")</f>
        <v>1.5882835882604991</v>
      </c>
      <c r="C275" s="2782">
        <f>IFERROR(AVERAGE('2018+'!N994:N1037),"")</f>
        <v>1.0491209185564885</v>
      </c>
      <c r="D275" s="2787">
        <f>'2018+'!U1037</f>
        <v>33.170834845679195</v>
      </c>
    </row>
    <row r="276" spans="1:4" ht="15" x14ac:dyDescent="0.2">
      <c r="A276" s="2781">
        <v>44136</v>
      </c>
      <c r="B276" s="2786">
        <f>IFERROR(AVERAGE('2018+'!S995:S1038),"")</f>
        <v>1.5838102837871948</v>
      </c>
      <c r="C276" s="2782">
        <f>IFERROR(AVERAGE('2018+'!N995:N1038),"")</f>
        <v>1.049243459398371</v>
      </c>
      <c r="D276" s="2787">
        <f>'2018+'!U1038</f>
        <v>33.690576873163025</v>
      </c>
    </row>
    <row r="277" spans="1:4" ht="15" x14ac:dyDescent="0.2">
      <c r="A277" s="2781">
        <v>44137</v>
      </c>
      <c r="B277" s="2786">
        <f>IFERROR(AVERAGE('2018+'!S996:S1039),"")</f>
        <v>1.5838102837871948</v>
      </c>
      <c r="C277" s="2782">
        <f>IFERROR(AVERAGE('2018+'!N996:N1039),"")</f>
        <v>1.049243459398371</v>
      </c>
      <c r="D277" s="2787">
        <f>'2018+'!U1039</f>
        <v>32.888420280944857</v>
      </c>
    </row>
    <row r="278" spans="1:4" ht="15" x14ac:dyDescent="0.2">
      <c r="A278" s="2781">
        <v>44138</v>
      </c>
      <c r="B278" s="2786">
        <f>IFERROR(AVERAGE('2018+'!S997:S1040),"")</f>
        <v>1.5812554070824962</v>
      </c>
      <c r="C278" s="2782">
        <f>IFERROR(AVERAGE('2018+'!N997:N1040),"")</f>
        <v>1.0486954771327053</v>
      </c>
      <c r="D278" s="2787">
        <f>'2018+'!U1040</f>
        <v>32.105362655208076</v>
      </c>
    </row>
    <row r="279" spans="1:4" ht="15" x14ac:dyDescent="0.2">
      <c r="A279" s="2781">
        <v>44139</v>
      </c>
      <c r="B279" s="2786">
        <f>IFERROR(AVERAGE('2018+'!S998:S1041),"")</f>
        <v>1.5750799606720334</v>
      </c>
      <c r="C279" s="2782">
        <f>IFERROR(AVERAGE('2018+'!N998:N1041),"")</f>
        <v>1.0493055891408636</v>
      </c>
      <c r="D279" s="2787">
        <f>'2018+'!U1041</f>
        <v>32.650473068179309</v>
      </c>
    </row>
    <row r="280" spans="1:4" ht="15" x14ac:dyDescent="0.2">
      <c r="A280" s="2781">
        <v>44140</v>
      </c>
      <c r="B280" s="2786">
        <f>IFERROR(AVERAGE('2018+'!S999:S1042),"")</f>
        <v>1.5734895187398648</v>
      </c>
      <c r="C280" s="2782">
        <f>IFERROR(AVERAGE('2018+'!N999:N1042),"")</f>
        <v>1.0489683068973576</v>
      </c>
      <c r="D280" s="2787">
        <f>'2018+'!U1042</f>
        <v>33.230223709413139</v>
      </c>
    </row>
    <row r="281" spans="1:4" ht="15" x14ac:dyDescent="0.2">
      <c r="A281" s="2781">
        <v>44141</v>
      </c>
      <c r="B281" s="2786">
        <f>IFERROR(AVERAGE('2018+'!S1000:S1043),"")</f>
        <v>1.5720942302524894</v>
      </c>
      <c r="C281" s="2782">
        <f>IFERROR(AVERAGE('2018+'!N1000:N1043),"")</f>
        <v>1.0493598961687116</v>
      </c>
      <c r="D281" s="2787">
        <f>'2018+'!U1043</f>
        <v>32.439027906808064</v>
      </c>
    </row>
    <row r="282" spans="1:4" ht="15" x14ac:dyDescent="0.2">
      <c r="A282" s="2781">
        <v>44142</v>
      </c>
      <c r="B282" s="2786">
        <f>IFERROR(AVERAGE('2018+'!S1001:S1044),"")</f>
        <v>1.560729157907762</v>
      </c>
      <c r="C282" s="2782">
        <f>IFERROR(AVERAGE('2018+'!N1001:N1044),"")</f>
        <v>1.0487815594252128</v>
      </c>
      <c r="D282" s="2787">
        <f>'2018+'!U1044</f>
        <v>33.785717718550728</v>
      </c>
    </row>
    <row r="283" spans="1:4" ht="15" x14ac:dyDescent="0.2">
      <c r="A283" s="2781">
        <v>44143</v>
      </c>
      <c r="B283" s="2786">
        <f>IFERROR(AVERAGE('2018+'!S1002:S1045),"")</f>
        <v>1.560729157907762</v>
      </c>
      <c r="C283" s="2782">
        <f>IFERROR(AVERAGE('2018+'!N1002:N1045),"")</f>
        <v>1.0487815594252128</v>
      </c>
      <c r="D283" s="2787">
        <f>'2018+'!U1045</f>
        <v>32.981295868109044</v>
      </c>
    </row>
    <row r="284" spans="1:4" ht="15" x14ac:dyDescent="0.2">
      <c r="A284" s="2781">
        <v>44144</v>
      </c>
      <c r="B284" s="2786">
        <f>IFERROR(AVERAGE('2018+'!S1003:S1046),"")</f>
        <v>1.560729157907762</v>
      </c>
      <c r="C284" s="2782">
        <f>IFERROR(AVERAGE('2018+'!N1003:N1046),"")</f>
        <v>1.0487815594252128</v>
      </c>
      <c r="D284" s="2787">
        <f>'2018+'!U1046</f>
        <v>32.196026918868355</v>
      </c>
    </row>
    <row r="285" spans="1:4" ht="15" x14ac:dyDescent="0.2">
      <c r="A285" s="2781">
        <v>44145</v>
      </c>
      <c r="B285" s="2786">
        <f>IFERROR(AVERAGE('2018+'!S1004:S1047),"")</f>
        <v>1.5597820123594279</v>
      </c>
      <c r="C285" s="2782">
        <f>IFERROR(AVERAGE('2018+'!N1004:N1047),"")</f>
        <v>1.0483218639691148</v>
      </c>
      <c r="D285" s="2787">
        <f>'2018+'!U1047</f>
        <v>31.429454849371488</v>
      </c>
    </row>
    <row r="286" spans="1:4" ht="15" x14ac:dyDescent="0.2">
      <c r="A286" s="2781">
        <v>44146</v>
      </c>
      <c r="B286" s="2786">
        <f>IFERROR(AVERAGE('2018+'!S1005:S1048),"")</f>
        <v>1.5591327093654819</v>
      </c>
      <c r="C286" s="2782">
        <f>IFERROR(AVERAGE('2018+'!N1005:N1048),"")</f>
        <v>1.0487660687586158</v>
      </c>
      <c r="D286" s="2787">
        <f>'2018+'!U1048</f>
        <v>31.966848781529311</v>
      </c>
    </row>
    <row r="287" spans="1:4" ht="15" x14ac:dyDescent="0.2">
      <c r="A287" s="2781">
        <v>44147</v>
      </c>
      <c r="B287" s="2786">
        <f>IFERROR(AVERAGE('2018+'!S1006:S1049),"")</f>
        <v>1.5586747550788518</v>
      </c>
      <c r="C287" s="2782">
        <f>IFERROR(AVERAGE('2018+'!N1006:N1049),"")</f>
        <v>1.0488165406105665</v>
      </c>
      <c r="D287" s="2787">
        <f>'2018+'!U1049</f>
        <v>31.205733334350043</v>
      </c>
    </row>
    <row r="288" spans="1:4" ht="15" x14ac:dyDescent="0.2">
      <c r="A288" s="2781">
        <v>44148</v>
      </c>
      <c r="B288" s="2786">
        <f>IFERROR(AVERAGE('2018+'!S1007:S1050),"")</f>
        <v>1.5572647183889659</v>
      </c>
      <c r="C288" s="2782">
        <f>IFERROR(AVERAGE('2018+'!N1007:N1050),"")</f>
        <v>1.0486833687159098</v>
      </c>
      <c r="D288" s="2787">
        <f>'2018+'!U1050</f>
        <v>32.081787302579805</v>
      </c>
    </row>
    <row r="289" spans="1:4" ht="15" x14ac:dyDescent="0.2">
      <c r="A289" s="2781">
        <v>44149</v>
      </c>
      <c r="B289" s="2786">
        <f>IFERROR(AVERAGE('2018+'!S1008:S1051),"")</f>
        <v>1.5572647183889659</v>
      </c>
      <c r="C289" s="2782">
        <f>IFERROR(AVERAGE('2018+'!N1008:N1051),"")</f>
        <v>1.0486833687159098</v>
      </c>
      <c r="D289" s="2787">
        <f>'2018+'!U1051</f>
        <v>31.317935223946954</v>
      </c>
    </row>
    <row r="290" spans="1:4" ht="15" x14ac:dyDescent="0.2">
      <c r="A290" s="2781">
        <v>44150</v>
      </c>
      <c r="B290" s="2786">
        <f>IFERROR(AVERAGE('2018+'!S1009:S1052),"")</f>
        <v>1.5553811530379082</v>
      </c>
      <c r="C290" s="2782">
        <f>IFERROR(AVERAGE('2018+'!N1009:N1052),"")</f>
        <v>1.0487935764009022</v>
      </c>
      <c r="D290" s="2787">
        <f>'2018+'!U1052</f>
        <v>32.143698670995839</v>
      </c>
    </row>
    <row r="291" spans="1:4" ht="15" x14ac:dyDescent="0.2">
      <c r="A291" s="2781">
        <v>44151</v>
      </c>
      <c r="B291" s="2786">
        <f>IFERROR(AVERAGE('2018+'!S1010:S1053),"")</f>
        <v>1.5512400359932075</v>
      </c>
      <c r="C291" s="2782">
        <f>IFERROR(AVERAGE('2018+'!N1010:N1053),"")</f>
        <v>1.0485814892865521</v>
      </c>
      <c r="D291" s="2787">
        <f>'2018+'!U1053</f>
        <v>31.378372512162606</v>
      </c>
    </row>
    <row r="292" spans="1:4" ht="15" x14ac:dyDescent="0.2">
      <c r="A292" s="2781">
        <v>44152</v>
      </c>
      <c r="B292" s="2786">
        <f>IFERROR(AVERAGE('2018+'!S1011:S1054),"")</f>
        <v>1.5467976520292619</v>
      </c>
      <c r="C292" s="2782">
        <f>IFERROR(AVERAGE('2018+'!N1011:N1054),"")</f>
        <v>1.048637027627771</v>
      </c>
      <c r="D292" s="2787">
        <f>'2018+'!U1054</f>
        <v>30.631268404730164</v>
      </c>
    </row>
    <row r="293" spans="1:4" ht="15" x14ac:dyDescent="0.2">
      <c r="A293" s="2781">
        <v>44153</v>
      </c>
      <c r="B293" s="2786">
        <f>IFERROR(AVERAGE('2018+'!S1012:S1055),"")</f>
        <v>1.5472842022251672</v>
      </c>
      <c r="C293" s="2782">
        <f>IFERROR(AVERAGE('2018+'!N1012:N1055),"")</f>
        <v>1.0485271961410207</v>
      </c>
      <c r="D293" s="2787">
        <f>'2018+'!U1055</f>
        <v>31.544809633188969</v>
      </c>
    </row>
    <row r="294" spans="1:4" ht="15" x14ac:dyDescent="0.2">
      <c r="A294" s="2781">
        <v>44154</v>
      </c>
      <c r="B294" s="2786">
        <f>IFERROR(AVERAGE('2018+'!S1013:S1056),"")</f>
        <v>1.5467516242284702</v>
      </c>
      <c r="C294" s="2782">
        <f>IFERROR(AVERAGE('2018+'!N1013:N1056),"")</f>
        <v>1.0479727511201782</v>
      </c>
      <c r="D294" s="2787">
        <f>'2018+'!U1056</f>
        <v>30.79374273716066</v>
      </c>
    </row>
    <row r="295" spans="1:4" ht="15" x14ac:dyDescent="0.2">
      <c r="A295" s="2781">
        <v>44155</v>
      </c>
      <c r="B295" s="2786">
        <f>IFERROR(AVERAGE('2018+'!S1014:S1057),"")</f>
        <v>1.5424536314992241</v>
      </c>
      <c r="C295" s="2782">
        <f>IFERROR(AVERAGE('2018+'!N1014:N1057),"")</f>
        <v>1.0481093946633764</v>
      </c>
      <c r="D295" s="2787">
        <f>'2018+'!U1057</f>
        <v>31.655796481513978</v>
      </c>
    </row>
    <row r="296" spans="1:4" ht="15" x14ac:dyDescent="0.2">
      <c r="A296" s="2781">
        <v>44156</v>
      </c>
      <c r="B296" s="2786">
        <f>IFERROR(AVERAGE('2018+'!S1015:S1058),"")</f>
        <v>1.5386763941364332</v>
      </c>
      <c r="C296" s="2782">
        <f>IFERROR(AVERAGE('2018+'!N1015:N1058),"")</f>
        <v>1.0488421033329074</v>
      </c>
      <c r="D296" s="2787">
        <f>'2018+'!U1058</f>
        <v>30.90208704147793</v>
      </c>
    </row>
    <row r="297" spans="1:4" ht="15" x14ac:dyDescent="0.2">
      <c r="A297" s="2781">
        <v>44157</v>
      </c>
      <c r="B297" s="2786">
        <f>IFERROR(AVERAGE('2018+'!S1016:S1059),"")</f>
        <v>1.5397331804873371</v>
      </c>
      <c r="C297" s="2782">
        <f>IFERROR(AVERAGE('2018+'!N1016:N1059),"")</f>
        <v>1.0486195294688627</v>
      </c>
      <c r="D297" s="2787">
        <f>'2018+'!U1059</f>
        <v>31.785370683347505</v>
      </c>
    </row>
    <row r="298" spans="1:4" ht="15" x14ac:dyDescent="0.2">
      <c r="A298" s="2781">
        <v>44158</v>
      </c>
      <c r="B298" s="2786">
        <f>IFERROR(AVERAGE('2018+'!S1017:S1060),"")</f>
        <v>1.5397331804873371</v>
      </c>
      <c r="C298" s="2782">
        <f>IFERROR(AVERAGE('2018+'!N1017:N1060),"")</f>
        <v>1.0486195294688627</v>
      </c>
      <c r="D298" s="2787">
        <f>'2018+'!U1060</f>
        <v>31.028576143267802</v>
      </c>
    </row>
    <row r="299" spans="1:4" ht="15" x14ac:dyDescent="0.2">
      <c r="A299" s="2781">
        <v>44159</v>
      </c>
      <c r="B299" s="2786">
        <f>IFERROR(AVERAGE('2018+'!S1018:S1061),"")</f>
        <v>1.536969820241278</v>
      </c>
      <c r="C299" s="2782">
        <f>IFERROR(AVERAGE('2018+'!N1018:N1061),"")</f>
        <v>1.0463246528944272</v>
      </c>
      <c r="D299" s="2787">
        <f>'2018+'!U1061</f>
        <v>31.956467187475713</v>
      </c>
    </row>
    <row r="300" spans="1:4" ht="15" x14ac:dyDescent="0.2">
      <c r="A300" s="2781">
        <v>44160</v>
      </c>
      <c r="B300" s="2786">
        <f>IFERROR(AVERAGE('2018+'!S1019:S1062),"")</f>
        <v>1.536969820241278</v>
      </c>
      <c r="C300" s="2782">
        <f>IFERROR(AVERAGE('2018+'!N1019:N1062),"")</f>
        <v>1.0463246528944272</v>
      </c>
      <c r="D300" s="2787">
        <f>'2018+'!U1062</f>
        <v>31.195598921107244</v>
      </c>
    </row>
    <row r="301" spans="1:4" ht="15" x14ac:dyDescent="0.2">
      <c r="A301" s="2781">
        <v>44161</v>
      </c>
      <c r="B301" s="2786">
        <f>IFERROR(AVERAGE('2018+'!S1020:S1063),"")</f>
        <v>1.5413645831012455</v>
      </c>
      <c r="C301" s="2782">
        <f>IFERROR(AVERAGE('2018+'!N1020:N1063),"")</f>
        <v>1.0473269467647275</v>
      </c>
      <c r="D301" s="2787">
        <f>'2018+'!U1063</f>
        <v>31.809989422985645</v>
      </c>
    </row>
    <row r="302" spans="1:4" ht="15" x14ac:dyDescent="0.2">
      <c r="A302" s="2781">
        <v>44162</v>
      </c>
      <c r="B302" s="2786">
        <f>IFERROR(AVERAGE('2018+'!S1021:S1064),"")</f>
        <v>1.5413645831012455</v>
      </c>
      <c r="C302" s="2782">
        <f>IFERROR(AVERAGE('2018+'!N1021:N1064),"")</f>
        <v>1.0473269467647275</v>
      </c>
      <c r="D302" s="2787">
        <f>'2018+'!U1064</f>
        <v>31.052608722438368</v>
      </c>
    </row>
    <row r="303" spans="1:4" ht="15" x14ac:dyDescent="0.2">
      <c r="A303" s="2781">
        <v>44163</v>
      </c>
      <c r="B303" s="2786">
        <f>IFERROR(AVERAGE('2018+'!S1022:S1065),"")</f>
        <v>1.5430624088513876</v>
      </c>
      <c r="C303" s="2782">
        <f>IFERROR(AVERAGE('2018+'!N1022:N1065),"")</f>
        <v>1.0472151791998066</v>
      </c>
      <c r="D303" s="2787">
        <f>'2018+'!U1065</f>
        <v>31.765641848094596</v>
      </c>
    </row>
    <row r="304" spans="1:4" ht="15" x14ac:dyDescent="0.2">
      <c r="A304" s="2781">
        <v>44164</v>
      </c>
      <c r="B304" s="2786">
        <f>IFERROR(AVERAGE('2018+'!S1023:S1066),"")</f>
        <v>1.5430624088513876</v>
      </c>
      <c r="C304" s="2782">
        <f>IFERROR(AVERAGE('2018+'!N1023:N1066),"")</f>
        <v>1.0472151791998066</v>
      </c>
      <c r="D304" s="2787">
        <f>'2018+'!U1066</f>
        <v>31.009317042187583</v>
      </c>
    </row>
    <row r="305" spans="1:4" ht="15" x14ac:dyDescent="0.2">
      <c r="A305" s="2781">
        <v>44165</v>
      </c>
      <c r="B305" s="2786">
        <f>IFERROR(AVERAGE('2018+'!S1024:S1067),"")</f>
        <v>1.5456660560015303</v>
      </c>
      <c r="C305" s="2782">
        <f>IFERROR(AVERAGE('2018+'!N1024:N1067),"")</f>
        <v>1.0474321562038584</v>
      </c>
      <c r="D305" s="2787">
        <f>'2018+'!U1067</f>
        <v>31.699571398325972</v>
      </c>
    </row>
    <row r="306" spans="1:4" ht="15" x14ac:dyDescent="0.2">
      <c r="A306" s="2781">
        <v>44166</v>
      </c>
      <c r="B306" s="2786">
        <f>IFERROR(AVERAGE('2018+'!S1025:S1068),"")</f>
        <v>1.5438439218977129</v>
      </c>
      <c r="C306" s="2782">
        <f>IFERROR(AVERAGE('2018+'!N1025:N1068),"")</f>
        <v>1.047668395553957</v>
      </c>
      <c r="D306" s="2787">
        <f>'2018+'!U1068</f>
        <v>30.94481969836583</v>
      </c>
    </row>
    <row r="307" spans="1:4" ht="15" x14ac:dyDescent="0.2">
      <c r="A307" s="2781">
        <v>44167</v>
      </c>
      <c r="B307" s="2786">
        <f>IFERROR(AVERAGE('2018+'!S1026:S1069),"")</f>
        <v>1.5471213084274302</v>
      </c>
      <c r="C307" s="2782">
        <f>IFERROR(AVERAGE('2018+'!N1026:N1069),"")</f>
        <v>1.0475170215585683</v>
      </c>
      <c r="D307" s="2787">
        <f>'2018+'!U1069</f>
        <v>31.636609705547595</v>
      </c>
    </row>
    <row r="308" spans="1:4" ht="15" x14ac:dyDescent="0.2">
      <c r="A308" s="2781">
        <v>44168</v>
      </c>
      <c r="B308" s="2786">
        <f>IFERROR(AVERAGE('2018+'!S1027:S1070),"")</f>
        <v>1.5459179195115598</v>
      </c>
      <c r="C308" s="2782">
        <f>IFERROR(AVERAGE('2018+'!N1027:N1070),"")</f>
        <v>1.048218137373893</v>
      </c>
      <c r="D308" s="2787">
        <f>'2018+'!U1070</f>
        <v>32.311928522082177</v>
      </c>
    </row>
    <row r="309" spans="1:4" ht="15" x14ac:dyDescent="0.2">
      <c r="A309" s="2781">
        <v>44169</v>
      </c>
      <c r="B309" s="2786">
        <f>IFERROR(AVERAGE('2018+'!S1028:S1071),"")</f>
        <v>1.5459179195115598</v>
      </c>
      <c r="C309" s="2782">
        <f>IFERROR(AVERAGE('2018+'!N1028:N1071),"")</f>
        <v>1.048218137373893</v>
      </c>
      <c r="D309" s="2787">
        <f>'2018+'!U1071</f>
        <v>31.542596890604031</v>
      </c>
    </row>
    <row r="310" spans="1:4" ht="15" x14ac:dyDescent="0.2">
      <c r="A310" s="2781">
        <v>44170</v>
      </c>
      <c r="B310" s="2786">
        <f>IFERROR(AVERAGE('2018+'!S1029:S1072),"")</f>
        <v>1.5459179195115598</v>
      </c>
      <c r="C310" s="2782">
        <f>IFERROR(AVERAGE('2018+'!N1029:N1072),"")</f>
        <v>1.048218137373893</v>
      </c>
      <c r="D310" s="2787">
        <f>'2018+'!U1072</f>
        <v>30.791582678922982</v>
      </c>
    </row>
    <row r="311" spans="1:4" ht="15" x14ac:dyDescent="0.2">
      <c r="A311" s="2781">
        <v>44171</v>
      </c>
      <c r="B311" s="2786">
        <f>IFERROR(AVERAGE('2018+'!S1030:S1073),"")</f>
        <v>1.5370280617008383</v>
      </c>
      <c r="C311" s="2782">
        <f>IFERROR(AVERAGE('2018+'!N1030:N1073),"")</f>
        <v>1.0478404921132349</v>
      </c>
      <c r="D311" s="2787">
        <f>'2018+'!U1073</f>
        <v>31.629878329424816</v>
      </c>
    </row>
    <row r="312" spans="1:4" ht="15" x14ac:dyDescent="0.2">
      <c r="A312" s="2781">
        <v>44172</v>
      </c>
      <c r="B312" s="2786">
        <f>IFERROR(AVERAGE('2018+'!S1031:S1074),"")</f>
        <v>1.5370280617008383</v>
      </c>
      <c r="C312" s="2782">
        <f>IFERROR(AVERAGE('2018+'!N1031:N1074),"")</f>
        <v>1.0478404921132349</v>
      </c>
      <c r="D312" s="2787">
        <f>'2018+'!U1074</f>
        <v>30.876785988248034</v>
      </c>
    </row>
    <row r="313" spans="1:4" ht="15" x14ac:dyDescent="0.2">
      <c r="A313" s="2781">
        <v>44173</v>
      </c>
      <c r="B313" s="2786">
        <f>IFERROR(AVERAGE('2018+'!S1032:S1075),"")</f>
        <v>1.5341442927666187</v>
      </c>
      <c r="C313" s="2782">
        <f>IFERROR(AVERAGE('2018+'!N1032:N1075),"")</f>
        <v>1.0494264464974496</v>
      </c>
      <c r="D313" s="2787">
        <f>'2018+'!U1075</f>
        <v>31.617814893289747</v>
      </c>
    </row>
    <row r="314" spans="1:4" ht="15" x14ac:dyDescent="0.2">
      <c r="A314" s="2781">
        <v>44174</v>
      </c>
      <c r="B314" s="2786">
        <f>IFERROR(AVERAGE('2018+'!S1033:S1076),"")</f>
        <v>1.5341442927666187</v>
      </c>
      <c r="C314" s="2782">
        <f>IFERROR(AVERAGE('2018+'!N1033:N1076),"")</f>
        <v>1.0494264464974496</v>
      </c>
      <c r="D314" s="2787">
        <f>'2018+'!U1076</f>
        <v>30.865009776782848</v>
      </c>
    </row>
    <row r="315" spans="1:4" ht="15" x14ac:dyDescent="0.2">
      <c r="A315" s="2781">
        <v>44175</v>
      </c>
      <c r="B315" s="2786">
        <f>IFERROR(AVERAGE('2018+'!S1034:S1077),"")</f>
        <v>1.5362117812224059</v>
      </c>
      <c r="C315" s="2782">
        <f>IFERROR(AVERAGE('2018+'!N1034:N1077),"")</f>
        <v>1.0489434699235305</v>
      </c>
      <c r="D315" s="2787">
        <f>'2018+'!U1077</f>
        <v>31.606319067811828</v>
      </c>
    </row>
    <row r="316" spans="1:4" ht="15" x14ac:dyDescent="0.2">
      <c r="A316" s="2781">
        <v>44176</v>
      </c>
      <c r="B316" s="2786">
        <f>IFERROR(AVERAGE('2018+'!S1035:S1078),"")</f>
        <v>1.5362117812224059</v>
      </c>
      <c r="C316" s="2782">
        <f>IFERROR(AVERAGE('2018+'!N1035:N1078),"")</f>
        <v>1.0489434699235305</v>
      </c>
      <c r="D316" s="2787">
        <f>'2018+'!U1078</f>
        <v>30.853787661435355</v>
      </c>
    </row>
    <row r="317" spans="1:4" ht="15" x14ac:dyDescent="0.2">
      <c r="A317" s="2781">
        <v>44177</v>
      </c>
      <c r="B317" s="2786">
        <f>IFERROR(AVERAGE('2018+'!S1036:S1079),"")</f>
        <v>1.5362117812224059</v>
      </c>
      <c r="C317" s="2782">
        <f>IFERROR(AVERAGE('2018+'!N1036:N1079),"")</f>
        <v>1.0489434699235305</v>
      </c>
      <c r="D317" s="2787">
        <f>'2018+'!U1079</f>
        <v>30.119173669496419</v>
      </c>
    </row>
    <row r="318" spans="1:4" ht="15" x14ac:dyDescent="0.2">
      <c r="A318" s="2781">
        <v>44178</v>
      </c>
      <c r="B318" s="2786">
        <f>IFERROR(AVERAGE('2018+'!S1037:S1080),"")</f>
        <v>1.5336869064469998</v>
      </c>
      <c r="C318" s="2782">
        <f>IFERROR(AVERAGE('2018+'!N1037:N1080),"")</f>
        <v>1.0483936995809013</v>
      </c>
      <c r="D318" s="2787">
        <f>'2018+'!U1080</f>
        <v>31.140145724984599</v>
      </c>
    </row>
    <row r="319" spans="1:4" ht="15" x14ac:dyDescent="0.2">
      <c r="A319" s="2781">
        <v>44179</v>
      </c>
      <c r="B319" s="2786">
        <f>IFERROR(AVERAGE('2018+'!S1038:S1081),"")</f>
        <v>1.5336869064469998</v>
      </c>
      <c r="C319" s="2782">
        <f>IFERROR(AVERAGE('2018+'!N1038:N1081),"")</f>
        <v>1.0483936995809013</v>
      </c>
      <c r="D319" s="2787">
        <f>'2018+'!U1081</f>
        <v>30.398713683913538</v>
      </c>
    </row>
    <row r="320" spans="1:4" ht="15" x14ac:dyDescent="0.2">
      <c r="A320" s="2781">
        <v>44180</v>
      </c>
      <c r="B320" s="2786">
        <f>IFERROR(AVERAGE('2018+'!S1039:S1082),"")</f>
        <v>1.5308969377949622</v>
      </c>
      <c r="C320" s="2782">
        <f>IFERROR(AVERAGE('2018+'!N1039:N1082),"")</f>
        <v>1.0477895395423993</v>
      </c>
      <c r="D320" s="2787">
        <f>'2018+'!U1082</f>
        <v>31.341601453344168</v>
      </c>
    </row>
    <row r="321" spans="1:4" ht="15" x14ac:dyDescent="0.2">
      <c r="A321" s="2781">
        <v>44181</v>
      </c>
      <c r="B321" s="2786">
        <f>IFERROR(AVERAGE('2018+'!S1040:S1083),"")</f>
        <v>1.5308969377949622</v>
      </c>
      <c r="C321" s="2782">
        <f>IFERROR(AVERAGE('2018+'!N1040:N1083),"")</f>
        <v>1.0477895395423993</v>
      </c>
      <c r="D321" s="2787">
        <f>'2018+'!U1083</f>
        <v>30.595372847312163</v>
      </c>
    </row>
    <row r="322" spans="1:4" ht="15" x14ac:dyDescent="0.2">
      <c r="A322" s="2781">
        <v>44182</v>
      </c>
      <c r="B322" s="2786">
        <f>IFERROR(AVERAGE('2018+'!S1041:S1084),"")</f>
        <v>1.5307861992605081</v>
      </c>
      <c r="C322" s="2782">
        <f>IFERROR(AVERAGE('2018+'!N1041:N1084),"")</f>
        <v>1.0477554473574897</v>
      </c>
      <c r="D322" s="2787">
        <f>'2018+'!U1084</f>
        <v>31.176435398566635</v>
      </c>
    </row>
    <row r="323" spans="1:4" ht="15" x14ac:dyDescent="0.2">
      <c r="A323" s="2781">
        <v>44183</v>
      </c>
      <c r="B323" s="2786">
        <f>IFERROR(AVERAGE('2018+'!S1042:S1085),"")</f>
        <v>1.5344381852798716</v>
      </c>
      <c r="C323" s="2782">
        <f>IFERROR(AVERAGE('2018+'!N1042:N1085),"")</f>
        <v>1.0470637489396801</v>
      </c>
      <c r="D323" s="2787">
        <f>'2018+'!U1085</f>
        <v>30.434139317648381</v>
      </c>
    </row>
    <row r="324" spans="1:4" ht="15" x14ac:dyDescent="0.2">
      <c r="A324" s="2781">
        <v>44184</v>
      </c>
      <c r="B324" s="2786">
        <f>IFERROR(AVERAGE('2018+'!S1043:S1086),"")</f>
        <v>1.5354688501097098</v>
      </c>
      <c r="C324" s="2782">
        <f>IFERROR(AVERAGE('2018+'!N1043:N1086),"")</f>
        <v>1.0463436852762289</v>
      </c>
      <c r="D324" s="2787">
        <f>'2018+'!U1086</f>
        <v>31.257136000561513</v>
      </c>
    </row>
    <row r="325" spans="1:4" ht="15" x14ac:dyDescent="0.2">
      <c r="A325" s="2781">
        <v>44185</v>
      </c>
      <c r="B325" s="2786">
        <f>IFERROR(AVERAGE('2018+'!S1044:S1087),"")</f>
        <v>1.5354688501097098</v>
      </c>
      <c r="C325" s="2782">
        <f>IFERROR(AVERAGE('2018+'!N1044:N1087),"")</f>
        <v>1.0463436852762289</v>
      </c>
      <c r="D325" s="2787">
        <f>'2018+'!U1087</f>
        <v>30.512918476738619</v>
      </c>
    </row>
    <row r="326" spans="1:4" ht="15" x14ac:dyDescent="0.2">
      <c r="A326" s="2781">
        <v>44186</v>
      </c>
      <c r="B326" s="2786">
        <f>IFERROR(AVERAGE('2018+'!S1045:S1088),"")</f>
        <v>1.5478223021288156</v>
      </c>
      <c r="C326" s="2782">
        <f>IFERROR(AVERAGE('2018+'!N1045:N1088),"")</f>
        <v>1.0460847144768175</v>
      </c>
      <c r="D326" s="2787">
        <f>'2018+'!U1088</f>
        <v>31.238801370149606</v>
      </c>
    </row>
    <row r="327" spans="1:4" ht="15" x14ac:dyDescent="0.2">
      <c r="A327" s="2781">
        <v>44187</v>
      </c>
      <c r="B327" s="2786">
        <f>IFERROR(AVERAGE('2018+'!S1046:S1089),"")</f>
        <v>1.5478223021288156</v>
      </c>
      <c r="C327" s="2782">
        <f>IFERROR(AVERAGE('2018+'!N1046:N1089),"")</f>
        <v>1.0460847144768175</v>
      </c>
      <c r="D327" s="2787">
        <f>'2018+'!U1089</f>
        <v>30.495020385146045</v>
      </c>
    </row>
    <row r="328" spans="1:4" ht="15" x14ac:dyDescent="0.2">
      <c r="A328" s="2781">
        <v>44188</v>
      </c>
      <c r="B328" s="2786">
        <f>IFERROR(AVERAGE('2018+'!S1047:S1090),"")</f>
        <v>1.5422381713396127</v>
      </c>
      <c r="C328" s="2782">
        <f>IFERROR(AVERAGE('2018+'!N1047:N1090),"")</f>
        <v>1.0460783129644031</v>
      </c>
      <c r="D328" s="2787">
        <f>'2018+'!U1090</f>
        <v>31.387996090261616</v>
      </c>
    </row>
    <row r="329" spans="1:4" ht="15" x14ac:dyDescent="0.2">
      <c r="A329" s="2781">
        <v>44189</v>
      </c>
      <c r="B329" s="2786">
        <f>IFERROR(AVERAGE('2018+'!S1048:S1091),"")</f>
        <v>1.5422381713396127</v>
      </c>
      <c r="C329" s="2782">
        <f>IFERROR(AVERAGE('2018+'!N1048:N1091),"")</f>
        <v>1.0460783129644031</v>
      </c>
      <c r="D329" s="2787">
        <f>'2018+'!U1091</f>
        <v>30.640662850017293</v>
      </c>
    </row>
    <row r="330" spans="1:4" ht="15" x14ac:dyDescent="0.2">
      <c r="A330" s="2781">
        <v>44190</v>
      </c>
      <c r="B330" s="2786">
        <f>IFERROR(AVERAGE('2018+'!S1049:S1092),"")</f>
        <v>1.5386183292421893</v>
      </c>
      <c r="C330" s="2782">
        <f>IFERROR(AVERAGE('2018+'!N1049:N1092),"")</f>
        <v>1.0452962201606075</v>
      </c>
      <c r="D330" s="2787">
        <f>'2018+'!U1092</f>
        <v>31.315885163112121</v>
      </c>
    </row>
    <row r="331" spans="1:4" ht="15" x14ac:dyDescent="0.2">
      <c r="A331" s="2781">
        <v>44191</v>
      </c>
      <c r="B331" s="2786">
        <f>IFERROR(AVERAGE('2018+'!S1050:S1093),"")</f>
        <v>1.5386183292421893</v>
      </c>
      <c r="C331" s="2782">
        <f>IFERROR(AVERAGE('2018+'!N1050:N1093),"")</f>
        <v>1.0452962201606075</v>
      </c>
      <c r="D331" s="2787">
        <f>'2018+'!U1093</f>
        <v>30.570268849704689</v>
      </c>
    </row>
    <row r="332" spans="1:4" ht="15" x14ac:dyDescent="0.2">
      <c r="A332" s="2781">
        <v>44192</v>
      </c>
      <c r="B332" s="2786">
        <f>IFERROR(AVERAGE('2018+'!S1051:S1094),"")</f>
        <v>1.5386641700687349</v>
      </c>
      <c r="C332" s="2782">
        <f>IFERROR(AVERAGE('2018+'!N1051:N1094),"")</f>
        <v>1.0449221482827342</v>
      </c>
      <c r="D332" s="2787">
        <f>'2018+'!U1094</f>
        <v>31.390024353283149</v>
      </c>
    </row>
    <row r="333" spans="1:4" ht="15" x14ac:dyDescent="0.2">
      <c r="A333" s="2781">
        <v>44193</v>
      </c>
      <c r="B333" s="2786">
        <f>IFERROR(AVERAGE('2018+'!S1052:S1095),"")</f>
        <v>1.5386641700687349</v>
      </c>
      <c r="C333" s="2782">
        <f>IFERROR(AVERAGE('2018+'!N1052:N1095),"")</f>
        <v>1.0449221482827342</v>
      </c>
      <c r="D333" s="2787">
        <f>'2018+'!U1095</f>
        <v>30.642642821062122</v>
      </c>
    </row>
    <row r="334" spans="1:4" ht="15" x14ac:dyDescent="0.2">
      <c r="A334" s="2781">
        <v>44194</v>
      </c>
      <c r="B334" s="2786">
        <f>IFERROR(AVERAGE('2018+'!S1053:S1096),"")</f>
        <v>1.5365168076272548</v>
      </c>
      <c r="C334" s="2782">
        <f>IFERROR(AVERAGE('2018+'!N1053:N1096),"")</f>
        <v>1.0446599197582254</v>
      </c>
      <c r="D334" s="2787">
        <f>'2018+'!U1096</f>
        <v>31.436865611036833</v>
      </c>
    </row>
    <row r="335" spans="1:4" ht="15" x14ac:dyDescent="0.2">
      <c r="A335" s="2781">
        <v>44195</v>
      </c>
      <c r="B335" s="2786">
        <f>IFERROR(AVERAGE('2018+'!S1054:S1097),"")</f>
        <v>1.5365168076272548</v>
      </c>
      <c r="C335" s="2782">
        <f>IFERROR(AVERAGE('2018+'!N1054:N1097),"")</f>
        <v>1.0446599197582254</v>
      </c>
      <c r="D335" s="2787">
        <f>'2018+'!U1097</f>
        <v>30.688368810774051</v>
      </c>
    </row>
    <row r="336" spans="1:4" ht="15" x14ac:dyDescent="0.2">
      <c r="A336" s="2781">
        <v>44196</v>
      </c>
      <c r="B336" s="2786">
        <f>IFERROR(AVERAGE('2018+'!S1055:S1098),"")</f>
        <v>1.5284933163714705</v>
      </c>
      <c r="C336" s="2782">
        <f>IFERROR(AVERAGE('2018+'!N1055:N1098),"")</f>
        <v>1.0446599197582254</v>
      </c>
      <c r="D336" s="2787">
        <f>'2018+'!U1098</f>
        <v>31.433883839088956</v>
      </c>
    </row>
    <row r="337" spans="1:4" ht="15" x14ac:dyDescent="0.2">
      <c r="A337" s="2781">
        <v>44197</v>
      </c>
      <c r="B337" s="2786">
        <f>IFERROR(AVERAGE('2018+'!S1056:S1099),"")</f>
        <v>1.5272046383150857</v>
      </c>
      <c r="C337" s="2782">
        <f>IFERROR(AVERAGE('2018+'!N1056:N1099),"")</f>
        <v>1.0445544211284856</v>
      </c>
      <c r="D337" s="2787">
        <f>'2018+'!U1099</f>
        <v>30.685458033396362</v>
      </c>
    </row>
    <row r="338" spans="1:4" ht="15" x14ac:dyDescent="0.2">
      <c r="A338" s="2781">
        <v>44198</v>
      </c>
      <c r="B338" s="2786">
        <f>IFERROR(AVERAGE('2018+'!S1057:S1100),"")</f>
        <v>1.5297835913843734</v>
      </c>
      <c r="C338" s="2782">
        <f>IFERROR(AVERAGE('2018+'!N1057:N1100),"")</f>
        <v>1.0444571017298883</v>
      </c>
      <c r="D338" s="2787">
        <f>'2018+'!U1100</f>
        <v>31.431042365934545</v>
      </c>
    </row>
    <row r="339" spans="1:4" ht="15" x14ac:dyDescent="0.2">
      <c r="A339" s="2781">
        <v>44199</v>
      </c>
      <c r="B339" s="2786">
        <f>IFERROR(AVERAGE('2018+'!S1058:S1101),"")</f>
        <v>1.5333316595831192</v>
      </c>
      <c r="C339" s="2782">
        <f>IFERROR(AVERAGE('2018+'!N1058:N1101),"")</f>
        <v>1.0442503264519343</v>
      </c>
      <c r="D339" s="2787">
        <f>'2018+'!U1101</f>
        <v>32.230303261983721</v>
      </c>
    </row>
    <row r="340" spans="1:4" ht="15" x14ac:dyDescent="0.2">
      <c r="A340" s="2781">
        <v>44200</v>
      </c>
      <c r="B340" s="2786">
        <f>IFERROR(AVERAGE('2018+'!S1059:S1102),"")</f>
        <v>1.5333316595831192</v>
      </c>
      <c r="C340" s="2782">
        <f>IFERROR(AVERAGE('2018+'!N1059:N1102),"")</f>
        <v>1.0442503264519343</v>
      </c>
      <c r="D340" s="2787">
        <f>'2018+'!U1102</f>
        <v>31.462915089079345</v>
      </c>
    </row>
    <row r="341" spans="1:4" ht="15" x14ac:dyDescent="0.2">
      <c r="A341" s="2781">
        <v>44201</v>
      </c>
      <c r="B341" s="2786">
        <f>IFERROR(AVERAGE('2018+'!S1060:S1103),"")</f>
        <v>1.5308885353314843</v>
      </c>
      <c r="C341" s="2782">
        <f>IFERROR(AVERAGE('2018+'!N1060:N1103),"")</f>
        <v>1.0433190225387956</v>
      </c>
      <c r="D341" s="2787">
        <f>'2018+'!U1103</f>
        <v>32.356655206006025</v>
      </c>
    </row>
    <row r="342" spans="1:4" ht="15" x14ac:dyDescent="0.2">
      <c r="A342" s="2781">
        <v>44202</v>
      </c>
      <c r="B342" s="2786">
        <f>IFERROR(AVERAGE('2018+'!S1061:S1104),"")</f>
        <v>1.5308885353314843</v>
      </c>
      <c r="C342" s="2782">
        <f>IFERROR(AVERAGE('2018+'!N1061:N1104),"")</f>
        <v>1.0433190225387956</v>
      </c>
      <c r="D342" s="2787">
        <f>'2018+'!U1104</f>
        <v>31.586258653482073</v>
      </c>
    </row>
    <row r="343" spans="1:4" ht="15" x14ac:dyDescent="0.2">
      <c r="A343" s="2781">
        <v>44203</v>
      </c>
      <c r="B343" s="2786">
        <f>IFERROR(AVERAGE('2018+'!S1062:S1105),"")</f>
        <v>1.532708597656866</v>
      </c>
      <c r="C343" s="2782">
        <f>IFERROR(AVERAGE('2018+'!N1062:N1105),"")</f>
        <v>1.0429058883589417</v>
      </c>
      <c r="D343" s="2787">
        <f>'2018+'!U1105</f>
        <v>32.381823923637263</v>
      </c>
    </row>
    <row r="344" spans="1:4" ht="15" x14ac:dyDescent="0.2">
      <c r="A344" s="2781">
        <v>44204</v>
      </c>
      <c r="B344" s="2786">
        <f>IFERROR(AVERAGE('2018+'!S1063:S1106),"")</f>
        <v>1.536650685731638</v>
      </c>
      <c r="C344" s="2782">
        <f>IFERROR(AVERAGE('2018+'!N1063:N1106),"")</f>
        <v>1.0420891933493761</v>
      </c>
      <c r="D344" s="2787">
        <f>'2018+'!U1106</f>
        <v>32.920351925455421</v>
      </c>
    </row>
    <row r="345" spans="1:4" ht="15" x14ac:dyDescent="0.2">
      <c r="A345" s="2781">
        <v>44205</v>
      </c>
      <c r="B345" s="2786">
        <f>IFERROR(AVERAGE('2018+'!S1064:S1107),"")</f>
        <v>1.5346093403699876</v>
      </c>
      <c r="C345" s="2782">
        <f>IFERROR(AVERAGE('2018+'!N1064:N1107),"")</f>
        <v>1.0417153908188985</v>
      </c>
      <c r="D345" s="2787">
        <f>'2018+'!U1107</f>
        <v>32.136534022468389</v>
      </c>
    </row>
    <row r="346" spans="1:4" ht="15" x14ac:dyDescent="0.2">
      <c r="A346" s="2781">
        <v>44206</v>
      </c>
      <c r="B346" s="2786">
        <f>IFERROR(AVERAGE('2018+'!S1065:S1108),"")</f>
        <v>1.5340636657247453</v>
      </c>
      <c r="C346" s="2782">
        <f>IFERROR(AVERAGE('2018+'!N1065:N1108),"")</f>
        <v>1.0421295950462584</v>
      </c>
      <c r="D346" s="2787">
        <f>'2018+'!U1108</f>
        <v>33.538045117171521</v>
      </c>
    </row>
    <row r="347" spans="1:4" ht="15" x14ac:dyDescent="0.2">
      <c r="A347" s="2781">
        <v>44207</v>
      </c>
      <c r="B347" s="2786">
        <f>IFERROR(AVERAGE('2018+'!S1066:S1109),"")</f>
        <v>1.532603992776405</v>
      </c>
      <c r="C347" s="2782">
        <f>IFERROR(AVERAGE('2018+'!N1066:N1109),"")</f>
        <v>1.0416844832084604</v>
      </c>
      <c r="D347" s="2787">
        <f>'2018+'!U1109</f>
        <v>32.739520233429339</v>
      </c>
    </row>
    <row r="348" spans="1:4" ht="15" x14ac:dyDescent="0.2">
      <c r="A348" s="2781">
        <v>44208</v>
      </c>
      <c r="B348" s="2786">
        <f>IFERROR(AVERAGE('2018+'!S1067:S1110),"")</f>
        <v>1.529818230852712</v>
      </c>
      <c r="C348" s="2782">
        <f>IFERROR(AVERAGE('2018+'!N1067:N1110),"")</f>
        <v>1.0418093904738903</v>
      </c>
      <c r="D348" s="2787">
        <f>'2018+'!U1110</f>
        <v>33.293341180252447</v>
      </c>
    </row>
    <row r="349" spans="1:4" ht="15" x14ac:dyDescent="0.2">
      <c r="A349" s="2781">
        <v>44209</v>
      </c>
      <c r="B349" s="2786">
        <f>IFERROR(AVERAGE('2018+'!S1068:S1111),"")</f>
        <v>1.5270859660026552</v>
      </c>
      <c r="C349" s="2782">
        <f>IFERROR(AVERAGE('2018+'!N1068:N1111),"")</f>
        <v>1.0413763239122336</v>
      </c>
      <c r="D349" s="2787">
        <f>'2018+'!U1111</f>
        <v>32.500642580722626</v>
      </c>
    </row>
    <row r="350" spans="1:4" ht="15" x14ac:dyDescent="0.2">
      <c r="A350" s="2781">
        <v>44210</v>
      </c>
      <c r="B350" s="2786">
        <f>IFERROR(AVERAGE('2018+'!S1069:S1112),"")</f>
        <v>1.5272959193771929</v>
      </c>
      <c r="C350" s="2782">
        <f>IFERROR(AVERAGE('2018+'!N1069:N1112),"")</f>
        <v>1.0411974166508409</v>
      </c>
      <c r="D350" s="2787">
        <f>'2018+'!U1112</f>
        <v>33.274436804991133</v>
      </c>
    </row>
    <row r="351" spans="1:4" ht="15" x14ac:dyDescent="0.2">
      <c r="A351" s="2781">
        <v>44211</v>
      </c>
      <c r="B351" s="2786">
        <f>IFERROR(AVERAGE('2018+'!S1070:S1113),"")</f>
        <v>1.5238622393746737</v>
      </c>
      <c r="C351" s="2782">
        <f>IFERROR(AVERAGE('2018+'!N1070:N1113),"")</f>
        <v>1.0410118156517214</v>
      </c>
      <c r="D351" s="2787">
        <f>'2018+'!U1113</f>
        <v>34.196474023919919</v>
      </c>
    </row>
    <row r="352" spans="1:4" ht="15" x14ac:dyDescent="0.2">
      <c r="A352" s="2781">
        <v>44212</v>
      </c>
      <c r="B352" s="2786">
        <f>IFERROR(AVERAGE('2018+'!S1071:S1114),"")</f>
        <v>1.5192976645896981</v>
      </c>
      <c r="C352" s="2782">
        <f>IFERROR(AVERAGE('2018+'!N1071:N1114),"")</f>
        <v>1.0412111019008687</v>
      </c>
      <c r="D352" s="2787">
        <f>'2018+'!U1114</f>
        <v>33.382272261445635</v>
      </c>
    </row>
    <row r="353" spans="1:4" ht="15" x14ac:dyDescent="0.2">
      <c r="A353" s="2781">
        <v>44213</v>
      </c>
      <c r="B353" s="2786">
        <f>IFERROR(AVERAGE('2018+'!S1072:S1115),"")</f>
        <v>1.5185863905190979</v>
      </c>
      <c r="C353" s="2782">
        <f>IFERROR(AVERAGE('2018+'!N1072:N1115),"")</f>
        <v>1.0412212775052578</v>
      </c>
      <c r="D353" s="2787">
        <f>'2018+'!U1115</f>
        <v>34.849361017125503</v>
      </c>
    </row>
    <row r="354" spans="1:4" ht="15" x14ac:dyDescent="0.2">
      <c r="A354" s="2781">
        <v>44214</v>
      </c>
      <c r="B354" s="2786">
        <f>IFERROR(AVERAGE('2018+'!S1073:S1116),"")</f>
        <v>1.5185863905190979</v>
      </c>
      <c r="C354" s="2782">
        <f>IFERROR(AVERAGE('2018+'!N1073:N1116),"")</f>
        <v>1.0412212775052578</v>
      </c>
      <c r="D354" s="2787">
        <f>'2018+'!U1116</f>
        <v>34.019614326241559</v>
      </c>
    </row>
    <row r="355" spans="1:4" ht="15" x14ac:dyDescent="0.2">
      <c r="A355" s="2781">
        <v>44215</v>
      </c>
      <c r="B355" s="2786">
        <f>IFERROR(AVERAGE('2018+'!S1074:S1117),"")</f>
        <v>1.5220408298072634</v>
      </c>
      <c r="C355" s="2782">
        <f>IFERROR(AVERAGE('2018+'!N1074:N1117),"")</f>
        <v>1.0411112321801768</v>
      </c>
      <c r="D355" s="2787">
        <f>'2018+'!U1117</f>
        <v>33.209623508950095</v>
      </c>
    </row>
    <row r="356" spans="1:4" ht="15" x14ac:dyDescent="0.2">
      <c r="A356" s="2781">
        <v>44216</v>
      </c>
      <c r="B356" s="2786">
        <f>IFERROR(AVERAGE('2018+'!S1075:S1118),"")</f>
        <v>1.5205263286574457</v>
      </c>
      <c r="C356" s="2782">
        <f>IFERROR(AVERAGE('2018+'!N1075:N1118),"")</f>
        <v>1.0417053394223312</v>
      </c>
      <c r="D356" s="2787">
        <f>'2018+'!U1118</f>
        <v>33.704632473022713</v>
      </c>
    </row>
    <row r="357" spans="1:4" ht="15" x14ac:dyDescent="0.2">
      <c r="A357" s="2781">
        <v>44217</v>
      </c>
      <c r="B357" s="2786">
        <f>IFERROR(AVERAGE('2018+'!S1076:S1119),"")</f>
        <v>1.5182492336534668</v>
      </c>
      <c r="C357" s="2782">
        <f>IFERROR(AVERAGE('2018+'!N1076:N1119),"")</f>
        <v>1.0415019505645646</v>
      </c>
      <c r="D357" s="2787">
        <f>'2018+'!U1119</f>
        <v>32.902141223665026</v>
      </c>
    </row>
    <row r="358" spans="1:4" ht="15" x14ac:dyDescent="0.2">
      <c r="A358" s="2781">
        <v>44218</v>
      </c>
      <c r="B358" s="2786">
        <f>IFERROR(AVERAGE('2018+'!S1077:S1120),"")</f>
        <v>1.5169361640386574</v>
      </c>
      <c r="C358" s="2782">
        <f>IFERROR(AVERAGE('2018+'!N1077:N1120),"")</f>
        <v>1.0415958680470407</v>
      </c>
      <c r="D358" s="2787">
        <f>'2018+'!U1120</f>
        <v>33.547328337387285</v>
      </c>
    </row>
    <row r="359" spans="1:4" ht="15" x14ac:dyDescent="0.2">
      <c r="A359" s="2781">
        <v>44219</v>
      </c>
      <c r="B359" s="2786">
        <f>IFERROR(AVERAGE('2018+'!S1078:S1121),"")</f>
        <v>1.5142461445439948</v>
      </c>
      <c r="C359" s="2782">
        <f>IFERROR(AVERAGE('2018+'!N1078:N1121),"")</f>
        <v>1.0416390180410475</v>
      </c>
      <c r="D359" s="2787">
        <f>'2018+'!U1121</f>
        <v>32.74858242459235</v>
      </c>
    </row>
    <row r="360" spans="1:4" ht="15" x14ac:dyDescent="0.2">
      <c r="A360" s="2781">
        <v>44220</v>
      </c>
      <c r="B360" s="2786">
        <f>IFERROR(AVERAGE('2018+'!S1079:S1122),"")</f>
        <v>1.5142461445439948</v>
      </c>
      <c r="C360" s="2782">
        <f>IFERROR(AVERAGE('2018+'!N1079:N1122),"")</f>
        <v>1.0416390180410475</v>
      </c>
      <c r="D360" s="2787">
        <f>'2018+'!U1122</f>
        <v>31.968854271625865</v>
      </c>
    </row>
    <row r="361" spans="1:4" ht="15" x14ac:dyDescent="0.2">
      <c r="A361" s="2781">
        <v>44221</v>
      </c>
      <c r="B361" s="2786">
        <f>IFERROR(AVERAGE('2018+'!S1080:S1123),"")</f>
        <v>1.5142461445439948</v>
      </c>
      <c r="C361" s="2782">
        <f>IFERROR(AVERAGE('2018+'!N1080:N1123),"")</f>
        <v>1.0416390180410475</v>
      </c>
      <c r="D361" s="2787">
        <f>'2018+'!U1123</f>
        <v>31.207691074682391</v>
      </c>
    </row>
    <row r="362" spans="1:4" ht="15" x14ac:dyDescent="0.2">
      <c r="A362" s="2781">
        <v>44222</v>
      </c>
      <c r="B362" s="2786">
        <f>IFERROR(AVERAGE('2018+'!S1081:S1124),"")</f>
        <v>1.5169672329793689</v>
      </c>
      <c r="C362" s="2782">
        <f>IFERROR(AVERAGE('2018+'!N1081:N1124),"")</f>
        <v>1.0421296000225162</v>
      </c>
      <c r="D362" s="2787">
        <f>'2018+'!U1124</f>
        <v>32.036079382428049</v>
      </c>
    </row>
    <row r="363" spans="1:4" ht="15" x14ac:dyDescent="0.2">
      <c r="A363" s="2781">
        <v>44223</v>
      </c>
      <c r="B363" s="2786">
        <f>IFERROR(AVERAGE('2018+'!S1082:S1125),"")</f>
        <v>1.5133362720582717</v>
      </c>
      <c r="C363" s="2782">
        <f>IFERROR(AVERAGE('2018+'!N1082:N1125),"")</f>
        <v>1.0410523490978068</v>
      </c>
      <c r="D363" s="2787">
        <f>'2018+'!U1125</f>
        <v>33.178077492370235</v>
      </c>
    </row>
    <row r="364" spans="1:4" ht="15" x14ac:dyDescent="0.2">
      <c r="A364" s="2781">
        <v>44224</v>
      </c>
      <c r="B364" s="2786">
        <f>IFERROR(AVERAGE('2018+'!S1083:S1126),"")</f>
        <v>1.5144639434699136</v>
      </c>
      <c r="C364" s="2782">
        <f>IFERROR(AVERAGE('2018+'!N1083:N1126),"")</f>
        <v>1.0407092309450212</v>
      </c>
      <c r="D364" s="2787">
        <f>'2018+'!U1126</f>
        <v>32.388123266361418</v>
      </c>
    </row>
    <row r="365" spans="1:4" ht="15" x14ac:dyDescent="0.2">
      <c r="A365" s="2781">
        <v>44225</v>
      </c>
      <c r="B365" s="2786">
        <f>IFERROR(AVERAGE('2018+'!S1084:S1127),"")</f>
        <v>1.5140978667853837</v>
      </c>
      <c r="C365" s="2782">
        <f>IFERROR(AVERAGE('2018+'!N1084:N1127),"")</f>
        <v>1.0400025829011517</v>
      </c>
      <c r="D365" s="2787">
        <f>'2018+'!U1127</f>
        <v>33.236025093352815</v>
      </c>
    </row>
    <row r="366" spans="1:4" ht="15" x14ac:dyDescent="0.2">
      <c r="A366" s="2781">
        <v>44226</v>
      </c>
      <c r="B366" s="2786">
        <f>IFERROR(AVERAGE('2018+'!S1085:S1128),"")</f>
        <v>1.5134086495574768</v>
      </c>
      <c r="C366" s="2782">
        <f>IFERROR(AVERAGE('2018+'!N1085:N1128),"")</f>
        <v>1.0396473272539988</v>
      </c>
      <c r="D366" s="2787">
        <f>'2018+'!U1128</f>
        <v>32.444691162558698</v>
      </c>
    </row>
    <row r="367" spans="1:4" ht="15" x14ac:dyDescent="0.2">
      <c r="A367" s="2781">
        <v>44227</v>
      </c>
      <c r="B367" s="2786">
        <f>IFERROR(AVERAGE('2018+'!S1086:S1129),"")</f>
        <v>1.5131192679194607</v>
      </c>
      <c r="C367" s="2782">
        <f>IFERROR(AVERAGE('2018+'!N1086:N1129),"")</f>
        <v>1.0398868935239642</v>
      </c>
      <c r="D367" s="2787">
        <f>'2018+'!U1129</f>
        <v>34.172198515831113</v>
      </c>
    </row>
    <row r="368" spans="1:4" ht="15" x14ac:dyDescent="0.2">
      <c r="A368" s="2781">
        <v>44228</v>
      </c>
      <c r="B368" s="2786">
        <f>IFERROR(AVERAGE('2018+'!S1087:S1130),"")</f>
        <v>1.5105356194144437</v>
      </c>
      <c r="C368" s="2782">
        <f>IFERROR(AVERAGE('2018+'!N1087:N1130),"")</f>
        <v>1.0399162791338226</v>
      </c>
      <c r="D368" s="2787">
        <f>'2018+'!U1130</f>
        <v>33.358574741644659</v>
      </c>
    </row>
    <row r="369" spans="1:4" ht="15" x14ac:dyDescent="0.2">
      <c r="A369" s="2781">
        <v>44229</v>
      </c>
      <c r="B369" s="2786">
        <f>IFERROR(AVERAGE('2018+'!S1088:S1131),"")</f>
        <v>1.5118297772682681</v>
      </c>
      <c r="C369" s="2782">
        <f>IFERROR(AVERAGE('2018+'!N1088:N1131),"")</f>
        <v>1.0402767033241014</v>
      </c>
      <c r="D369" s="2787">
        <f>'2018+'!U1131</f>
        <v>34.390932831529234</v>
      </c>
    </row>
    <row r="370" spans="1:4" ht="15" x14ac:dyDescent="0.2">
      <c r="A370" s="2781">
        <v>44230</v>
      </c>
      <c r="B370" s="2786">
        <f>IFERROR(AVERAGE('2018+'!S1089:S1132),"")</f>
        <v>1.5098601719304856</v>
      </c>
      <c r="C370" s="2782">
        <f>IFERROR(AVERAGE('2018+'!N1089:N1132),"")</f>
        <v>1.0402323250259065</v>
      </c>
      <c r="D370" s="2787">
        <f>'2018+'!U1132</f>
        <v>33.572101097445206</v>
      </c>
    </row>
    <row r="371" spans="1:4" ht="15" x14ac:dyDescent="0.2">
      <c r="A371" s="2781">
        <v>44231</v>
      </c>
      <c r="B371" s="2786">
        <f>IFERROR(AVERAGE('2018+'!S1090:S1133),"")</f>
        <v>1.5104383752591586</v>
      </c>
      <c r="C371" s="2782">
        <f>IFERROR(AVERAGE('2018+'!N1090:N1133),"")</f>
        <v>1.0394600460911261</v>
      </c>
      <c r="D371" s="2787">
        <f>'2018+'!U1133</f>
        <v>34.963241547506037</v>
      </c>
    </row>
    <row r="372" spans="1:4" ht="15" x14ac:dyDescent="0.2">
      <c r="A372" s="2781">
        <v>44232</v>
      </c>
      <c r="B372" s="2786">
        <f>IFERROR(AVERAGE('2018+'!S1091:S1134),"")</f>
        <v>1.5148093753362653</v>
      </c>
      <c r="C372" s="2782">
        <f>IFERROR(AVERAGE('2018+'!N1091:N1134),"")</f>
        <v>1.0393469317774344</v>
      </c>
      <c r="D372" s="2787">
        <f>'2018+'!U1134</f>
        <v>35.511735796374943</v>
      </c>
    </row>
    <row r="373" spans="1:4" ht="15" x14ac:dyDescent="0.2">
      <c r="A373" s="2781">
        <v>44233</v>
      </c>
      <c r="B373" s="2786">
        <f>IFERROR(AVERAGE('2018+'!S1092:S1135),"")</f>
        <v>1.5148093753362653</v>
      </c>
      <c r="C373" s="2782">
        <f>IFERROR(AVERAGE('2018+'!N1092:N1135),"")</f>
        <v>1.0393469317774344</v>
      </c>
      <c r="D373" s="2787">
        <f>'2018+'!U1135</f>
        <v>34.666218277413634</v>
      </c>
    </row>
    <row r="374" spans="1:4" ht="15" x14ac:dyDescent="0.2">
      <c r="A374" s="2781">
        <v>44234</v>
      </c>
      <c r="B374" s="2786">
        <f>IFERROR(AVERAGE('2018+'!S1093:S1136),"")</f>
        <v>1.5161080766349668</v>
      </c>
      <c r="C374" s="2782">
        <f>IFERROR(AVERAGE('2018+'!N1093:N1136),"")</f>
        <v>1.0399623723593869</v>
      </c>
      <c r="D374" s="2787">
        <f>'2018+'!U1136</f>
        <v>36.364641651760927</v>
      </c>
    </row>
    <row r="375" spans="1:4" ht="15" x14ac:dyDescent="0.2">
      <c r="A375" s="2781">
        <v>44235</v>
      </c>
      <c r="B375" s="2786">
        <f>IFERROR(AVERAGE('2018+'!S1094:S1137),"")</f>
        <v>1.5161080766349668</v>
      </c>
      <c r="C375" s="2782">
        <f>IFERROR(AVERAGE('2018+'!N1094:N1137),"")</f>
        <v>1.0399623723593869</v>
      </c>
      <c r="D375" s="2787">
        <f>'2018+'!U1137</f>
        <v>35.498816850528527</v>
      </c>
    </row>
    <row r="376" spans="1:4" ht="15" x14ac:dyDescent="0.2">
      <c r="A376" s="2781">
        <v>44236</v>
      </c>
      <c r="B376" s="2786">
        <f>IFERROR(AVERAGE('2018+'!S1095:S1138),"")</f>
        <v>1.5153109986019431</v>
      </c>
      <c r="C376" s="2782">
        <f>IFERROR(AVERAGE('2018+'!N1095:N1138),"")</f>
        <v>1.0400322941237863</v>
      </c>
      <c r="D376" s="2787">
        <f>'2018+'!U1138</f>
        <v>34.653606925515945</v>
      </c>
    </row>
    <row r="377" spans="1:4" ht="15" x14ac:dyDescent="0.2">
      <c r="A377" s="2781">
        <v>44237</v>
      </c>
      <c r="B377" s="2786">
        <f>IFERROR(AVERAGE('2018+'!S1096:S1139),"")</f>
        <v>1.517721649744628</v>
      </c>
      <c r="C377" s="2782">
        <f>IFERROR(AVERAGE('2018+'!N1096:N1139),"")</f>
        <v>1.0405734999834759</v>
      </c>
      <c r="D377" s="2787">
        <f>'2018+'!U1139</f>
        <v>35.209473427289375</v>
      </c>
    </row>
    <row r="378" spans="1:4" ht="15" x14ac:dyDescent="0.2">
      <c r="A378" s="2781">
        <v>44238</v>
      </c>
      <c r="B378" s="2786">
        <f>IFERROR(AVERAGE('2018+'!S1097:S1140),"")</f>
        <v>1.5182153977716828</v>
      </c>
      <c r="C378" s="2782">
        <f>IFERROR(AVERAGE('2018+'!N1097:N1140),"")</f>
        <v>1.0407802037576936</v>
      </c>
      <c r="D378" s="2787">
        <f>'2018+'!U1140</f>
        <v>34.371152631401529</v>
      </c>
    </row>
    <row r="379" spans="1:4" ht="15" x14ac:dyDescent="0.2">
      <c r="A379" s="2781">
        <v>44239</v>
      </c>
      <c r="B379" s="2786">
        <f>IFERROR(AVERAGE('2018+'!S1098:S1141),"")</f>
        <v>1.5158091423174143</v>
      </c>
      <c r="C379" s="2782">
        <f>IFERROR(AVERAGE('2018+'!N1098:N1141),"")</f>
        <v>1.0415938016390556</v>
      </c>
      <c r="D379" s="2787">
        <f>'2018+'!U1141</f>
        <v>35.076601378272919</v>
      </c>
    </row>
    <row r="380" spans="1:4" ht="15" x14ac:dyDescent="0.2">
      <c r="A380" s="2781">
        <v>44240</v>
      </c>
      <c r="B380" s="2786">
        <f>IFERROR(AVERAGE('2018+'!S1099:S1142),"")</f>
        <v>1.5232286252849103</v>
      </c>
      <c r="C380" s="2782">
        <f>IFERROR(AVERAGE('2018+'!N1099:N1142),"")</f>
        <v>1.0415938016390556</v>
      </c>
      <c r="D380" s="2787">
        <f>'2018+'!U1142</f>
        <v>34.241444202599752</v>
      </c>
    </row>
    <row r="381" spans="1:4" ht="15" x14ac:dyDescent="0.2">
      <c r="A381" s="2781">
        <v>44241</v>
      </c>
      <c r="B381" s="2786">
        <f>IFERROR(AVERAGE('2018+'!S1100:S1143),"")</f>
        <v>1.5252793843056422</v>
      </c>
      <c r="C381" s="2782">
        <f>IFERROR(AVERAGE('2018+'!N1100:N1143),"")</f>
        <v>1.0419789853193329</v>
      </c>
      <c r="D381" s="2787">
        <f>'2018+'!U1143</f>
        <v>35.045219340633089</v>
      </c>
    </row>
    <row r="382" spans="1:4" ht="15" x14ac:dyDescent="0.2">
      <c r="A382" s="2781">
        <v>44242</v>
      </c>
      <c r="B382" s="2786">
        <f>IFERROR(AVERAGE('2018+'!S1101:S1144),"")</f>
        <v>1.5224859451849859</v>
      </c>
      <c r="C382" s="2782">
        <f>IFERROR(AVERAGE('2018+'!N1101:N1144),"")</f>
        <v>1.0419536649174941</v>
      </c>
      <c r="D382" s="2787">
        <f>'2018+'!U1144</f>
        <v>34.210809356332298</v>
      </c>
    </row>
    <row r="383" spans="1:4" ht="15" x14ac:dyDescent="0.2">
      <c r="A383" s="2781">
        <v>44243</v>
      </c>
      <c r="B383" s="2786">
        <f>IFERROR(AVERAGE('2018+'!S1102:S1145),"")</f>
        <v>1.5229477357406243</v>
      </c>
      <c r="C383" s="2782">
        <f>IFERROR(AVERAGE('2018+'!N1102:N1145),"")</f>
        <v>1.0423732212843195</v>
      </c>
      <c r="D383" s="2787">
        <f>'2018+'!U1145</f>
        <v>35.015313895467244</v>
      </c>
    </row>
    <row r="384" spans="1:4" ht="15" x14ac:dyDescent="0.2">
      <c r="A384" s="2781">
        <v>44244</v>
      </c>
      <c r="B384" s="2786">
        <f>IFERROR(AVERAGE('2018+'!S1103:S1146),"")</f>
        <v>1.5185262784649447</v>
      </c>
      <c r="C384" s="2782">
        <f>IFERROR(AVERAGE('2018+'!N1103:N1146),"")</f>
        <v>1.0413288471781628</v>
      </c>
      <c r="D384" s="2787">
        <f>'2018+'!U1146</f>
        <v>36.372092136051357</v>
      </c>
    </row>
    <row r="385" spans="1:4" ht="15" x14ac:dyDescent="0.2">
      <c r="A385" s="2781">
        <v>44245</v>
      </c>
      <c r="B385" s="2786">
        <f>IFERROR(AVERAGE('2018+'!S1104:S1147),"")</f>
        <v>1.515209421956599</v>
      </c>
      <c r="C385" s="2782">
        <f>IFERROR(AVERAGE('2018+'!N1104:N1147),"")</f>
        <v>1.0425542612966041</v>
      </c>
      <c r="D385" s="2787">
        <f>'2018+'!U1147</f>
        <v>36.625137561383468</v>
      </c>
    </row>
    <row r="386" spans="1:4" ht="15" x14ac:dyDescent="0.2">
      <c r="A386" s="2781">
        <v>44246</v>
      </c>
      <c r="B386" s="2786">
        <f>IFERROR(AVERAGE('2018+'!S1105:S1148),"")</f>
        <v>1.515209421956599</v>
      </c>
      <c r="C386" s="2782">
        <f>IFERROR(AVERAGE('2018+'!N1105:N1148),"")</f>
        <v>1.0425542612966041</v>
      </c>
      <c r="D386" s="2787">
        <f>'2018+'!U1148</f>
        <v>35.753110476588624</v>
      </c>
    </row>
    <row r="387" spans="1:4" ht="15" x14ac:dyDescent="0.2">
      <c r="A387" s="2781">
        <v>44247</v>
      </c>
      <c r="B387" s="2786">
        <f>IFERROR(AVERAGE('2018+'!S1106:S1149),"")</f>
        <v>1.5111797636716218</v>
      </c>
      <c r="C387" s="2782">
        <f>IFERROR(AVERAGE('2018+'!N1106:N1149),"")</f>
        <v>1.0426775224451961</v>
      </c>
      <c r="D387" s="2787">
        <f>'2018+'!U1149</f>
        <v>37.354226893812701</v>
      </c>
    </row>
    <row r="388" spans="1:4" ht="15" x14ac:dyDescent="0.2">
      <c r="A388" s="2781">
        <v>44248</v>
      </c>
      <c r="B388" s="2786">
        <f>IFERROR(AVERAGE('2018+'!S1107:S1150),"")</f>
        <v>1.5058370560666217</v>
      </c>
      <c r="C388" s="2782">
        <f>IFERROR(AVERAGE('2018+'!N1107:N1150),"")</f>
        <v>1.0435222331259912</v>
      </c>
      <c r="D388" s="2787">
        <f>'2018+'!U1150</f>
        <v>36.464840539198114</v>
      </c>
    </row>
    <row r="389" spans="1:4" ht="15" x14ac:dyDescent="0.2">
      <c r="A389" s="2781">
        <v>44249</v>
      </c>
      <c r="B389" s="2786">
        <f>IFERROR(AVERAGE('2018+'!S1108:S1151),"")</f>
        <v>1.5078774006854643</v>
      </c>
      <c r="C389" s="2782">
        <f>IFERROR(AVERAGE('2018+'!N1108:N1151),"")</f>
        <v>1.0437241166212634</v>
      </c>
      <c r="D389" s="2787">
        <f>'2018+'!U1151</f>
        <v>37.144249097788638</v>
      </c>
    </row>
    <row r="390" spans="1:4" ht="15" x14ac:dyDescent="0.2">
      <c r="A390" s="2781">
        <v>44250</v>
      </c>
      <c r="B390" s="2786">
        <f>IFERROR(AVERAGE('2018+'!S1109:S1152),"")</f>
        <v>1.5072020948357523</v>
      </c>
      <c r="C390" s="2782">
        <f>IFERROR(AVERAGE('2018+'!N1109:N1152),"")</f>
        <v>1.0433858419927133</v>
      </c>
      <c r="D390" s="2787">
        <f>'2018+'!U1152</f>
        <v>36.259862214507955</v>
      </c>
    </row>
    <row r="391" spans="1:4" ht="15" x14ac:dyDescent="0.2">
      <c r="A391" s="2781">
        <v>44251</v>
      </c>
      <c r="B391" s="2786">
        <f>IFERROR(AVERAGE('2018+'!S1110:S1153),"")</f>
        <v>1.5077838177977638</v>
      </c>
      <c r="C391" s="2782">
        <f>IFERROR(AVERAGE('2018+'!N1110:N1153),"")</f>
        <v>1.0424174975940177</v>
      </c>
      <c r="D391" s="2787">
        <f>'2018+'!U1153</f>
        <v>37.372722637972053</v>
      </c>
    </row>
    <row r="392" spans="1:4" ht="15" x14ac:dyDescent="0.2">
      <c r="A392" s="2781">
        <v>44252</v>
      </c>
      <c r="B392" s="2786">
        <f>IFERROR(AVERAGE('2018+'!S1111:S1154),"")</f>
        <v>1.5127107090882914</v>
      </c>
      <c r="C392" s="2782">
        <f>IFERROR(AVERAGE('2018+'!N1111:N1154),"")</f>
        <v>1.0428427758719037</v>
      </c>
      <c r="D392" s="2787">
        <f>'2018+'!U1154</f>
        <v>37.840038765639385</v>
      </c>
    </row>
    <row r="393" spans="1:4" ht="15" x14ac:dyDescent="0.2">
      <c r="A393" s="2781">
        <v>44253</v>
      </c>
      <c r="B393" s="2786">
        <f>IFERROR(AVERAGE('2018+'!S1112:S1155),"")</f>
        <v>1.5127107090882914</v>
      </c>
      <c r="C393" s="2782">
        <f>IFERROR(AVERAGE('2018+'!N1112:N1155),"")</f>
        <v>1.0428427758719037</v>
      </c>
      <c r="D393" s="2787">
        <f>'2018+'!U1155</f>
        <v>36.939085461695591</v>
      </c>
    </row>
    <row r="394" spans="1:4" ht="15" x14ac:dyDescent="0.2">
      <c r="A394" s="2781">
        <v>44254</v>
      </c>
      <c r="B394" s="2786">
        <f>IFERROR(AVERAGE('2018+'!S1113:S1156),"")</f>
        <v>1.5142680534960733</v>
      </c>
      <c r="C394" s="2782">
        <f>IFERROR(AVERAGE('2018+'!N1113:N1156),"")</f>
        <v>1.0428731221716314</v>
      </c>
      <c r="D394" s="2787">
        <f>'2018+'!U1156</f>
        <v>39.011964379274268</v>
      </c>
    </row>
    <row r="395" spans="1:4" ht="15" x14ac:dyDescent="0.2">
      <c r="A395" s="2781">
        <v>44255</v>
      </c>
      <c r="B395" s="2786">
        <f>IFERROR(AVERAGE('2018+'!S1114:S1157),"")</f>
        <v>1.5142680534960733</v>
      </c>
      <c r="C395" s="2782">
        <f>IFERROR(AVERAGE('2018+'!N1114:N1157),"")</f>
        <v>1.0428731221716314</v>
      </c>
      <c r="D395" s="2787">
        <f>'2018+'!U1157</f>
        <v>38.083108084529641</v>
      </c>
    </row>
    <row r="396" spans="1:4" ht="15" x14ac:dyDescent="0.2">
      <c r="A396" s="2781">
        <v>44256</v>
      </c>
      <c r="B396" s="2786">
        <f>IFERROR(AVERAGE('2018+'!S1115:S1158),"")</f>
        <v>1.5142680534960733</v>
      </c>
      <c r="C396" s="2782">
        <f>IFERROR(AVERAGE('2018+'!N1115:N1158),"")</f>
        <v>1.0428731221716314</v>
      </c>
      <c r="D396" s="2787">
        <f>'2018+'!U1158</f>
        <v>38.652557892040839</v>
      </c>
    </row>
    <row r="397" spans="1:4" ht="15" x14ac:dyDescent="0.2">
      <c r="A397" s="2781">
        <v>44257</v>
      </c>
      <c r="B397" s="2786">
        <f>IFERROR(AVERAGE('2018+'!S1116:S1159),"")</f>
        <v>1.5147736924703392</v>
      </c>
      <c r="C397" s="2782">
        <f>IFERROR(AVERAGE('2018+'!N1116:N1159),"")</f>
        <v>1.0429420903896593</v>
      </c>
      <c r="D397" s="2787">
        <f>'2018+'!U1159</f>
        <v>37.732258894611299</v>
      </c>
    </row>
    <row r="398" spans="1:4" ht="15" x14ac:dyDescent="0.2">
      <c r="A398" s="2781">
        <v>44258</v>
      </c>
      <c r="B398" s="2786">
        <f>IFERROR(AVERAGE('2018+'!S1117:S1160),"")</f>
        <v>1.5169245020520499</v>
      </c>
      <c r="C398" s="2782">
        <f>IFERROR(AVERAGE('2018+'!N1117:N1160),"")</f>
        <v>1.0425144324176008</v>
      </c>
      <c r="D398" s="2787">
        <f>'2018+'!U1160</f>
        <v>38.976728920930078</v>
      </c>
    </row>
    <row r="399" spans="1:4" ht="15" x14ac:dyDescent="0.2">
      <c r="A399" s="2781">
        <v>44259</v>
      </c>
      <c r="B399" s="2786">
        <f>IFERROR(AVERAGE('2018+'!S1118:S1161),"")</f>
        <v>1.5207387046928604</v>
      </c>
      <c r="C399" s="2782">
        <f>IFERROR(AVERAGE('2018+'!N1118:N1161),"")</f>
        <v>1.0427520131195567</v>
      </c>
      <c r="D399" s="2787">
        <f>'2018+'!U1161</f>
        <v>39.405854422812695</v>
      </c>
    </row>
    <row r="400" spans="1:4" ht="15" x14ac:dyDescent="0.2">
      <c r="A400" s="2781">
        <v>44260</v>
      </c>
      <c r="B400" s="2786">
        <f>IFERROR(AVERAGE('2018+'!S1119:S1162),"")</f>
        <v>1.5221940183374782</v>
      </c>
      <c r="C400" s="2782">
        <f>IFERROR(AVERAGE('2018+'!N1119:N1162),"")</f>
        <v>1.0422594917038359</v>
      </c>
      <c r="D400" s="2787">
        <f>'2018+'!U1162</f>
        <v>38.467619793698105</v>
      </c>
    </row>
    <row r="401" spans="1:4" ht="15" x14ac:dyDescent="0.2">
      <c r="A401" s="2781">
        <v>44261</v>
      </c>
      <c r="B401" s="2786">
        <f>IFERROR(AVERAGE('2018+'!S1120:S1163),"")</f>
        <v>1.526996585419522</v>
      </c>
      <c r="C401" s="2782">
        <f>IFERROR(AVERAGE('2018+'!N1120:N1163),"")</f>
        <v>1.0422189476537829</v>
      </c>
      <c r="D401" s="2787">
        <f>'2018+'!U1163</f>
        <v>40.766009798610057</v>
      </c>
    </row>
    <row r="402" spans="1:4" ht="15" x14ac:dyDescent="0.2">
      <c r="A402" s="2781">
        <v>44262</v>
      </c>
      <c r="B402" s="2786">
        <f>IFERROR(AVERAGE('2018+'!S1121:S1164),"")</f>
        <v>1.5287072619327888</v>
      </c>
      <c r="C402" s="2782">
        <f>IFERROR(AVERAGE('2018+'!N1121:N1164),"")</f>
        <v>1.0421618899245653</v>
      </c>
      <c r="D402" s="2787">
        <f>'2018+'!U1164</f>
        <v>39.79539051769077</v>
      </c>
    </row>
    <row r="403" spans="1:4" ht="15" x14ac:dyDescent="0.2">
      <c r="A403" s="2781">
        <v>44263</v>
      </c>
      <c r="B403" s="2786">
        <f>IFERROR(AVERAGE('2018+'!S1122:S1165),"")</f>
        <v>1.5302946588619872</v>
      </c>
      <c r="C403" s="2782">
        <f>IFERROR(AVERAGE('2018+'!N1122:N1165),"")</f>
        <v>1.0424400331572641</v>
      </c>
      <c r="D403" s="2787">
        <f>'2018+'!U1165</f>
        <v>40.371690743460036</v>
      </c>
    </row>
    <row r="404" spans="1:4" ht="15" x14ac:dyDescent="0.2">
      <c r="A404" s="2781">
        <v>44264</v>
      </c>
      <c r="B404" s="2786">
        <f>IFERROR(AVERAGE('2018+'!S1123:S1166),"")</f>
        <v>1.5302946588619872</v>
      </c>
      <c r="C404" s="2782">
        <f>IFERROR(AVERAGE('2018+'!N1123:N1166),"")</f>
        <v>1.0424400331572641</v>
      </c>
      <c r="D404" s="2787">
        <f>'2018+'!U1166</f>
        <v>39.410460011472892</v>
      </c>
    </row>
    <row r="405" spans="1:4" ht="15" x14ac:dyDescent="0.2">
      <c r="A405" s="2781">
        <v>44265</v>
      </c>
      <c r="B405" s="2786">
        <f>IFERROR(AVERAGE('2018+'!S1124:S1167),"")</f>
        <v>1.5317897343505809</v>
      </c>
      <c r="C405" s="2782">
        <f>IFERROR(AVERAGE('2018+'!N1124:N1167),"")</f>
        <v>1.0428494875075234</v>
      </c>
      <c r="D405" s="2787">
        <f>'2018+'!U1167</f>
        <v>39.900687154056868</v>
      </c>
    </row>
    <row r="406" spans="1:4" ht="15" x14ac:dyDescent="0.2">
      <c r="A406" s="2781">
        <v>44266</v>
      </c>
      <c r="B406" s="2786">
        <f>IFERROR(AVERAGE('2018+'!S1125:S1168),"")</f>
        <v>1.5313085426763824</v>
      </c>
      <c r="C406" s="2782">
        <f>IFERROR(AVERAGE('2018+'!N1125:N1168),"")</f>
        <v>1.0426120968320702</v>
      </c>
      <c r="D406" s="2787">
        <f>'2018+'!U1168</f>
        <v>38.95067079324599</v>
      </c>
    </row>
    <row r="407" spans="1:4" ht="15" x14ac:dyDescent="0.2">
      <c r="A407" s="2781">
        <v>44267</v>
      </c>
      <c r="B407" s="2786">
        <f>IFERROR(AVERAGE('2018+'!S1126:S1169),"")</f>
        <v>1.536892505661777</v>
      </c>
      <c r="C407" s="2782">
        <f>IFERROR(AVERAGE('2018+'!N1126:N1169),"")</f>
        <v>1.0432552660958081</v>
      </c>
      <c r="D407" s="2787">
        <f>'2018+'!U1169</f>
        <v>39.737559583882991</v>
      </c>
    </row>
    <row r="408" spans="1:4" ht="15" x14ac:dyDescent="0.2">
      <c r="A408" s="2781">
        <v>44268</v>
      </c>
      <c r="B408" s="2786">
        <f>IFERROR(AVERAGE('2018+'!S1127:S1170),"")</f>
        <v>1.536892505661777</v>
      </c>
      <c r="C408" s="2782">
        <f>IFERROR(AVERAGE('2018+'!N1127:N1170),"")</f>
        <v>1.0432552660958081</v>
      </c>
      <c r="D408" s="2787">
        <f>'2018+'!U1170</f>
        <v>38.791427212838158</v>
      </c>
    </row>
    <row r="409" spans="1:4" ht="15" x14ac:dyDescent="0.2">
      <c r="A409" s="2781">
        <v>44269</v>
      </c>
      <c r="B409" s="2786">
        <f>IFERROR(AVERAGE('2018+'!S1128:S1171),"")</f>
        <v>1.5401829098282354</v>
      </c>
      <c r="C409" s="2782">
        <f>IFERROR(AVERAGE('2018+'!N1128:N1171),"")</f>
        <v>1.0440779575834609</v>
      </c>
      <c r="D409" s="2787">
        <f>'2018+'!U1171</f>
        <v>40.177345612532491</v>
      </c>
    </row>
    <row r="410" spans="1:4" ht="15" x14ac:dyDescent="0.2">
      <c r="A410" s="2781">
        <v>44270</v>
      </c>
      <c r="B410" s="2786">
        <f>IFERROR(AVERAGE('2018+'!S1129:S1172),"")</f>
        <v>1.5401829098282354</v>
      </c>
      <c r="C410" s="2782">
        <f>IFERROR(AVERAGE('2018+'!N1129:N1172),"")</f>
        <v>1.0440779575834609</v>
      </c>
      <c r="D410" s="2787">
        <f>'2018+'!U1172</f>
        <v>39.220742145567435</v>
      </c>
    </row>
    <row r="411" spans="1:4" ht="15" x14ac:dyDescent="0.2">
      <c r="A411" s="2781">
        <v>44271</v>
      </c>
      <c r="B411" s="2786">
        <f>IFERROR(AVERAGE('2018+'!S1130:S1173),"")</f>
        <v>1.5440254139068059</v>
      </c>
      <c r="C411" s="2782">
        <f>IFERROR(AVERAGE('2018+'!N1130:N1173),"")</f>
        <v>1.0442453937847294</v>
      </c>
      <c r="D411" s="2787">
        <f>'2018+'!U1173</f>
        <v>39.501200665911071</v>
      </c>
    </row>
    <row r="412" spans="1:4" ht="15" x14ac:dyDescent="0.2">
      <c r="A412" s="2781">
        <v>44272</v>
      </c>
      <c r="B412" s="2786">
        <f>IFERROR(AVERAGE('2018+'!S1131:S1174),"")</f>
        <v>1.5440254139068059</v>
      </c>
      <c r="C412" s="2782">
        <f>IFERROR(AVERAGE('2018+'!N1131:N1174),"")</f>
        <v>1.0442453937847294</v>
      </c>
      <c r="D412" s="2787">
        <f>'2018+'!U1174</f>
        <v>38.560695888151287</v>
      </c>
    </row>
    <row r="413" spans="1:4" ht="15" x14ac:dyDescent="0.2">
      <c r="A413" s="2781">
        <v>44273</v>
      </c>
      <c r="B413" s="2786">
        <f>IFERROR(AVERAGE('2018+'!S1132:S1175),"")</f>
        <v>1.5403804278891764</v>
      </c>
      <c r="C413" s="2782">
        <f>IFERROR(AVERAGE('2018+'!N1132:N1175),"")</f>
        <v>1.043188501245317</v>
      </c>
      <c r="D413" s="2787">
        <f>'2018+'!U1175</f>
        <v>39.261631700338164</v>
      </c>
    </row>
    <row r="414" spans="1:4" ht="15" x14ac:dyDescent="0.2">
      <c r="A414" s="2781">
        <v>44274</v>
      </c>
      <c r="B414" s="2786">
        <f>IFERROR(AVERAGE('2018+'!S1133:S1176),"")</f>
        <v>1.5403804278891764</v>
      </c>
      <c r="C414" s="2782">
        <f>IFERROR(AVERAGE('2018+'!N1133:N1176),"")</f>
        <v>1.043188501245317</v>
      </c>
      <c r="D414" s="2787">
        <f>'2018+'!U1176</f>
        <v>38.326830945568204</v>
      </c>
    </row>
    <row r="415" spans="1:4" ht="15" x14ac:dyDescent="0.2">
      <c r="A415" s="2781">
        <v>44275</v>
      </c>
      <c r="B415" s="2786">
        <f>IFERROR(AVERAGE('2018+'!S1134:S1177),"")</f>
        <v>1.5406589001537454</v>
      </c>
      <c r="C415" s="2782">
        <f>IFERROR(AVERAGE('2018+'!N1134:N1177),"")</f>
        <v>1.0442285272350178</v>
      </c>
      <c r="D415" s="2787">
        <f>'2018+'!U1177</f>
        <v>38.700001637340392</v>
      </c>
    </row>
    <row r="416" spans="1:4" ht="15" x14ac:dyDescent="0.2">
      <c r="A416" s="2781">
        <v>44276</v>
      </c>
      <c r="B416" s="2786">
        <f>IFERROR(AVERAGE('2018+'!S1135:S1178),"")</f>
        <v>1.5412925975583744</v>
      </c>
      <c r="C416" s="2782">
        <f>IFERROR(AVERAGE('2018+'!N1135:N1178),"")</f>
        <v>1.0442582383762189</v>
      </c>
      <c r="D416" s="2787">
        <f>'2018+'!U1178</f>
        <v>37.778573026927525</v>
      </c>
    </row>
    <row r="417" spans="1:4" ht="15" x14ac:dyDescent="0.2">
      <c r="A417" s="2781">
        <v>44277</v>
      </c>
      <c r="B417" s="2786">
        <f>IFERROR(AVERAGE('2018+'!S1136:S1179),"")</f>
        <v>1.5382725274869449</v>
      </c>
      <c r="C417" s="2782">
        <f>IFERROR(AVERAGE('2018+'!N1136:N1179),"")</f>
        <v>1.0443972702587905</v>
      </c>
      <c r="D417" s="2787">
        <f>'2018+'!U1179</f>
        <v>38.33146414533401</v>
      </c>
    </row>
    <row r="418" spans="1:4" ht="15" x14ac:dyDescent="0.2">
      <c r="A418" s="2781">
        <v>44278</v>
      </c>
      <c r="B418" s="2786">
        <f>IFERROR(AVERAGE('2018+'!S1137:S1180),"")</f>
        <v>1.5400121878272606</v>
      </c>
      <c r="C418" s="2782">
        <f>IFERROR(AVERAGE('2018+'!N1137:N1180),"")</f>
        <v>1.0440145164741252</v>
      </c>
      <c r="D418" s="2787">
        <f>'2018+'!U1180</f>
        <v>37.418810237111771</v>
      </c>
    </row>
    <row r="419" spans="1:4" ht="15" x14ac:dyDescent="0.2">
      <c r="A419" s="2781">
        <v>44279</v>
      </c>
      <c r="B419" s="2786">
        <f>IFERROR(AVERAGE('2018+'!S1138:S1181),"")</f>
        <v>1.540687986424143</v>
      </c>
      <c r="C419" s="2782">
        <f>IFERROR(AVERAGE('2018+'!N1138:N1181),"")</f>
        <v>1.0436756280629402</v>
      </c>
      <c r="D419" s="2787">
        <f>'2018+'!U1181</f>
        <v>37.956457612418632</v>
      </c>
    </row>
    <row r="420" spans="1:4" ht="15" x14ac:dyDescent="0.2">
      <c r="A420" s="2781">
        <v>44280</v>
      </c>
      <c r="B420" s="2786">
        <f>IFERROR(AVERAGE('2018+'!S1139:S1182),"")</f>
        <v>1.540687986424143</v>
      </c>
      <c r="C420" s="2782">
        <f>IFERROR(AVERAGE('2018+'!N1139:N1182),"")</f>
        <v>1.0436756280629402</v>
      </c>
      <c r="D420" s="2787">
        <f>'2018+'!U1182</f>
        <v>37.052732431170568</v>
      </c>
    </row>
    <row r="421" spans="1:4" ht="15" x14ac:dyDescent="0.2">
      <c r="A421" s="2781">
        <v>44281</v>
      </c>
      <c r="B421" s="2786">
        <f>IFERROR(AVERAGE('2018+'!S1140:S1183),"")</f>
        <v>1.5400221159584599</v>
      </c>
      <c r="C421" s="2782">
        <f>IFERROR(AVERAGE('2018+'!N1140:N1183),"")</f>
        <v>1.04331690669463</v>
      </c>
      <c r="D421" s="2787">
        <f>'2018+'!U1183</f>
        <v>37.051476897095078</v>
      </c>
    </row>
    <row r="422" spans="1:4" ht="15" x14ac:dyDescent="0.2">
      <c r="A422" s="2781">
        <v>44282</v>
      </c>
      <c r="B422" s="2786">
        <f>IFERROR(AVERAGE('2018+'!S1141:S1184),"")</f>
        <v>1.5400221159584599</v>
      </c>
      <c r="C422" s="2782">
        <f>IFERROR(AVERAGE('2018+'!N1141:N1184),"")</f>
        <v>1.04331690669463</v>
      </c>
      <c r="D422" s="2787">
        <f>'2018+'!U1184</f>
        <v>36.16929887573567</v>
      </c>
    </row>
    <row r="423" spans="1:4" ht="15" x14ac:dyDescent="0.2">
      <c r="A423" s="2781">
        <v>44283</v>
      </c>
      <c r="B423" s="2786">
        <f>IFERROR(AVERAGE('2018+'!S1142:S1185),"")</f>
        <v>1.5434195858757638</v>
      </c>
      <c r="C423" s="2782">
        <f>IFERROR(AVERAGE('2018+'!N1142:N1185),"")</f>
        <v>1.0426555952140999</v>
      </c>
      <c r="D423" s="2787">
        <f>'2018+'!U1185</f>
        <v>35.308125092980056</v>
      </c>
    </row>
    <row r="424" spans="1:4" ht="15" x14ac:dyDescent="0.2">
      <c r="A424" s="2781">
        <v>44284</v>
      </c>
      <c r="B424" s="2786">
        <f>IFERROR(AVERAGE('2018+'!S1143:S1186),"")</f>
        <v>1.5436251755397805</v>
      </c>
      <c r="C424" s="2782">
        <f>IFERROR(AVERAGE('2018+'!N1143:N1186),"")</f>
        <v>1.0432218619192113</v>
      </c>
      <c r="D424" s="2787">
        <f>'2018+'!U1186</f>
        <v>35.681741162194818</v>
      </c>
    </row>
    <row r="425" spans="1:4" ht="15" x14ac:dyDescent="0.2">
      <c r="A425" s="2781">
        <v>44285</v>
      </c>
      <c r="B425" s="2786">
        <f>IFERROR(AVERAGE('2018+'!S1144:S1187),"")</f>
        <v>1.5425015324397249</v>
      </c>
      <c r="C425" s="2782">
        <f>IFERROR(AVERAGE('2018+'!N1144:N1187),"")</f>
        <v>1.042910680978941</v>
      </c>
      <c r="D425" s="2787">
        <f>'2018+'!U1187</f>
        <v>34.832175896428275</v>
      </c>
    </row>
    <row r="426" spans="1:4" ht="15" x14ac:dyDescent="0.2">
      <c r="A426" s="2781">
        <v>44286</v>
      </c>
      <c r="B426" s="2786">
        <f>IFERROR(AVERAGE('2018+'!S1145:S1188),"")</f>
        <v>1.5415988193090751</v>
      </c>
      <c r="C426" s="2782">
        <f>IFERROR(AVERAGE('2018+'!N1145:N1188),"")</f>
        <v>1.0439165112024393</v>
      </c>
      <c r="D426" s="2787">
        <f>'2018+'!U1188</f>
        <v>35.264743136989509</v>
      </c>
    </row>
    <row r="427" spans="1:4" ht="15" x14ac:dyDescent="0.2">
      <c r="A427" s="2781">
        <v>44287</v>
      </c>
      <c r="B427" s="2786">
        <f>IFERROR(AVERAGE('2018+'!S1146:S1189),"")</f>
        <v>1.5408922721348122</v>
      </c>
      <c r="C427" s="2782">
        <f>IFERROR(AVERAGE('2018+'!N1146:N1189),"")</f>
        <v>1.0434234392470574</v>
      </c>
      <c r="D427" s="2787">
        <f>'2018+'!U1189</f>
        <v>34.425106395632618</v>
      </c>
    </row>
    <row r="428" spans="1:4" ht="15" x14ac:dyDescent="0.2">
      <c r="A428" s="2781">
        <v>44288</v>
      </c>
      <c r="B428" s="2786">
        <f>IFERROR(AVERAGE('2018+'!S1147:S1190),"")</f>
        <v>1.5497760147142068</v>
      </c>
      <c r="C428" s="2782">
        <f>IFERROR(AVERAGE('2018+'!N1147:N1190),"")</f>
        <v>1.0433022734440898</v>
      </c>
      <c r="D428" s="2787">
        <f>'2018+'!U1190</f>
        <v>35.367365767165175</v>
      </c>
    </row>
    <row r="429" spans="1:4" ht="15" x14ac:dyDescent="0.2">
      <c r="A429" s="2781">
        <v>44289</v>
      </c>
      <c r="B429" s="2786">
        <f>IFERROR(AVERAGE('2018+'!S1148:S1191),"")</f>
        <v>1.5544390700886044</v>
      </c>
      <c r="C429" s="2782">
        <f>IFERROR(AVERAGE('2018+'!N1148:N1191),"")</f>
        <v>1.0425867350817632</v>
      </c>
      <c r="D429" s="2787">
        <f>'2018+'!U1191</f>
        <v>34.525285629851716</v>
      </c>
    </row>
    <row r="430" spans="1:4" ht="15" x14ac:dyDescent="0.2">
      <c r="A430" s="2781">
        <v>44290</v>
      </c>
      <c r="B430" s="2786">
        <f>IFERROR(AVERAGE('2018+'!S1149:S1192),"")</f>
        <v>1.5544390700886044</v>
      </c>
      <c r="C430" s="2782">
        <f>IFERROR(AVERAGE('2018+'!N1149:N1192),"")</f>
        <v>1.0425867350817632</v>
      </c>
      <c r="D430" s="2787">
        <f>'2018+'!U1192</f>
        <v>33.703255019617153</v>
      </c>
    </row>
    <row r="431" spans="1:4" ht="15" x14ac:dyDescent="0.2">
      <c r="A431" s="2781">
        <v>44291</v>
      </c>
      <c r="B431" s="2786">
        <f>IFERROR(AVERAGE('2018+'!S1150:S1193),"")</f>
        <v>1.5571610235930351</v>
      </c>
      <c r="C431" s="2782">
        <f>IFERROR(AVERAGE('2018+'!N1150:N1193),"")</f>
        <v>1.0424809820848382</v>
      </c>
      <c r="D431" s="2787">
        <f>'2018+'!U1193</f>
        <v>32.900796566769124</v>
      </c>
    </row>
    <row r="432" spans="1:4" ht="15" x14ac:dyDescent="0.2">
      <c r="A432" s="2781">
        <v>44292</v>
      </c>
      <c r="B432" s="2786">
        <f>IFERROR(AVERAGE('2018+'!S1151:S1194),"")</f>
        <v>1.5571610235930351</v>
      </c>
      <c r="C432" s="2782">
        <f>IFERROR(AVERAGE('2018+'!N1151:N1194),"")</f>
        <v>1.0424809820848382</v>
      </c>
      <c r="D432" s="2787">
        <f>'2018+'!U1194</f>
        <v>32.117444267560337</v>
      </c>
    </row>
    <row r="433" spans="1:4" ht="15" x14ac:dyDescent="0.2">
      <c r="A433" s="2781">
        <v>44293</v>
      </c>
      <c r="B433" s="2786">
        <f>IFERROR(AVERAGE('2018+'!S1152:S1195),"")</f>
        <v>1.5574997807462916</v>
      </c>
      <c r="C433" s="2782">
        <f>IFERROR(AVERAGE('2018+'!N1152:N1195),"")</f>
        <v>1.0421924195618306</v>
      </c>
      <c r="D433" s="2787">
        <f>'2018+'!U1195</f>
        <v>31.352743213570804</v>
      </c>
    </row>
    <row r="434" spans="1:4" ht="15" x14ac:dyDescent="0.2">
      <c r="A434" s="2781">
        <v>44294</v>
      </c>
      <c r="B434" s="2786">
        <f>IFERROR(AVERAGE('2018+'!S1153:S1196),"")</f>
        <v>1.5555646413330373</v>
      </c>
      <c r="C434" s="2782">
        <f>IFERROR(AVERAGE('2018+'!N1153:N1196),"")</f>
        <v>1.0430069615526782</v>
      </c>
      <c r="D434" s="2787">
        <f>'2018+'!U1196</f>
        <v>32.2014874227715</v>
      </c>
    </row>
    <row r="435" spans="1:4" ht="15" x14ac:dyDescent="0.2">
      <c r="A435" s="2781">
        <v>44295</v>
      </c>
      <c r="B435" s="2786">
        <f>IFERROR(AVERAGE('2018+'!S1154:S1197),"")</f>
        <v>1.5574364645610919</v>
      </c>
      <c r="C435" s="2782">
        <f>IFERROR(AVERAGE('2018+'!N1154:N1197),"")</f>
        <v>1.0441082613595871</v>
      </c>
      <c r="D435" s="2787">
        <f>'2018+'!U1197</f>
        <v>31.434785341276939</v>
      </c>
    </row>
    <row r="436" spans="1:4" ht="15" x14ac:dyDescent="0.2">
      <c r="A436" s="2781">
        <v>44296</v>
      </c>
      <c r="B436" s="2786">
        <f>IFERROR(AVERAGE('2018+'!S1155:S1198),"")</f>
        <v>1.5574364645610919</v>
      </c>
      <c r="C436" s="2782">
        <f>IFERROR(AVERAGE('2018+'!N1155:N1198),"")</f>
        <v>1.0440165250717741</v>
      </c>
      <c r="D436" s="2787">
        <f>'2018+'!U1198</f>
        <v>32.305385690294152</v>
      </c>
    </row>
    <row r="437" spans="1:4" ht="15" x14ac:dyDescent="0.2">
      <c r="A437" s="2781">
        <v>44297</v>
      </c>
      <c r="B437" s="2786">
        <f>IFERROR(AVERAGE('2018+'!S1156:S1199),"")</f>
        <v>1.5574364645610919</v>
      </c>
      <c r="C437" s="2782">
        <f>IFERROR(AVERAGE('2018+'!N1156:N1199),"")</f>
        <v>1.0440165250717741</v>
      </c>
      <c r="D437" s="2787">
        <f>'2018+'!U1199</f>
        <v>31.536209840525242</v>
      </c>
    </row>
    <row r="438" spans="1:4" ht="15" x14ac:dyDescent="0.2">
      <c r="A438" s="2781">
        <v>44298</v>
      </c>
      <c r="B438" s="2786">
        <f>IFERROR(AVERAGE('2018+'!S1157:S1200),"")</f>
        <v>1.556950908670695</v>
      </c>
      <c r="C438" s="2782">
        <f>IFERROR(AVERAGE('2018+'!N1157:N1200),"")</f>
        <v>1.0443447774226726</v>
      </c>
      <c r="D438" s="2787">
        <f>'2018+'!U1200</f>
        <v>30.785347701465117</v>
      </c>
    </row>
    <row r="439" spans="1:4" ht="15" x14ac:dyDescent="0.2">
      <c r="A439" s="2781">
        <v>44299</v>
      </c>
      <c r="B439" s="2786">
        <f>IFERROR(AVERAGE('2018+'!S1158:S1201),"")</f>
        <v>1.5551144831369432</v>
      </c>
      <c r="C439" s="2782">
        <f>IFERROR(AVERAGE('2018+'!N1158:N1201),"")</f>
        <v>1.0448173406149013</v>
      </c>
      <c r="D439" s="2787">
        <f>'2018+'!U1201</f>
        <v>31.290458470477851</v>
      </c>
    </row>
    <row r="440" spans="1:4" ht="15" x14ac:dyDescent="0.2">
      <c r="A440" s="2781">
        <v>44300</v>
      </c>
      <c r="B440" s="2786">
        <f>IFERROR(AVERAGE('2018+'!S1159:S1202),"")</f>
        <v>1.5551144831369432</v>
      </c>
      <c r="C440" s="2782">
        <f>IFERROR(AVERAGE('2018+'!N1159:N1202),"")</f>
        <v>1.0448173406149013</v>
      </c>
      <c r="D440" s="2787">
        <f>'2018+'!U1202</f>
        <v>30.545447554514094</v>
      </c>
    </row>
    <row r="441" spans="1:4" ht="15" x14ac:dyDescent="0.2">
      <c r="A441" s="2781">
        <v>44301</v>
      </c>
      <c r="B441" s="2786">
        <f>IFERROR(AVERAGE('2018+'!S1160:S1203),"")</f>
        <v>1.5551144831369432</v>
      </c>
      <c r="C441" s="2782">
        <f>IFERROR(AVERAGE('2018+'!N1160:N1203),"")</f>
        <v>1.0448173406149013</v>
      </c>
      <c r="D441" s="2787">
        <f>'2018+'!U1203</f>
        <v>29.818174993692331</v>
      </c>
    </row>
    <row r="442" spans="1:4" ht="15" x14ac:dyDescent="0.2">
      <c r="A442" s="2781">
        <v>44302</v>
      </c>
      <c r="B442" s="2786">
        <f>IFERROR(AVERAGE('2018+'!S1161:S1204),"")</f>
        <v>1.5547268709074418</v>
      </c>
      <c r="C442" s="2782">
        <f>IFERROR(AVERAGE('2018+'!N1161:N1204),"")</f>
        <v>1.0454442142599309</v>
      </c>
      <c r="D442" s="2787">
        <f>'2018+'!U1204</f>
        <v>29.108218446223464</v>
      </c>
    </row>
    <row r="443" spans="1:4" ht="15" x14ac:dyDescent="0.2">
      <c r="A443" s="2781">
        <v>44303</v>
      </c>
      <c r="B443" s="2786">
        <f>IFERROR(AVERAGE('2018+'!S1162:S1205),"")</f>
        <v>1.5511111588259439</v>
      </c>
      <c r="C443" s="2782">
        <f>IFERROR(AVERAGE('2018+'!N1162:N1205),"")</f>
        <v>1.0455756388779935</v>
      </c>
      <c r="D443" s="2787">
        <f>'2018+'!U1205</f>
        <v>29.986594197503859</v>
      </c>
    </row>
    <row r="444" spans="1:4" ht="15" x14ac:dyDescent="0.2">
      <c r="A444" s="2781">
        <v>44304</v>
      </c>
      <c r="B444" s="2786">
        <f>IFERROR(AVERAGE('2018+'!S1163:S1206),"")</f>
        <v>1.5511111588259439</v>
      </c>
      <c r="C444" s="2782">
        <f>IFERROR(AVERAGE('2018+'!N1163:N1206),"")</f>
        <v>1.0455756388779935</v>
      </c>
      <c r="D444" s="2787">
        <f>'2018+'!U1206</f>
        <v>29.272627668991863</v>
      </c>
    </row>
    <row r="445" spans="1:4" ht="15" x14ac:dyDescent="0.2">
      <c r="A445" s="2781">
        <v>44305</v>
      </c>
      <c r="B445" s="2786">
        <f>IFERROR(AVERAGE('2018+'!S1164:S1207),"")</f>
        <v>1.5463145763319115</v>
      </c>
      <c r="C445" s="2782">
        <f>IFERROR(AVERAGE('2018+'!N1164:N1207),"")</f>
        <v>1.0458255600736042</v>
      </c>
      <c r="D445" s="2787">
        <f>'2018+'!U1207</f>
        <v>28.575660343539674</v>
      </c>
    </row>
    <row r="446" spans="1:4" ht="15" x14ac:dyDescent="0.2">
      <c r="A446" s="2781">
        <v>44306</v>
      </c>
      <c r="B446" s="2786">
        <f>IFERROR(AVERAGE('2018+'!S1165:S1208),"")</f>
        <v>1.5353522825685058</v>
      </c>
      <c r="C446" s="2782">
        <f>IFERROR(AVERAGE('2018+'!N1165:N1208),"")</f>
        <v>1.0445477254237707</v>
      </c>
      <c r="D446" s="2787">
        <f>'2018+'!U1208</f>
        <v>29.038144621074444</v>
      </c>
    </row>
    <row r="447" spans="1:4" ht="15" x14ac:dyDescent="0.2">
      <c r="A447" s="2781">
        <v>44307</v>
      </c>
      <c r="B447" s="2786">
        <f>IFERROR(AVERAGE('2018+'!S1166:S1209),"")</f>
        <v>1.5335955114663971</v>
      </c>
      <c r="C447" s="2782">
        <f>IFERROR(AVERAGE('2018+'!N1166:N1209),"")</f>
        <v>1.0443117572559553</v>
      </c>
      <c r="D447" s="2787">
        <f>'2018+'!U1209</f>
        <v>28.346760225334577</v>
      </c>
    </row>
    <row r="448" spans="1:4" ht="15" x14ac:dyDescent="0.2">
      <c r="A448" s="2781">
        <v>44308</v>
      </c>
      <c r="B448" s="2786">
        <f>IFERROR(AVERAGE('2018+'!S1167:S1210),"")</f>
        <v>1.5301858842861651</v>
      </c>
      <c r="C448" s="2782">
        <f>IFERROR(AVERAGE('2018+'!N1167:N1210),"")</f>
        <v>1.0450327673635647</v>
      </c>
      <c r="D448" s="2787">
        <f>'2018+'!U1210</f>
        <v>28.981361172350422</v>
      </c>
    </row>
    <row r="449" spans="1:4" ht="15" x14ac:dyDescent="0.2">
      <c r="A449" s="2781">
        <v>44309</v>
      </c>
      <c r="B449" s="2786">
        <f>IFERROR(AVERAGE('2018+'!S1168:S1211),"")</f>
        <v>1.5280687909742789</v>
      </c>
      <c r="C449" s="2782">
        <f>IFERROR(AVERAGE('2018+'!N1168:N1211),"")</f>
        <v>1.0446072279400394</v>
      </c>
      <c r="D449" s="2787">
        <f>'2018+'!U1211</f>
        <v>28.291328763484934</v>
      </c>
    </row>
    <row r="450" spans="1:4" ht="15" x14ac:dyDescent="0.2">
      <c r="A450" s="2781">
        <v>44310</v>
      </c>
      <c r="B450" s="2786">
        <f>IFERROR(AVERAGE('2018+'!S1169:S1212),"")</f>
        <v>1.5310845770966228</v>
      </c>
      <c r="C450" s="2782">
        <f>IFERROR(AVERAGE('2018+'!N1169:N1212),"")</f>
        <v>1.0429162791241333</v>
      </c>
      <c r="D450" s="2787">
        <f>'2018+'!U1212</f>
        <v>28.52248760244958</v>
      </c>
    </row>
    <row r="451" spans="1:4" ht="15" x14ac:dyDescent="0.2">
      <c r="A451" s="2781">
        <v>44311</v>
      </c>
      <c r="B451" s="2786">
        <f>IFERROR(AVERAGE('2018+'!S1170:S1213),"")</f>
        <v>1.529059126256465</v>
      </c>
      <c r="C451" s="2782">
        <f>IFERROR(AVERAGE('2018+'!N1170:N1213),"")</f>
        <v>1.0434231059155774</v>
      </c>
      <c r="D451" s="2787">
        <f>'2018+'!U1213</f>
        <v>27.843380754772209</v>
      </c>
    </row>
    <row r="452" spans="1:4" ht="15" x14ac:dyDescent="0.2">
      <c r="A452" s="2781">
        <v>44312</v>
      </c>
      <c r="B452" s="2786">
        <f>IFERROR(AVERAGE('2018+'!S1171:S1214),"")</f>
        <v>1.5268452099696352</v>
      </c>
      <c r="C452" s="2782">
        <f>IFERROR(AVERAGE('2018+'!N1171:N1214),"")</f>
        <v>1.0444651688119486</v>
      </c>
      <c r="D452" s="2787">
        <f>'2018+'!U1214</f>
        <v>28.27568121299192</v>
      </c>
    </row>
    <row r="453" spans="1:4" ht="15" x14ac:dyDescent="0.2">
      <c r="A453" s="2781">
        <v>44313</v>
      </c>
      <c r="B453" s="2786">
        <f>IFERROR(AVERAGE('2018+'!S1172:S1215),"")</f>
        <v>1.5235955427773307</v>
      </c>
      <c r="C453" s="2782">
        <f>IFERROR(AVERAGE('2018+'!N1172:N1215),"")</f>
        <v>1.0444459713161944</v>
      </c>
      <c r="D453" s="2787">
        <f>'2018+'!U1215</f>
        <v>27.602450707920685</v>
      </c>
    </row>
    <row r="454" spans="1:4" ht="15" x14ac:dyDescent="0.2">
      <c r="A454" s="2781">
        <v>44314</v>
      </c>
      <c r="B454" s="2786">
        <f>IFERROR(AVERAGE('2018+'!S1173:S1216),"")</f>
        <v>1.523298466799839</v>
      </c>
      <c r="C454" s="2782">
        <f>IFERROR(AVERAGE('2018+'!N1173:N1216),"")</f>
        <v>1.0454370071609254</v>
      </c>
      <c r="D454" s="2787">
        <f>'2018+'!U1216</f>
        <v>28.373820929160669</v>
      </c>
    </row>
    <row r="455" spans="1:4" ht="15" x14ac:dyDescent="0.2">
      <c r="A455" s="2781">
        <v>44315</v>
      </c>
      <c r="B455" s="2786">
        <f>IFERROR(AVERAGE('2018+'!S1174:S1217),"")</f>
        <v>1.5190560326511093</v>
      </c>
      <c r="C455" s="2782">
        <f>IFERROR(AVERAGE('2018+'!N1174:N1217),"")</f>
        <v>1.0452551104320116</v>
      </c>
      <c r="D455" s="2787">
        <f>'2018+'!U1217</f>
        <v>27.698253764180652</v>
      </c>
    </row>
    <row r="456" spans="1:4" ht="15" x14ac:dyDescent="0.2">
      <c r="A456" s="2781">
        <v>44316</v>
      </c>
      <c r="B456" s="2786">
        <f>IFERROR(AVERAGE('2018+'!S1175:S1218),"")</f>
        <v>1.5190560326511093</v>
      </c>
      <c r="C456" s="2782">
        <f>IFERROR(AVERAGE('2018+'!N1175:N1218),"")</f>
        <v>1.0452551104320116</v>
      </c>
      <c r="D456" s="2787">
        <f>'2018+'!U1218</f>
        <v>27.03877153170016</v>
      </c>
    </row>
    <row r="457" spans="1:4" ht="15" x14ac:dyDescent="0.2">
      <c r="A457" s="2781">
        <v>44317</v>
      </c>
      <c r="B457" s="2786">
        <f>IFERROR(AVERAGE('2018+'!S1176:S1219),"")</f>
        <v>1.525629957360825</v>
      </c>
      <c r="C457" s="2782">
        <f>IFERROR(AVERAGE('2018+'!N1176:N1219),"")</f>
        <v>1.046601088155849</v>
      </c>
      <c r="D457" s="2787">
        <f>'2018+'!U1219</f>
        <v>27.799753161897776</v>
      </c>
    </row>
    <row r="458" spans="1:4" ht="15" x14ac:dyDescent="0.2">
      <c r="A458" s="2781">
        <v>44318</v>
      </c>
      <c r="B458" s="2786">
        <f>IFERROR(AVERAGE('2018+'!S1177:S1220),"")</f>
        <v>1.525629957360825</v>
      </c>
      <c r="C458" s="2782">
        <f>IFERROR(AVERAGE('2018+'!N1177:N1220),"")</f>
        <v>1.046601088155849</v>
      </c>
      <c r="D458" s="2787">
        <f>'2018+'!U1220</f>
        <v>27.137854277090685</v>
      </c>
    </row>
    <row r="459" spans="1:4" ht="15" x14ac:dyDescent="0.2">
      <c r="A459" s="2781">
        <v>44319</v>
      </c>
      <c r="B459" s="2786">
        <f>IFERROR(AVERAGE('2018+'!S1178:S1221),"")</f>
        <v>1.527832784371836</v>
      </c>
      <c r="C459" s="2782">
        <f>IFERROR(AVERAGE('2018+'!N1178:N1221),"")</f>
        <v>1.0468153386294556</v>
      </c>
      <c r="D459" s="2787">
        <f>'2018+'!U1221</f>
        <v>27.944095841921861</v>
      </c>
    </row>
    <row r="460" spans="1:4" ht="15" x14ac:dyDescent="0.2">
      <c r="A460" s="2781">
        <v>44320</v>
      </c>
      <c r="B460" s="2786">
        <f>IFERROR(AVERAGE('2018+'!S1179:S1222),"")</f>
        <v>1.5274942480419995</v>
      </c>
      <c r="C460" s="2782">
        <f>IFERROR(AVERAGE('2018+'!N1179:N1222),"")</f>
        <v>1.0472597322310375</v>
      </c>
      <c r="D460" s="2787">
        <f>'2018+'!U1222</f>
        <v>28.397807845685627</v>
      </c>
    </row>
    <row r="461" spans="1:4" ht="15" x14ac:dyDescent="0.2">
      <c r="A461" s="2781">
        <v>44321</v>
      </c>
      <c r="B461" s="2786">
        <f>IFERROR(AVERAGE('2018+'!S1180:S1223),"")</f>
        <v>1.5307685575788528</v>
      </c>
      <c r="C461" s="2782">
        <f>IFERROR(AVERAGE('2018+'!N1180:N1223),"")</f>
        <v>1.0472481887343124</v>
      </c>
      <c r="D461" s="2787">
        <f>'2018+'!U1223</f>
        <v>27.721669563645492</v>
      </c>
    </row>
    <row r="462" spans="1:4" ht="15" x14ac:dyDescent="0.2">
      <c r="A462" s="2781">
        <v>44322</v>
      </c>
      <c r="B462" s="2786">
        <f>IFERROR(AVERAGE('2018+'!S1181:S1224),"")</f>
        <v>1.5307685575788528</v>
      </c>
      <c r="C462" s="2782">
        <f>IFERROR(AVERAGE('2018+'!N1181:N1224),"")</f>
        <v>1.0472481887343124</v>
      </c>
      <c r="D462" s="2787">
        <f>'2018+'!U1224</f>
        <v>27.061629812130121</v>
      </c>
    </row>
    <row r="463" spans="1:4" ht="15" x14ac:dyDescent="0.2">
      <c r="A463" s="2781">
        <v>44323</v>
      </c>
      <c r="B463" s="2786">
        <f>IFERROR(AVERAGE('2018+'!S1182:S1225),"")</f>
        <v>1.529219370205309</v>
      </c>
      <c r="C463" s="2782">
        <f>IFERROR(AVERAGE('2018+'!N1182:N1225),"")</f>
        <v>1.0479374453416526</v>
      </c>
      <c r="D463" s="2787">
        <f>'2018+'!U1225</f>
        <v>26.417305292793689</v>
      </c>
    </row>
    <row r="464" spans="1:4" ht="15" x14ac:dyDescent="0.2">
      <c r="A464" s="2781">
        <v>44324</v>
      </c>
      <c r="B464" s="2786">
        <f>IFERROR(AVERAGE('2018+'!S1183:S1226),"")</f>
        <v>1.529219370205309</v>
      </c>
      <c r="C464" s="2782">
        <f>IFERROR(AVERAGE('2018+'!N1183:N1226),"")</f>
        <v>1.0479374453416526</v>
      </c>
      <c r="D464" s="2787">
        <f>'2018+'!U1226</f>
        <v>27.193083738203363</v>
      </c>
    </row>
    <row r="465" spans="1:4" ht="15" x14ac:dyDescent="0.2">
      <c r="A465" s="2781">
        <v>44325</v>
      </c>
      <c r="B465" s="2786">
        <f>IFERROR(AVERAGE('2018+'!S1184:S1227),"")</f>
        <v>1.5276319746836429</v>
      </c>
      <c r="C465" s="2782">
        <f>IFERROR(AVERAGE('2018+'!N1184:N1227),"")</f>
        <v>1.0482568066506868</v>
      </c>
      <c r="D465" s="2787">
        <f>'2018+'!U1227</f>
        <v>26.545629363484235</v>
      </c>
    </row>
    <row r="466" spans="1:4" ht="15" x14ac:dyDescent="0.2">
      <c r="A466" s="2781">
        <v>44326</v>
      </c>
      <c r="B466" s="2786">
        <f>IFERROR(AVERAGE('2018+'!S1185:S1228),"")</f>
        <v>1.5276319746836429</v>
      </c>
      <c r="C466" s="2782">
        <f>IFERROR(AVERAGE('2018+'!N1185:N1228),"")</f>
        <v>1.0482568066506868</v>
      </c>
      <c r="D466" s="2787">
        <f>'2018+'!U1228</f>
        <v>25.913590569115563</v>
      </c>
    </row>
    <row r="467" spans="1:4" ht="15" x14ac:dyDescent="0.2">
      <c r="A467" s="2781">
        <v>44327</v>
      </c>
      <c r="B467" s="2786">
        <f>IFERROR(AVERAGE('2018+'!S1186:S1229),"")</f>
        <v>1.5276319746836429</v>
      </c>
      <c r="C467" s="2782">
        <f>IFERROR(AVERAGE('2018+'!N1186:N1229),"")</f>
        <v>1.0482568066506868</v>
      </c>
      <c r="D467" s="2787">
        <f>'2018+'!U1229</f>
        <v>25.296600317469956</v>
      </c>
    </row>
    <row r="468" spans="1:4" ht="15" x14ac:dyDescent="0.2">
      <c r="A468" s="2781">
        <v>44328</v>
      </c>
      <c r="B468" s="2786">
        <f>IFERROR(AVERAGE('2018+'!S1187:S1230),"")</f>
        <v>1.5261665337218926</v>
      </c>
      <c r="C468" s="2782">
        <f>IFERROR(AVERAGE('2018+'!N1187:N1230),"")</f>
        <v>1.0477265978806174</v>
      </c>
      <c r="D468" s="2787">
        <f>'2018+'!U1230</f>
        <v>24.694300309911146</v>
      </c>
    </row>
    <row r="469" spans="1:4" ht="15" x14ac:dyDescent="0.2">
      <c r="A469" s="2781">
        <v>44329</v>
      </c>
      <c r="B469" s="2786">
        <f>IFERROR(AVERAGE('2018+'!S1188:S1231),"")</f>
        <v>1.5261665337218926</v>
      </c>
      <c r="C469" s="2782">
        <f>IFERROR(AVERAGE('2018+'!N1188:N1231),"")</f>
        <v>1.0477265978806174</v>
      </c>
      <c r="D469" s="2787">
        <f>'2018+'!U1231</f>
        <v>24.106340778722785</v>
      </c>
    </row>
    <row r="470" spans="1:4" ht="15" x14ac:dyDescent="0.2">
      <c r="A470" s="2781">
        <v>44330</v>
      </c>
      <c r="B470" s="2786">
        <f>IFERROR(AVERAGE('2018+'!S1189:S1232),"")</f>
        <v>1.5292220336217122</v>
      </c>
      <c r="C470" s="2782">
        <f>IFERROR(AVERAGE('2018+'!N1189:N1232),"")</f>
        <v>1.0466584970141815</v>
      </c>
      <c r="D470" s="2787">
        <f>'2018+'!U1232</f>
        <v>24.889523141134148</v>
      </c>
    </row>
    <row r="471" spans="1:4" ht="15" x14ac:dyDescent="0.2">
      <c r="A471" s="2781">
        <v>44331</v>
      </c>
      <c r="B471" s="2786">
        <f>IFERROR(AVERAGE('2018+'!S1190:S1233),"")</f>
        <v>1.5292220336217122</v>
      </c>
      <c r="C471" s="2782">
        <f>IFERROR(AVERAGE('2018+'!N1190:N1233),"")</f>
        <v>1.0466584970141815</v>
      </c>
      <c r="D471" s="2787">
        <f>'2018+'!U1233</f>
        <v>24.296915447297621</v>
      </c>
    </row>
    <row r="472" spans="1:4" ht="15" x14ac:dyDescent="0.2">
      <c r="A472" s="2781">
        <v>44332</v>
      </c>
      <c r="B472" s="2786">
        <f>IFERROR(AVERAGE('2018+'!S1191:S1234),"")</f>
        <v>1.5221531121755087</v>
      </c>
      <c r="C472" s="2782">
        <f>IFERROR(AVERAGE('2018+'!N1191:N1234),"")</f>
        <v>1.0489605857626891</v>
      </c>
      <c r="D472" s="2787">
        <f>'2018+'!U1234</f>
        <v>23.718417460457204</v>
      </c>
    </row>
    <row r="473" spans="1:4" ht="15" x14ac:dyDescent="0.2">
      <c r="A473" s="2781">
        <v>44333</v>
      </c>
      <c r="B473" s="2786">
        <f>IFERROR(AVERAGE('2018+'!S1192:S1235),"")</f>
        <v>1.5197528626144445</v>
      </c>
      <c r="C473" s="2782">
        <f>IFERROR(AVERAGE('2018+'!N1192:N1235),"")</f>
        <v>1.0490617368923651</v>
      </c>
      <c r="D473" s="2787">
        <f>'2018+'!U1235</f>
        <v>24.510836092351081</v>
      </c>
    </row>
    <row r="474" spans="1:4" ht="15" x14ac:dyDescent="0.2">
      <c r="A474" s="2781">
        <v>44334</v>
      </c>
      <c r="B474" s="2786">
        <f>IFERROR(AVERAGE('2018+'!S1193:S1236),"")</f>
        <v>1.5197528626144445</v>
      </c>
      <c r="C474" s="2782">
        <f>IFERROR(AVERAGE('2018+'!N1193:N1236),"")</f>
        <v>1.0490617368923651</v>
      </c>
      <c r="D474" s="2787">
        <f>'2018+'!U1236</f>
        <v>23.927244756818911</v>
      </c>
    </row>
    <row r="475" spans="1:4" ht="15" x14ac:dyDescent="0.2">
      <c r="A475" s="2781">
        <v>44335</v>
      </c>
      <c r="B475" s="2786">
        <f>IFERROR(AVERAGE('2018+'!S1194:S1237),"")</f>
        <v>1.5186793141092481</v>
      </c>
      <c r="C475" s="2782">
        <f>IFERROR(AVERAGE('2018+'!N1194:N1237),"")</f>
        <v>1.0494600962114686</v>
      </c>
      <c r="D475" s="2787">
        <f>'2018+'!U1237</f>
        <v>24.738500834037509</v>
      </c>
    </row>
    <row r="476" spans="1:4" ht="15" x14ac:dyDescent="0.2">
      <c r="A476" s="2781">
        <v>44336</v>
      </c>
      <c r="B476" s="2786">
        <f>IFERROR(AVERAGE('2018+'!S1195:S1238),"")</f>
        <v>1.5186793141092481</v>
      </c>
      <c r="C476" s="2782">
        <f>IFERROR(AVERAGE('2018+'!N1195:N1238),"")</f>
        <v>1.0494600962114686</v>
      </c>
      <c r="D476" s="2787">
        <f>'2018+'!U1238</f>
        <v>24.14948890941757</v>
      </c>
    </row>
    <row r="477" spans="1:4" ht="15" x14ac:dyDescent="0.2">
      <c r="A477" s="2781">
        <v>44337</v>
      </c>
      <c r="B477" s="2786">
        <f>IFERROR(AVERAGE('2018+'!S1196:S1239),"")</f>
        <v>1.5186793141092481</v>
      </c>
      <c r="C477" s="2782">
        <f>IFERROR(AVERAGE('2018+'!N1196:N1239),"")</f>
        <v>1.0494600962114686</v>
      </c>
      <c r="D477" s="2787">
        <f>'2018+'!U1239</f>
        <v>23.57450107824096</v>
      </c>
    </row>
    <row r="478" spans="1:4" ht="15" x14ac:dyDescent="0.2">
      <c r="A478" s="2781">
        <v>44338</v>
      </c>
      <c r="B478" s="2786">
        <f>IFERROR(AVERAGE('2018+'!S1197:S1240),"")</f>
        <v>1.5127281946999867</v>
      </c>
      <c r="C478" s="2782">
        <f>IFERROR(AVERAGE('2018+'!N1197:N1240),"")</f>
        <v>1.0500172055312731</v>
      </c>
      <c r="D478" s="2787">
        <f>'2018+'!U1240</f>
        <v>24.537012957330461</v>
      </c>
    </row>
    <row r="479" spans="1:4" ht="15" x14ac:dyDescent="0.2">
      <c r="A479" s="2781">
        <v>44339</v>
      </c>
      <c r="B479" s="2786">
        <f>IFERROR(AVERAGE('2018+'!S1198:S1241),"")</f>
        <v>1.5127281946999867</v>
      </c>
      <c r="C479" s="2782">
        <f>IFERROR(AVERAGE('2018+'!N1198:N1241),"")</f>
        <v>1.0500172055312731</v>
      </c>
      <c r="D479" s="2787">
        <f>'2018+'!U1241</f>
        <v>23.952798363108307</v>
      </c>
    </row>
    <row r="480" spans="1:4" ht="15" x14ac:dyDescent="0.2">
      <c r="A480" s="2781">
        <v>44340</v>
      </c>
      <c r="B480" s="2786">
        <f>IFERROR(AVERAGE('2018+'!S1199:S1242),"")</f>
        <v>1.5081428459697659</v>
      </c>
      <c r="C480" s="2782">
        <f>IFERROR(AVERAGE('2018+'!N1199:N1242),"")</f>
        <v>1.0498723219482953</v>
      </c>
      <c r="D480" s="2787">
        <f>'2018+'!U1242</f>
        <v>23.382493640177156</v>
      </c>
    </row>
    <row r="481" spans="1:4" ht="15" x14ac:dyDescent="0.2">
      <c r="A481" s="2781">
        <v>44341</v>
      </c>
      <c r="B481" s="2786">
        <f>IFERROR(AVERAGE('2018+'!S1200:S1243),"")</f>
        <v>1.5081428459697659</v>
      </c>
      <c r="C481" s="2782">
        <f>IFERROR(AVERAGE('2018+'!N1200:N1243),"")</f>
        <v>1.0498723219482953</v>
      </c>
      <c r="D481" s="2787">
        <f>'2018+'!U1243</f>
        <v>22.825767601125317</v>
      </c>
    </row>
    <row r="482" spans="1:4" ht="15" x14ac:dyDescent="0.2">
      <c r="A482" s="2781">
        <v>44342</v>
      </c>
      <c r="B482" s="2786">
        <f>IFERROR(AVERAGE('2018+'!S1201:S1244),"")</f>
        <v>1.5081428459697659</v>
      </c>
      <c r="C482" s="2782">
        <f>IFERROR(AVERAGE('2018+'!N1201:N1244),"")</f>
        <v>1.0498723219482953</v>
      </c>
      <c r="D482" s="2787">
        <f>'2018+'!U1244</f>
        <v>22.282296943955668</v>
      </c>
    </row>
    <row r="483" spans="1:4" ht="15" x14ac:dyDescent="0.2">
      <c r="A483" s="2781">
        <v>44343</v>
      </c>
      <c r="B483" s="2786">
        <f>IFERROR(AVERAGE('2018+'!S1202:S1245),"")</f>
        <v>1.5027131561082094</v>
      </c>
      <c r="C483" s="2782">
        <f>IFERROR(AVERAGE('2018+'!N1202:N1245),"")</f>
        <v>1.0501219436442355</v>
      </c>
      <c r="D483" s="2787">
        <f>'2018+'!U1245</f>
        <v>23.251766064337676</v>
      </c>
    </row>
    <row r="484" spans="1:4" ht="15" x14ac:dyDescent="0.2">
      <c r="A484" s="2781">
        <v>44344</v>
      </c>
      <c r="B484" s="2786">
        <f>IFERROR(AVERAGE('2018+'!S1203:S1246),"")</f>
        <v>1.5027131561082094</v>
      </c>
      <c r="C484" s="2782">
        <f>IFERROR(AVERAGE('2018+'!N1203:N1246),"")</f>
        <v>1.0501219436442355</v>
      </c>
      <c r="D484" s="2787">
        <f>'2018+'!U1246</f>
        <v>22.69815258661535</v>
      </c>
    </row>
    <row r="485" spans="1:4" ht="15" x14ac:dyDescent="0.2">
      <c r="A485" s="2781">
        <v>44345</v>
      </c>
      <c r="B485" s="2786">
        <f>IFERROR(AVERAGE('2018+'!S1204:S1247),"")</f>
        <v>1.5037143121312555</v>
      </c>
      <c r="C485" s="2782">
        <f>IFERROR(AVERAGE('2018+'!N1204:N1247),"")</f>
        <v>1.0509047649738013</v>
      </c>
      <c r="D485" s="2787">
        <f>'2018+'!U1247</f>
        <v>23.681529905981652</v>
      </c>
    </row>
    <row r="486" spans="1:4" ht="15" x14ac:dyDescent="0.2">
      <c r="A486" s="2781">
        <v>44346</v>
      </c>
      <c r="B486" s="2786">
        <f>IFERROR(AVERAGE('2018+'!S1205:S1248),"")</f>
        <v>1.5037143121312555</v>
      </c>
      <c r="C486" s="2782">
        <f>IFERROR(AVERAGE('2018+'!N1205:N1248),"")</f>
        <v>1.0509047649738013</v>
      </c>
      <c r="D486" s="2787">
        <f>'2018+'!U1248</f>
        <v>23.117683955839233</v>
      </c>
    </row>
    <row r="487" spans="1:4" ht="15" x14ac:dyDescent="0.2">
      <c r="A487" s="2781">
        <v>44347</v>
      </c>
      <c r="B487" s="2786">
        <f>IFERROR(AVERAGE('2018+'!S1206:S1249),"")</f>
        <v>1.5011533097603638</v>
      </c>
      <c r="C487" s="2782">
        <f>IFERROR(AVERAGE('2018+'!N1206:N1249),"")</f>
        <v>1.0509447887799503</v>
      </c>
      <c r="D487" s="2787">
        <f>'2018+'!U1249</f>
        <v>22.567262909271633</v>
      </c>
    </row>
    <row r="488" spans="1:4" ht="15" x14ac:dyDescent="0.2">
      <c r="A488" s="2781">
        <v>44348</v>
      </c>
      <c r="B488" s="2786">
        <f>IFERROR(AVERAGE('2018+'!S1207:S1250),"")</f>
        <v>1.4990356061164756</v>
      </c>
      <c r="C488" s="2782">
        <f>IFERROR(AVERAGE('2018+'!N1207:N1250),"")</f>
        <v>1.0513984503928597</v>
      </c>
      <c r="D488" s="2787">
        <f>'2018+'!U1250</f>
        <v>23.387089982860402</v>
      </c>
    </row>
    <row r="489" spans="1:4" ht="15" x14ac:dyDescent="0.2">
      <c r="A489" s="2781">
        <v>44349</v>
      </c>
      <c r="B489" s="2786">
        <f>IFERROR(AVERAGE('2018+'!S1208:S1251),"")</f>
        <v>1.4990356061164756</v>
      </c>
      <c r="C489" s="2782">
        <f>IFERROR(AVERAGE('2018+'!N1208:N1251),"")</f>
        <v>1.0513984503928597</v>
      </c>
      <c r="D489" s="2787">
        <f>'2018+'!U1251</f>
        <v>22.830254507078013</v>
      </c>
    </row>
    <row r="490" spans="1:4" ht="15" x14ac:dyDescent="0.2">
      <c r="A490" s="2781">
        <v>44350</v>
      </c>
      <c r="B490" s="2786">
        <f>IFERROR(AVERAGE('2018+'!S1209:S1252),"")</f>
        <v>1.5017967841373758</v>
      </c>
      <c r="C490" s="2782">
        <f>IFERROR(AVERAGE('2018+'!N1209:N1252),"")</f>
        <v>1.0536695878575058</v>
      </c>
      <c r="D490" s="2787">
        <f>'2018+'!U1252</f>
        <v>23.739057971195205</v>
      </c>
    </row>
    <row r="491" spans="1:4" ht="15" x14ac:dyDescent="0.2">
      <c r="A491" s="2781">
        <v>44351</v>
      </c>
      <c r="B491" s="2786">
        <f>IFERROR(AVERAGE('2018+'!S1210:S1253),"")</f>
        <v>1.5017967841373758</v>
      </c>
      <c r="C491" s="2782">
        <f>IFERROR(AVERAGE('2018+'!N1210:N1253),"")</f>
        <v>1.0536695878575058</v>
      </c>
      <c r="D491" s="2787">
        <f>'2018+'!U1253</f>
        <v>23.173842305214368</v>
      </c>
    </row>
    <row r="492" spans="1:4" ht="15" x14ac:dyDescent="0.2">
      <c r="A492" s="2781">
        <v>44352</v>
      </c>
      <c r="B492" s="2786">
        <f>IFERROR(AVERAGE('2018+'!S1211:S1254),"")</f>
        <v>1.5039092528456011</v>
      </c>
      <c r="C492" s="2782">
        <f>IFERROR(AVERAGE('2018+'!N1211:N1254),"")</f>
        <v>1.0534109913335474</v>
      </c>
      <c r="D492" s="2787">
        <f>'2018+'!U1254</f>
        <v>22.622084155090217</v>
      </c>
    </row>
    <row r="493" spans="1:4" ht="15" x14ac:dyDescent="0.2">
      <c r="A493" s="2781">
        <v>44353</v>
      </c>
      <c r="B493" s="2786">
        <f>IFERROR(AVERAGE('2018+'!S1212:S1255),"")</f>
        <v>1.5033980094228119</v>
      </c>
      <c r="C493" s="2782">
        <f>IFERROR(AVERAGE('2018+'!N1212:N1255),"")</f>
        <v>1.0536680702997476</v>
      </c>
      <c r="D493" s="2787">
        <f>'2018+'!U1255</f>
        <v>23.273939294254735</v>
      </c>
    </row>
    <row r="494" spans="1:4" ht="15" x14ac:dyDescent="0.2">
      <c r="A494" s="2781">
        <v>44354</v>
      </c>
      <c r="B494" s="2786">
        <f>IFERROR(AVERAGE('2018+'!S1213:S1256),"")</f>
        <v>1.4977583714404077</v>
      </c>
      <c r="C494" s="2782">
        <f>IFERROR(AVERAGE('2018+'!N1213:N1256),"")</f>
        <v>1.0564893503744632</v>
      </c>
      <c r="D494" s="2787">
        <f>'2018+'!U1256</f>
        <v>22.719797882486766</v>
      </c>
    </row>
    <row r="495" spans="1:4" ht="15" x14ac:dyDescent="0.2">
      <c r="A495" s="2781">
        <v>44355</v>
      </c>
      <c r="B495" s="2786">
        <f>IFERROR(AVERAGE('2018+'!S1214:S1257),"")</f>
        <v>1.4977583714404077</v>
      </c>
      <c r="C495" s="2782">
        <f>IFERROR(AVERAGE('2018+'!N1214:N1257),"")</f>
        <v>1.0564893503744632</v>
      </c>
      <c r="D495" s="2787">
        <f>'2018+'!U1257</f>
        <v>22.178850313856127</v>
      </c>
    </row>
    <row r="496" spans="1:4" ht="15" x14ac:dyDescent="0.2">
      <c r="A496" s="2781">
        <v>44356</v>
      </c>
      <c r="B496" s="2786">
        <f>IFERROR(AVERAGE('2018+'!S1215:S1258),"")</f>
        <v>1.4984160436209371</v>
      </c>
      <c r="C496" s="2782">
        <f>IFERROR(AVERAGE('2018+'!N1215:N1258),"")</f>
        <v>1.0560515897840177</v>
      </c>
      <c r="D496" s="2787">
        <f>'2018+'!U1258</f>
        <v>21.650782449240506</v>
      </c>
    </row>
    <row r="497" spans="1:4" ht="15" x14ac:dyDescent="0.2">
      <c r="A497" s="2781">
        <v>44357</v>
      </c>
      <c r="B497" s="2786">
        <f>IFERROR(AVERAGE('2018+'!S1216:S1259),"")</f>
        <v>1.4984160436209371</v>
      </c>
      <c r="C497" s="2782">
        <f>IFERROR(AVERAGE('2018+'!N1216:N1259),"")</f>
        <v>1.0560515897840177</v>
      </c>
      <c r="D497" s="2787">
        <f>'2018+'!U1259</f>
        <v>21.135287629020493</v>
      </c>
    </row>
    <row r="498" spans="1:4" ht="15" x14ac:dyDescent="0.2">
      <c r="A498" s="2781">
        <v>44358</v>
      </c>
      <c r="B498" s="2786">
        <f>IFERROR(AVERAGE('2018+'!S1217:S1260),"")</f>
        <v>1.4967633659908082</v>
      </c>
      <c r="C498" s="2782">
        <f>IFERROR(AVERAGE('2018+'!N1217:N1260),"")</f>
        <v>1.0555321708892393</v>
      </c>
      <c r="D498" s="2787">
        <f>'2018+'!U1260</f>
        <v>20.632066494996195</v>
      </c>
    </row>
    <row r="499" spans="1:4" ht="15" x14ac:dyDescent="0.2">
      <c r="A499" s="2781">
        <v>44359</v>
      </c>
      <c r="B499" s="2786">
        <f>IFERROR(AVERAGE('2018+'!S1218:S1261),"")</f>
        <v>1.4964628872882186</v>
      </c>
      <c r="C499" s="2782">
        <f>IFERROR(AVERAGE('2018+'!N1218:N1261),"")</f>
        <v>1.0556950895506718</v>
      </c>
      <c r="D499" s="2787">
        <f>'2018+'!U1261</f>
        <v>21.355112530829619</v>
      </c>
    </row>
    <row r="500" spans="1:4" ht="15" x14ac:dyDescent="0.2">
      <c r="A500" s="2781">
        <v>44360</v>
      </c>
      <c r="B500" s="2786">
        <f>IFERROR(AVERAGE('2018+'!S1219:S1262),"")</f>
        <v>1.4964628872882186</v>
      </c>
      <c r="C500" s="2782">
        <f>IFERROR(AVERAGE('2018+'!N1219:N1262),"")</f>
        <v>1.0556950895506718</v>
      </c>
      <c r="D500" s="2787">
        <f>'2018+'!U1262</f>
        <v>20.84665747057177</v>
      </c>
    </row>
    <row r="501" spans="1:4" ht="15" x14ac:dyDescent="0.2">
      <c r="A501" s="2781">
        <v>44361</v>
      </c>
      <c r="B501" s="2786">
        <f>IFERROR(AVERAGE('2018+'!S1220:S1263),"")</f>
        <v>1.4905907000740479</v>
      </c>
      <c r="C501" s="2782">
        <f>IFERROR(AVERAGE('2018+'!N1220:N1263),"")</f>
        <v>1.0564981570108587</v>
      </c>
      <c r="D501" s="2787">
        <f>'2018+'!U1263</f>
        <v>20.350308483177205</v>
      </c>
    </row>
    <row r="502" spans="1:4" ht="15" x14ac:dyDescent="0.2">
      <c r="A502" s="2781">
        <v>44362</v>
      </c>
      <c r="B502" s="2786">
        <f>IFERROR(AVERAGE('2018+'!S1221:S1264),"")</f>
        <v>1.4893775803671898</v>
      </c>
      <c r="C502" s="2782">
        <f>IFERROR(AVERAGE('2018+'!N1221:N1264),"")</f>
        <v>1.0563477755867023</v>
      </c>
      <c r="D502" s="2787">
        <f>'2018+'!U1264</f>
        <v>21.03244399548251</v>
      </c>
    </row>
    <row r="503" spans="1:4" ht="15" x14ac:dyDescent="0.2">
      <c r="A503" s="2781">
        <v>44363</v>
      </c>
      <c r="B503" s="2786">
        <f>IFERROR(AVERAGE('2018+'!S1222:S1265),"")</f>
        <v>1.4829562481949914</v>
      </c>
      <c r="C503" s="2782">
        <f>IFERROR(AVERAGE('2018+'!N1222:N1265),"")</f>
        <v>1.0567453132847653</v>
      </c>
      <c r="D503" s="2787">
        <f>'2018+'!U1265</f>
        <v>20.531671519399591</v>
      </c>
    </row>
    <row r="504" spans="1:4" ht="15" x14ac:dyDescent="0.2">
      <c r="A504" s="2781">
        <v>44364</v>
      </c>
      <c r="B504" s="2786">
        <f>IFERROR(AVERAGE('2018+'!S1223:S1266),"")</f>
        <v>1.4794305316277379</v>
      </c>
      <c r="C504" s="2782">
        <f>IFERROR(AVERAGE('2018+'!N1223:N1266),"")</f>
        <v>1.0569208487235684</v>
      </c>
      <c r="D504" s="2787">
        <f>'2018+'!U1266</f>
        <v>20.042822197509125</v>
      </c>
    </row>
    <row r="505" spans="1:4" ht="15" x14ac:dyDescent="0.2">
      <c r="A505" s="2781">
        <v>44365</v>
      </c>
      <c r="B505" s="2786">
        <f>IFERROR(AVERAGE('2018+'!S1224:S1267),"")</f>
        <v>1.4790157002208035</v>
      </c>
      <c r="C505" s="2782">
        <f>IFERROR(AVERAGE('2018+'!N1224:N1267),"")</f>
        <v>1.0561483199518997</v>
      </c>
      <c r="D505" s="2787">
        <f>'2018+'!U1267</f>
        <v>20.684659764235096</v>
      </c>
    </row>
    <row r="506" spans="1:4" ht="15" x14ac:dyDescent="0.2">
      <c r="A506" s="2781">
        <v>44366</v>
      </c>
      <c r="B506" s="2786">
        <f>IFERROR(AVERAGE('2018+'!S1225:S1268),"")</f>
        <v>1.4790157002208035</v>
      </c>
      <c r="C506" s="2782">
        <f>IFERROR(AVERAGE('2018+'!N1225:N1268),"")</f>
        <v>1.0561483199518997</v>
      </c>
      <c r="D506" s="2787">
        <f>'2018+'!U1268</f>
        <v>20.192167865086642</v>
      </c>
    </row>
    <row r="507" spans="1:4" ht="15" x14ac:dyDescent="0.2">
      <c r="A507" s="2781">
        <v>44367</v>
      </c>
      <c r="B507" s="2786">
        <f>IFERROR(AVERAGE('2018+'!S1226:S1269),"")</f>
        <v>1.4790157002208035</v>
      </c>
      <c r="C507" s="2782">
        <f>IFERROR(AVERAGE('2018+'!N1226:N1269),"")</f>
        <v>1.0561483199518997</v>
      </c>
      <c r="D507" s="2787">
        <f>'2018+'!U1269</f>
        <v>19.711401963536961</v>
      </c>
    </row>
    <row r="508" spans="1:4" ht="15" x14ac:dyDescent="0.2">
      <c r="A508" s="2781">
        <v>44368</v>
      </c>
      <c r="B508" s="2786">
        <f>IFERROR(AVERAGE('2018+'!S1227:S1270),"")</f>
        <v>1.4768378944616734</v>
      </c>
      <c r="C508" s="2782">
        <f>IFERROR(AVERAGE('2018+'!N1227:N1270),"")</f>
        <v>1.055347284196837</v>
      </c>
      <c r="D508" s="2787">
        <f>'2018+'!U1270</f>
        <v>20.408749535833699</v>
      </c>
    </row>
    <row r="509" spans="1:4" ht="15" x14ac:dyDescent="0.2">
      <c r="A509" s="2781">
        <v>44369</v>
      </c>
      <c r="B509" s="2786">
        <f>IFERROR(AVERAGE('2018+'!S1228:S1271),"")</f>
        <v>1.4768378944616734</v>
      </c>
      <c r="C509" s="2782">
        <f>IFERROR(AVERAGE('2018+'!N1228:N1271),"")</f>
        <v>1.055347284196837</v>
      </c>
      <c r="D509" s="2787">
        <f>'2018+'!U1271</f>
        <v>19.922826927837658</v>
      </c>
    </row>
    <row r="510" spans="1:4" ht="15" x14ac:dyDescent="0.2">
      <c r="A510" s="2781">
        <v>44370</v>
      </c>
      <c r="B510" s="2786">
        <f>IFERROR(AVERAGE('2018+'!S1229:S1272),"")</f>
        <v>1.4776986797779033</v>
      </c>
      <c r="C510" s="2782">
        <f>IFERROR(AVERAGE('2018+'!N1229:N1272),"")</f>
        <v>1.0547988998193929</v>
      </c>
      <c r="D510" s="2787">
        <f>'2018+'!U1272</f>
        <v>20.829426286698666</v>
      </c>
    </row>
    <row r="511" spans="1:4" ht="15" x14ac:dyDescent="0.2">
      <c r="A511" s="2781">
        <v>44371</v>
      </c>
      <c r="B511" s="2786">
        <f>IFERROR(AVERAGE('2018+'!S1230:S1273),"")</f>
        <v>1.4776986797779033</v>
      </c>
      <c r="C511" s="2782">
        <f>IFERROR(AVERAGE('2018+'!N1230:N1273),"")</f>
        <v>1.0547988998193929</v>
      </c>
      <c r="D511" s="2787">
        <f>'2018+'!U1273</f>
        <v>20.333487565586793</v>
      </c>
    </row>
    <row r="512" spans="1:4" ht="15" x14ac:dyDescent="0.2">
      <c r="A512" s="2781">
        <v>44372</v>
      </c>
      <c r="B512" s="2786">
        <f>IFERROR(AVERAGE('2018+'!S1231:S1274),"")</f>
        <v>1.4777361590970577</v>
      </c>
      <c r="C512" s="2782">
        <f>IFERROR(AVERAGE('2018+'!N1231:N1274),"")</f>
        <v>1.0553271169466028</v>
      </c>
      <c r="D512" s="2787">
        <f>'2018+'!U1274</f>
        <v>20.777928337834727</v>
      </c>
    </row>
    <row r="513" spans="1:4" ht="15" x14ac:dyDescent="0.2">
      <c r="A513" s="2781">
        <v>44373</v>
      </c>
      <c r="B513" s="2786">
        <f>IFERROR(AVERAGE('2018+'!S1232:S1275),"")</f>
        <v>1.4777361590970577</v>
      </c>
      <c r="C513" s="2782">
        <f>IFERROR(AVERAGE('2018+'!N1232:N1275),"")</f>
        <v>1.0553271169466028</v>
      </c>
      <c r="D513" s="2787">
        <f>'2018+'!U1275</f>
        <v>20.28321575836247</v>
      </c>
    </row>
    <row r="514" spans="1:4" ht="15" x14ac:dyDescent="0.2">
      <c r="A514" s="2781">
        <v>44374</v>
      </c>
      <c r="B514" s="2786">
        <f>IFERROR(AVERAGE('2018+'!S1233:S1276),"")</f>
        <v>1.4715375898159719</v>
      </c>
      <c r="C514" s="2782">
        <f>IFERROR(AVERAGE('2018+'!N1233:N1276),"")</f>
        <v>1.0556296707292672</v>
      </c>
      <c r="D514" s="2787">
        <f>'2018+'!U1276</f>
        <v>19.800282049830031</v>
      </c>
    </row>
    <row r="515" spans="1:4" ht="15" x14ac:dyDescent="0.2">
      <c r="A515" s="2781">
        <v>44375</v>
      </c>
      <c r="B515" s="2786">
        <f>IFERROR(AVERAGE('2018+'!S1234:S1277),"")</f>
        <v>1.4715375898159719</v>
      </c>
      <c r="C515" s="2782">
        <f>IFERROR(AVERAGE('2018+'!N1234:N1277),"")</f>
        <v>1.0556296707292672</v>
      </c>
      <c r="D515" s="2787">
        <f>'2018+'!U1277</f>
        <v>19.328846762929317</v>
      </c>
    </row>
    <row r="516" spans="1:4" ht="15" x14ac:dyDescent="0.2">
      <c r="A516" s="2781">
        <v>44376</v>
      </c>
      <c r="B516" s="2786">
        <f>IFERROR(AVERAGE('2018+'!S1235:S1278),"")</f>
        <v>1.4715375898159719</v>
      </c>
      <c r="C516" s="2782">
        <f>IFERROR(AVERAGE('2018+'!N1235:N1278),"")</f>
        <v>1.0556296707292672</v>
      </c>
      <c r="D516" s="2787">
        <f>'2018+'!U1278</f>
        <v>18.868636125716712</v>
      </c>
    </row>
    <row r="517" spans="1:4" ht="15" x14ac:dyDescent="0.2">
      <c r="A517" s="2781">
        <v>44377</v>
      </c>
      <c r="B517" s="2786">
        <f>IFERROR(AVERAGE('2018+'!S1236:S1279),"")</f>
        <v>1.4620815016189028</v>
      </c>
      <c r="C517" s="2782">
        <f>IFERROR(AVERAGE('2018+'!N1236:N1279),"")</f>
        <v>1.056099176244637</v>
      </c>
      <c r="D517" s="2787">
        <f>'2018+'!U1279</f>
        <v>19.252716217961552</v>
      </c>
    </row>
    <row r="518" spans="1:4" ht="15" x14ac:dyDescent="0.2">
      <c r="A518" s="2781">
        <v>44378</v>
      </c>
      <c r="B518" s="2786">
        <f>IFERROR(AVERAGE('2018+'!S1237:S1280),"")</f>
        <v>1.4620815016189028</v>
      </c>
      <c r="C518" s="2782">
        <f>IFERROR(AVERAGE('2018+'!N1237:N1280),"")</f>
        <v>1.056099176244637</v>
      </c>
      <c r="D518" s="2787">
        <f>'2018+'!U1280</f>
        <v>18.794318212771991</v>
      </c>
    </row>
    <row r="519" spans="1:4" ht="15" x14ac:dyDescent="0.2">
      <c r="A519" s="2781">
        <v>44379</v>
      </c>
      <c r="B519" s="2786">
        <f>IFERROR(AVERAGE('2018+'!S1238:S1281),"")</f>
        <v>1.4588839528944726</v>
      </c>
      <c r="C519" s="2782">
        <f>IFERROR(AVERAGE('2018+'!N1238:N1281),"")</f>
        <v>1.0561808723650772</v>
      </c>
      <c r="D519" s="2787">
        <f>'2018+'!U1281</f>
        <v>18.346834445801228</v>
      </c>
    </row>
    <row r="520" spans="1:4" ht="15" x14ac:dyDescent="0.2">
      <c r="A520" s="2781">
        <v>44380</v>
      </c>
      <c r="B520" s="2786">
        <f>IFERROR(AVERAGE('2018+'!S1239:S1282),"")</f>
        <v>1.4588839528944726</v>
      </c>
      <c r="C520" s="2782">
        <f>IFERROR(AVERAGE('2018+'!N1239:N1282),"")</f>
        <v>1.0561808723650772</v>
      </c>
      <c r="D520" s="2787">
        <f>'2018+'!U1282</f>
        <v>17.910005054234531</v>
      </c>
    </row>
    <row r="521" spans="1:4" ht="15" x14ac:dyDescent="0.2">
      <c r="A521" s="2781">
        <v>44381</v>
      </c>
      <c r="B521" s="2786">
        <f>IFERROR(AVERAGE('2018+'!S1240:S1283),"")</f>
        <v>1.4588839528944726</v>
      </c>
      <c r="C521" s="2782">
        <f>IFERROR(AVERAGE('2018+'!N1240:N1283),"")</f>
        <v>1.0561808723650772</v>
      </c>
      <c r="D521" s="2787">
        <f>'2018+'!U1283</f>
        <v>17.483576362467044</v>
      </c>
    </row>
    <row r="522" spans="1:4" ht="15" x14ac:dyDescent="0.2">
      <c r="A522" s="2781">
        <v>44382</v>
      </c>
      <c r="B522" s="2786">
        <f>IFERROR(AVERAGE('2018+'!S1241:S1284),"")</f>
        <v>1.4613300988571549</v>
      </c>
      <c r="C522" s="2782">
        <f>IFERROR(AVERAGE('2018+'!N1241:N1284),"")</f>
        <v>1.0552926201308461</v>
      </c>
      <c r="D522" s="2787">
        <f>'2018+'!U1284</f>
        <v>17.067300734789256</v>
      </c>
    </row>
    <row r="523" spans="1:4" ht="15" x14ac:dyDescent="0.2">
      <c r="A523" s="2781">
        <v>44383</v>
      </c>
      <c r="B523" s="2786">
        <f>IFERROR(AVERAGE('2018+'!S1242:S1285),"")</f>
        <v>1.4613300988571549</v>
      </c>
      <c r="C523" s="2782">
        <f>IFERROR(AVERAGE('2018+'!N1242:N1285),"")</f>
        <v>1.0552926201308461</v>
      </c>
      <c r="D523" s="2787">
        <f>'2018+'!U1285</f>
        <v>16.660936431579987</v>
      </c>
    </row>
    <row r="524" spans="1:4" ht="15" x14ac:dyDescent="0.2">
      <c r="A524" s="2781">
        <v>44384</v>
      </c>
      <c r="B524" s="2786">
        <f>IFERROR(AVERAGE('2018+'!S1243:S1286),"")</f>
        <v>1.4613300988571549</v>
      </c>
      <c r="C524" s="2782">
        <f>IFERROR(AVERAGE('2018+'!N1243:N1286),"")</f>
        <v>1.0552926201308461</v>
      </c>
      <c r="D524" s="2787">
        <f>'2018+'!U1286</f>
        <v>16.264247468923323</v>
      </c>
    </row>
    <row r="525" spans="1:4" ht="15" x14ac:dyDescent="0.2">
      <c r="A525" s="2781">
        <v>44385</v>
      </c>
      <c r="B525" s="2786">
        <f>IFERROR(AVERAGE('2018+'!S1244:S1287),"")</f>
        <v>1.4613300988571549</v>
      </c>
      <c r="C525" s="2782">
        <f>IFERROR(AVERAGE('2018+'!N1244:N1287),"")</f>
        <v>1.0552926201308461</v>
      </c>
      <c r="D525" s="2787">
        <f>'2018+'!U1287</f>
        <v>15.877003481568005</v>
      </c>
    </row>
    <row r="526" spans="1:4" ht="15" x14ac:dyDescent="0.2">
      <c r="A526" s="2781">
        <v>44386</v>
      </c>
      <c r="B526" s="2786">
        <f>IFERROR(AVERAGE('2018+'!S1245:S1288),"")</f>
        <v>1.4568420200702097</v>
      </c>
      <c r="C526" s="2782">
        <f>IFERROR(AVERAGE('2018+'!N1245:N1288),"")</f>
        <v>1.0550317685779038</v>
      </c>
      <c r="D526" s="2787">
        <f>'2018+'!U1288</f>
        <v>16.546598636768767</v>
      </c>
    </row>
    <row r="527" spans="1:4" ht="15" x14ac:dyDescent="0.2">
      <c r="A527" s="2781">
        <v>44387</v>
      </c>
      <c r="B527" s="2786">
        <f>IFERROR(AVERAGE('2018+'!S1246:S1289),"")</f>
        <v>1.4577419246204248</v>
      </c>
      <c r="C527" s="2782">
        <f>IFERROR(AVERAGE('2018+'!N1246:N1289),"")</f>
        <v>1.0548829008078806</v>
      </c>
      <c r="D527" s="2787">
        <f>'2018+'!U1289</f>
        <v>16.152632002559987</v>
      </c>
    </row>
    <row r="528" spans="1:4" ht="15" x14ac:dyDescent="0.2">
      <c r="A528" s="2781">
        <v>44388</v>
      </c>
      <c r="B528" s="2786">
        <f>IFERROR(AVERAGE('2018+'!S1247:S1290),"")</f>
        <v>1.4577419246204248</v>
      </c>
      <c r="C528" s="2782">
        <f>IFERROR(AVERAGE('2018+'!N1247:N1290),"")</f>
        <v>1.0548829008078806</v>
      </c>
      <c r="D528" s="2787">
        <f>'2018+'!U1290</f>
        <v>15.768045526308558</v>
      </c>
    </row>
    <row r="529" spans="1:4" ht="15" x14ac:dyDescent="0.2">
      <c r="A529" s="2781">
        <v>44389</v>
      </c>
      <c r="B529" s="2786">
        <f>IFERROR(AVERAGE('2018+'!S1248:S1291),"")</f>
        <v>1.452288418090109</v>
      </c>
      <c r="C529" s="2782">
        <f>IFERROR(AVERAGE('2018+'!N1248:N1291),"")</f>
        <v>1.0542482314642587</v>
      </c>
      <c r="D529" s="2787">
        <f>'2018+'!U1291</f>
        <v>15.39261587092026</v>
      </c>
    </row>
    <row r="530" spans="1:4" ht="15" x14ac:dyDescent="0.2">
      <c r="A530" s="2781">
        <v>44390</v>
      </c>
      <c r="B530" s="2786">
        <f>IFERROR(AVERAGE('2018+'!S1249:S1292),"")</f>
        <v>1.452288418090109</v>
      </c>
      <c r="C530" s="2782">
        <f>IFERROR(AVERAGE('2018+'!N1249:N1292),"")</f>
        <v>1.0542482314642587</v>
      </c>
      <c r="D530" s="2787">
        <f>'2018+'!U1292</f>
        <v>15.026125016850729</v>
      </c>
    </row>
    <row r="531" spans="1:4" ht="15" x14ac:dyDescent="0.2">
      <c r="A531" s="2781">
        <v>44391</v>
      </c>
      <c r="B531" s="2786">
        <f>IFERROR(AVERAGE('2018+'!S1250:S1293),"")</f>
        <v>1.4444827740538644</v>
      </c>
      <c r="C531" s="2782">
        <f>IFERROR(AVERAGE('2018+'!N1250:N1293),"")</f>
        <v>1.05501307168576</v>
      </c>
      <c r="D531" s="2787">
        <f>'2018+'!U1293</f>
        <v>15.715979183116188</v>
      </c>
    </row>
    <row r="532" spans="1:4" ht="15" x14ac:dyDescent="0.2">
      <c r="A532" s="2781">
        <v>44392</v>
      </c>
      <c r="B532" s="2786">
        <f>IFERROR(AVERAGE('2018+'!S1251:S1294),"")</f>
        <v>1.4422186848676664</v>
      </c>
      <c r="C532" s="2782">
        <f>IFERROR(AVERAGE('2018+'!N1251:N1294),"")</f>
        <v>1.0547642861141386</v>
      </c>
      <c r="D532" s="2787">
        <f>'2018+'!U1294</f>
        <v>15.341789202565803</v>
      </c>
    </row>
    <row r="533" spans="1:4" ht="15" x14ac:dyDescent="0.2">
      <c r="A533" s="2781">
        <v>44393</v>
      </c>
      <c r="B533" s="2786">
        <f>IFERROR(AVERAGE('2018+'!S1252:S1295),"")</f>
        <v>1.4422186848676664</v>
      </c>
      <c r="C533" s="2782">
        <f>IFERROR(AVERAGE('2018+'!N1252:N1295),"")</f>
        <v>1.0547642861141386</v>
      </c>
      <c r="D533" s="2787">
        <f>'2018+'!U1295</f>
        <v>14.976508507266617</v>
      </c>
    </row>
    <row r="534" spans="1:4" ht="15" x14ac:dyDescent="0.2">
      <c r="A534" s="2781">
        <v>44394</v>
      </c>
      <c r="B534" s="2786">
        <f>IFERROR(AVERAGE('2018+'!S1253:S1296),"")</f>
        <v>1.4473994574640221</v>
      </c>
      <c r="C534" s="2782">
        <f>IFERROR(AVERAGE('2018+'!N1253:N1296),"")</f>
        <v>1.0545515548909228</v>
      </c>
      <c r="D534" s="2787">
        <f>'2018+'!U1296</f>
        <v>14.619924971379316</v>
      </c>
    </row>
    <row r="535" spans="1:4" ht="15" x14ac:dyDescent="0.2">
      <c r="A535" s="2781">
        <v>44395</v>
      </c>
      <c r="B535" s="2786">
        <f>IFERROR(AVERAGE('2018+'!S1254:S1297),"")</f>
        <v>1.4473994574640221</v>
      </c>
      <c r="C535" s="2782">
        <f>IFERROR(AVERAGE('2018+'!N1254:N1297),"")</f>
        <v>1.0545515548909228</v>
      </c>
      <c r="D535" s="2787">
        <f>'2018+'!U1297</f>
        <v>14.271831519679809</v>
      </c>
    </row>
    <row r="536" spans="1:4" ht="15" x14ac:dyDescent="0.2">
      <c r="A536" s="2781">
        <v>44396</v>
      </c>
      <c r="B536" s="2786">
        <f>IFERROR(AVERAGE('2018+'!S1255:S1298),"")</f>
        <v>1.4473994574640221</v>
      </c>
      <c r="C536" s="2782">
        <f>IFERROR(AVERAGE('2018+'!N1255:N1298),"")</f>
        <v>1.0545515548909228</v>
      </c>
      <c r="D536" s="2787">
        <f>'2018+'!U1298</f>
        <v>13.932026007306479</v>
      </c>
    </row>
    <row r="537" spans="1:4" ht="15" x14ac:dyDescent="0.2">
      <c r="A537" s="2781">
        <v>44397</v>
      </c>
      <c r="B537" s="2786">
        <f>IFERROR(AVERAGE('2018+'!S1256:S1299),"")</f>
        <v>1.4419726636818291</v>
      </c>
      <c r="C537" s="2782">
        <f>IFERROR(AVERAGE('2018+'!N1256:N1299),"")</f>
        <v>1.054249819231408</v>
      </c>
      <c r="D537" s="2787">
        <f>'2018+'!U1299</f>
        <v>13.600311102370611</v>
      </c>
    </row>
    <row r="538" spans="1:4" ht="15" x14ac:dyDescent="0.2">
      <c r="A538" s="2781">
        <v>44398</v>
      </c>
      <c r="B538" s="2786">
        <f>IFERROR(AVERAGE('2018+'!S1257:S1300),"")</f>
        <v>1.4419726636818291</v>
      </c>
      <c r="C538" s="2782">
        <f>IFERROR(AVERAGE('2018+'!N1257:N1300),"")</f>
        <v>1.054249819231408</v>
      </c>
      <c r="D538" s="2787">
        <f>'2018+'!U1300</f>
        <v>13.276494171361787</v>
      </c>
    </row>
    <row r="539" spans="1:4" ht="15" x14ac:dyDescent="0.2">
      <c r="A539" s="2781">
        <v>44399</v>
      </c>
      <c r="B539" s="2786">
        <f>IFERROR(AVERAGE('2018+'!S1258:S1301),"")</f>
        <v>1.4419726636818291</v>
      </c>
      <c r="C539" s="2782">
        <f>IFERROR(AVERAGE('2018+'!N1258:N1301),"")</f>
        <v>1.054249819231408</v>
      </c>
      <c r="D539" s="2787">
        <f>'2018+'!U1301</f>
        <v>12.960387167281745</v>
      </c>
    </row>
    <row r="540" spans="1:4" ht="15" x14ac:dyDescent="0.2">
      <c r="A540" s="2781">
        <v>44400</v>
      </c>
      <c r="B540" s="2786">
        <f>IFERROR(AVERAGE('2018+'!S1259:S1302),"")</f>
        <v>1.4419726636818291</v>
      </c>
      <c r="C540" s="2782">
        <f>IFERROR(AVERAGE('2018+'!N1259:N1302),"")</f>
        <v>1.054249819231408</v>
      </c>
      <c r="D540" s="2787">
        <f>'2018+'!U1302</f>
        <v>12.651806520441703</v>
      </c>
    </row>
    <row r="541" spans="1:4" ht="15" x14ac:dyDescent="0.2">
      <c r="A541" s="2781">
        <v>44401</v>
      </c>
      <c r="B541" s="2786">
        <f>IFERROR(AVERAGE('2018+'!S1260:S1303),"")</f>
        <v>1.4419726636818291</v>
      </c>
      <c r="C541" s="2782">
        <f>IFERROR(AVERAGE('2018+'!N1260:N1303),"")</f>
        <v>1.054249819231408</v>
      </c>
      <c r="D541" s="2787">
        <f>'2018+'!U1303</f>
        <v>12.350573031859758</v>
      </c>
    </row>
    <row r="542" spans="1:4" ht="15" x14ac:dyDescent="0.2">
      <c r="A542" s="2781">
        <v>44402</v>
      </c>
      <c r="B542" s="2786">
        <f>IFERROR(AVERAGE('2018+'!S1261:S1304),"")</f>
        <v>1.4419726636818291</v>
      </c>
      <c r="C542" s="2782">
        <f>IFERROR(AVERAGE('2018+'!N1261:N1304),"")</f>
        <v>1.054249819231408</v>
      </c>
      <c r="D542" s="2787">
        <f>'2018+'!U1304</f>
        <v>12.056511769196431</v>
      </c>
    </row>
    <row r="543" spans="1:4" ht="15" x14ac:dyDescent="0.2">
      <c r="A543" s="2781">
        <v>44403</v>
      </c>
      <c r="B543" s="2786">
        <f>IFERROR(AVERAGE('2018+'!S1262:S1305),"")</f>
        <v>1.4359169994069867</v>
      </c>
      <c r="C543" s="2782">
        <f>IFERROR(AVERAGE('2018+'!N1262:N1305),"")</f>
        <v>1.0538558596896392</v>
      </c>
      <c r="D543" s="2787">
        <f>'2018+'!U1305</f>
        <v>12.74564244135842</v>
      </c>
    </row>
    <row r="544" spans="1:4" ht="15" x14ac:dyDescent="0.2">
      <c r="A544" s="2781">
        <v>44404</v>
      </c>
      <c r="B544" s="2786">
        <f>IFERROR(AVERAGE('2018+'!S1263:S1306),"")</f>
        <v>1.4359169994069867</v>
      </c>
      <c r="C544" s="2782">
        <f>IFERROR(AVERAGE('2018+'!N1263:N1306),"")</f>
        <v>1.0538558596896392</v>
      </c>
      <c r="D544" s="2787">
        <f>'2018+'!U1306</f>
        <v>12.442174764183219</v>
      </c>
    </row>
    <row r="545" spans="1:4" ht="15" x14ac:dyDescent="0.2">
      <c r="A545" s="2781">
        <v>44405</v>
      </c>
      <c r="B545" s="2786">
        <f>IFERROR(AVERAGE('2018+'!S1264:S1307),"")</f>
        <v>1.4375307789183427</v>
      </c>
      <c r="C545" s="2782">
        <f>IFERROR(AVERAGE('2018+'!N1264:N1307),"")</f>
        <v>1.0545335573027648</v>
      </c>
      <c r="D545" s="2787">
        <f>'2018+'!U1307</f>
        <v>13.336408698369333</v>
      </c>
    </row>
    <row r="546" spans="1:4" ht="15" x14ac:dyDescent="0.2">
      <c r="A546" s="2781">
        <v>44406</v>
      </c>
      <c r="B546" s="2786">
        <f>IFERROR(AVERAGE('2018+'!S1265:S1308),"")</f>
        <v>1.4333875161442817</v>
      </c>
      <c r="C546" s="2782">
        <f>IFERROR(AVERAGE('2018+'!N1265:N1308),"")</f>
        <v>1.0545324860589802</v>
      </c>
      <c r="D546" s="2787">
        <f>'2018+'!U1308</f>
        <v>13.018875157931967</v>
      </c>
    </row>
    <row r="547" spans="1:4" ht="15" x14ac:dyDescent="0.2">
      <c r="A547" s="2781">
        <v>44407</v>
      </c>
      <c r="B547" s="2786">
        <f>IFERROR(AVERAGE('2018+'!S1266:S1309),"")</f>
        <v>1.4400487645298536</v>
      </c>
      <c r="C547" s="2782">
        <f>IFERROR(AVERAGE('2018+'!N1266:N1309),"")</f>
        <v>1.0536968687212021</v>
      </c>
      <c r="D547" s="2787">
        <f>'2018+'!U1309</f>
        <v>13.994616225600254</v>
      </c>
    </row>
    <row r="548" spans="1:4" ht="15" x14ac:dyDescent="0.2">
      <c r="A548" s="2781">
        <v>44408</v>
      </c>
      <c r="B548" s="2786">
        <f>IFERROR(AVERAGE('2018+'!S1267:S1310),"")</f>
        <v>1.4400487645298536</v>
      </c>
      <c r="C548" s="2782">
        <f>IFERROR(AVERAGE('2018+'!N1267:N1310),"")</f>
        <v>1.0536968687212021</v>
      </c>
      <c r="D548" s="2787">
        <f>'2018+'!U1310</f>
        <v>13.661411077371676</v>
      </c>
    </row>
    <row r="549" spans="1:4" ht="15" x14ac:dyDescent="0.2">
      <c r="A549" s="2781">
        <v>44409</v>
      </c>
      <c r="B549" s="2786">
        <f>IFERROR(AVERAGE('2018+'!S1268:S1311),"")</f>
        <v>1.4354606519125439</v>
      </c>
      <c r="C549" s="2782">
        <f>IFERROR(AVERAGE('2018+'!N1268:N1311),"")</f>
        <v>1.0544949119976428</v>
      </c>
      <c r="D549" s="2787">
        <f>'2018+'!U1311</f>
        <v>14.50280605171997</v>
      </c>
    </row>
    <row r="550" spans="1:4" ht="15" x14ac:dyDescent="0.2">
      <c r="A550" s="2781">
        <v>44410</v>
      </c>
      <c r="B550" s="2786">
        <f>IFERROR(AVERAGE('2018+'!S1269:S1312),"")</f>
        <v>1.4354606519125439</v>
      </c>
      <c r="C550" s="2782">
        <f>IFERROR(AVERAGE('2018+'!N1269:N1312),"")</f>
        <v>1.0544949119976428</v>
      </c>
      <c r="D550" s="2787">
        <f>'2018+'!U1312</f>
        <v>14.157501145726638</v>
      </c>
    </row>
    <row r="551" spans="1:4" ht="15" x14ac:dyDescent="0.2">
      <c r="A551" s="2781">
        <v>44411</v>
      </c>
      <c r="B551" s="2786">
        <f>IFERROR(AVERAGE('2018+'!S1270:S1313),"")</f>
        <v>1.4354606519125439</v>
      </c>
      <c r="C551" s="2782">
        <f>IFERROR(AVERAGE('2018+'!N1270:N1313),"")</f>
        <v>1.0544949119976428</v>
      </c>
      <c r="D551" s="2787">
        <f>'2018+'!U1313</f>
        <v>13.820417785114099</v>
      </c>
    </row>
    <row r="552" spans="1:4" ht="15" x14ac:dyDescent="0.2">
      <c r="A552" s="2781">
        <v>44412</v>
      </c>
      <c r="B552" s="2786">
        <f>IFERROR(AVERAGE('2018+'!S1271:S1314),"")</f>
        <v>1.4334457849328881</v>
      </c>
      <c r="C552" s="2782">
        <f>IFERROR(AVERAGE('2018+'!N1271:N1314),"")</f>
        <v>1.0555896371548183</v>
      </c>
      <c r="D552" s="2787">
        <f>'2018+'!U1314</f>
        <v>14.777074504516143</v>
      </c>
    </row>
    <row r="553" spans="1:4" ht="15" x14ac:dyDescent="0.2">
      <c r="A553" s="2781">
        <v>44413</v>
      </c>
      <c r="B553" s="2786">
        <f>IFERROR(AVERAGE('2018+'!S1272:S1315),"")</f>
        <v>1.4334457849328881</v>
      </c>
      <c r="C553" s="2782">
        <f>IFERROR(AVERAGE('2018+'!N1272:N1315),"")</f>
        <v>1.0555896371548183</v>
      </c>
      <c r="D553" s="2787">
        <f>'2018+'!U1315</f>
        <v>14.425239397265759</v>
      </c>
    </row>
    <row r="554" spans="1:4" ht="15" x14ac:dyDescent="0.2">
      <c r="A554" s="2781">
        <v>44414</v>
      </c>
      <c r="B554" s="2786">
        <f>IFERROR(AVERAGE('2018+'!S1273:S1316),"")</f>
        <v>1.4318902293773326</v>
      </c>
      <c r="C554" s="2782">
        <f>IFERROR(AVERAGE('2018+'!N1273:N1316),"")</f>
        <v>1.0551211162513114</v>
      </c>
      <c r="D554" s="2787">
        <f>'2018+'!U1316</f>
        <v>15.629400363997528</v>
      </c>
    </row>
    <row r="555" spans="1:4" ht="15" x14ac:dyDescent="0.2">
      <c r="A555" s="2781">
        <v>44415</v>
      </c>
      <c r="B555" s="2786">
        <f>IFERROR(AVERAGE('2018+'!S1274:S1317),"")</f>
        <v>1.4318902293773326</v>
      </c>
      <c r="C555" s="2782">
        <f>IFERROR(AVERAGE('2018+'!N1274:N1317),"")</f>
        <v>1.0551211162513114</v>
      </c>
      <c r="D555" s="2787">
        <f>'2018+'!U1317</f>
        <v>15.257271783902349</v>
      </c>
    </row>
    <row r="556" spans="1:4" ht="15" x14ac:dyDescent="0.2">
      <c r="A556" s="2781">
        <v>44416</v>
      </c>
      <c r="B556" s="2786">
        <f>IFERROR(AVERAGE('2018+'!S1275:S1318),"")</f>
        <v>1.4222585868652553</v>
      </c>
      <c r="C556" s="2782">
        <f>IFERROR(AVERAGE('2018+'!N1275:N1318),"")</f>
        <v>1.053936041095485</v>
      </c>
      <c r="D556" s="2787">
        <f>'2018+'!U1318</f>
        <v>15.989241503333245</v>
      </c>
    </row>
    <row r="557" spans="1:4" ht="15" x14ac:dyDescent="0.2">
      <c r="A557" s="2781">
        <v>44417</v>
      </c>
      <c r="B557" s="2786">
        <f>IFERROR(AVERAGE('2018+'!S1276:S1319),"")</f>
        <v>1.4222585868652553</v>
      </c>
      <c r="C557" s="2782">
        <f>IFERROR(AVERAGE('2018+'!N1276:N1319),"")</f>
        <v>1.053936041095485</v>
      </c>
      <c r="D557" s="2787">
        <f>'2018+'!U1319</f>
        <v>15.608545277063406</v>
      </c>
    </row>
    <row r="558" spans="1:4" ht="15" x14ac:dyDescent="0.2">
      <c r="A558" s="2781">
        <v>44418</v>
      </c>
      <c r="B558" s="2786">
        <f>IFERROR(AVERAGE('2018+'!S1277:S1320),"")</f>
        <v>1.4163389750723101</v>
      </c>
      <c r="C558" s="2782">
        <f>IFERROR(AVERAGE('2018+'!N1277:N1320),"")</f>
        <v>1.0545977390401478</v>
      </c>
      <c r="D558" s="2787">
        <f>'2018+'!U1320</f>
        <v>17.02262753237142</v>
      </c>
    </row>
    <row r="559" spans="1:4" ht="15" x14ac:dyDescent="0.2">
      <c r="A559" s="2781">
        <v>44419</v>
      </c>
      <c r="B559" s="2786">
        <f>IFERROR(AVERAGE('2018+'!S1278:S1321),"")</f>
        <v>1.4163389750723101</v>
      </c>
      <c r="C559" s="2782">
        <f>IFERROR(AVERAGE('2018+'!N1278:N1321),"")</f>
        <v>1.0545977390401478</v>
      </c>
      <c r="D559" s="2787">
        <f>'2018+'!U1321</f>
        <v>16.617326876838767</v>
      </c>
    </row>
    <row r="560" spans="1:4" ht="15" x14ac:dyDescent="0.2">
      <c r="A560" s="2781">
        <v>44420</v>
      </c>
      <c r="B560" s="2786">
        <f>IFERROR(AVERAGE('2018+'!S1279:S1322),"")</f>
        <v>1.4163389750723101</v>
      </c>
      <c r="C560" s="2782">
        <f>IFERROR(AVERAGE('2018+'!N1279:N1322),"")</f>
        <v>1.0545977390401478</v>
      </c>
      <c r="D560" s="2787">
        <f>'2018+'!U1322</f>
        <v>16.221676236914035</v>
      </c>
    </row>
    <row r="561" spans="1:4" ht="15" x14ac:dyDescent="0.2">
      <c r="A561" s="2781">
        <v>44421</v>
      </c>
      <c r="B561" s="2786">
        <f>IFERROR(AVERAGE('2018+'!S1280:S1323),"")</f>
        <v>1.4213556236331149</v>
      </c>
      <c r="C561" s="2782">
        <f>IFERROR(AVERAGE('2018+'!N1280:N1323),"")</f>
        <v>1.0534113877779607</v>
      </c>
      <c r="D561" s="2787">
        <f>'2018+'!U1323</f>
        <v>16.906874421749414</v>
      </c>
    </row>
    <row r="562" spans="1:4" ht="15" x14ac:dyDescent="0.2">
      <c r="A562" s="2781">
        <v>44422</v>
      </c>
      <c r="B562" s="2786">
        <f>IFERROR(AVERAGE('2018+'!S1281:S1324),"")</f>
        <v>1.4213556236331149</v>
      </c>
      <c r="C562" s="2782">
        <f>IFERROR(AVERAGE('2018+'!N1281:N1324),"")</f>
        <v>1.0534113877779607</v>
      </c>
      <c r="D562" s="2787">
        <f>'2018+'!U1324</f>
        <v>16.504329792660144</v>
      </c>
    </row>
    <row r="563" spans="1:4" ht="15" x14ac:dyDescent="0.2">
      <c r="A563" s="2781">
        <v>44423</v>
      </c>
      <c r="B563" s="2786">
        <f>IFERROR(AVERAGE('2018+'!S1282:S1325),"")</f>
        <v>1.420914187843737</v>
      </c>
      <c r="C563" s="2782">
        <f>IFERROR(AVERAGE('2018+'!N1282:N1325),"")</f>
        <v>1.0530960109357674</v>
      </c>
      <c r="D563" s="2787">
        <f>'2018+'!U1325</f>
        <v>17.873274321406331</v>
      </c>
    </row>
    <row r="564" spans="1:4" ht="15" x14ac:dyDescent="0.2">
      <c r="A564" s="2781">
        <v>44424</v>
      </c>
      <c r="B564" s="2786">
        <f>IFERROR(AVERAGE('2018+'!S1283:S1326),"")</f>
        <v>1.420914187843737</v>
      </c>
      <c r="C564" s="2782">
        <f>IFERROR(AVERAGE('2018+'!N1283:N1326),"")</f>
        <v>1.0530960109357674</v>
      </c>
      <c r="D564" s="2787">
        <f>'2018+'!U1326</f>
        <v>17.447720170896655</v>
      </c>
    </row>
    <row r="565" spans="1:4" ht="15" x14ac:dyDescent="0.2">
      <c r="A565" s="2781">
        <v>44425</v>
      </c>
      <c r="B565" s="2786">
        <f>IFERROR(AVERAGE('2018+'!S1284:S1327),"")</f>
        <v>1.4272744135713078</v>
      </c>
      <c r="C565" s="2782">
        <f>IFERROR(AVERAGE('2018+'!N1284:N1327),"")</f>
        <v>1.053276339193276</v>
      </c>
      <c r="D565" s="2787">
        <f>'2018+'!U1327</f>
        <v>18.318012547780068</v>
      </c>
    </row>
    <row r="566" spans="1:4" ht="15" x14ac:dyDescent="0.2">
      <c r="A566" s="2781">
        <v>44426</v>
      </c>
      <c r="B566" s="2786">
        <f>IFERROR(AVERAGE('2018+'!S1285:S1328),"")</f>
        <v>1.4272744135713078</v>
      </c>
      <c r="C566" s="2782">
        <f>IFERROR(AVERAGE('2018+'!N1285:N1328),"")</f>
        <v>1.053276339193276</v>
      </c>
      <c r="D566" s="2787">
        <f>'2018+'!U1328</f>
        <v>17.881869391880542</v>
      </c>
    </row>
    <row r="567" spans="1:4" ht="15" x14ac:dyDescent="0.2">
      <c r="A567" s="2781">
        <v>44427</v>
      </c>
      <c r="B567" s="2788">
        <f>IFERROR(AVERAGE('2018+'!S1286:S1329),"")</f>
        <v>1.4327188485659648</v>
      </c>
      <c r="C567" s="2782">
        <f>IFERROR(AVERAGE('2018+'!N1286:N1329),"")</f>
        <v>1.0530100927861581</v>
      </c>
      <c r="D567" s="2787">
        <f>'2018+'!U1329</f>
        <v>18.741824882550052</v>
      </c>
    </row>
    <row r="568" spans="1:4" ht="15" x14ac:dyDescent="0.2">
      <c r="A568" s="2781">
        <v>44428</v>
      </c>
      <c r="B568" s="2788">
        <f>IFERROR(AVERAGE('2018+'!S1287:S1330),"")</f>
        <v>1.4327188485659648</v>
      </c>
      <c r="C568" s="2782">
        <f>IFERROR(AVERAGE('2018+'!N1287:N1330),"")</f>
        <v>1.0530100927861581</v>
      </c>
      <c r="D568" s="2787">
        <f>'2018+'!U1330</f>
        <v>18.295590956775051</v>
      </c>
    </row>
    <row r="569" spans="1:4" ht="15" x14ac:dyDescent="0.2">
      <c r="A569" s="2781">
        <v>44429</v>
      </c>
      <c r="B569" s="2788">
        <f>IFERROR(AVERAGE('2018+'!S1288:S1331),"")</f>
        <v>1.4327188485659648</v>
      </c>
      <c r="C569" s="2782">
        <f>IFERROR(AVERAGE('2018+'!N1288:N1331),"")</f>
        <v>1.0530100927861581</v>
      </c>
      <c r="D569" s="2787">
        <f>'2018+'!U1331</f>
        <v>17.859981648280407</v>
      </c>
    </row>
    <row r="570" spans="1:4" ht="15" x14ac:dyDescent="0.2">
      <c r="A570" s="2781">
        <v>44430</v>
      </c>
      <c r="B570" s="2788">
        <f>IFERROR(AVERAGE('2018+'!S1289:S1332),"")</f>
        <v>1.4365872616028212</v>
      </c>
      <c r="C570" s="2782">
        <f>IFERROR(AVERAGE('2018+'!N1289:N1332),"")</f>
        <v>1.0526736811281932</v>
      </c>
      <c r="D570" s="2787">
        <f>'2018+'!U1332</f>
        <v>18.910934466178492</v>
      </c>
    </row>
    <row r="571" spans="1:4" ht="15" x14ac:dyDescent="0.2">
      <c r="A571" s="2781">
        <v>44431</v>
      </c>
      <c r="B571" s="2788">
        <f>IFERROR(AVERAGE('2018+'!S1290:S1333),"")</f>
        <v>1.4365872616028212</v>
      </c>
      <c r="C571" s="2782">
        <f>IFERROR(AVERAGE('2018+'!N1290:N1333),"")</f>
        <v>1.0526736811281932</v>
      </c>
      <c r="D571" s="2787">
        <f>'2018+'!U1333</f>
        <v>18.460674121745672</v>
      </c>
    </row>
    <row r="572" spans="1:4" ht="15" x14ac:dyDescent="0.2">
      <c r="A572" s="2781">
        <v>44432</v>
      </c>
      <c r="B572" s="2788">
        <f>IFERROR(AVERAGE('2018+'!S1291:S1334),"")</f>
        <v>1.4359258886070776</v>
      </c>
      <c r="C572" s="2782">
        <f>IFERROR(AVERAGE('2018+'!N1291:N1334),"")</f>
        <v>1.0525571113627366</v>
      </c>
      <c r="D572" s="2787">
        <f>'2018+'!U1334</f>
        <v>19.306848547418394</v>
      </c>
    </row>
    <row r="573" spans="1:4" ht="15" x14ac:dyDescent="0.2">
      <c r="A573" s="2781">
        <v>44433</v>
      </c>
      <c r="B573" s="2788">
        <f>IFERROR(AVERAGE('2018+'!S1292:S1335),"")</f>
        <v>1.4359258886070776</v>
      </c>
      <c r="C573" s="2782">
        <f>IFERROR(AVERAGE('2018+'!N1292:N1335),"")</f>
        <v>1.0525571113627366</v>
      </c>
      <c r="D573" s="2787">
        <f>'2018+'!U1335</f>
        <v>18.847161677241765</v>
      </c>
    </row>
    <row r="574" spans="1:4" ht="15" x14ac:dyDescent="0.2">
      <c r="A574" s="2781">
        <v>44434</v>
      </c>
      <c r="B574" s="2788">
        <f>IFERROR(AVERAGE('2018+'!S1293:S1336),"")</f>
        <v>1.439720789025511</v>
      </c>
      <c r="C574" s="2782">
        <f>IFERROR(AVERAGE('2018+'!N1293:N1336),"")</f>
        <v>1.052225674748241</v>
      </c>
      <c r="D574" s="2787">
        <f>'2018+'!U1336</f>
        <v>19.969848303974103</v>
      </c>
    </row>
    <row r="575" spans="1:4" ht="15" x14ac:dyDescent="0.2">
      <c r="A575" s="2781">
        <v>44435</v>
      </c>
      <c r="B575" s="2788">
        <f>IFERROR(AVERAGE('2018+'!S1294:S1337),"")</f>
        <v>1.4451274623168671</v>
      </c>
      <c r="C575" s="2782">
        <f>IFERROR(AVERAGE('2018+'!N1294:N1337),"")</f>
        <v>1.0514789654566388</v>
      </c>
      <c r="D575" s="2787">
        <f>'2018+'!U1337</f>
        <v>19.494375725308053</v>
      </c>
    </row>
    <row r="576" spans="1:4" ht="15" x14ac:dyDescent="0.2">
      <c r="A576" s="2781">
        <v>44436</v>
      </c>
      <c r="B576" s="2788">
        <f>IFERROR(AVERAGE('2018+'!S1295:S1338),"")</f>
        <v>1.4467187606279452</v>
      </c>
      <c r="C576" s="2782">
        <f>IFERROR(AVERAGE('2018+'!N1295:N1338),"")</f>
        <v>1.0512385258018204</v>
      </c>
      <c r="D576" s="2787">
        <f>'2018+'!U1338</f>
        <v>20.625462017562622</v>
      </c>
    </row>
    <row r="577" spans="1:4" ht="15" x14ac:dyDescent="0.2">
      <c r="A577" s="2781">
        <v>44437</v>
      </c>
      <c r="B577" s="2788">
        <f>IFERROR(AVERAGE('2018+'!S1296:S1339),"")</f>
        <v>1.4467187606279452</v>
      </c>
      <c r="C577" s="2782">
        <f>IFERROR(AVERAGE('2018+'!N1296:N1339),"")</f>
        <v>1.0512385258018204</v>
      </c>
      <c r="D577" s="2787">
        <f>'2018+'!U1339</f>
        <v>20.134379588573037</v>
      </c>
    </row>
    <row r="578" spans="1:4" ht="15" x14ac:dyDescent="0.2">
      <c r="A578" s="2781">
        <v>44438</v>
      </c>
      <c r="B578" s="2788">
        <f>IFERROR(AVERAGE('2018+'!S1297:S1340),"")</f>
        <v>1.4467187606279452</v>
      </c>
      <c r="C578" s="2782">
        <f>IFERROR(AVERAGE('2018+'!N1297:N1340),"")</f>
        <v>1.0512385258018204</v>
      </c>
      <c r="D578" s="2787">
        <f>'2018+'!U1340</f>
        <v>19.654989598368918</v>
      </c>
    </row>
    <row r="579" spans="1:4" ht="15" x14ac:dyDescent="0.2">
      <c r="A579" s="2781">
        <v>44439</v>
      </c>
      <c r="B579" s="2788">
        <f>IFERROR(AVERAGE('2018+'!S1298:S1341),"")</f>
        <v>1.4474355458609509</v>
      </c>
      <c r="C579" s="2782">
        <f>IFERROR(AVERAGE('2018+'!N1298:N1341),"")</f>
        <v>1.051724462649632</v>
      </c>
      <c r="D579" s="2787">
        <f>'2018+'!U1341</f>
        <v>20.972727941264896</v>
      </c>
    </row>
    <row r="580" spans="1:4" ht="15" x14ac:dyDescent="0.2">
      <c r="A580" s="2781">
        <v>44440</v>
      </c>
      <c r="B580" s="2788">
        <f>IFERROR(AVERAGE('2018+'!S1299:S1342),"")</f>
        <v>1.4474355458609509</v>
      </c>
      <c r="C580" s="2782">
        <f>IFERROR(AVERAGE('2018+'!N1299:N1342),"")</f>
        <v>1.051724462649632</v>
      </c>
      <c r="D580" s="2787">
        <f>'2018+'!U1342</f>
        <v>20.473377275996683</v>
      </c>
    </row>
    <row r="581" spans="1:4" ht="15" x14ac:dyDescent="0.2">
      <c r="A581" s="2781">
        <v>44441</v>
      </c>
      <c r="B581" s="2788">
        <f>IFERROR(AVERAGE('2018+'!S1300:S1343),"")</f>
        <v>1.4496247991610736</v>
      </c>
      <c r="C581" s="2782">
        <f>IFERROR(AVERAGE('2018+'!N1300:N1343),"")</f>
        <v>1.0508721758850339</v>
      </c>
      <c r="D581" s="2787">
        <f>'2018+'!U1343</f>
        <v>21.628773055139618</v>
      </c>
    </row>
    <row r="582" spans="1:4" ht="15" x14ac:dyDescent="0.2">
      <c r="A582" s="2781">
        <v>44442</v>
      </c>
      <c r="B582" s="2788">
        <f>IFERROR(AVERAGE('2018+'!S1301:S1344),"")</f>
        <v>1.4496247991610736</v>
      </c>
      <c r="C582" s="2782">
        <f>IFERROR(AVERAGE('2018+'!N1301:N1344),"")</f>
        <v>1.0508721758850339</v>
      </c>
      <c r="D582" s="2787">
        <f>'2018+'!U1344</f>
        <v>21.113802268112483</v>
      </c>
    </row>
    <row r="583" spans="1:4" ht="15" x14ac:dyDescent="0.2">
      <c r="A583" s="2781">
        <v>44443</v>
      </c>
      <c r="B583" s="2788">
        <f>IFERROR(AVERAGE('2018+'!S1302:S1345),"")</f>
        <v>1.451883352543798</v>
      </c>
      <c r="C583" s="2782">
        <f>IFERROR(AVERAGE('2018+'!N1302:N1345),"")</f>
        <v>1.0507580534266203</v>
      </c>
      <c r="D583" s="2787">
        <f>'2018+'!U1345</f>
        <v>22.301568880776472</v>
      </c>
    </row>
    <row r="584" spans="1:4" ht="15" x14ac:dyDescent="0.2">
      <c r="A584" s="2781">
        <v>44444</v>
      </c>
      <c r="B584" s="2788">
        <f>IFERROR(AVERAGE('2018+'!S1303:S1346),"")</f>
        <v>1.451883352543798</v>
      </c>
      <c r="C584" s="2782">
        <f>IFERROR(AVERAGE('2018+'!N1303:N1346),"")</f>
        <v>1.0507580534266203</v>
      </c>
      <c r="D584" s="2787">
        <f>'2018+'!U1346</f>
        <v>21.770579145519889</v>
      </c>
    </row>
    <row r="585" spans="1:4" ht="15" x14ac:dyDescent="0.2">
      <c r="A585" s="2781">
        <v>44445</v>
      </c>
      <c r="B585" s="2788">
        <f>IFERROR(AVERAGE('2018+'!S1304:S1347),"")</f>
        <v>1.451883352543798</v>
      </c>
      <c r="C585" s="2782">
        <f>IFERROR(AVERAGE('2018+'!N1304:N1347),"")</f>
        <v>1.0507580534266203</v>
      </c>
      <c r="D585" s="2787">
        <f>'2018+'!U1347</f>
        <v>21.252232023007512</v>
      </c>
    </row>
    <row r="586" spans="1:4" ht="15" x14ac:dyDescent="0.2">
      <c r="A586" s="2781">
        <v>44446</v>
      </c>
      <c r="B586" s="2788">
        <f>IFERROR(AVERAGE('2018+'!S1305:S1348),"")</f>
        <v>1.4566273144130109</v>
      </c>
      <c r="C586" s="2782">
        <f>IFERROR(AVERAGE('2018+'!N1305:N1348),"")</f>
        <v>1.050855535777083</v>
      </c>
      <c r="D586" s="2787">
        <f>'2018+'!U1348</f>
        <v>22.603369355793049</v>
      </c>
    </row>
    <row r="587" spans="1:4" ht="15" x14ac:dyDescent="0.2">
      <c r="A587" s="2781">
        <v>44447</v>
      </c>
      <c r="B587" s="2788">
        <f>IFERROR(AVERAGE('2018+'!S1306:S1349),"")</f>
        <v>1.4575889538882449</v>
      </c>
      <c r="C587" s="2782">
        <f>IFERROR(AVERAGE('2018+'!N1306:N1349),"")</f>
        <v>1.0506845388384065</v>
      </c>
      <c r="D587" s="2787">
        <f>'2018+'!U1349</f>
        <v>22.065193894940833</v>
      </c>
    </row>
    <row r="588" spans="1:4" ht="15" x14ac:dyDescent="0.2">
      <c r="A588" s="2781">
        <v>44448</v>
      </c>
      <c r="B588" s="2788">
        <f>IFERROR(AVERAGE('2018+'!S1307:S1350),"")</f>
        <v>1.4593418591350091</v>
      </c>
      <c r="C588" s="2782">
        <f>IFERROR(AVERAGE('2018+'!N1307:N1350),"")</f>
        <v>1.0502942736466707</v>
      </c>
      <c r="D588" s="2787">
        <f>'2018+'!U1350</f>
        <v>23.182689278394623</v>
      </c>
    </row>
    <row r="589" spans="1:4" ht="15" x14ac:dyDescent="0.2">
      <c r="A589" s="2781">
        <v>44449</v>
      </c>
      <c r="B589" s="2788">
        <f>IFERROR(AVERAGE('2018+'!S1308:S1351),"")</f>
        <v>1.4597253888515602</v>
      </c>
      <c r="C589" s="2782">
        <f>IFERROR(AVERAGE('2018+'!N1308:N1351),"")</f>
        <v>1.0497501387953956</v>
      </c>
      <c r="D589" s="2787">
        <f>'2018+'!U1351</f>
        <v>22.630720486051892</v>
      </c>
    </row>
    <row r="590" spans="1:4" ht="15" x14ac:dyDescent="0.2">
      <c r="A590" s="2781">
        <v>44450</v>
      </c>
      <c r="B590" s="2788">
        <f>IFERROR(AVERAGE('2018+'!S1309:S1352),"")</f>
        <v>1.4597253888515602</v>
      </c>
      <c r="C590" s="2782">
        <f>IFERROR(AVERAGE('2018+'!N1309:N1352),"")</f>
        <v>1.0497501387953956</v>
      </c>
      <c r="D590" s="2787">
        <f>'2018+'!U1352</f>
        <v>22.091893807812561</v>
      </c>
    </row>
    <row r="591" spans="1:4" ht="15" x14ac:dyDescent="0.2">
      <c r="A591" s="2781">
        <v>44451</v>
      </c>
      <c r="B591" s="2788">
        <f>IFERROR(AVERAGE('2018+'!S1310:S1353),"")</f>
        <v>1.4574879104544245</v>
      </c>
      <c r="C591" s="2782">
        <f>IFERROR(AVERAGE('2018+'!N1310:N1353),"")</f>
        <v>1.0499486846906292</v>
      </c>
      <c r="D591" s="2787">
        <f>'2018+'!U1353</f>
        <v>23.327801098102739</v>
      </c>
    </row>
    <row r="592" spans="1:4" ht="15" x14ac:dyDescent="0.2">
      <c r="A592" s="2781">
        <v>44452</v>
      </c>
      <c r="B592" s="2788">
        <f>IFERROR(AVERAGE('2018+'!S1311:S1354),"")</f>
        <v>1.4574879104544245</v>
      </c>
      <c r="C592" s="2782">
        <f>IFERROR(AVERAGE('2018+'!N1311:N1354),"")</f>
        <v>1.0499486846906292</v>
      </c>
      <c r="D592" s="2787">
        <f>'2018+'!U1354</f>
        <v>22.772377262433626</v>
      </c>
    </row>
    <row r="593" spans="1:4" ht="15" x14ac:dyDescent="0.2">
      <c r="A593" s="2781">
        <v>44453</v>
      </c>
      <c r="B593" s="2788">
        <f>IFERROR(AVERAGE('2018+'!S1312:S1355),"")</f>
        <v>1.4578847358512499</v>
      </c>
      <c r="C593" s="2782">
        <f>IFERROR(AVERAGE('2018+'!N1312:N1355),"")</f>
        <v>1.0500364959258279</v>
      </c>
      <c r="D593" s="2787">
        <f>'2018+'!U1355</f>
        <v>23.182558756185205</v>
      </c>
    </row>
    <row r="594" spans="1:4" ht="15" x14ac:dyDescent="0.2">
      <c r="A594" s="2781">
        <v>44454</v>
      </c>
      <c r="B594" s="2788">
        <f>IFERROR(AVERAGE('2018+'!S1313:S1356),"")</f>
        <v>1.4578847358512499</v>
      </c>
      <c r="C594" s="2782">
        <f>IFERROR(AVERAGE('2018+'!N1313:N1356),"")</f>
        <v>1.0500364959258279</v>
      </c>
      <c r="D594" s="2787">
        <f>'2018+'!U1356</f>
        <v>22.630593071514127</v>
      </c>
    </row>
    <row r="595" spans="1:4" ht="15" x14ac:dyDescent="0.2">
      <c r="A595" s="2781">
        <v>44455</v>
      </c>
      <c r="B595" s="2788">
        <f>IFERROR(AVERAGE('2018+'!S1314:S1357),"")</f>
        <v>1.4576750502390714</v>
      </c>
      <c r="C595" s="2782">
        <f>IFERROR(AVERAGE('2018+'!N1314:N1357),"")</f>
        <v>1.0501845238060072</v>
      </c>
      <c r="D595" s="2787">
        <f>'2018+'!U1357</f>
        <v>23.258436093620933</v>
      </c>
    </row>
    <row r="596" spans="1:4" ht="15" x14ac:dyDescent="0.2">
      <c r="A596" s="2781">
        <v>44456</v>
      </c>
      <c r="B596" s="2788">
        <f>IFERROR(AVERAGE('2018+'!S1315:S1358),"")</f>
        <v>1.4591816888325999</v>
      </c>
      <c r="C596" s="2782">
        <f>IFERROR(AVERAGE('2018+'!N1315:N1358),"")</f>
        <v>1.0498235469781276</v>
      </c>
      <c r="D596" s="2787">
        <f>'2018+'!U1358</f>
        <v>22.704663805677576</v>
      </c>
    </row>
    <row r="597" spans="1:4" ht="15" x14ac:dyDescent="0.2">
      <c r="A597" s="2781">
        <v>44457</v>
      </c>
      <c r="B597" s="2788">
        <f>IFERROR(AVERAGE('2018+'!S1316:S1359),"")</f>
        <v>1.4594503217511849</v>
      </c>
      <c r="C597" s="2782">
        <f>IFERROR(AVERAGE('2018+'!N1316:N1359),"")</f>
        <v>1.049416764953006</v>
      </c>
      <c r="D597" s="2787">
        <f>'2018+'!U1359</f>
        <v>23.735505143637635</v>
      </c>
    </row>
    <row r="598" spans="1:4" ht="15" x14ac:dyDescent="0.2">
      <c r="A598" s="2781">
        <v>44458</v>
      </c>
      <c r="B598" s="2788">
        <f>IFERROR(AVERAGE('2018+'!S1317:S1360),"")</f>
        <v>1.4586790433299546</v>
      </c>
      <c r="C598" s="2782">
        <f>IFERROR(AVERAGE('2018+'!N1317:N1360),"")</f>
        <v>1.0497741022349758</v>
      </c>
      <c r="D598" s="2787">
        <f>'2018+'!U1360</f>
        <v>23.170374068789119</v>
      </c>
    </row>
    <row r="599" spans="1:4" ht="15" x14ac:dyDescent="0.2">
      <c r="A599" s="2781">
        <v>44459</v>
      </c>
      <c r="B599" s="2788">
        <f>IFERROR(AVERAGE('2018+'!S1318:S1361),"")</f>
        <v>1.4614137409374486</v>
      </c>
      <c r="C599" s="2782">
        <f>IFERROR(AVERAGE('2018+'!N1318:N1361),"")</f>
        <v>1.0498276278856118</v>
      </c>
      <c r="D599" s="2787">
        <f>'2018+'!U1361</f>
        <v>24.261555638579853</v>
      </c>
    </row>
    <row r="600" spans="1:4" ht="15" x14ac:dyDescent="0.2">
      <c r="A600" s="2781">
        <v>44460</v>
      </c>
      <c r="B600" s="2788">
        <f>IFERROR(AVERAGE('2018+'!S1319:S1362),"")</f>
        <v>1.4658287018537264</v>
      </c>
      <c r="C600" s="2782">
        <f>IFERROR(AVERAGE('2018+'!N1319:N1362),"")</f>
        <v>1.0497696402587418</v>
      </c>
      <c r="D600" s="2787">
        <f>'2018+'!U1362</f>
        <v>23.683899551947</v>
      </c>
    </row>
    <row r="601" spans="1:4" ht="15" x14ac:dyDescent="0.2">
      <c r="A601" s="2781">
        <v>44461</v>
      </c>
      <c r="B601" s="2788">
        <f>IFERROR(AVERAGE('2018+'!S1320:S1363),"")</f>
        <v>1.4660991776475032</v>
      </c>
      <c r="C601" s="2782">
        <f>IFERROR(AVERAGE('2018+'!N1320:N1363),"")</f>
        <v>1.0488296406760518</v>
      </c>
      <c r="D601" s="2787">
        <f>'2018+'!U1363</f>
        <v>24.739044800710168</v>
      </c>
    </row>
    <row r="602" spans="1:4" ht="15" x14ac:dyDescent="0.2">
      <c r="A602" s="2781">
        <v>44462</v>
      </c>
      <c r="B602" s="2788">
        <f>IFERROR(AVERAGE('2018+'!S1321:S1364),"")</f>
        <v>1.4701854803608083</v>
      </c>
      <c r="C602" s="2782">
        <f>IFERROR(AVERAGE('2018+'!N1321:N1364),"")</f>
        <v>1.0486967074659561</v>
      </c>
      <c r="D602" s="2787">
        <f>'2018+'!U1364</f>
        <v>25.245258019740877</v>
      </c>
    </row>
    <row r="603" spans="1:4" ht="15" x14ac:dyDescent="0.2">
      <c r="A603" s="2781">
        <v>44463</v>
      </c>
      <c r="B603" s="2788">
        <f>IFERROR(AVERAGE('2018+'!S1322:S1365),"")</f>
        <v>1.4701854803608083</v>
      </c>
      <c r="C603" s="2782">
        <f>IFERROR(AVERAGE('2018+'!N1322:N1365),"")</f>
        <v>1.0486967074659561</v>
      </c>
      <c r="D603" s="2787">
        <f>'2018+'!U1365</f>
        <v>24.644180447842285</v>
      </c>
    </row>
    <row r="604" spans="1:4" ht="15" x14ac:dyDescent="0.2">
      <c r="A604" s="2781">
        <v>44464</v>
      </c>
      <c r="B604" s="2788">
        <f>IFERROR(AVERAGE('2018+'!S1323:S1366),"")</f>
        <v>1.4701854803608083</v>
      </c>
      <c r="C604" s="2782">
        <f>IFERROR(AVERAGE('2018+'!N1323:N1366),"")</f>
        <v>1.0486967074659561</v>
      </c>
      <c r="D604" s="2787">
        <f>'2018+'!U1366</f>
        <v>25.247890437179372</v>
      </c>
    </row>
    <row r="605" spans="1:4" ht="15" x14ac:dyDescent="0.2">
      <c r="A605" s="2781">
        <v>44465</v>
      </c>
      <c r="B605" s="2788">
        <f>IFERROR(AVERAGE('2018+'!S1324:S1367),"")</f>
        <v>1.4734542560624921</v>
      </c>
      <c r="C605" s="2782">
        <f>IFERROR(AVERAGE('2018+'!N1324:N1367),"")</f>
        <v>1.0489631959413273</v>
      </c>
      <c r="D605" s="2787">
        <f>'2018+'!U1367</f>
        <v>24.646750188675099</v>
      </c>
    </row>
    <row r="606" spans="1:4" ht="15" x14ac:dyDescent="0.2">
      <c r="A606" s="2781">
        <v>44466</v>
      </c>
      <c r="B606" s="2788">
        <f>IFERROR(AVERAGE('2018+'!S1325:S1368),"")</f>
        <v>1.4735449428468104</v>
      </c>
      <c r="C606" s="2782">
        <f>IFERROR(AVERAGE('2018+'!N1325:N1368),"")</f>
        <v>1.0495353520770854</v>
      </c>
      <c r="D606" s="2787">
        <f>'2018+'!U1368</f>
        <v>25.774208517516168</v>
      </c>
    </row>
    <row r="607" spans="1:4" ht="15" x14ac:dyDescent="0.2">
      <c r="A607" s="2781">
        <v>44467</v>
      </c>
      <c r="B607" s="2788">
        <f>IFERROR(AVERAGE('2018+'!S1326:S1369),"")</f>
        <v>1.4767386399960454</v>
      </c>
      <c r="C607" s="2782">
        <f>IFERROR(AVERAGE('2018+'!N1326:N1369),"")</f>
        <v>1.0495302679884988</v>
      </c>
      <c r="D607" s="2787">
        <f>'2018+'!U1369</f>
        <v>25.160536886146737</v>
      </c>
    </row>
    <row r="608" spans="1:4" ht="15" x14ac:dyDescent="0.2">
      <c r="A608" s="2781">
        <v>44468</v>
      </c>
      <c r="B608" s="2788">
        <f>IFERROR(AVERAGE('2018+'!S1327:S1370),"")</f>
        <v>1.4789522374952642</v>
      </c>
      <c r="C608" s="2782">
        <f>IFERROR(AVERAGE('2018+'!N1327:N1370),"")</f>
        <v>1.0499287980298104</v>
      </c>
      <c r="D608" s="2787">
        <f>'2018+'!U1370</f>
        <v>25.537666960286099</v>
      </c>
    </row>
    <row r="609" spans="1:4" ht="15" x14ac:dyDescent="0.2">
      <c r="A609" s="2781">
        <v>44469</v>
      </c>
      <c r="B609" s="2788">
        <f>IFERROR(AVERAGE('2018+'!S1328:S1371),"")</f>
        <v>1.4775830772282144</v>
      </c>
      <c r="C609" s="2782">
        <f>IFERROR(AVERAGE('2018+'!N1328:N1371),"")</f>
        <v>1.0496226046823902</v>
      </c>
      <c r="D609" s="2787">
        <f>'2018+'!U1371</f>
        <v>24.929627270755478</v>
      </c>
    </row>
    <row r="610" spans="1:4" ht="15" x14ac:dyDescent="0.2">
      <c r="A610" s="2781">
        <v>44470</v>
      </c>
      <c r="B610" s="2788">
        <f>IFERROR(AVERAGE('2018+'!S1329:S1372),"")</f>
        <v>1.4775830772282144</v>
      </c>
      <c r="C610" s="2782">
        <f>IFERROR(AVERAGE('2018+'!N1329:N1372),"")</f>
        <v>1.0496226046823902</v>
      </c>
      <c r="D610" s="2787">
        <f>'2018+'!U1372</f>
        <v>24.336064716689872</v>
      </c>
    </row>
    <row r="611" spans="1:4" ht="15" x14ac:dyDescent="0.2">
      <c r="A611" s="2781">
        <v>44471</v>
      </c>
      <c r="B611" s="2788">
        <f>IFERROR(AVERAGE('2018+'!S1330:S1373),"")</f>
        <v>1.4760587580359621</v>
      </c>
      <c r="C611" s="2782">
        <f>IFERROR(AVERAGE('2018+'!N1330:N1373),"")</f>
        <v>1.0496269408699648</v>
      </c>
      <c r="D611" s="2787">
        <f>'2018+'!U1373</f>
        <v>23.756634604387731</v>
      </c>
    </row>
    <row r="612" spans="1:4" ht="15" x14ac:dyDescent="0.2">
      <c r="A612" s="2781">
        <v>44472</v>
      </c>
      <c r="B612" s="2788">
        <f>IFERROR(AVERAGE('2018+'!S1331:S1374),"")</f>
        <v>1.4760587580359621</v>
      </c>
      <c r="C612" s="2782">
        <f>IFERROR(AVERAGE('2018+'!N1331:N1374),"")</f>
        <v>1.0496269408699648</v>
      </c>
      <c r="D612" s="2787">
        <f>'2018+'!U1374</f>
        <v>23.191000447140404</v>
      </c>
    </row>
    <row r="613" spans="1:4" ht="15" x14ac:dyDescent="0.2">
      <c r="A613" s="2781">
        <v>44473</v>
      </c>
      <c r="B613" s="2788">
        <f>IFERROR(AVERAGE('2018+'!S1332:S1375),"")</f>
        <v>1.4760587580359621</v>
      </c>
      <c r="C613" s="2782">
        <f>IFERROR(AVERAGE('2018+'!N1332:N1375),"")</f>
        <v>1.0496269408699648</v>
      </c>
      <c r="D613" s="2787">
        <f>'2018+'!U1375</f>
        <v>22.638833769827539</v>
      </c>
    </row>
    <row r="614" spans="1:4" ht="15" x14ac:dyDescent="0.2">
      <c r="A614" s="2781">
        <v>44474</v>
      </c>
      <c r="B614" s="2788">
        <f>IFERROR(AVERAGE('2018+'!S1333:S1376),"")</f>
        <v>1.4772410018417812</v>
      </c>
      <c r="C614" s="2782">
        <f>IFERROR(AVERAGE('2018+'!N1333:N1376),"")</f>
        <v>1.0497791380036448</v>
      </c>
      <c r="D614" s="2787">
        <f>'2018+'!U1376</f>
        <v>22.09981391816498</v>
      </c>
    </row>
    <row r="615" spans="1:4" ht="15" x14ac:dyDescent="0.2">
      <c r="A615" s="2781">
        <v>44475</v>
      </c>
      <c r="B615" s="2788">
        <f>IFERROR(AVERAGE('2018+'!S1334:S1377),"")</f>
        <v>1.4772410018417812</v>
      </c>
      <c r="C615" s="2782">
        <f>IFERROR(AVERAGE('2018+'!N1334:N1377),"")</f>
        <v>1.0497791380036448</v>
      </c>
      <c r="D615" s="2787">
        <f>'2018+'!U1377</f>
        <v>21.573627872494384</v>
      </c>
    </row>
    <row r="616" spans="1:4" ht="15" x14ac:dyDescent="0.2">
      <c r="A616" s="2781">
        <v>44476</v>
      </c>
      <c r="B616" s="2788">
        <f>IFERROR(AVERAGE('2018+'!S1335:S1378),"")</f>
        <v>1.4806126241867887</v>
      </c>
      <c r="C616" s="2782">
        <f>IFERROR(AVERAGE('2018+'!N1335:N1378),"")</f>
        <v>1.0497027382274648</v>
      </c>
      <c r="D616" s="2787">
        <f>'2018+'!U1378</f>
        <v>21.059970066006422</v>
      </c>
    </row>
    <row r="617" spans="1:4" ht="15" x14ac:dyDescent="0.2">
      <c r="A617" s="2781">
        <v>44477</v>
      </c>
      <c r="B617" s="2788">
        <f>IFERROR(AVERAGE('2018+'!S1336:S1379),"")</f>
        <v>1.4806126241867887</v>
      </c>
      <c r="C617" s="2782">
        <f>IFERROR(AVERAGE('2018+'!N1336:N1379),"")</f>
        <v>1.0497027382274648</v>
      </c>
      <c r="D617" s="2787">
        <f>'2018+'!U1379</f>
        <v>20.558542207291982</v>
      </c>
    </row>
    <row r="618" spans="1:4" ht="15" x14ac:dyDescent="0.2">
      <c r="A618" s="2781">
        <v>44478</v>
      </c>
      <c r="B618" s="2788">
        <f>IFERROR(AVERAGE('2018+'!S1337:S1380),"")</f>
        <v>1.4794675048214156</v>
      </c>
      <c r="C618" s="2782">
        <f>IFERROR(AVERAGE('2018+'!N1337:N1380),"")</f>
        <v>1.0498776391343687</v>
      </c>
      <c r="D618" s="2787">
        <f>'2018+'!U1380</f>
        <v>20.069053107118364</v>
      </c>
    </row>
    <row r="619" spans="1:4" ht="15" x14ac:dyDescent="0.2">
      <c r="A619" s="2781">
        <v>44479</v>
      </c>
      <c r="B619" s="2788">
        <f>IFERROR(AVERAGE('2018+'!S1338:S1381),"")</f>
        <v>1.4794675048214156</v>
      </c>
      <c r="C619" s="2782">
        <f>IFERROR(AVERAGE('2018+'!N1338:N1381),"")</f>
        <v>1.0498776391343687</v>
      </c>
      <c r="D619" s="2787">
        <f>'2018+'!U1381</f>
        <v>19.591218509329831</v>
      </c>
    </row>
    <row r="620" spans="1:4" ht="15" x14ac:dyDescent="0.2">
      <c r="A620" s="2781">
        <v>44480</v>
      </c>
      <c r="B620" s="2788">
        <f>IFERROR(AVERAGE('2018+'!S1339:S1382),"")</f>
        <v>1.4801505255542844</v>
      </c>
      <c r="C620" s="2782">
        <f>IFERROR(AVERAGE('2018+'!N1339:N1382),"")</f>
        <v>1.050050385915509</v>
      </c>
      <c r="D620" s="2787">
        <f>'2018+'!U1382</f>
        <v>19.12476092577436</v>
      </c>
    </row>
    <row r="621" spans="1:4" ht="15" x14ac:dyDescent="0.2">
      <c r="A621" s="2781">
        <v>44481</v>
      </c>
      <c r="B621" s="2788">
        <f>IFERROR(AVERAGE('2018+'!S1340:S1383),"")</f>
        <v>1.4801505255542844</v>
      </c>
      <c r="C621" s="2782">
        <f>IFERROR(AVERAGE('2018+'!N1340:N1383),"")</f>
        <v>1.050050385915509</v>
      </c>
      <c r="D621" s="2787">
        <f>'2018+'!U1383</f>
        <v>18.669409475160684</v>
      </c>
    </row>
    <row r="622" spans="1:4" ht="15" x14ac:dyDescent="0.2">
      <c r="A622" s="2781">
        <v>44482</v>
      </c>
      <c r="B622" s="2788">
        <f>IFERROR(AVERAGE('2018+'!S1341:S1384),"")</f>
        <v>1.4801505255542844</v>
      </c>
      <c r="C622" s="2782">
        <f>IFERROR(AVERAGE('2018+'!N1341:N1384),"")</f>
        <v>1.050050385915509</v>
      </c>
      <c r="D622" s="2787">
        <f>'2018+'!U1384</f>
        <v>18.224899725752095</v>
      </c>
    </row>
    <row r="623" spans="1:4" ht="15" x14ac:dyDescent="0.2">
      <c r="A623" s="2781">
        <v>44483</v>
      </c>
      <c r="B623" s="2788">
        <f>IFERROR(AVERAGE('2018+'!S1342:S1385),"")</f>
        <v>1.4819210602180546</v>
      </c>
      <c r="C623" s="2782">
        <f>IFERROR(AVERAGE('2018+'!N1342:N1385),"")</f>
        <v>1.0492629637239166</v>
      </c>
      <c r="D623" s="2787">
        <f>'2018+'!U1385</f>
        <v>17.790973541805617</v>
      </c>
    </row>
    <row r="624" spans="1:4" ht="15" x14ac:dyDescent="0.2">
      <c r="A624" s="2781">
        <v>44484</v>
      </c>
      <c r="B624" s="2788">
        <f>IFERROR(AVERAGE('2018+'!S1343:S1386),"")</f>
        <v>1.4819210602180546</v>
      </c>
      <c r="C624" s="2782">
        <f>IFERROR(AVERAGE('2018+'!N1343:N1386),"")</f>
        <v>1.0492629637239166</v>
      </c>
      <c r="D624" s="2787">
        <f>'2018+'!U1386</f>
        <v>17.367378933667389</v>
      </c>
    </row>
    <row r="625" spans="1:4" ht="15" x14ac:dyDescent="0.2">
      <c r="A625" s="2781">
        <v>44485</v>
      </c>
      <c r="B625" s="2788">
        <f>IFERROR(AVERAGE('2018+'!S1344:S1387),"")</f>
        <v>1.4774814209099942</v>
      </c>
      <c r="C625" s="2782">
        <f>IFERROR(AVERAGE('2018+'!N1344:N1387),"")</f>
        <v>1.0508763258156204</v>
      </c>
      <c r="D625" s="2787">
        <f>'2018+'!U1387</f>
        <v>17.906250863818165</v>
      </c>
    </row>
    <row r="626" spans="1:4" ht="15" x14ac:dyDescent="0.2">
      <c r="A626" s="2781">
        <v>44486</v>
      </c>
      <c r="B626" s="2788">
        <f>IFERROR(AVERAGE('2018+'!S1345:S1388),"")</f>
        <v>1.4774814209099942</v>
      </c>
      <c r="C626" s="2782">
        <f>IFERROR(AVERAGE('2018+'!N1345:N1388),"")</f>
        <v>1.0508763258156204</v>
      </c>
      <c r="D626" s="2787">
        <f>'2018+'!U1388</f>
        <v>17.479911557536781</v>
      </c>
    </row>
    <row r="627" spans="1:4" ht="15" x14ac:dyDescent="0.2">
      <c r="A627" s="2781">
        <v>44487</v>
      </c>
      <c r="B627" s="2788">
        <f>IFERROR(AVERAGE('2018+'!S1346:S1389),"")</f>
        <v>1.476112703407918</v>
      </c>
      <c r="C627" s="2782">
        <f>IFERROR(AVERAGE('2018+'!N1346:N1389),"")</f>
        <v>1.0510738236920245</v>
      </c>
      <c r="D627" s="2787">
        <f>'2018+'!U1389</f>
        <v>18.063723187119237</v>
      </c>
    </row>
    <row r="628" spans="1:4" ht="15" x14ac:dyDescent="0.2">
      <c r="A628" s="2781">
        <v>44488</v>
      </c>
      <c r="B628" s="2788">
        <f>IFERROR(AVERAGE('2018+'!S1347:S1390),"")</f>
        <v>1.476112703407918</v>
      </c>
      <c r="C628" s="2782">
        <f>IFERROR(AVERAGE('2018+'!N1347:N1390),"")</f>
        <v>1.0510738236920245</v>
      </c>
      <c r="D628" s="2787">
        <f>'2018+'!U1390</f>
        <v>17.633634539806874</v>
      </c>
    </row>
    <row r="629" spans="1:4" ht="15" x14ac:dyDescent="0.2">
      <c r="A629" s="2781">
        <v>44489</v>
      </c>
      <c r="B629" s="2788">
        <f>IFERROR(AVERAGE('2018+'!S1348:S1391),"")</f>
        <v>1.4735371014115961</v>
      </c>
      <c r="C629" s="2782">
        <f>IFERROR(AVERAGE('2018+'!N1348:N1391),"")</f>
        <v>1.0507997898411789</v>
      </c>
      <c r="D629" s="2787">
        <f>'2018+'!U1391</f>
        <v>18.475690860287663</v>
      </c>
    </row>
    <row r="630" spans="1:4" ht="15" x14ac:dyDescent="0.2">
      <c r="A630" s="2781">
        <v>44490</v>
      </c>
      <c r="B630" s="2788">
        <f>IFERROR(AVERAGE('2018+'!S1349:S1392),"")</f>
        <v>1.4668802388191906</v>
      </c>
      <c r="C630" s="2782">
        <f>IFERROR(AVERAGE('2018+'!N1349:N1392),"")</f>
        <v>1.0506263434234797</v>
      </c>
      <c r="D630" s="2787">
        <f>'2018+'!U1392</f>
        <v>18.035793458852243</v>
      </c>
    </row>
    <row r="631" spans="1:4" ht="15" x14ac:dyDescent="0.2">
      <c r="A631" s="2781">
        <v>44491</v>
      </c>
      <c r="B631" s="2788">
        <f>IFERROR(AVERAGE('2018+'!S1350:S1393),"")</f>
        <v>1.4687536940948964</v>
      </c>
      <c r="C631" s="2782">
        <f>IFERROR(AVERAGE('2018+'!N1350:N1393),"")</f>
        <v>1.0503064871309837</v>
      </c>
      <c r="D631" s="2787">
        <f>'2018+'!U1393</f>
        <v>18.749226947927191</v>
      </c>
    </row>
    <row r="632" spans="1:4" ht="15" x14ac:dyDescent="0.2">
      <c r="A632" s="2781">
        <v>44492</v>
      </c>
      <c r="B632" s="2788">
        <f>IFERROR(AVERAGE('2018+'!S1351:S1394),"")</f>
        <v>1.4665815700286566</v>
      </c>
      <c r="C632" s="2782">
        <f>IFERROR(AVERAGE('2018+'!N1351:N1394),"")</f>
        <v>1.0509816918698283</v>
      </c>
      <c r="D632" s="2787">
        <f>'2018+'!U1394</f>
        <v>18.302816782500354</v>
      </c>
    </row>
    <row r="633" spans="1:4" ht="15" x14ac:dyDescent="0.2">
      <c r="A633" s="2781">
        <v>44493</v>
      </c>
      <c r="B633" s="2788">
        <f>IFERROR(AVERAGE('2018+'!S1352:S1395),"")</f>
        <v>1.4630714751641583</v>
      </c>
      <c r="C633" s="2782">
        <f>IFERROR(AVERAGE('2018+'!N1352:N1395),"")</f>
        <v>1.0505514756543979</v>
      </c>
      <c r="D633" s="2787">
        <f>'2018+'!U1395</f>
        <v>19.224178287678917</v>
      </c>
    </row>
    <row r="634" spans="1:4" ht="15" x14ac:dyDescent="0.2">
      <c r="A634" s="2781">
        <v>44494</v>
      </c>
      <c r="B634" s="2788">
        <f>IFERROR(AVERAGE('2018+'!S1353:S1396),"")</f>
        <v>1.4630714751641583</v>
      </c>
      <c r="C634" s="2782">
        <f>IFERROR(AVERAGE('2018+'!N1353:N1396),"")</f>
        <v>1.0505514756543979</v>
      </c>
      <c r="D634" s="2787">
        <f>'2018+'!U1396</f>
        <v>18.766459757019895</v>
      </c>
    </row>
    <row r="635" spans="1:4" ht="15" x14ac:dyDescent="0.2">
      <c r="A635" s="2781">
        <v>44495</v>
      </c>
      <c r="B635" s="2788">
        <f>IFERROR(AVERAGE('2018+'!S1354:S1397),"")</f>
        <v>1.4630714751641583</v>
      </c>
      <c r="C635" s="2782">
        <f>IFERROR(AVERAGE('2018+'!N1354:N1397),"")</f>
        <v>1.0505514756543979</v>
      </c>
      <c r="D635" s="2787">
        <f>'2018+'!U1397</f>
        <v>18.31963928661466</v>
      </c>
    </row>
    <row r="636" spans="1:4" ht="15" x14ac:dyDescent="0.2">
      <c r="A636" s="2781">
        <v>44496</v>
      </c>
      <c r="B636" s="2788">
        <f>IFERROR(AVERAGE('2018+'!S1355:S1398),"")</f>
        <v>1.4630714751641583</v>
      </c>
      <c r="C636" s="2782">
        <f>IFERROR(AVERAGE('2018+'!N1355:N1398),"")</f>
        <v>1.0505514756543979</v>
      </c>
      <c r="D636" s="2787">
        <f>'2018+'!U1398</f>
        <v>17.883457398838122</v>
      </c>
    </row>
    <row r="637" spans="1:4" ht="15" x14ac:dyDescent="0.2">
      <c r="A637" s="2781">
        <v>44497</v>
      </c>
      <c r="B637" s="2788">
        <f>IFERROR(AVERAGE('2018+'!S1356:S1399),"")</f>
        <v>1.4664711236141423</v>
      </c>
      <c r="C637" s="2782">
        <f>IFERROR(AVERAGE('2018+'!N1356:N1399),"")</f>
        <v>1.0493482935891771</v>
      </c>
      <c r="D637" s="2787">
        <f>'2018+'!U1399</f>
        <v>18.481470317913406</v>
      </c>
    </row>
    <row r="638" spans="1:4" ht="15" x14ac:dyDescent="0.2">
      <c r="A638" s="2781">
        <v>44498</v>
      </c>
      <c r="B638" s="2788">
        <f>IFERROR(AVERAGE('2018+'!S1357:S1400),"")</f>
        <v>1.4664711236141423</v>
      </c>
      <c r="C638" s="2782">
        <f>IFERROR(AVERAGE('2018+'!N1357:N1400),"")</f>
        <v>1.0493482935891771</v>
      </c>
      <c r="D638" s="2787">
        <f>'2018+'!U1400</f>
        <v>18.041435310344038</v>
      </c>
    </row>
    <row r="639" spans="1:4" ht="15" x14ac:dyDescent="0.2">
      <c r="A639" s="2781">
        <v>44499</v>
      </c>
      <c r="B639" s="2788">
        <f>IFERROR(AVERAGE('2018+'!S1358:S1401),"")</f>
        <v>1.4676138885590773</v>
      </c>
      <c r="C639" s="2782">
        <f>IFERROR(AVERAGE('2018+'!N1358:N1401),"")</f>
        <v>1.0490300452200811</v>
      </c>
      <c r="D639" s="2787">
        <f>'2018+'!U1401</f>
        <v>17.611877326764418</v>
      </c>
    </row>
    <row r="640" spans="1:4" ht="15" x14ac:dyDescent="0.2">
      <c r="A640" s="2781">
        <v>44500</v>
      </c>
      <c r="B640" s="2788">
        <f>IFERROR(AVERAGE('2018+'!S1359:S1402),"")</f>
        <v>1.4675349534013762</v>
      </c>
      <c r="C640" s="2782">
        <f>IFERROR(AVERAGE('2018+'!N1359:N1402),"")</f>
        <v>1.0492224010649096</v>
      </c>
      <c r="D640" s="2787">
        <f>'2018+'!U1402</f>
        <v>18.287785009460503</v>
      </c>
    </row>
    <row r="641" spans="1:4" ht="15" x14ac:dyDescent="0.2">
      <c r="A641" s="2781">
        <v>44501</v>
      </c>
      <c r="B641" s="2788">
        <f>IFERROR(AVERAGE('2018+'!S1360:S1403),"")</f>
        <v>1.4678303387755276</v>
      </c>
      <c r="C641" s="2782">
        <f>IFERROR(AVERAGE('2018+'!N1360:N1403),"")</f>
        <v>1.0498703749343725</v>
      </c>
      <c r="D641" s="2787">
        <f>'2018+'!U1403</f>
        <v>17.852361556854301</v>
      </c>
    </row>
    <row r="642" spans="1:4" ht="15" x14ac:dyDescent="0.2">
      <c r="A642" s="2781">
        <v>44502</v>
      </c>
      <c r="B642" s="2788">
        <f>IFERROR(AVERAGE('2018+'!S1361:S1404),"")</f>
        <v>1.4678303387755276</v>
      </c>
      <c r="C642" s="2782">
        <f>IFERROR(AVERAGE('2018+'!N1361:N1404),"")</f>
        <v>1.0498703749343725</v>
      </c>
      <c r="D642" s="2787">
        <f>'2018+'!U1404</f>
        <v>17.427305329310151</v>
      </c>
    </row>
    <row r="643" spans="1:4" ht="15" x14ac:dyDescent="0.2">
      <c r="A643" s="2781">
        <v>44503</v>
      </c>
      <c r="B643" s="2788">
        <f>IFERROR(AVERAGE('2018+'!S1362:S1405),"")</f>
        <v>1.4627879856774151</v>
      </c>
      <c r="C643" s="2782">
        <f>IFERROR(AVERAGE('2018+'!N1362:N1405),"")</f>
        <v>1.0486665232765804</v>
      </c>
      <c r="D643" s="2787">
        <f>'2018+'!U1405</f>
        <v>18.012369488136098</v>
      </c>
    </row>
    <row r="644" spans="1:4" ht="15" x14ac:dyDescent="0.2">
      <c r="A644" s="2781">
        <v>44504</v>
      </c>
      <c r="B644" s="2788">
        <f>IFERROR(AVERAGE('2018+'!S1363:S1406),"")</f>
        <v>1.4627879856774151</v>
      </c>
      <c r="C644" s="2782">
        <f>IFERROR(AVERAGE('2018+'!N1363:N1406),"")</f>
        <v>1.0486665232765804</v>
      </c>
      <c r="D644" s="2787">
        <f>'2018+'!U1406</f>
        <v>17.583503547942382</v>
      </c>
    </row>
    <row r="645" spans="1:4" ht="15" x14ac:dyDescent="0.2">
      <c r="A645" s="2781">
        <v>44505</v>
      </c>
      <c r="B645" s="2788">
        <f>IFERROR(AVERAGE('2018+'!S1364:S1407),"")</f>
        <v>1.4619700100516082</v>
      </c>
      <c r="C645" s="2782">
        <f>IFERROR(AVERAGE('2018+'!N1364:N1407),"")</f>
        <v>1.0503422107854754</v>
      </c>
      <c r="D645" s="2787">
        <f>'2018+'!U1407</f>
        <v>17.1648487015628</v>
      </c>
    </row>
    <row r="646" spans="1:4" ht="15" x14ac:dyDescent="0.2">
      <c r="A646" s="2781">
        <v>44506</v>
      </c>
      <c r="B646" s="2788">
        <f>IFERROR(AVERAGE('2018+'!S1365:S1408),"")</f>
        <v>1.4651133708036645</v>
      </c>
      <c r="C646" s="2782">
        <f>IFERROR(AVERAGE('2018+'!N1365:N1408),"")</f>
        <v>1.0490923290200247</v>
      </c>
      <c r="D646" s="2787">
        <f>'2018+'!U1408</f>
        <v>18.660923732477972</v>
      </c>
    </row>
    <row r="647" spans="1:4" ht="15" x14ac:dyDescent="0.2">
      <c r="A647" s="2781">
        <v>44507</v>
      </c>
      <c r="B647" s="2788">
        <f>IFERROR(AVERAGE('2018+'!S1366:S1409),"")</f>
        <v>1.4651133708036645</v>
      </c>
      <c r="C647" s="2782">
        <f>IFERROR(AVERAGE('2018+'!N1366:N1409),"")</f>
        <v>1.0490923290200247</v>
      </c>
      <c r="D647" s="2787">
        <f>'2018+'!U1409</f>
        <v>18.21661602456183</v>
      </c>
    </row>
    <row r="648" spans="1:4" ht="15" x14ac:dyDescent="0.2">
      <c r="A648" s="2781">
        <v>44508</v>
      </c>
      <c r="B648" s="2788">
        <f>IFERROR(AVERAGE('2018+'!S1367:S1410),"")</f>
        <v>1.4572283714922749</v>
      </c>
      <c r="C648" s="2782">
        <f>IFERROR(AVERAGE('2018+'!N1367:N1410),"")</f>
        <v>1.0492223233199589</v>
      </c>
      <c r="D648" s="2787">
        <f>'2018+'!U1410</f>
        <v>18.711458500167502</v>
      </c>
    </row>
    <row r="649" spans="1:4" ht="15" x14ac:dyDescent="0.2">
      <c r="A649" s="2781">
        <v>44509</v>
      </c>
      <c r="B649" s="2788">
        <f>IFERROR(AVERAGE('2018+'!S1368:S1411),"")</f>
        <v>1.4572283714922749</v>
      </c>
      <c r="C649" s="2782">
        <f>IFERROR(AVERAGE('2018+'!N1368:N1411),"")</f>
        <v>1.0492223233199589</v>
      </c>
      <c r="D649" s="2787">
        <f>'2018+'!U1411</f>
        <v>18.265947583496846</v>
      </c>
    </row>
    <row r="650" spans="1:4" ht="15" x14ac:dyDescent="0.2">
      <c r="A650" s="2781">
        <v>44510</v>
      </c>
      <c r="B650" s="2788">
        <f>IFERROR(AVERAGE('2018+'!S1369:S1412),"")</f>
        <v>1.4569943201069557</v>
      </c>
      <c r="C650" s="2782">
        <f>IFERROR(AVERAGE('2018+'!N1369:N1412),"")</f>
        <v>1.0484714935099775</v>
      </c>
      <c r="D650" s="2787">
        <f>'2018+'!U1412</f>
        <v>19.092948831508824</v>
      </c>
    </row>
    <row r="651" spans="1:4" ht="15" x14ac:dyDescent="0.2">
      <c r="A651" s="2781">
        <v>44511</v>
      </c>
      <c r="B651" s="2788">
        <f>IFERROR(AVERAGE('2018+'!S1370:S1413),"")</f>
        <v>1.4569943201069557</v>
      </c>
      <c r="C651" s="2782">
        <f>IFERROR(AVERAGE('2018+'!N1370:N1413),"")</f>
        <v>1.0484714935099775</v>
      </c>
      <c r="D651" s="2787">
        <f>'2018+'!U1413</f>
        <v>18.638354811710997</v>
      </c>
    </row>
    <row r="652" spans="1:4" ht="15" x14ac:dyDescent="0.2">
      <c r="A652" s="2781">
        <v>44512</v>
      </c>
      <c r="B652" s="2788">
        <f>IFERROR(AVERAGE('2018+'!S1371:S1414),"")</f>
        <v>1.450814052869531</v>
      </c>
      <c r="C652" s="2782">
        <f>IFERROR(AVERAGE('2018+'!N1371:N1414),"")</f>
        <v>1.0476084089836331</v>
      </c>
      <c r="D652" s="2787">
        <f>'2018+'!U1414</f>
        <v>18.19458445905121</v>
      </c>
    </row>
    <row r="653" spans="1:4" ht="15" x14ac:dyDescent="0.2">
      <c r="A653" s="2781">
        <v>44513</v>
      </c>
      <c r="B653" s="2788">
        <f>IFERROR(AVERAGE('2018+'!S1372:S1415),"")</f>
        <v>1.450814052869531</v>
      </c>
      <c r="C653" s="2782">
        <f>IFERROR(AVERAGE('2018+'!N1372:N1415),"")</f>
        <v>1.0476084089836331</v>
      </c>
      <c r="D653" s="2787">
        <f>'2018+'!U1415</f>
        <v>17.761380067169039</v>
      </c>
    </row>
    <row r="654" spans="1:4" ht="15" x14ac:dyDescent="0.2">
      <c r="A654" s="2781">
        <v>44514</v>
      </c>
      <c r="B654" s="2788">
        <f>IFERROR(AVERAGE('2018+'!S1373:S1416),"")</f>
        <v>1.4503041825588514</v>
      </c>
      <c r="C654" s="2782">
        <f>IFERROR(AVERAGE('2018+'!N1373:N1416),"")</f>
        <v>1.0481759165034217</v>
      </c>
      <c r="D654" s="2787">
        <f>'2018+'!U1416</f>
        <v>18.886109113188823</v>
      </c>
    </row>
    <row r="655" spans="1:4" ht="15" x14ac:dyDescent="0.2">
      <c r="A655" s="2781">
        <v>44515</v>
      </c>
      <c r="B655" s="2788">
        <f>IFERROR(AVERAGE('2018+'!S1374:S1417),"")</f>
        <v>1.4503041825588514</v>
      </c>
      <c r="C655" s="2782">
        <f>IFERROR(AVERAGE('2018+'!N1374:N1417),"")</f>
        <v>1.0481759165034217</v>
      </c>
      <c r="D655" s="2787">
        <f>'2018+'!U1417</f>
        <v>18.436439848589089</v>
      </c>
    </row>
    <row r="656" spans="1:4" ht="15" x14ac:dyDescent="0.2">
      <c r="A656" s="2781">
        <v>44516</v>
      </c>
      <c r="B656" s="2788">
        <f>IFERROR(AVERAGE('2018+'!S1375:S1418),"")</f>
        <v>1.4503041825588514</v>
      </c>
      <c r="C656" s="2782">
        <f>IFERROR(AVERAGE('2018+'!N1375:N1418),"")</f>
        <v>1.0481759165034217</v>
      </c>
      <c r="D656" s="2787">
        <f>'2018+'!U1418</f>
        <v>17.997476995051255</v>
      </c>
    </row>
    <row r="657" spans="1:4" ht="15" x14ac:dyDescent="0.2">
      <c r="A657" s="2781">
        <v>44517</v>
      </c>
      <c r="B657" s="2788">
        <f>IFERROR(AVERAGE('2018+'!S1376:S1419),"")</f>
        <v>1.4503041825588514</v>
      </c>
      <c r="C657" s="2782">
        <f>IFERROR(AVERAGE('2018+'!N1376:N1419),"")</f>
        <v>1.0481759165034217</v>
      </c>
      <c r="D657" s="2787">
        <f>'2018+'!U1419</f>
        <v>17.568965638026224</v>
      </c>
    </row>
    <row r="658" spans="1:4" ht="15" x14ac:dyDescent="0.2">
      <c r="A658" s="2781">
        <v>44518</v>
      </c>
      <c r="B658" s="2788">
        <f>IFERROR(AVERAGE('2018+'!S1377:S1420),"")</f>
        <v>1.4503041825588514</v>
      </c>
      <c r="C658" s="2782">
        <f>IFERROR(AVERAGE('2018+'!N1377:N1420),"")</f>
        <v>1.0481759165034217</v>
      </c>
      <c r="D658" s="2787">
        <f>'2018+'!U1420</f>
        <v>17.150656932358935</v>
      </c>
    </row>
    <row r="659" spans="1:4" ht="15" x14ac:dyDescent="0.2">
      <c r="A659" s="2781">
        <v>44519</v>
      </c>
      <c r="B659" s="2788">
        <f>IFERROR(AVERAGE('2018+'!S1378:S1421),"")</f>
        <v>1.4538416359446475</v>
      </c>
      <c r="C659" s="2782">
        <f>IFERROR(AVERAGE('2018+'!N1378:N1421),"")</f>
        <v>1.0483416535125134</v>
      </c>
      <c r="D659" s="2787">
        <f>'2018+'!U1421</f>
        <v>17.694688910159911</v>
      </c>
    </row>
    <row r="660" spans="1:4" ht="15" x14ac:dyDescent="0.2">
      <c r="A660" s="2781">
        <v>44520</v>
      </c>
      <c r="B660" s="2788">
        <f>IFERROR(AVERAGE('2018+'!S1379:S1422),"")</f>
        <v>1.4538416359446475</v>
      </c>
      <c r="C660" s="2782">
        <f>IFERROR(AVERAGE('2018+'!N1379:N1422),"")</f>
        <v>1.0483416535125134</v>
      </c>
      <c r="D660" s="2787">
        <f>'2018+'!U1422</f>
        <v>17.273386793251341</v>
      </c>
    </row>
    <row r="661" spans="1:4" ht="15" x14ac:dyDescent="0.2">
      <c r="A661" s="2781">
        <v>44521</v>
      </c>
      <c r="B661" s="2788">
        <f>IFERROR(AVERAGE('2018+'!S1380:S1423),"")</f>
        <v>1.4514334494310288</v>
      </c>
      <c r="C661" s="2782">
        <f>IFERROR(AVERAGE('2018+'!N1380:N1423),"")</f>
        <v>1.0480459650722238</v>
      </c>
      <c r="D661" s="2787">
        <f>'2018+'!U1423</f>
        <v>18.433544250554881</v>
      </c>
    </row>
    <row r="662" spans="1:4" ht="15" x14ac:dyDescent="0.2">
      <c r="A662" s="2781">
        <v>44522</v>
      </c>
      <c r="B662" s="2788">
        <f>IFERROR(AVERAGE('2018+'!S1381:S1424),"")</f>
        <v>1.4514334494310288</v>
      </c>
      <c r="C662" s="2782">
        <f>IFERROR(AVERAGE('2018+'!N1381:N1424),"")</f>
        <v>1.0480459650722238</v>
      </c>
      <c r="D662" s="2787">
        <f>'2018+'!U1424</f>
        <v>17.994650339827384</v>
      </c>
    </row>
    <row r="663" spans="1:4" ht="15" x14ac:dyDescent="0.2">
      <c r="A663" s="2781">
        <v>44523</v>
      </c>
      <c r="B663" s="2788">
        <f>IFERROR(AVERAGE('2018+'!S1382:S1425),"")</f>
        <v>1.4539240151761705</v>
      </c>
      <c r="C663" s="2782">
        <f>IFERROR(AVERAGE('2018+'!N1382:N1425),"")</f>
        <v>1.0471935649038313</v>
      </c>
      <c r="D663" s="2787">
        <f>'2018+'!U1425</f>
        <v>19.351920569831492</v>
      </c>
    </row>
    <row r="664" spans="1:4" ht="15" x14ac:dyDescent="0.2">
      <c r="A664" s="2781">
        <v>44524</v>
      </c>
      <c r="B664" s="2788">
        <f>IFERROR(AVERAGE('2018+'!S1383:S1426),"")</f>
        <v>1.4539240151761705</v>
      </c>
      <c r="C664" s="2782">
        <f>IFERROR(AVERAGE('2018+'!N1383:N1426),"")</f>
        <v>1.0471935649038313</v>
      </c>
      <c r="D664" s="2787">
        <f>'2018+'!U1426</f>
        <v>18.891160556264076</v>
      </c>
    </row>
    <row r="665" spans="1:4" ht="15" x14ac:dyDescent="0.2">
      <c r="A665" s="2781">
        <v>44525</v>
      </c>
      <c r="B665" s="2788">
        <f>IFERROR(AVERAGE('2018+'!S1384:S1427),"")</f>
        <v>1.4539240151761705</v>
      </c>
      <c r="C665" s="2782">
        <f>IFERROR(AVERAGE('2018+'!N1384:N1427),"")</f>
        <v>1.0471935649038313</v>
      </c>
      <c r="D665" s="2787">
        <f>'2018+'!U1427</f>
        <v>18.44137101921017</v>
      </c>
    </row>
    <row r="666" spans="1:4" ht="15" x14ac:dyDescent="0.2">
      <c r="A666" s="2781">
        <v>44526</v>
      </c>
      <c r="B666" s="2788">
        <f>IFERROR(AVERAGE('2018+'!S1385:S1428),"")</f>
        <v>1.4496671422968137</v>
      </c>
      <c r="C666" s="2782">
        <f>IFERROR(AVERAGE('2018+'!N1385:N1428),"")</f>
        <v>1.046730184145507</v>
      </c>
      <c r="D666" s="2787">
        <f>'2018+'!U1428</f>
        <v>19.716576471133738</v>
      </c>
    </row>
    <row r="667" spans="1:4" ht="15" x14ac:dyDescent="0.2">
      <c r="A667" s="2781">
        <v>44527</v>
      </c>
      <c r="B667" s="2788">
        <f>IFERROR(AVERAGE('2018+'!S1386:S1429),"")</f>
        <v>1.4496671422968137</v>
      </c>
      <c r="C667" s="2782">
        <f>IFERROR(AVERAGE('2018+'!N1386:N1429),"")</f>
        <v>1.046730184145507</v>
      </c>
      <c r="D667" s="2787">
        <f>'2018+'!U1429</f>
        <v>19.247134174201982</v>
      </c>
    </row>
    <row r="668" spans="1:4" ht="15" x14ac:dyDescent="0.2">
      <c r="A668" s="2781">
        <v>44528</v>
      </c>
      <c r="B668" s="2788">
        <f>IFERROR(AVERAGE('2018+'!S1387:S1430),"")</f>
        <v>1.4511462792365961</v>
      </c>
      <c r="C668" s="2782">
        <f>IFERROR(AVERAGE('2018+'!N1387:N1430),"")</f>
        <v>1.0472472312655114</v>
      </c>
      <c r="D668" s="2787">
        <f>'2018+'!U1430</f>
        <v>20.860297646244792</v>
      </c>
    </row>
    <row r="669" spans="1:4" ht="15" x14ac:dyDescent="0.2">
      <c r="A669" s="2781">
        <v>44529</v>
      </c>
      <c r="B669" s="2788">
        <f>IFERROR(AVERAGE('2018+'!S1388:S1431),"")</f>
        <v>1.4523182689479404</v>
      </c>
      <c r="C669" s="2782">
        <f>IFERROR(AVERAGE('2018+'!N1388:N1431),"")</f>
        <v>1.0466808036173909</v>
      </c>
      <c r="D669" s="2787">
        <f>'2018+'!U1431</f>
        <v>20.363623892762774</v>
      </c>
    </row>
    <row r="670" spans="1:4" ht="15" x14ac:dyDescent="0.2">
      <c r="A670" s="2781">
        <v>44530</v>
      </c>
      <c r="B670" s="2788">
        <f>IFERROR(AVERAGE('2018+'!S1389:S1432),"")</f>
        <v>1.4523182689479404</v>
      </c>
      <c r="C670" s="2782">
        <f>IFERROR(AVERAGE('2018+'!N1389:N1432),"")</f>
        <v>1.0466808036173909</v>
      </c>
      <c r="D670" s="2787">
        <f>'2018+'!U1432</f>
        <v>19.87877570483985</v>
      </c>
    </row>
    <row r="671" spans="1:4" ht="15" x14ac:dyDescent="0.2">
      <c r="A671" s="2781">
        <v>44531</v>
      </c>
      <c r="B671" s="2788">
        <f>IFERROR(AVERAGE('2018+'!S1390:S1433),"")</f>
        <v>1.4557448057101225</v>
      </c>
      <c r="C671" s="2782">
        <f>IFERROR(AVERAGE('2018+'!N1390:N1433),"")</f>
        <v>1.0470622811794987</v>
      </c>
      <c r="D671" s="2787">
        <f>'2018+'!U1433</f>
        <v>20.643566759486522</v>
      </c>
    </row>
    <row r="672" spans="1:4" ht="15" x14ac:dyDescent="0.2">
      <c r="A672" s="2781">
        <v>44532</v>
      </c>
      <c r="B672" s="2788">
        <f>IFERROR(AVERAGE('2018+'!S1391:S1434),"")</f>
        <v>1.4557448057101225</v>
      </c>
      <c r="C672" s="2782">
        <f>IFERROR(AVERAGE('2018+'!N1391:N1434),"")</f>
        <v>1.0470622811794987</v>
      </c>
      <c r="D672" s="2787">
        <f>'2018+'!U1434</f>
        <v>20.152053265213034</v>
      </c>
    </row>
    <row r="673" spans="1:4" ht="15" x14ac:dyDescent="0.2">
      <c r="A673" s="2781">
        <v>44533</v>
      </c>
      <c r="B673" s="2788">
        <f>IFERROR(AVERAGE('2018+'!S1392:S1435),"")</f>
        <v>1.458504569627348</v>
      </c>
      <c r="C673" s="2782">
        <f>IFERROR(AVERAGE('2018+'!N1392:N1435),"")</f>
        <v>1.0467862982125991</v>
      </c>
      <c r="D673" s="2787">
        <f>'2018+'!U1435</f>
        <v>21.291290092231772</v>
      </c>
    </row>
    <row r="674" spans="1:4" ht="15" x14ac:dyDescent="0.2">
      <c r="A674" s="2781">
        <v>44534</v>
      </c>
      <c r="B674" s="2788">
        <f>IFERROR(AVERAGE('2018+'!S1393:S1436),"")</f>
        <v>1.458504569627348</v>
      </c>
      <c r="C674" s="2782">
        <f>IFERROR(AVERAGE('2018+'!N1393:N1436),"")</f>
        <v>1.0467862982125991</v>
      </c>
      <c r="D674" s="2787">
        <f>'2018+'!U1436</f>
        <v>20.784354613845302</v>
      </c>
    </row>
    <row r="675" spans="1:4" ht="15" x14ac:dyDescent="0.2">
      <c r="A675" s="2781">
        <v>44535</v>
      </c>
      <c r="B675" s="2788">
        <f>IFERROR(AVERAGE('2018+'!S1394:S1437),"")</f>
        <v>1.4561312687999248</v>
      </c>
      <c r="C675" s="2782">
        <f>IFERROR(AVERAGE('2018+'!N1394:N1437),"")</f>
        <v>1.0470474591738532</v>
      </c>
      <c r="D675" s="2787">
        <f>'2018+'!U1437</f>
        <v>22.575203313515651</v>
      </c>
    </row>
    <row r="676" spans="1:4" ht="15" x14ac:dyDescent="0.2">
      <c r="A676" s="2781">
        <v>44536</v>
      </c>
      <c r="B676" s="2788">
        <f>IFERROR(AVERAGE('2018+'!S1395:S1438),"")</f>
        <v>1.4561312687999248</v>
      </c>
      <c r="C676" s="2782">
        <f>IFERROR(AVERAGE('2018+'!N1395:N1438),"")</f>
        <v>1.0470474591738532</v>
      </c>
      <c r="D676" s="2787">
        <f>'2018+'!U1438</f>
        <v>22.037698472717658</v>
      </c>
    </row>
    <row r="677" spans="1:4" ht="15" x14ac:dyDescent="0.2">
      <c r="A677" s="2781">
        <v>44537</v>
      </c>
      <c r="B677" s="2788">
        <f>IFERROR(AVERAGE('2018+'!S1396:S1439),"")</f>
        <v>1.4597598344788503</v>
      </c>
      <c r="C677" s="2782">
        <f>IFERROR(AVERAGE('2018+'!N1396:N1439),"")</f>
        <v>1.0476382486076539</v>
      </c>
      <c r="D677" s="2787">
        <f>'2018+'!U1439</f>
        <v>23.036800890033906</v>
      </c>
    </row>
    <row r="678" spans="1:4" ht="15" x14ac:dyDescent="0.2">
      <c r="A678" s="2781">
        <v>44538</v>
      </c>
      <c r="B678" s="2788">
        <f>IFERROR(AVERAGE('2018+'!S1397:S1440),"")</f>
        <v>1.4662663365901161</v>
      </c>
      <c r="C678" s="2782">
        <f>IFERROR(AVERAGE('2018+'!N1397:N1440),"")</f>
        <v>1.0483912994401317</v>
      </c>
      <c r="D678" s="2787">
        <f>'2018+'!U1440</f>
        <v>23.535924678366431</v>
      </c>
    </row>
    <row r="679" spans="1:4" ht="15" x14ac:dyDescent="0.2">
      <c r="A679" s="2781">
        <v>44539</v>
      </c>
      <c r="B679" s="2788">
        <f>IFERROR(AVERAGE('2018+'!S1398:S1441),"")</f>
        <v>1.4662663365901161</v>
      </c>
      <c r="C679" s="2782">
        <f>IFERROR(AVERAGE('2018+'!N1398:N1441),"")</f>
        <v>1.0483912994401317</v>
      </c>
      <c r="D679" s="2787">
        <f>'2018+'!U1441</f>
        <v>22.975545519357706</v>
      </c>
    </row>
    <row r="680" spans="1:4" ht="15" x14ac:dyDescent="0.2">
      <c r="A680" s="2781">
        <v>44540</v>
      </c>
      <c r="B680" s="2788">
        <f>IFERROR(AVERAGE('2018+'!S1399:S1442),"")</f>
        <v>1.4712677284866915</v>
      </c>
      <c r="C680" s="2782">
        <f>IFERROR(AVERAGE('2018+'!N1399:N1442),"")</f>
        <v>1.0477778180372104</v>
      </c>
      <c r="D680" s="2787">
        <f>'2018+'!U1442</f>
        <v>24.238032530801568</v>
      </c>
    </row>
    <row r="681" spans="1:4" ht="15" x14ac:dyDescent="0.2">
      <c r="A681" s="2781">
        <v>44541</v>
      </c>
      <c r="B681" s="2788">
        <f>IFERROR(AVERAGE('2018+'!S1400:S1443),"")</f>
        <v>1.4697132476339478</v>
      </c>
      <c r="C681" s="2782">
        <f>IFERROR(AVERAGE('2018+'!N1400:N1443),"")</f>
        <v>1.0483129070745123</v>
      </c>
      <c r="D681" s="2787">
        <f>'2018+'!U1443</f>
        <v>25.208555565782483</v>
      </c>
    </row>
    <row r="682" spans="1:4" ht="15" x14ac:dyDescent="0.2">
      <c r="A682" s="2781">
        <v>44542</v>
      </c>
      <c r="B682" s="2788">
        <f>IFERROR(AVERAGE('2018+'!S1401:S1444),"")</f>
        <v>1.4697132476339478</v>
      </c>
      <c r="C682" s="2782">
        <f>IFERROR(AVERAGE('2018+'!N1401:N1444),"")</f>
        <v>1.0483129070745123</v>
      </c>
      <c r="D682" s="2787">
        <f>'2018+'!U1444</f>
        <v>24.608351861835281</v>
      </c>
    </row>
    <row r="683" spans="1:4" ht="15" x14ac:dyDescent="0.2">
      <c r="A683" s="2781">
        <v>44543</v>
      </c>
      <c r="B683" s="2788">
        <f>IFERROR(AVERAGE('2018+'!S1402:S1445),"")</f>
        <v>1.4724514519918863</v>
      </c>
      <c r="C683" s="2782">
        <f>IFERROR(AVERAGE('2018+'!N1402:N1445),"")</f>
        <v>1.0483852519724444</v>
      </c>
      <c r="D683" s="2787">
        <f>'2018+'!U1445</f>
        <v>25.093867293696345</v>
      </c>
    </row>
    <row r="684" spans="1:4" ht="15" x14ac:dyDescent="0.2">
      <c r="A684" s="2781">
        <v>44544</v>
      </c>
      <c r="B684" s="2788">
        <f>IFERROR(AVERAGE('2018+'!S1403:S1446),"")</f>
        <v>1.4727728289543986</v>
      </c>
      <c r="C684" s="2782">
        <f>IFERROR(AVERAGE('2018+'!N1403:N1446),"")</f>
        <v>1.0482211928954677</v>
      </c>
      <c r="D684" s="2787">
        <f>'2018+'!U1446</f>
        <v>24.49639426289405</v>
      </c>
    </row>
    <row r="685" spans="1:4" ht="15" x14ac:dyDescent="0.2">
      <c r="A685" s="2781">
        <v>44545</v>
      </c>
      <c r="B685" s="2788">
        <f>IFERROR(AVERAGE('2018+'!S1404:S1447),"")</f>
        <v>1.4757095973552949</v>
      </c>
      <c r="C685" s="2782">
        <f>IFERROR(AVERAGE('2018+'!N1404:N1447),"")</f>
        <v>1.0479942960172457</v>
      </c>
      <c r="D685" s="2787">
        <f>'2018+'!U1447</f>
        <v>25.508384875682289</v>
      </c>
    </row>
    <row r="686" spans="1:4" ht="15" x14ac:dyDescent="0.2">
      <c r="A686" s="2781">
        <v>44546</v>
      </c>
      <c r="B686" s="2788">
        <f>IFERROR(AVERAGE('2018+'!S1405:S1448),"")</f>
        <v>1.4757095973552949</v>
      </c>
      <c r="C686" s="2782">
        <f>IFERROR(AVERAGE('2018+'!N1405:N1448),"")</f>
        <v>1.0479942960172457</v>
      </c>
      <c r="D686" s="2787">
        <f>'2018+'!U1448</f>
        <v>24.901042378642234</v>
      </c>
    </row>
    <row r="687" spans="1:4" ht="15" x14ac:dyDescent="0.2">
      <c r="A687" s="2781">
        <v>44547</v>
      </c>
      <c r="B687" s="2788">
        <f>IFERROR(AVERAGE('2018+'!S1406:S1449),"")</f>
        <v>1.4768505519976389</v>
      </c>
      <c r="C687" s="2782">
        <f>IFERROR(AVERAGE('2018+'!N1406:N1449),"")</f>
        <v>1.0485746057203515</v>
      </c>
      <c r="D687" s="2787">
        <f>'2018+'!U1449</f>
        <v>24.30816041724599</v>
      </c>
    </row>
    <row r="688" spans="1:4" ht="15" x14ac:dyDescent="0.2">
      <c r="A688" s="2781">
        <v>44548</v>
      </c>
      <c r="B688" s="2788">
        <f>IFERROR(AVERAGE('2018+'!S1407:S1450),"")</f>
        <v>1.4768505519976389</v>
      </c>
      <c r="C688" s="2782">
        <f>IFERROR(AVERAGE('2018+'!N1407:N1450),"")</f>
        <v>1.0485746057203515</v>
      </c>
      <c r="D688" s="2787">
        <f>'2018+'!U1450</f>
        <v>23.729394693025846</v>
      </c>
    </row>
    <row r="689" spans="1:4" ht="15" x14ac:dyDescent="0.2">
      <c r="A689" s="2781">
        <v>44549</v>
      </c>
      <c r="B689" s="2788">
        <f>IFERROR(AVERAGE('2018+'!S1408:S1451),"")</f>
        <v>1.4768505519976389</v>
      </c>
      <c r="C689" s="2782">
        <f>IFERROR(AVERAGE('2018+'!N1408:N1451),"")</f>
        <v>1.0485746057203515</v>
      </c>
      <c r="D689" s="2787">
        <f>'2018+'!U1451</f>
        <v>23.164409105096659</v>
      </c>
    </row>
    <row r="690" spans="1:4" ht="15" x14ac:dyDescent="0.2">
      <c r="A690" s="2781">
        <v>44550</v>
      </c>
      <c r="B690" s="2788">
        <f>IFERROR(AVERAGE('2018+'!S1409:S1452),"")</f>
        <v>1.4774761011612521</v>
      </c>
      <c r="C690" s="2782">
        <f>IFERROR(AVERAGE('2018+'!N1409:N1452),"")</f>
        <v>1.0487148666544632</v>
      </c>
      <c r="D690" s="2787">
        <f>'2018+'!U1452</f>
        <v>22.612875554975311</v>
      </c>
    </row>
    <row r="691" spans="1:4" ht="15" x14ac:dyDescent="0.2">
      <c r="A691" s="2781">
        <v>44551</v>
      </c>
      <c r="B691" s="2788">
        <f>IFERROR(AVERAGE('2018+'!S1410:S1453),"")</f>
        <v>1.4774761011612521</v>
      </c>
      <c r="C691" s="2782">
        <f>IFERROR(AVERAGE('2018+'!N1410:N1453),"")</f>
        <v>1.0487148666544632</v>
      </c>
      <c r="D691" s="2787">
        <f>'2018+'!U1453</f>
        <v>22.074473756047329</v>
      </c>
    </row>
    <row r="692" spans="1:4" ht="15" x14ac:dyDescent="0.2">
      <c r="A692" s="2781">
        <v>44552</v>
      </c>
      <c r="B692" s="2788">
        <f>IFERROR(AVERAGE('2018+'!S1411:S1454),"")</f>
        <v>1.4836697088351816</v>
      </c>
      <c r="C692" s="2782">
        <f>IFERROR(AVERAGE('2018+'!N1411:N1454),"")</f>
        <v>1.0486019041754109</v>
      </c>
      <c r="D692" s="2787">
        <f>'2018+'!U1454</f>
        <v>21.548891047570013</v>
      </c>
    </row>
    <row r="693" spans="1:4" ht="15" x14ac:dyDescent="0.2">
      <c r="A693" s="2781">
        <v>44553</v>
      </c>
      <c r="B693" s="2788">
        <f>IFERROR(AVERAGE('2018+'!S1412:S1455),"")</f>
        <v>1.4836697088351816</v>
      </c>
      <c r="C693" s="2782">
        <f>IFERROR(AVERAGE('2018+'!N1412:N1455),"")</f>
        <v>1.0486019041754109</v>
      </c>
      <c r="D693" s="2787">
        <f>'2018+'!U1455</f>
        <v>21.035822213104062</v>
      </c>
    </row>
    <row r="694" spans="1:4" ht="15" x14ac:dyDescent="0.2">
      <c r="A694" s="2781">
        <v>44554</v>
      </c>
      <c r="B694" s="2788">
        <f>IFERROR(AVERAGE('2018+'!S1413:S1456),"")</f>
        <v>1.484407506775792</v>
      </c>
      <c r="C694" s="2782">
        <f>IFERROR(AVERAGE('2018+'!N1413:N1456),"")</f>
        <v>1.0484036954797091</v>
      </c>
      <c r="D694" s="2787">
        <f>'2018+'!U1456</f>
        <v>20.534969303268252</v>
      </c>
    </row>
    <row r="695" spans="1:4" ht="15" x14ac:dyDescent="0.2">
      <c r="A695" s="2781">
        <v>44555</v>
      </c>
      <c r="B695" s="2788">
        <f>IFERROR(AVERAGE('2018+'!S1414:S1457),"")</f>
        <v>1.484407506775792</v>
      </c>
      <c r="C695" s="2782">
        <f>IFERROR(AVERAGE('2018+'!N1414:N1457),"")</f>
        <v>1.0484036954797091</v>
      </c>
      <c r="D695" s="2787">
        <f>'2018+'!U1457</f>
        <v>20.046041462714246</v>
      </c>
    </row>
    <row r="696" spans="1:4" ht="15" x14ac:dyDescent="0.2">
      <c r="A696" s="2781">
        <v>44556</v>
      </c>
      <c r="B696" s="2788">
        <f>IFERROR(AVERAGE('2018+'!S1415:S1458),"")</f>
        <v>1.484407506775792</v>
      </c>
      <c r="C696" s="2782">
        <f>IFERROR(AVERAGE('2018+'!N1415:N1458),"")</f>
        <v>1.0484036954797091</v>
      </c>
      <c r="D696" s="2787">
        <f>'2018+'!U1458</f>
        <v>19.568754761221051</v>
      </c>
    </row>
    <row r="697" spans="1:4" ht="15" x14ac:dyDescent="0.2">
      <c r="A697" s="2781">
        <v>44557</v>
      </c>
      <c r="B697" s="2788">
        <f>IFERROR(AVERAGE('2018+'!S1416:S1459),"")</f>
        <v>1.484407506775792</v>
      </c>
      <c r="C697" s="2782">
        <f>IFERROR(AVERAGE('2018+'!N1416:N1459),"")</f>
        <v>1.0484036954797091</v>
      </c>
      <c r="D697" s="2787">
        <f>'2018+'!U1459</f>
        <v>19.102832028811026</v>
      </c>
    </row>
    <row r="698" spans="1:4" ht="15" x14ac:dyDescent="0.2">
      <c r="A698" s="2781">
        <v>44558</v>
      </c>
      <c r="B698" s="2788">
        <f>IFERROR(AVERAGE('2018+'!S1417:S1460),"")</f>
        <v>1.4872076515846302</v>
      </c>
      <c r="C698" s="2782">
        <f>IFERROR(AVERAGE('2018+'!N1417:N1460),"")</f>
        <v>1.0480146028924522</v>
      </c>
      <c r="D698" s="2787">
        <f>'2018+'!U1460</f>
        <v>18.648002694791714</v>
      </c>
    </row>
    <row r="699" spans="1:4" ht="15" x14ac:dyDescent="0.2">
      <c r="A699" s="2781">
        <v>44559</v>
      </c>
      <c r="B699" s="2788">
        <f>IFERROR(AVERAGE('2018+'!S1418:S1461),"")</f>
        <v>1.4820202063559458</v>
      </c>
      <c r="C699" s="2782">
        <f>IFERROR(AVERAGE('2018+'!N1418:N1461),"")</f>
        <v>1.0481616778562333</v>
      </c>
      <c r="D699" s="2787">
        <f>'2018+'!U1461</f>
        <v>19.299240725868103</v>
      </c>
    </row>
    <row r="700" spans="1:4" ht="15" x14ac:dyDescent="0.2">
      <c r="A700" s="2781">
        <v>44560</v>
      </c>
      <c r="B700" s="2788">
        <f>IFERROR(AVERAGE('2018+'!S1419:S1462),"")</f>
        <v>1.4820202063559458</v>
      </c>
      <c r="C700" s="2782">
        <f>IFERROR(AVERAGE('2018+'!N1419:N1462),"")</f>
        <v>1.0481616778562333</v>
      </c>
      <c r="D700" s="2787">
        <f>'2018+'!U1462</f>
        <v>18.839734994299814</v>
      </c>
    </row>
    <row r="701" spans="1:4" ht="15" x14ac:dyDescent="0.2">
      <c r="A701" s="2781">
        <v>44561</v>
      </c>
      <c r="B701" s="2788">
        <f>IFERROR(AVERAGE('2018+'!S1420:S1463),"")</f>
        <v>1.4813294273296671</v>
      </c>
      <c r="C701" s="2782">
        <f>IFERROR(AVERAGE('2018+'!N1420:N1463),"")</f>
        <v>1.0473541629814391</v>
      </c>
      <c r="D701" s="2787">
        <f>'2018+'!U1463</f>
        <v>20.105455589673628</v>
      </c>
    </row>
    <row r="702" spans="1:4" ht="15" x14ac:dyDescent="0.2">
      <c r="A702" s="2781">
        <v>44562</v>
      </c>
      <c r="B702" s="2788">
        <f>IFERROR(AVERAGE('2018+'!S1421:S1464),"")</f>
        <v>1.4813294273296671</v>
      </c>
      <c r="C702" s="2782">
        <f>IFERROR(AVERAGE('2018+'!N1421:N1464),"")</f>
        <v>1.0473541629814391</v>
      </c>
      <c r="D702" s="2787">
        <f>'2018+'!U1464</f>
        <v>19.62675426610997</v>
      </c>
    </row>
    <row r="703" spans="1:4" ht="15" x14ac:dyDescent="0.2">
      <c r="A703" s="2781">
        <v>44563</v>
      </c>
      <c r="B703" s="2788">
        <f>IFERROR(AVERAGE('2018+'!S1422:S1465),"")</f>
        <v>1.482447219497413</v>
      </c>
      <c r="C703" s="2782">
        <f>IFERROR(AVERAGE('2018+'!N1422:N1465),"")</f>
        <v>1.0474364515779033</v>
      </c>
      <c r="D703" s="2787">
        <f>'2018+'!U1465</f>
        <v>20.849926783583541</v>
      </c>
    </row>
    <row r="704" spans="1:4" ht="15" x14ac:dyDescent="0.2">
      <c r="A704" s="2781">
        <v>44564</v>
      </c>
      <c r="B704" s="2788">
        <f>IFERROR(AVERAGE('2018+'!S1423:S1466),"")</f>
        <v>1.482447219497413</v>
      </c>
      <c r="C704" s="2782">
        <f>IFERROR(AVERAGE('2018+'!N1423:N1466),"")</f>
        <v>1.0474364515779033</v>
      </c>
      <c r="D704" s="2787">
        <f>'2018+'!U1466</f>
        <v>20.353499955402981</v>
      </c>
    </row>
    <row r="705" spans="1:4" ht="15" x14ac:dyDescent="0.2">
      <c r="A705" s="2781">
        <v>44565</v>
      </c>
      <c r="B705" s="2788">
        <f>IFERROR(AVERAGE('2018+'!S1424:S1467),"")</f>
        <v>1.4824649432898322</v>
      </c>
      <c r="C705" s="2782">
        <f>IFERROR(AVERAGE('2018+'!N1424:N1467),"")</f>
        <v>1.0482948690778211</v>
      </c>
      <c r="D705" s="2787">
        <f>'2018+'!U1467</f>
        <v>21.559369004083862</v>
      </c>
    </row>
    <row r="706" spans="1:4" ht="15" x14ac:dyDescent="0.2">
      <c r="A706" s="2781">
        <v>44566</v>
      </c>
      <c r="B706" s="2788">
        <f>IFERROR(AVERAGE('2018+'!S1425:S1468),"")</f>
        <v>1.4824649432898322</v>
      </c>
      <c r="C706" s="2782">
        <f>IFERROR(AVERAGE('2018+'!N1425:N1468),"")</f>
        <v>1.0482948690778211</v>
      </c>
      <c r="D706" s="2787">
        <f>'2018+'!U1468</f>
        <v>21.046050694462817</v>
      </c>
    </row>
    <row r="707" spans="1:4" ht="15" x14ac:dyDescent="0.2">
      <c r="A707" s="2781">
        <v>44567</v>
      </c>
      <c r="B707" s="2788">
        <f>IFERROR(AVERAGE('2018+'!S1426:S1469),"")</f>
        <v>1.4826562140563726</v>
      </c>
      <c r="C707" s="2782">
        <f>IFERROR(AVERAGE('2018+'!N1426:N1469),"")</f>
        <v>1.0491923043814422</v>
      </c>
      <c r="D707" s="2787">
        <f>'2018+'!U1469</f>
        <v>22.164001868404178</v>
      </c>
    </row>
    <row r="708" spans="1:4" ht="15" x14ac:dyDescent="0.2">
      <c r="A708" s="2781">
        <v>44568</v>
      </c>
      <c r="B708" s="2788">
        <f>IFERROR(AVERAGE('2018+'!S1427:S1470),"")</f>
        <v>1.4826562140563726</v>
      </c>
      <c r="C708" s="2782">
        <f>IFERROR(AVERAGE('2018+'!N1427:N1470),"")</f>
        <v>1.0491923043814422</v>
      </c>
      <c r="D708" s="2787">
        <f>'2018+'!U1470</f>
        <v>21.63628753820408</v>
      </c>
    </row>
    <row r="709" spans="1:4" ht="15" x14ac:dyDescent="0.2">
      <c r="A709" s="2781">
        <v>44569</v>
      </c>
      <c r="B709" s="2788">
        <f>IFERROR(AVERAGE('2018+'!S1428:S1471),"")</f>
        <v>1.483470760082674</v>
      </c>
      <c r="C709" s="2782">
        <f>IFERROR(AVERAGE('2018+'!N1428:N1471),"")</f>
        <v>1.0493885982301618</v>
      </c>
      <c r="D709" s="2787">
        <f>'2018+'!U1471</f>
        <v>22.502090215865888</v>
      </c>
    </row>
    <row r="710" spans="1:4" ht="15" x14ac:dyDescent="0.2">
      <c r="A710" s="2781">
        <v>44570</v>
      </c>
      <c r="B710" s="2788">
        <f>IFERROR(AVERAGE('2018+'!S1429:S1472),"")</f>
        <v>1.4893082499637276</v>
      </c>
      <c r="C710" s="2782">
        <f>IFERROR(AVERAGE('2018+'!N1429:N1472),"")</f>
        <v>1.0499602072739864</v>
      </c>
      <c r="D710" s="2787">
        <f>'2018+'!U1472</f>
        <v>21.966326163107176</v>
      </c>
    </row>
    <row r="711" spans="1:4" ht="15" x14ac:dyDescent="0.2">
      <c r="A711" s="2781">
        <v>44571</v>
      </c>
      <c r="B711" s="2788">
        <f>IFERROR(AVERAGE('2018+'!S1430:S1473),"")</f>
        <v>1.4907775125709033</v>
      </c>
      <c r="C711" s="2782">
        <f>IFERROR(AVERAGE('2018+'!N1430:N1473),"")</f>
        <v>1.049725413457558</v>
      </c>
      <c r="D711" s="2787">
        <f>'2018+'!U1473</f>
        <v>22.729032683033196</v>
      </c>
    </row>
    <row r="712" spans="1:4" ht="15" x14ac:dyDescent="0.2">
      <c r="A712" s="2781">
        <v>44572</v>
      </c>
      <c r="B712" s="2788">
        <f>IFERROR(AVERAGE('2018+'!S1431:S1474),"")</f>
        <v>1.4938273080286546</v>
      </c>
      <c r="C712" s="2782">
        <f>IFERROR(AVERAGE('2018+'!N1431:N1474),"")</f>
        <v>1.0488831319947891</v>
      </c>
      <c r="D712" s="2787">
        <f>'2018+'!U1474</f>
        <v>23.759293809627643</v>
      </c>
    </row>
    <row r="713" spans="1:4" ht="15" x14ac:dyDescent="0.2">
      <c r="A713" s="2781">
        <v>44573</v>
      </c>
      <c r="B713" s="2788">
        <f>IFERROR(AVERAGE('2018+'!S1432:S1475),"")</f>
        <v>1.4938273080286546</v>
      </c>
      <c r="C713" s="2782">
        <f>IFERROR(AVERAGE('2018+'!N1432:N1475),"")</f>
        <v>1.0488831319947891</v>
      </c>
      <c r="D713" s="2787">
        <f>'2018+'!U1475</f>
        <v>23.19359633796984</v>
      </c>
    </row>
    <row r="714" spans="1:4" ht="15" x14ac:dyDescent="0.2">
      <c r="A714" s="2781">
        <v>44574</v>
      </c>
      <c r="B714" s="2788">
        <f>IFERROR(AVERAGE('2018+'!S1433:S1476),"")</f>
        <v>1.4965176532007716</v>
      </c>
      <c r="C714" s="2782">
        <f>IFERROR(AVERAGE('2018+'!N1433:N1476),"")</f>
        <v>1.048387872972675</v>
      </c>
      <c r="D714" s="2787">
        <f>'2018+'!U1476</f>
        <v>24.403272615637224</v>
      </c>
    </row>
    <row r="715" spans="1:4" ht="15" x14ac:dyDescent="0.2">
      <c r="A715" s="2781">
        <v>44575</v>
      </c>
      <c r="B715" s="2788">
        <f>IFERROR(AVERAGE('2018+'!S1434:S1477),"")</f>
        <v>1.4958926412041782</v>
      </c>
      <c r="C715" s="2782">
        <f>IFERROR(AVERAGE('2018+'!N1434:N1477),"")</f>
        <v>1.0481292511115901</v>
      </c>
      <c r="D715" s="2787">
        <f>'2018+'!U1477</f>
        <v>23.822242315264909</v>
      </c>
    </row>
    <row r="716" spans="1:4" ht="15" x14ac:dyDescent="0.2">
      <c r="A716" s="2781">
        <v>44576</v>
      </c>
      <c r="B716" s="2788">
        <f>IFERROR(AVERAGE('2018+'!S1435:S1478),"")</f>
        <v>1.4931232258854807</v>
      </c>
      <c r="C716" s="2782">
        <f>IFERROR(AVERAGE('2018+'!N1435:N1478),"")</f>
        <v>1.0480583564305652</v>
      </c>
      <c r="D716" s="2787">
        <f>'2018+'!U1478</f>
        <v>24.921712736330029</v>
      </c>
    </row>
    <row r="717" spans="1:4" ht="15" x14ac:dyDescent="0.2">
      <c r="A717" s="2781">
        <v>44577</v>
      </c>
      <c r="B717" s="2788">
        <f>IFERROR(AVERAGE('2018+'!S1436:S1479),"")</f>
        <v>1.4933444919888821</v>
      </c>
      <c r="C717" s="2782">
        <f>IFERROR(AVERAGE('2018+'!N1436:N1479),"")</f>
        <v>1.0483341603375702</v>
      </c>
      <c r="D717" s="2787">
        <f>'2018+'!U1479</f>
        <v>24.328338623560267</v>
      </c>
    </row>
    <row r="718" spans="1:4" ht="15" x14ac:dyDescent="0.2">
      <c r="A718" s="2781">
        <v>44578</v>
      </c>
      <c r="B718" s="2788">
        <f>IFERROR(AVERAGE('2018+'!S1437:S1480),"")</f>
        <v>1.493519992239694</v>
      </c>
      <c r="C718" s="2782">
        <f>IFERROR(AVERAGE('2018+'!N1437:N1480),"")</f>
        <v>1.0484895911184016</v>
      </c>
      <c r="D718" s="2787">
        <f>'2018+'!U1480</f>
        <v>25.320521037285022</v>
      </c>
    </row>
    <row r="719" spans="1:4" ht="15" x14ac:dyDescent="0.2">
      <c r="A719" s="2781">
        <v>44579</v>
      </c>
      <c r="B719" s="2788">
        <f>IFERROR(AVERAGE('2018+'!S1438:S1481),"")</f>
        <v>1.4973943184438321</v>
      </c>
      <c r="C719" s="2782">
        <f>IFERROR(AVERAGE('2018+'!N1438:N1481),"")</f>
        <v>1.0477796869633307</v>
      </c>
      <c r="D719" s="2787">
        <f>'2018+'!U1481</f>
        <v>26.336699107825854</v>
      </c>
    </row>
    <row r="720" spans="1:4" ht="15" x14ac:dyDescent="0.2">
      <c r="A720" s="2781">
        <v>44580</v>
      </c>
      <c r="B720" s="2788">
        <f>IFERROR(AVERAGE('2018+'!S1439:S1482),"")</f>
        <v>1.4973943184438321</v>
      </c>
      <c r="C720" s="2782">
        <f>IFERROR(AVERAGE('2018+'!N1439:N1482),"")</f>
        <v>1.0477796869633307</v>
      </c>
      <c r="D720" s="2787">
        <f>'2018+'!U1482</f>
        <v>25.709634843353811</v>
      </c>
    </row>
    <row r="721" spans="1:4" ht="15" x14ac:dyDescent="0.2">
      <c r="A721" s="2781">
        <v>44581</v>
      </c>
      <c r="B721" s="2788">
        <f>IFERROR(AVERAGE('2018+'!S1440:S1483),"")</f>
        <v>1.4974457754489316</v>
      </c>
      <c r="C721" s="2782">
        <f>IFERROR(AVERAGE('2018+'!N1440:N1483),"")</f>
        <v>1.0463572886516586</v>
      </c>
      <c r="D721" s="2787">
        <f>'2018+'!U1483</f>
        <v>26.883214966131103</v>
      </c>
    </row>
    <row r="722" spans="1:4" ht="15" x14ac:dyDescent="0.2">
      <c r="A722" s="2781">
        <v>44582</v>
      </c>
      <c r="B722" s="2788">
        <f>IFERROR(AVERAGE('2018+'!S1441:S1484),"")</f>
        <v>1.4931560933947294</v>
      </c>
      <c r="C722" s="2782">
        <f>IFERROR(AVERAGE('2018+'!N1441:N1484),"")</f>
        <v>1.0455288872335342</v>
      </c>
      <c r="D722" s="2787">
        <f>'2018+'!U1484</f>
        <v>26.243138419318459</v>
      </c>
    </row>
    <row r="723" spans="1:4" ht="15" x14ac:dyDescent="0.2">
      <c r="A723" s="2781">
        <v>44583</v>
      </c>
      <c r="B723" s="2788">
        <f>IFERROR(AVERAGE('2018+'!S1442:S1485),"")</f>
        <v>1.4915801288947095</v>
      </c>
      <c r="C723" s="2782">
        <f>IFERROR(AVERAGE('2018+'!N1442:N1485),"")</f>
        <v>1.0452120062451244</v>
      </c>
      <c r="D723" s="2787">
        <f>'2018+'!U1485</f>
        <v>27.49925417123945</v>
      </c>
    </row>
    <row r="724" spans="1:4" ht="15" x14ac:dyDescent="0.2">
      <c r="A724" s="2781">
        <v>44584</v>
      </c>
      <c r="B724" s="2788">
        <f>IFERROR(AVERAGE('2018+'!S1443:S1486),"")</f>
        <v>1.4877735840809585</v>
      </c>
      <c r="C724" s="2782">
        <f>IFERROR(AVERAGE('2018+'!N1443:N1486),"")</f>
        <v>1.0456745575426289</v>
      </c>
      <c r="D724" s="2787">
        <f>'2018+'!U1486</f>
        <v>26.844510024305176</v>
      </c>
    </row>
    <row r="725" spans="1:4" ht="15" x14ac:dyDescent="0.2">
      <c r="A725" s="2781">
        <v>44585</v>
      </c>
      <c r="B725" s="2788">
        <f>IFERROR(AVERAGE('2018+'!S1444:S1487),"")</f>
        <v>1.4919936345812859</v>
      </c>
      <c r="C725" s="2782">
        <f>IFERROR(AVERAGE('2018+'!N1444:N1487),"")</f>
        <v>1.0448520693007881</v>
      </c>
      <c r="D725" s="2787">
        <f>'2018+'!U1487</f>
        <v>28.198747880869337</v>
      </c>
    </row>
    <row r="726" spans="1:4" ht="15" x14ac:dyDescent="0.2">
      <c r="A726" s="2781">
        <v>44586</v>
      </c>
      <c r="B726" s="2788">
        <f>IFERROR(AVERAGE('2018+'!S1445:S1488),"")</f>
        <v>1.495153553796277</v>
      </c>
      <c r="C726" s="2782">
        <f>IFERROR(AVERAGE('2018+'!N1445:N1488),"")</f>
        <v>1.0452142123309145</v>
      </c>
      <c r="D726" s="2787">
        <f>'2018+'!U1488</f>
        <v>28.813063407515305</v>
      </c>
    </row>
    <row r="727" spans="1:4" ht="15" x14ac:dyDescent="0.2">
      <c r="A727" s="2781">
        <v>44587</v>
      </c>
      <c r="B727" s="2788">
        <f>IFERROR(AVERAGE('2018+'!S1446:S1489),"")</f>
        <v>1.493589696346953</v>
      </c>
      <c r="C727" s="2782">
        <f>IFERROR(AVERAGE('2018+'!N1446:N1489),"")</f>
        <v>1.0449510801071318</v>
      </c>
      <c r="D727" s="2787">
        <f>'2018+'!U1489</f>
        <v>28.127038088288749</v>
      </c>
    </row>
    <row r="728" spans="1:4" ht="15" x14ac:dyDescent="0.2">
      <c r="A728" s="2781">
        <v>44588</v>
      </c>
      <c r="B728" s="2788">
        <f>IFERROR(AVERAGE('2018+'!S1447:S1490),"")</f>
        <v>1.4980198984017519</v>
      </c>
      <c r="C728" s="2782">
        <f>IFERROR(AVERAGE('2018+'!N1447:N1490),"")</f>
        <v>1.0440686956559027</v>
      </c>
      <c r="D728" s="2787">
        <f>'2018+'!U1490</f>
        <v>29.647822895710448</v>
      </c>
    </row>
    <row r="729" spans="1:4" ht="15" x14ac:dyDescent="0.2">
      <c r="A729" s="2781">
        <v>44589</v>
      </c>
      <c r="B729" s="2788">
        <f>IFERROR(AVERAGE('2018+'!S1448:S1491),"")</f>
        <v>1.4962227495682416</v>
      </c>
      <c r="C729" s="2782">
        <f>IFERROR(AVERAGE('2018+'!N1448:N1491),"")</f>
        <v>1.0440780217409995</v>
      </c>
      <c r="D729" s="2787">
        <f>'2018+'!U1491</f>
        <v>28.941922350574483</v>
      </c>
    </row>
    <row r="730" spans="1:4" ht="15" x14ac:dyDescent="0.2">
      <c r="A730" s="2781">
        <v>44590</v>
      </c>
      <c r="B730" s="2788">
        <f>IFERROR(AVERAGE('2018+'!S1449:S1492),"")</f>
        <v>1.4991712509615551</v>
      </c>
      <c r="C730" s="2782">
        <f>IFERROR(AVERAGE('2018+'!N1449:N1492),"")</f>
        <v>1.0443559146763119</v>
      </c>
      <c r="D730" s="2787">
        <f>'2018+'!U1492</f>
        <v>30.824257532703662</v>
      </c>
    </row>
    <row r="731" spans="1:4" ht="15" x14ac:dyDescent="0.2">
      <c r="A731" s="2781">
        <v>44591</v>
      </c>
      <c r="B731" s="2788">
        <f>IFERROR(AVERAGE('2018+'!S1450:S1493),"")</f>
        <v>1.4991712509615551</v>
      </c>
      <c r="C731" s="2782">
        <f>IFERROR(AVERAGE('2018+'!N1450:N1493),"")</f>
        <v>1.0443559146763119</v>
      </c>
      <c r="D731" s="2787">
        <f>'2018+'!U1493</f>
        <v>30.09034663906786</v>
      </c>
    </row>
    <row r="732" spans="1:4" ht="15" x14ac:dyDescent="0.2">
      <c r="A732" s="2781">
        <v>44592</v>
      </c>
      <c r="B732" s="2788">
        <f>IFERROR(AVERAGE('2018+'!S1451:S1494),"")</f>
        <v>1.5017870893557432</v>
      </c>
      <c r="C732" s="2782">
        <f>IFERROR(AVERAGE('2018+'!N1451:N1494),"")</f>
        <v>1.0448511618366061</v>
      </c>
      <c r="D732" s="2787">
        <f>'2018+'!U1494</f>
        <v>30.540576480994815</v>
      </c>
    </row>
    <row r="733" spans="1:4" ht="15" x14ac:dyDescent="0.2">
      <c r="A733" s="2781">
        <v>44593</v>
      </c>
      <c r="B733" s="2788">
        <f>IFERROR(AVERAGE('2018+'!S1452:S1495),"")</f>
        <v>1.5017870893557432</v>
      </c>
      <c r="C733" s="2782">
        <f>IFERROR(AVERAGE('2018+'!N1452:N1495),"")</f>
        <v>1.0448511618366061</v>
      </c>
      <c r="D733" s="2787">
        <f>'2018+'!U1495</f>
        <v>29.813419898113985</v>
      </c>
    </row>
    <row r="734" spans="1:4" ht="15" x14ac:dyDescent="0.2">
      <c r="A734" s="2781">
        <v>44594</v>
      </c>
      <c r="B734" s="2788">
        <f>IFERROR(AVERAGE('2018+'!S1453:S1496),"")</f>
        <v>1.5020498475640125</v>
      </c>
      <c r="C734" s="2782">
        <f>IFERROR(AVERAGE('2018+'!N1453:N1496),"")</f>
        <v>1.0445590676415084</v>
      </c>
      <c r="D734" s="2787">
        <f>'2018+'!U1496</f>
        <v>30.508338471968415</v>
      </c>
    </row>
    <row r="735" spans="1:4" ht="15" x14ac:dyDescent="0.2">
      <c r="A735" s="2781">
        <v>44595</v>
      </c>
      <c r="B735" s="2788">
        <f>IFERROR(AVERAGE('2018+'!S1454:S1497),"")</f>
        <v>1.5020498475640125</v>
      </c>
      <c r="C735" s="2782">
        <f>IFERROR(AVERAGE('2018+'!N1454:N1497),"")</f>
        <v>1.0445590676415084</v>
      </c>
      <c r="D735" s="2787">
        <f>'2018+'!U1497</f>
        <v>29.78194946073107</v>
      </c>
    </row>
    <row r="736" spans="1:4" ht="15" x14ac:dyDescent="0.2">
      <c r="A736" s="2781">
        <v>44596</v>
      </c>
      <c r="B736" s="2788">
        <f>IFERROR(AVERAGE('2018+'!S1455:S1498),"")</f>
        <v>1.5034938596190319</v>
      </c>
      <c r="C736" s="2782">
        <f>IFERROR(AVERAGE('2018+'!N1455:N1498),"")</f>
        <v>1.0447905374922022</v>
      </c>
      <c r="D736" s="2787">
        <f>'2018+'!U1498</f>
        <v>30.477617330713663</v>
      </c>
    </row>
    <row r="737" spans="1:4" ht="15" x14ac:dyDescent="0.2">
      <c r="A737" s="2781">
        <v>44597</v>
      </c>
      <c r="B737" s="2788">
        <f>IFERROR(AVERAGE('2018+'!S1456:S1499),"")</f>
        <v>1.5034938596190319</v>
      </c>
      <c r="C737" s="2782">
        <f>IFERROR(AVERAGE('2018+'!N1456:N1499),"")</f>
        <v>1.0447905374922022</v>
      </c>
      <c r="D737" s="2787">
        <f>'2018+'!U1499</f>
        <v>29.751959775220481</v>
      </c>
    </row>
    <row r="738" spans="1:4" ht="15" x14ac:dyDescent="0.2">
      <c r="A738" s="2781">
        <v>44598</v>
      </c>
      <c r="B738" s="2788">
        <f>IFERROR(AVERAGE('2018+'!S1457:S1500),"")</f>
        <v>1.5034938596190319</v>
      </c>
      <c r="C738" s="2782">
        <f>IFERROR(AVERAGE('2018+'!N1457:N1500),"")</f>
        <v>1.0447905374922022</v>
      </c>
      <c r="D738" s="2787">
        <f>'2018+'!U1500</f>
        <v>29.043579780572376</v>
      </c>
    </row>
    <row r="739" spans="1:4" ht="15" x14ac:dyDescent="0.2">
      <c r="A739" s="2781">
        <v>44599</v>
      </c>
      <c r="B739" s="2788">
        <f>IFERROR(AVERAGE('2018+'!S1458:S1501),"")</f>
        <v>1.5041409794751623</v>
      </c>
      <c r="C739" s="2782">
        <f>IFERROR(AVERAGE('2018+'!N1458:N1501),"")</f>
        <v>1.0449826274528808</v>
      </c>
      <c r="D739" s="2787">
        <f>'2018+'!U1501</f>
        <v>29.899685023892083</v>
      </c>
    </row>
    <row r="740" spans="1:4" ht="15" x14ac:dyDescent="0.2">
      <c r="A740" s="2781">
        <v>44600</v>
      </c>
      <c r="B740" s="2788">
        <f>IFERROR(AVERAGE('2018+'!S1459:S1502),"")</f>
        <v>1.5039609368892857</v>
      </c>
      <c r="C740" s="2782">
        <f>IFERROR(AVERAGE('2018+'!N1459:N1502),"")</f>
        <v>1.0439495828833412</v>
      </c>
      <c r="D740" s="2787">
        <f>'2018+'!U1502</f>
        <v>30.54493061856132</v>
      </c>
    </row>
    <row r="741" spans="1:4" ht="15" x14ac:dyDescent="0.2">
      <c r="A741" s="2781">
        <v>44601</v>
      </c>
      <c r="B741" s="2788">
        <f>IFERROR(AVERAGE('2018+'!S1460:S1503),"")</f>
        <v>1.505184786741121</v>
      </c>
      <c r="C741" s="2782">
        <f>IFERROR(AVERAGE('2018+'!N1460:N1503),"")</f>
        <v>1.0444785700184476</v>
      </c>
      <c r="D741" s="2787">
        <f>'2018+'!U1503</f>
        <v>31.341479889547955</v>
      </c>
    </row>
    <row r="742" spans="1:4" ht="15" x14ac:dyDescent="0.2">
      <c r="A742" s="2781">
        <v>44602</v>
      </c>
      <c r="B742" s="2788">
        <f>IFERROR(AVERAGE('2018+'!S1461:S1504),"")</f>
        <v>1.5089210572433072</v>
      </c>
      <c r="C742" s="2782">
        <f>IFERROR(AVERAGE('2018+'!N1461:N1504),"")</f>
        <v>1.0448051251431767</v>
      </c>
      <c r="D742" s="2787">
        <f>'2018+'!U1504</f>
        <v>32.690492273130147</v>
      </c>
    </row>
    <row r="743" spans="1:4" ht="15" x14ac:dyDescent="0.2">
      <c r="A743" s="2781">
        <v>44603</v>
      </c>
      <c r="B743" s="2788">
        <f>IFERROR(AVERAGE('2018+'!S1462:S1505),"")</f>
        <v>1.5130679357470134</v>
      </c>
      <c r="C743" s="2782">
        <f>IFERROR(AVERAGE('2018+'!N1462:N1505),"")</f>
        <v>1.0445794750512603</v>
      </c>
      <c r="D743" s="2787">
        <f>'2018+'!U1505</f>
        <v>31.912147219008002</v>
      </c>
    </row>
    <row r="744" spans="1:4" ht="15" x14ac:dyDescent="0.2">
      <c r="A744" s="2781">
        <v>44604</v>
      </c>
      <c r="B744" s="2788">
        <f>IFERROR(AVERAGE('2018+'!S1463:S1506),"")</f>
        <v>1.512267440539355</v>
      </c>
      <c r="C744" s="2782">
        <f>IFERROR(AVERAGE('2018+'!N1463:N1506),"")</f>
        <v>1.0446719234250099</v>
      </c>
      <c r="D744" s="2787">
        <f>'2018+'!U1506</f>
        <v>33.961857999507814</v>
      </c>
    </row>
    <row r="745" spans="1:4" ht="15" x14ac:dyDescent="0.2">
      <c r="A745" s="2781">
        <v>44605</v>
      </c>
      <c r="B745" s="2788">
        <f>IFERROR(AVERAGE('2018+'!S1464:S1507),"")</f>
        <v>1.5139882613145164</v>
      </c>
      <c r="C745" s="2782">
        <f>IFERROR(AVERAGE('2018+'!N1464:N1507),"")</f>
        <v>1.0450648602402384</v>
      </c>
      <c r="D745" s="2787">
        <f>'2018+'!U1507</f>
        <v>33.153242332852862</v>
      </c>
    </row>
    <row r="746" spans="1:4" ht="15" x14ac:dyDescent="0.2">
      <c r="A746" s="2781">
        <v>44606</v>
      </c>
      <c r="B746" s="2788">
        <f>IFERROR(AVERAGE('2018+'!S1465:S1508),"")</f>
        <v>1.5160001594333645</v>
      </c>
      <c r="C746" s="2782">
        <f>IFERROR(AVERAGE('2018+'!N1465:N1508),"")</f>
        <v>1.045309956372005</v>
      </c>
      <c r="D746" s="2787">
        <f>'2018+'!U1508</f>
        <v>33.959117515403982</v>
      </c>
    </row>
    <row r="747" spans="1:4" ht="15" x14ac:dyDescent="0.2">
      <c r="A747" s="2781">
        <v>44607</v>
      </c>
      <c r="B747" s="2788">
        <f>IFERROR(AVERAGE('2018+'!S1466:S1509),"")</f>
        <v>1.5092889132327565</v>
      </c>
      <c r="C747" s="2782">
        <f>IFERROR(AVERAGE('2018+'!N1466:N1509),"")</f>
        <v>1.0436759280529078</v>
      </c>
      <c r="D747" s="2787">
        <f>'2018+'!U1509</f>
        <v>34.555329003132456</v>
      </c>
    </row>
    <row r="748" spans="1:4" ht="15" x14ac:dyDescent="0.2">
      <c r="A748" s="2781">
        <v>44608</v>
      </c>
      <c r="B748" s="2788">
        <f>IFERROR(AVERAGE('2018+'!S1467:S1510),"")</f>
        <v>1.5117208428764761</v>
      </c>
      <c r="C748" s="2782">
        <f>IFERROR(AVERAGE('2018+'!N1467:N1510),"")</f>
        <v>1.0438315911124683</v>
      </c>
      <c r="D748" s="2787">
        <f>'2018+'!U1510</f>
        <v>34.899249741153113</v>
      </c>
    </row>
    <row r="749" spans="1:4" ht="15" x14ac:dyDescent="0.2">
      <c r="A749" s="2781">
        <v>44609</v>
      </c>
      <c r="B749" s="2788">
        <f>IFERROR(AVERAGE('2018+'!S1468:S1511),"")</f>
        <v>1.515276924913683</v>
      </c>
      <c r="C749" s="2782">
        <f>IFERROR(AVERAGE('2018+'!N1468:N1511),"")</f>
        <v>1.0432555594054695</v>
      </c>
      <c r="D749" s="2787">
        <f>'2018+'!U1511</f>
        <v>34.068315223506609</v>
      </c>
    </row>
    <row r="750" spans="1:4" ht="15" x14ac:dyDescent="0.2">
      <c r="A750" s="2781">
        <v>44610</v>
      </c>
      <c r="B750" s="2788">
        <f>IFERROR(AVERAGE('2018+'!S1469:S1512),"")</f>
        <v>1.5226904738431679</v>
      </c>
      <c r="C750" s="2782">
        <f>IFERROR(AVERAGE('2018+'!N1469:N1512),"")</f>
        <v>1.0456000213724155</v>
      </c>
      <c r="D750" s="2787">
        <f>'2018+'!U1512</f>
        <v>35.614307718185024</v>
      </c>
    </row>
    <row r="751" spans="1:4" ht="15" x14ac:dyDescent="0.2">
      <c r="A751" s="2781">
        <v>44611</v>
      </c>
      <c r="B751" s="2788">
        <f>IFERROR(AVERAGE('2018+'!S1470:S1513),"")</f>
        <v>1.5294163151706555</v>
      </c>
      <c r="C751" s="2782">
        <f>IFERROR(AVERAGE('2018+'!N1470:N1513),"")</f>
        <v>1.0481010667528012</v>
      </c>
      <c r="D751" s="2787">
        <f>'2018+'!U1513</f>
        <v>38.266348010609192</v>
      </c>
    </row>
    <row r="752" spans="1:4" ht="15" x14ac:dyDescent="0.2">
      <c r="A752" s="2781">
        <v>44612</v>
      </c>
      <c r="B752" s="2788">
        <f>IFERROR(AVERAGE('2018+'!S1471:S1514),"")</f>
        <v>1.5294163151706555</v>
      </c>
      <c r="C752" s="2782">
        <f>IFERROR(AVERAGE('2018+'!N1471:N1514),"")</f>
        <v>1.0481010667528012</v>
      </c>
      <c r="D752" s="2787">
        <f>'2018+'!U1514</f>
        <v>37.355244486547072</v>
      </c>
    </row>
    <row r="753" spans="1:4" ht="15" x14ac:dyDescent="0.2">
      <c r="A753" s="2781">
        <v>44613</v>
      </c>
      <c r="B753" s="2788">
        <f>IFERROR(AVERAGE('2018+'!S1472:S1515),"")</f>
        <v>1.5307328279173418</v>
      </c>
      <c r="C753" s="2782">
        <f>IFERROR(AVERAGE('2018+'!N1472:N1515),"")</f>
        <v>1.047923937430526</v>
      </c>
      <c r="D753" s="2787">
        <f>'2018+'!U1515</f>
        <v>36.465833903534048</v>
      </c>
    </row>
    <row r="754" spans="1:4" ht="15" x14ac:dyDescent="0.2">
      <c r="A754" s="2781">
        <v>44614</v>
      </c>
      <c r="B754" s="2788">
        <f>IFERROR(AVERAGE('2018+'!S1473:S1516),"")</f>
        <v>1.537385553909125</v>
      </c>
      <c r="C754" s="2782">
        <f>IFERROR(AVERAGE('2018+'!N1473:N1516),"")</f>
        <v>1.05039044367</v>
      </c>
      <c r="D754" s="2787">
        <f>'2018+'!U1516</f>
        <v>37.81188547725943</v>
      </c>
    </row>
    <row r="755" spans="1:4" ht="15" x14ac:dyDescent="0.2">
      <c r="A755" s="2781">
        <v>44615</v>
      </c>
      <c r="B755" s="2788">
        <f>IFERROR(AVERAGE('2018+'!S1474:S1517),"")</f>
        <v>1.543531260054831</v>
      </c>
      <c r="C755" s="2782">
        <f>IFERROR(AVERAGE('2018+'!N1474:N1517),"")</f>
        <v>1.0523886529600577</v>
      </c>
      <c r="D755" s="2787">
        <f>'2018+'!U1517</f>
        <v>38.64969772780087</v>
      </c>
    </row>
    <row r="756" spans="1:4" ht="15" x14ac:dyDescent="0.2">
      <c r="A756" s="2781">
        <v>44616</v>
      </c>
      <c r="B756" s="2788">
        <f>IFERROR(AVERAGE('2018+'!S1475:S1518),"")</f>
        <v>1.5466113870463549</v>
      </c>
      <c r="C756" s="2782">
        <f>IFERROR(AVERAGE('2018+'!N1475:N1518),"")</f>
        <v>1.054576596420481</v>
      </c>
      <c r="D756" s="2787">
        <f>'2018+'!U1518</f>
        <v>40.062800162853229</v>
      </c>
    </row>
    <row r="757" spans="1:4" ht="15" x14ac:dyDescent="0.2">
      <c r="A757" s="2781">
        <v>44617</v>
      </c>
      <c r="B757" s="2788">
        <f>IFERROR(AVERAGE('2018+'!S1476:S1519),"")</f>
        <v>1.5498863910946516</v>
      </c>
      <c r="C757" s="2782">
        <f>IFERROR(AVERAGE('2018+'!N1476:N1519),"")</f>
        <v>1.0562103575960962</v>
      </c>
      <c r="D757" s="2787">
        <f>'2018+'!U1519</f>
        <v>40.394638254213866</v>
      </c>
    </row>
    <row r="758" spans="1:4" ht="15" x14ac:dyDescent="0.2">
      <c r="A758" s="2781">
        <v>44618</v>
      </c>
      <c r="B758" s="2788">
        <f>IFERROR(AVERAGE('2018+'!S1477:S1520),"")</f>
        <v>1.5501799630164934</v>
      </c>
      <c r="C758" s="2782">
        <f>IFERROR(AVERAGE('2018+'!N1477:N1520),"")</f>
        <v>1.0568350455960718</v>
      </c>
      <c r="D758" s="2787">
        <f>'2018+'!U1520</f>
        <v>39.43286115292306</v>
      </c>
    </row>
    <row r="759" spans="1:4" ht="15" x14ac:dyDescent="0.2">
      <c r="A759" s="2781">
        <v>44619</v>
      </c>
      <c r="B759" s="2788">
        <f>IFERROR(AVERAGE('2018+'!S1478:S1521),"")</f>
        <v>1.5511600508961205</v>
      </c>
      <c r="C759" s="2782">
        <f>IFERROR(AVERAGE('2018+'!N1478:N1521),"")</f>
        <v>1.0578604416510617</v>
      </c>
      <c r="D759" s="2787">
        <f>'2018+'!U1521</f>
        <v>41.755888268329656</v>
      </c>
    </row>
    <row r="760" spans="1:4" ht="15" x14ac:dyDescent="0.2">
      <c r="A760" s="2781">
        <v>44620</v>
      </c>
      <c r="B760" s="2788">
        <f>IFERROR(AVERAGE('2018+'!S1479:S1522),"")</f>
        <v>1.5552030080279862</v>
      </c>
      <c r="C760" s="2782">
        <f>IFERROR(AVERAGE('2018+'!N1479:N1522),"")</f>
        <v>1.0582837991432894</v>
      </c>
      <c r="D760" s="2787">
        <f>'2018+'!U1522</f>
        <v>40.761700452417045</v>
      </c>
    </row>
    <row r="761" spans="1:4" ht="15" x14ac:dyDescent="0.2">
      <c r="A761" s="2781">
        <v>44621</v>
      </c>
      <c r="B761" s="2788">
        <f>IFERROR(AVERAGE('2018+'!S1480:S1523),"")</f>
        <v>1.5607837245062524</v>
      </c>
      <c r="C761" s="2782">
        <f>IFERROR(AVERAGE('2018+'!N1480:N1523),"")</f>
        <v>1.0598195567206246</v>
      </c>
      <c r="D761" s="2787">
        <f>'2018+'!U1523</f>
        <v>41.886421870216637</v>
      </c>
    </row>
    <row r="762" spans="1:4" ht="15" x14ac:dyDescent="0.2">
      <c r="A762" s="2781">
        <v>44622</v>
      </c>
      <c r="B762" s="2788">
        <f>IFERROR(AVERAGE('2018+'!S1481:S1524),"")</f>
        <v>1.5632451862269734</v>
      </c>
      <c r="C762" s="2782">
        <f>IFERROR(AVERAGE('2018+'!N1481:N1524),"")</f>
        <v>1.0598741504216578</v>
      </c>
      <c r="D762" s="2787">
        <f>'2018+'!U1524</f>
        <v>42.317697539973381</v>
      </c>
    </row>
    <row r="763" spans="1:4" ht="15" x14ac:dyDescent="0.2">
      <c r="A763" s="2781">
        <v>44623</v>
      </c>
      <c r="B763" s="2788">
        <f>IFERROR(AVERAGE('2018+'!S1482:S1525),"")</f>
        <v>1.5648651256755728</v>
      </c>
      <c r="C763" s="2782">
        <f>IFERROR(AVERAGE('2018+'!N1482:N1525),"")</f>
        <v>1.0607082189570169</v>
      </c>
      <c r="D763" s="2787">
        <f>'2018+'!U1525</f>
        <v>41.310133312831155</v>
      </c>
    </row>
    <row r="764" spans="1:4" ht="15" x14ac:dyDescent="0.2">
      <c r="A764" s="2781">
        <v>44624</v>
      </c>
      <c r="B764" s="2788">
        <f>IFERROR(AVERAGE('2018+'!S1483:S1526),"")</f>
        <v>1.5648651256755728</v>
      </c>
      <c r="C764" s="2782">
        <f>IFERROR(AVERAGE('2018+'!N1483:N1526),"")</f>
        <v>1.0607082189570169</v>
      </c>
      <c r="D764" s="2787">
        <f>'2018+'!U1526</f>
        <v>42.088463472049462</v>
      </c>
    </row>
    <row r="765" spans="1:4" ht="15" x14ac:dyDescent="0.2">
      <c r="A765" s="2781">
        <v>44625</v>
      </c>
      <c r="B765" s="2788">
        <f>IFERROR(AVERAGE('2018+'!S1484:S1527),"")</f>
        <v>1.5681219823582249</v>
      </c>
      <c r="C765" s="2782">
        <f>IFERROR(AVERAGE('2018+'!N1484:N1527),"")</f>
        <v>1.0619498053706828</v>
      </c>
      <c r="D765" s="2787">
        <f>'2018+'!U1527</f>
        <v>41.086357198905425</v>
      </c>
    </row>
    <row r="766" spans="1:4" ht="15" x14ac:dyDescent="0.2">
      <c r="A766" s="2781">
        <v>44626</v>
      </c>
      <c r="B766" s="2788">
        <f>IFERROR(AVERAGE('2018+'!S1485:S1528),"")</f>
        <v>1.5694701600819316</v>
      </c>
      <c r="C766" s="2782">
        <f>IFERROR(AVERAGE('2018+'!N1485:N1528),"")</f>
        <v>1.0623494893471757</v>
      </c>
      <c r="D766" s="2787">
        <f>'2018+'!U1528</f>
        <v>40.870015360836248</v>
      </c>
    </row>
    <row r="767" spans="1:4" ht="15" x14ac:dyDescent="0.2">
      <c r="A767" s="2781">
        <v>44627</v>
      </c>
      <c r="B767" s="2788">
        <f>IFERROR(AVERAGE('2018+'!S1486:S1529),"")</f>
        <v>1.5736574171894337</v>
      </c>
      <c r="C767" s="2782">
        <f>IFERROR(AVERAGE('2018+'!N1486:N1529),"")</f>
        <v>1.0632504677433763</v>
      </c>
      <c r="D767" s="2787">
        <f>'2018+'!U1529</f>
        <v>39.896919757006813</v>
      </c>
    </row>
    <row r="768" spans="1:4" ht="15" x14ac:dyDescent="0.2">
      <c r="A768" s="2781">
        <v>44628</v>
      </c>
      <c r="B768" s="2788">
        <f>IFERROR(AVERAGE('2018+'!S1487:S1530),"")</f>
        <v>1.5769433207241059</v>
      </c>
      <c r="C768" s="2782">
        <f>IFERROR(AVERAGE('2018+'!N1487:N1530),"")</f>
        <v>1.0646430366439676</v>
      </c>
      <c r="D768" s="2787">
        <f>'2018+'!U1530</f>
        <v>40.542231191363797</v>
      </c>
    </row>
    <row r="769" spans="1:4" ht="15" x14ac:dyDescent="0.2">
      <c r="A769" s="2781">
        <v>44629</v>
      </c>
      <c r="B769" s="2788">
        <f>IFERROR(AVERAGE('2018+'!S1488:S1531),"")</f>
        <v>1.5792102427422594</v>
      </c>
      <c r="C769" s="2782">
        <f>IFERROR(AVERAGE('2018+'!N1488:N1531),"")</f>
        <v>1.065691851860165</v>
      </c>
      <c r="D769" s="2787">
        <f>'2018+'!U1531</f>
        <v>39.576939972521799</v>
      </c>
    </row>
    <row r="770" spans="1:4" ht="15" x14ac:dyDescent="0.2">
      <c r="A770" s="2781">
        <v>44630</v>
      </c>
      <c r="B770" s="2788">
        <f>IFERROR(AVERAGE('2018+'!S1489:S1532),"")</f>
        <v>1.5837259437595086</v>
      </c>
      <c r="C770" s="2782">
        <f>IFERROR(AVERAGE('2018+'!N1489:N1532),"")</f>
        <v>1.0677410907633951</v>
      </c>
      <c r="D770" s="2787">
        <f>'2018+'!U1532</f>
        <v>40.277489020795088</v>
      </c>
    </row>
    <row r="771" spans="1:4" ht="15" x14ac:dyDescent="0.2">
      <c r="A771" s="2781">
        <v>44631</v>
      </c>
      <c r="B771" s="2788">
        <f>IFERROR(AVERAGE('2018+'!S1490:S1533),"")</f>
        <v>1.5837259437595086</v>
      </c>
      <c r="C771" s="2782">
        <f>IFERROR(AVERAGE('2018+'!N1490:N1533),"")</f>
        <v>1.0677410907633951</v>
      </c>
      <c r="D771" s="2787">
        <f>'2018+'!U1533</f>
        <v>39.318501186966635</v>
      </c>
    </row>
    <row r="772" spans="1:4" ht="15" x14ac:dyDescent="0.2">
      <c r="A772" s="2781">
        <v>44632</v>
      </c>
      <c r="B772" s="2788">
        <f>IFERROR(AVERAGE('2018+'!S1491:S1534),"")</f>
        <v>1.5843897327283336</v>
      </c>
      <c r="C772" s="2782">
        <f>IFERROR(AVERAGE('2018+'!N1491:N1534),"")</f>
        <v>1.0705160120329855</v>
      </c>
      <c r="D772" s="2787">
        <f>'2018+'!U1534</f>
        <v>40.858536872991237</v>
      </c>
    </row>
    <row r="773" spans="1:4" ht="15" x14ac:dyDescent="0.2">
      <c r="A773" s="2781">
        <v>44633</v>
      </c>
      <c r="B773" s="2788">
        <f>IFERROR(AVERAGE('2018+'!S1492:S1535),"")</f>
        <v>1.5843897327283336</v>
      </c>
      <c r="C773" s="2782">
        <f>IFERROR(AVERAGE('2018+'!N1492:N1535),"")</f>
        <v>1.0705160120329855</v>
      </c>
      <c r="D773" s="2787">
        <f>'2018+'!U1535</f>
        <v>39.885714566491444</v>
      </c>
    </row>
    <row r="774" spans="1:4" ht="15" x14ac:dyDescent="0.2">
      <c r="A774" s="2781">
        <v>44634</v>
      </c>
      <c r="B774" s="2788">
        <f>IFERROR(AVERAGE('2018+'!S1493:S1536),"")</f>
        <v>1.5828434336573118</v>
      </c>
      <c r="C774" s="2782">
        <f>IFERROR(AVERAGE('2018+'!N1493:N1536),"")</f>
        <v>1.0706710466268248</v>
      </c>
      <c r="D774" s="2787">
        <f>'2018+'!U1536</f>
        <v>40.721768981574982</v>
      </c>
    </row>
    <row r="775" spans="1:4" ht="15" x14ac:dyDescent="0.2">
      <c r="A775" s="2781">
        <v>44635</v>
      </c>
      <c r="B775" s="2788">
        <f>IFERROR(AVERAGE('2018+'!S1494:S1537),"")</f>
        <v>1.5861683530775181</v>
      </c>
      <c r="C775" s="2782">
        <f>IFERROR(AVERAGE('2018+'!N1494:N1537),"")</f>
        <v>1.0714783640231293</v>
      </c>
      <c r="D775" s="2787">
        <f>'2018+'!U1537</f>
        <v>40.990298291537485</v>
      </c>
    </row>
    <row r="776" spans="1:4" ht="15" x14ac:dyDescent="0.2">
      <c r="A776" s="2781">
        <v>44636</v>
      </c>
      <c r="B776" s="2788">
        <f>IFERROR(AVERAGE('2018+'!S1495:S1538),"")</f>
        <v>1.5876601999825737</v>
      </c>
      <c r="C776" s="2782">
        <f>IFERROR(AVERAGE('2018+'!N1495:N1538),"")</f>
        <v>1.0721868741551785</v>
      </c>
      <c r="D776" s="2787">
        <f>'2018+'!U1538</f>
        <v>40.01433880840564</v>
      </c>
    </row>
    <row r="777" spans="1:4" ht="15" x14ac:dyDescent="0.2">
      <c r="A777" s="2781">
        <v>44637</v>
      </c>
      <c r="B777" s="2788">
        <f>IFERROR(AVERAGE('2018+'!S1496:S1539),"")</f>
        <v>1.5870720546391144</v>
      </c>
      <c r="C777" s="2782">
        <f>IFERROR(AVERAGE('2018+'!N1496:N1539),"")</f>
        <v>1.0718129994139809</v>
      </c>
      <c r="D777" s="2787">
        <f>'2018+'!U1539</f>
        <v>40.823521217729315</v>
      </c>
    </row>
    <row r="778" spans="1:4" ht="15" x14ac:dyDescent="0.2">
      <c r="A778" s="2781">
        <v>44638</v>
      </c>
      <c r="B778" s="2788">
        <f>IFERROR(AVERAGE('2018+'!S1497:S1540),"")</f>
        <v>1.5944040609884809</v>
      </c>
      <c r="C778" s="2782">
        <f>IFERROR(AVERAGE('2018+'!N1497:N1540),"")</f>
        <v>1.0734047223445227</v>
      </c>
      <c r="D778" s="2787">
        <f>'2018+'!U1540</f>
        <v>41.113437379211952</v>
      </c>
    </row>
    <row r="779" spans="1:4" ht="15" x14ac:dyDescent="0.2">
      <c r="A779" s="2781">
        <v>44639</v>
      </c>
      <c r="B779" s="2788">
        <f>IFERROR(AVERAGE('2018+'!S1498:S1541),"")</f>
        <v>1.5944040609884809</v>
      </c>
      <c r="C779" s="2782">
        <f>IFERROR(AVERAGE('2018+'!N1498:N1541),"")</f>
        <v>1.0734047223445227</v>
      </c>
      <c r="D779" s="2787">
        <f>'2018+'!U1541</f>
        <v>40.134546013040236</v>
      </c>
    </row>
    <row r="780" spans="1:4" ht="15" x14ac:dyDescent="0.2">
      <c r="A780" s="2781">
        <v>44640</v>
      </c>
      <c r="B780" s="2788">
        <f>IFERROR(AVERAGE('2018+'!S1499:S1542),"")</f>
        <v>1.59918645780352</v>
      </c>
      <c r="C780" s="2782">
        <f>IFERROR(AVERAGE('2018+'!N1499:N1542),"")</f>
        <v>1.0751308722442321</v>
      </c>
      <c r="D780" s="2787">
        <f>'2018+'!U1542</f>
        <v>42.083723488920228</v>
      </c>
    </row>
    <row r="781" spans="1:4" ht="15" x14ac:dyDescent="0.2">
      <c r="A781" s="2781">
        <v>44641</v>
      </c>
      <c r="B781" s="2788">
        <f>IFERROR(AVERAGE('2018+'!S1500:S1543),"")</f>
        <v>1.59918645780352</v>
      </c>
      <c r="C781" s="2782">
        <f>IFERROR(AVERAGE('2018+'!N1500:N1543),"")</f>
        <v>1.0751308722442321</v>
      </c>
      <c r="D781" s="2787">
        <f>'2018+'!U1543</f>
        <v>41.081730072517367</v>
      </c>
    </row>
    <row r="782" spans="1:4" ht="15" x14ac:dyDescent="0.2">
      <c r="A782" s="2781">
        <v>44642</v>
      </c>
      <c r="B782" s="2788">
        <f>IFERROR(AVERAGE('2018+'!S1501:S1544),"")</f>
        <v>1.6005633903427834</v>
      </c>
      <c r="C782" s="2782">
        <f>IFERROR(AVERAGE('2018+'!N1501:N1544),"")</f>
        <v>1.0761729910984694</v>
      </c>
      <c r="D782" s="2787">
        <f>'2018+'!U1544</f>
        <v>42.246450785076476</v>
      </c>
    </row>
    <row r="783" spans="1:4" ht="15" x14ac:dyDescent="0.2">
      <c r="A783" s="2781">
        <v>44643</v>
      </c>
      <c r="B783" s="2788">
        <f>IFERROR(AVERAGE('2018+'!S1502:S1545),"")</f>
        <v>1.6045363349185651</v>
      </c>
      <c r="C783" s="2782">
        <f>IFERROR(AVERAGE('2018+'!N1502:N1545),"")</f>
        <v>1.0768787943438858</v>
      </c>
      <c r="D783" s="2787">
        <f>'2018+'!U1545</f>
        <v>43.52629719495561</v>
      </c>
    </row>
    <row r="784" spans="1:4" ht="15" x14ac:dyDescent="0.2">
      <c r="A784" s="2781">
        <v>44644</v>
      </c>
      <c r="B784" s="2788">
        <f>IFERROR(AVERAGE('2018+'!S1503:S1546),"")</f>
        <v>1.6087691391513692</v>
      </c>
      <c r="C784" s="2782">
        <f>IFERROR(AVERAGE('2018+'!N1503:N1546),"")</f>
        <v>1.0790686506889928</v>
      </c>
      <c r="D784" s="2787">
        <f>'2018+'!U1546</f>
        <v>44.204242499837619</v>
      </c>
    </row>
    <row r="785" spans="1:4" ht="15" x14ac:dyDescent="0.2">
      <c r="A785" s="2781">
        <v>44645</v>
      </c>
      <c r="B785" s="2788">
        <f>IFERROR(AVERAGE('2018+'!S1504:S1547),"")</f>
        <v>1.6116705162982166</v>
      </c>
      <c r="C785" s="2782">
        <f>IFERROR(AVERAGE('2018+'!N1504:N1547),"")</f>
        <v>1.0799310882491122</v>
      </c>
      <c r="D785" s="2787">
        <f>'2018+'!U1547</f>
        <v>43.151760535555773</v>
      </c>
    </row>
    <row r="786" spans="1:4" ht="15" x14ac:dyDescent="0.2">
      <c r="A786" s="2781">
        <v>44646</v>
      </c>
      <c r="B786" s="2788">
        <f>IFERROR(AVERAGE('2018+'!S1505:S1548),"")</f>
        <v>1.6121936749783146</v>
      </c>
      <c r="C786" s="2782">
        <f>IFERROR(AVERAGE('2018+'!N1505:N1548),"")</f>
        <v>1.0810226338536097</v>
      </c>
      <c r="D786" s="2787">
        <f>'2018+'!U1548</f>
        <v>44.433861475185395</v>
      </c>
    </row>
    <row r="787" spans="1:4" ht="15" x14ac:dyDescent="0.2">
      <c r="A787" s="2781">
        <v>44647</v>
      </c>
      <c r="B787" s="2788">
        <f>IFERROR(AVERAGE('2018+'!S1506:S1549),"")</f>
        <v>1.6121936749783146</v>
      </c>
      <c r="C787" s="2782">
        <f>IFERROR(AVERAGE('2018+'!N1506:N1549),"")</f>
        <v>1.0810226338536097</v>
      </c>
      <c r="D787" s="2787">
        <f>'2018+'!U1549</f>
        <v>43.375912392442885</v>
      </c>
    </row>
    <row r="788" spans="1:4" ht="15" x14ac:dyDescent="0.2">
      <c r="A788" s="2781">
        <v>44648</v>
      </c>
      <c r="B788" s="2788">
        <f>IFERROR(AVERAGE('2018+'!S1507:S1550),"")</f>
        <v>1.617734610650829</v>
      </c>
      <c r="C788" s="2782">
        <f>IFERROR(AVERAGE('2018+'!N1507:N1550),"")</f>
        <v>1.0828772878771369</v>
      </c>
      <c r="D788" s="2787">
        <f>'2018+'!U1550</f>
        <v>43.866962097384722</v>
      </c>
    </row>
    <row r="789" spans="1:4" ht="15" x14ac:dyDescent="0.2">
      <c r="A789" s="2781">
        <v>44649</v>
      </c>
      <c r="B789" s="2788">
        <f>IFERROR(AVERAGE('2018+'!S1508:S1551),"")</f>
        <v>1.617734610650829</v>
      </c>
      <c r="C789" s="2782">
        <f>IFERROR(AVERAGE('2018+'!N1508:N1551),"")</f>
        <v>1.0828772878771369</v>
      </c>
      <c r="D789" s="2787">
        <f>'2018+'!U1551</f>
        <v>42.822510618875562</v>
      </c>
    </row>
    <row r="790" spans="1:4" ht="15" x14ac:dyDescent="0.2">
      <c r="A790" s="2781">
        <v>44650</v>
      </c>
      <c r="B790" s="2788">
        <f>IFERROR(AVERAGE('2018+'!S1509:S1552),"")</f>
        <v>1.6191631820794006</v>
      </c>
      <c r="C790" s="2782">
        <f>IFERROR(AVERAGE('2018+'!N1509:N1552),"")</f>
        <v>1.0831823939228966</v>
      </c>
      <c r="D790" s="2787">
        <f>'2018+'!U1552</f>
        <v>43.921974651759477</v>
      </c>
    </row>
    <row r="791" spans="1:4" ht="15" x14ac:dyDescent="0.2">
      <c r="A791" s="2781">
        <v>44651</v>
      </c>
      <c r="B791" s="2788">
        <f>IFERROR(AVERAGE('2018+'!S1510:S1553),"")</f>
        <v>1.6322181271343459</v>
      </c>
      <c r="C791" s="2782">
        <f>IFERROR(AVERAGE('2018+'!N1510:N1553),"")</f>
        <v>1.0865547584693325</v>
      </c>
      <c r="D791" s="2787">
        <f>'2018+'!U1553</f>
        <v>43.971451445765204</v>
      </c>
    </row>
    <row r="792" spans="1:4" ht="15" x14ac:dyDescent="0.2">
      <c r="A792" s="2781">
        <v>44652</v>
      </c>
      <c r="B792" s="2788">
        <f>IFERROR(AVERAGE('2018+'!S1511:S1554),"")</f>
        <v>1.638592726094408</v>
      </c>
      <c r="C792" s="2782">
        <f>IFERROR(AVERAGE('2018+'!N1511:N1554),"")</f>
        <v>1.0889685029555198</v>
      </c>
      <c r="D792" s="2787">
        <f>'2018+'!U1554</f>
        <v>44.995940697056511</v>
      </c>
    </row>
    <row r="793" spans="1:4" ht="15" x14ac:dyDescent="0.2">
      <c r="A793" s="2781">
        <v>44653</v>
      </c>
      <c r="B793" s="2788">
        <f>IFERROR(AVERAGE('2018+'!S1512:S1555),"")</f>
        <v>1.638592726094408</v>
      </c>
      <c r="C793" s="2782">
        <f>IFERROR(AVERAGE('2018+'!N1512:N1555),"")</f>
        <v>1.0889685029555198</v>
      </c>
      <c r="D793" s="2787">
        <f>'2018+'!U1555</f>
        <v>43.924608775698026</v>
      </c>
    </row>
    <row r="794" spans="1:4" ht="15" x14ac:dyDescent="0.2">
      <c r="A794" s="2781">
        <v>44654</v>
      </c>
      <c r="B794" s="2788">
        <f>IFERROR(AVERAGE('2018+'!S1513:S1556),"")</f>
        <v>1.6356236708872527</v>
      </c>
      <c r="C794" s="2782">
        <f>IFERROR(AVERAGE('2018+'!N1513:N1556),"")</f>
        <v>1.0882357215397311</v>
      </c>
      <c r="D794" s="2787">
        <f>'2018+'!U1556</f>
        <v>46.307356185800451</v>
      </c>
    </row>
    <row r="795" spans="1:4" ht="15" x14ac:dyDescent="0.2">
      <c r="A795" s="2781">
        <v>44655</v>
      </c>
      <c r="B795" s="2788">
        <f>IFERROR(AVERAGE('2018+'!S1514:S1557),"")</f>
        <v>1.6344315914807908</v>
      </c>
      <c r="C795" s="2782">
        <f>IFERROR(AVERAGE('2018+'!N1514:N1557),"")</f>
        <v>1.087099772126275</v>
      </c>
      <c r="D795" s="2787">
        <f>'2018+'!U1557</f>
        <v>45.204800086138533</v>
      </c>
    </row>
    <row r="796" spans="1:4" ht="15" x14ac:dyDescent="0.2">
      <c r="A796" s="2781">
        <v>44656</v>
      </c>
      <c r="B796" s="2788">
        <f>IFERROR(AVERAGE('2018+'!S1515:S1558),"")</f>
        <v>1.6344315914807908</v>
      </c>
      <c r="C796" s="2782">
        <f>IFERROR(AVERAGE('2018+'!N1515:N1558),"")</f>
        <v>1.0873929350760103</v>
      </c>
      <c r="D796" s="2787">
        <f>'2018+'!U1558</f>
        <v>45.723733417420952</v>
      </c>
    </row>
    <row r="797" spans="1:4" ht="15" x14ac:dyDescent="0.2">
      <c r="A797" s="2781">
        <v>44657</v>
      </c>
      <c r="B797" s="2788">
        <f>IFERROR(AVERAGE('2018+'!S1516:S1559),"")</f>
        <v>1.6358148912018406</v>
      </c>
      <c r="C797" s="2782">
        <f>IFERROR(AVERAGE('2018+'!N1516:N1559),"")</f>
        <v>1.0873281007035389</v>
      </c>
      <c r="D797" s="2787">
        <f>'2018+'!U1559</f>
        <v>46.754120717006167</v>
      </c>
    </row>
    <row r="798" spans="1:4" ht="15" x14ac:dyDescent="0.2">
      <c r="A798" s="2781">
        <v>44658</v>
      </c>
      <c r="B798" s="2788">
        <f>IFERROR(AVERAGE('2018+'!S1517:S1560),"")</f>
        <v>1.6329861906809298</v>
      </c>
      <c r="C798" s="2782">
        <f>IFERROR(AVERAGE('2018+'!N1517:N1560),"")</f>
        <v>1.0863391007454064</v>
      </c>
      <c r="D798" s="2787">
        <f>'2018+'!U1560</f>
        <v>45.640927366601261</v>
      </c>
    </row>
    <row r="799" spans="1:4" ht="15" x14ac:dyDescent="0.2">
      <c r="A799" s="2781">
        <v>44659</v>
      </c>
      <c r="B799" s="2788">
        <f>IFERROR(AVERAGE('2018+'!S1518:S1561),"")</f>
        <v>1.6344009874728558</v>
      </c>
      <c r="C799" s="2782">
        <f>IFERROR(AVERAGE('2018+'!N1518:N1561),"")</f>
        <v>1.0860927902809221</v>
      </c>
      <c r="D799" s="2787">
        <f>'2018+'!U1561</f>
        <v>46.173286238825042</v>
      </c>
    </row>
    <row r="800" spans="1:4" ht="15" x14ac:dyDescent="0.2">
      <c r="A800" s="2781">
        <v>44660</v>
      </c>
      <c r="B800" s="2788">
        <f>IFERROR(AVERAGE('2018+'!S1519:S1562),"")</f>
        <v>1.635667849628426</v>
      </c>
      <c r="C800" s="2782">
        <f>IFERROR(AVERAGE('2018+'!N1519:N1562),"")</f>
        <v>1.0856145447438974</v>
      </c>
      <c r="D800" s="2787">
        <f>'2018+'!U1562</f>
        <v>45.073922280757778</v>
      </c>
    </row>
    <row r="801" spans="1:4" ht="15" x14ac:dyDescent="0.2">
      <c r="A801" s="2781">
        <v>44661</v>
      </c>
      <c r="B801" s="2788">
        <f>IFERROR(AVERAGE('2018+'!S1520:S1563),"")</f>
        <v>1.6393874904520673</v>
      </c>
      <c r="C801" s="2782">
        <f>IFERROR(AVERAGE('2018+'!N1520:N1563),"")</f>
        <v>1.0858622057518117</v>
      </c>
      <c r="D801" s="2787">
        <f>'2018+'!U1563</f>
        <v>45.691209845501639</v>
      </c>
    </row>
    <row r="802" spans="1:4" ht="15" x14ac:dyDescent="0.2">
      <c r="A802" s="2781">
        <v>44662</v>
      </c>
      <c r="B802" s="2788">
        <f>IFERROR(AVERAGE('2018+'!S1521:S1564),"")</f>
        <v>1.6393874904520673</v>
      </c>
      <c r="C802" s="2782">
        <f>IFERROR(AVERAGE('2018+'!N1521:N1564),"")</f>
        <v>1.0858622057518117</v>
      </c>
      <c r="D802" s="2787">
        <f>'2018+'!U1564</f>
        <v>44.603323896799218</v>
      </c>
    </row>
    <row r="803" spans="1:4" ht="15" x14ac:dyDescent="0.2">
      <c r="A803" s="2781">
        <v>44663</v>
      </c>
      <c r="B803" s="2788">
        <f>IFERROR(AVERAGE('2018+'!S1522:S1565),"")</f>
        <v>1.641566543826583</v>
      </c>
      <c r="C803" s="2782">
        <f>IFERROR(AVERAGE('2018+'!N1522:N1565),"")</f>
        <v>1.0863018848535673</v>
      </c>
      <c r="D803" s="2787">
        <f>'2018+'!U1565</f>
        <v>45.184197137351617</v>
      </c>
    </row>
    <row r="804" spans="1:4" ht="15" x14ac:dyDescent="0.2">
      <c r="A804" s="2781">
        <v>44664</v>
      </c>
      <c r="B804" s="2788">
        <f>IFERROR(AVERAGE('2018+'!S1523:S1566),"")</f>
        <v>1.641566543826583</v>
      </c>
      <c r="C804" s="2782">
        <f>IFERROR(AVERAGE('2018+'!N1523:N1566),"")</f>
        <v>1.0863018848535673</v>
      </c>
      <c r="D804" s="2787">
        <f>'2018+'!U1566</f>
        <v>44.108382919795623</v>
      </c>
    </row>
    <row r="805" spans="1:4" ht="15" x14ac:dyDescent="0.2">
      <c r="A805" s="2781">
        <v>44665</v>
      </c>
      <c r="B805" s="2788">
        <f>IFERROR(AVERAGE('2018+'!S1524:S1567),"")</f>
        <v>1.6377762256974546</v>
      </c>
      <c r="C805" s="2782">
        <f>IFERROR(AVERAGE('2018+'!N1524:N1567),"")</f>
        <v>1.0865337231842136</v>
      </c>
      <c r="D805" s="2787">
        <f>'2018+'!U1567</f>
        <v>44.629611897895728</v>
      </c>
    </row>
    <row r="806" spans="1:4" ht="15" x14ac:dyDescent="0.2">
      <c r="A806" s="2781">
        <v>44666</v>
      </c>
      <c r="B806" s="2788">
        <f>IFERROR(AVERAGE('2018+'!S1525:S1568),"")</f>
        <v>1.6411768285490225</v>
      </c>
      <c r="C806" s="2782">
        <f>IFERROR(AVERAGE('2018+'!N1525:N1568),"")</f>
        <v>1.0880088440043783</v>
      </c>
      <c r="D806" s="2787">
        <f>'2018+'!U1568</f>
        <v>43.567002090802973</v>
      </c>
    </row>
    <row r="807" spans="1:4" ht="15" x14ac:dyDescent="0.2">
      <c r="A807" s="2781">
        <v>44667</v>
      </c>
      <c r="B807" s="2788">
        <f>IFERROR(AVERAGE('2018+'!S1526:S1569),"")</f>
        <v>1.6456554901995706</v>
      </c>
      <c r="C807" s="2782">
        <f>IFERROR(AVERAGE('2018+'!N1526:N1569),"")</f>
        <v>1.0884569751932507</v>
      </c>
      <c r="D807" s="2787">
        <f>'2018+'!U1569</f>
        <v>44.029692517212425</v>
      </c>
    </row>
    <row r="808" spans="1:4" ht="15" x14ac:dyDescent="0.2">
      <c r="A808" s="2781">
        <v>44668</v>
      </c>
      <c r="B808" s="2788">
        <f>IFERROR(AVERAGE('2018+'!S1527:S1570),"")</f>
        <v>1.6456554901995706</v>
      </c>
      <c r="C808" s="2782">
        <f>IFERROR(AVERAGE('2018+'!N1527:N1570),"")</f>
        <v>1.0884569751932507</v>
      </c>
      <c r="D808" s="2787">
        <f>'2018+'!U1570</f>
        <v>42.981366504897842</v>
      </c>
    </row>
    <row r="809" spans="1:4" ht="15" x14ac:dyDescent="0.2">
      <c r="A809" s="2781">
        <v>44669</v>
      </c>
      <c r="B809" s="2788">
        <f>IFERROR(AVERAGE('2018+'!S1528:S1571),"")</f>
        <v>1.6456554901995706</v>
      </c>
      <c r="C809" s="2782">
        <f>IFERROR(AVERAGE('2018+'!N1528:N1571),"")</f>
        <v>1.0884569751932507</v>
      </c>
      <c r="D809" s="2787">
        <f>'2018+'!U1571</f>
        <v>41.958000635733605</v>
      </c>
    </row>
    <row r="810" spans="1:4" ht="15" x14ac:dyDescent="0.2">
      <c r="A810" s="2781">
        <v>44670</v>
      </c>
      <c r="B810" s="2788">
        <f>IFERROR(AVERAGE('2018+'!S1529:S1572),"")</f>
        <v>1.649244172049122</v>
      </c>
      <c r="C810" s="2782">
        <f>IFERROR(AVERAGE('2018+'!N1529:N1572),"")</f>
        <v>1.0895229679411542</v>
      </c>
      <c r="D810" s="2787">
        <f>'2018+'!U1572</f>
        <v>42.720905382501854</v>
      </c>
    </row>
    <row r="811" spans="1:4" ht="15" x14ac:dyDescent="0.2">
      <c r="A811" s="2781">
        <v>44671</v>
      </c>
      <c r="B811" s="2788">
        <f>IFERROR(AVERAGE('2018+'!S1530:S1573),"")</f>
        <v>1.649244172049122</v>
      </c>
      <c r="C811" s="2782">
        <f>IFERROR(AVERAGE('2018+'!N1530:N1573),"")</f>
        <v>1.0895229679411542</v>
      </c>
      <c r="D811" s="2787">
        <f>'2018+'!U1573</f>
        <v>41.703740968632765</v>
      </c>
    </row>
    <row r="812" spans="1:4" ht="15" x14ac:dyDescent="0.2">
      <c r="A812" s="2781">
        <v>44672</v>
      </c>
      <c r="B812" s="2788">
        <f>IFERROR(AVERAGE('2018+'!S1531:S1574),"")</f>
        <v>1.6520611150023399</v>
      </c>
      <c r="C812" s="2782">
        <f>IFERROR(AVERAGE('2018+'!N1531:N1574),"")</f>
        <v>1.0892221386805729</v>
      </c>
      <c r="D812" s="2787">
        <f>'2018+'!U1574</f>
        <v>42.353651897951032</v>
      </c>
    </row>
    <row r="813" spans="1:4" ht="15" x14ac:dyDescent="0.2">
      <c r="A813" s="2781">
        <v>44673</v>
      </c>
      <c r="B813" s="2788">
        <f>IFERROR(AVERAGE('2018+'!S1532:S1575),"")</f>
        <v>1.6520611150023399</v>
      </c>
      <c r="C813" s="2782">
        <f>IFERROR(AVERAGE('2018+'!N1532:N1575),"")</f>
        <v>1.0892221386805729</v>
      </c>
      <c r="D813" s="2787">
        <f>'2018+'!U1575</f>
        <v>41.345231614666481</v>
      </c>
    </row>
    <row r="814" spans="1:4" ht="15" x14ac:dyDescent="0.2">
      <c r="A814" s="2781">
        <v>44674</v>
      </c>
      <c r="B814" s="2788">
        <f>IFERROR(AVERAGE('2018+'!S1533:S1576),"")</f>
        <v>1.6531205359144687</v>
      </c>
      <c r="C814" s="2782">
        <f>IFERROR(AVERAGE('2018+'!N1533:N1576),"")</f>
        <v>1.0889193568759123</v>
      </c>
      <c r="D814" s="2787">
        <f>'2018+'!U1576</f>
        <v>43.146535623841089</v>
      </c>
    </row>
    <row r="815" spans="1:4" ht="15" x14ac:dyDescent="0.2">
      <c r="A815" s="2781">
        <v>44675</v>
      </c>
      <c r="B815" s="2788">
        <f>IFERROR(AVERAGE('2018+'!S1534:S1577),"")</f>
        <v>1.6531205359144687</v>
      </c>
      <c r="C815" s="2782">
        <f>IFERROR(AVERAGE('2018+'!N1534:N1577),"")</f>
        <v>1.0889193568759123</v>
      </c>
      <c r="D815" s="2787">
        <f>'2018+'!U1577</f>
        <v>42.119237156606779</v>
      </c>
    </row>
    <row r="816" spans="1:4" ht="15" x14ac:dyDescent="0.2">
      <c r="A816" s="2781">
        <v>44676</v>
      </c>
      <c r="B816" s="2788">
        <f>IFERROR(AVERAGE('2018+'!S1535:S1578),"")</f>
        <v>1.6599226556553488</v>
      </c>
      <c r="C816" s="2782">
        <f>IFERROR(AVERAGE('2018+'!N1535:N1578),"")</f>
        <v>1.0885517380030287</v>
      </c>
      <c r="D816" s="2787">
        <f>'2018+'!U1578</f>
        <v>42.997350557639948</v>
      </c>
    </row>
    <row r="817" spans="1:4" ht="15" x14ac:dyDescent="0.2">
      <c r="A817" s="2781">
        <v>44677</v>
      </c>
      <c r="B817" s="2788">
        <f>IFERROR(AVERAGE('2018+'!S1536:S1579),"")</f>
        <v>1.6599226556553488</v>
      </c>
      <c r="C817" s="2782">
        <f>IFERROR(AVERAGE('2018+'!N1536:N1579),"")</f>
        <v>1.0885517380030287</v>
      </c>
      <c r="D817" s="2787">
        <f>'2018+'!U1579</f>
        <v>41.973604115791375</v>
      </c>
    </row>
    <row r="818" spans="1:4" ht="15" x14ac:dyDescent="0.2">
      <c r="A818" s="2781">
        <v>44678</v>
      </c>
      <c r="B818" s="2788">
        <f>IFERROR(AVERAGE('2018+'!S1537:S1580),"")</f>
        <v>1.6615446951165276</v>
      </c>
      <c r="C818" s="2782">
        <f>IFERROR(AVERAGE('2018+'!N1537:N1580),"")</f>
        <v>1.088236609292043</v>
      </c>
      <c r="D818" s="2787">
        <f>'2018+'!U1580</f>
        <v>42.688518303510627</v>
      </c>
    </row>
    <row r="819" spans="1:4" ht="15" x14ac:dyDescent="0.2">
      <c r="A819" s="2781">
        <v>44679</v>
      </c>
      <c r="B819" s="2788">
        <f>IFERROR(AVERAGE('2018+'!S1538:S1581),"")</f>
        <v>1.6609979594351265</v>
      </c>
      <c r="C819" s="2782">
        <f>IFERROR(AVERAGE('2018+'!N1538:N1581),"")</f>
        <v>1.0881714370524624</v>
      </c>
      <c r="D819" s="2787">
        <f>'2018+'!U1581</f>
        <v>42.814982153427039</v>
      </c>
    </row>
    <row r="820" spans="1:4" ht="15" x14ac:dyDescent="0.2">
      <c r="A820" s="2781">
        <v>44680</v>
      </c>
      <c r="B820" s="2788">
        <f>IFERROR(AVERAGE('2018+'!S1539:S1582),"")</f>
        <v>1.6609979594351265</v>
      </c>
      <c r="C820" s="2782">
        <f>IFERROR(AVERAGE('2018+'!N1539:N1582),"")</f>
        <v>1.0881714370524624</v>
      </c>
      <c r="D820" s="2787">
        <f>'2018+'!U1582</f>
        <v>41.795577816440684</v>
      </c>
    </row>
    <row r="821" spans="1:4" ht="15" x14ac:dyDescent="0.2">
      <c r="A821" s="2781">
        <v>44681</v>
      </c>
      <c r="B821" s="2788">
        <f>IFERROR(AVERAGE('2018+'!S1540:S1583),"")</f>
        <v>1.665615481501161</v>
      </c>
      <c r="C821" s="2782">
        <f>IFERROR(AVERAGE('2018+'!N1540:N1583),"")</f>
        <v>1.0892862756017359</v>
      </c>
      <c r="D821" s="2787">
        <f>'2018+'!U1583</f>
        <v>44.133778344620666</v>
      </c>
    </row>
    <row r="822" spans="1:4" ht="15" x14ac:dyDescent="0.2">
      <c r="A822" s="2781">
        <v>44682</v>
      </c>
      <c r="B822" s="2788">
        <f>IFERROR(AVERAGE('2018+'!S1541:S1584),"")</f>
        <v>1.6641582570873661</v>
      </c>
      <c r="C822" s="2782">
        <f>IFERROR(AVERAGE('2018+'!N1541:N1584),"")</f>
        <v>1.0896728930570838</v>
      </c>
      <c r="D822" s="2787">
        <f>'2018+'!U1584</f>
        <v>43.082974098320172</v>
      </c>
    </row>
    <row r="823" spans="1:4" ht="15" x14ac:dyDescent="0.2">
      <c r="A823" s="2781">
        <v>44683</v>
      </c>
      <c r="B823" s="2788">
        <f>IFERROR(AVERAGE('2018+'!S1542:S1585),"")</f>
        <v>1.6661576775416649</v>
      </c>
      <c r="C823" s="2782">
        <f>IFERROR(AVERAGE('2018+'!N1542:N1585),"")</f>
        <v>1.0902389937378372</v>
      </c>
      <c r="D823" s="2787">
        <f>'2018+'!U1585</f>
        <v>44.128617572169688</v>
      </c>
    </row>
    <row r="824" spans="1:4" ht="15" x14ac:dyDescent="0.2">
      <c r="A824" s="2781">
        <v>44684</v>
      </c>
      <c r="B824" s="2788">
        <f>IFERROR(AVERAGE('2018+'!S1543:S1586),"")</f>
        <v>1.6665868257067198</v>
      </c>
      <c r="C824" s="2782">
        <f>IFERROR(AVERAGE('2018+'!N1543:N1586),"")</f>
        <v>1.0900624355569375</v>
      </c>
      <c r="D824" s="2787">
        <f>'2018+'!U1586</f>
        <v>43.077936201403745</v>
      </c>
    </row>
    <row r="825" spans="1:4" ht="15" x14ac:dyDescent="0.2">
      <c r="A825" s="2781">
        <v>44685</v>
      </c>
      <c r="B825" s="2788">
        <f>IFERROR(AVERAGE('2018+'!S1544:S1587),"")</f>
        <v>1.6594938452786916</v>
      </c>
      <c r="C825" s="2782">
        <f>IFERROR(AVERAGE('2018+'!N1544:N1587),"")</f>
        <v>1.0882839510936131</v>
      </c>
      <c r="D825" s="2787">
        <f>'2018+'!U1587</f>
        <v>44.218937720417941</v>
      </c>
    </row>
    <row r="826" spans="1:4" ht="15" x14ac:dyDescent="0.2">
      <c r="A826" s="2781">
        <v>44686</v>
      </c>
      <c r="B826" s="2788">
        <f>IFERROR(AVERAGE('2018+'!S1545:S1588),"")</f>
        <v>1.6614701298636718</v>
      </c>
      <c r="C826" s="2782">
        <f>IFERROR(AVERAGE('2018+'!N1545:N1588),"")</f>
        <v>1.0881310474380153</v>
      </c>
      <c r="D826" s="2787">
        <f>'2018+'!U1588</f>
        <v>44.285153488979418</v>
      </c>
    </row>
    <row r="827" spans="1:4" ht="15" x14ac:dyDescent="0.2">
      <c r="A827" s="2781">
        <v>44687</v>
      </c>
      <c r="B827" s="2788">
        <f>IFERROR(AVERAGE('2018+'!S1546:S1589),"")</f>
        <v>1.6631278630392929</v>
      </c>
      <c r="C827" s="2782">
        <f>IFERROR(AVERAGE('2018+'!N1546:N1589),"")</f>
        <v>1.0890031275764782</v>
      </c>
      <c r="D827" s="2787">
        <f>'2018+'!U1589</f>
        <v>43.230745072575147</v>
      </c>
    </row>
    <row r="828" spans="1:4" ht="15" x14ac:dyDescent="0.2">
      <c r="A828" s="2781">
        <v>44688</v>
      </c>
      <c r="B828" s="2788">
        <f>IFERROR(AVERAGE('2018+'!S1547:S1590),"")</f>
        <v>1.6654536796466064</v>
      </c>
      <c r="C828" s="2782">
        <f>IFERROR(AVERAGE('2018+'!N1547:N1590),"")</f>
        <v>1.0893965095721652</v>
      </c>
      <c r="D828" s="2787">
        <f>'2018+'!U1590</f>
        <v>42.201441618466212</v>
      </c>
    </row>
    <row r="829" spans="1:4" ht="15" x14ac:dyDescent="0.2">
      <c r="A829" s="2781">
        <v>44689</v>
      </c>
      <c r="B829" s="2788">
        <f>IFERROR(AVERAGE('2018+'!S1548:S1591),"")</f>
        <v>1.6654536796466064</v>
      </c>
      <c r="C829" s="2782">
        <f>IFERROR(AVERAGE('2018+'!N1548:N1591),"")</f>
        <v>1.0893965095721652</v>
      </c>
      <c r="D829" s="2787">
        <f>'2018+'!U1591</f>
        <v>41.196645389455114</v>
      </c>
    </row>
    <row r="830" spans="1:4" ht="15" x14ac:dyDescent="0.2">
      <c r="A830" s="2781">
        <v>44690</v>
      </c>
      <c r="B830" s="2788">
        <f>IFERROR(AVERAGE('2018+'!S1549:S1592),"")</f>
        <v>1.6654536796466064</v>
      </c>
      <c r="C830" s="2782">
        <f>IFERROR(AVERAGE('2018+'!N1549:N1592),"")</f>
        <v>1.0893965095721652</v>
      </c>
      <c r="D830" s="2787">
        <f>'2018+'!U1592</f>
        <v>40.215772880182371</v>
      </c>
    </row>
    <row r="831" spans="1:4" ht="15" x14ac:dyDescent="0.2">
      <c r="A831" s="2781">
        <v>44691</v>
      </c>
      <c r="B831" s="2788">
        <f>IFERROR(AVERAGE('2018+'!S1550:S1593),"")</f>
        <v>1.6654536796466064</v>
      </c>
      <c r="C831" s="2782">
        <f>IFERROR(AVERAGE('2018+'!N1550:N1593),"")</f>
        <v>1.0893965095721652</v>
      </c>
      <c r="D831" s="2787">
        <f>'2018+'!U1593</f>
        <v>39.258254478273265</v>
      </c>
    </row>
    <row r="832" spans="1:4" ht="15" x14ac:dyDescent="0.2">
      <c r="A832" s="2781">
        <v>44692</v>
      </c>
      <c r="B832" s="2788">
        <f>IFERROR(AVERAGE('2018+'!S1551:S1594),"")</f>
        <v>1.6671474162605158</v>
      </c>
      <c r="C832" s="2782">
        <f>IFERROR(AVERAGE('2018+'!N1551:N1594),"")</f>
        <v>1.0892126750287834</v>
      </c>
      <c r="D832" s="2787">
        <f>'2018+'!U1594</f>
        <v>38.323534133552471</v>
      </c>
    </row>
    <row r="833" spans="1:4" ht="15" x14ac:dyDescent="0.2">
      <c r="A833" s="2781">
        <v>44693</v>
      </c>
      <c r="B833" s="2788">
        <f>IFERROR(AVERAGE('2018+'!S1552:S1595),"")</f>
        <v>1.6671474162605158</v>
      </c>
      <c r="C833" s="2782">
        <f>IFERROR(AVERAGE('2018+'!N1552:N1595),"")</f>
        <v>1.0892126750287834</v>
      </c>
      <c r="D833" s="2787">
        <f>'2018+'!U1595</f>
        <v>37.411069035134553</v>
      </c>
    </row>
    <row r="834" spans="1:4" ht="15" x14ac:dyDescent="0.2">
      <c r="A834" s="2781">
        <v>44694</v>
      </c>
      <c r="B834" s="2788">
        <f>IFERROR(AVERAGE('2018+'!S1553:S1596),"")</f>
        <v>1.6706814908005427</v>
      </c>
      <c r="C834" s="2782">
        <f>IFERROR(AVERAGE('2018+'!N1553:N1596),"")</f>
        <v>1.0907323130463031</v>
      </c>
      <c r="D834" s="2787">
        <f>'2018+'!U1596</f>
        <v>36.520329296202775</v>
      </c>
    </row>
    <row r="835" spans="1:4" ht="15" x14ac:dyDescent="0.2">
      <c r="A835" s="2781">
        <v>44695</v>
      </c>
      <c r="B835" s="2788">
        <f>IFERROR(AVERAGE('2018+'!S1554:S1597),"")</f>
        <v>1.6707620864433079</v>
      </c>
      <c r="C835" s="2782">
        <f>IFERROR(AVERAGE('2018+'!N1554:N1597),"")</f>
        <v>1.0905108672150861</v>
      </c>
      <c r="D835" s="2787">
        <f>'2018+'!U1597</f>
        <v>35.650797646293185</v>
      </c>
    </row>
    <row r="836" spans="1:4" ht="15" x14ac:dyDescent="0.2">
      <c r="A836" s="2781">
        <v>44696</v>
      </c>
      <c r="B836" s="2788">
        <f>IFERROR(AVERAGE('2018+'!S1555:S1598),"")</f>
        <v>1.6606182929253566</v>
      </c>
      <c r="C836" s="2782">
        <f>IFERROR(AVERAGE('2018+'!N1555:N1598),"")</f>
        <v>1.0906827170868627</v>
      </c>
      <c r="D836" s="2787">
        <f>'2018+'!U1598</f>
        <v>35.921016749952869</v>
      </c>
    </row>
    <row r="837" spans="1:4" ht="15" x14ac:dyDescent="0.2">
      <c r="A837" s="2781">
        <v>44697</v>
      </c>
      <c r="B837" s="2788">
        <f>IFERROR(AVERAGE('2018+'!S1556:S1599),"")</f>
        <v>1.6606182929253566</v>
      </c>
      <c r="C837" s="2782">
        <f>IFERROR(AVERAGE('2018+'!N1556:N1599),"")</f>
        <v>1.0906827170868627</v>
      </c>
      <c r="D837" s="2787">
        <f>'2018+'!U1599</f>
        <v>35.065754446382563</v>
      </c>
    </row>
    <row r="838" spans="1:4" ht="15" x14ac:dyDescent="0.2">
      <c r="A838" s="2781">
        <v>44698</v>
      </c>
      <c r="B838" s="2788">
        <f>IFERROR(AVERAGE('2018+'!S1557:S1600),"")</f>
        <v>1.6585804865507379</v>
      </c>
      <c r="C838" s="2782">
        <f>IFERROR(AVERAGE('2018+'!N1557:N1600),"")</f>
        <v>1.0913051419170527</v>
      </c>
      <c r="D838" s="2787">
        <f>'2018+'!U1600</f>
        <v>35.54037934051631</v>
      </c>
    </row>
    <row r="839" spans="1:4" ht="15" x14ac:dyDescent="0.2">
      <c r="A839" s="2781">
        <v>44699</v>
      </c>
      <c r="B839" s="2788">
        <f>IFERROR(AVERAGE('2018+'!S1558:S1601),"")</f>
        <v>1.6585804865507379</v>
      </c>
      <c r="C839" s="2782">
        <f>IFERROR(AVERAGE('2018+'!N1558:N1601),"")</f>
        <v>1.0913051419170527</v>
      </c>
      <c r="D839" s="2787">
        <f>'2018+'!U1601</f>
        <v>34.694179832408778</v>
      </c>
    </row>
    <row r="840" spans="1:4" ht="15" x14ac:dyDescent="0.2">
      <c r="A840" s="2781">
        <v>44700</v>
      </c>
      <c r="B840" s="2788">
        <f>IFERROR(AVERAGE('2018+'!S1559:S1602),"")</f>
        <v>1.6561031341726415</v>
      </c>
      <c r="C840" s="2782">
        <f>IFERROR(AVERAGE('2018+'!N1559:N1602),"")</f>
        <v>1.0918467730589838</v>
      </c>
      <c r="D840" s="2787">
        <f>'2018+'!U1602</f>
        <v>35.153842217351425</v>
      </c>
    </row>
    <row r="841" spans="1:4" ht="15" x14ac:dyDescent="0.2">
      <c r="A841" s="2781">
        <v>44701</v>
      </c>
      <c r="B841" s="2788">
        <f>IFERROR(AVERAGE('2018+'!S1560:S1603),"")</f>
        <v>1.6553858591540638</v>
      </c>
      <c r="C841" s="2782">
        <f>IFERROR(AVERAGE('2018+'!N1560:N1603),"")</f>
        <v>1.0921878581516078</v>
      </c>
      <c r="D841" s="2787">
        <f>'2018+'!U1603</f>
        <v>34.316845974081154</v>
      </c>
    </row>
    <row r="842" spans="1:4" ht="15" x14ac:dyDescent="0.2">
      <c r="A842" s="2781">
        <v>44702</v>
      </c>
      <c r="B842" s="2788">
        <f>IFERROR(AVERAGE('2018+'!S1561:S1604),"")</f>
        <v>1.6499680535379317</v>
      </c>
      <c r="C842" s="2782">
        <f>IFERROR(AVERAGE('2018+'!N1561:N1604),"")</f>
        <v>1.0927519393971306</v>
      </c>
      <c r="D842" s="2787">
        <f>'2018+'!U1604</f>
        <v>34.785492498507793</v>
      </c>
    </row>
    <row r="843" spans="1:4" ht="15" x14ac:dyDescent="0.2">
      <c r="A843" s="2781">
        <v>44703</v>
      </c>
      <c r="B843" s="2788">
        <f>IFERROR(AVERAGE('2018+'!S1562:S1605),"")</f>
        <v>1.646742434452245</v>
      </c>
      <c r="C843" s="2782">
        <f>IFERROR(AVERAGE('2018+'!N1562:N1605),"")</f>
        <v>1.0928068031234102</v>
      </c>
      <c r="D843" s="2787">
        <f>'2018+'!U1605</f>
        <v>33.957266486638559</v>
      </c>
    </row>
    <row r="844" spans="1:4" ht="15" x14ac:dyDescent="0.2">
      <c r="A844" s="2781">
        <v>44704</v>
      </c>
      <c r="B844" s="2788">
        <f>IFERROR(AVERAGE('2018+'!S1563:S1606),"")</f>
        <v>1.641818700500111</v>
      </c>
      <c r="C844" s="2782">
        <f>IFERROR(AVERAGE('2018+'!N1563:N1606),"")</f>
        <v>1.0932030873245109</v>
      </c>
      <c r="D844" s="2787">
        <f>'2018+'!U1606</f>
        <v>34.4582839512424</v>
      </c>
    </row>
    <row r="845" spans="1:4" ht="15" x14ac:dyDescent="0.2">
      <c r="A845" s="2781">
        <v>44705</v>
      </c>
      <c r="B845" s="2788">
        <f>IFERROR(AVERAGE('2018+'!S1564:S1607),"")</f>
        <v>1.6374426152337775</v>
      </c>
      <c r="C845" s="2782">
        <f>IFERROR(AVERAGE('2018+'!N1564:N1607),"")</f>
        <v>1.0925681470452042</v>
      </c>
      <c r="D845" s="2787">
        <f>'2018+'!U1607</f>
        <v>33.637848619069963</v>
      </c>
    </row>
    <row r="846" spans="1:4" ht="15" x14ac:dyDescent="0.2">
      <c r="A846" s="2781">
        <v>44706</v>
      </c>
      <c r="B846" s="2788">
        <f>IFERROR(AVERAGE('2018+'!S1565:S1608),"")</f>
        <v>1.6367410815465948</v>
      </c>
      <c r="C846" s="2782">
        <f>IFERROR(AVERAGE('2018+'!N1565:N1608),"")</f>
        <v>1.0922740721677879</v>
      </c>
      <c r="D846" s="2787">
        <f>'2018+'!U1608</f>
        <v>34.45599508052068</v>
      </c>
    </row>
    <row r="847" spans="1:4" ht="15" x14ac:dyDescent="0.2">
      <c r="A847" s="2781">
        <v>44707</v>
      </c>
      <c r="B847" s="2788">
        <f>IFERROR(AVERAGE('2018+'!S1566:S1609),"")</f>
        <v>1.6372955547780568</v>
      </c>
      <c r="C847" s="2782">
        <f>IFERROR(AVERAGE('2018+'!N1566:N1609),"")</f>
        <v>1.0921185740925017</v>
      </c>
      <c r="D847" s="2787">
        <f>'2018+'!U1609</f>
        <v>33.63561424527019</v>
      </c>
    </row>
    <row r="848" spans="1:4" ht="15" x14ac:dyDescent="0.2">
      <c r="A848" s="2781">
        <v>44708</v>
      </c>
      <c r="B848" s="2788">
        <f>IFERROR(AVERAGE('2018+'!S1567:S1610),"")</f>
        <v>1.6272699208759642</v>
      </c>
      <c r="C848" s="2782">
        <f>IFERROR(AVERAGE('2018+'!N1567:N1610),"")</f>
        <v>1.0921185740925017</v>
      </c>
      <c r="D848" s="2787">
        <f>'2018+'!U1610</f>
        <v>34.07286152514471</v>
      </c>
    </row>
    <row r="849" spans="1:4" ht="15" x14ac:dyDescent="0.2">
      <c r="A849" s="2781">
        <v>44709</v>
      </c>
      <c r="B849" s="2788">
        <f>IFERROR(AVERAGE('2018+'!S1568:S1611),"")</f>
        <v>1.6277457478151165</v>
      </c>
      <c r="C849" s="2782">
        <f>IFERROR(AVERAGE('2018+'!N1568:N1611),"")</f>
        <v>1.0913424094116577</v>
      </c>
      <c r="D849" s="2787">
        <f>'2018+'!U1611</f>
        <v>33.261602917403167</v>
      </c>
    </row>
    <row r="850" spans="1:4" ht="15" x14ac:dyDescent="0.2">
      <c r="A850" s="2781">
        <v>44710</v>
      </c>
      <c r="B850" s="2788">
        <f>IFERROR(AVERAGE('2018+'!S1569:S1612),"")</f>
        <v>1.627505887708905</v>
      </c>
      <c r="C850" s="2782">
        <f>IFERROR(AVERAGE('2018+'!N1569:N1612),"")</f>
        <v>1.0919320491304196</v>
      </c>
      <c r="D850" s="2787">
        <f>'2018+'!U1612</f>
        <v>34.160136181274517</v>
      </c>
    </row>
    <row r="851" spans="1:4" ht="15" x14ac:dyDescent="0.2">
      <c r="A851" s="2781">
        <v>44711</v>
      </c>
      <c r="B851" s="2788">
        <f>IFERROR(AVERAGE('2018+'!S1570:S1613),"")</f>
        <v>1.6240805419773425</v>
      </c>
      <c r="C851" s="2782">
        <f>IFERROR(AVERAGE('2018+'!N1570:N1613),"")</f>
        <v>1.0919389400988841</v>
      </c>
      <c r="D851" s="2787">
        <f>'2018+'!U1613</f>
        <v>34.489656748387027</v>
      </c>
    </row>
    <row r="852" spans="1:4" ht="15" x14ac:dyDescent="0.2">
      <c r="A852" s="2781">
        <v>44712</v>
      </c>
      <c r="B852" s="2788">
        <f>IFERROR(AVERAGE('2018+'!S1571:S1614),"")</f>
        <v>1.6240805419773425</v>
      </c>
      <c r="C852" s="2782">
        <f>IFERROR(AVERAGE('2018+'!N1571:N1614),"")</f>
        <v>1.0919389400988841</v>
      </c>
      <c r="D852" s="2787">
        <f>'2018+'!U1614</f>
        <v>33.668474444854006</v>
      </c>
    </row>
    <row r="853" spans="1:4" ht="15" x14ac:dyDescent="0.2">
      <c r="A853" s="2781">
        <v>44713</v>
      </c>
      <c r="B853" s="2788">
        <f>IFERROR(AVERAGE('2018+'!S1572:S1615),"")</f>
        <v>1.6240805419773425</v>
      </c>
      <c r="C853" s="2782">
        <f>IFERROR(AVERAGE('2018+'!N1572:N1615),"")</f>
        <v>1.0919017119718197</v>
      </c>
      <c r="D853" s="2787">
        <f>'2018+'!U1615</f>
        <v>33.962082196167003</v>
      </c>
    </row>
    <row r="854" spans="1:4" ht="15" x14ac:dyDescent="0.2">
      <c r="A854" s="2781">
        <v>44714</v>
      </c>
      <c r="B854" s="2788">
        <f>IFERROR(AVERAGE('2018+'!S1573:S1616),"")</f>
        <v>1.6141318291356352</v>
      </c>
      <c r="C854" s="2782">
        <f>IFERROR(AVERAGE('2018+'!N1573:N1616),"")</f>
        <v>1.0921384163164061</v>
      </c>
      <c r="D854" s="2787">
        <f>'2018+'!U1616</f>
        <v>34.724889762924931</v>
      </c>
    </row>
    <row r="855" spans="1:4" ht="15" x14ac:dyDescent="0.2">
      <c r="A855" s="2781">
        <v>44715</v>
      </c>
      <c r="B855" s="2788">
        <f>IFERROR(AVERAGE('2018+'!S1574:S1617),"")</f>
        <v>1.6141318291356352</v>
      </c>
      <c r="C855" s="2782">
        <f>IFERROR(AVERAGE('2018+'!N1574:N1617),"")</f>
        <v>1.0921384163164061</v>
      </c>
      <c r="D855" s="2787">
        <f>'2018+'!U1617</f>
        <v>33.898106673331483</v>
      </c>
    </row>
    <row r="856" spans="1:4" ht="15" x14ac:dyDescent="0.2">
      <c r="A856" s="2781">
        <v>44716</v>
      </c>
      <c r="B856" s="2788">
        <f>IFERROR(AVERAGE('2018+'!S1575:S1618),"")</f>
        <v>1.604980218766429</v>
      </c>
      <c r="C856" s="2782">
        <f>IFERROR(AVERAGE('2018+'!N1575:N1618),"")</f>
        <v>1.0912276838952897</v>
      </c>
      <c r="D856" s="2787">
        <f>'2018+'!U1618</f>
        <v>34.710056514442641</v>
      </c>
    </row>
    <row r="857" spans="1:4" ht="15" x14ac:dyDescent="0.2">
      <c r="A857" s="2781">
        <v>44717</v>
      </c>
      <c r="B857" s="2788">
        <f>IFERROR(AVERAGE('2018+'!S1576:S1619),"")</f>
        <v>1.604980218766429</v>
      </c>
      <c r="C857" s="2782">
        <f>IFERROR(AVERAGE('2018+'!N1576:N1619),"")</f>
        <v>1.0912276838952897</v>
      </c>
      <c r="D857" s="2787">
        <f>'2018+'!U1619</f>
        <v>33.883626597432105</v>
      </c>
    </row>
    <row r="858" spans="1:4" ht="15" x14ac:dyDescent="0.2">
      <c r="A858" s="2781">
        <v>44718</v>
      </c>
      <c r="B858" s="2788">
        <f>IFERROR(AVERAGE('2018+'!S1577:S1620),"")</f>
        <v>1.5949971931794769</v>
      </c>
      <c r="C858" s="2782">
        <f>IFERROR(AVERAGE('2018+'!N1577:N1620),"")</f>
        <v>1.0906552645936027</v>
      </c>
      <c r="D858" s="2787">
        <f>'2018+'!U1620</f>
        <v>35.029254535588485</v>
      </c>
    </row>
    <row r="859" spans="1:4" ht="15" x14ac:dyDescent="0.2">
      <c r="A859" s="2781">
        <v>44719</v>
      </c>
      <c r="B859" s="2788">
        <f>IFERROR(AVERAGE('2018+'!S1578:S1621),"")</f>
        <v>1.5949971931794769</v>
      </c>
      <c r="C859" s="2782">
        <f>IFERROR(AVERAGE('2018+'!N1578:N1621),"")</f>
        <v>1.0906552645936027</v>
      </c>
      <c r="D859" s="2787">
        <f>'2018+'!U1621</f>
        <v>34.195224665693523</v>
      </c>
    </row>
    <row r="860" spans="1:4" ht="15" x14ac:dyDescent="0.2">
      <c r="A860" s="2781">
        <v>44720</v>
      </c>
      <c r="B860" s="2788">
        <f>IFERROR(AVERAGE('2018+'!S1579:S1622),"")</f>
        <v>1.5806264837973258</v>
      </c>
      <c r="C860" s="2782">
        <f>IFERROR(AVERAGE('2018+'!N1579:N1622),"")</f>
        <v>1.0912095232754857</v>
      </c>
      <c r="D860" s="2787">
        <f>'2018+'!U1622</f>
        <v>34.928671697462725</v>
      </c>
    </row>
    <row r="861" spans="1:4" ht="15" x14ac:dyDescent="0.2">
      <c r="A861" s="2781">
        <v>44721</v>
      </c>
      <c r="B861" s="2788">
        <f>IFERROR(AVERAGE('2018+'!S1580:S1623),"")</f>
        <v>1.5820299422161552</v>
      </c>
      <c r="C861" s="2782">
        <f>IFERROR(AVERAGE('2018+'!N1580:N1623),"")</f>
        <v>1.0912277002378334</v>
      </c>
      <c r="D861" s="2787">
        <f>'2018+'!U1623</f>
        <v>35.406560466570753</v>
      </c>
    </row>
    <row r="862" spans="1:4" ht="15" x14ac:dyDescent="0.2">
      <c r="A862" s="2781">
        <v>44722</v>
      </c>
      <c r="B862" s="2788">
        <f>IFERROR(AVERAGE('2018+'!S1581:S1624),"")</f>
        <v>1.5838238757286129</v>
      </c>
      <c r="C862" s="2782">
        <f>IFERROR(AVERAGE('2018+'!N1581:N1624),"")</f>
        <v>1.093640059705143</v>
      </c>
      <c r="D862" s="2787">
        <f>'2018+'!U1624</f>
        <v>34.56354712212859</v>
      </c>
    </row>
    <row r="863" spans="1:4" ht="15" x14ac:dyDescent="0.2">
      <c r="A863" s="2781">
        <v>44723</v>
      </c>
      <c r="B863" s="2788">
        <f>IFERROR(AVERAGE('2018+'!S1582:S1625),"")</f>
        <v>1.5797742900518446</v>
      </c>
      <c r="C863" s="2782">
        <f>IFERROR(AVERAGE('2018+'!N1582:N1625),"")</f>
        <v>1.0938368871787172</v>
      </c>
      <c r="D863" s="2787">
        <f>'2018+'!U1625</f>
        <v>36.121557904935052</v>
      </c>
    </row>
    <row r="864" spans="1:4" ht="15" x14ac:dyDescent="0.2">
      <c r="A864" s="2781">
        <v>44724</v>
      </c>
      <c r="B864" s="2788">
        <f>IFERROR(AVERAGE('2018+'!S1583:S1626),"")</f>
        <v>1.5797742900518446</v>
      </c>
      <c r="C864" s="2782">
        <f>IFERROR(AVERAGE('2018+'!N1583:N1626),"")</f>
        <v>1.0938368871787172</v>
      </c>
      <c r="D864" s="2787">
        <f>'2018+'!U1626</f>
        <v>35.261520811960409</v>
      </c>
    </row>
    <row r="865" spans="1:4" ht="15" x14ac:dyDescent="0.2">
      <c r="A865" s="2781">
        <v>44725</v>
      </c>
      <c r="B865" s="2788">
        <f>IFERROR(AVERAGE('2018+'!S1584:S1627),"")</f>
        <v>1.5788405832357846</v>
      </c>
      <c r="C865" s="2782">
        <f>IFERROR(AVERAGE('2018+'!N1584:N1627),"")</f>
        <v>1.0940103274792543</v>
      </c>
      <c r="D865" s="2787">
        <f>'2018+'!U1627</f>
        <v>35.755294125961349</v>
      </c>
    </row>
    <row r="866" spans="1:4" ht="15" x14ac:dyDescent="0.2">
      <c r="A866" s="2781">
        <v>44726</v>
      </c>
      <c r="B866" s="2788">
        <f>IFERROR(AVERAGE('2018+'!S1585:S1628),"")</f>
        <v>1.5788405832357846</v>
      </c>
      <c r="C866" s="2782">
        <f>IFERROR(AVERAGE('2018+'!N1585:N1628),"")</f>
        <v>1.0940103274792543</v>
      </c>
      <c r="D866" s="2787">
        <f>'2018+'!U1628</f>
        <v>34.903977599152746</v>
      </c>
    </row>
    <row r="867" spans="1:4" ht="15" x14ac:dyDescent="0.2">
      <c r="A867" s="2781">
        <v>44727</v>
      </c>
      <c r="B867" s="2788">
        <f>IFERROR(AVERAGE('2018+'!S1586:S1629),"")</f>
        <v>1.5711167982769347</v>
      </c>
      <c r="C867" s="2782">
        <f>IFERROR(AVERAGE('2018+'!N1586:N1629),"")</f>
        <v>1.0934662697194948</v>
      </c>
      <c r="D867" s="2787">
        <f>'2018+'!U1629</f>
        <v>34.07293051345863</v>
      </c>
    </row>
    <row r="868" spans="1:4" ht="15" x14ac:dyDescent="0.2">
      <c r="A868" s="2781">
        <v>44728</v>
      </c>
      <c r="B868" s="2788">
        <f>IFERROR(AVERAGE('2018+'!S1587:S1630),"")</f>
        <v>1.5711167982769347</v>
      </c>
      <c r="C868" s="2782">
        <f>IFERROR(AVERAGE('2018+'!N1587:N1630),"")</f>
        <v>1.0934662697194948</v>
      </c>
      <c r="D868" s="2787">
        <f>'2018+'!U1630</f>
        <v>35.285479786947711</v>
      </c>
    </row>
    <row r="869" spans="1:4" ht="15" x14ac:dyDescent="0.2">
      <c r="A869" s="2781">
        <v>44729</v>
      </c>
      <c r="B869" s="2788">
        <f>IFERROR(AVERAGE('2018+'!S1588:S1631),"")</f>
        <v>1.5753460809278639</v>
      </c>
      <c r="C869" s="2782">
        <f>IFERROR(AVERAGE('2018+'!N1588:N1631),"")</f>
        <v>1.0963467360496413</v>
      </c>
      <c r="D869" s="2787">
        <f>'2018+'!U1631</f>
        <v>34.445349315829908</v>
      </c>
    </row>
    <row r="870" spans="1:4" ht="15" x14ac:dyDescent="0.2">
      <c r="A870" s="2781">
        <v>44730</v>
      </c>
      <c r="B870" s="2788">
        <f>IFERROR(AVERAGE('2018+'!S1589:S1632),"")</f>
        <v>1.5682479408685093</v>
      </c>
      <c r="C870" s="2782">
        <f>IFERROR(AVERAGE('2018+'!N1589:N1632),"")</f>
        <v>1.0961299588813309</v>
      </c>
      <c r="D870" s="2787">
        <f>'2018+'!U1632</f>
        <v>33.625221951167291</v>
      </c>
    </row>
    <row r="871" spans="1:4" ht="15" x14ac:dyDescent="0.2">
      <c r="A871" s="2781">
        <v>44731</v>
      </c>
      <c r="B871" s="2788">
        <f>IFERROR(AVERAGE('2018+'!S1590:S1633),"")</f>
        <v>1.5682479408685093</v>
      </c>
      <c r="C871" s="2782">
        <f>IFERROR(AVERAGE('2018+'!N1590:N1633),"")</f>
        <v>1.0961299588813309</v>
      </c>
      <c r="D871" s="2787">
        <f>'2018+'!U1633</f>
        <v>32.824621428520452</v>
      </c>
    </row>
    <row r="872" spans="1:4" ht="15" x14ac:dyDescent="0.2">
      <c r="A872" s="2781">
        <v>44732</v>
      </c>
      <c r="B872" s="2788">
        <f>IFERROR(AVERAGE('2018+'!S1591:S1634),"")</f>
        <v>1.5682479408685093</v>
      </c>
      <c r="C872" s="2782">
        <f>IFERROR(AVERAGE('2018+'!N1591:N1634),"")</f>
        <v>1.0961299588813309</v>
      </c>
      <c r="D872" s="2787">
        <f>'2018+'!U1634</f>
        <v>32.043082823079487</v>
      </c>
    </row>
    <row r="873" spans="1:4" ht="15" x14ac:dyDescent="0.2">
      <c r="A873" s="2781">
        <v>44733</v>
      </c>
      <c r="B873" s="2788">
        <f>IFERROR(AVERAGE('2018+'!S1592:S1635),"")</f>
        <v>1.5730404155787201</v>
      </c>
      <c r="C873" s="2782">
        <f>IFERROR(AVERAGE('2018+'!N1592:N1635),"")</f>
        <v>1.0962592528176913</v>
      </c>
      <c r="D873" s="2787">
        <f>'2018+'!U1635</f>
        <v>32.756342755863308</v>
      </c>
    </row>
    <row r="874" spans="1:4" ht="15" x14ac:dyDescent="0.2">
      <c r="A874" s="2781">
        <v>44734</v>
      </c>
      <c r="B874" s="2788">
        <f>IFERROR(AVERAGE('2018+'!S1593:S1636),"")</f>
        <v>1.5730404155787201</v>
      </c>
      <c r="C874" s="2782">
        <f>IFERROR(AVERAGE('2018+'!N1593:N1636),"")</f>
        <v>1.0962592528176913</v>
      </c>
      <c r="D874" s="2787">
        <f>'2018+'!U1636</f>
        <v>31.976429833104657</v>
      </c>
    </row>
    <row r="875" spans="1:4" ht="15" x14ac:dyDescent="0.2">
      <c r="A875" s="2781">
        <v>44735</v>
      </c>
      <c r="B875" s="2788">
        <f>IFERROR(AVERAGE('2018+'!S1594:S1637),"")</f>
        <v>1.5739078181647945</v>
      </c>
      <c r="C875" s="2782">
        <f>IFERROR(AVERAGE('2018+'!N1594:N1637),"")</f>
        <v>1.0963324156620473</v>
      </c>
      <c r="D875" s="2787">
        <f>'2018+'!U1637</f>
        <v>32.548419598983116</v>
      </c>
    </row>
    <row r="876" spans="1:4" ht="15" x14ac:dyDescent="0.2">
      <c r="A876" s="2781">
        <v>44736</v>
      </c>
      <c r="B876" s="2788">
        <f>IFERROR(AVERAGE('2018+'!S1595:S1638),"")</f>
        <v>1.5739078181647945</v>
      </c>
      <c r="C876" s="2782">
        <f>IFERROR(AVERAGE('2018+'!N1595:N1638),"")</f>
        <v>1.0963324156620473</v>
      </c>
      <c r="D876" s="2787">
        <f>'2018+'!U1638</f>
        <v>31.773457227578756</v>
      </c>
    </row>
    <row r="877" spans="1:4" ht="15" x14ac:dyDescent="0.2">
      <c r="A877" s="2781">
        <v>44737</v>
      </c>
      <c r="B877" s="2788">
        <f>IFERROR(AVERAGE('2018+'!S1596:S1639),"")</f>
        <v>1.5781148858498808</v>
      </c>
      <c r="C877" s="2782">
        <f>IFERROR(AVERAGE('2018+'!N1596:N1639),"")</f>
        <v>1.0970496286967684</v>
      </c>
      <c r="D877" s="2787">
        <f>'2018+'!U1639</f>
        <v>33.04075586501736</v>
      </c>
    </row>
    <row r="878" spans="1:4" ht="15" x14ac:dyDescent="0.2">
      <c r="A878" s="2781">
        <v>44738</v>
      </c>
      <c r="B878" s="2788">
        <f>IFERROR(AVERAGE('2018+'!S1597:S1640),"")</f>
        <v>1.5781148858498808</v>
      </c>
      <c r="C878" s="2782">
        <f>IFERROR(AVERAGE('2018+'!N1597:N1640),"")</f>
        <v>1.0970496286967684</v>
      </c>
      <c r="D878" s="2787">
        <f>'2018+'!U1640</f>
        <v>32.254071201564564</v>
      </c>
    </row>
    <row r="879" spans="1:4" ht="15" x14ac:dyDescent="0.2">
      <c r="A879" s="2781">
        <v>44739</v>
      </c>
      <c r="B879" s="2788">
        <f>IFERROR(AVERAGE('2018+'!S1598:S1641),"")</f>
        <v>1.5781148858498808</v>
      </c>
      <c r="C879" s="2782">
        <f>IFERROR(AVERAGE('2018+'!N1598:N1641),"")</f>
        <v>1.0970496286967684</v>
      </c>
      <c r="D879" s="2787">
        <f>'2018+'!U1641</f>
        <v>32.605164744384453</v>
      </c>
    </row>
    <row r="880" spans="1:4" ht="15" x14ac:dyDescent="0.2">
      <c r="A880" s="2781">
        <v>44740</v>
      </c>
      <c r="B880" s="2788">
        <f>IFERROR(AVERAGE('2018+'!S1599:S1642),"")</f>
        <v>1.5798101276852923</v>
      </c>
      <c r="C880" s="2782">
        <f>IFERROR(AVERAGE('2018+'!N1599:N1642),"")</f>
        <v>1.0962094934836415</v>
      </c>
      <c r="D880" s="2787">
        <f>'2018+'!U1642</f>
        <v>31.828851298089585</v>
      </c>
    </row>
    <row r="881" spans="1:4" ht="15" x14ac:dyDescent="0.2">
      <c r="A881" s="2781">
        <v>44741</v>
      </c>
      <c r="B881" s="2788">
        <f>IFERROR(AVERAGE('2018+'!S1600:S1643),"")</f>
        <v>1.5809317872583317</v>
      </c>
      <c r="C881" s="2782">
        <f>IFERROR(AVERAGE('2018+'!N1600:N1643),"")</f>
        <v>1.095920125954724</v>
      </c>
      <c r="D881" s="2787">
        <f>'2018+'!U1643</f>
        <v>32.809116743373167</v>
      </c>
    </row>
    <row r="882" spans="1:4" ht="15" x14ac:dyDescent="0.2">
      <c r="A882" s="2781">
        <v>44742</v>
      </c>
      <c r="B882" s="2788">
        <f>IFERROR(AVERAGE('2018+'!S1601:S1644),"")</f>
        <v>1.5799794040289235</v>
      </c>
      <c r="C882" s="2782">
        <f>IFERROR(AVERAGE('2018+'!N1601:N1644),"")</f>
        <v>1.0958143623682395</v>
      </c>
      <c r="D882" s="2787">
        <f>'2018+'!U1644</f>
        <v>32.027947297102379</v>
      </c>
    </row>
    <row r="883" spans="1:4" ht="15" x14ac:dyDescent="0.2">
      <c r="A883" s="2781">
        <v>44743</v>
      </c>
      <c r="B883" s="2788">
        <f>IFERROR(AVERAGE('2018+'!S1602:S1645),"")</f>
        <v>1.5799794040289235</v>
      </c>
      <c r="C883" s="2782">
        <f>IFERROR(AVERAGE('2018+'!N1602:N1645),"")</f>
        <v>1.0958143623682395</v>
      </c>
      <c r="D883" s="2787">
        <f>'2018+'!U1645</f>
        <v>31.265377123361848</v>
      </c>
    </row>
    <row r="884" spans="1:4" ht="15" x14ac:dyDescent="0.2">
      <c r="A884" s="2781">
        <v>44744</v>
      </c>
      <c r="B884" s="2788">
        <f>IFERROR(AVERAGE('2018+'!S1603:S1646),"")</f>
        <v>1.5832238672818504</v>
      </c>
      <c r="C884" s="2782">
        <f>IFERROR(AVERAGE('2018+'!N1603:N1646),"")</f>
        <v>1.0952220933789869</v>
      </c>
      <c r="D884" s="2787">
        <f>'2018+'!U1646</f>
        <v>31.663820525186566</v>
      </c>
    </row>
    <row r="885" spans="1:4" ht="15" x14ac:dyDescent="0.2">
      <c r="A885" s="2781">
        <v>44745</v>
      </c>
      <c r="B885" s="2788">
        <f>IFERROR(AVERAGE('2018+'!S1604:S1647),"")</f>
        <v>1.5832238672818504</v>
      </c>
      <c r="C885" s="2782">
        <f>IFERROR(AVERAGE('2018+'!N1604:N1647),"")</f>
        <v>1.0952220933789869</v>
      </c>
      <c r="D885" s="2787">
        <f>'2018+'!U1647</f>
        <v>30.909920036491648</v>
      </c>
    </row>
    <row r="886" spans="1:4" ht="15" x14ac:dyDescent="0.2">
      <c r="A886" s="2781">
        <v>44746</v>
      </c>
      <c r="B886" s="2788">
        <f>IFERROR(AVERAGE('2018+'!S1605:S1648),"")</f>
        <v>1.585147386958994</v>
      </c>
      <c r="C886" s="2782">
        <f>IFERROR(AVERAGE('2018+'!N1605:N1648),"")</f>
        <v>1.0951184850038076</v>
      </c>
      <c r="D886" s="2787">
        <f>'2018+'!U1648</f>
        <v>31.578731464194227</v>
      </c>
    </row>
    <row r="887" spans="1:4" ht="15" x14ac:dyDescent="0.2">
      <c r="A887" s="2781">
        <v>44747</v>
      </c>
      <c r="B887" s="2788">
        <f>IFERROR(AVERAGE('2018+'!S1606:S1649),"")</f>
        <v>1.585147386958994</v>
      </c>
      <c r="C887" s="2782">
        <f>IFERROR(AVERAGE('2018+'!N1606:N1649),"")</f>
        <v>1.0951184850038076</v>
      </c>
      <c r="D887" s="2787">
        <f>'2018+'!U1649</f>
        <v>30.826856905522938</v>
      </c>
    </row>
    <row r="888" spans="1:4" ht="15" x14ac:dyDescent="0.2">
      <c r="A888" s="2781">
        <v>44748</v>
      </c>
      <c r="B888" s="2788">
        <f>IFERROR(AVERAGE('2018+'!S1607:S1650),"")</f>
        <v>1.5909575342585034</v>
      </c>
      <c r="C888" s="2782">
        <f>IFERROR(AVERAGE('2018+'!N1607:N1650),"")</f>
        <v>1.0933064004555979</v>
      </c>
      <c r="D888" s="2787">
        <f>'2018+'!U1650</f>
        <v>31.497646026820011</v>
      </c>
    </row>
    <row r="889" spans="1:4" ht="15" x14ac:dyDescent="0.2">
      <c r="A889" s="2781">
        <v>44749</v>
      </c>
      <c r="B889" s="2788">
        <f>IFERROR(AVERAGE('2018+'!S1608:S1651),"")</f>
        <v>1.5945584977164431</v>
      </c>
      <c r="C889" s="2782">
        <f>IFERROR(AVERAGE('2018+'!N1608:N1651),"")</f>
        <v>1.0934971756985994</v>
      </c>
      <c r="D889" s="2787">
        <f>'2018+'!U1651</f>
        <v>32.057225883324293</v>
      </c>
    </row>
    <row r="890" spans="1:4" ht="15" x14ac:dyDescent="0.2">
      <c r="A890" s="2781">
        <v>44750</v>
      </c>
      <c r="B890" s="2788">
        <f>IFERROR(AVERAGE('2018+'!S1609:S1652),"")</f>
        <v>1.5927113116251392</v>
      </c>
      <c r="C890" s="2782">
        <f>IFERROR(AVERAGE('2018+'!N1609:N1652),"")</f>
        <v>1.0938804963647353</v>
      </c>
      <c r="D890" s="2787">
        <f>'2018+'!U1652</f>
        <v>31.293958600387999</v>
      </c>
    </row>
    <row r="891" spans="1:4" ht="15" x14ac:dyDescent="0.2">
      <c r="A891" s="2781">
        <v>44751</v>
      </c>
      <c r="B891" s="2788">
        <f>IFERROR(AVERAGE('2018+'!S1610:S1653),"")</f>
        <v>1.5927113116251392</v>
      </c>
      <c r="C891" s="2782">
        <f>IFERROR(AVERAGE('2018+'!N1610:N1653),"")</f>
        <v>1.0938804963647353</v>
      </c>
      <c r="D891" s="2787">
        <f>'2018+'!U1653</f>
        <v>32.406007205140668</v>
      </c>
    </row>
    <row r="892" spans="1:4" ht="15" x14ac:dyDescent="0.2">
      <c r="A892" s="2781">
        <v>44752</v>
      </c>
      <c r="B892" s="2788">
        <f>IFERROR(AVERAGE('2018+'!S1611:S1654),"")</f>
        <v>1.6024381650242618</v>
      </c>
      <c r="C892" s="2782">
        <f>IFERROR(AVERAGE('2018+'!N1611:N1654),"")</f>
        <v>1.0938804963647353</v>
      </c>
      <c r="D892" s="2787">
        <f>'2018+'!U1654</f>
        <v>31.634435605018272</v>
      </c>
    </row>
    <row r="893" spans="1:4" ht="15" x14ac:dyDescent="0.2">
      <c r="A893" s="2781">
        <v>44753</v>
      </c>
      <c r="B893" s="2788">
        <f>IFERROR(AVERAGE('2018+'!S1612:S1655),"")</f>
        <v>1.6024381650242618</v>
      </c>
      <c r="C893" s="2782">
        <f>IFERROR(AVERAGE('2018+'!N1612:N1655),"")</f>
        <v>1.0938804963647353</v>
      </c>
      <c r="D893" s="2787">
        <f>'2018+'!U1655</f>
        <v>30.881234757279742</v>
      </c>
    </row>
    <row r="894" spans="1:4" ht="15" x14ac:dyDescent="0.2">
      <c r="A894" s="2781">
        <v>44754</v>
      </c>
      <c r="B894" s="2788">
        <f>IFERROR(AVERAGE('2018+'!S1613:S1656),"")</f>
        <v>1.6011800410886279</v>
      </c>
      <c r="C894" s="2782">
        <f>IFERROR(AVERAGE('2018+'!N1613:N1656),"")</f>
        <v>1.0930337081755683</v>
      </c>
      <c r="D894" s="2787">
        <f>'2018+'!U1656</f>
        <v>31.503110120201654</v>
      </c>
    </row>
    <row r="895" spans="1:4" ht="15" x14ac:dyDescent="0.2">
      <c r="A895" s="2781">
        <v>44755</v>
      </c>
      <c r="B895" s="2788">
        <f>IFERROR(AVERAGE('2018+'!S1614:S1657),"")</f>
        <v>1.5944040618299913</v>
      </c>
      <c r="C895" s="2782">
        <f>IFERROR(AVERAGE('2018+'!N1614:N1657),"")</f>
        <v>1.0919121264441376</v>
      </c>
      <c r="D895" s="2787">
        <f>'2018+'!U1657</f>
        <v>31.872083688768281</v>
      </c>
    </row>
    <row r="896" spans="1:4" ht="15" x14ac:dyDescent="0.2">
      <c r="A896" s="2781">
        <v>44756</v>
      </c>
      <c r="B896" s="2788">
        <f>IFERROR(AVERAGE('2018+'!S1615:S1658),"")</f>
        <v>1.5924650755712506</v>
      </c>
      <c r="C896" s="2782">
        <f>IFERROR(AVERAGE('2018+'!N1615:N1658),"")</f>
        <v>1.091530866727102</v>
      </c>
      <c r="D896" s="2787">
        <f>'2018+'!U1658</f>
        <v>32.351319791416657</v>
      </c>
    </row>
    <row r="897" spans="1:4" ht="15" x14ac:dyDescent="0.2">
      <c r="A897" s="2781">
        <v>44757</v>
      </c>
      <c r="B897" s="2788">
        <f>IFERROR(AVERAGE('2018+'!S1616:S1659),"")</f>
        <v>1.5924650755712506</v>
      </c>
      <c r="C897" s="2782">
        <f>IFERROR(AVERAGE('2018+'!N1616:N1659),"")</f>
        <v>1.091548470317834</v>
      </c>
      <c r="D897" s="2787">
        <f>'2018+'!U1659</f>
        <v>31.581050272573403</v>
      </c>
    </row>
    <row r="898" spans="1:4" ht="15" x14ac:dyDescent="0.2">
      <c r="A898" s="2781">
        <v>44758</v>
      </c>
      <c r="B898" s="2788">
        <f>IFERROR(AVERAGE('2018+'!S1617:S1660),"")</f>
        <v>1.5963484998018698</v>
      </c>
      <c r="C898" s="2782">
        <f>IFERROR(AVERAGE('2018+'!N1617:N1660),"")</f>
        <v>1.0894710647972397</v>
      </c>
      <c r="D898" s="2787">
        <f>'2018+'!U1660</f>
        <v>32.091025266083562</v>
      </c>
    </row>
    <row r="899" spans="1:4" ht="15" x14ac:dyDescent="0.2">
      <c r="A899" s="2781">
        <v>44759</v>
      </c>
      <c r="B899" s="2788">
        <f>IFERROR(AVERAGE('2018+'!S1618:S1661),"")</f>
        <v>1.5963484998018698</v>
      </c>
      <c r="C899" s="2782">
        <f>IFERROR(AVERAGE('2018+'!N1618:N1661),"")</f>
        <v>1.0894710647972397</v>
      </c>
      <c r="D899" s="2787">
        <f>'2018+'!U1661</f>
        <v>31.326953235938717</v>
      </c>
    </row>
    <row r="900" spans="1:4" ht="15" x14ac:dyDescent="0.2">
      <c r="A900" s="2781">
        <v>44760</v>
      </c>
      <c r="B900" s="2788">
        <f>IFERROR(AVERAGE('2018+'!S1619:S1662),"")</f>
        <v>1.598547573875944</v>
      </c>
      <c r="C900" s="2782">
        <f>IFERROR(AVERAGE('2018+'!N1619:N1662),"")</f>
        <v>1.0900107434043314</v>
      </c>
      <c r="D900" s="2787">
        <f>'2018+'!U1662</f>
        <v>31.72393053984494</v>
      </c>
    </row>
    <row r="901" spans="1:4" ht="15" x14ac:dyDescent="0.2">
      <c r="A901" s="2781">
        <v>44761</v>
      </c>
      <c r="B901" s="2788">
        <f>IFERROR(AVERAGE('2018+'!S1620:S1663),"")</f>
        <v>1.5996440401185357</v>
      </c>
      <c r="C901" s="2782">
        <f>IFERROR(AVERAGE('2018+'!N1620:N1663),"")</f>
        <v>1.0902860410637571</v>
      </c>
      <c r="D901" s="2787">
        <f>'2018+'!U1663</f>
        <v>31.801932193658157</v>
      </c>
    </row>
    <row r="902" spans="1:4" ht="15" x14ac:dyDescent="0.2">
      <c r="A902" s="2781">
        <v>44762</v>
      </c>
      <c r="B902" s="2788">
        <f>IFERROR(AVERAGE('2018+'!S1621:S1664),"")</f>
        <v>1.6004369738906072</v>
      </c>
      <c r="C902" s="2782">
        <f>IFERROR(AVERAGE('2018+'!N1621:N1664),"")</f>
        <v>1.0904043212601866</v>
      </c>
      <c r="D902" s="2787">
        <f>'2018+'!U1664</f>
        <v>32.949505236666297</v>
      </c>
    </row>
    <row r="903" spans="1:4" ht="15" x14ac:dyDescent="0.2">
      <c r="A903" s="2781">
        <v>44763</v>
      </c>
      <c r="B903" s="2788">
        <f>IFERROR(AVERAGE('2018+'!S1622:S1665),"")</f>
        <v>1.6004369738906072</v>
      </c>
      <c r="C903" s="2782">
        <f>IFERROR(AVERAGE('2018+'!N1622:N1665),"")</f>
        <v>1.0904043212601866</v>
      </c>
      <c r="D903" s="2787">
        <f>'2018+'!U1665</f>
        <v>32.164993207221862</v>
      </c>
    </row>
    <row r="904" spans="1:4" ht="15" x14ac:dyDescent="0.2">
      <c r="A904" s="2781">
        <v>44764</v>
      </c>
      <c r="B904" s="2788">
        <f>IFERROR(AVERAGE('2018+'!S1623:S1666),"")</f>
        <v>1.6083809514254368</v>
      </c>
      <c r="C904" s="2782">
        <f>IFERROR(AVERAGE('2018+'!N1623:N1666),"")</f>
        <v>1.0898310899383541</v>
      </c>
      <c r="D904" s="2787">
        <f>'2018+'!U1666</f>
        <v>31.399160035621343</v>
      </c>
    </row>
    <row r="905" spans="1:4" ht="15" x14ac:dyDescent="0.2">
      <c r="A905" s="2781">
        <v>44765</v>
      </c>
      <c r="B905" s="2788">
        <f>IFERROR(AVERAGE('2018+'!S1624:S1667),"")</f>
        <v>1.6047124731645672</v>
      </c>
      <c r="C905" s="2782">
        <f>IFERROR(AVERAGE('2018+'!N1624:N1667),"")</f>
        <v>1.0897793681027625</v>
      </c>
      <c r="D905" s="2787">
        <f>'2018+'!U1667</f>
        <v>31.937275272868455</v>
      </c>
    </row>
    <row r="906" spans="1:4" ht="15" x14ac:dyDescent="0.2">
      <c r="A906" s="2781">
        <v>44766</v>
      </c>
      <c r="B906" s="2788">
        <f>IFERROR(AVERAGE('2018+'!S1625:S1668),"")</f>
        <v>1.6047124731645672</v>
      </c>
      <c r="C906" s="2782">
        <f>IFERROR(AVERAGE('2018+'!N1625:N1668),"")</f>
        <v>1.0897793681027625</v>
      </c>
      <c r="D906" s="2787">
        <f>'2018+'!U1668</f>
        <v>31.176863956847779</v>
      </c>
    </row>
    <row r="907" spans="1:4" ht="15" x14ac:dyDescent="0.2">
      <c r="A907" s="2781">
        <v>44767</v>
      </c>
      <c r="B907" s="2788">
        <f>IFERROR(AVERAGE('2018+'!S1626:S1669),"")</f>
        <v>1.6047124731645672</v>
      </c>
      <c r="C907" s="2782">
        <f>IFERROR(AVERAGE('2018+'!N1626:N1669),"")</f>
        <v>1.0897793681027625</v>
      </c>
      <c r="D907" s="2787">
        <f>'2018+'!U1669</f>
        <v>30.434557672160928</v>
      </c>
    </row>
    <row r="908" spans="1:4" ht="15" x14ac:dyDescent="0.2">
      <c r="A908" s="2781">
        <v>44768</v>
      </c>
      <c r="B908" s="2788">
        <f>IFERROR(AVERAGE('2018+'!S1627:S1670),"")</f>
        <v>1.6047124731645672</v>
      </c>
      <c r="C908" s="2782">
        <f>IFERROR(AVERAGE('2018+'!N1627:N1670),"")</f>
        <v>1.0897793681027625</v>
      </c>
      <c r="D908" s="2787">
        <f>'2018+'!U1670</f>
        <v>29.709925346633288</v>
      </c>
    </row>
    <row r="909" spans="1:4" ht="15" x14ac:dyDescent="0.2">
      <c r="A909" s="2781">
        <v>44769</v>
      </c>
      <c r="B909" s="2788">
        <f>IFERROR(AVERAGE('2018+'!S1628:S1671),"")</f>
        <v>1.6009089909833814</v>
      </c>
      <c r="C909" s="2782">
        <f>IFERROR(AVERAGE('2018+'!N1628:N1671),"")</f>
        <v>1.0896190672669182</v>
      </c>
      <c r="D909" s="2787">
        <f>'2018+'!U1671</f>
        <v>29.002546171713448</v>
      </c>
    </row>
    <row r="910" spans="1:4" ht="15" x14ac:dyDescent="0.2">
      <c r="A910" s="2781">
        <v>44770</v>
      </c>
      <c r="B910" s="2788">
        <f>IFERROR(AVERAGE('2018+'!S1629:S1672),"")</f>
        <v>1.6009089909833814</v>
      </c>
      <c r="C910" s="2782">
        <f>IFERROR(AVERAGE('2018+'!N1629:N1672),"")</f>
        <v>1.0896190672669182</v>
      </c>
      <c r="D910" s="2787">
        <f>'2018+'!U1672</f>
        <v>28.312009358101221</v>
      </c>
    </row>
    <row r="911" spans="1:4" ht="15" x14ac:dyDescent="0.2">
      <c r="A911" s="2781">
        <v>44771</v>
      </c>
      <c r="B911" s="2788">
        <f>IFERROR(AVERAGE('2018+'!S1630:S1673),"")</f>
        <v>1.6009089909833814</v>
      </c>
      <c r="C911" s="2782">
        <f>IFERROR(AVERAGE('2018+'!N1630:N1673),"")</f>
        <v>1.0896190672669182</v>
      </c>
      <c r="D911" s="2787">
        <f>'2018+'!U1673</f>
        <v>27.63791389719405</v>
      </c>
    </row>
    <row r="912" spans="1:4" ht="15" x14ac:dyDescent="0.2">
      <c r="A912" s="2781">
        <v>44772</v>
      </c>
      <c r="B912" s="2788">
        <f>IFERROR(AVERAGE('2018+'!S1631:S1674),"")</f>
        <v>1.6009089909833814</v>
      </c>
      <c r="C912" s="2782">
        <f>IFERROR(AVERAGE('2018+'!N1631:N1674),"")</f>
        <v>1.0896190672669182</v>
      </c>
      <c r="D912" s="2787">
        <f>'2018+'!U1674</f>
        <v>26.979868328213239</v>
      </c>
    </row>
    <row r="913" spans="1:4" ht="15" x14ac:dyDescent="0.2">
      <c r="A913" s="2781">
        <v>44773</v>
      </c>
      <c r="B913" s="2788">
        <f>IFERROR(AVERAGE('2018+'!S1632:S1675),"")</f>
        <v>1.5903213571291117</v>
      </c>
      <c r="C913" s="2782">
        <f>IFERROR(AVERAGE('2018+'!N1632:N1675),"")</f>
        <v>1.088489006865508</v>
      </c>
      <c r="D913" s="2787">
        <f>'2018+'!U1675</f>
        <v>27.718442891827209</v>
      </c>
    </row>
    <row r="914" spans="1:4" ht="15" x14ac:dyDescent="0.2">
      <c r="A914" s="2781">
        <v>44774</v>
      </c>
      <c r="B914" s="2788">
        <f>IFERROR(AVERAGE('2018+'!S1633:S1676),"")</f>
        <v>1.5903213571291117</v>
      </c>
      <c r="C914" s="2782">
        <f>IFERROR(AVERAGE('2018+'!N1633:N1676),"")</f>
        <v>1.088489006865508</v>
      </c>
      <c r="D914" s="2787">
        <f>'2018+'!U1676</f>
        <v>27.058479965831324</v>
      </c>
    </row>
    <row r="915" spans="1:4" ht="15" x14ac:dyDescent="0.2">
      <c r="A915" s="2781">
        <v>44775</v>
      </c>
      <c r="B915" s="2788">
        <f>IFERROR(AVERAGE('2018+'!S1634:S1677),"")</f>
        <v>1.5886579711580131</v>
      </c>
      <c r="C915" s="2782">
        <f>IFERROR(AVERAGE('2018+'!N1634:N1677),"")</f>
        <v>1.0876747751408073</v>
      </c>
      <c r="D915" s="2787">
        <f>'2018+'!U1677</f>
        <v>27.84280187140677</v>
      </c>
    </row>
    <row r="916" spans="1:4" ht="15" x14ac:dyDescent="0.2">
      <c r="A916" s="2781">
        <v>44776</v>
      </c>
      <c r="B916" s="2788">
        <f>IFERROR(AVERAGE('2018+'!S1635:S1678),"")</f>
        <v>1.5886579711580131</v>
      </c>
      <c r="C916" s="2782">
        <f>IFERROR(AVERAGE('2018+'!N1635:N1678),"")</f>
        <v>1.0876747751408073</v>
      </c>
      <c r="D916" s="2787">
        <f>'2018+'!U1678</f>
        <v>27.179878017325656</v>
      </c>
    </row>
    <row r="917" spans="1:4" ht="15" x14ac:dyDescent="0.2">
      <c r="A917" s="2781">
        <v>44777</v>
      </c>
      <c r="B917" s="2788">
        <f>IFERROR(AVERAGE('2018+'!S1636:S1679),"")</f>
        <v>1.579706564508397</v>
      </c>
      <c r="C917" s="2782">
        <f>IFERROR(AVERAGE('2018+'!N1636:N1679),"")</f>
        <v>1.0865445054752827</v>
      </c>
      <c r="D917" s="2787">
        <f>'2018+'!U1679</f>
        <v>27.889880921675044</v>
      </c>
    </row>
    <row r="918" spans="1:4" ht="15" x14ac:dyDescent="0.2">
      <c r="A918" s="2781">
        <v>44778</v>
      </c>
      <c r="B918" s="2788">
        <f>IFERROR(AVERAGE('2018+'!S1637:S1680),"")</f>
        <v>1.579706564508397</v>
      </c>
      <c r="C918" s="2782">
        <f>IFERROR(AVERAGE('2018+'!N1637:N1680),"")</f>
        <v>1.0865445054752827</v>
      </c>
      <c r="D918" s="2787">
        <f>'2018+'!U1680</f>
        <v>27.225836137825638</v>
      </c>
    </row>
    <row r="919" spans="1:4" ht="15" x14ac:dyDescent="0.2">
      <c r="A919" s="2781">
        <v>44779</v>
      </c>
      <c r="B919" s="2788">
        <f>IFERROR(AVERAGE('2018+'!S1638:S1681),"")</f>
        <v>1.576904195441307</v>
      </c>
      <c r="C919" s="2782">
        <f>IFERROR(AVERAGE('2018+'!N1638:N1681),"")</f>
        <v>1.0855351788807122</v>
      </c>
      <c r="D919" s="2787">
        <f>'2018+'!U1681</f>
        <v>28.482363848829788</v>
      </c>
    </row>
    <row r="920" spans="1:4" ht="15" x14ac:dyDescent="0.2">
      <c r="A920" s="2781">
        <v>44780</v>
      </c>
      <c r="B920" s="2788">
        <f>IFERROR(AVERAGE('2018+'!S1639:S1682),"")</f>
        <v>1.576904195441307</v>
      </c>
      <c r="C920" s="2782">
        <f>IFERROR(AVERAGE('2018+'!N1639:N1682),"")</f>
        <v>1.0855351788807122</v>
      </c>
      <c r="D920" s="2787">
        <f>'2018+'!U1682</f>
        <v>27.804212328619556</v>
      </c>
    </row>
    <row r="921" spans="1:4" ht="15" x14ac:dyDescent="0.2">
      <c r="A921" s="2781">
        <v>44781</v>
      </c>
      <c r="B921" s="2788">
        <f>IFERROR(AVERAGE('2018+'!S1640:S1683),"")</f>
        <v>1.5749514495394268</v>
      </c>
      <c r="C921" s="2782">
        <f>IFERROR(AVERAGE('2018+'!N1640:N1683),"")</f>
        <v>1.08452834942912</v>
      </c>
      <c r="D921" s="2787">
        <f>'2018+'!U1683</f>
        <v>28.642207273176233</v>
      </c>
    </row>
    <row r="922" spans="1:4" ht="15" x14ac:dyDescent="0.2">
      <c r="A922" s="2781">
        <v>44782</v>
      </c>
      <c r="B922" s="2788">
        <f>IFERROR(AVERAGE('2018+'!S1641:S1684),"")</f>
        <v>1.5749514495394268</v>
      </c>
      <c r="C922" s="2782">
        <f>IFERROR(AVERAGE('2018+'!N1641:N1684),"")</f>
        <v>1.08452834942912</v>
      </c>
      <c r="D922" s="2787">
        <f>'2018+'!U1684</f>
        <v>27.960249957148228</v>
      </c>
    </row>
    <row r="923" spans="1:4" ht="15" x14ac:dyDescent="0.2">
      <c r="A923" s="2781">
        <v>44783</v>
      </c>
      <c r="B923" s="2788">
        <f>IFERROR(AVERAGE('2018+'!S1642:S1685),"")</f>
        <v>1.5779559389019318</v>
      </c>
      <c r="C923" s="2782">
        <f>IFERROR(AVERAGE('2018+'!N1642:N1685),"")</f>
        <v>1.0830632883227773</v>
      </c>
      <c r="D923" s="2787">
        <f>'2018+'!U1685</f>
        <v>28.104053529597081</v>
      </c>
    </row>
    <row r="924" spans="1:4" ht="15" x14ac:dyDescent="0.2">
      <c r="A924" s="2781">
        <v>44784</v>
      </c>
      <c r="B924" s="2788">
        <f>IFERROR(AVERAGE('2018+'!S1643:S1686),"")</f>
        <v>1.5779559389019318</v>
      </c>
      <c r="C924" s="2782">
        <f>IFERROR(AVERAGE('2018+'!N1643:N1686),"")</f>
        <v>1.0830632883227773</v>
      </c>
      <c r="D924" s="2787">
        <f>'2018+'!U1686</f>
        <v>27.434909397940007</v>
      </c>
    </row>
    <row r="925" spans="1:4" ht="15" x14ac:dyDescent="0.2">
      <c r="A925" s="2781">
        <v>44785</v>
      </c>
      <c r="B925" s="2788">
        <f>IFERROR(AVERAGE('2018+'!S1644:S1687),"")</f>
        <v>1.5766592294255748</v>
      </c>
      <c r="C925" s="2782">
        <f>IFERROR(AVERAGE('2018+'!N1644:N1687),"")</f>
        <v>1.0826223111205358</v>
      </c>
      <c r="D925" s="2787">
        <f>'2018+'!U1687</f>
        <v>26.781697269417627</v>
      </c>
    </row>
    <row r="926" spans="1:4" ht="15" x14ac:dyDescent="0.2">
      <c r="A926" s="2781">
        <v>44786</v>
      </c>
      <c r="B926" s="2788">
        <f>IFERROR(AVERAGE('2018+'!S1645:S1688),"")</f>
        <v>1.5766592294255748</v>
      </c>
      <c r="C926" s="2782">
        <f>IFERROR(AVERAGE('2018+'!N1645:N1688),"")</f>
        <v>1.0826223111205358</v>
      </c>
      <c r="D926" s="2787">
        <f>'2018+'!U1688</f>
        <v>26.14403781062197</v>
      </c>
    </row>
    <row r="927" spans="1:4" ht="15" x14ac:dyDescent="0.2">
      <c r="A927" s="2781">
        <v>44787</v>
      </c>
      <c r="B927" s="2788">
        <f>IFERROR(AVERAGE('2018+'!S1646:S1689),"")</f>
        <v>1.5766592294255748</v>
      </c>
      <c r="C927" s="2782">
        <f>IFERROR(AVERAGE('2018+'!N1646:N1689),"")</f>
        <v>1.0826223111205358</v>
      </c>
      <c r="D927" s="2787">
        <f>'2018+'!U1689</f>
        <v>25.521560719892875</v>
      </c>
    </row>
    <row r="928" spans="1:4" ht="15" x14ac:dyDescent="0.2">
      <c r="A928" s="2781">
        <v>44788</v>
      </c>
      <c r="B928" s="2788">
        <f>IFERROR(AVERAGE('2018+'!S1647:S1690),"")</f>
        <v>1.5710337645980066</v>
      </c>
      <c r="C928" s="2782">
        <f>IFERROR(AVERAGE('2018+'!N1647:N1690),"")</f>
        <v>1.081914725612976</v>
      </c>
      <c r="D928" s="2787">
        <f>'2018+'!U1690</f>
        <v>24.913904512276378</v>
      </c>
    </row>
    <row r="929" spans="1:4" ht="15" x14ac:dyDescent="0.2">
      <c r="A929" s="2781">
        <v>44789</v>
      </c>
      <c r="B929" s="2788">
        <f>IFERROR(AVERAGE('2018+'!S1648:S1691),"")</f>
        <v>1.5710337645980066</v>
      </c>
      <c r="C929" s="2782">
        <f>IFERROR(AVERAGE('2018+'!N1648:N1691),"")</f>
        <v>1.081914725612976</v>
      </c>
      <c r="D929" s="2787">
        <f>'2018+'!U1691</f>
        <v>26.035002023888847</v>
      </c>
    </row>
    <row r="930" spans="1:4" ht="15" x14ac:dyDescent="0.2">
      <c r="A930" s="2781">
        <v>44790</v>
      </c>
      <c r="B930" s="2788">
        <f>IFERROR(AVERAGE('2018+'!S1649:S1692),"")</f>
        <v>1.5710337645980066</v>
      </c>
      <c r="C930" s="2782">
        <f>IFERROR(AVERAGE('2018+'!N1649:N1692),"")</f>
        <v>1.0807128922488811</v>
      </c>
      <c r="D930" s="2787">
        <f>'2018+'!U1692</f>
        <v>25.415121023320065</v>
      </c>
    </row>
    <row r="931" spans="1:4" ht="15" x14ac:dyDescent="0.2">
      <c r="A931" s="2781">
        <v>44791</v>
      </c>
      <c r="B931" s="2788">
        <f>IFERROR(AVERAGE('2018+'!S1650:S1693),"")</f>
        <v>1.5685603376949695</v>
      </c>
      <c r="C931" s="2782">
        <f>IFERROR(AVERAGE('2018+'!N1650:N1693),"")</f>
        <v>1.0804618349557595</v>
      </c>
      <c r="D931" s="2787">
        <f>'2018+'!U1693</f>
        <v>26.286189570383872</v>
      </c>
    </row>
    <row r="932" spans="1:4" ht="15" x14ac:dyDescent="0.2">
      <c r="A932" s="2781">
        <v>44792</v>
      </c>
      <c r="B932" s="2788">
        <f>IFERROR(AVERAGE('2018+'!S1651:S1694),"")</f>
        <v>1.5637107434162898</v>
      </c>
      <c r="C932" s="2782">
        <f>IFERROR(AVERAGE('2018+'!N1651:N1694),"")</f>
        <v>1.0811450267889466</v>
      </c>
      <c r="D932" s="2787">
        <f>'2018+'!U1694</f>
        <v>25.660327913946162</v>
      </c>
    </row>
    <row r="933" spans="1:4" ht="15" x14ac:dyDescent="0.2">
      <c r="A933" s="2781">
        <v>44793</v>
      </c>
      <c r="B933" s="2788">
        <f>IFERROR(AVERAGE('2018+'!S1652:S1695),"")</f>
        <v>1.5653768811503426</v>
      </c>
      <c r="C933" s="2782">
        <f>IFERROR(AVERAGE('2018+'!N1652:N1695),"")</f>
        <v>1.0813372052162171</v>
      </c>
      <c r="D933" s="2787">
        <f>'2018+'!U1695</f>
        <v>26.763653439804585</v>
      </c>
    </row>
    <row r="934" spans="1:4" ht="15" x14ac:dyDescent="0.2">
      <c r="A934" s="2781">
        <v>44794</v>
      </c>
      <c r="B934" s="2788">
        <f>IFERROR(AVERAGE('2018+'!S1653:S1696),"")</f>
        <v>1.5653768811503426</v>
      </c>
      <c r="C934" s="2782">
        <f>IFERROR(AVERAGE('2018+'!N1653:N1696),"")</f>
        <v>1.0813372052162171</v>
      </c>
      <c r="D934" s="2787">
        <f>'2018+'!U1696</f>
        <v>26.126423595999714</v>
      </c>
    </row>
    <row r="935" spans="1:4" ht="15" x14ac:dyDescent="0.2">
      <c r="A935" s="2781">
        <v>44795</v>
      </c>
      <c r="B935" s="2788">
        <f>IFERROR(AVERAGE('2018+'!S1654:S1697),"")</f>
        <v>1.5710529765883885</v>
      </c>
      <c r="C935" s="2782">
        <f>IFERROR(AVERAGE('2018+'!N1654:N1697),"")</f>
        <v>1.0816088396547716</v>
      </c>
      <c r="D935" s="2787">
        <f>'2018+'!U1697</f>
        <v>26.694842081809245</v>
      </c>
    </row>
    <row r="936" spans="1:4" ht="15" x14ac:dyDescent="0.2">
      <c r="A936" s="2781">
        <v>44796</v>
      </c>
      <c r="B936" s="2788">
        <f>IFERROR(AVERAGE('2018+'!S1655:S1698),"")</f>
        <v>1.5710529765883885</v>
      </c>
      <c r="C936" s="2782">
        <f>IFERROR(AVERAGE('2018+'!N1655:N1698),"")</f>
        <v>1.0816088396547716</v>
      </c>
      <c r="D936" s="2787">
        <f>'2018+'!U1698</f>
        <v>26.059250603670929</v>
      </c>
    </row>
    <row r="937" spans="1:4" ht="15" x14ac:dyDescent="0.2">
      <c r="A937" s="2781">
        <v>44797</v>
      </c>
      <c r="B937" s="2788">
        <f>IFERROR(AVERAGE('2018+'!S1656:S1699),"")</f>
        <v>1.5747545423012719</v>
      </c>
      <c r="C937" s="2782">
        <f>IFERROR(AVERAGE('2018+'!N1656:N1699),"")</f>
        <v>1.0819165177976078</v>
      </c>
      <c r="D937" s="2787">
        <f>'2018+'!U1699</f>
        <v>26.819744636916859</v>
      </c>
    </row>
    <row r="938" spans="1:4" ht="15" x14ac:dyDescent="0.2">
      <c r="A938" s="2781">
        <v>44798</v>
      </c>
      <c r="B938" s="2788">
        <f>IFERROR(AVERAGE('2018+'!S1657:S1700),"")</f>
        <v>1.5786393132723737</v>
      </c>
      <c r="C938" s="2782">
        <f>IFERROR(AVERAGE('2018+'!N1657:N1700),"")</f>
        <v>1.0813549344894313</v>
      </c>
      <c r="D938" s="2787">
        <f>'2018+'!U1700</f>
        <v>27.252607859847409</v>
      </c>
    </row>
    <row r="939" spans="1:4" ht="15" x14ac:dyDescent="0.2">
      <c r="A939" s="2781">
        <v>44799</v>
      </c>
      <c r="B939" s="2788">
        <f>IFERROR(AVERAGE('2018+'!S1658:S1701),"")</f>
        <v>1.578708402951196</v>
      </c>
      <c r="C939" s="2782">
        <f>IFERROR(AVERAGE('2018+'!N1658:N1701),"")</f>
        <v>1.0814451576632005</v>
      </c>
      <c r="D939" s="2787">
        <f>'2018+'!U1701</f>
        <v>26.603736244136755</v>
      </c>
    </row>
    <row r="940" spans="1:4" ht="15" x14ac:dyDescent="0.2">
      <c r="A940" s="2781">
        <v>44800</v>
      </c>
      <c r="B940" s="2788">
        <f>IFERROR(AVERAGE('2018+'!S1659:S1702),"")</f>
        <v>1.579666410530012</v>
      </c>
      <c r="C940" s="2782">
        <f>IFERROR(AVERAGE('2018+'!N1659:N1702),"")</f>
        <v>1.0812198892960574</v>
      </c>
      <c r="D940" s="2787">
        <f>'2018+'!U1702</f>
        <v>27.613171095466832</v>
      </c>
    </row>
    <row r="941" spans="1:4" ht="15" x14ac:dyDescent="0.2">
      <c r="A941" s="2781">
        <v>44801</v>
      </c>
      <c r="B941" s="2788">
        <f>IFERROR(AVERAGE('2018+'!S1660:S1703),"")</f>
        <v>1.579666410530012</v>
      </c>
      <c r="C941" s="2782">
        <f>IFERROR(AVERAGE('2018+'!N1660:N1703),"")</f>
        <v>1.0812198892960574</v>
      </c>
      <c r="D941" s="2787">
        <f>'2018+'!U1703</f>
        <v>26.955714640812861</v>
      </c>
    </row>
    <row r="942" spans="1:4" ht="15" x14ac:dyDescent="0.2">
      <c r="A942" s="2781">
        <v>44802</v>
      </c>
      <c r="B942" s="2788">
        <f>IFERROR(AVERAGE('2018+'!S1661:S1704),"")</f>
        <v>1.5810559359378951</v>
      </c>
      <c r="C942" s="2782">
        <f>IFERROR(AVERAGE('2018+'!N1661:N1704),"")</f>
        <v>1.0821607550220469</v>
      </c>
      <c r="D942" s="2787">
        <f>'2018+'!U1704</f>
        <v>26.313911911269699</v>
      </c>
    </row>
    <row r="943" spans="1:4" ht="15" x14ac:dyDescent="0.2">
      <c r="A943" s="2781">
        <v>44803</v>
      </c>
      <c r="B943" s="2788">
        <f>IFERROR(AVERAGE('2018+'!S1662:S1705),"")</f>
        <v>1.5810559359378951</v>
      </c>
      <c r="C943" s="2782">
        <f>IFERROR(AVERAGE('2018+'!N1662:N1705),"")</f>
        <v>1.0821607550220469</v>
      </c>
      <c r="D943" s="2787">
        <f>'2018+'!U1705</f>
        <v>25.687390199096612</v>
      </c>
    </row>
    <row r="944" spans="1:4" ht="15" x14ac:dyDescent="0.2">
      <c r="A944" s="2781">
        <v>44804</v>
      </c>
      <c r="B944" s="2788">
        <f>IFERROR(AVERAGE('2018+'!S1663:S1706),"")</f>
        <v>1.5909324791477717</v>
      </c>
      <c r="C944" s="2782">
        <f>IFERROR(AVERAGE('2018+'!N1663:N1706),"")</f>
        <v>1.0821334829951199</v>
      </c>
      <c r="D944" s="2787">
        <f>'2018+'!U1706</f>
        <v>26.171023765784788</v>
      </c>
    </row>
    <row r="945" spans="1:4" ht="15" x14ac:dyDescent="0.2">
      <c r="A945" s="2781">
        <v>44805</v>
      </c>
      <c r="B945" s="2788">
        <f>IFERROR(AVERAGE('2018+'!S1664:S1707),"")</f>
        <v>1.58905712051547</v>
      </c>
      <c r="C945" s="2782">
        <f>IFERROR(AVERAGE('2018+'!N1664:N1707),"")</f>
        <v>1.0812168674037717</v>
      </c>
      <c r="D945" s="2787">
        <f>'2018+'!U1707</f>
        <v>25.547904152313723</v>
      </c>
    </row>
    <row r="946" spans="1:4" ht="15" x14ac:dyDescent="0.2">
      <c r="A946" s="2781">
        <v>44806</v>
      </c>
      <c r="B946" s="2788">
        <f>IFERROR(AVERAGE('2018+'!S1665:S1708),"")</f>
        <v>1.5951435317217031</v>
      </c>
      <c r="C946" s="2782">
        <f>IFERROR(AVERAGE('2018+'!N1665:N1708),"")</f>
        <v>1.0808037087490128</v>
      </c>
      <c r="D946" s="2787">
        <f>'2018+'!U1708</f>
        <v>24.939620720115776</v>
      </c>
    </row>
    <row r="947" spans="1:4" ht="15" x14ac:dyDescent="0.2">
      <c r="A947" s="2781">
        <v>44807</v>
      </c>
      <c r="B947" s="2788">
        <f>IFERROR(AVERAGE('2018+'!S1666:S1709),"")</f>
        <v>1.5920240357583881</v>
      </c>
      <c r="C947" s="2782">
        <f>IFERROR(AVERAGE('2018+'!N1666:N1709),"")</f>
        <v>1.0795885053842766</v>
      </c>
      <c r="D947" s="2787">
        <f>'2018+'!U1709</f>
        <v>25.512486893446354</v>
      </c>
    </row>
    <row r="948" spans="1:4" ht="15" x14ac:dyDescent="0.2">
      <c r="A948" s="2781">
        <v>44808</v>
      </c>
      <c r="B948" s="2788">
        <f>IFERROR(AVERAGE('2018+'!S1667:S1710),"")</f>
        <v>1.5920240357583881</v>
      </c>
      <c r="C948" s="2782">
        <f>IFERROR(AVERAGE('2018+'!N1667:N1710),"")</f>
        <v>1.0795885053842766</v>
      </c>
      <c r="D948" s="2787">
        <f>'2018+'!U1710</f>
        <v>24.90504672931668</v>
      </c>
    </row>
    <row r="949" spans="1:4" ht="15" x14ac:dyDescent="0.2">
      <c r="A949" s="2781">
        <v>44809</v>
      </c>
      <c r="B949" s="2788">
        <f>IFERROR(AVERAGE('2018+'!S1668:S1711),"")</f>
        <v>1.5948491956731006</v>
      </c>
      <c r="C949" s="2782">
        <f>IFERROR(AVERAGE('2018+'!N1668:N1711),"")</f>
        <v>1.0781316993946553</v>
      </c>
      <c r="D949" s="2787">
        <f>'2018+'!U1711</f>
        <v>25.764450378618665</v>
      </c>
    </row>
    <row r="950" spans="1:4" ht="15" x14ac:dyDescent="0.2">
      <c r="A950" s="2781">
        <v>44810</v>
      </c>
      <c r="B950" s="2788">
        <f>IFERROR(AVERAGE('2018+'!S1669:S1712),"")</f>
        <v>1.5948491956731006</v>
      </c>
      <c r="C950" s="2782">
        <f>IFERROR(AVERAGE('2018+'!N1669:N1712),"")</f>
        <v>1.0781316993946553</v>
      </c>
      <c r="D950" s="2787">
        <f>'2018+'!U1712</f>
        <v>25.151011083889649</v>
      </c>
    </row>
    <row r="951" spans="1:4" ht="15" x14ac:dyDescent="0.2">
      <c r="A951" s="2781">
        <v>44811</v>
      </c>
      <c r="B951" s="2788">
        <f>IFERROR(AVERAGE('2018+'!S1670:S1713),"")</f>
        <v>1.5926925826282272</v>
      </c>
      <c r="C951" s="2782">
        <f>IFERROR(AVERAGE('2018+'!N1670:N1713),"")</f>
        <v>1.079161528370532</v>
      </c>
      <c r="D951" s="2787">
        <f>'2018+'!U1713</f>
        <v>26.099796534273228</v>
      </c>
    </row>
    <row r="952" spans="1:4" ht="15" x14ac:dyDescent="0.2">
      <c r="A952" s="2781">
        <v>44812</v>
      </c>
      <c r="B952" s="2788">
        <f>IFERROR(AVERAGE('2018+'!S1671:S1714),"")</f>
        <v>1.5926925826282272</v>
      </c>
      <c r="C952" s="2782">
        <f>IFERROR(AVERAGE('2018+'!N1671:N1714),"")</f>
        <v>1.079161528370532</v>
      </c>
      <c r="D952" s="2787">
        <f>'2018+'!U1714</f>
        <v>25.478372807266723</v>
      </c>
    </row>
    <row r="953" spans="1:4" ht="15" x14ac:dyDescent="0.2">
      <c r="A953" s="2781">
        <v>44813</v>
      </c>
      <c r="B953" s="2788">
        <f>IFERROR(AVERAGE('2018+'!S1672:S1715),"")</f>
        <v>1.5977789258435926</v>
      </c>
      <c r="C953" s="2782">
        <f>IFERROR(AVERAGE('2018+'!N1672:N1715),"")</f>
        <v>1.0802746449120506</v>
      </c>
      <c r="D953" s="2787">
        <f>'2018+'!U1715</f>
        <v>26.371744883284183</v>
      </c>
    </row>
    <row r="954" spans="1:4" ht="15" x14ac:dyDescent="0.2">
      <c r="A954" s="2781">
        <v>44814</v>
      </c>
      <c r="B954" s="2788">
        <f>IFERROR(AVERAGE('2018+'!S1673:S1716),"")</f>
        <v>1.5977789258435926</v>
      </c>
      <c r="C954" s="2782">
        <f>IFERROR(AVERAGE('2018+'!N1673:N1716),"")</f>
        <v>1.0802746449120506</v>
      </c>
      <c r="D954" s="2787">
        <f>'2018+'!U1716</f>
        <v>25.74384619558694</v>
      </c>
    </row>
    <row r="955" spans="1:4" ht="15" x14ac:dyDescent="0.2">
      <c r="A955" s="2781">
        <v>44815</v>
      </c>
      <c r="B955" s="2788">
        <f>IFERROR(AVERAGE('2018+'!S1674:S1717),"")</f>
        <v>1.5977789258435926</v>
      </c>
      <c r="C955" s="2782">
        <f>IFERROR(AVERAGE('2018+'!N1674:N1717),"")</f>
        <v>1.0802746449120506</v>
      </c>
      <c r="D955" s="2787">
        <f>'2018+'!U1717</f>
        <v>25.130897476644392</v>
      </c>
    </row>
    <row r="956" spans="1:4" ht="15" x14ac:dyDescent="0.2">
      <c r="A956" s="2781">
        <v>44816</v>
      </c>
      <c r="B956" s="2788">
        <f>IFERROR(AVERAGE('2018+'!S1675:S1718),"")</f>
        <v>1.5996998585944811</v>
      </c>
      <c r="C956" s="2782">
        <f>IFERROR(AVERAGE('2018+'!N1675:N1718),"")</f>
        <v>1.0816948086809952</v>
      </c>
      <c r="D956" s="2787">
        <f>'2018+'!U1718</f>
        <v>26.461114203390956</v>
      </c>
    </row>
    <row r="957" spans="1:4" ht="15" x14ac:dyDescent="0.2">
      <c r="A957" s="2781">
        <v>44817</v>
      </c>
      <c r="B957" s="2788">
        <f>IFERROR(AVERAGE('2018+'!S1676:S1719),"")</f>
        <v>1.6102119216744442</v>
      </c>
      <c r="C957" s="2782">
        <f>IFERROR(AVERAGE('2018+'!N1676:N1719),"")</f>
        <v>1.0824002316958732</v>
      </c>
      <c r="D957" s="2787">
        <f>'2018+'!U1719</f>
        <v>25.831087674738789</v>
      </c>
    </row>
    <row r="958" spans="1:4" ht="15" x14ac:dyDescent="0.2">
      <c r="A958" s="2781">
        <v>44818</v>
      </c>
      <c r="B958" s="2788">
        <f>IFERROR(AVERAGE('2018+'!S1677:S1720),"")</f>
        <v>1.6076921549009369</v>
      </c>
      <c r="C958" s="2782">
        <f>IFERROR(AVERAGE('2018+'!N1677:N1720),"")</f>
        <v>1.0837974359620473</v>
      </c>
      <c r="D958" s="2787">
        <f>'2018+'!U1720</f>
        <v>26.335109396768818</v>
      </c>
    </row>
    <row r="959" spans="1:4" ht="15" x14ac:dyDescent="0.2">
      <c r="A959" s="2781">
        <v>44819</v>
      </c>
      <c r="B959" s="2788">
        <f>IFERROR(AVERAGE('2018+'!S1678:S1721),"")</f>
        <v>1.610545177355968</v>
      </c>
      <c r="C959" s="2782">
        <f>IFERROR(AVERAGE('2018+'!N1678:N1721),"")</f>
        <v>1.0844202234708691</v>
      </c>
      <c r="D959" s="2787">
        <f>'2018+'!U1721</f>
        <v>25.708082982560036</v>
      </c>
    </row>
    <row r="960" spans="1:4" ht="15" x14ac:dyDescent="0.2">
      <c r="A960" s="2781">
        <v>44820</v>
      </c>
      <c r="B960" s="2788">
        <f>IFERROR(AVERAGE('2018+'!S1679:S1722),"")</f>
        <v>1.610545177355968</v>
      </c>
      <c r="C960" s="2782">
        <f>IFERROR(AVERAGE('2018+'!N1679:N1722),"")</f>
        <v>1.0844202234708691</v>
      </c>
      <c r="D960" s="2787">
        <f>'2018+'!U1722</f>
        <v>25.095985768689559</v>
      </c>
    </row>
    <row r="961" spans="1:4" ht="15" x14ac:dyDescent="0.2">
      <c r="A961" s="2781">
        <v>44821</v>
      </c>
      <c r="B961" s="2788">
        <f>IFERROR(AVERAGE('2018+'!S1680:S1723),"")</f>
        <v>1.6190692679596728</v>
      </c>
      <c r="C961" s="2782">
        <f>IFERROR(AVERAGE('2018+'!N1680:N1723),"")</f>
        <v>1.0860455351098155</v>
      </c>
      <c r="D961" s="2787">
        <f>'2018+'!U1723</f>
        <v>26.069890869435046</v>
      </c>
    </row>
    <row r="962" spans="1:4" ht="15" x14ac:dyDescent="0.2">
      <c r="A962" s="2781">
        <v>44822</v>
      </c>
      <c r="B962" s="2788">
        <f>IFERROR(AVERAGE('2018+'!S1681:S1724),"")</f>
        <v>1.6190692679596728</v>
      </c>
      <c r="C962" s="2782">
        <f>IFERROR(AVERAGE('2018+'!N1681:N1724),"")</f>
        <v>1.0860455351098155</v>
      </c>
      <c r="D962" s="2787">
        <f>'2018+'!U1724</f>
        <v>25.449179182067546</v>
      </c>
    </row>
    <row r="963" spans="1:4" ht="15" x14ac:dyDescent="0.2">
      <c r="A963" s="2781">
        <v>44823</v>
      </c>
      <c r="B963" s="2788">
        <f>IFERROR(AVERAGE('2018+'!S1682:S1725),"")</f>
        <v>1.6243308201302205</v>
      </c>
      <c r="C963" s="2782">
        <f>IFERROR(AVERAGE('2018+'!N1682:N1725),"")</f>
        <v>1.0864928946191719</v>
      </c>
      <c r="D963" s="2787">
        <f>'2018+'!U1725</f>
        <v>24.843246344399272</v>
      </c>
    </row>
    <row r="964" spans="1:4" ht="15" x14ac:dyDescent="0.2">
      <c r="A964" s="2781">
        <v>44824</v>
      </c>
      <c r="B964" s="2788">
        <f>IFERROR(AVERAGE('2018+'!S1683:S1726),"")</f>
        <v>1.6243308201302205</v>
      </c>
      <c r="C964" s="2782">
        <f>IFERROR(AVERAGE('2018+'!N1683:N1726),"")</f>
        <v>1.0864928946191719</v>
      </c>
      <c r="D964" s="2787">
        <f>'2018+'!U1726</f>
        <v>24.251740479056433</v>
      </c>
    </row>
    <row r="965" spans="1:4" ht="15" x14ac:dyDescent="0.2">
      <c r="A965" s="2781">
        <v>44825</v>
      </c>
      <c r="B965" s="2788">
        <f>IFERROR(AVERAGE('2018+'!S1684:S1727),"")</f>
        <v>1.6248945675563513</v>
      </c>
      <c r="C965" s="2782">
        <f>IFERROR(AVERAGE('2018+'!N1684:N1727),"")</f>
        <v>1.0861624356520865</v>
      </c>
      <c r="D965" s="2787">
        <f>'2018+'!U1727</f>
        <v>23.674318086697948</v>
      </c>
    </row>
    <row r="966" spans="1:4" ht="15" x14ac:dyDescent="0.2">
      <c r="A966" s="2781">
        <v>44826</v>
      </c>
      <c r="B966" s="2788">
        <f>IFERROR(AVERAGE('2018+'!S1685:S1728),"")</f>
        <v>1.6248945675563513</v>
      </c>
      <c r="C966" s="2782">
        <f>IFERROR(AVERAGE('2018+'!N1685:N1728),"")</f>
        <v>1.0861624356520865</v>
      </c>
      <c r="D966" s="2787">
        <f>'2018+'!U1728</f>
        <v>23.110643846538473</v>
      </c>
    </row>
    <row r="967" spans="1:4" ht="15" x14ac:dyDescent="0.2">
      <c r="A967" s="2781">
        <v>44827</v>
      </c>
      <c r="B967" s="2788">
        <f>IFERROR(AVERAGE('2018+'!S1686:S1729),"")</f>
        <v>1.6245762836711077</v>
      </c>
      <c r="C967" s="2782">
        <f>IFERROR(AVERAGE('2018+'!N1686:N1729),"")</f>
        <v>1.088429377747739</v>
      </c>
      <c r="D967" s="2787">
        <f>'2018+'!U1729</f>
        <v>22.560390421620891</v>
      </c>
    </row>
    <row r="968" spans="1:4" ht="15" x14ac:dyDescent="0.2">
      <c r="A968" s="2781">
        <v>44828</v>
      </c>
      <c r="B968" s="2788">
        <f>IFERROR(AVERAGE('2018+'!S1687:S1730),"")</f>
        <v>1.6245762836711077</v>
      </c>
      <c r="C968" s="2782">
        <f>IFERROR(AVERAGE('2018+'!N1687:N1730),"")</f>
        <v>1.088429377747739</v>
      </c>
      <c r="D968" s="2787">
        <f>'2018+'!U1730</f>
        <v>22.023238268725155</v>
      </c>
    </row>
    <row r="969" spans="1:4" ht="15" x14ac:dyDescent="0.2">
      <c r="A969" s="2781">
        <v>44829</v>
      </c>
      <c r="B969" s="2788">
        <f>IFERROR(AVERAGE('2018+'!S1688:S1731),"")</f>
        <v>1.6156779776946002</v>
      </c>
      <c r="C969" s="2782">
        <f>IFERROR(AVERAGE('2018+'!N1688:N1731),"")</f>
        <v>1.0873218885016065</v>
      </c>
      <c r="D969" s="2787">
        <f>'2018+'!U1731</f>
        <v>22.903637357565032</v>
      </c>
    </row>
    <row r="970" spans="1:4" ht="15" x14ac:dyDescent="0.2">
      <c r="A970" s="2781">
        <v>44830</v>
      </c>
      <c r="B970" s="2788">
        <f>IFERROR(AVERAGE('2018+'!S1689:S1732),"")</f>
        <v>1.6156779776946002</v>
      </c>
      <c r="C970" s="2782">
        <f>IFERROR(AVERAGE('2018+'!N1689:N1732),"")</f>
        <v>1.0873218885016065</v>
      </c>
      <c r="D970" s="2787">
        <f>'2018+'!U1732</f>
        <v>22.35831265857539</v>
      </c>
    </row>
    <row r="971" spans="1:4" ht="15" x14ac:dyDescent="0.2">
      <c r="A971" s="2781">
        <v>44831</v>
      </c>
      <c r="B971" s="2788">
        <f>IFERROR(AVERAGE('2018+'!S1690:S1733),"")</f>
        <v>1.6155851601340077</v>
      </c>
      <c r="C971" s="2782">
        <f>IFERROR(AVERAGE('2018+'!N1690:N1733),"")</f>
        <v>1.0877566879110538</v>
      </c>
      <c r="D971" s="2787">
        <f>'2018+'!U1733</f>
        <v>22.778352833371212</v>
      </c>
    </row>
    <row r="972" spans="1:4" ht="15" x14ac:dyDescent="0.2">
      <c r="A972" s="2781">
        <v>44832</v>
      </c>
      <c r="B972" s="2788">
        <f>IFERROR(AVERAGE('2018+'!S1691:S1734),"")</f>
        <v>1.6155851601340077</v>
      </c>
      <c r="C972" s="2782">
        <f>IFERROR(AVERAGE('2018+'!N1691:N1734),"")</f>
        <v>1.0877566879110538</v>
      </c>
      <c r="D972" s="2787">
        <f>'2018+'!U1734</f>
        <v>22.236011099243328</v>
      </c>
    </row>
    <row r="973" spans="1:4" ht="15" x14ac:dyDescent="0.2">
      <c r="A973" s="2781">
        <v>44833</v>
      </c>
      <c r="B973" s="2788">
        <f>IFERROR(AVERAGE('2018+'!S1692:S1735),"")</f>
        <v>1.6155851601340077</v>
      </c>
      <c r="C973" s="2782">
        <f>IFERROR(AVERAGE('2018+'!N1692:N1735),"")</f>
        <v>1.0877566879110538</v>
      </c>
      <c r="D973" s="2787">
        <f>'2018+'!U1735</f>
        <v>21.706582263547059</v>
      </c>
    </row>
    <row r="974" spans="1:4" ht="15" x14ac:dyDescent="0.2">
      <c r="A974" s="2781">
        <v>44834</v>
      </c>
      <c r="B974" s="2788">
        <f>IFERROR(AVERAGE('2018+'!S1693:S1736),"")</f>
        <v>1.6155851601340077</v>
      </c>
      <c r="C974" s="2782">
        <f>IFERROR(AVERAGE('2018+'!N1693:N1736),"")</f>
        <v>1.0877566879110538</v>
      </c>
      <c r="D974" s="2787">
        <f>'2018+'!U1736</f>
        <v>21.189758876319747</v>
      </c>
    </row>
    <row r="975" spans="1:4" ht="15" x14ac:dyDescent="0.2">
      <c r="A975" s="2781">
        <v>44835</v>
      </c>
      <c r="B975" s="2788">
        <f>IFERROR(AVERAGE('2018+'!S1694:S1737),"")</f>
        <v>1.6155851601340079</v>
      </c>
      <c r="C975" s="2782">
        <f>IFERROR(AVERAGE('2018+'!N1694:N1737),"")</f>
        <v>1.0878465966755899</v>
      </c>
      <c r="D975" s="2787">
        <f>'2018+'!U1737</f>
        <v>22.73285985545499</v>
      </c>
    </row>
    <row r="976" spans="1:4" ht="15" x14ac:dyDescent="0.2">
      <c r="A976" s="2781">
        <v>44836</v>
      </c>
      <c r="B976" s="2788">
        <f>IFERROR(AVERAGE('2018+'!S1695:S1738),"")</f>
        <v>1.6155851601340079</v>
      </c>
      <c r="C976" s="2782">
        <f>IFERROR(AVERAGE('2018+'!N1695:N1738),"")</f>
        <v>1.0878465966755899</v>
      </c>
      <c r="D976" s="2787">
        <f>'2018+'!U1738</f>
        <v>22.191601287467968</v>
      </c>
    </row>
    <row r="977" spans="1:4" ht="15" x14ac:dyDescent="0.2">
      <c r="A977" s="2781">
        <v>44837</v>
      </c>
      <c r="B977" s="2788">
        <f>IFERROR(AVERAGE('2018+'!S1696:S1739),"")</f>
        <v>1.6110675203729856</v>
      </c>
      <c r="C977" s="2782">
        <f>IFERROR(AVERAGE('2018+'!N1696:N1739),"")</f>
        <v>1.0869916957477064</v>
      </c>
      <c r="D977" s="2787">
        <f>'2018+'!U1739</f>
        <v>21.663229828242539</v>
      </c>
    </row>
    <row r="978" spans="1:4" ht="15" x14ac:dyDescent="0.2">
      <c r="A978" s="2781">
        <v>44838</v>
      </c>
      <c r="B978" s="2788">
        <f>IFERROR(AVERAGE('2018+'!S1697:S1740),"")</f>
        <v>1.6110675203729856</v>
      </c>
      <c r="C978" s="2782">
        <f>IFERROR(AVERAGE('2018+'!N1697:N1740),"")</f>
        <v>1.0869916957477064</v>
      </c>
      <c r="D978" s="2787">
        <f>'2018+'!U1740</f>
        <v>21.14743864185581</v>
      </c>
    </row>
    <row r="979" spans="1:4" ht="15" x14ac:dyDescent="0.2">
      <c r="A979" s="2781">
        <v>44839</v>
      </c>
      <c r="B979" s="2788">
        <f>IFERROR(AVERAGE('2018+'!S1698:S1741),"")</f>
        <v>1.609672182003431</v>
      </c>
      <c r="C979" s="2782">
        <f>IFERROR(AVERAGE('2018+'!N1698:N1741),"")</f>
        <v>1.0885653790768623</v>
      </c>
      <c r="D979" s="2787">
        <f>'2018+'!U1741</f>
        <v>21.810594864668769</v>
      </c>
    </row>
    <row r="980" spans="1:4" ht="15" x14ac:dyDescent="0.2">
      <c r="A980" s="2781">
        <v>44840</v>
      </c>
      <c r="B980" s="2788">
        <f>IFERROR(AVERAGE('2018+'!S1699:S1742),"")</f>
        <v>1.609672182003431</v>
      </c>
      <c r="C980" s="2782">
        <f>IFERROR(AVERAGE('2018+'!N1699:N1742),"")</f>
        <v>1.0885653790768623</v>
      </c>
      <c r="D980" s="2787">
        <f>'2018+'!U1742</f>
        <v>21.29129498693856</v>
      </c>
    </row>
    <row r="981" spans="1:4" ht="15" x14ac:dyDescent="0.2">
      <c r="A981" s="2781">
        <v>44841</v>
      </c>
      <c r="B981" s="2788">
        <f>IFERROR(AVERAGE('2018+'!S1700:S1743),"")</f>
        <v>1.6075176452790569</v>
      </c>
      <c r="C981" s="2782">
        <f>IFERROR(AVERAGE('2018+'!N1700:N1743),"")</f>
        <v>1.0886744816038654</v>
      </c>
      <c r="D981" s="2787">
        <f>'2018+'!U1743</f>
        <v>20.784359392011453</v>
      </c>
    </row>
    <row r="982" spans="1:4" ht="15" x14ac:dyDescent="0.2">
      <c r="A982" s="2781">
        <v>44842</v>
      </c>
      <c r="B982" s="2788">
        <f>IFERROR(AVERAGE('2018+'!S1701:S1744),"")</f>
        <v>1.60195724703211</v>
      </c>
      <c r="C982" s="2782">
        <f>IFERROR(AVERAGE('2018+'!N1701:N1744),"")</f>
        <v>1.0896096862719913</v>
      </c>
      <c r="D982" s="2787">
        <f>'2018+'!U1744</f>
        <v>20.289493692201656</v>
      </c>
    </row>
    <row r="983" spans="1:4" ht="15" x14ac:dyDescent="0.2">
      <c r="A983" s="2781">
        <v>44843</v>
      </c>
      <c r="B983" s="2788">
        <f>IFERROR(AVERAGE('2018+'!S1702:S1745),"")</f>
        <v>1.5880135861198257</v>
      </c>
      <c r="C983" s="2782">
        <f>IFERROR(AVERAGE('2018+'!N1702:N1745),"")</f>
        <v>1.0896491453323345</v>
      </c>
      <c r="D983" s="2787">
        <f>'2018+'!U1745</f>
        <v>21.258791461434949</v>
      </c>
    </row>
    <row r="984" spans="1:4" ht="15" x14ac:dyDescent="0.2">
      <c r="A984" s="2781">
        <v>44844</v>
      </c>
      <c r="B984" s="2788">
        <f>IFERROR(AVERAGE('2018+'!S1703:S1746),"")</f>
        <v>1.5880135861198257</v>
      </c>
      <c r="C984" s="2782">
        <f>IFERROR(AVERAGE('2018+'!N1703:N1746),"")</f>
        <v>1.0896491453323345</v>
      </c>
      <c r="D984" s="2787">
        <f>'2018+'!U1746</f>
        <v>20.752629759972212</v>
      </c>
    </row>
    <row r="985" spans="1:4" ht="15" x14ac:dyDescent="0.2">
      <c r="A985" s="2781">
        <v>44845</v>
      </c>
      <c r="B985" s="2788">
        <f>IFERROR(AVERAGE('2018+'!S1704:S1747),"")</f>
        <v>1.5880135861198257</v>
      </c>
      <c r="C985" s="2782">
        <f>IFERROR(AVERAGE('2018+'!N1704:N1747),"")</f>
        <v>1.0896491453323345</v>
      </c>
      <c r="D985" s="2787">
        <f>'2018+'!U1747</f>
        <v>20.258519527591922</v>
      </c>
    </row>
    <row r="986" spans="1:4" ht="15" x14ac:dyDescent="0.2">
      <c r="A986" s="2781">
        <v>44846</v>
      </c>
      <c r="B986" s="2788">
        <f>IFERROR(AVERAGE('2018+'!S1705:S1748),"")</f>
        <v>1.5880135861198257</v>
      </c>
      <c r="C986" s="2782">
        <f>IFERROR(AVERAGE('2018+'!N1705:N1748),"")</f>
        <v>1.0896491453323345</v>
      </c>
      <c r="D986" s="2787">
        <f>'2018+'!U1748</f>
        <v>19.776173824554018</v>
      </c>
    </row>
    <row r="987" spans="1:4" ht="15" x14ac:dyDescent="0.2">
      <c r="A987" s="2781">
        <v>44847</v>
      </c>
      <c r="B987" s="2788">
        <f>IFERROR(AVERAGE('2018+'!S1706:S1749),"")</f>
        <v>1.5880135861198257</v>
      </c>
      <c r="C987" s="2782">
        <f>IFERROR(AVERAGE('2018+'!N1706:N1749),"")</f>
        <v>1.0896491453323345</v>
      </c>
      <c r="D987" s="2787">
        <f>'2018+'!U1749</f>
        <v>19.305312543017017</v>
      </c>
    </row>
    <row r="988" spans="1:4" ht="15" x14ac:dyDescent="0.2">
      <c r="A988" s="2781">
        <v>44848</v>
      </c>
      <c r="B988" s="2788">
        <f>IFERROR(AVERAGE('2018+'!S1707:S1750),"")</f>
        <v>1.5759036071853669</v>
      </c>
      <c r="C988" s="2782">
        <f>IFERROR(AVERAGE('2018+'!N1707:N1750),"")</f>
        <v>1.0901449993750083</v>
      </c>
      <c r="D988" s="2787">
        <f>'2018+'!U1750</f>
        <v>18.845662244373756</v>
      </c>
    </row>
    <row r="989" spans="1:4" ht="15" x14ac:dyDescent="0.2">
      <c r="A989" s="2781">
        <v>44849</v>
      </c>
      <c r="B989" s="2788">
        <f>IFERROR(AVERAGE('2018+'!S1708:S1751),"")</f>
        <v>1.5759036071853669</v>
      </c>
      <c r="C989" s="2782">
        <f>IFERROR(AVERAGE('2018+'!N1708:N1751),"")</f>
        <v>1.0901449993750083</v>
      </c>
      <c r="D989" s="2787">
        <f>'2018+'!U1751</f>
        <v>18.396956000460094</v>
      </c>
    </row>
    <row r="990" spans="1:4" ht="15" x14ac:dyDescent="0.2">
      <c r="A990" s="2781">
        <v>44850</v>
      </c>
      <c r="B990" s="2788">
        <f>IFERROR(AVERAGE('2018+'!S1709:S1752),"")</f>
        <v>1.5759036071853669</v>
      </c>
      <c r="C990" s="2782">
        <f>IFERROR(AVERAGE('2018+'!N1709:N1752),"")</f>
        <v>1.0901449993750083</v>
      </c>
      <c r="D990" s="2787">
        <f>'2018+'!U1752</f>
        <v>17.958933238544375</v>
      </c>
    </row>
    <row r="991" spans="1:4" ht="15" x14ac:dyDescent="0.2">
      <c r="A991" s="2781">
        <v>44851</v>
      </c>
      <c r="B991" s="2788">
        <f>IFERROR(AVERAGE('2018+'!S1710:S1753),"")</f>
        <v>1.5781247907262825</v>
      </c>
      <c r="C991" s="2782">
        <f>IFERROR(AVERAGE('2018+'!N1710:N1753),"")</f>
        <v>1.0925408300779449</v>
      </c>
      <c r="D991" s="2787">
        <f>'2018+'!U1753</f>
        <v>17.531339590007605</v>
      </c>
    </row>
    <row r="992" spans="1:4" ht="15" x14ac:dyDescent="0.2">
      <c r="A992" s="2781">
        <v>44852</v>
      </c>
      <c r="B992" s="2788">
        <f>IFERROR(AVERAGE('2018+'!S1711:S1754),"")</f>
        <v>1.5781247907262825</v>
      </c>
      <c r="C992" s="2782">
        <f>IFERROR(AVERAGE('2018+'!N1711:N1754),"")</f>
        <v>1.0925408300779449</v>
      </c>
      <c r="D992" s="2787">
        <f>'2018+'!U1754</f>
        <v>17.113926742626472</v>
      </c>
    </row>
    <row r="993" spans="1:4" ht="15" x14ac:dyDescent="0.2">
      <c r="A993" s="2781">
        <v>44853</v>
      </c>
      <c r="B993" s="2788">
        <f>IFERROR(AVERAGE('2018+'!S1712:S1755),"")</f>
        <v>1.5769820459183137</v>
      </c>
      <c r="C993" s="2782">
        <f>IFERROR(AVERAGE('2018+'!N1712:N1755),"")</f>
        <v>1.0947650623394707</v>
      </c>
      <c r="D993" s="2787">
        <f>'2018+'!U1755</f>
        <v>16.70645229637346</v>
      </c>
    </row>
    <row r="994" spans="1:4" ht="15" x14ac:dyDescent="0.2">
      <c r="A994" s="2781">
        <v>44854</v>
      </c>
      <c r="B994" s="2788">
        <f>IFERROR(AVERAGE('2018+'!S1713:S1756),"")</f>
        <v>1.5769820459183137</v>
      </c>
      <c r="C994" s="2782">
        <f>IFERROR(AVERAGE('2018+'!N1713:N1756),"")</f>
        <v>1.0947650623394707</v>
      </c>
      <c r="D994" s="2787">
        <f>'2018+'!U1756</f>
        <v>16.308679622650281</v>
      </c>
    </row>
    <row r="995" spans="1:4" ht="15" x14ac:dyDescent="0.2">
      <c r="A995" s="2781">
        <v>44855</v>
      </c>
      <c r="B995" s="2788">
        <f>IFERROR(AVERAGE('2018+'!S1714:S1757),"")</f>
        <v>1.5785911621314594</v>
      </c>
      <c r="C995" s="2782">
        <f>IFERROR(AVERAGE('2018+'!N1714:N1757),"")</f>
        <v>1.0948968321513222</v>
      </c>
      <c r="D995" s="2787">
        <f>'2018+'!U1757</f>
        <v>15.920377726872893</v>
      </c>
    </row>
    <row r="996" spans="1:4" ht="15" x14ac:dyDescent="0.2">
      <c r="A996" s="2781">
        <v>44856</v>
      </c>
      <c r="B996" s="2788">
        <f>IFERROR(AVERAGE('2018+'!S1715:S1758),"")</f>
        <v>1.5785911621314594</v>
      </c>
      <c r="C996" s="2782">
        <f>IFERROR(AVERAGE('2018+'!N1715:N1758),"")</f>
        <v>1.0948968321513222</v>
      </c>
      <c r="D996" s="2787">
        <f>'2018+'!U1758</f>
        <v>15.5413211143283</v>
      </c>
    </row>
    <row r="997" spans="1:4" ht="15" x14ac:dyDescent="0.2">
      <c r="A997" s="2781">
        <v>44857</v>
      </c>
      <c r="B997" s="2788">
        <f>IFERROR(AVERAGE('2018+'!S1716:S1759),"")</f>
        <v>1.5666557981386329</v>
      </c>
      <c r="C997" s="2782">
        <f>IFERROR(AVERAGE('2018+'!N1716:N1759),"")</f>
        <v>1.0946375120408842</v>
      </c>
      <c r="D997" s="2787">
        <f>'2018+'!U1759</f>
        <v>15.171289659225245</v>
      </c>
    </row>
    <row r="998" spans="1:4" ht="15" x14ac:dyDescent="0.2">
      <c r="A998" s="2781">
        <v>44858</v>
      </c>
      <c r="B998" s="2788">
        <f>IFERROR(AVERAGE('2018+'!S1717:S1760),"")</f>
        <v>1.5666557981386329</v>
      </c>
      <c r="C998" s="2782">
        <f>IFERROR(AVERAGE('2018+'!N1717:N1760),"")</f>
        <v>1.0946375120408842</v>
      </c>
      <c r="D998" s="2787">
        <f>'2018+'!U1760</f>
        <v>14.810068476862739</v>
      </c>
    </row>
    <row r="999" spans="1:4" ht="15" x14ac:dyDescent="0.2">
      <c r="A999" s="2781">
        <v>44859</v>
      </c>
      <c r="B999" s="2788">
        <f>IFERROR(AVERAGE('2018+'!S1718:S1761),"")</f>
        <v>1.5666557981386329</v>
      </c>
      <c r="C999" s="2782">
        <f>IFERROR(AVERAGE('2018+'!N1718:N1761),"")</f>
        <v>1.0946375120408842</v>
      </c>
      <c r="D999" s="2787">
        <f>'2018+'!U1761</f>
        <v>14.457447798842198</v>
      </c>
    </row>
    <row r="1000" spans="1:4" ht="15" x14ac:dyDescent="0.2">
      <c r="A1000" s="2781">
        <v>44860</v>
      </c>
      <c r="B1000" s="2788">
        <f>IFERROR(AVERAGE('2018+'!S1719:S1762),"")</f>
        <v>1.5575445146429097</v>
      </c>
      <c r="C1000" s="2782">
        <f>IFERROR(AVERAGE('2018+'!N1719:N1762),"")</f>
        <v>1.0932403810489948</v>
      </c>
      <c r="D1000" s="2787">
        <f>'2018+'!U1762</f>
        <v>14.113222851250717</v>
      </c>
    </row>
    <row r="1001" spans="1:4" ht="15" x14ac:dyDescent="0.2">
      <c r="A1001" s="2781">
        <v>44861</v>
      </c>
      <c r="B1001" s="2788">
        <f>IFERROR(AVERAGE('2018+'!S1720:S1763),"")</f>
        <v>1.5575445146429097</v>
      </c>
      <c r="C1001" s="2782">
        <f>IFERROR(AVERAGE('2018+'!N1720:N1763),"")</f>
        <v>1.0932403810489948</v>
      </c>
      <c r="D1001" s="2787">
        <f>'2018+'!U1763</f>
        <v>13.777193735744747</v>
      </c>
    </row>
    <row r="1002" spans="1:4" ht="15" x14ac:dyDescent="0.2">
      <c r="A1002" s="2781">
        <v>44862</v>
      </c>
      <c r="B1002" s="2788">
        <f>IFERROR(AVERAGE('2018+'!S1721:S1764),"")</f>
        <v>1.5559059526625907</v>
      </c>
      <c r="C1002" s="2782">
        <f>IFERROR(AVERAGE('2018+'!N1721:N1764),"")</f>
        <v>1.0910883271870218</v>
      </c>
      <c r="D1002" s="2787">
        <f>'2018+'!U1764</f>
        <v>13.449165313465111</v>
      </c>
    </row>
    <row r="1003" spans="1:4" ht="15" x14ac:dyDescent="0.2">
      <c r="A1003" s="2781">
        <v>44863</v>
      </c>
      <c r="B1003" s="2788">
        <f>IFERROR(AVERAGE('2018+'!S1722:S1765),"")</f>
        <v>1.5559059526625907</v>
      </c>
      <c r="C1003" s="2782">
        <f>IFERROR(AVERAGE('2018+'!N1722:N1765),"")</f>
        <v>1.0910883271870218</v>
      </c>
      <c r="D1003" s="2787">
        <f>'2018+'!U1765</f>
        <v>13.128947091715942</v>
      </c>
    </row>
    <row r="1004" spans="1:4" ht="15" x14ac:dyDescent="0.2">
      <c r="A1004" s="2781">
        <v>44864</v>
      </c>
      <c r="B1004" s="2788">
        <f>IFERROR(AVERAGE('2018+'!S1723:S1766),"")</f>
        <v>1.5559059526625907</v>
      </c>
      <c r="C1004" s="2782">
        <f>IFERROR(AVERAGE('2018+'!N1723:N1766),"")</f>
        <v>1.0910883271870218</v>
      </c>
      <c r="D1004" s="2787">
        <f>'2018+'!U1766</f>
        <v>12.816353113341753</v>
      </c>
    </row>
    <row r="1005" spans="1:4" ht="15" x14ac:dyDescent="0.2">
      <c r="A1005" s="2781">
        <v>44865</v>
      </c>
      <c r="B1005" s="2788">
        <f>IFERROR(AVERAGE('2018+'!S1724:S1767),"")</f>
        <v>1.5412593286255725</v>
      </c>
      <c r="C1005" s="2782">
        <f>IFERROR(AVERAGE('2018+'!N1724:N1767),"")</f>
        <v>1.0885342338030657</v>
      </c>
      <c r="D1005" s="2787">
        <f>'2018+'!U1767</f>
        <v>12.511201848738379</v>
      </c>
    </row>
    <row r="1006" spans="1:4" ht="15" x14ac:dyDescent="0.2">
      <c r="A1006" s="2781">
        <v>44866</v>
      </c>
      <c r="B1006" s="2788">
        <f>IFERROR(AVERAGE('2018+'!S1725:S1768),"")</f>
        <v>1.5412593286255725</v>
      </c>
      <c r="C1006" s="2782">
        <f>IFERROR(AVERAGE('2018+'!N1725:N1768),"")</f>
        <v>1.0885342338030657</v>
      </c>
      <c r="D1006" s="2787">
        <f>'2018+'!U1768</f>
        <v>12.213316090435084</v>
      </c>
    </row>
    <row r="1007" spans="1:4" ht="15" x14ac:dyDescent="0.2">
      <c r="A1007" s="2781">
        <v>44867</v>
      </c>
      <c r="B1007" s="2788">
        <f>IFERROR(AVERAGE('2018+'!S1726:S1769),"")</f>
        <v>1.5412593286255725</v>
      </c>
      <c r="C1007" s="2782">
        <f>IFERROR(AVERAGE('2018+'!N1726:N1769),"")</f>
        <v>1.0885342338030657</v>
      </c>
      <c r="D1007" s="2787">
        <f>'2018+'!U1769</f>
        <v>11.922522850186629</v>
      </c>
    </row>
    <row r="1008" spans="1:4" ht="15" x14ac:dyDescent="0.2">
      <c r="A1008" s="2781">
        <v>44868</v>
      </c>
      <c r="B1008" s="2788">
        <f>IFERROR(AVERAGE('2018+'!S1727:S1770),"")</f>
        <v>1.5412593286255725</v>
      </c>
      <c r="C1008" s="2782">
        <f>IFERROR(AVERAGE('2018+'!N1727:N1770),"")</f>
        <v>1.0885342338030657</v>
      </c>
      <c r="D1008" s="2787">
        <f>'2018+'!U1770</f>
        <v>11.63865325851552</v>
      </c>
    </row>
    <row r="1009" spans="1:4" ht="15" x14ac:dyDescent="0.2">
      <c r="A1009" s="2781">
        <v>44869</v>
      </c>
      <c r="B1009" s="2788">
        <f>IFERROR(AVERAGE('2018+'!S1728:S1771),"")</f>
        <v>1.5412593286255725</v>
      </c>
      <c r="C1009" s="2782">
        <f>IFERROR(AVERAGE('2018+'!N1728:N1771),"")</f>
        <v>1.0885342338030657</v>
      </c>
      <c r="D1009" s="2787">
        <f>'2018+'!U1771</f>
        <v>11.361542466646103</v>
      </c>
    </row>
    <row r="1010" spans="1:4" ht="15" x14ac:dyDescent="0.2">
      <c r="A1010" s="2781">
        <v>44870</v>
      </c>
      <c r="B1010" s="2788">
        <f>IFERROR(AVERAGE('2018+'!S1729:S1772),"")</f>
        <v>1.5412593286255725</v>
      </c>
      <c r="C1010" s="2782">
        <f>IFERROR(AVERAGE('2018+'!N1729:N1772),"")</f>
        <v>1.0885342338030657</v>
      </c>
      <c r="D1010" s="2787">
        <f>'2018+'!U1772</f>
        <v>11.091029550773577</v>
      </c>
    </row>
    <row r="1011" spans="1:4" ht="15" x14ac:dyDescent="0.2">
      <c r="A1011" s="2781">
        <v>44871</v>
      </c>
      <c r="B1011" s="2788">
        <f>IFERROR(AVERAGE('2018+'!S1730:S1773),"")</f>
        <v>1.5412593286255725</v>
      </c>
      <c r="C1011" s="2782">
        <f>IFERROR(AVERAGE('2018+'!N1730:N1773),"")</f>
        <v>1.0885342338030657</v>
      </c>
      <c r="D1011" s="2787">
        <f>'2018+'!U1773</f>
        <v>10.826957418612301</v>
      </c>
    </row>
    <row r="1012" spans="1:4" ht="15" x14ac:dyDescent="0.2">
      <c r="A1012" s="2781">
        <v>44872</v>
      </c>
      <c r="B1012" s="2788">
        <f>IFERROR(AVERAGE('2018+'!S1731:S1774),"")</f>
        <v>1.5412593286255725</v>
      </c>
      <c r="C1012" s="2782">
        <f>IFERROR(AVERAGE('2018+'!N1731:N1774),"")</f>
        <v>1.0885342338030657</v>
      </c>
      <c r="D1012" s="2787">
        <f>'2018+'!U1774</f>
        <v>10.569172718169151</v>
      </c>
    </row>
    <row r="1013" spans="1:4" ht="15" x14ac:dyDescent="0.2">
      <c r="A1013" s="2781">
        <v>44873</v>
      </c>
      <c r="B1013" s="2788">
        <f>IFERROR(AVERAGE('2018+'!S1732:S1775),"")</f>
        <v>1.5279726153388591</v>
      </c>
      <c r="C1013" s="2782">
        <f>IFERROR(AVERAGE('2018+'!N1732:N1775),"")</f>
        <v>1.0943389998956554</v>
      </c>
      <c r="D1013" s="2787">
        <f>'2018+'!U1775</f>
        <v>11.079430510593696</v>
      </c>
    </row>
    <row r="1014" spans="1:4" ht="15" x14ac:dyDescent="0.2">
      <c r="A1014" s="2781">
        <v>44874</v>
      </c>
      <c r="B1014" s="2788">
        <f>IFERROR(AVERAGE('2018+'!S1733:S1776),"")</f>
        <v>1.5279726153388591</v>
      </c>
      <c r="C1014" s="2782">
        <f>IFERROR(AVERAGE('2018+'!N1733:N1776),"")</f>
        <v>1.0943389998956554</v>
      </c>
      <c r="D1014" s="2787">
        <f>'2018+'!U1776</f>
        <v>10.815634546055751</v>
      </c>
    </row>
    <row r="1015" spans="1:4" ht="15" x14ac:dyDescent="0.2">
      <c r="A1015" s="2781">
        <v>44875</v>
      </c>
      <c r="B1015" s="2788">
        <f>IFERROR(AVERAGE('2018+'!S1734:S1777),"")</f>
        <v>1.4916402951767518</v>
      </c>
      <c r="C1015" s="2782">
        <f>IFERROR(AVERAGE('2018+'!N1734:N1777),"")</f>
        <v>1.0918583485614111</v>
      </c>
      <c r="D1015" s="2787">
        <f>'2018+'!U1777</f>
        <v>11.367643247340137</v>
      </c>
    </row>
    <row r="1016" spans="1:4" ht="15" x14ac:dyDescent="0.2">
      <c r="A1016" s="2781">
        <v>44876</v>
      </c>
      <c r="B1016" s="2788">
        <f>IFERROR(AVERAGE('2018+'!S1735:S1778),"")</f>
        <v>1.4916402951767518</v>
      </c>
      <c r="C1016" s="2782">
        <f>IFERROR(AVERAGE('2018+'!N1735:N1778),"")</f>
        <v>1.0918583485614111</v>
      </c>
      <c r="D1016" s="2787">
        <f>'2018+'!U1778</f>
        <v>11.096985074784419</v>
      </c>
    </row>
    <row r="1017" spans="1:4" ht="15" x14ac:dyDescent="0.2">
      <c r="A1017" s="2781">
        <v>44877</v>
      </c>
      <c r="B1017" s="2788">
        <f>IFERROR(AVERAGE('2018+'!S1736:S1779),"")</f>
        <v>1.4916402951767518</v>
      </c>
      <c r="C1017" s="2782">
        <f>IFERROR(AVERAGE('2018+'!N1736:N1779),"")</f>
        <v>1.0918583485614111</v>
      </c>
      <c r="D1017" s="2787">
        <f>'2018+'!U1779</f>
        <v>10.832771144432408</v>
      </c>
    </row>
    <row r="1018" spans="1:4" ht="15" x14ac:dyDescent="0.2">
      <c r="A1018" s="2781">
        <v>44878</v>
      </c>
      <c r="B1018" s="2788">
        <f>IFERROR(AVERAGE('2018+'!S1737:S1780),"")</f>
        <v>1.4878611655208562</v>
      </c>
      <c r="C1018" s="2782">
        <f>IFERROR(AVERAGE('2018+'!N1737:N1780),"")</f>
        <v>1.0929213058454998</v>
      </c>
      <c r="D1018" s="2787">
        <f>'2018+'!U1780</f>
        <v>11.360562307660208</v>
      </c>
    </row>
    <row r="1019" spans="1:4" ht="15" x14ac:dyDescent="0.2">
      <c r="A1019" s="2781">
        <v>44879</v>
      </c>
      <c r="B1019" s="2788">
        <f>IFERROR(AVERAGE('2018+'!S1738:S1781),"")</f>
        <v>1.4796362971757522</v>
      </c>
      <c r="C1019" s="2782">
        <f>IFERROR(AVERAGE('2018+'!N1738:N1781),"")</f>
        <v>1.0959468570678301</v>
      </c>
      <c r="D1019" s="2787">
        <f>'2018+'!U1781</f>
        <v>11.090072728906394</v>
      </c>
    </row>
    <row r="1020" spans="1:4" ht="15" x14ac:dyDescent="0.2">
      <c r="A1020" s="2781">
        <v>44880</v>
      </c>
      <c r="B1020" s="2788">
        <f>IFERROR(AVERAGE('2018+'!S1739:S1782),"")</f>
        <v>1.4796362971757522</v>
      </c>
      <c r="C1020" s="2782">
        <f>IFERROR(AVERAGE('2018+'!N1739:N1782),"")</f>
        <v>1.0959468570678301</v>
      </c>
      <c r="D1020" s="2787">
        <f>'2018+'!U1782</f>
        <v>10.826023378218146</v>
      </c>
    </row>
    <row r="1021" spans="1:4" ht="15" x14ac:dyDescent="0.2">
      <c r="A1021" s="2781">
        <v>44881</v>
      </c>
      <c r="B1021" s="2788">
        <f>IFERROR(AVERAGE('2018+'!S1740:S1783),"")</f>
        <v>1.4767084085660003</v>
      </c>
      <c r="C1021" s="2782">
        <f>IFERROR(AVERAGE('2018+'!N1740:N1783),"")</f>
        <v>1.0961308577671094</v>
      </c>
      <c r="D1021" s="2787">
        <f>'2018+'!U1783</f>
        <v>11.449213297784381</v>
      </c>
    </row>
    <row r="1022" spans="1:4" ht="15" x14ac:dyDescent="0.2">
      <c r="A1022" s="2781">
        <v>44882</v>
      </c>
      <c r="B1022" s="2788">
        <f>IFERROR(AVERAGE('2018+'!S1741:S1784),"")</f>
        <v>1.4767084085660003</v>
      </c>
      <c r="C1022" s="2782">
        <f>IFERROR(AVERAGE('2018+'!N1741:N1784),"")</f>
        <v>1.0961308577671094</v>
      </c>
      <c r="D1022" s="2787">
        <f>'2018+'!U1784</f>
        <v>11.176612981170466</v>
      </c>
    </row>
    <row r="1023" spans="1:4" ht="15" x14ac:dyDescent="0.2">
      <c r="A1023" s="2781">
        <v>44883</v>
      </c>
      <c r="B1023" s="2788">
        <f>IFERROR(AVERAGE('2018+'!S1742:S1785),"")</f>
        <v>1.4558995337425273</v>
      </c>
      <c r="C1023" s="2782">
        <f>IFERROR(AVERAGE('2018+'!N1742:N1785),"")</f>
        <v>1.0941247292706182</v>
      </c>
      <c r="D1023" s="2787">
        <f>'2018+'!U1785</f>
        <v>11.886693624475932</v>
      </c>
    </row>
    <row r="1024" spans="1:4" ht="15" x14ac:dyDescent="0.2">
      <c r="A1024" s="2781">
        <v>44884</v>
      </c>
      <c r="B1024" s="2788">
        <f>IFERROR(AVERAGE('2018+'!S1743:S1786),"")</f>
        <v>1.4558995337425273</v>
      </c>
      <c r="C1024" s="2782">
        <f>IFERROR(AVERAGE('2018+'!N1743:N1786),"")</f>
        <v>1.0941247292706182</v>
      </c>
      <c r="D1024" s="2787">
        <f>'2018+'!U1786</f>
        <v>11.603677109607457</v>
      </c>
    </row>
    <row r="1025" spans="1:4" ht="15" x14ac:dyDescent="0.2">
      <c r="A1025" s="2781">
        <v>44885</v>
      </c>
      <c r="B1025" s="2788">
        <f>IFERROR(AVERAGE('2018+'!S1744:S1787),"")</f>
        <v>1.4725515672244438</v>
      </c>
      <c r="C1025" s="2782">
        <f>IFERROR(AVERAGE('2018+'!N1744:N1787),"")</f>
        <v>1.0934095840597313</v>
      </c>
      <c r="D1025" s="2787">
        <f>'2018+'!U1787</f>
        <v>12.351208606997755</v>
      </c>
    </row>
    <row r="1026" spans="1:4" ht="15" x14ac:dyDescent="0.2">
      <c r="A1026" s="2781">
        <v>44886</v>
      </c>
      <c r="B1026" s="2788">
        <f>IFERROR(AVERAGE('2018+'!S1745:S1788),"")</f>
        <v>1.4725515672244438</v>
      </c>
      <c r="C1026" s="2782">
        <f>IFERROR(AVERAGE('2018+'!N1745:N1788),"")</f>
        <v>1.0934095840597313</v>
      </c>
      <c r="D1026" s="2787">
        <f>'2018+'!U1788</f>
        <v>12.057132211593046</v>
      </c>
    </row>
    <row r="1027" spans="1:4" ht="15" x14ac:dyDescent="0.2">
      <c r="A1027" s="2781">
        <v>44887</v>
      </c>
      <c r="B1027" s="2788">
        <f>IFERROR(AVERAGE('2018+'!S1746:S1789),"")</f>
        <v>1.4848736799775908</v>
      </c>
      <c r="C1027" s="2782">
        <f>IFERROR(AVERAGE('2018+'!N1746:N1789),"")</f>
        <v>1.0917581310972817</v>
      </c>
      <c r="D1027" s="2787">
        <f>'2018+'!U1789</f>
        <v>12.960533825602736</v>
      </c>
    </row>
    <row r="1028" spans="1:4" ht="15" x14ac:dyDescent="0.2">
      <c r="A1028" s="2781">
        <v>44888</v>
      </c>
      <c r="B1028" s="2788">
        <f>IFERROR(AVERAGE('2018+'!S1747:S1790),"")</f>
        <v>1.4848736799775908</v>
      </c>
      <c r="C1028" s="2782">
        <f>IFERROR(AVERAGE('2018+'!N1747:N1790),"")</f>
        <v>1.0917581310972817</v>
      </c>
      <c r="D1028" s="2787">
        <f>'2018+'!U1790</f>
        <v>12.651949686897909</v>
      </c>
    </row>
    <row r="1029" spans="1:4" ht="15" x14ac:dyDescent="0.2">
      <c r="A1029" s="2781">
        <v>44889</v>
      </c>
      <c r="B1029" s="2788">
        <f>IFERROR(AVERAGE('2018+'!S1748:S1791),"")</f>
        <v>1.4915721622880842</v>
      </c>
      <c r="C1029" s="2782">
        <f>IFERROR(AVERAGE('2018+'!N1748:N1791),"")</f>
        <v>1.0914745884033707</v>
      </c>
      <c r="D1029" s="2787">
        <f>'2018+'!U1791</f>
        <v>13.564998503876531</v>
      </c>
    </row>
    <row r="1030" spans="1:4" ht="15" x14ac:dyDescent="0.2">
      <c r="A1030" s="2781">
        <v>44890</v>
      </c>
      <c r="B1030" s="2788">
        <f>IFERROR(AVERAGE('2018+'!S1749:S1792),"")</f>
        <v>1.4915721622880842</v>
      </c>
      <c r="C1030" s="2782">
        <f>IFERROR(AVERAGE('2018+'!N1749:N1792),"")</f>
        <v>1.0914745884033707</v>
      </c>
      <c r="D1030" s="2787">
        <f>'2018+'!U1792</f>
        <v>13.242022349022328</v>
      </c>
    </row>
    <row r="1031" spans="1:4" ht="15" x14ac:dyDescent="0.2">
      <c r="A1031" s="2781">
        <v>44891</v>
      </c>
      <c r="B1031" s="2788">
        <f>IFERROR(AVERAGE('2018+'!S1750:S1793),"")</f>
        <v>1.4852288952139292</v>
      </c>
      <c r="C1031" s="2782">
        <f>IFERROR(AVERAGE('2018+'!N1750:N1793),"")</f>
        <v>1.0901314106039321</v>
      </c>
      <c r="D1031" s="2787">
        <f>'2018+'!U1793</f>
        <v>14.283878959759891</v>
      </c>
    </row>
    <row r="1032" spans="1:4" ht="15" x14ac:dyDescent="0.2">
      <c r="A1032" s="2781">
        <v>44892</v>
      </c>
      <c r="B1032" s="2788">
        <f>IFERROR(AVERAGE('2018+'!S1751:S1794),"")</f>
        <v>1.4852288952139292</v>
      </c>
      <c r="C1032" s="2782">
        <f>IFERROR(AVERAGE('2018+'!N1751:N1794),"")</f>
        <v>1.0901314106039321</v>
      </c>
      <c r="D1032" s="2787">
        <f>'2018+'!U1794</f>
        <v>13.943786603575131</v>
      </c>
    </row>
    <row r="1033" spans="1:4" ht="15" x14ac:dyDescent="0.2">
      <c r="A1033" s="2781">
        <v>44893</v>
      </c>
      <c r="B1033" s="2788">
        <f>IFERROR(AVERAGE('2018+'!S1752:S1795),"")</f>
        <v>1.4852288952139292</v>
      </c>
      <c r="C1033" s="2782">
        <f>IFERROR(AVERAGE('2018+'!N1752:N1795),"")</f>
        <v>1.0901314106039321</v>
      </c>
      <c r="D1033" s="2787">
        <f>'2018+'!U1795</f>
        <v>13.611791684442389</v>
      </c>
    </row>
    <row r="1034" spans="1:4" ht="15" x14ac:dyDescent="0.2">
      <c r="A1034" s="2781">
        <v>44894</v>
      </c>
      <c r="B1034" s="2788">
        <f>IFERROR(AVERAGE('2018+'!S1753:S1796),"")</f>
        <v>1.4940589468690069</v>
      </c>
      <c r="C1034" s="2782">
        <f>IFERROR(AVERAGE('2018+'!N1753:N1796),"")</f>
        <v>1.0894417895581447</v>
      </c>
      <c r="D1034" s="2787">
        <f>'2018+'!U1796</f>
        <v>14.359129977669951</v>
      </c>
    </row>
    <row r="1035" spans="1:4" ht="15" x14ac:dyDescent="0.2">
      <c r="A1035" s="2781">
        <v>44895</v>
      </c>
      <c r="B1035" s="2788">
        <f>IFERROR(AVERAGE('2018+'!S1754:S1797),"")</f>
        <v>1.4940589468690069</v>
      </c>
      <c r="C1035" s="2782">
        <f>IFERROR(AVERAGE('2018+'!N1754:N1797),"")</f>
        <v>1.0894417895581447</v>
      </c>
      <c r="D1035" s="2787">
        <f>'2018+'!U1797</f>
        <v>14.017245930582572</v>
      </c>
    </row>
    <row r="1036" spans="1:4" ht="15" x14ac:dyDescent="0.2">
      <c r="A1036" s="2781">
        <v>44896</v>
      </c>
      <c r="B1036" s="2788">
        <f>IFERROR(AVERAGE('2018+'!S1755:S1798),"")</f>
        <v>1.4879323759415215</v>
      </c>
      <c r="C1036" s="2782">
        <f>IFERROR(AVERAGE('2018+'!N1755:N1798),"")</f>
        <v>1.089935861293335</v>
      </c>
      <c r="D1036" s="2787">
        <f>'2018+'!U1798</f>
        <v>14.70731150366394</v>
      </c>
    </row>
    <row r="1037" spans="1:4" ht="15" x14ac:dyDescent="0.2">
      <c r="A1037" s="2781">
        <v>44897</v>
      </c>
      <c r="B1037" s="2788">
        <f>IFERROR(AVERAGE('2018+'!S1756:S1799),"")</f>
        <v>1.4879323759415215</v>
      </c>
      <c r="C1037" s="2782">
        <f>IFERROR(AVERAGE('2018+'!N1756:N1799),"")</f>
        <v>1.089935861293335</v>
      </c>
      <c r="D1037" s="2787">
        <f>'2018+'!U1799</f>
        <v>14.357137420243369</v>
      </c>
    </row>
    <row r="1038" spans="1:4" ht="15" x14ac:dyDescent="0.2">
      <c r="A1038" s="2781">
        <v>44898</v>
      </c>
      <c r="B1038" s="2788">
        <f>IFERROR(AVERAGE('2018+'!S1757:S1800),"")</f>
        <v>1.4879323759415215</v>
      </c>
      <c r="C1038" s="2782">
        <f>IFERROR(AVERAGE('2018+'!N1757:N1800),"")</f>
        <v>1.089935861293335</v>
      </c>
      <c r="D1038" s="2787">
        <f>'2018+'!U1800</f>
        <v>14.015300814999479</v>
      </c>
    </row>
    <row r="1039" spans="1:4" ht="15" x14ac:dyDescent="0.2">
      <c r="A1039" s="2781">
        <v>44899</v>
      </c>
      <c r="B1039" s="2788">
        <f>IFERROR(AVERAGE('2018+'!S1758:S1801),"")</f>
        <v>1.4879323759415215</v>
      </c>
      <c r="C1039" s="2782">
        <f>IFERROR(AVERAGE('2018+'!N1758:N1801),"")</f>
        <v>1.089935861293335</v>
      </c>
      <c r="D1039" s="2787">
        <f>'2018+'!U1801</f>
        <v>13.68160317654711</v>
      </c>
    </row>
    <row r="1040" spans="1:4" ht="15" x14ac:dyDescent="0.2">
      <c r="A1040" s="2781">
        <v>44900</v>
      </c>
      <c r="B1040" s="2788">
        <f>IFERROR(AVERAGE('2018+'!S1759:S1802),"")</f>
        <v>1.4879323759415215</v>
      </c>
      <c r="C1040" s="2782">
        <f>IFERROR(AVERAGE('2018+'!N1759:N1802),"")</f>
        <v>1.089935861293335</v>
      </c>
      <c r="D1040" s="2787">
        <f>'2018+'!U1802</f>
        <v>13.355850719962655</v>
      </c>
    </row>
    <row r="1041" spans="1:4" ht="15" x14ac:dyDescent="0.2">
      <c r="A1041" s="2781">
        <v>44901</v>
      </c>
      <c r="B1041" s="2788">
        <f>IFERROR(AVERAGE('2018+'!S1760:S1803),"")</f>
        <v>1.4879323759415215</v>
      </c>
      <c r="C1041" s="2782">
        <f>IFERROR(AVERAGE('2018+'!N1760:N1803),"")</f>
        <v>1.089935861293335</v>
      </c>
      <c r="D1041" s="2787">
        <f>'2018+'!U1803</f>
        <v>13.037854274249259</v>
      </c>
    </row>
    <row r="1042" spans="1:4" ht="15" x14ac:dyDescent="0.2">
      <c r="A1042" s="2781">
        <v>44902</v>
      </c>
      <c r="B1042" s="2788">
        <f>IFERROR(AVERAGE('2018+'!S1761:S1804),"")</f>
        <v>1.48834277318449</v>
      </c>
      <c r="C1042" s="2782">
        <f>IFERROR(AVERAGE('2018+'!N1761:N1804),"")</f>
        <v>1.0898227765943824</v>
      </c>
      <c r="D1042" s="2787">
        <f>'2018+'!U1804</f>
        <v>14.132191077243325</v>
      </c>
    </row>
    <row r="1043" spans="1:4" ht="15" x14ac:dyDescent="0.2">
      <c r="A1043" s="2781">
        <v>44903</v>
      </c>
      <c r="B1043" s="2788">
        <f>IFERROR(AVERAGE('2018+'!S1762:S1805),"")</f>
        <v>1.48834277318449</v>
      </c>
      <c r="C1043" s="2782">
        <f>IFERROR(AVERAGE('2018+'!N1762:N1805),"")</f>
        <v>1.0898227765943824</v>
      </c>
      <c r="D1043" s="2787">
        <f>'2018+'!U1805</f>
        <v>13.795710337308961</v>
      </c>
    </row>
    <row r="1044" spans="1:4" ht="15" x14ac:dyDescent="0.2">
      <c r="A1044" s="2781">
        <v>44904</v>
      </c>
      <c r="B1044" s="2788">
        <f>IFERROR(AVERAGE('2018+'!S1763:S1806),"")</f>
        <v>1.48834277318449</v>
      </c>
      <c r="C1044" s="2782">
        <f>IFERROR(AVERAGE('2018+'!N1763:N1806),"")</f>
        <v>1.0898227765943824</v>
      </c>
      <c r="D1044" s="2787">
        <f>'2018+'!U1806</f>
        <v>13.46724104356351</v>
      </c>
    </row>
    <row r="1045" spans="1:4" ht="15" x14ac:dyDescent="0.2">
      <c r="A1045" s="2781">
        <v>44905</v>
      </c>
      <c r="B1045" s="2788">
        <f>IFERROR(AVERAGE('2018+'!S1764:S1807),"")</f>
        <v>1.48834277318449</v>
      </c>
      <c r="C1045" s="2782">
        <f>IFERROR(AVERAGE('2018+'!N1764:N1807),"")</f>
        <v>1.0898227765943824</v>
      </c>
      <c r="D1045" s="2787">
        <f>'2018+'!U1807</f>
        <v>13.146592447288189</v>
      </c>
    </row>
    <row r="1046" spans="1:4" ht="15" x14ac:dyDescent="0.2">
      <c r="A1046" s="2781">
        <v>44906</v>
      </c>
      <c r="B1046" s="2788">
        <f>IFERROR(AVERAGE('2018+'!S1765:S1808),"")</f>
        <v>1.4884093777928773</v>
      </c>
      <c r="C1046" s="2782">
        <f>IFERROR(AVERAGE('2018+'!N1765:N1808),"")</f>
        <v>1.0888091318996176</v>
      </c>
      <c r="D1046" s="2787">
        <f>'2018+'!U1808</f>
        <v>13.690721198543232</v>
      </c>
    </row>
    <row r="1047" spans="1:4" ht="15" x14ac:dyDescent="0.2">
      <c r="A1047" s="2781">
        <v>44907</v>
      </c>
      <c r="B1047" s="2788">
        <f>IFERROR(AVERAGE('2018+'!S1766:S1809),"")</f>
        <v>1.4884093777928773</v>
      </c>
      <c r="C1047" s="2782">
        <f>IFERROR(AVERAGE('2018+'!N1766:N1809),"")</f>
        <v>1.0888091318996176</v>
      </c>
      <c r="D1047" s="2787">
        <f>'2018+'!U1809</f>
        <v>13.364751646196964</v>
      </c>
    </row>
    <row r="1048" spans="1:4" ht="15" x14ac:dyDescent="0.2">
      <c r="A1048" s="2781">
        <v>44908</v>
      </c>
      <c r="B1048" s="2788">
        <f>IFERROR(AVERAGE('2018+'!S1767:S1810),"")</f>
        <v>1.4884093777928773</v>
      </c>
      <c r="C1048" s="2782">
        <f>IFERROR(AVERAGE('2018+'!N1767:N1810),"")</f>
        <v>1.0888091318996176</v>
      </c>
      <c r="D1048" s="2787">
        <f>'2018+'!U1810</f>
        <v>13.046543273668465</v>
      </c>
    </row>
    <row r="1049" spans="1:4" ht="15" x14ac:dyDescent="0.2">
      <c r="A1049" s="2781">
        <v>44909</v>
      </c>
      <c r="B1049" s="2788">
        <f>IFERROR(AVERAGE('2018+'!S1768:S1811),"")</f>
        <v>1.4884093777928773</v>
      </c>
      <c r="C1049" s="2782">
        <f>IFERROR(AVERAGE('2018+'!N1768:N1811),"")</f>
        <v>1.0888091318996176</v>
      </c>
      <c r="D1049" s="2787">
        <f>'2018+'!U1811</f>
        <v>12.735911290962074</v>
      </c>
    </row>
    <row r="1050" spans="1:4" ht="15" x14ac:dyDescent="0.2">
      <c r="A1050" s="2781">
        <v>44910</v>
      </c>
      <c r="B1050" s="2788">
        <f>IFERROR(AVERAGE('2018+'!S1769:S1812),"")</f>
        <v>1.4884093777928773</v>
      </c>
      <c r="C1050" s="2782">
        <f>IFERROR(AVERAGE('2018+'!N1769:N1812),"")</f>
        <v>1.0888091318996176</v>
      </c>
      <c r="D1050" s="2787">
        <f>'2018+'!U1812</f>
        <v>12.43267530784393</v>
      </c>
    </row>
    <row r="1051" spans="1:4" ht="15" x14ac:dyDescent="0.2">
      <c r="A1051" s="2781">
        <v>44911</v>
      </c>
      <c r="B1051" s="2788">
        <f>IFERROR(AVERAGE('2018+'!S1770:S1813),"")</f>
        <v>1.4884093777928773</v>
      </c>
      <c r="C1051" s="2782">
        <f>IFERROR(AVERAGE('2018+'!N1770:N1813),"")</f>
        <v>1.0888091318996176</v>
      </c>
      <c r="D1051" s="2787">
        <f>'2018+'!U1813</f>
        <v>12.13665922908574</v>
      </c>
    </row>
    <row r="1052" spans="1:4" ht="15" x14ac:dyDescent="0.2">
      <c r="A1052" s="2781">
        <v>44912</v>
      </c>
      <c r="B1052" s="2788">
        <f>IFERROR(AVERAGE('2018+'!S1771:S1814),"")</f>
        <v>1.4884093777928773</v>
      </c>
      <c r="C1052" s="2782">
        <f>IFERROR(AVERAGE('2018+'!N1771:N1814),"")</f>
        <v>1.0888091318996176</v>
      </c>
      <c r="D1052" s="2787">
        <f>'2018+'!U1814</f>
        <v>11.847691152202747</v>
      </c>
    </row>
    <row r="1053" spans="1:4" ht="15" x14ac:dyDescent="0.2">
      <c r="A1053" s="2781">
        <v>44913</v>
      </c>
      <c r="B1053" s="2788">
        <f>IFERROR(AVERAGE('2018+'!S1772:S1815),"")</f>
        <v>1.4884093777928773</v>
      </c>
      <c r="C1053" s="2782">
        <f>IFERROR(AVERAGE('2018+'!N1772:N1815),"")</f>
        <v>1.0888091318996176</v>
      </c>
      <c r="D1053" s="2787">
        <f>'2018+'!U1815</f>
        <v>11.565603267626491</v>
      </c>
    </row>
    <row r="1054" spans="1:4" ht="15" x14ac:dyDescent="0.2">
      <c r="A1054" s="2781">
        <v>44914</v>
      </c>
      <c r="B1054" s="2788">
        <f>IFERROR(AVERAGE('2018+'!S1773:S1816),"")</f>
        <v>1.4887196810354151</v>
      </c>
      <c r="C1054" s="2782">
        <f>IFERROR(AVERAGE('2018+'!N1773:N1816),"")</f>
        <v>1.0889009781673034</v>
      </c>
      <c r="D1054" s="2787">
        <f>'2018+'!U1816</f>
        <v>12.33785080887348</v>
      </c>
    </row>
    <row r="1055" spans="1:4" ht="15" x14ac:dyDescent="0.2">
      <c r="A1055" s="2781">
        <v>44915</v>
      </c>
      <c r="B1055" s="2788">
        <f>IFERROR(AVERAGE('2018+'!S1774:S1817),"")</f>
        <v>1.4887196810354151</v>
      </c>
      <c r="C1055" s="2782">
        <f>IFERROR(AVERAGE('2018+'!N1774:N1817),"")</f>
        <v>1.0889009781673034</v>
      </c>
      <c r="D1055" s="2787">
        <f>'2018+'!U1817</f>
        <v>12.044092456281254</v>
      </c>
    </row>
    <row r="1056" spans="1:4" ht="15" x14ac:dyDescent="0.2">
      <c r="A1056" s="2781">
        <v>44916</v>
      </c>
      <c r="B1056" s="2788">
        <f>IFERROR(AVERAGE('2018+'!S1775:S1818),"")</f>
        <v>1.4948330076610261</v>
      </c>
      <c r="C1056" s="2782">
        <f>IFERROR(AVERAGE('2018+'!N1775:N1818),"")</f>
        <v>1.0888522011479591</v>
      </c>
      <c r="D1056" s="2787">
        <f>'2018+'!U1818</f>
        <v>13.328756921607891</v>
      </c>
    </row>
    <row r="1057" spans="1:4" ht="15" x14ac:dyDescent="0.2">
      <c r="A1057" s="2781">
        <v>44917</v>
      </c>
      <c r="B1057" s="2788">
        <f>IFERROR(AVERAGE('2018+'!S1776:S1819),"")</f>
        <v>1.4992091915249257</v>
      </c>
      <c r="C1057" s="2782">
        <f>IFERROR(AVERAGE('2018+'!N1776:N1819),"")</f>
        <v>1.0879167613181822</v>
      </c>
      <c r="D1057" s="2787">
        <f>'2018+'!U1819</f>
        <v>13.011405566331513</v>
      </c>
    </row>
    <row r="1058" spans="1:4" ht="15" x14ac:dyDescent="0.2">
      <c r="A1058" s="2781">
        <v>44918</v>
      </c>
      <c r="B1058" s="2788">
        <f>IFERROR(AVERAGE('2018+'!S1777:S1820),"")</f>
        <v>1.4992091915249257</v>
      </c>
      <c r="C1058" s="2782">
        <f>IFERROR(AVERAGE('2018+'!N1777:N1820),"")</f>
        <v>1.0879167613181822</v>
      </c>
      <c r="D1058" s="2787">
        <f>'2018+'!U1820</f>
        <v>12.701610195704573</v>
      </c>
    </row>
    <row r="1059" spans="1:4" ht="15" x14ac:dyDescent="0.2">
      <c r="A1059" s="2781">
        <v>44919</v>
      </c>
      <c r="B1059" s="2788">
        <f>IFERROR(AVERAGE('2018+'!S1778:S1821),"")</f>
        <v>1.5027183137636642</v>
      </c>
      <c r="C1059" s="2782">
        <f>IFERROR(AVERAGE('2018+'!N1778:N1821),"")</f>
        <v>1.0870055917244339</v>
      </c>
      <c r="D1059" s="2787">
        <f>'2018+'!U1821</f>
        <v>13.970619476759225</v>
      </c>
    </row>
    <row r="1060" spans="1:4" ht="15" x14ac:dyDescent="0.2">
      <c r="A1060" s="2781">
        <v>44920</v>
      </c>
      <c r="B1060" s="2788">
        <f>IFERROR(AVERAGE('2018+'!S1779:S1822),"")</f>
        <v>1.5027183137636642</v>
      </c>
      <c r="C1060" s="2782">
        <f>IFERROR(AVERAGE('2018+'!N1779:N1822),"")</f>
        <v>1.0870055917244339</v>
      </c>
      <c r="D1060" s="2787">
        <f>'2018+'!U1822</f>
        <v>13.637985679693529</v>
      </c>
    </row>
    <row r="1061" spans="1:4" ht="15" x14ac:dyDescent="0.2">
      <c r="A1061" s="2781">
        <v>44921</v>
      </c>
      <c r="B1061" s="2788">
        <f>IFERROR(AVERAGE('2018+'!S1780:S1823),"")</f>
        <v>1.5027183137636642</v>
      </c>
      <c r="C1061" s="2782">
        <f>IFERROR(AVERAGE('2018+'!N1780:N1823),"")</f>
        <v>1.0870055917244339</v>
      </c>
      <c r="D1061" s="2787">
        <f>'2018+'!U1823</f>
        <v>13.313271734938921</v>
      </c>
    </row>
    <row r="1062" spans="1:4" ht="15" x14ac:dyDescent="0.2">
      <c r="A1062" s="2781">
        <v>44922</v>
      </c>
      <c r="B1062" s="2788">
        <f>IFERROR(AVERAGE('2018+'!S1781:S1824),"")</f>
        <v>1.5007478704139106</v>
      </c>
      <c r="C1062" s="2782">
        <f>IFERROR(AVERAGE('2018+'!N1781:N1824),"")</f>
        <v>1.0856429245408712</v>
      </c>
      <c r="D1062" s="2787">
        <f>'2018+'!U1824</f>
        <v>14.92486050315466</v>
      </c>
    </row>
    <row r="1063" spans="1:4" ht="15" x14ac:dyDescent="0.2">
      <c r="A1063" s="2781">
        <v>44923</v>
      </c>
      <c r="B1063" s="2788">
        <f>IFERROR(AVERAGE('2018+'!S1782:S1825),"")</f>
        <v>1.5007478704139106</v>
      </c>
      <c r="C1063" s="2782">
        <f>IFERROR(AVERAGE('2018+'!N1782:N1825),"")</f>
        <v>1.0856429245408712</v>
      </c>
      <c r="D1063" s="2787">
        <f>'2018+'!U1825</f>
        <v>14.569506681650978</v>
      </c>
    </row>
    <row r="1064" spans="1:4" ht="15" x14ac:dyDescent="0.2">
      <c r="A1064" s="2781">
        <v>44924</v>
      </c>
      <c r="B1064" s="2788">
        <f>IFERROR(AVERAGE('2018+'!S1783:S1826),"")</f>
        <v>1.5111457735803464</v>
      </c>
      <c r="C1064" s="2782">
        <f>IFERROR(AVERAGE('2018+'!N1783:N1826),"")</f>
        <v>1.0859309724596033</v>
      </c>
      <c r="D1064" s="2787">
        <f>'2018+'!U1826</f>
        <v>15.817851760659288</v>
      </c>
    </row>
    <row r="1065" spans="1:4" ht="15" x14ac:dyDescent="0.2">
      <c r="A1065" s="2781">
        <v>44925</v>
      </c>
      <c r="B1065" s="2788">
        <f>IFERROR(AVERAGE('2018+'!S1784:S1827),"")</f>
        <v>1.5146512598705684</v>
      </c>
      <c r="C1065" s="2782">
        <f>IFERROR(AVERAGE('2018+'!N1784:N1827),"")</f>
        <v>1.0851366946878958</v>
      </c>
      <c r="D1065" s="2787">
        <f>'2018+'!U1827</f>
        <v>15.441236242548353</v>
      </c>
    </row>
    <row r="1066" spans="1:4" ht="15" x14ac:dyDescent="0.2">
      <c r="A1066" s="2781">
        <v>44926</v>
      </c>
      <c r="B1066" s="2788">
        <f>IFERROR(AVERAGE('2018+'!S1785:S1828),"")</f>
        <v>1.512042807580829</v>
      </c>
      <c r="C1066" s="2782">
        <f>IFERROR(AVERAGE('2018+'!N1785:N1828),"")</f>
        <v>1.0843363861712385</v>
      </c>
      <c r="D1066" s="2787">
        <f>'2018+'!U1828</f>
        <v>17.168825855821012</v>
      </c>
    </row>
    <row r="1067" spans="1:4" ht="15" x14ac:dyDescent="0.2">
      <c r="A1067" s="2781">
        <v>44927</v>
      </c>
      <c r="B1067" s="2788">
        <f>IFERROR(AVERAGE('2018+'!S1786:S1829),"")</f>
        <v>1.5116542568735654</v>
      </c>
      <c r="C1067" s="2782">
        <f>IFERROR(AVERAGE('2018+'!N1786:N1829),"")</f>
        <v>1.0835068575905498</v>
      </c>
      <c r="D1067" s="2787">
        <f>'2018+'!U1829</f>
        <v>16.760044287825274</v>
      </c>
    </row>
    <row r="1068" spans="1:4" ht="15" x14ac:dyDescent="0.2">
      <c r="A1068" s="2781">
        <v>44928</v>
      </c>
      <c r="B1068" s="2788">
        <f>IFERROR(AVERAGE('2018+'!S1787:S1830),"")</f>
        <v>1.5116542568735654</v>
      </c>
      <c r="C1068" s="2782">
        <f>IFERROR(AVERAGE('2018+'!N1787:N1830),"")</f>
        <v>1.0835068575905498</v>
      </c>
      <c r="D1068" s="2787">
        <f>'2018+'!U1830</f>
        <v>16.360995614305626</v>
      </c>
    </row>
    <row r="1069" spans="1:4" ht="15" x14ac:dyDescent="0.2">
      <c r="A1069" s="2781">
        <v>44929</v>
      </c>
      <c r="B1069" s="2788">
        <f>IFERROR(AVERAGE('2018+'!S1788:S1831),"")</f>
        <v>1.5000298607382996</v>
      </c>
      <c r="C1069" s="2782">
        <f>IFERROR(AVERAGE('2018+'!N1788:N1831),"")</f>
        <v>1.0820398294892988</v>
      </c>
      <c r="D1069" s="2787">
        <f>'2018+'!U1831</f>
        <v>17.185733813965015</v>
      </c>
    </row>
    <row r="1070" spans="1:4" ht="15" x14ac:dyDescent="0.2">
      <c r="A1070" s="2781">
        <v>44930</v>
      </c>
      <c r="B1070" s="2788">
        <f>IFERROR(AVERAGE('2018+'!S1789:S1832),"")</f>
        <v>1.5000298607382996</v>
      </c>
      <c r="C1070" s="2782">
        <f>IFERROR(AVERAGE('2018+'!N1789:N1832),"")</f>
        <v>1.0820398294892988</v>
      </c>
      <c r="D1070" s="2787">
        <f>'2018+'!U1832</f>
        <v>16.776549675537275</v>
      </c>
    </row>
    <row r="1071" spans="1:4" ht="15" x14ac:dyDescent="0.2">
      <c r="A1071" s="2781">
        <v>44931</v>
      </c>
      <c r="B1071" s="2788">
        <f>IFERROR(AVERAGE('2018+'!S1790:S1833),"")</f>
        <v>1.5056428515486586</v>
      </c>
      <c r="C1071" s="2782">
        <f>IFERROR(AVERAGE('2018+'!N1790:N1833),"")</f>
        <v>1.0820233490306039</v>
      </c>
      <c r="D1071" s="2787">
        <f>'2018+'!U1833</f>
        <v>18.091393730881627</v>
      </c>
    </row>
    <row r="1072" spans="1:4" ht="15" x14ac:dyDescent="0.2">
      <c r="A1072" s="2781">
        <v>44932</v>
      </c>
      <c r="B1072" s="2788">
        <f>IFERROR(AVERAGE('2018+'!S1791:S1834),"")</f>
        <v>1.5056428515486586</v>
      </c>
      <c r="C1072" s="2782">
        <f>IFERROR(AVERAGE('2018+'!N1791:N1834),"")</f>
        <v>1.0820233490306039</v>
      </c>
      <c r="D1072" s="2787">
        <f>'2018+'!U1834</f>
        <v>17.66064626109873</v>
      </c>
    </row>
    <row r="1073" spans="1:4" ht="15" x14ac:dyDescent="0.2">
      <c r="A1073" s="2781">
        <v>44933</v>
      </c>
      <c r="B1073" s="2788">
        <f>IFERROR(AVERAGE('2018+'!S1792:S1835),"")</f>
        <v>1.5052080345670789</v>
      </c>
      <c r="C1073" s="2782">
        <f>IFERROR(AVERAGE('2018+'!N1792:N1835),"")</f>
        <v>1.0807967202413251</v>
      </c>
      <c r="D1073" s="2787">
        <f>'2018+'!U1835</f>
        <v>19.263964207263047</v>
      </c>
    </row>
    <row r="1074" spans="1:4" ht="15" x14ac:dyDescent="0.2">
      <c r="A1074" s="2781">
        <v>44934</v>
      </c>
      <c r="B1074" s="2788">
        <f>IFERROR(AVERAGE('2018+'!S1793:S1836),"")</f>
        <v>1.5052080345670789</v>
      </c>
      <c r="C1074" s="2782">
        <f>IFERROR(AVERAGE('2018+'!N1793:N1836),"")</f>
        <v>1.0807967202413251</v>
      </c>
      <c r="D1074" s="2787">
        <f>'2018+'!U1836</f>
        <v>18.805298392804403</v>
      </c>
    </row>
    <row r="1075" spans="1:4" ht="15" x14ac:dyDescent="0.2">
      <c r="A1075" s="2781">
        <v>44935</v>
      </c>
      <c r="B1075" s="2788">
        <f>IFERROR(AVERAGE('2018+'!S1794:S1837),"")</f>
        <v>1.5106484404091085</v>
      </c>
      <c r="C1075" s="2782">
        <f>IFERROR(AVERAGE('2018+'!N1794:N1837),"")</f>
        <v>1.0809052380900097</v>
      </c>
      <c r="D1075" s="2787">
        <f>'2018+'!U1837</f>
        <v>18.357553192975725</v>
      </c>
    </row>
    <row r="1076" spans="1:4" ht="15" x14ac:dyDescent="0.2">
      <c r="A1076" s="2781">
        <v>44936</v>
      </c>
      <c r="B1076" s="2788">
        <f>IFERROR(AVERAGE('2018+'!S1795:S1838),"")</f>
        <v>1.5106484404091085</v>
      </c>
      <c r="C1076" s="2782">
        <f>IFERROR(AVERAGE('2018+'!N1795:N1838),"")</f>
        <v>1.0809052380900097</v>
      </c>
      <c r="D1076" s="2787">
        <f>'2018+'!U1838</f>
        <v>17.920468593142971</v>
      </c>
    </row>
    <row r="1077" spans="1:4" ht="15" x14ac:dyDescent="0.2">
      <c r="A1077" s="2781">
        <v>44937</v>
      </c>
      <c r="B1077" s="2788">
        <f>IFERROR(AVERAGE('2018+'!S1796:S1839),"")</f>
        <v>1.5131345907694969</v>
      </c>
      <c r="C1077" s="2782">
        <f>IFERROR(AVERAGE('2018+'!N1796:N1839),"")</f>
        <v>1.0810629062534316</v>
      </c>
      <c r="D1077" s="2787">
        <f>'2018+'!U1839</f>
        <v>19.112838388544329</v>
      </c>
    </row>
    <row r="1078" spans="1:4" ht="15" x14ac:dyDescent="0.2">
      <c r="A1078" s="2781">
        <v>44938</v>
      </c>
      <c r="B1078" s="2788">
        <f>IFERROR(AVERAGE('2018+'!S1797:S1840),"")</f>
        <v>1.5084888353083272</v>
      </c>
      <c r="C1078" s="2782">
        <f>IFERROR(AVERAGE('2018+'!N1797:N1840),"")</f>
        <v>1.0808958067232297</v>
      </c>
      <c r="D1078" s="2787">
        <f>'2018+'!U1840</f>
        <v>18.657770807864701</v>
      </c>
    </row>
    <row r="1079" spans="1:4" ht="15" x14ac:dyDescent="0.2">
      <c r="A1079" s="2781">
        <v>44939</v>
      </c>
      <c r="B1079" s="2788">
        <f>IFERROR(AVERAGE('2018+'!S1798:S1841),"")</f>
        <v>1.5084888353083272</v>
      </c>
      <c r="C1079" s="2782">
        <f>IFERROR(AVERAGE('2018+'!N1798:N1841),"")</f>
        <v>1.0808958067232297</v>
      </c>
      <c r="D1079" s="2787">
        <f>'2018+'!U1841</f>
        <v>18.213538169582208</v>
      </c>
    </row>
    <row r="1080" spans="1:4" ht="15" x14ac:dyDescent="0.2">
      <c r="A1080" s="2781">
        <v>44940</v>
      </c>
      <c r="B1080" s="2788">
        <f>IFERROR(AVERAGE('2018+'!S1799:S1842),"")</f>
        <v>1.515307349361799</v>
      </c>
      <c r="C1080" s="2782">
        <f>IFERROR(AVERAGE('2018+'!N1799:N1842),"")</f>
        <v>1.079730742396396</v>
      </c>
      <c r="D1080" s="2787">
        <f>'2018+'!U1842</f>
        <v>17.779882498877868</v>
      </c>
    </row>
    <row r="1081" spans="1:4" ht="15" x14ac:dyDescent="0.2">
      <c r="A1081" s="2781">
        <v>44941</v>
      </c>
      <c r="B1081" s="2788">
        <f>IFERROR(AVERAGE('2018+'!S1800:S1843),"")</f>
        <v>1.515307349361799</v>
      </c>
      <c r="C1081" s="2782">
        <f>IFERROR(AVERAGE('2018+'!N1800:N1843),"")</f>
        <v>1.079730742396396</v>
      </c>
      <c r="D1081" s="2787">
        <f>'2018+'!U1843</f>
        <v>17.356551963190299</v>
      </c>
    </row>
    <row r="1082" spans="1:4" ht="15" x14ac:dyDescent="0.2">
      <c r="A1082" s="2781">
        <v>44942</v>
      </c>
      <c r="B1082" s="2788">
        <f>IFERROR(AVERAGE('2018+'!S1801:S1844),"")</f>
        <v>1.515307349361799</v>
      </c>
      <c r="C1082" s="2782">
        <f>IFERROR(AVERAGE('2018+'!N1801:N1844),"")</f>
        <v>1.079730742396396</v>
      </c>
      <c r="D1082" s="2787">
        <f>'2018+'!U1844</f>
        <v>16.943300725971483</v>
      </c>
    </row>
    <row r="1083" spans="1:4" ht="15" x14ac:dyDescent="0.2">
      <c r="A1083" s="2781">
        <v>44943</v>
      </c>
      <c r="B1083" s="2788">
        <f>IFERROR(AVERAGE('2018+'!S1802:S1845),"")</f>
        <v>1.515307349361799</v>
      </c>
      <c r="C1083" s="2782">
        <f>IFERROR(AVERAGE('2018+'!N1802:N1845),"")</f>
        <v>1.079730742396396</v>
      </c>
      <c r="D1083" s="2787">
        <f>'2018+'!U1845</f>
        <v>16.539888803924544</v>
      </c>
    </row>
    <row r="1084" spans="1:4" ht="15" x14ac:dyDescent="0.2">
      <c r="A1084" s="2781">
        <v>44944</v>
      </c>
      <c r="B1084" s="2788">
        <f>IFERROR(AVERAGE('2018+'!S1803:S1846),"")</f>
        <v>1.515307349361799</v>
      </c>
      <c r="C1084" s="2782">
        <f>IFERROR(AVERAGE('2018+'!N1803:N1846),"")</f>
        <v>1.079730742396396</v>
      </c>
      <c r="D1084" s="2787">
        <f>'2018+'!U1846</f>
        <v>16.146081927640626</v>
      </c>
    </row>
    <row r="1085" spans="1:4" ht="15" x14ac:dyDescent="0.2">
      <c r="A1085" s="2781">
        <v>44945</v>
      </c>
      <c r="B1085" s="2788">
        <f>IFERROR(AVERAGE('2018+'!S1804:S1847),"")</f>
        <v>1.515307349361799</v>
      </c>
      <c r="C1085" s="2782">
        <f>IFERROR(AVERAGE('2018+'!N1804:N1847),"")</f>
        <v>1.079730742396396</v>
      </c>
      <c r="D1085" s="2787">
        <f>'2018+'!U1847</f>
        <v>15.761651405553945</v>
      </c>
    </row>
    <row r="1086" spans="1:4" ht="15" x14ac:dyDescent="0.2">
      <c r="A1086" s="2781">
        <v>44946</v>
      </c>
      <c r="B1086" s="2788">
        <f>IFERROR(AVERAGE('2018+'!S1805:S1848),"")</f>
        <v>1.5173482772258589</v>
      </c>
      <c r="C1086" s="2782">
        <f>IFERROR(AVERAGE('2018+'!N1805:N1848),"")</f>
        <v>1.0789263694409859</v>
      </c>
      <c r="D1086" s="2787">
        <f>'2018+'!U1848</f>
        <v>15.386373991135994</v>
      </c>
    </row>
    <row r="1087" spans="1:4" ht="15" x14ac:dyDescent="0.2">
      <c r="A1087" s="2781">
        <v>44947</v>
      </c>
      <c r="B1087" s="2788">
        <f>IFERROR(AVERAGE('2018+'!S1806:S1849),"")</f>
        <v>1.5137096050008969</v>
      </c>
      <c r="C1087" s="2782">
        <f>IFERROR(AVERAGE('2018+'!N1806:N1849),"")</f>
        <v>1.0780573684060089</v>
      </c>
      <c r="D1087" s="2787">
        <f>'2018+'!U1849</f>
        <v>16.162888896108946</v>
      </c>
    </row>
    <row r="1088" spans="1:4" ht="15" x14ac:dyDescent="0.2">
      <c r="A1088" s="2781">
        <v>44948</v>
      </c>
      <c r="B1088" s="2788">
        <f>IFERROR(AVERAGE('2018+'!S1807:S1850),"")</f>
        <v>1.5137096050008969</v>
      </c>
      <c r="C1088" s="2782">
        <f>IFERROR(AVERAGE('2018+'!N1807:N1850),"")</f>
        <v>1.0780573684060089</v>
      </c>
      <c r="D1088" s="2787">
        <f>'2018+'!U1850</f>
        <v>15.778058208106351</v>
      </c>
    </row>
    <row r="1089" spans="1:4" ht="15" x14ac:dyDescent="0.2">
      <c r="A1089" s="2781">
        <v>44949</v>
      </c>
      <c r="B1089" s="2788">
        <f>IFERROR(AVERAGE('2018+'!S1808:S1851),"")</f>
        <v>1.5173170246628325</v>
      </c>
      <c r="C1089" s="2782">
        <f>IFERROR(AVERAGE('2018+'!N1808:N1851),"")</f>
        <v>1.0773614507696858</v>
      </c>
      <c r="D1089" s="2787">
        <f>'2018+'!U1851</f>
        <v>16.47381872696096</v>
      </c>
    </row>
    <row r="1090" spans="1:4" ht="15" x14ac:dyDescent="0.2">
      <c r="A1090" s="2781">
        <v>44950</v>
      </c>
      <c r="B1090" s="2788">
        <f>IFERROR(AVERAGE('2018+'!S1809:S1852),"")</f>
        <v>1.5196593906269413</v>
      </c>
      <c r="C1090" s="2782">
        <f>IFERROR(AVERAGE('2018+'!N1809:N1852),"")</f>
        <v>1.0774211220369565</v>
      </c>
      <c r="D1090" s="2787">
        <f>'2018+'!U1852</f>
        <v>16.081584947747604</v>
      </c>
    </row>
    <row r="1091" spans="1:4" ht="15" x14ac:dyDescent="0.2">
      <c r="A1091" s="2781">
        <v>44951</v>
      </c>
      <c r="B1091" s="2788">
        <f>IFERROR(AVERAGE('2018+'!S1810:S1853),"")</f>
        <v>1.5157923417404104</v>
      </c>
      <c r="C1091" s="2782">
        <f>IFERROR(AVERAGE('2018+'!N1810:N1853),"")</f>
        <v>1.0761109817072581</v>
      </c>
      <c r="D1091" s="2787">
        <f>'2018+'!U1853</f>
        <v>17.174880544229804</v>
      </c>
    </row>
    <row r="1092" spans="1:4" ht="15" x14ac:dyDescent="0.2">
      <c r="A1092" s="2781">
        <v>44952</v>
      </c>
      <c r="B1092" s="2788">
        <f>IFERROR(AVERAGE('2018+'!S1811:S1854),"")</f>
        <v>1.518692244290639</v>
      </c>
      <c r="C1092" s="2782">
        <f>IFERROR(AVERAGE('2018+'!N1811:N1854),"")</f>
        <v>1.0759310343585418</v>
      </c>
      <c r="D1092" s="2787">
        <f>'2018+'!U1854</f>
        <v>17.670716721748143</v>
      </c>
    </row>
    <row r="1093" spans="1:4" ht="15" x14ac:dyDescent="0.2">
      <c r="A1093" s="2781">
        <v>44953</v>
      </c>
      <c r="B1093" s="2788">
        <f>IFERROR(AVERAGE('2018+'!S1812:S1855),"")</f>
        <v>1.518692244290639</v>
      </c>
      <c r="C1093" s="2782">
        <f>IFERROR(AVERAGE('2018+'!N1812:N1855),"")</f>
        <v>1.0759310343585418</v>
      </c>
      <c r="D1093" s="2787">
        <f>'2018+'!U1855</f>
        <v>17.249985371230331</v>
      </c>
    </row>
    <row r="1094" spans="1:4" ht="15" x14ac:dyDescent="0.2">
      <c r="A1094" s="2781">
        <v>44954</v>
      </c>
      <c r="B1094" s="2788">
        <f>IFERROR(AVERAGE('2018+'!S1813:S1856),"")</f>
        <v>1.5109712745273782</v>
      </c>
      <c r="C1094" s="2782">
        <f>IFERROR(AVERAGE('2018+'!N1813:N1856),"")</f>
        <v>1.0751821452647006</v>
      </c>
      <c r="D1094" s="2787">
        <f>'2018+'!U1856</f>
        <v>17.886890481439131</v>
      </c>
    </row>
    <row r="1095" spans="1:4" ht="15" x14ac:dyDescent="0.2">
      <c r="A1095" s="2781">
        <v>44955</v>
      </c>
      <c r="B1095" s="2788">
        <f>IFERROR(AVERAGE('2018+'!S1814:S1857),"")</f>
        <v>1.5109712745273782</v>
      </c>
      <c r="C1095" s="2782">
        <f>IFERROR(AVERAGE('2018+'!N1814:N1857),"")</f>
        <v>1.0751821452647006</v>
      </c>
      <c r="D1095" s="2787">
        <f>'2018+'!U1857</f>
        <v>17.46101213664296</v>
      </c>
    </row>
    <row r="1096" spans="1:4" ht="15" x14ac:dyDescent="0.2">
      <c r="A1096" s="2781">
        <v>44956</v>
      </c>
      <c r="B1096" s="2788">
        <f>IFERROR(AVERAGE('2018+'!S1815:S1858),"")</f>
        <v>1.5109712745273782</v>
      </c>
      <c r="C1096" s="2782">
        <f>IFERROR(AVERAGE('2018+'!N1815:N1858),"")</f>
        <v>1.0751821452647006</v>
      </c>
      <c r="D1096" s="2787">
        <f>'2018+'!U1858</f>
        <v>17.045273752437176</v>
      </c>
    </row>
    <row r="1097" spans="1:4" ht="15" x14ac:dyDescent="0.2">
      <c r="A1097" s="2781">
        <v>44957</v>
      </c>
      <c r="B1097" s="2788">
        <f>IFERROR(AVERAGE('2018+'!S1816:S1859),"")</f>
        <v>1.5138100059596427</v>
      </c>
      <c r="C1097" s="2782">
        <f>IFERROR(AVERAGE('2018+'!N1816:N1859),"")</f>
        <v>1.07503337790066</v>
      </c>
      <c r="D1097" s="2787">
        <f>'2018+'!U1859</f>
        <v>17.615624377379149</v>
      </c>
    </row>
    <row r="1098" spans="1:4" ht="15" x14ac:dyDescent="0.2">
      <c r="A1098" s="2781">
        <v>44958</v>
      </c>
      <c r="B1098" s="2788">
        <f>IFERROR(AVERAGE('2018+'!S1817:S1860),"")</f>
        <v>1.5152137648110586</v>
      </c>
      <c r="C1098" s="2782">
        <f>IFERROR(AVERAGE('2018+'!N1817:N1860),"")</f>
        <v>1.0740292711175561</v>
      </c>
      <c r="D1098" s="2787">
        <f>'2018+'!U1860</f>
        <v>17.196204749346311</v>
      </c>
    </row>
    <row r="1099" spans="1:4" ht="15" x14ac:dyDescent="0.2">
      <c r="A1099" s="2781">
        <v>44959</v>
      </c>
      <c r="B1099" s="2788">
        <f>IFERROR(AVERAGE('2018+'!S1818:S1861),"")</f>
        <v>1.508560349765842</v>
      </c>
      <c r="C1099" s="2782">
        <f>IFERROR(AVERAGE('2018+'!N1818:N1861),"")</f>
        <v>1.0730908170049518</v>
      </c>
      <c r="D1099" s="2787">
        <f>'2018+'!U1861</f>
        <v>17.667723683885683</v>
      </c>
    </row>
    <row r="1100" spans="1:4" ht="15" x14ac:dyDescent="0.2">
      <c r="A1100" s="2781">
        <v>44960</v>
      </c>
      <c r="B1100" s="2788">
        <f>IFERROR(AVERAGE('2018+'!S1819:S1862),"")</f>
        <v>1.4967406477287486</v>
      </c>
      <c r="C1100" s="2782">
        <f>IFERROR(AVERAGE('2018+'!N1819:N1862),"")</f>
        <v>1.0723496737464686</v>
      </c>
      <c r="D1100" s="2787">
        <f>'2018+'!U1862</f>
        <v>18.104206453316976</v>
      </c>
    </row>
    <row r="1101" spans="1:4" ht="15" x14ac:dyDescent="0.2">
      <c r="A1101" s="2781">
        <v>44961</v>
      </c>
      <c r="B1101" s="2788">
        <f>IFERROR(AVERAGE('2018+'!S1820:S1863),"")</f>
        <v>1.4967406477287486</v>
      </c>
      <c r="C1101" s="2782">
        <f>IFERROR(AVERAGE('2018+'!N1820:N1863),"")</f>
        <v>1.0723496737464686</v>
      </c>
      <c r="D1101" s="2787">
        <f>'2018+'!U1863</f>
        <v>17.673153918714192</v>
      </c>
    </row>
    <row r="1102" spans="1:4" ht="15" x14ac:dyDescent="0.2">
      <c r="A1102" s="2781">
        <v>44962</v>
      </c>
      <c r="B1102" s="2788">
        <f>IFERROR(AVERAGE('2018+'!S1821:S1864),"")</f>
        <v>1.4969323743329399</v>
      </c>
      <c r="C1102" s="2782">
        <f>IFERROR(AVERAGE('2018+'!N1821:N1864),"")</f>
        <v>1.0725368958854413</v>
      </c>
      <c r="D1102" s="2787">
        <f>'2018+'!U1864</f>
        <v>18.776174063506712</v>
      </c>
    </row>
    <row r="1103" spans="1:4" ht="15" x14ac:dyDescent="0.2">
      <c r="A1103" s="2781">
        <v>44963</v>
      </c>
      <c r="B1103" s="2788">
        <f>IFERROR(AVERAGE('2018+'!S1822:S1865),"")</f>
        <v>1.4977879314787501</v>
      </c>
      <c r="C1103" s="2782">
        <f>IFERROR(AVERAGE('2018+'!N1822:N1865),"")</f>
        <v>1.072851910326591</v>
      </c>
      <c r="D1103" s="2787">
        <f>'2018+'!U1865</f>
        <v>19.376741347708933</v>
      </c>
    </row>
    <row r="1104" spans="1:4" ht="15" x14ac:dyDescent="0.2">
      <c r="A1104" s="2781">
        <v>44964</v>
      </c>
      <c r="B1104" s="2788">
        <f>IFERROR(AVERAGE('2018+'!S1823:S1866),"")</f>
        <v>1.5015872947626105</v>
      </c>
      <c r="C1104" s="2782">
        <f>IFERROR(AVERAGE('2018+'!N1823:N1866),"")</f>
        <v>1.0723804668788846</v>
      </c>
      <c r="D1104" s="2787">
        <f>'2018+'!U1866</f>
        <v>20.153485601334911</v>
      </c>
    </row>
    <row r="1105" spans="1:4" ht="15" x14ac:dyDescent="0.2">
      <c r="A1105" s="2781">
        <v>44965</v>
      </c>
      <c r="B1105" s="2788">
        <f>IFERROR(AVERAGE('2018+'!S1824:S1867),"")</f>
        <v>1.5015872947626105</v>
      </c>
      <c r="C1105" s="2782">
        <f>IFERROR(AVERAGE('2018+'!N1824:N1867),"")</f>
        <v>1.0723804668788846</v>
      </c>
      <c r="D1105" s="2787">
        <f>'2018+'!U1867</f>
        <v>19.673640706065033</v>
      </c>
    </row>
    <row r="1106" spans="1:4" ht="15" x14ac:dyDescent="0.2">
      <c r="A1106" s="2781">
        <v>44966</v>
      </c>
      <c r="B1106" s="2788">
        <f>IFERROR(AVERAGE('2018+'!S1825:S1868),"")</f>
        <v>1.5052524964754794</v>
      </c>
      <c r="C1106" s="2782">
        <f>IFERROR(AVERAGE('2018+'!N1825:N1868),"")</f>
        <v>1.0710558736765348</v>
      </c>
      <c r="D1106" s="2787">
        <f>'2018+'!U1868</f>
        <v>20.157601641634912</v>
      </c>
    </row>
    <row r="1107" spans="1:4" ht="15" x14ac:dyDescent="0.2">
      <c r="A1107" s="2781">
        <v>44967</v>
      </c>
      <c r="B1107" s="2788">
        <f>IFERROR(AVERAGE('2018+'!S1826:S1869),"")</f>
        <v>1.5059960411326248</v>
      </c>
      <c r="C1107" s="2782">
        <f>IFERROR(AVERAGE('2018+'!N1826:N1869),"")</f>
        <v>1.0696415051216273</v>
      </c>
      <c r="D1107" s="2787">
        <f>'2018+'!U1869</f>
        <v>20.60623017397694</v>
      </c>
    </row>
    <row r="1108" spans="1:4" ht="15" x14ac:dyDescent="0.2">
      <c r="A1108" s="2781">
        <v>44968</v>
      </c>
      <c r="B1108" s="2788">
        <f>IFERROR(AVERAGE('2018+'!S1827:S1870),"")</f>
        <v>1.4976226868671902</v>
      </c>
      <c r="C1108" s="2782">
        <f>IFERROR(AVERAGE('2018+'!N1827:N1870),"")</f>
        <v>1.0685124974438369</v>
      </c>
      <c r="D1108" s="2787">
        <f>'2018+'!U1870</f>
        <v>20.115605646025109</v>
      </c>
    </row>
    <row r="1109" spans="1:4" ht="15" x14ac:dyDescent="0.2">
      <c r="A1109" s="2781">
        <v>44969</v>
      </c>
      <c r="B1109" s="2788">
        <f>IFERROR(AVERAGE('2018+'!S1828:S1871),"")</f>
        <v>1.4983598037150616</v>
      </c>
      <c r="C1109" s="2782">
        <f>IFERROR(AVERAGE('2018+'!N1828:N1871),"")</f>
        <v>1.0687045057861471</v>
      </c>
      <c r="D1109" s="2787">
        <f>'2018+'!U1871</f>
        <v>20.684281702072131</v>
      </c>
    </row>
    <row r="1110" spans="1:4" ht="15" x14ac:dyDescent="0.2">
      <c r="A1110" s="2781">
        <v>44970</v>
      </c>
      <c r="B1110" s="2788">
        <f>IFERROR(AVERAGE('2018+'!S1829:S1872),"")</f>
        <v>1.5080022080943078</v>
      </c>
      <c r="C1110" s="2782">
        <f>IFERROR(AVERAGE('2018+'!N1829:N1872),"")</f>
        <v>1.0684852467307415</v>
      </c>
      <c r="D1110" s="2787">
        <f>'2018+'!U1872</f>
        <v>21.215608328213271</v>
      </c>
    </row>
    <row r="1111" spans="1:4" ht="15" x14ac:dyDescent="0.2">
      <c r="A1111" s="2781">
        <v>44971</v>
      </c>
      <c r="B1111" s="2788">
        <f>IFERROR(AVERAGE('2018+'!S1830:S1873),"")</f>
        <v>1.507077622165117</v>
      </c>
      <c r="C1111" s="2782">
        <f>IFERROR(AVERAGE('2018+'!N1830:N1873),"")</f>
        <v>1.0682799767016609</v>
      </c>
      <c r="D1111" s="2787">
        <f>'2018+'!U1873</f>
        <v>22.424760510874862</v>
      </c>
    </row>
    <row r="1112" spans="1:4" ht="15" x14ac:dyDescent="0.2">
      <c r="A1112" s="2781">
        <v>44972</v>
      </c>
      <c r="B1112" s="2788">
        <f>IFERROR(AVERAGE('2018+'!S1831:S1874),"")</f>
        <v>1.507077622165117</v>
      </c>
      <c r="C1112" s="2782">
        <f>IFERROR(AVERAGE('2018+'!N1831:N1874),"")</f>
        <v>1.0682799767016609</v>
      </c>
      <c r="D1112" s="2787">
        <f>'2018+'!U1874</f>
        <v>21.890837641568318</v>
      </c>
    </row>
    <row r="1113" spans="1:4" ht="15" x14ac:dyDescent="0.2">
      <c r="A1113" s="2781">
        <v>44973</v>
      </c>
      <c r="B1113" s="2788">
        <f>IFERROR(AVERAGE('2018+'!S1832:S1875),"")</f>
        <v>1.5119538298945856</v>
      </c>
      <c r="C1113" s="2782">
        <f>IFERROR(AVERAGE('2018+'!N1832:N1875),"")</f>
        <v>1.0678223003537302</v>
      </c>
      <c r="D1113" s="2787">
        <f>'2018+'!U1875</f>
        <v>22.417246269150024</v>
      </c>
    </row>
    <row r="1114" spans="1:4" ht="15" x14ac:dyDescent="0.2">
      <c r="A1114" s="2781">
        <v>44974</v>
      </c>
      <c r="B1114" s="2788">
        <f>IFERROR(AVERAGE('2018+'!S1833:S1876),"")</f>
        <v>1.5119538298945856</v>
      </c>
      <c r="C1114" s="2782">
        <f>IFERROR(AVERAGE('2018+'!N1833:N1876),"")</f>
        <v>1.0678223003537302</v>
      </c>
      <c r="D1114" s="2787">
        <f>'2018+'!U1876</f>
        <v>21.883502310360736</v>
      </c>
    </row>
    <row r="1115" spans="1:4" ht="15" x14ac:dyDescent="0.2">
      <c r="A1115" s="2781">
        <v>44975</v>
      </c>
      <c r="B1115" s="2788">
        <f>IFERROR(AVERAGE('2018+'!S1834:S1877),"")</f>
        <v>1.5078654840299239</v>
      </c>
      <c r="C1115" s="2782">
        <f>IFERROR(AVERAGE('2018+'!N1834:N1877),"")</f>
        <v>1.0671936100103765</v>
      </c>
      <c r="D1115" s="2787">
        <f>'2018+'!U1877</f>
        <v>23.005323683923574</v>
      </c>
    </row>
    <row r="1116" spans="1:4" ht="15" x14ac:dyDescent="0.2">
      <c r="A1116" s="2781">
        <v>44976</v>
      </c>
      <c r="B1116" s="2788">
        <f>IFERROR(AVERAGE('2018+'!S1835:S1878),"")</f>
        <v>1.5078654840299239</v>
      </c>
      <c r="C1116" s="2782">
        <f>IFERROR(AVERAGE('2018+'!N1835:N1878),"")</f>
        <v>1.0671936100103765</v>
      </c>
      <c r="D1116" s="2787">
        <f>'2018+'!U1878</f>
        <v>22.457577881925396</v>
      </c>
    </row>
    <row r="1117" spans="1:4" ht="15" x14ac:dyDescent="0.2">
      <c r="A1117" s="2781">
        <v>44977</v>
      </c>
      <c r="B1117" s="2788">
        <f>IFERROR(AVERAGE('2018+'!S1836:S1879),"")</f>
        <v>1.5071866286180129</v>
      </c>
      <c r="C1117" s="2782">
        <f>IFERROR(AVERAGE('2018+'!N1836:N1879),"")</f>
        <v>1.0665184145590616</v>
      </c>
      <c r="D1117" s="2787">
        <f>'2018+'!U1879</f>
        <v>22.946683170450981</v>
      </c>
    </row>
    <row r="1118" spans="1:4" ht="15" x14ac:dyDescent="0.2">
      <c r="A1118" s="2781">
        <v>44978</v>
      </c>
      <c r="B1118" s="2788">
        <f>IFERROR(AVERAGE('2018+'!S1837:S1880),"")</f>
        <v>1.5112535792834689</v>
      </c>
      <c r="C1118" s="2782">
        <f>IFERROR(AVERAGE('2018+'!N1837:N1880),"")</f>
        <v>1.065916289962821</v>
      </c>
      <c r="D1118" s="2787">
        <f>'2018+'!U1880</f>
        <v>23.995571666392625</v>
      </c>
    </row>
    <row r="1119" spans="1:4" ht="15" x14ac:dyDescent="0.2">
      <c r="A1119" s="2781">
        <v>44979</v>
      </c>
      <c r="B1119" s="2788">
        <f>IFERROR(AVERAGE('2018+'!S1838:S1881),"")</f>
        <v>1.5112535792834689</v>
      </c>
      <c r="C1119" s="2782">
        <f>IFERROR(AVERAGE('2018+'!N1838:N1881),"")</f>
        <v>1.065916289962821</v>
      </c>
      <c r="D1119" s="2787">
        <f>'2018+'!U1881</f>
        <v>23.424248531478515</v>
      </c>
    </row>
    <row r="1120" spans="1:4" ht="15" x14ac:dyDescent="0.2">
      <c r="A1120" s="2781">
        <v>44980</v>
      </c>
      <c r="B1120" s="2788">
        <f>IFERROR(AVERAGE('2018+'!S1839:S1882),"")</f>
        <v>1.5110762775513324</v>
      </c>
      <c r="C1120" s="2782">
        <f>IFERROR(AVERAGE('2018+'!N1839:N1882),"")</f>
        <v>1.0655818229813185</v>
      </c>
      <c r="D1120" s="2787">
        <f>'2018+'!U1882</f>
        <v>23.842718804538549</v>
      </c>
    </row>
    <row r="1121" spans="1:4" ht="15" x14ac:dyDescent="0.2">
      <c r="A1121" s="2781">
        <v>44981</v>
      </c>
      <c r="B1121" s="2788">
        <f>IFERROR(AVERAGE('2018+'!S1840:S1883),"")</f>
        <v>1.507288398763454</v>
      </c>
      <c r="C1121" s="2782">
        <f>IFERROR(AVERAGE('2018+'!N1840:N1883),"")</f>
        <v>1.0639031826012577</v>
      </c>
      <c r="D1121" s="2787">
        <f>'2018+'!U1883</f>
        <v>24.22741597585906</v>
      </c>
    </row>
    <row r="1122" spans="1:4" ht="15" x14ac:dyDescent="0.2">
      <c r="A1122" s="2781">
        <v>44982</v>
      </c>
      <c r="B1122" s="2788">
        <f>IFERROR(AVERAGE('2018+'!S1841:S1884),"")</f>
        <v>1.5078012496635493</v>
      </c>
      <c r="C1122" s="2782">
        <f>IFERROR(AVERAGE('2018+'!N1841:N1884),"")</f>
        <v>1.0644338234415864</v>
      </c>
      <c r="D1122" s="2787">
        <f>'2018+'!U1884</f>
        <v>25.555334643100512</v>
      </c>
    </row>
    <row r="1123" spans="1:4" ht="15" x14ac:dyDescent="0.2">
      <c r="A1123" s="2781">
        <v>44983</v>
      </c>
      <c r="B1123" s="2788">
        <f>IFERROR(AVERAGE('2018+'!S1842:S1885),"")</f>
        <v>1.5078012496635493</v>
      </c>
      <c r="C1123" s="2782">
        <f>IFERROR(AVERAGE('2018+'!N1842:N1885),"")</f>
        <v>1.0644338234415864</v>
      </c>
      <c r="D1123" s="2787">
        <f>'2018+'!U1885</f>
        <v>24.946874294455263</v>
      </c>
    </row>
    <row r="1124" spans="1:4" ht="15" x14ac:dyDescent="0.2">
      <c r="A1124" s="2781">
        <v>44984</v>
      </c>
      <c r="B1124" s="2788">
        <f>IFERROR(AVERAGE('2018+'!S1843:S1886),"")</f>
        <v>1.5091992552383451</v>
      </c>
      <c r="C1124" s="2782">
        <f>IFERROR(AVERAGE('2018+'!N1843:N1886),"")</f>
        <v>1.0641924062977608</v>
      </c>
      <c r="D1124" s="2787">
        <f>'2018+'!U1886</f>
        <v>25.471948716015852</v>
      </c>
    </row>
    <row r="1125" spans="1:4" ht="15" x14ac:dyDescent="0.2">
      <c r="A1125" s="2781">
        <v>44985</v>
      </c>
      <c r="B1125" s="2788">
        <f>IFERROR(AVERAGE('2018+'!S1844:S1887),"")</f>
        <v>1.5098531828390305</v>
      </c>
      <c r="C1125" s="2782">
        <f>IFERROR(AVERAGE('2018+'!N1844:N1887),"")</f>
        <v>1.0638884796931891</v>
      </c>
      <c r="D1125" s="2787">
        <f>'2018+'!U1887</f>
        <v>26.413092794205951</v>
      </c>
    </row>
    <row r="1126" spans="1:4" ht="15" x14ac:dyDescent="0.2">
      <c r="A1126" s="2781">
        <v>44986</v>
      </c>
      <c r="B1126" s="2788">
        <f>IFERROR(AVERAGE('2018+'!S1845:S1888),"")</f>
        <v>1.5098531828390305</v>
      </c>
      <c r="C1126" s="2782">
        <f>IFERROR(AVERAGE('2018+'!N1845:N1888),"")</f>
        <v>1.0638884796931891</v>
      </c>
      <c r="D1126" s="2787">
        <f>'2018+'!U1888</f>
        <v>25.784209632439143</v>
      </c>
    </row>
    <row r="1127" spans="1:4" ht="15" x14ac:dyDescent="0.2">
      <c r="A1127" s="2781">
        <v>44987</v>
      </c>
      <c r="B1127" s="2788">
        <f>IFERROR(AVERAGE('2018+'!S1846:S1889),"")</f>
        <v>1.5155017688033157</v>
      </c>
      <c r="C1127" s="2782">
        <f>IFERROR(AVERAGE('2018+'!N1846:N1889),"")</f>
        <v>1.0649428023323968</v>
      </c>
      <c r="D1127" s="2787">
        <f>'2018+'!U1889</f>
        <v>26.456014165000116</v>
      </c>
    </row>
    <row r="1128" spans="1:4" ht="15" x14ac:dyDescent="0.2">
      <c r="A1128" s="2781">
        <v>44988</v>
      </c>
      <c r="B1128" s="2788">
        <f>IFERROR(AVERAGE('2018+'!S1847:S1890),"")</f>
        <v>1.5202391422814587</v>
      </c>
      <c r="C1128" s="2782">
        <f>IFERROR(AVERAGE('2018+'!N1847:N1890),"")</f>
        <v>1.0651224721609873</v>
      </c>
      <c r="D1128" s="2787">
        <f>'2018+'!U1890</f>
        <v>26.968966208690588</v>
      </c>
    </row>
    <row r="1129" spans="1:4" ht="15" x14ac:dyDescent="0.2">
      <c r="A1129" s="2781">
        <v>44989</v>
      </c>
      <c r="B1129" s="2788">
        <f>IFERROR(AVERAGE('2018+'!S1848:S1891),"")</f>
        <v>1.5202391422814587</v>
      </c>
      <c r="C1129" s="2782">
        <f>IFERROR(AVERAGE('2018+'!N1848:N1891),"")</f>
        <v>1.0651224721609873</v>
      </c>
      <c r="D1129" s="2787">
        <f>'2018+'!U1891</f>
        <v>26.326847965626527</v>
      </c>
    </row>
    <row r="1130" spans="1:4" ht="15" x14ac:dyDescent="0.2">
      <c r="A1130" s="2781">
        <v>44990</v>
      </c>
      <c r="B1130" s="2788">
        <f>IFERROR(AVERAGE('2018+'!S1849:S1892),"")</f>
        <v>1.5252855465406374</v>
      </c>
      <c r="C1130" s="2782">
        <f>IFERROR(AVERAGE('2018+'!N1849:N1892),"")</f>
        <v>1.0664068211706426</v>
      </c>
      <c r="D1130" s="2787">
        <f>'2018+'!U1892</f>
        <v>27.342875395016371</v>
      </c>
    </row>
    <row r="1131" spans="1:4" ht="15" x14ac:dyDescent="0.2">
      <c r="A1131" s="2781">
        <v>44991</v>
      </c>
      <c r="B1131" s="2788">
        <f>IFERROR(AVERAGE('2018+'!S1850:S1893),"")</f>
        <v>1.5271967071337604</v>
      </c>
      <c r="C1131" s="2782">
        <f>IFERROR(AVERAGE('2018+'!N1850:N1893),"")</f>
        <v>1.0663293568798791</v>
      </c>
      <c r="D1131" s="2787">
        <f>'2018+'!U1893</f>
        <v>26.691854552277885</v>
      </c>
    </row>
    <row r="1132" spans="1:4" ht="15" x14ac:dyDescent="0.2">
      <c r="A1132" s="2781">
        <v>44992</v>
      </c>
      <c r="B1132" s="2788">
        <f>IFERROR(AVERAGE('2018+'!S1851:S1894),"")</f>
        <v>1.5303661829141801</v>
      </c>
      <c r="C1132" s="2782">
        <f>IFERROR(AVERAGE('2018+'!N1851:N1894),"")</f>
        <v>1.0673498275805204</v>
      </c>
      <c r="D1132" s="2787">
        <f>'2018+'!U1894</f>
        <v>27.318238967699841</v>
      </c>
    </row>
    <row r="1133" spans="1:4" ht="15" x14ac:dyDescent="0.2">
      <c r="A1133" s="2781">
        <v>44993</v>
      </c>
      <c r="B1133" s="2788">
        <f>IFERROR(AVERAGE('2018+'!S1852:S1895),"")</f>
        <v>1.5323810120566688</v>
      </c>
      <c r="C1133" s="2782">
        <f>IFERROR(AVERAGE('2018+'!N1852:N1895),"")</f>
        <v>1.0671045914087034</v>
      </c>
      <c r="D1133" s="2787">
        <f>'2018+'!U1895</f>
        <v>28.048757087516513</v>
      </c>
    </row>
    <row r="1134" spans="1:4" ht="15" x14ac:dyDescent="0.2">
      <c r="A1134" s="2781">
        <v>44994</v>
      </c>
      <c r="B1134" s="2788">
        <f>IFERROR(AVERAGE('2018+'!S1853:S1896),"")</f>
        <v>1.5323810120566688</v>
      </c>
      <c r="C1134" s="2782">
        <f>IFERROR(AVERAGE('2018+'!N1853:N1896),"")</f>
        <v>1.0671045914087034</v>
      </c>
      <c r="D1134" s="2787">
        <f>'2018+'!U1896</f>
        <v>27.380929537813739</v>
      </c>
    </row>
    <row r="1135" spans="1:4" ht="15" x14ac:dyDescent="0.2">
      <c r="A1135" s="2781">
        <v>44995</v>
      </c>
      <c r="B1135" s="2788">
        <f>IFERROR(AVERAGE('2018+'!S1854:S1897),"")</f>
        <v>1.5347140956475807</v>
      </c>
      <c r="C1135" s="2782">
        <f>IFERROR(AVERAGE('2018+'!N1854:N1897),"")</f>
        <v>1.0673533059886229</v>
      </c>
      <c r="D1135" s="2787">
        <f>'2018+'!U1897</f>
        <v>26.729002644056269</v>
      </c>
    </row>
    <row r="1136" spans="1:4" ht="15" x14ac:dyDescent="0.2">
      <c r="A1136" s="2781">
        <v>44996</v>
      </c>
      <c r="B1136" s="2788">
        <f>IFERROR(AVERAGE('2018+'!S1855:S1898),"")</f>
        <v>1.5338803694246566</v>
      </c>
      <c r="C1136" s="2782">
        <f>IFERROR(AVERAGE('2018+'!N1855:N1898),"")</f>
        <v>1.0671133670333686</v>
      </c>
      <c r="D1136" s="2787">
        <f>'2018+'!U1898</f>
        <v>26.092597819197785</v>
      </c>
    </row>
    <row r="1137" spans="1:4" ht="15" x14ac:dyDescent="0.2">
      <c r="A1137" s="2781">
        <v>44997</v>
      </c>
      <c r="B1137" s="2788">
        <f>IFERROR(AVERAGE('2018+'!S1856:S1899),"")</f>
        <v>1.5338803694246566</v>
      </c>
      <c r="C1137" s="2782">
        <f>IFERROR(AVERAGE('2018+'!N1856:N1899),"")</f>
        <v>1.0671133670333686</v>
      </c>
      <c r="D1137" s="2787">
        <f>'2018+'!U1899</f>
        <v>25.471345490169266</v>
      </c>
    </row>
    <row r="1138" spans="1:4" ht="15" x14ac:dyDescent="0.2">
      <c r="A1138" s="2781">
        <v>44998</v>
      </c>
      <c r="B1138" s="2788">
        <f>IFERROR(AVERAGE('2018+'!S1857:S1900),"")</f>
        <v>1.5391204762879735</v>
      </c>
      <c r="C1138" s="2782">
        <f>IFERROR(AVERAGE('2018+'!N1857:N1900),"")</f>
        <v>1.0672099937966666</v>
      </c>
      <c r="D1138" s="2787">
        <f>'2018+'!U1900</f>
        <v>24.864884883260473</v>
      </c>
    </row>
    <row r="1139" spans="1:4" ht="15" x14ac:dyDescent="0.2">
      <c r="A1139" s="2781">
        <v>44999</v>
      </c>
      <c r="B1139" s="2788">
        <f>IFERROR(AVERAGE('2018+'!S1858:S1901),"")</f>
        <v>1.5391204762879735</v>
      </c>
      <c r="C1139" s="2782">
        <f>IFERROR(AVERAGE('2018+'!N1858:N1901),"")</f>
        <v>1.0672099937966666</v>
      </c>
      <c r="D1139" s="2787">
        <f>'2018+'!U1901</f>
        <v>24.272863814611412</v>
      </c>
    </row>
    <row r="1140" spans="1:4" ht="15" x14ac:dyDescent="0.2">
      <c r="A1140" s="2781">
        <v>45000</v>
      </c>
      <c r="B1140" s="2788">
        <f>IFERROR(AVERAGE('2018+'!S1859:S1902),"")</f>
        <v>1.5391204762879735</v>
      </c>
      <c r="C1140" s="2782">
        <f>IFERROR(AVERAGE('2018+'!N1859:N1902),"")</f>
        <v>1.0672099937966666</v>
      </c>
      <c r="D1140" s="2787">
        <f>'2018+'!U1902</f>
        <v>23.694938485692091</v>
      </c>
    </row>
    <row r="1141" spans="1:4" ht="15" x14ac:dyDescent="0.2">
      <c r="A1141" s="2781">
        <v>45001</v>
      </c>
      <c r="B1141" s="2788">
        <f>IFERROR(AVERAGE('2018+'!S1860:S1903),"")</f>
        <v>1.5384008720731555</v>
      </c>
      <c r="C1141" s="2782">
        <f>IFERROR(AVERAGE('2018+'!N1860:N1903),"")</f>
        <v>1.0669769990615257</v>
      </c>
      <c r="D1141" s="2787">
        <f>'2018+'!U1903</f>
        <v>23.130773283651802</v>
      </c>
    </row>
    <row r="1142" spans="1:4" ht="15" x14ac:dyDescent="0.2">
      <c r="A1142" s="2781">
        <v>45002</v>
      </c>
      <c r="B1142" s="2788">
        <f>IFERROR(AVERAGE('2018+'!S1861:S1904),"")</f>
        <v>1.5384008720731555</v>
      </c>
      <c r="C1142" s="2782">
        <f>IFERROR(AVERAGE('2018+'!N1861:N1904),"")</f>
        <v>1.0669769990615257</v>
      </c>
      <c r="D1142" s="2787">
        <f>'2018+'!U1904</f>
        <v>22.580040586421998</v>
      </c>
    </row>
    <row r="1143" spans="1:4" ht="15" x14ac:dyDescent="0.2">
      <c r="A1143" s="2781">
        <v>45003</v>
      </c>
      <c r="B1143" s="2788">
        <f>IFERROR(AVERAGE('2018+'!S1862:S1905),"")</f>
        <v>1.5440374698116581</v>
      </c>
      <c r="C1143" s="2782">
        <f>IFERROR(AVERAGE('2018+'!N1862:N1905),"")</f>
        <v>1.0673232161809012</v>
      </c>
      <c r="D1143" s="2787">
        <f>'2018+'!U1905</f>
        <v>22.042420572459569</v>
      </c>
    </row>
    <row r="1144" spans="1:4" ht="15" x14ac:dyDescent="0.2">
      <c r="A1144" s="2781">
        <v>45004</v>
      </c>
      <c r="B1144" s="2788">
        <f>IFERROR(AVERAGE('2018+'!S1863:S1906),"")</f>
        <v>1.5509798844473659</v>
      </c>
      <c r="C1144" s="2782">
        <f>IFERROR(AVERAGE('2018+'!N1863:N1906),"")</f>
        <v>1.0669146791554236</v>
      </c>
      <c r="D1144" s="2787">
        <f>'2018+'!U1906</f>
        <v>21.517601035020057</v>
      </c>
    </row>
    <row r="1145" spans="1:4" ht="15" x14ac:dyDescent="0.2">
      <c r="A1145" s="2781">
        <v>45005</v>
      </c>
      <c r="B1145" s="2788">
        <f>IFERROR(AVERAGE('2018+'!S1864:S1907),"")</f>
        <v>1.5509798844473659</v>
      </c>
      <c r="C1145" s="2782">
        <f>IFERROR(AVERAGE('2018+'!N1864:N1907),"")</f>
        <v>1.0669146791554236</v>
      </c>
      <c r="D1145" s="2787">
        <f>'2018+'!U1907</f>
        <v>21.005277200852913</v>
      </c>
    </row>
    <row r="1146" spans="1:4" ht="15" x14ac:dyDescent="0.2">
      <c r="A1146" s="2781">
        <v>45006</v>
      </c>
      <c r="B1146" s="2788">
        <f>IFERROR(AVERAGE('2018+'!S1865:S1908),"")</f>
        <v>1.5524729169622964</v>
      </c>
      <c r="C1146" s="2782">
        <f>IFERROR(AVERAGE('2018+'!N1865:N1908),"")</f>
        <v>1.0674265809423984</v>
      </c>
      <c r="D1146" s="2787">
        <f>'2018+'!U1908</f>
        <v>21.386103934165938</v>
      </c>
    </row>
    <row r="1147" spans="1:4" ht="15" x14ac:dyDescent="0.2">
      <c r="A1147" s="2781">
        <v>45007</v>
      </c>
      <c r="B1147" s="2788">
        <f>IFERROR(AVERAGE('2018+'!S1866:S1909),"")</f>
        <v>1.555147994136868</v>
      </c>
      <c r="C1147" s="2782">
        <f>IFERROR(AVERAGE('2018+'!N1866:N1909),"")</f>
        <v>1.0671116803130287</v>
      </c>
      <c r="D1147" s="2787">
        <f>'2018+'!U1909</f>
        <v>20.876910983352463</v>
      </c>
    </row>
    <row r="1148" spans="1:4" ht="15" x14ac:dyDescent="0.2">
      <c r="A1148" s="2781">
        <v>45008</v>
      </c>
      <c r="B1148" s="2788">
        <f>IFERROR(AVERAGE('2018+'!S1867:S1910),"")</f>
        <v>1.5521632337991664</v>
      </c>
      <c r="C1148" s="2782">
        <f>IFERROR(AVERAGE('2018+'!N1867:N1910),"")</f>
        <v>1.0678324347629848</v>
      </c>
      <c r="D1148" s="2787">
        <f>'2018+'!U1910</f>
        <v>21.522698817082166</v>
      </c>
    </row>
    <row r="1149" spans="1:4" ht="15" x14ac:dyDescent="0.2">
      <c r="A1149" s="2781">
        <v>45009</v>
      </c>
      <c r="B1149" s="2788">
        <f>IFERROR(AVERAGE('2018+'!S1868:S1911),"")</f>
        <v>1.5521632337991664</v>
      </c>
      <c r="C1149" s="2782">
        <f>IFERROR(AVERAGE('2018+'!N1868:N1911),"")</f>
        <v>1.0678324347629848</v>
      </c>
      <c r="D1149" s="2787">
        <f>'2018+'!U1911</f>
        <v>21.010253607151636</v>
      </c>
    </row>
    <row r="1150" spans="1:4" ht="15" x14ac:dyDescent="0.2">
      <c r="A1150" s="2781">
        <v>45010</v>
      </c>
      <c r="B1150" s="2788">
        <f>IFERROR(AVERAGE('2018+'!S1869:S1912),"")</f>
        <v>1.54958630374657</v>
      </c>
      <c r="C1150" s="2782">
        <f>IFERROR(AVERAGE('2018+'!N1869:N1912),"")</f>
        <v>1.0677815825029369</v>
      </c>
      <c r="D1150" s="2787">
        <f>'2018+'!U1912</f>
        <v>21.462390426028978</v>
      </c>
    </row>
    <row r="1151" spans="1:4" ht="15" x14ac:dyDescent="0.2">
      <c r="A1151" s="2781">
        <v>45011</v>
      </c>
      <c r="B1151" s="2788">
        <f>IFERROR(AVERAGE('2018+'!S1870:S1913),"")</f>
        <v>1.5510966266858364</v>
      </c>
      <c r="C1151" s="2782">
        <f>IFERROR(AVERAGE('2018+'!N1870:N1913),"")</f>
        <v>1.0689615180714189</v>
      </c>
      <c r="D1151" s="2787">
        <f>'2018+'!U1913</f>
        <v>20.951381130171146</v>
      </c>
    </row>
    <row r="1152" spans="1:4" ht="15" x14ac:dyDescent="0.2">
      <c r="A1152" s="2781">
        <v>45012</v>
      </c>
      <c r="B1152" s="2788">
        <f>IFERROR(AVERAGE('2018+'!S1871:S1914),"")</f>
        <v>1.546679327002384</v>
      </c>
      <c r="C1152" s="2782">
        <f>IFERROR(AVERAGE('2018+'!N1871:N1914),"")</f>
        <v>1.0693884776559028</v>
      </c>
      <c r="D1152" s="2787">
        <f>'2018+'!U1914</f>
        <v>21.428729198500406</v>
      </c>
    </row>
    <row r="1153" spans="1:4" ht="15" x14ac:dyDescent="0.2">
      <c r="A1153" s="2781">
        <v>45013</v>
      </c>
      <c r="B1153" s="2788">
        <f>IFERROR(AVERAGE('2018+'!S1872:S1915),"")</f>
        <v>1.548431898003666</v>
      </c>
      <c r="C1153" s="2782">
        <f>IFERROR(AVERAGE('2018+'!N1872:N1915),"")</f>
        <v>1.0692498687413117</v>
      </c>
      <c r="D1153" s="2787">
        <f>'2018+'!U1915</f>
        <v>20.918521360440874</v>
      </c>
    </row>
    <row r="1154" spans="1:4" ht="15" x14ac:dyDescent="0.2">
      <c r="A1154" s="2781">
        <v>45014</v>
      </c>
      <c r="B1154" s="2788">
        <f>IFERROR(AVERAGE('2018+'!S1873:S1916),"")</f>
        <v>1.536474411046179</v>
      </c>
      <c r="C1154" s="2782">
        <f>IFERROR(AVERAGE('2018+'!N1873:N1916),"")</f>
        <v>1.0689931099582133</v>
      </c>
      <c r="D1154" s="2787">
        <f>'2018+'!U1916</f>
        <v>21.658556566144661</v>
      </c>
    </row>
    <row r="1155" spans="1:4" ht="15" x14ac:dyDescent="0.2">
      <c r="A1155" s="2781">
        <v>45015</v>
      </c>
      <c r="B1155" s="2788">
        <f>IFERROR(AVERAGE('2018+'!S1874:S1917),"")</f>
        <v>1.5360996059951149</v>
      </c>
      <c r="C1155" s="2782">
        <f>IFERROR(AVERAGE('2018+'!N1874:N1917),"")</f>
        <v>1.0695084738202199</v>
      </c>
      <c r="D1155" s="2787">
        <f>'2018+'!U1917</f>
        <v>22.142876647903122</v>
      </c>
    </row>
    <row r="1156" spans="1:4" ht="15" x14ac:dyDescent="0.2">
      <c r="A1156" s="2781">
        <v>45016</v>
      </c>
      <c r="B1156" s="2788">
        <f>IFERROR(AVERAGE('2018+'!S1875:S1918),"")</f>
        <v>1.5385213638876871</v>
      </c>
      <c r="C1156" s="2782">
        <f>IFERROR(AVERAGE('2018+'!N1875:N1918),"")</f>
        <v>1.0710865624326511</v>
      </c>
      <c r="D1156" s="2787">
        <f>'2018+'!U1918</f>
        <v>23.329951013429238</v>
      </c>
    </row>
    <row r="1157" spans="1:4" ht="15" x14ac:dyDescent="0.2">
      <c r="A1157" s="2781">
        <v>45017</v>
      </c>
      <c r="B1157" s="2788">
        <f>IFERROR(AVERAGE('2018+'!S1876:S1919),"")</f>
        <v>1.5400851132414914</v>
      </c>
      <c r="C1157" s="2782">
        <f>IFERROR(AVERAGE('2018+'!N1876:N1919),"")</f>
        <v>1.0716695509333696</v>
      </c>
      <c r="D1157" s="2787">
        <f>'2018+'!U1919</f>
        <v>22.774475989299969</v>
      </c>
    </row>
    <row r="1158" spans="1:4" ht="15" x14ac:dyDescent="0.2">
      <c r="A1158" s="2781">
        <v>45018</v>
      </c>
      <c r="B1158" s="2788">
        <f>IFERROR(AVERAGE('2018+'!S1877:S1920),"")</f>
        <v>1.5365405295138888</v>
      </c>
      <c r="C1158" s="2782">
        <f>IFERROR(AVERAGE('2018+'!N1877:N1920),"")</f>
        <v>1.0694196295118381</v>
      </c>
      <c r="D1158" s="2787">
        <f>'2018+'!U1920</f>
        <v>24.184607513364256</v>
      </c>
    </row>
    <row r="1159" spans="1:4" ht="15" x14ac:dyDescent="0.2">
      <c r="A1159" s="2781">
        <v>45019</v>
      </c>
      <c r="B1159" s="2788">
        <f>IFERROR(AVERAGE('2018+'!S1878:S1921),"")</f>
        <v>1.5381795860647709</v>
      </c>
      <c r="C1159" s="2782">
        <f>IFERROR(AVERAGE('2018+'!N1878:N1921),"")</f>
        <v>1.0696027134859047</v>
      </c>
      <c r="D1159" s="2787">
        <f>'2018+'!U1921</f>
        <v>23.60878352495082</v>
      </c>
    </row>
    <row r="1160" spans="1:4" ht="15" x14ac:dyDescent="0.2">
      <c r="A1160" s="2781">
        <v>45020</v>
      </c>
      <c r="B1160" s="2788">
        <f>IFERROR(AVERAGE('2018+'!S1879:S1922),"")</f>
        <v>1.5414014827311338</v>
      </c>
      <c r="C1160" s="2782">
        <f>IFERROR(AVERAGE('2018+'!N1879:N1922),"")</f>
        <v>1.0707269003930826</v>
      </c>
      <c r="D1160" s="2787">
        <f>'2018+'!U1922</f>
        <v>24.165717250547228</v>
      </c>
    </row>
    <row r="1161" spans="1:4" ht="15" x14ac:dyDescent="0.2">
      <c r="A1161" s="2781">
        <v>45021</v>
      </c>
      <c r="B1161" s="2788">
        <f>IFERROR(AVERAGE('2018+'!S1880:S1923),"")</f>
        <v>1.5445036071767633</v>
      </c>
      <c r="C1161" s="2782">
        <f>IFERROR(AVERAGE('2018+'!N1880:N1923),"")</f>
        <v>1.0708674723043046</v>
      </c>
      <c r="D1161" s="2787">
        <f>'2018+'!U1923</f>
        <v>25.137962077915152</v>
      </c>
    </row>
    <row r="1162" spans="1:4" ht="15" x14ac:dyDescent="0.2">
      <c r="A1162" s="2781">
        <v>45022</v>
      </c>
      <c r="B1162" s="2788">
        <f>IFERROR(AVERAGE('2018+'!S1881:S1924),"")</f>
        <v>1.5432927303439958</v>
      </c>
      <c r="C1162" s="2782">
        <f>IFERROR(AVERAGE('2018+'!N1881:N1924),"")</f>
        <v>1.0717290485016544</v>
      </c>
      <c r="D1162" s="2787">
        <f>'2018+'!U1924</f>
        <v>25.706105837964792</v>
      </c>
    </row>
    <row r="1163" spans="1:4" ht="15" x14ac:dyDescent="0.2">
      <c r="A1163" s="2781">
        <v>45023</v>
      </c>
      <c r="B1163" s="2788">
        <f>IFERROR(AVERAGE('2018+'!S1882:S1925),"")</f>
        <v>1.5478675786892411</v>
      </c>
      <c r="C1163" s="2782">
        <f>IFERROR(AVERAGE('2018+'!N1882:N1925),"")</f>
        <v>1.0730187669693925</v>
      </c>
      <c r="D1163" s="2787">
        <f>'2018+'!U1925</f>
        <v>26.189293794203724</v>
      </c>
    </row>
    <row r="1164" spans="1:4" ht="15" x14ac:dyDescent="0.2">
      <c r="A1164" s="2781">
        <v>45024</v>
      </c>
      <c r="B1164" s="2788">
        <f>IFERROR(AVERAGE('2018+'!S1883:S1926),"")</f>
        <v>1.5461964556945889</v>
      </c>
      <c r="C1164" s="2782">
        <f>IFERROR(AVERAGE('2018+'!N1883:N1926),"")</f>
        <v>1.0736278863408344</v>
      </c>
      <c r="D1164" s="2787">
        <f>'2018+'!U1926</f>
        <v>28.446691561008397</v>
      </c>
    </row>
    <row r="1165" spans="1:4" ht="15" x14ac:dyDescent="0.2">
      <c r="A1165" s="2781">
        <v>45025</v>
      </c>
      <c r="B1165" s="2788">
        <f>IFERROR(AVERAGE('2018+'!S1884:S1927),"")</f>
        <v>1.5502000387218926</v>
      </c>
      <c r="C1165" s="2782">
        <f>IFERROR(AVERAGE('2018+'!N1884:N1927),"")</f>
        <v>1.0749348093086559</v>
      </c>
      <c r="D1165" s="2787">
        <f>'2018+'!U1927</f>
        <v>27.769389380984386</v>
      </c>
    </row>
    <row r="1166" spans="1:4" ht="15" x14ac:dyDescent="0.2">
      <c r="A1166" s="2781">
        <v>45026</v>
      </c>
      <c r="B1166" s="2788">
        <f>IFERROR(AVERAGE('2018+'!S1885:S1928),"")</f>
        <v>1.5517558421847049</v>
      </c>
      <c r="C1166" s="2782">
        <f>IFERROR(AVERAGE('2018+'!N1885:N1928),"")</f>
        <v>1.0748761536776479</v>
      </c>
      <c r="D1166" s="2787">
        <f>'2018+'!U1928</f>
        <v>27.108213443341899</v>
      </c>
    </row>
    <row r="1167" spans="1:4" ht="15" x14ac:dyDescent="0.2">
      <c r="A1167" s="2781">
        <v>45027</v>
      </c>
      <c r="B1167" s="2788">
        <f>IFERROR(AVERAGE('2018+'!S1886:S1929),"")</f>
        <v>1.5529542819341513</v>
      </c>
      <c r="C1167" s="2782">
        <f>IFERROR(AVERAGE('2018+'!N1886:N1929),"")</f>
        <v>1.0749297574687198</v>
      </c>
      <c r="D1167" s="2787">
        <f>'2018+'!U1929</f>
        <v>27.60563693278614</v>
      </c>
    </row>
    <row r="1168" spans="1:4" ht="15" x14ac:dyDescent="0.2">
      <c r="A1168" s="2781">
        <v>45028</v>
      </c>
      <c r="B1168" s="2788">
        <f>IFERROR(AVERAGE('2018+'!S1887:S1930),"")</f>
        <v>1.5535343268579263</v>
      </c>
      <c r="C1168" s="2782">
        <f>IFERROR(AVERAGE('2018+'!N1887:N1930),"")</f>
        <v>1.0757442547426668</v>
      </c>
      <c r="D1168" s="2787">
        <f>'2018+'!U1930</f>
        <v>26.948359862957901</v>
      </c>
    </row>
    <row r="1169" spans="1:4" ht="15" x14ac:dyDescent="0.2">
      <c r="A1169" s="2781">
        <v>45029</v>
      </c>
      <c r="B1169" s="2788">
        <f>IFERROR(AVERAGE('2018+'!S1888:S1931),"")</f>
        <v>1.5550073206264767</v>
      </c>
      <c r="C1169" s="2782">
        <f>IFERROR(AVERAGE('2018+'!N1888:N1931),"")</f>
        <v>1.0767521501931514</v>
      </c>
      <c r="D1169" s="2787">
        <f>'2018+'!U1931</f>
        <v>26.306732247173187</v>
      </c>
    </row>
    <row r="1170" spans="1:4" ht="15" x14ac:dyDescent="0.2">
      <c r="A1170" s="2781">
        <v>45030</v>
      </c>
      <c r="B1170" s="2788">
        <f>IFERROR(AVERAGE('2018+'!S1889:S1932),"")</f>
        <v>1.5550073206264767</v>
      </c>
      <c r="C1170" s="2782">
        <f>IFERROR(AVERAGE('2018+'!N1889:N1932),"")</f>
        <v>1.0767521501931514</v>
      </c>
      <c r="D1170" s="2787">
        <f>'2018+'!U1932</f>
        <v>25.68038147938335</v>
      </c>
    </row>
    <row r="1171" spans="1:4" ht="15" x14ac:dyDescent="0.2">
      <c r="A1171" s="2781">
        <v>45031</v>
      </c>
      <c r="B1171" s="2788">
        <f>IFERROR(AVERAGE('2018+'!S1890:S1933),"")</f>
        <v>1.5526506827631614</v>
      </c>
      <c r="C1171" s="2782">
        <f>IFERROR(AVERAGE('2018+'!N1890:N1933),"")</f>
        <v>1.0763919906502768</v>
      </c>
      <c r="D1171" s="2787">
        <f>'2018+'!U1933</f>
        <v>26.616562872731365</v>
      </c>
    </row>
    <row r="1172" spans="1:4" ht="15" x14ac:dyDescent="0.2">
      <c r="A1172" s="2781">
        <v>45032</v>
      </c>
      <c r="B1172" s="2788">
        <f>IFERROR(AVERAGE('2018+'!S1891:S1934),"")</f>
        <v>1.549868594783645</v>
      </c>
      <c r="C1172" s="2782">
        <f>IFERROR(AVERAGE('2018+'!N1891:N1934),"")</f>
        <v>1.076650116504797</v>
      </c>
      <c r="D1172" s="2787">
        <f>'2018+'!U1934</f>
        <v>26.93521613766633</v>
      </c>
    </row>
    <row r="1173" spans="1:4" ht="15" x14ac:dyDescent="0.2">
      <c r="A1173" s="2781">
        <v>45033</v>
      </c>
      <c r="B1173" s="2788">
        <f>IFERROR(AVERAGE('2018+'!S1892:S1935),"")</f>
        <v>1.5508907900444628</v>
      </c>
      <c r="C1173" s="2782">
        <f>IFERROR(AVERAGE('2018+'!N1892:N1935),"")</f>
        <v>1.0754442998687463</v>
      </c>
      <c r="D1173" s="2787">
        <f>'2018+'!U1935</f>
        <v>27.1986633724838</v>
      </c>
    </row>
    <row r="1174" spans="1:4" ht="15" x14ac:dyDescent="0.2">
      <c r="A1174" s="2781">
        <v>45034</v>
      </c>
      <c r="B1174" s="2788">
        <f>IFERROR(AVERAGE('2018+'!S1893:S1936),"")</f>
        <v>1.545086594240267</v>
      </c>
      <c r="C1174" s="2782">
        <f>IFERROR(AVERAGE('2018+'!N1893:N1936),"")</f>
        <v>1.0739477349507314</v>
      </c>
      <c r="D1174" s="2787">
        <f>'2018+'!U1936</f>
        <v>28.051076149329425</v>
      </c>
    </row>
    <row r="1175" spans="1:4" ht="15" x14ac:dyDescent="0.2">
      <c r="A1175" s="2781">
        <v>45035</v>
      </c>
      <c r="B1175" s="2788">
        <f>IFERROR(AVERAGE('2018+'!S1894:S1937),"")</f>
        <v>1.545086594240267</v>
      </c>
      <c r="C1175" s="2782">
        <f>IFERROR(AVERAGE('2018+'!N1894:N1937),"")</f>
        <v>1.0739477349507314</v>
      </c>
      <c r="D1175" s="2787">
        <f>'2018+'!U1937</f>
        <v>27.383193383869202</v>
      </c>
    </row>
    <row r="1176" spans="1:4" ht="15" x14ac:dyDescent="0.2">
      <c r="A1176" s="2781">
        <v>45036</v>
      </c>
      <c r="B1176" s="2788">
        <f>IFERROR(AVERAGE('2018+'!S1895:S1938),"")</f>
        <v>1.5430208360745739</v>
      </c>
      <c r="C1176" s="2782">
        <f>IFERROR(AVERAGE('2018+'!N1895:N1938),"")</f>
        <v>1.0726458471228888</v>
      </c>
      <c r="D1176" s="2787">
        <f>'2018+'!U1938</f>
        <v>27.874069731872314</v>
      </c>
    </row>
    <row r="1177" spans="1:4" ht="15" x14ac:dyDescent="0.2">
      <c r="A1177" s="2781">
        <v>45037</v>
      </c>
      <c r="B1177" s="2788">
        <f>IFERROR(AVERAGE('2018+'!S1896:S1939),"")</f>
        <v>1.5379273480023623</v>
      </c>
      <c r="C1177" s="2782">
        <f>IFERROR(AVERAGE('2018+'!N1896:N1939),"")</f>
        <v>1.0723182361658161</v>
      </c>
      <c r="D1177" s="2787">
        <f>'2018+'!U1939</f>
        <v>28.138972833494403</v>
      </c>
    </row>
    <row r="1178" spans="1:4" ht="15" x14ac:dyDescent="0.2">
      <c r="A1178" s="2781">
        <v>45038</v>
      </c>
      <c r="B1178" s="2788">
        <f>IFERROR(AVERAGE('2018+'!S1897:S1940),"")</f>
        <v>1.5379273480023623</v>
      </c>
      <c r="C1178" s="2782">
        <f>IFERROR(AVERAGE('2018+'!N1897:N1940),"")</f>
        <v>1.0723182361658161</v>
      </c>
      <c r="D1178" s="2787">
        <f>'2018+'!U1940</f>
        <v>27.468997289839773</v>
      </c>
    </row>
    <row r="1179" spans="1:4" ht="15" x14ac:dyDescent="0.2">
      <c r="A1179" s="2781">
        <v>45039</v>
      </c>
      <c r="B1179" s="2788">
        <f>IFERROR(AVERAGE('2018+'!S1898:S1941),"")</f>
        <v>1.538558479162355</v>
      </c>
      <c r="C1179" s="2782">
        <f>IFERROR(AVERAGE('2018+'!N1898:N1941),"")</f>
        <v>1.0720939576168838</v>
      </c>
      <c r="D1179" s="2787">
        <f>'2018+'!U1941</f>
        <v>28.195925925795969</v>
      </c>
    </row>
    <row r="1180" spans="1:4" ht="15" x14ac:dyDescent="0.2">
      <c r="A1180" s="2781">
        <v>45040</v>
      </c>
      <c r="B1180" s="2788">
        <f>IFERROR(AVERAGE('2018+'!S1899:S1942),"")</f>
        <v>1.5443815785943691</v>
      </c>
      <c r="C1180" s="2782">
        <f>IFERROR(AVERAGE('2018+'!N1899:N1942),"")</f>
        <v>1.0716773504634813</v>
      </c>
      <c r="D1180" s="2787">
        <f>'2018+'!U1942</f>
        <v>28.405546737086542</v>
      </c>
    </row>
    <row r="1181" spans="1:4" ht="15" x14ac:dyDescent="0.2">
      <c r="A1181" s="2781">
        <v>45041</v>
      </c>
      <c r="B1181" s="2788">
        <f>IFERROR(AVERAGE('2018+'!S1900:S1943),"")</f>
        <v>1.5432120541982017</v>
      </c>
      <c r="C1181" s="2782">
        <f>IFERROR(AVERAGE('2018+'!N1900:N1943),"")</f>
        <v>1.071135932939258</v>
      </c>
      <c r="D1181" s="2787">
        <f>'2018+'!U1943</f>
        <v>28.681605148108289</v>
      </c>
    </row>
    <row r="1182" spans="1:4" ht="15" x14ac:dyDescent="0.2">
      <c r="A1182" s="2781">
        <v>45042</v>
      </c>
      <c r="B1182" s="2788">
        <f>IFERROR(AVERAGE('2018+'!S1901:S1944),"")</f>
        <v>1.5432120541982017</v>
      </c>
      <c r="C1182" s="2782">
        <f>IFERROR(AVERAGE('2018+'!N1901:N1944),"")</f>
        <v>1.071135932939258</v>
      </c>
      <c r="D1182" s="2787">
        <f>'2018+'!U1944</f>
        <v>27.998709787439044</v>
      </c>
    </row>
    <row r="1183" spans="1:4" ht="15" x14ac:dyDescent="0.2">
      <c r="A1183" s="2781">
        <v>45043</v>
      </c>
      <c r="B1183" s="2788">
        <f>IFERROR(AVERAGE('2018+'!S1902:S1945),"")</f>
        <v>1.5454490196402018</v>
      </c>
      <c r="C1183" s="2782">
        <f>IFERROR(AVERAGE('2018+'!N1902:N1945),"")</f>
        <v>1.0714498523344627</v>
      </c>
      <c r="D1183" s="2787">
        <f>'2018+'!U1945</f>
        <v>28.403502411547638</v>
      </c>
    </row>
    <row r="1184" spans="1:4" ht="15" x14ac:dyDescent="0.2">
      <c r="A1184" s="2781">
        <v>45044</v>
      </c>
      <c r="B1184" s="2788">
        <f>IFERROR(AVERAGE('2018+'!S1903:S1946),"")</f>
        <v>1.5476960995050002</v>
      </c>
      <c r="C1184" s="2782">
        <f>IFERROR(AVERAGE('2018+'!N1903:N1946),"")</f>
        <v>1.070909965816415</v>
      </c>
      <c r="D1184" s="2787">
        <f>'2018+'!U1946</f>
        <v>28.512942830320313</v>
      </c>
    </row>
    <row r="1185" spans="1:4" ht="15" x14ac:dyDescent="0.2">
      <c r="A1185" s="2781">
        <v>45045</v>
      </c>
      <c r="B1185" s="2788">
        <f>IFERROR(AVERAGE('2018+'!S1904:S1947),"")</f>
        <v>1.5476960995050002</v>
      </c>
      <c r="C1185" s="2782">
        <f>IFERROR(AVERAGE('2018+'!N1904:N1947),"")</f>
        <v>1.070909965816415</v>
      </c>
      <c r="D1185" s="2787">
        <f>'2018+'!U1947</f>
        <v>27.834063239122209</v>
      </c>
    </row>
    <row r="1186" spans="1:4" ht="15" x14ac:dyDescent="0.2">
      <c r="A1186" s="2781">
        <v>45046</v>
      </c>
      <c r="B1186" s="2788">
        <f>IFERROR(AVERAGE('2018+'!S1905:S1948),"")</f>
        <v>1.5506401889179779</v>
      </c>
      <c r="C1186" s="2782">
        <f>IFERROR(AVERAGE('2018+'!N1905:N1948),"")</f>
        <v>1.0706134286696296</v>
      </c>
      <c r="D1186" s="2787">
        <f>'2018+'!U1948</f>
        <v>28.147537923905013</v>
      </c>
    </row>
    <row r="1187" spans="1:4" ht="15" x14ac:dyDescent="0.2">
      <c r="A1187" s="2781">
        <v>45047</v>
      </c>
      <c r="B1187" s="2788">
        <f>IFERROR(AVERAGE('2018+'!S1906:S1949),"")</f>
        <v>1.5506401889179779</v>
      </c>
      <c r="C1187" s="2782">
        <f>IFERROR(AVERAGE('2018+'!N1906:N1949),"")</f>
        <v>1.0706134286696296</v>
      </c>
      <c r="D1187" s="2787">
        <f>'2018+'!U1949</f>
        <v>27.477358449526321</v>
      </c>
    </row>
    <row r="1188" spans="1:4" ht="15" x14ac:dyDescent="0.2">
      <c r="A1188" s="2781">
        <v>45048</v>
      </c>
      <c r="B1188" s="2788">
        <f>IFERROR(AVERAGE('2018+'!S1907:S1950),"")</f>
        <v>1.5506401889179779</v>
      </c>
      <c r="C1188" s="2782">
        <f>IFERROR(AVERAGE('2018+'!N1907:N1950),"")</f>
        <v>1.0706134286696296</v>
      </c>
      <c r="D1188" s="2787">
        <f>'2018+'!U1950</f>
        <v>26.823135629299504</v>
      </c>
    </row>
    <row r="1189" spans="1:4" ht="15" x14ac:dyDescent="0.2">
      <c r="A1189" s="2781">
        <v>45049</v>
      </c>
      <c r="B1189" s="2788">
        <f>IFERROR(AVERAGE('2018+'!S1908:S1951),"")</f>
        <v>1.5529462273212546</v>
      </c>
      <c r="C1189" s="2782">
        <f>IFERROR(AVERAGE('2018+'!N1908:N1951),"")</f>
        <v>1.0701397419397094</v>
      </c>
      <c r="D1189" s="2787">
        <f>'2018+'!U1951</f>
        <v>26.803537161935228</v>
      </c>
    </row>
    <row r="1190" spans="1:4" ht="15" x14ac:dyDescent="0.2">
      <c r="A1190" s="2781">
        <v>45050</v>
      </c>
      <c r="B1190" s="2788">
        <f>IFERROR(AVERAGE('2018+'!S1909:S1952),"")</f>
        <v>1.5583007695253377</v>
      </c>
      <c r="C1190" s="2782">
        <f>IFERROR(AVERAGE('2018+'!N1909:N1952),"")</f>
        <v>1.0696777364947012</v>
      </c>
      <c r="D1190" s="2787">
        <f>'2018+'!U1952</f>
        <v>26.903452943793912</v>
      </c>
    </row>
    <row r="1191" spans="1:4" ht="15" x14ac:dyDescent="0.2">
      <c r="A1191" s="2781">
        <v>45051</v>
      </c>
      <c r="B1191" s="2788">
        <f>IFERROR(AVERAGE('2018+'!S1910:S1953),"")</f>
        <v>1.560577429331379</v>
      </c>
      <c r="C1191" s="2782">
        <f>IFERROR(AVERAGE('2018+'!N1910:N1953),"")</f>
        <v>1.0693424663404536</v>
      </c>
      <c r="D1191" s="2787">
        <f>'2018+'!U1953</f>
        <v>27.072418349894058</v>
      </c>
    </row>
    <row r="1192" spans="1:4" ht="15" x14ac:dyDescent="0.2">
      <c r="A1192" s="2781">
        <v>45052</v>
      </c>
      <c r="B1192" s="2788">
        <f>IFERROR(AVERAGE('2018+'!S1911:S1954),"")</f>
        <v>1.5626915376956334</v>
      </c>
      <c r="C1192" s="2782">
        <f>IFERROR(AVERAGE('2018+'!N1911:N1954),"")</f>
        <v>1.0689661957709535</v>
      </c>
      <c r="D1192" s="2787">
        <f>'2018+'!U1954</f>
        <v>26.427836960610865</v>
      </c>
    </row>
    <row r="1193" spans="1:4" ht="15" x14ac:dyDescent="0.2">
      <c r="A1193" s="2781">
        <v>45053</v>
      </c>
      <c r="B1193" s="2788">
        <f>IFERROR(AVERAGE('2018+'!S1912:S1955),"")</f>
        <v>1.5626915376956334</v>
      </c>
      <c r="C1193" s="2782">
        <f>IFERROR(AVERAGE('2018+'!N1912:N1955),"")</f>
        <v>1.0689661957709535</v>
      </c>
      <c r="D1193" s="2787">
        <f>'2018+'!U1955</f>
        <v>25.798602747262986</v>
      </c>
    </row>
    <row r="1194" spans="1:4" ht="15" x14ac:dyDescent="0.2">
      <c r="A1194" s="2781">
        <v>45054</v>
      </c>
      <c r="B1194" s="2788">
        <f>IFERROR(AVERAGE('2018+'!S1913:S1956),"")</f>
        <v>1.5693918684879102</v>
      </c>
      <c r="C1194" s="2782">
        <f>IFERROR(AVERAGE('2018+'!N1913:N1956),"")</f>
        <v>1.0696108903259425</v>
      </c>
      <c r="D1194" s="2787">
        <f>'2018+'!U1956</f>
        <v>25.946255062804344</v>
      </c>
    </row>
    <row r="1195" spans="1:4" ht="15" x14ac:dyDescent="0.2">
      <c r="A1195" s="2781">
        <v>45055</v>
      </c>
      <c r="B1195" s="2788">
        <f>IFERROR(AVERAGE('2018+'!S1914:S1957),"")</f>
        <v>1.5697037660419133</v>
      </c>
      <c r="C1195" s="2782">
        <f>IFERROR(AVERAGE('2018+'!N1914:N1957),"")</f>
        <v>1.0690088096104149</v>
      </c>
      <c r="D1195" s="2787">
        <f>'2018+'!U1957</f>
        <v>26.23324898988043</v>
      </c>
    </row>
    <row r="1196" spans="1:4" ht="15" x14ac:dyDescent="0.2">
      <c r="A1196" s="2781">
        <v>45056</v>
      </c>
      <c r="B1196" s="2788">
        <f>IFERROR(AVERAGE('2018+'!S1915:S1958),"")</f>
        <v>1.5738285968829717</v>
      </c>
      <c r="C1196" s="2782">
        <f>IFERROR(AVERAGE('2018+'!N1915:N1958),"")</f>
        <v>1.0686784814720756</v>
      </c>
      <c r="D1196" s="2787">
        <f>'2018+'!U1958</f>
        <v>25.608647823454707</v>
      </c>
    </row>
    <row r="1197" spans="1:4" ht="15" x14ac:dyDescent="0.2">
      <c r="A1197" s="2781">
        <v>45057</v>
      </c>
      <c r="B1197" s="2788">
        <f>IFERROR(AVERAGE('2018+'!S1916:S1959),"")</f>
        <v>1.572257959361032</v>
      </c>
      <c r="C1197" s="2782">
        <f>IFERROR(AVERAGE('2018+'!N1916:N1959),"")</f>
        <v>1.0682223082177047</v>
      </c>
      <c r="D1197" s="2787">
        <f>'2018+'!U1959</f>
        <v>25.951299065753403</v>
      </c>
    </row>
    <row r="1198" spans="1:4" ht="15" x14ac:dyDescent="0.2">
      <c r="A1198" s="2781">
        <v>45058</v>
      </c>
      <c r="B1198" s="2788">
        <f>IFERROR(AVERAGE('2018+'!S1917:S1960),"")</f>
        <v>1.5779126830566101</v>
      </c>
      <c r="C1198" s="2782">
        <f>IFERROR(AVERAGE('2018+'!N1917:N1960),"")</f>
        <v>1.0683849504026801</v>
      </c>
      <c r="D1198" s="2787">
        <f>'2018+'!U1960</f>
        <v>25.333410992759276</v>
      </c>
    </row>
    <row r="1199" spans="1:4" ht="15" x14ac:dyDescent="0.2">
      <c r="A1199" s="2781">
        <v>45059</v>
      </c>
      <c r="B1199" s="2788">
        <f>IFERROR(AVERAGE('2018+'!S1918:S1961),"")</f>
        <v>1.5816010790015105</v>
      </c>
      <c r="C1199" s="2782">
        <f>IFERROR(AVERAGE('2018+'!N1918:N1961),"")</f>
        <v>1.0681425591339653</v>
      </c>
      <c r="D1199" s="2787">
        <f>'2018+'!U1961</f>
        <v>24.730234540550722</v>
      </c>
    </row>
    <row r="1200" spans="1:4" ht="15" x14ac:dyDescent="0.2">
      <c r="A1200" s="2781">
        <v>45060</v>
      </c>
      <c r="B1200" s="2788">
        <f>IFERROR(AVERAGE('2018+'!S1919:S1962),"")</f>
        <v>1.5813868612920055</v>
      </c>
      <c r="C1200" s="2782">
        <f>IFERROR(AVERAGE('2018+'!N1919:N1962),"")</f>
        <v>1.0667623281120731</v>
      </c>
      <c r="D1200" s="2787">
        <f>'2018+'!U1962</f>
        <v>24.141419432442373</v>
      </c>
    </row>
    <row r="1201" spans="1:4" ht="15" x14ac:dyDescent="0.2">
      <c r="A1201" s="2781">
        <v>45061</v>
      </c>
      <c r="B1201" s="2788">
        <f>IFERROR(AVERAGE('2018+'!S1920:S1963),"")</f>
        <v>1.5813868612920055</v>
      </c>
      <c r="C1201" s="2782">
        <f>IFERROR(AVERAGE('2018+'!N1920:N1963),"")</f>
        <v>1.0667623281120731</v>
      </c>
      <c r="D1201" s="2787">
        <f>'2018+'!U1963</f>
        <v>23.566623731669935</v>
      </c>
    </row>
    <row r="1202" spans="1:4" ht="15" x14ac:dyDescent="0.2">
      <c r="A1202" s="2781">
        <v>45062</v>
      </c>
      <c r="B1202" s="2788">
        <f>IFERROR(AVERAGE('2018+'!S1921:S1964),"")</f>
        <v>1.5862092782224291</v>
      </c>
      <c r="C1202" s="2782">
        <f>IFERROR(AVERAGE('2018+'!N1921:N1964),"")</f>
        <v>1.0685265417383591</v>
      </c>
      <c r="D1202" s="2787">
        <f>'2018+'!U1964</f>
        <v>24.315037452344459</v>
      </c>
    </row>
    <row r="1203" spans="1:4" ht="15" x14ac:dyDescent="0.2">
      <c r="A1203" s="2781">
        <v>45063</v>
      </c>
      <c r="B1203" s="2788">
        <f>IFERROR(AVERAGE('2018+'!S1922:S1965),"")</f>
        <v>1.5862092782224291</v>
      </c>
      <c r="C1203" s="2782">
        <f>IFERROR(AVERAGE('2018+'!N1922:N1965),"")</f>
        <v>1.0685265417383591</v>
      </c>
      <c r="D1203" s="2787">
        <f>'2018+'!U1965</f>
        <v>23.7361079891934</v>
      </c>
    </row>
    <row r="1204" spans="1:4" ht="15" x14ac:dyDescent="0.2">
      <c r="A1204" s="2781">
        <v>45064</v>
      </c>
      <c r="B1204" s="2788">
        <f>IFERROR(AVERAGE('2018+'!S1923:S1966),"")</f>
        <v>1.5853557939686918</v>
      </c>
      <c r="C1204" s="2782">
        <f>IFERROR(AVERAGE('2018+'!N1923:N1966),"")</f>
        <v>1.067453320138434</v>
      </c>
      <c r="D1204" s="2787">
        <f>'2018+'!U1966</f>
        <v>23.170962560879271</v>
      </c>
    </row>
    <row r="1205" spans="1:4" ht="15" x14ac:dyDescent="0.2">
      <c r="A1205" s="2781">
        <v>45065</v>
      </c>
      <c r="B1205" s="2788">
        <f>IFERROR(AVERAGE('2018+'!S1924:S1967),"")</f>
        <v>1.5854200752472949</v>
      </c>
      <c r="C1205" s="2782">
        <f>IFERROR(AVERAGE('2018+'!N1924:N1967),"")</f>
        <v>1.0677118761626605</v>
      </c>
      <c r="D1205" s="2787">
        <f>'2018+'!U1967</f>
        <v>22.619272976096433</v>
      </c>
    </row>
    <row r="1206" spans="1:4" ht="15" x14ac:dyDescent="0.2">
      <c r="A1206" s="2781">
        <v>45066</v>
      </c>
      <c r="B1206" s="2788">
        <f>IFERROR(AVERAGE('2018+'!S1925:S1968),"")</f>
        <v>1.5862894036350479</v>
      </c>
      <c r="C1206" s="2782">
        <f>IFERROR(AVERAGE('2018+'!N1925:N1968),"")</f>
        <v>1.0675092560664847</v>
      </c>
      <c r="D1206" s="2787">
        <f>'2018+'!U1968</f>
        <v>22.080718857617946</v>
      </c>
    </row>
    <row r="1207" spans="1:4" ht="15" x14ac:dyDescent="0.2">
      <c r="A1207" s="2781">
        <v>45067</v>
      </c>
      <c r="B1207" s="2788">
        <f>IFERROR(AVERAGE('2018+'!S1926:S1969),"")</f>
        <v>1.5762480451684928</v>
      </c>
      <c r="C1207" s="2782">
        <f>IFERROR(AVERAGE('2018+'!N1926:N1969),"")</f>
        <v>1.0656461544142601</v>
      </c>
      <c r="D1207" s="2787">
        <f>'2018+'!U1969</f>
        <v>22.388320789579424</v>
      </c>
    </row>
    <row r="1208" spans="1:4" ht="15" x14ac:dyDescent="0.2">
      <c r="A1208" s="2781">
        <v>45068</v>
      </c>
      <c r="B1208" s="2788">
        <f>IFERROR(AVERAGE('2018+'!S1927:S1970),"")</f>
        <v>1.5842840464542531</v>
      </c>
      <c r="C1208" s="2782">
        <f>IFERROR(AVERAGE('2018+'!N1927:N1970),"")</f>
        <v>1.0651906454011635</v>
      </c>
      <c r="D1208" s="2787">
        <f>'2018+'!U1970</f>
        <v>22.688598866018008</v>
      </c>
    </row>
    <row r="1209" spans="1:4" ht="15" x14ac:dyDescent="0.2">
      <c r="A1209" s="2781">
        <v>45069</v>
      </c>
      <c r="B1209" s="2788">
        <f>IFERROR(AVERAGE('2018+'!S1928:S1971),"")</f>
        <v>1.5842840464542531</v>
      </c>
      <c r="C1209" s="2782">
        <f>IFERROR(AVERAGE('2018+'!N1928:N1971),"")</f>
        <v>1.0651906454011635</v>
      </c>
      <c r="D1209" s="2787">
        <f>'2018+'!U1971</f>
        <v>22.148394131112816</v>
      </c>
    </row>
    <row r="1210" spans="1:4" ht="15" x14ac:dyDescent="0.2">
      <c r="A1210" s="2781">
        <v>45070</v>
      </c>
      <c r="B1210" s="2788">
        <f>IFERROR(AVERAGE('2018+'!S1929:S1972),"")</f>
        <v>1.5838530965975279</v>
      </c>
      <c r="C1210" s="2782">
        <f>IFERROR(AVERAGE('2018+'!N1929:N1972),"")</f>
        <v>1.0649738744852448</v>
      </c>
      <c r="D1210" s="2787">
        <f>'2018+'!U1972</f>
        <v>22.430575223229177</v>
      </c>
    </row>
    <row r="1211" spans="1:4" ht="15" x14ac:dyDescent="0.2">
      <c r="A1211" s="2781">
        <v>45071</v>
      </c>
      <c r="B1211" s="2788">
        <f>IFERROR(AVERAGE('2018+'!S1930:S1973),"")</f>
        <v>1.587932350676782</v>
      </c>
      <c r="C1211" s="2782">
        <f>IFERROR(AVERAGE('2018+'!N1930:N1973),"")</f>
        <v>1.0646598904380176</v>
      </c>
      <c r="D1211" s="2787">
        <f>'2018+'!U1973</f>
        <v>22.920323432199911</v>
      </c>
    </row>
    <row r="1212" spans="1:4" ht="15" x14ac:dyDescent="0.2">
      <c r="A1212" s="2781">
        <v>45072</v>
      </c>
      <c r="B1212" s="2788">
        <f>IFERROR(AVERAGE('2018+'!S1931:S1974),"")</f>
        <v>1.5893333371151694</v>
      </c>
      <c r="C1212" s="2782">
        <f>IFERROR(AVERAGE('2018+'!N1931:N1974),"")</f>
        <v>1.0645717830465784</v>
      </c>
      <c r="D1212" s="2787">
        <f>'2018+'!U1974</f>
        <v>23.326982398099915</v>
      </c>
    </row>
    <row r="1213" spans="1:4" ht="15" x14ac:dyDescent="0.2">
      <c r="A1213" s="2781">
        <v>45073</v>
      </c>
      <c r="B1213" s="2788">
        <f>IFERROR(AVERAGE('2018+'!S1932:S1975),"")</f>
        <v>1.5893333371151694</v>
      </c>
      <c r="C1213" s="2782">
        <f>IFERROR(AVERAGE('2018+'!N1932:N1975),"")</f>
        <v>1.0645717830465784</v>
      </c>
      <c r="D1213" s="2787">
        <f>'2018+'!U1975</f>
        <v>22.77157805528801</v>
      </c>
    </row>
    <row r="1214" spans="1:4" ht="15" x14ac:dyDescent="0.2">
      <c r="A1214" s="2781">
        <v>45074</v>
      </c>
      <c r="B1214" s="2788">
        <f>IFERROR(AVERAGE('2018+'!S1933:S1976),"")</f>
        <v>1.5893333371151694</v>
      </c>
      <c r="C1214" s="2782">
        <f>IFERROR(AVERAGE('2018+'!N1933:N1976),"")</f>
        <v>1.0645717830465784</v>
      </c>
      <c r="D1214" s="2787">
        <f>'2018+'!U1976</f>
        <v>22.2293976254002</v>
      </c>
    </row>
    <row r="1215" spans="1:4" ht="15" x14ac:dyDescent="0.2">
      <c r="A1215" s="2781">
        <v>45075</v>
      </c>
      <c r="B1215" s="2788">
        <f>IFERROR(AVERAGE('2018+'!S1934:S1977),"")</f>
        <v>1.5883057479609741</v>
      </c>
      <c r="C1215" s="2782">
        <f>IFERROR(AVERAGE('2018+'!N1934:N1977),"")</f>
        <v>1.063667871503333</v>
      </c>
      <c r="D1215" s="2787">
        <f>'2018+'!U1977</f>
        <v>21.700126253366861</v>
      </c>
    </row>
    <row r="1216" spans="1:4" ht="15" x14ac:dyDescent="0.2">
      <c r="A1216" s="2781">
        <v>45076</v>
      </c>
      <c r="B1216" s="2788">
        <f>IFERROR(AVERAGE('2018+'!S1935:S1978),"")</f>
        <v>1.5873366383304472</v>
      </c>
      <c r="C1216" s="2782">
        <f>IFERROR(AVERAGE('2018+'!N1935:N1978),"")</f>
        <v>1.0636939627884401</v>
      </c>
      <c r="D1216" s="2787">
        <f>'2018+'!U1978</f>
        <v>21.945361342572411</v>
      </c>
    </row>
    <row r="1217" spans="1:4" ht="15" x14ac:dyDescent="0.2">
      <c r="A1217" s="2781">
        <v>45077</v>
      </c>
      <c r="B1217" s="2788">
        <f>IFERROR(AVERAGE('2018+'!S1936:S1979),"")</f>
        <v>1.59053266105772</v>
      </c>
      <c r="C1217" s="2782">
        <f>IFERROR(AVERAGE('2018+'!N1936:N1979),"")</f>
        <v>1.0637382113109506</v>
      </c>
      <c r="D1217" s="2787">
        <f>'2018+'!U1979</f>
        <v>22.422852739177831</v>
      </c>
    </row>
    <row r="1218" spans="1:4" ht="15" x14ac:dyDescent="0.2">
      <c r="A1218" s="2781">
        <v>45078</v>
      </c>
      <c r="B1218" s="2788">
        <f>IFERROR(AVERAGE('2018+'!S1937:S1980),"")</f>
        <v>1.5955688180825136</v>
      </c>
      <c r="C1218" s="2782">
        <f>IFERROR(AVERAGE('2018+'!N1937:N1980),"")</f>
        <v>1.063259036832829</v>
      </c>
      <c r="D1218" s="2787">
        <f>'2018+'!U1980</f>
        <v>22.936594340625977</v>
      </c>
    </row>
    <row r="1219" spans="1:4" ht="15" x14ac:dyDescent="0.2">
      <c r="A1219" s="2781">
        <v>45079</v>
      </c>
      <c r="B1219" s="2788">
        <f>IFERROR(AVERAGE('2018+'!S1938:S1981),"")</f>
        <v>1.5997256725392841</v>
      </c>
      <c r="C1219" s="2782">
        <f>IFERROR(AVERAGE('2018+'!N1938:N1981),"")</f>
        <v>1.0640050025948264</v>
      </c>
      <c r="D1219" s="2787">
        <f>'2018+'!U1981</f>
        <v>23.342865903944407</v>
      </c>
    </row>
    <row r="1220" spans="1:4" ht="15" x14ac:dyDescent="0.2">
      <c r="A1220" s="2781">
        <v>45080</v>
      </c>
      <c r="B1220" s="2788">
        <f>IFERROR(AVERAGE('2018+'!S1939:S1982),"")</f>
        <v>1.6008665273969043</v>
      </c>
      <c r="C1220" s="2782">
        <f>IFERROR(AVERAGE('2018+'!N1939:N1982),"")</f>
        <v>1.0637841036245468</v>
      </c>
      <c r="D1220" s="2787">
        <f>'2018+'!U1982</f>
        <v>22.787083382421923</v>
      </c>
    </row>
    <row r="1221" spans="1:4" ht="15" x14ac:dyDescent="0.2">
      <c r="A1221" s="2781">
        <v>45081</v>
      </c>
      <c r="B1221" s="2788">
        <f>IFERROR(AVERAGE('2018+'!S1940:S1983),"")</f>
        <v>1.6003437146644033</v>
      </c>
      <c r="C1221" s="2782">
        <f>IFERROR(AVERAGE('2018+'!N1940:N1983),"")</f>
        <v>1.0645932083622378</v>
      </c>
      <c r="D1221" s="2787">
        <f>'2018+'!U1983</f>
        <v>23.958819492364256</v>
      </c>
    </row>
    <row r="1222" spans="1:4" ht="15" x14ac:dyDescent="0.2">
      <c r="A1222" s="2781">
        <v>45082</v>
      </c>
      <c r="B1222" s="2788">
        <f>IFERROR(AVERAGE('2018+'!S1941:S1984),"")</f>
        <v>1.6003437146644033</v>
      </c>
      <c r="C1222" s="2782">
        <f>IFERROR(AVERAGE('2018+'!N1941:N1984),"")</f>
        <v>1.0645932083622378</v>
      </c>
      <c r="D1222" s="2787">
        <f>'2018+'!U1984</f>
        <v>23.388371409212727</v>
      </c>
    </row>
    <row r="1223" spans="1:4" ht="15" x14ac:dyDescent="0.2">
      <c r="A1223" s="2781">
        <v>45083</v>
      </c>
      <c r="B1223" s="2788">
        <f>IFERROR(AVERAGE('2018+'!S1942:S1985),"")</f>
        <v>1.6024911735047758</v>
      </c>
      <c r="C1223" s="2782">
        <f>IFERROR(AVERAGE('2018+'!N1942:N1985),"")</f>
        <v>1.0637837507979448</v>
      </c>
      <c r="D1223" s="2787">
        <f>'2018+'!U1985</f>
        <v>23.926743518517185</v>
      </c>
    </row>
    <row r="1224" spans="1:4" ht="15" x14ac:dyDescent="0.2">
      <c r="A1224" s="2781">
        <v>45084</v>
      </c>
      <c r="B1224" s="2788">
        <f>IFERROR(AVERAGE('2018+'!S1943:S1986),"")</f>
        <v>1.5994351976399239</v>
      </c>
      <c r="C1224" s="2782">
        <f>IFERROR(AVERAGE('2018+'!N1943:N1986),"")</f>
        <v>1.0638244722529884</v>
      </c>
      <c r="D1224" s="2787">
        <f>'2018+'!U1986</f>
        <v>23.357059149028679</v>
      </c>
    </row>
    <row r="1225" spans="1:4" ht="15" x14ac:dyDescent="0.2">
      <c r="A1225" s="2781">
        <v>45085</v>
      </c>
      <c r="B1225" s="2788">
        <f>IFERROR(AVERAGE('2018+'!S1944:S1987),"")</f>
        <v>1.6035328316477941</v>
      </c>
      <c r="C1225" s="2782">
        <f>IFERROR(AVERAGE('2018+'!N1944:N1987),"")</f>
        <v>1.0640544584953207</v>
      </c>
      <c r="D1225" s="2787">
        <f>'2018+'!U1987</f>
        <v>22.800938693099425</v>
      </c>
    </row>
    <row r="1226" spans="1:4" ht="15" x14ac:dyDescent="0.2">
      <c r="A1226" s="2781">
        <v>45086</v>
      </c>
      <c r="B1226" s="2788">
        <f>IFERROR(AVERAGE('2018+'!S1945:S1988),"")</f>
        <v>1.6023229349026611</v>
      </c>
      <c r="C1226" s="2782">
        <f>IFERROR(AVERAGE('2018+'!N1945:N1988),"")</f>
        <v>1.0641483423590887</v>
      </c>
      <c r="D1226" s="2787">
        <f>'2018+'!U1988</f>
        <v>23.496154438501819</v>
      </c>
    </row>
    <row r="1227" spans="1:4" ht="15" x14ac:dyDescent="0.2">
      <c r="A1227" s="2781">
        <v>45087</v>
      </c>
      <c r="B1227" s="2788">
        <f>IFERROR(AVERAGE('2018+'!S1946:S1989),"")</f>
        <v>1.6025941204074841</v>
      </c>
      <c r="C1227" s="2782">
        <f>IFERROR(AVERAGE('2018+'!N1946:N1989),"")</f>
        <v>1.0634222595558347</v>
      </c>
      <c r="D1227" s="2787">
        <f>'2018+'!U1989</f>
        <v>22.936722189966062</v>
      </c>
    </row>
    <row r="1228" spans="1:4" ht="15" x14ac:dyDescent="0.2">
      <c r="A1228" s="2781">
        <v>45088</v>
      </c>
      <c r="B1228" s="2788">
        <f>IFERROR(AVERAGE('2018+'!S1947:S1990),"")</f>
        <v>1.602645073257343</v>
      </c>
      <c r="C1228" s="2782">
        <f>IFERROR(AVERAGE('2018+'!N1947:N1990),"")</f>
        <v>1.0637101316701802</v>
      </c>
      <c r="D1228" s="2787">
        <f>'2018+'!U1990</f>
        <v>24.20013356639544</v>
      </c>
    </row>
    <row r="1229" spans="1:4" ht="15" x14ac:dyDescent="0.2">
      <c r="A1229" s="2781">
        <v>45089</v>
      </c>
      <c r="B1229" s="2788">
        <f>IFERROR(AVERAGE('2018+'!S1948:S1991),"")</f>
        <v>1.6076367865366243</v>
      </c>
      <c r="C1229" s="2782">
        <f>IFERROR(AVERAGE('2018+'!N1948:N1991),"")</f>
        <v>1.0636879883347397</v>
      </c>
      <c r="D1229" s="2787">
        <f>'2018+'!U1991</f>
        <v>24.481082767195549</v>
      </c>
    </row>
    <row r="1230" spans="1:4" ht="15" x14ac:dyDescent="0.2">
      <c r="A1230" s="2781">
        <v>45090</v>
      </c>
      <c r="B1230" s="2788">
        <f>IFERROR(AVERAGE('2018+'!S1949:S1992),"")</f>
        <v>1.6096246653245028</v>
      </c>
      <c r="C1230" s="2782">
        <f>IFERROR(AVERAGE('2018+'!N1949:N1992),"")</f>
        <v>1.0631458585041327</v>
      </c>
      <c r="D1230" s="2787">
        <f>'2018+'!U1992</f>
        <v>24.826771272738512</v>
      </c>
    </row>
    <row r="1231" spans="1:4" ht="15" x14ac:dyDescent="0.2">
      <c r="A1231" s="2781">
        <v>45091</v>
      </c>
      <c r="B1231" s="2788">
        <f>IFERROR(AVERAGE('2018+'!S1950:S1993),"")</f>
        <v>1.6096246653245028</v>
      </c>
      <c r="C1231" s="2782">
        <f>IFERROR(AVERAGE('2018+'!N1950:N1993),"")</f>
        <v>1.0631458585041327</v>
      </c>
      <c r="D1231" s="2787">
        <f>'2018+'!U1993</f>
        <v>24.235657671006642</v>
      </c>
    </row>
    <row r="1232" spans="1:4" ht="15" x14ac:dyDescent="0.2">
      <c r="A1232" s="2781">
        <v>45092</v>
      </c>
      <c r="B1232" s="2788">
        <f>IFERROR(AVERAGE('2018+'!S1951:S1994),"")</f>
        <v>1.6134747379507737</v>
      </c>
      <c r="C1232" s="2782">
        <f>IFERROR(AVERAGE('2018+'!N1951:N1994),"")</f>
        <v>1.0632105639137877</v>
      </c>
      <c r="D1232" s="2787">
        <f>'2018+'!U1994</f>
        <v>24.706237250268387</v>
      </c>
    </row>
    <row r="1233" spans="1:4" ht="15" x14ac:dyDescent="0.2">
      <c r="A1233" s="2781">
        <v>45093</v>
      </c>
      <c r="B1233" s="2788">
        <f>IFERROR(AVERAGE('2018+'!S1952:S1995),"")</f>
        <v>1.6151460129123716</v>
      </c>
      <c r="C1233" s="2782">
        <f>IFERROR(AVERAGE('2018+'!N1952:N1995),"")</f>
        <v>1.0630192771289031</v>
      </c>
      <c r="D1233" s="2787">
        <f>'2018+'!U1995</f>
        <v>25.141803030023901</v>
      </c>
    </row>
    <row r="1234" spans="1:4" ht="15" x14ac:dyDescent="0.2">
      <c r="A1234" s="2781">
        <v>45094</v>
      </c>
      <c r="B1234" s="2788">
        <f>IFERROR(AVERAGE('2018+'!S1953:S1996),"")</f>
        <v>1.6120323458160546</v>
      </c>
      <c r="C1234" s="2782">
        <f>IFERROR(AVERAGE('2018+'!N1953:N1996),"")</f>
        <v>1.0624542338649867</v>
      </c>
      <c r="D1234" s="2787">
        <f>'2018+'!U1996</f>
        <v>24.543188672166188</v>
      </c>
    </row>
    <row r="1235" spans="1:4" ht="15" x14ac:dyDescent="0.2">
      <c r="A1235" s="2781">
        <v>45095</v>
      </c>
      <c r="B1235" s="2788">
        <f>IFERROR(AVERAGE('2018+'!S1954:S1997),"")</f>
        <v>1.606842392370454</v>
      </c>
      <c r="C1235" s="2782">
        <f>IFERROR(AVERAGE('2018+'!N1954:N1997),"")</f>
        <v>1.0631223138540409</v>
      </c>
      <c r="D1235" s="2787">
        <f>'2018+'!U1997</f>
        <v>25.792160370447945</v>
      </c>
    </row>
    <row r="1236" spans="1:4" ht="15" x14ac:dyDescent="0.2">
      <c r="A1236" s="2781">
        <v>45096</v>
      </c>
      <c r="B1236" s="2788">
        <f>IFERROR(AVERAGE('2018+'!S1955:S1998),"")</f>
        <v>1.6113965326786694</v>
      </c>
      <c r="C1236" s="2782">
        <f>IFERROR(AVERAGE('2018+'!N1955:N1998),"")</f>
        <v>1.0624480398833505</v>
      </c>
      <c r="D1236" s="2787">
        <f>'2018+'!U1998</f>
        <v>26.059013694961088</v>
      </c>
    </row>
    <row r="1237" spans="1:4" ht="15" x14ac:dyDescent="0.2">
      <c r="A1237" s="2781">
        <v>45097</v>
      </c>
      <c r="B1237" s="2788">
        <f>IFERROR(AVERAGE('2018+'!S1956:S1999),"")</f>
        <v>1.6164956555465644</v>
      </c>
      <c r="C1237" s="2782">
        <f>IFERROR(AVERAGE('2018+'!N1956:N1999),"")</f>
        <v>1.0624497461205626</v>
      </c>
      <c r="D1237" s="2787">
        <f>'2018+'!U1999</f>
        <v>26.581418130795349</v>
      </c>
    </row>
    <row r="1238" spans="1:4" ht="15" x14ac:dyDescent="0.2">
      <c r="A1238" s="2781">
        <v>45098</v>
      </c>
      <c r="B1238" s="2788">
        <f>IFERROR(AVERAGE('2018+'!S1957:S2000),"")</f>
        <v>1.6156551466933811</v>
      </c>
      <c r="C1238" s="2782">
        <f>IFERROR(AVERAGE('2018+'!N1957:N2000),"")</f>
        <v>1.0620114040511863</v>
      </c>
      <c r="D1238" s="2787">
        <f>'2018+'!U2000</f>
        <v>25.948527222919271</v>
      </c>
    </row>
    <row r="1239" spans="1:4" ht="15" x14ac:dyDescent="0.2">
      <c r="A1239" s="2781">
        <v>45099</v>
      </c>
      <c r="B1239" s="2788">
        <f>IFERROR(AVERAGE('2018+'!S1958:S2001),"")</f>
        <v>1.6182206228838572</v>
      </c>
      <c r="C1239" s="2782">
        <f>IFERROR(AVERAGE('2018+'!N1958:N2001),"")</f>
        <v>1.0629493453159575</v>
      </c>
      <c r="D1239" s="2787">
        <f>'2018+'!U2001</f>
        <v>26.140228955706906</v>
      </c>
    </row>
    <row r="1240" spans="1:4" ht="15" x14ac:dyDescent="0.2">
      <c r="A1240" s="2781">
        <v>45100</v>
      </c>
      <c r="B1240" s="2788">
        <f>IFERROR(AVERAGE('2018+'!S1959:S2002),"")</f>
        <v>1.6168576533944838</v>
      </c>
      <c r="C1240" s="2782">
        <f>IFERROR(AVERAGE('2018+'!N1959:N2002),"")</f>
        <v>1.0626369953023194</v>
      </c>
      <c r="D1240" s="2787">
        <f>'2018+'!U2002</f>
        <v>26.422604456761505</v>
      </c>
    </row>
    <row r="1241" spans="1:4" ht="15" x14ac:dyDescent="0.2">
      <c r="A1241" s="2781">
        <v>45101</v>
      </c>
      <c r="B1241" s="2788">
        <f>IFERROR(AVERAGE('2018+'!S1960:S2003),"")</f>
        <v>1.621000839448095</v>
      </c>
      <c r="C1241" s="2782">
        <f>IFERROR(AVERAGE('2018+'!N1960:N2003),"")</f>
        <v>1.0629575364905395</v>
      </c>
      <c r="D1241" s="2787">
        <f>'2018+'!U2003</f>
        <v>25.793494826838611</v>
      </c>
    </row>
    <row r="1242" spans="1:4" ht="15" x14ac:dyDescent="0.2">
      <c r="A1242" s="2781">
        <v>45102</v>
      </c>
      <c r="B1242" s="2788">
        <f>IFERROR(AVERAGE('2018+'!S1961:S2004),"")</f>
        <v>1.6202576723273041</v>
      </c>
      <c r="C1242" s="2782">
        <f>IFERROR(AVERAGE('2018+'!N1961:N2004),"")</f>
        <v>1.0633547337783567</v>
      </c>
      <c r="D1242" s="2787">
        <f>'2018+'!U2004</f>
        <v>27.012697330961501</v>
      </c>
    </row>
    <row r="1243" spans="1:4" ht="15" x14ac:dyDescent="0.2">
      <c r="A1243" s="2781">
        <v>45103</v>
      </c>
      <c r="B1243" s="2788">
        <f>IFERROR(AVERAGE('2018+'!S1962:S2005),"")</f>
        <v>1.6223952295132174</v>
      </c>
      <c r="C1243" s="2782">
        <f>IFERROR(AVERAGE('2018+'!N1962:N2005),"")</f>
        <v>1.0626828408979905</v>
      </c>
      <c r="D1243" s="2787">
        <f>'2018+'!U2005</f>
        <v>27.179061680224322</v>
      </c>
    </row>
    <row r="1244" spans="1:4" ht="15" x14ac:dyDescent="0.2">
      <c r="A1244" s="2781">
        <v>45104</v>
      </c>
      <c r="B1244" s="2788">
        <f>IFERROR(AVERAGE('2018+'!S1963:S2006),"")</f>
        <v>1.6259336396656139</v>
      </c>
      <c r="C1244" s="2782">
        <f>IFERROR(AVERAGE('2018+'!N1963:N2006),"")</f>
        <v>1.0627052681534603</v>
      </c>
      <c r="D1244" s="2787">
        <f>'2018+'!U2006</f>
        <v>27.650988783076123</v>
      </c>
    </row>
    <row r="1245" spans="1:4" ht="15" x14ac:dyDescent="0.2">
      <c r="A1245" s="2781">
        <v>45105</v>
      </c>
      <c r="B1245" s="2788">
        <f>IFERROR(AVERAGE('2018+'!S1964:S2007),"")</f>
        <v>1.6259336396656139</v>
      </c>
      <c r="C1245" s="2782">
        <f>IFERROR(AVERAGE('2018+'!N1964:N2007),"")</f>
        <v>1.0627052681534603</v>
      </c>
      <c r="D1245" s="2787">
        <f>'2018+'!U2007</f>
        <v>26.992631907288597</v>
      </c>
    </row>
    <row r="1246" spans="1:4" ht="15" x14ac:dyDescent="0.2">
      <c r="A1246" s="2781">
        <v>45106</v>
      </c>
      <c r="B1246" s="2788">
        <f>IFERROR(AVERAGE('2018+'!S1965:S2008),"")</f>
        <v>1.62609314447269</v>
      </c>
      <c r="C1246" s="2782">
        <f>IFERROR(AVERAGE('2018+'!N1965:N2008),"")</f>
        <v>1.0628522168018355</v>
      </c>
      <c r="D1246" s="2787">
        <f>'2018+'!U2008</f>
        <v>27.326140671400772</v>
      </c>
    </row>
    <row r="1247" spans="1:4" ht="15" x14ac:dyDescent="0.2">
      <c r="A1247" s="2781">
        <v>45107</v>
      </c>
      <c r="B1247" s="2788">
        <f>IFERROR(AVERAGE('2018+'!S1966:S2009),"")</f>
        <v>1.6303025308423038</v>
      </c>
      <c r="C1247" s="2782">
        <f>IFERROR(AVERAGE('2018+'!N1966:N2009),"")</f>
        <v>1.0627599911050465</v>
      </c>
      <c r="D1247" s="2787">
        <f>'2018+'!U2009</f>
        <v>27.794565893510278</v>
      </c>
    </row>
    <row r="1248" spans="1:4" ht="15" x14ac:dyDescent="0.2">
      <c r="A1248" s="2781">
        <v>45108</v>
      </c>
      <c r="B1248" s="2788">
        <f>IFERROR(AVERAGE('2018+'!S1967:S2010),"")</f>
        <v>1.6303025308423038</v>
      </c>
      <c r="C1248" s="2782">
        <f>IFERROR(AVERAGE('2018+'!N1967:N2010),"")</f>
        <v>1.0627599911050465</v>
      </c>
      <c r="D1248" s="2787">
        <f>'2018+'!U2010</f>
        <v>27.132790515093365</v>
      </c>
    </row>
    <row r="1249" spans="1:4" ht="15" x14ac:dyDescent="0.2">
      <c r="A1249" s="2781">
        <v>45109</v>
      </c>
      <c r="B1249" s="2788">
        <f>IFERROR(AVERAGE('2018+'!S1968:S2011),"")</f>
        <v>1.6265658358002142</v>
      </c>
      <c r="C1249" s="2782">
        <f>IFERROR(AVERAGE('2018+'!N1968:N2011),"")</f>
        <v>1.0632533549016498</v>
      </c>
      <c r="D1249" s="2787">
        <f>'2018+'!U2011</f>
        <v>28.248676455210191</v>
      </c>
    </row>
    <row r="1250" spans="1:4" ht="15" x14ac:dyDescent="0.2">
      <c r="A1250" s="2781">
        <v>45110</v>
      </c>
      <c r="B1250" s="2788">
        <f>IFERROR(AVERAGE('2018+'!S1969:S2012),"")</f>
        <v>1.6292190095521601</v>
      </c>
      <c r="C1250" s="2782">
        <f>IFERROR(AVERAGE('2018+'!N1969:N2012),"")</f>
        <v>1.0628748721714047</v>
      </c>
      <c r="D1250" s="2787">
        <f>'2018+'!U2012</f>
        <v>28.409422253895663</v>
      </c>
    </row>
    <row r="1251" spans="1:4" ht="15" x14ac:dyDescent="0.2">
      <c r="A1251" s="2781">
        <v>45111</v>
      </c>
      <c r="B1251" s="2788">
        <f>IFERROR(AVERAGE('2018+'!S1970:S2013),"")</f>
        <v>1.6364837556043981</v>
      </c>
      <c r="C1251" s="2782">
        <f>IFERROR(AVERAGE('2018+'!N1970:N2013),"")</f>
        <v>1.0629451370631169</v>
      </c>
      <c r="D1251" s="2787">
        <f>'2018+'!U2013</f>
        <v>27.73300743832672</v>
      </c>
    </row>
    <row r="1252" spans="1:4" ht="15" x14ac:dyDescent="0.2">
      <c r="A1252" s="2781">
        <v>45112</v>
      </c>
      <c r="B1252" s="2788">
        <f>IFERROR(AVERAGE('2018+'!S1971:S2014),"")</f>
        <v>1.6363737361162951</v>
      </c>
      <c r="C1252" s="2782">
        <f>IFERROR(AVERAGE('2018+'!N1971:N2014),"")</f>
        <v>1.0629663749014502</v>
      </c>
      <c r="D1252" s="2787">
        <f>'2018+'!U2014</f>
        <v>27.072697737414178</v>
      </c>
    </row>
    <row r="1253" spans="1:4" ht="15" x14ac:dyDescent="0.2">
      <c r="A1253" s="2781">
        <v>45113</v>
      </c>
      <c r="B1253" s="2788">
        <f>IFERROR(AVERAGE('2018+'!S1972:S2015),"")</f>
        <v>1.636970348463971</v>
      </c>
      <c r="C1253" s="2782">
        <f>IFERROR(AVERAGE('2018+'!N1972:N2015),"")</f>
        <v>1.062986948679254</v>
      </c>
      <c r="D1253" s="2787">
        <f>'2018+'!U2015</f>
        <v>28.142395410332888</v>
      </c>
    </row>
    <row r="1254" spans="1:4" ht="15" x14ac:dyDescent="0.2">
      <c r="A1254" s="2781">
        <v>45114</v>
      </c>
      <c r="B1254" s="2788">
        <f>IFERROR(AVERAGE('2018+'!S1973:S2016),"")</f>
        <v>1.6398748913100936</v>
      </c>
      <c r="C1254" s="2782">
        <f>IFERROR(AVERAGE('2018+'!N1973:N2016),"")</f>
        <v>1.0627574074458099</v>
      </c>
      <c r="D1254" s="2787">
        <f>'2018+'!U2016</f>
        <v>28.353290757705913</v>
      </c>
    </row>
    <row r="1255" spans="1:4" ht="15" x14ac:dyDescent="0.2">
      <c r="A1255" s="2781">
        <v>45115</v>
      </c>
      <c r="B1255" s="2788">
        <f>IFERROR(AVERAGE('2018+'!S1974:S2017),"")</f>
        <v>1.6388444384117637</v>
      </c>
      <c r="C1255" s="2782">
        <f>IFERROR(AVERAGE('2018+'!N1974:N2017),"")</f>
        <v>1.0625136852609887</v>
      </c>
      <c r="D1255" s="2787">
        <f>'2018+'!U2017</f>
        <v>27.678212406331962</v>
      </c>
    </row>
    <row r="1256" spans="1:4" ht="15" x14ac:dyDescent="0.2">
      <c r="A1256" s="2781">
        <v>45116</v>
      </c>
      <c r="B1256" s="2788">
        <f>IFERROR(AVERAGE('2018+'!S1975:S2018),"")</f>
        <v>1.6354250138440833</v>
      </c>
      <c r="C1256" s="2782">
        <f>IFERROR(AVERAGE('2018+'!N1975:N2018),"")</f>
        <v>1.0629058286344486</v>
      </c>
      <c r="D1256" s="2787">
        <f>'2018+'!U2018</f>
        <v>29.114445444276438</v>
      </c>
    </row>
    <row r="1257" spans="1:4" ht="15" x14ac:dyDescent="0.2">
      <c r="A1257" s="2781">
        <v>45117</v>
      </c>
      <c r="B1257" s="2788">
        <f>IFERROR(AVERAGE('2018+'!S1976:S2019),"")</f>
        <v>1.6383024116312788</v>
      </c>
      <c r="C1257" s="2782">
        <f>IFERROR(AVERAGE('2018+'!N1976:N2019),"")</f>
        <v>1.0628638558638976</v>
      </c>
      <c r="D1257" s="2787">
        <f>'2018+'!U2019</f>
        <v>29.492672933698426</v>
      </c>
    </row>
    <row r="1258" spans="1:4" ht="15" x14ac:dyDescent="0.2">
      <c r="A1258" s="2781">
        <v>45118</v>
      </c>
      <c r="B1258" s="2788">
        <f>IFERROR(AVERAGE('2018+'!S1977:S2020),"")</f>
        <v>1.6381249445492094</v>
      </c>
      <c r="C1258" s="2782">
        <f>IFERROR(AVERAGE('2018+'!N1977:N2020),"")</f>
        <v>1.0622671876297565</v>
      </c>
      <c r="D1258" s="2787">
        <f>'2018+'!U2020</f>
        <v>29.719037863848463</v>
      </c>
    </row>
    <row r="1259" spans="1:4" ht="15" x14ac:dyDescent="0.2">
      <c r="A1259" s="2781">
        <v>45119</v>
      </c>
      <c r="B1259" s="2788">
        <f>IFERROR(AVERAGE('2018+'!S1978:S2021),"")</f>
        <v>1.6381249445492094</v>
      </c>
      <c r="C1259" s="2782">
        <f>IFERROR(AVERAGE('2018+'!N1978:N2021),"")</f>
        <v>1.0622671876297565</v>
      </c>
      <c r="D1259" s="2787">
        <f>'2018+'!U2021</f>
        <v>29.011441724233023</v>
      </c>
    </row>
    <row r="1260" spans="1:4" ht="15" x14ac:dyDescent="0.2">
      <c r="A1260" s="2781">
        <v>45120</v>
      </c>
      <c r="B1260" s="2788">
        <f>IFERROR(AVERAGE('2018+'!S1979:S2022),"")</f>
        <v>1.6425205489448138</v>
      </c>
      <c r="C1260" s="2782">
        <f>IFERROR(AVERAGE('2018+'!N1979:N2022),"")</f>
        <v>1.0622758817164477</v>
      </c>
      <c r="D1260" s="2787">
        <f>'2018+'!U2022</f>
        <v>29.558788349846523</v>
      </c>
    </row>
    <row r="1261" spans="1:4" ht="15" x14ac:dyDescent="0.2">
      <c r="A1261" s="2781">
        <v>45121</v>
      </c>
      <c r="B1261" s="2788">
        <f>IFERROR(AVERAGE('2018+'!S1980:S2023),"")</f>
        <v>1.6452821103001249</v>
      </c>
      <c r="C1261" s="2782">
        <f>IFERROR(AVERAGE('2018+'!N1980:N2023),"")</f>
        <v>1.0622397733797595</v>
      </c>
      <c r="D1261" s="2787">
        <f>'2018+'!U2023</f>
        <v>29.759769579612083</v>
      </c>
    </row>
    <row r="1262" spans="1:4" ht="15" x14ac:dyDescent="0.2">
      <c r="A1262" s="2781">
        <v>45122</v>
      </c>
      <c r="B1262" s="2788">
        <f>IFERROR(AVERAGE('2018+'!S1981:S2024),"")</f>
        <v>1.6448758921630926</v>
      </c>
      <c r="C1262" s="2782">
        <f>IFERROR(AVERAGE('2018+'!N1981:N2024),"")</f>
        <v>1.0623000943363294</v>
      </c>
      <c r="D1262" s="2787">
        <f>'2018+'!U2024</f>
        <v>29.051203637240366</v>
      </c>
    </row>
    <row r="1263" spans="1:4" ht="15" x14ac:dyDescent="0.2">
      <c r="A1263" s="2781">
        <v>45123</v>
      </c>
      <c r="B1263" s="2788">
        <f>IFERROR(AVERAGE('2018+'!S1982:S2025),"")</f>
        <v>1.6401100969561211</v>
      </c>
      <c r="C1263" s="2782">
        <f>IFERROR(AVERAGE('2018+'!N1982:N2025),"")</f>
        <v>1.0619266999712746</v>
      </c>
      <c r="D1263" s="2787">
        <f>'2018+'!U2025</f>
        <v>30.526174979210833</v>
      </c>
    </row>
    <row r="1264" spans="1:4" ht="15" x14ac:dyDescent="0.2">
      <c r="A1264" s="2781">
        <v>45124</v>
      </c>
      <c r="B1264" s="2788">
        <f>IFERROR(AVERAGE('2018+'!S1983:S2026),"")</f>
        <v>1.6405541068105938</v>
      </c>
      <c r="C1264" s="2782">
        <f>IFERROR(AVERAGE('2018+'!N1983:N2026),"")</f>
        <v>1.0611827480610552</v>
      </c>
      <c r="D1264" s="2787">
        <f>'2018+'!U2026</f>
        <v>30.65650414637248</v>
      </c>
    </row>
    <row r="1265" spans="1:4" ht="15" x14ac:dyDescent="0.2">
      <c r="A1265" s="2781">
        <v>45125</v>
      </c>
      <c r="B1265" s="2788">
        <f>IFERROR(AVERAGE('2018+'!S1984:S2027),"")</f>
        <v>1.645624642802227</v>
      </c>
      <c r="C1265" s="2782">
        <f>IFERROR(AVERAGE('2018+'!N1984:N2027),"")</f>
        <v>1.0607305568258836</v>
      </c>
      <c r="D1265" s="2787">
        <f>'2018+'!U2027</f>
        <v>29.92658738098266</v>
      </c>
    </row>
    <row r="1266" spans="1:4" ht="15" x14ac:dyDescent="0.2">
      <c r="A1266" s="2781">
        <v>45126</v>
      </c>
      <c r="B1266" s="2788">
        <f>IFERROR(AVERAGE('2018+'!S1985:S2028),"")</f>
        <v>1.645624642802227</v>
      </c>
      <c r="C1266" s="2782">
        <f>IFERROR(AVERAGE('2018+'!N1985:N2028),"")</f>
        <v>1.0607305568258836</v>
      </c>
      <c r="D1266" s="2787">
        <f>'2018+'!U2028</f>
        <v>29.214049586197358</v>
      </c>
    </row>
    <row r="1267" spans="1:4" ht="15" x14ac:dyDescent="0.2">
      <c r="A1267" s="2781">
        <v>45127</v>
      </c>
      <c r="B1267" s="2788">
        <f>IFERROR(AVERAGE('2018+'!S1986:S2029),"")</f>
        <v>1.6458106827656225</v>
      </c>
      <c r="C1267" s="2782">
        <f>IFERROR(AVERAGE('2018+'!N1986:N2029),"")</f>
        <v>1.0611542099925231</v>
      </c>
      <c r="D1267" s="2787">
        <f>'2018+'!U2029</f>
        <v>29.328000786525994</v>
      </c>
    </row>
    <row r="1268" spans="1:4" ht="15" x14ac:dyDescent="0.2">
      <c r="A1268" s="2781">
        <v>45128</v>
      </c>
      <c r="B1268" s="2788">
        <f>IFERROR(AVERAGE('2018+'!S1987:S2030),"")</f>
        <v>1.644022611268674</v>
      </c>
      <c r="C1268" s="2782">
        <f>IFERROR(AVERAGE('2018+'!N1987:N2030),"")</f>
        <v>1.0610936395818336</v>
      </c>
      <c r="D1268" s="2787">
        <f>'2018+'!U2030</f>
        <v>30.058286482084899</v>
      </c>
    </row>
    <row r="1269" spans="1:4" ht="15" x14ac:dyDescent="0.2">
      <c r="A1269" s="2781">
        <v>45129</v>
      </c>
      <c r="B1269" s="2788">
        <f>IFERROR(AVERAGE('2018+'!S1988:S2031),"")</f>
        <v>1.644022611268674</v>
      </c>
      <c r="C1269" s="2782">
        <f>IFERROR(AVERAGE('2018+'!N1988:N2031),"")</f>
        <v>1.0610936395818336</v>
      </c>
      <c r="D1269" s="2787">
        <f>'2018+'!U2031</f>
        <v>29.342612994416211</v>
      </c>
    </row>
    <row r="1270" spans="1:4" ht="15" x14ac:dyDescent="0.2">
      <c r="A1270" s="2781">
        <v>45130</v>
      </c>
      <c r="B1270" s="2788">
        <f>IFERROR(AVERAGE('2018+'!S1989:S2032),"")</f>
        <v>1.642459259305751</v>
      </c>
      <c r="C1270" s="2782">
        <f>IFERROR(AVERAGE('2018+'!N1989:N2032),"")</f>
        <v>1.0610458911526341</v>
      </c>
      <c r="D1270" s="2787">
        <f>'2018+'!U2032</f>
        <v>30.66778887550154</v>
      </c>
    </row>
    <row r="1271" spans="1:4" ht="15" x14ac:dyDescent="0.2">
      <c r="A1271" s="2781">
        <v>45131</v>
      </c>
      <c r="B1271" s="2788">
        <f>IFERROR(AVERAGE('2018+'!S1990:S2033),"")</f>
        <v>1.6434824278655866</v>
      </c>
      <c r="C1271" s="2782">
        <f>IFERROR(AVERAGE('2018+'!N1990:N2033),"")</f>
        <v>1.0609241704739647</v>
      </c>
      <c r="D1271" s="2787">
        <f>'2018+'!U2033</f>
        <v>30.88998437846579</v>
      </c>
    </row>
    <row r="1272" spans="1:4" ht="15" x14ac:dyDescent="0.2">
      <c r="A1272" s="2781">
        <v>45132</v>
      </c>
      <c r="B1272" s="2788">
        <f>IFERROR(AVERAGE('2018+'!S1991:S2034),"")</f>
        <v>1.6434824278655866</v>
      </c>
      <c r="C1272" s="2782">
        <f>IFERROR(AVERAGE('2018+'!N1991:N2034),"")</f>
        <v>1.0609241704739647</v>
      </c>
      <c r="D1272" s="2787">
        <f>'2018+'!U2034</f>
        <v>30.154508559930889</v>
      </c>
    </row>
    <row r="1273" spans="1:4" ht="15" x14ac:dyDescent="0.2">
      <c r="A1273" s="2781">
        <v>45133</v>
      </c>
      <c r="B1273" s="2788">
        <f>IFERROR(AVERAGE('2018+'!S1992:S2035),"")</f>
        <v>1.6400500774389524</v>
      </c>
      <c r="C1273" s="2782">
        <f>IFERROR(AVERAGE('2018+'!N1992:N2035),"")</f>
        <v>1.0608709684951203</v>
      </c>
      <c r="D1273" s="2787">
        <f>'2018+'!U2035</f>
        <v>30.888925022789678</v>
      </c>
    </row>
    <row r="1274" spans="1:4" ht="15" x14ac:dyDescent="0.2">
      <c r="A1274" s="2781">
        <v>45134</v>
      </c>
      <c r="B1274" s="2788">
        <f>IFERROR(AVERAGE('2018+'!S1993:S2036),"")</f>
        <v>1.6433128598408548</v>
      </c>
      <c r="C1274" s="2782">
        <f>IFERROR(AVERAGE('2018+'!N1993:N2036),"")</f>
        <v>1.0614639230140277</v>
      </c>
      <c r="D1274" s="2787">
        <f>'2018+'!U2036</f>
        <v>31.153474427008973</v>
      </c>
    </row>
    <row r="1275" spans="1:4" ht="15" x14ac:dyDescent="0.2">
      <c r="A1275" s="2781">
        <v>45135</v>
      </c>
      <c r="B1275" s="2788">
        <f>IFERROR(AVERAGE('2018+'!S1994:S2037),"")</f>
        <v>1.644633325488436</v>
      </c>
      <c r="C1275" s="2782">
        <f>IFERROR(AVERAGE('2018+'!N1994:N2037),"")</f>
        <v>1.0617366770915995</v>
      </c>
      <c r="D1275" s="2787">
        <f>'2018+'!U2037</f>
        <v>31.506963131127808</v>
      </c>
    </row>
    <row r="1276" spans="1:4" ht="15" x14ac:dyDescent="0.2">
      <c r="A1276" s="2781">
        <v>45136</v>
      </c>
      <c r="B1276" s="2788">
        <f>IFERROR(AVERAGE('2018+'!S1995:S2038),"")</f>
        <v>1.6430525370405824</v>
      </c>
      <c r="C1276" s="2782">
        <f>IFERROR(AVERAGE('2018+'!N1995:N2038),"")</f>
        <v>1.0616412289876238</v>
      </c>
      <c r="D1276" s="2787">
        <f>'2018+'!U2038</f>
        <v>30.756797342291431</v>
      </c>
    </row>
    <row r="1277" spans="1:4" ht="15" x14ac:dyDescent="0.2">
      <c r="A1277" s="2781">
        <v>45137</v>
      </c>
      <c r="B1277" s="2788">
        <f>IFERROR(AVERAGE('2018+'!S1996:S2039),"")</f>
        <v>1.6393968381724595</v>
      </c>
      <c r="C1277" s="2782">
        <f>IFERROR(AVERAGE('2018+'!N1996:N2039),"")</f>
        <v>1.0622323183712488</v>
      </c>
      <c r="D1277" s="2787">
        <f>'2018+'!U2039</f>
        <v>32.048302167474972</v>
      </c>
    </row>
    <row r="1278" spans="1:4" ht="15" x14ac:dyDescent="0.2">
      <c r="A1278" s="2781">
        <v>45138</v>
      </c>
      <c r="B1278" s="2788">
        <f>IFERROR(AVERAGE('2018+'!S1997:S2040),"")</f>
        <v>1.6439456791988947</v>
      </c>
      <c r="C1278" s="2782">
        <f>IFERROR(AVERAGE('2018+'!N1997:N2040),"")</f>
        <v>1.0623246302561133</v>
      </c>
      <c r="D1278" s="2787">
        <f>'2018+'!U2040</f>
        <v>32.451914020630333</v>
      </c>
    </row>
    <row r="1279" spans="1:4" ht="15" x14ac:dyDescent="0.2">
      <c r="A1279" s="2781">
        <v>45139</v>
      </c>
      <c r="B1279" s="2788">
        <f>IFERROR(AVERAGE('2018+'!S1998:S2041),"")</f>
        <v>1.6482800758891156</v>
      </c>
      <c r="C1279" s="2782">
        <f>IFERROR(AVERAGE('2018+'!N1998:N2041),"")</f>
        <v>1.0619340391629843</v>
      </c>
      <c r="D1279" s="2787">
        <f>'2018+'!U2041</f>
        <v>31.679249401091514</v>
      </c>
    </row>
    <row r="1280" spans="1:4" ht="15" x14ac:dyDescent="0.2">
      <c r="A1280" s="2781">
        <v>45140</v>
      </c>
      <c r="B1280" s="2788">
        <f>IFERROR(AVERAGE('2018+'!S1999:S2042),"")</f>
        <v>1.643213738534377</v>
      </c>
      <c r="C1280" s="2782">
        <f>IFERROR(AVERAGE('2018+'!N1999:N2042),"")</f>
        <v>1.0620807250260553</v>
      </c>
      <c r="D1280" s="2787">
        <f>'2018+'!U2042</f>
        <v>32.472600605827431</v>
      </c>
    </row>
    <row r="1281" spans="1:4" ht="15" x14ac:dyDescent="0.2">
      <c r="A1281" s="2781">
        <v>45141</v>
      </c>
      <c r="B1281" s="2788">
        <f>IFERROR(AVERAGE('2018+'!S2000:S2043),"")</f>
        <v>1.639239810864066</v>
      </c>
      <c r="C1281" s="2782">
        <f>IFERROR(AVERAGE('2018+'!N2000:N2043),"")</f>
        <v>1.0617457284708729</v>
      </c>
      <c r="D1281" s="2787">
        <f>'2018+'!U2043</f>
        <v>32.675633924736303</v>
      </c>
    </row>
    <row r="1282" spans="1:4" ht="15" x14ac:dyDescent="0.2">
      <c r="A1282" s="2781">
        <v>45142</v>
      </c>
      <c r="B1282" s="2788">
        <f>IFERROR(AVERAGE('2018+'!S2001:S2044),"")</f>
        <v>1.6399071258105724</v>
      </c>
      <c r="C1282" s="2782">
        <f>IFERROR(AVERAGE('2018+'!N2001:N2044),"")</f>
        <v>1.0618214721651738</v>
      </c>
      <c r="D1282" s="2787">
        <f>'2018+'!U2044</f>
        <v>33.802404545575918</v>
      </c>
    </row>
    <row r="1283" spans="1:4" ht="15" x14ac:dyDescent="0.2">
      <c r="A1283" s="2781">
        <v>45143</v>
      </c>
      <c r="B1283" s="2788">
        <f>IFERROR(AVERAGE('2018+'!S2002:S2045),"")</f>
        <v>1.6401797853212818</v>
      </c>
      <c r="C1283" s="2782">
        <f>IFERROR(AVERAGE('2018+'!N2002:N2045),"")</f>
        <v>1.0614549920035812</v>
      </c>
      <c r="D1283" s="2787">
        <f>'2018+'!U2045</f>
        <v>32.997585389728869</v>
      </c>
    </row>
    <row r="1284" spans="1:4" ht="15" x14ac:dyDescent="0.2">
      <c r="A1284" s="2781">
        <v>45144</v>
      </c>
      <c r="B1284" s="2788">
        <f>IFERROR(AVERAGE('2018+'!S2003:S2046),"")</f>
        <v>1.6368798549528401</v>
      </c>
      <c r="C1284" s="2782">
        <f>IFERROR(AVERAGE('2018+'!N2003:N2046),"")</f>
        <v>1.0614456768996077</v>
      </c>
      <c r="D1284" s="2787">
        <f>'2018+'!U2046</f>
        <v>34.545261928068655</v>
      </c>
    </row>
    <row r="1285" spans="1:4" ht="15" x14ac:dyDescent="0.2">
      <c r="A1285" s="2781">
        <v>45145</v>
      </c>
      <c r="B1285" s="2788">
        <f>IFERROR(AVERAGE('2018+'!S2004:S2047),"")</f>
        <v>1.6368798549528401</v>
      </c>
      <c r="C1285" s="2782">
        <f>IFERROR(AVERAGE('2018+'!N2004:N2047),"")</f>
        <v>1.0614456768996077</v>
      </c>
      <c r="D1285" s="2787">
        <f>'2018+'!U2047</f>
        <v>33.722755691686068</v>
      </c>
    </row>
    <row r="1286" spans="1:4" ht="15" x14ac:dyDescent="0.2">
      <c r="A1286" s="2781">
        <v>45146</v>
      </c>
      <c r="B1286" s="2788">
        <f>IFERROR(AVERAGE('2018+'!S2005:S2048),"")</f>
        <v>1.6377301715748018</v>
      </c>
      <c r="C1286" s="2782">
        <f>IFERROR(AVERAGE('2018+'!N2005:N2048),"")</f>
        <v>1.0603685113086674</v>
      </c>
      <c r="D1286" s="2787">
        <f>'2018+'!U2048</f>
        <v>33.943642460931635</v>
      </c>
    </row>
    <row r="1287" spans="1:4" ht="15" x14ac:dyDescent="0.2">
      <c r="A1287" s="2781">
        <v>45147</v>
      </c>
      <c r="B1287" s="2788">
        <f>IFERROR(AVERAGE('2018+'!S2006:S2049),"")</f>
        <v>1.636598338859498</v>
      </c>
      <c r="C1287" s="2782">
        <f>IFERROR(AVERAGE('2018+'!N2006:N2049),"")</f>
        <v>1.0608137725150508</v>
      </c>
      <c r="D1287" s="2787">
        <f>'2018+'!U2049</f>
        <v>33.135460497576119</v>
      </c>
    </row>
    <row r="1288" spans="1:4" ht="15" x14ac:dyDescent="0.2">
      <c r="A1288" s="2781">
        <v>45148</v>
      </c>
      <c r="B1288" s="2788">
        <f>IFERROR(AVERAGE('2018+'!S2007:S2050),"")</f>
        <v>1.6339791264776002</v>
      </c>
      <c r="C1288" s="2782">
        <f>IFERROR(AVERAGE('2018+'!N2007:N2050),"")</f>
        <v>1.0607246124219314</v>
      </c>
      <c r="D1288" s="2787">
        <f>'2018+'!U2050</f>
        <v>32.346520961919545</v>
      </c>
    </row>
    <row r="1289" spans="1:4" ht="15" x14ac:dyDescent="0.2">
      <c r="A1289" s="2781">
        <v>45149</v>
      </c>
      <c r="B1289" s="2788">
        <f>IFERROR(AVERAGE('2018+'!S2008:S2051),"")</f>
        <v>1.6315751100557814</v>
      </c>
      <c r="C1289" s="2782">
        <f>IFERROR(AVERAGE('2018+'!N2008:N2051),"")</f>
        <v>1.0605768953431947</v>
      </c>
      <c r="D1289" s="2787">
        <f>'2018+'!U2051</f>
        <v>32.766841891397654</v>
      </c>
    </row>
    <row r="1290" spans="1:4" ht="15" x14ac:dyDescent="0.2">
      <c r="A1290" s="2781">
        <v>45150</v>
      </c>
      <c r="B1290" s="2788">
        <f>IFERROR(AVERAGE('2018+'!S2009:S2052),"")</f>
        <v>1.6315433599922815</v>
      </c>
      <c r="C1290" s="2782">
        <f>IFERROR(AVERAGE('2018+'!N2009:N2052),"")</f>
        <v>1.0609890926806111</v>
      </c>
      <c r="D1290" s="2787">
        <f>'2018+'!U2052</f>
        <v>33.296202798745327</v>
      </c>
    </row>
    <row r="1291" spans="1:4" ht="15" x14ac:dyDescent="0.2">
      <c r="A1291" s="2781">
        <v>45151</v>
      </c>
      <c r="B1291" s="2788">
        <f>IFERROR(AVERAGE('2018+'!S2010:S2053),"")</f>
        <v>1.6276917366556016</v>
      </c>
      <c r="C1291" s="2782">
        <f>IFERROR(AVERAGE('2018+'!N2010:N2053),"")</f>
        <v>1.06100889801377</v>
      </c>
      <c r="D1291" s="2787">
        <f>'2018+'!U2053</f>
        <v>35.241531303537101</v>
      </c>
    </row>
    <row r="1292" spans="1:4" ht="15" x14ac:dyDescent="0.2">
      <c r="A1292" s="2781">
        <v>45152</v>
      </c>
      <c r="B1292" s="2788">
        <f>IFERROR(AVERAGE('2018+'!S2011:S2054),"")</f>
        <v>1.6276917366556016</v>
      </c>
      <c r="C1292" s="2782">
        <f>IFERROR(AVERAGE('2018+'!N2011:N2054),"")</f>
        <v>1.06100889801377</v>
      </c>
      <c r="D1292" s="2787">
        <f>'2018+'!U2054</f>
        <v>34.402447224881456</v>
      </c>
    </row>
    <row r="1293" spans="1:4" ht="15" x14ac:dyDescent="0.2">
      <c r="A1293" s="2781">
        <v>45153</v>
      </c>
      <c r="B1293" s="2788">
        <f>IFERROR(AVERAGE('2018+'!S2012:S2055),"")</f>
        <v>1.628258539709253</v>
      </c>
      <c r="C1293" s="2782">
        <f>IFERROR(AVERAGE('2018+'!N2012:N2055),"")</f>
        <v>1.0603866936659276</v>
      </c>
      <c r="D1293" s="2787">
        <f>'2018+'!U2055</f>
        <v>34.750008005241419</v>
      </c>
    </row>
    <row r="1294" spans="1:4" ht="15" x14ac:dyDescent="0.2">
      <c r="A1294" s="2781">
        <v>45154</v>
      </c>
      <c r="B1294" s="2788">
        <f>IFERROR(AVERAGE('2018+'!S2013:S2056),"")</f>
        <v>1.6254663796651974</v>
      </c>
      <c r="C1294" s="2782">
        <f>IFERROR(AVERAGE('2018+'!N2013:N2056),"")</f>
        <v>1.0606840342509718</v>
      </c>
      <c r="D1294" s="2787">
        <f>'2018+'!U2056</f>
        <v>33.922626862259477</v>
      </c>
    </row>
    <row r="1295" spans="1:4" ht="15" x14ac:dyDescent="0.2">
      <c r="A1295" s="2781">
        <v>45155</v>
      </c>
      <c r="B1295" s="2788">
        <f>IFERROR(AVERAGE('2018+'!S2014:S2057),"")</f>
        <v>1.6236342915294495</v>
      </c>
      <c r="C1295" s="2782">
        <f>IFERROR(AVERAGE('2018+'!N2014:N2057),"")</f>
        <v>1.0611563570382079</v>
      </c>
      <c r="D1295" s="2787">
        <f>'2018+'!U2057</f>
        <v>34.281611936967586</v>
      </c>
    </row>
    <row r="1296" spans="1:4" ht="15" x14ac:dyDescent="0.2">
      <c r="A1296" s="2781">
        <v>45156</v>
      </c>
      <c r="B1296" s="2788">
        <f>IFERROR(AVERAGE('2018+'!S2015:S2058),"")</f>
        <v>1.6236342915294495</v>
      </c>
      <c r="C1296" s="2782">
        <f>IFERROR(AVERAGE('2018+'!N2015:N2058),"")</f>
        <v>1.0611563570382079</v>
      </c>
      <c r="D1296" s="2787">
        <f>'2018+'!U2058</f>
        <v>33.465383081325498</v>
      </c>
    </row>
    <row r="1297" spans="1:4" ht="15" x14ac:dyDescent="0.2">
      <c r="A1297" s="2781">
        <v>45157</v>
      </c>
      <c r="B1297" s="2788">
        <f>IFERROR(AVERAGE('2018+'!S2016:S2059),"")</f>
        <v>1.6225247539150611</v>
      </c>
      <c r="C1297" s="2782">
        <f>IFERROR(AVERAGE('2018+'!N2016:N2059),"")</f>
        <v>1.0610653758895945</v>
      </c>
      <c r="D1297" s="2787">
        <f>'2018+'!U2059</f>
        <v>32.66858824605584</v>
      </c>
    </row>
    <row r="1298" spans="1:4" ht="15" x14ac:dyDescent="0.2">
      <c r="A1298" s="2781">
        <v>45158</v>
      </c>
      <c r="B1298" s="2788">
        <f>IFERROR(AVERAGE('2018+'!S2017:S2060),"")</f>
        <v>1.6192893648614191</v>
      </c>
      <c r="C1298" s="2782">
        <f>IFERROR(AVERAGE('2018+'!N2017:N2060),"")</f>
        <v>1.061967281006734</v>
      </c>
      <c r="D1298" s="2787">
        <f>'2018+'!U2060</f>
        <v>33.509812335435463</v>
      </c>
    </row>
    <row r="1299" spans="1:4" ht="15" x14ac:dyDescent="0.2">
      <c r="A1299" s="2781">
        <v>45159</v>
      </c>
      <c r="B1299" s="2788">
        <f>IFERROR(AVERAGE('2018+'!S2018:S2061),"")</f>
        <v>1.6192893648614191</v>
      </c>
      <c r="C1299" s="2782">
        <f>IFERROR(AVERAGE('2018+'!N2018:N2061),"")</f>
        <v>1.061967281006734</v>
      </c>
      <c r="D1299" s="2787">
        <f>'2018+'!U2061</f>
        <v>32.711959660782234</v>
      </c>
    </row>
    <row r="1300" spans="1:4" ht="15" x14ac:dyDescent="0.2">
      <c r="A1300" s="2781">
        <v>45160</v>
      </c>
      <c r="B1300" s="2788">
        <f>IFERROR(AVERAGE('2018+'!S2019:S2062),"")</f>
        <v>1.6201908071691109</v>
      </c>
      <c r="C1300" s="2782">
        <f>IFERROR(AVERAGE('2018+'!N2019:N2062),"")</f>
        <v>1.0612023356019156</v>
      </c>
      <c r="D1300" s="2787">
        <f>'2018+'!U2062</f>
        <v>32.933103478382655</v>
      </c>
    </row>
    <row r="1301" spans="1:4" ht="15" x14ac:dyDescent="0.2">
      <c r="A1301" s="2781">
        <v>45161</v>
      </c>
      <c r="B1301" s="2788">
        <f>IFERROR(AVERAGE('2018+'!S2020:S2063),"")</f>
        <v>1.6164738492919413</v>
      </c>
      <c r="C1301" s="2782">
        <f>IFERROR(AVERAGE('2018+'!N2020:N2063),"")</f>
        <v>1.0611795264728092</v>
      </c>
      <c r="D1301" s="2787">
        <f>'2018+'!U2063</f>
        <v>32.148981966992594</v>
      </c>
    </row>
    <row r="1302" spans="1:4" ht="15" x14ac:dyDescent="0.2">
      <c r="A1302" s="2781">
        <v>45162</v>
      </c>
      <c r="B1302" s="2788">
        <f>IFERROR(AVERAGE('2018+'!S2021:S2064),"")</f>
        <v>1.6090426138607057</v>
      </c>
      <c r="C1302" s="2782">
        <f>IFERROR(AVERAGE('2018+'!N2021:N2064),"")</f>
        <v>1.061332450161536</v>
      </c>
      <c r="D1302" s="2787">
        <f>'2018+'!U2064</f>
        <v>32.788291920159438</v>
      </c>
    </row>
    <row r="1303" spans="1:4" ht="15" x14ac:dyDescent="0.2">
      <c r="A1303" s="2781">
        <v>45163</v>
      </c>
      <c r="B1303" s="2788">
        <f>IFERROR(AVERAGE('2018+'!S2022:S2065),"")</f>
        <v>1.608504102647373</v>
      </c>
      <c r="C1303" s="2782">
        <f>IFERROR(AVERAGE('2018+'!N2022:N2065),"")</f>
        <v>1.0612565768222224</v>
      </c>
      <c r="D1303" s="2787">
        <f>'2018+'!U2065</f>
        <v>33.198094493488973</v>
      </c>
    </row>
    <row r="1304" spans="1:4" ht="15" x14ac:dyDescent="0.2">
      <c r="A1304" s="2781">
        <v>45164</v>
      </c>
      <c r="B1304" s="2788">
        <f>IFERROR(AVERAGE('2018+'!S2023:S2066),"")</f>
        <v>1.6051519590609598</v>
      </c>
      <c r="C1304" s="2782">
        <f>IFERROR(AVERAGE('2018+'!N2023:N2066),"")</f>
        <v>1.0606862110295134</v>
      </c>
      <c r="D1304" s="2787">
        <f>'2018+'!U2066</f>
        <v>32.407663672215428</v>
      </c>
    </row>
    <row r="1305" spans="1:4" ht="15" x14ac:dyDescent="0.2">
      <c r="A1305" s="2781">
        <v>45165</v>
      </c>
      <c r="B1305" s="2788">
        <f>IFERROR(AVERAGE('2018+'!S2024:S2067),"")</f>
        <v>1.5976647795737802</v>
      </c>
      <c r="C1305" s="2782">
        <f>IFERROR(AVERAGE('2018+'!N2024:N2067),"")</f>
        <v>1.0616359516468932</v>
      </c>
      <c r="D1305" s="2787">
        <f>'2018+'!U2067</f>
        <v>33.540814537162682</v>
      </c>
    </row>
    <row r="1306" spans="1:4" ht="15" x14ac:dyDescent="0.2">
      <c r="A1306" s="2781">
        <v>45166</v>
      </c>
      <c r="B1306" s="2788">
        <f>IFERROR(AVERAGE('2018+'!S2025:S2068),"")</f>
        <v>1.5976647795737802</v>
      </c>
      <c r="C1306" s="2782">
        <f>IFERROR(AVERAGE('2018+'!N2025:N2068),"")</f>
        <v>1.0616359516468932</v>
      </c>
      <c r="D1306" s="2787">
        <f>'2018+'!U2068</f>
        <v>32.742223714849281</v>
      </c>
    </row>
    <row r="1307" spans="1:4" ht="15" x14ac:dyDescent="0.2">
      <c r="A1307" s="2781">
        <v>45167</v>
      </c>
      <c r="B1307" s="2788">
        <f>IFERROR(AVERAGE('2018+'!S2026:S2069),"")</f>
        <v>1.5945587189677195</v>
      </c>
      <c r="C1307" s="2782">
        <f>IFERROR(AVERAGE('2018+'!N2026:N2069),"")</f>
        <v>1.0612190728652873</v>
      </c>
      <c r="D1307" s="2787">
        <f>'2018+'!U2069</f>
        <v>33.105504102590963</v>
      </c>
    </row>
    <row r="1308" spans="1:4" ht="15" x14ac:dyDescent="0.2">
      <c r="A1308" s="2781">
        <v>45168</v>
      </c>
      <c r="B1308" s="2788">
        <f>IFERROR(AVERAGE('2018+'!S2027:S2070),"")</f>
        <v>1.592142733387985</v>
      </c>
      <c r="C1308" s="2782">
        <f>IFERROR(AVERAGE('2018+'!N2027:N2070),"")</f>
        <v>1.0620575322977939</v>
      </c>
      <c r="D1308" s="2787">
        <f>'2018+'!U2070</f>
        <v>32.317277814434036</v>
      </c>
    </row>
    <row r="1309" spans="1:4" ht="15" x14ac:dyDescent="0.2">
      <c r="A1309" s="2781">
        <v>45169</v>
      </c>
      <c r="B1309" s="2788">
        <f>IFERROR(AVERAGE('2018+'!S2028:S2071),"")</f>
        <v>1.5888766044720462</v>
      </c>
      <c r="C1309" s="2782">
        <f>IFERROR(AVERAGE('2018+'!N2028:N2071),"")</f>
        <v>1.0616091465346214</v>
      </c>
      <c r="D1309" s="2787">
        <f>'2018+'!U2071</f>
        <v>33.500199771233227</v>
      </c>
    </row>
    <row r="1310" spans="1:4" ht="15" x14ac:dyDescent="0.2">
      <c r="A1310" s="2781">
        <v>45170</v>
      </c>
      <c r="B1310" s="2788">
        <f>IFERROR(AVERAGE('2018+'!S2029:S2072),"")</f>
        <v>1.5844611225336627</v>
      </c>
      <c r="C1310" s="2782">
        <f>IFERROR(AVERAGE('2018+'!N2029:N2072),"")</f>
        <v>1.0610967936642581</v>
      </c>
      <c r="D1310" s="2787">
        <f>'2018+'!U2072</f>
        <v>33.631147395727673</v>
      </c>
    </row>
    <row r="1311" spans="1:4" ht="15" x14ac:dyDescent="0.2">
      <c r="A1311" s="2781">
        <v>45171</v>
      </c>
      <c r="B1311" s="2788">
        <f>IFERROR(AVERAGE('2018+'!S2030:S2073),"")</f>
        <v>1.5837016364005263</v>
      </c>
      <c r="C1311" s="2782">
        <f>IFERROR(AVERAGE('2018+'!N2030:N2073),"")</f>
        <v>1.0610911071819062</v>
      </c>
      <c r="D1311" s="2787">
        <f>'2018+'!U2073</f>
        <v>32.830405791067491</v>
      </c>
    </row>
    <row r="1312" spans="1:4" ht="15" x14ac:dyDescent="0.2">
      <c r="A1312" s="2781">
        <v>45172</v>
      </c>
      <c r="B1312" s="2788">
        <f>IFERROR(AVERAGE('2018+'!S2031:S2074),"")</f>
        <v>1.5813870006816351</v>
      </c>
      <c r="C1312" s="2782">
        <f>IFERROR(AVERAGE('2018+'!N2031:N2074),"")</f>
        <v>1.061840382859335</v>
      </c>
      <c r="D1312" s="2787">
        <f>'2018+'!U2074</f>
        <v>34.120158034137312</v>
      </c>
    </row>
    <row r="1313" spans="1:4" ht="15" x14ac:dyDescent="0.2">
      <c r="A1313" s="2781">
        <v>45173</v>
      </c>
      <c r="B1313" s="2788">
        <f>IFERROR(AVERAGE('2018+'!S2032:S2075),"")</f>
        <v>1.5864984896664074</v>
      </c>
      <c r="C1313" s="2782">
        <f>IFERROR(AVERAGE('2018+'!N2032:N2075),"")</f>
        <v>1.0617163940083563</v>
      </c>
      <c r="D1313" s="2787">
        <f>'2018+'!U2075</f>
        <v>34.474439985705473</v>
      </c>
    </row>
    <row r="1314" spans="1:4" ht="15" x14ac:dyDescent="0.2">
      <c r="A1314" s="2781">
        <v>45174</v>
      </c>
      <c r="B1314" s="2788">
        <f>IFERROR(AVERAGE('2018+'!S2033:S2076),"")</f>
        <v>1.5874069461838913</v>
      </c>
      <c r="C1314" s="2782">
        <f>IFERROR(AVERAGE('2018+'!N2033:N2076),"")</f>
        <v>1.0615439479529236</v>
      </c>
      <c r="D1314" s="2787">
        <f>'2018+'!U2076</f>
        <v>35.677429509855344</v>
      </c>
    </row>
    <row r="1315" spans="1:4" ht="15" x14ac:dyDescent="0.2">
      <c r="A1315" s="2781">
        <v>45175</v>
      </c>
      <c r="B1315" s="2788">
        <f>IFERROR(AVERAGE('2018+'!S2034:S2077),"")</f>
        <v>1.5853206012346914</v>
      </c>
      <c r="C1315" s="2782">
        <f>IFERROR(AVERAGE('2018+'!N2034:N2077),"")</f>
        <v>1.0612176189944891</v>
      </c>
      <c r="D1315" s="2787">
        <f>'2018+'!U2077</f>
        <v>35.994633569144504</v>
      </c>
    </row>
    <row r="1316" spans="1:4" ht="15" x14ac:dyDescent="0.2">
      <c r="A1316" s="2781">
        <v>45176</v>
      </c>
      <c r="B1316" s="2788">
        <f>IFERROR(AVERAGE('2018+'!S2035:S2078),"")</f>
        <v>1.5853206012346914</v>
      </c>
      <c r="C1316" s="2782">
        <f>IFERROR(AVERAGE('2018+'!N2035:N2078),"")</f>
        <v>1.0612176189944891</v>
      </c>
      <c r="D1316" s="2787">
        <f>'2018+'!U2078</f>
        <v>35.137618484164875</v>
      </c>
    </row>
    <row r="1317" spans="1:4" ht="15" x14ac:dyDescent="0.2">
      <c r="A1317" s="2781">
        <v>45177</v>
      </c>
      <c r="B1317" s="2788">
        <f>IFERROR(AVERAGE('2018+'!S2036:S2079),"")</f>
        <v>1.5854320719880683</v>
      </c>
      <c r="C1317" s="2782">
        <f>IFERROR(AVERAGE('2018+'!N2036:N2079),"")</f>
        <v>1.0614077058826348</v>
      </c>
      <c r="D1317" s="2787">
        <f>'2018+'!U2079</f>
        <v>35.705770425018095</v>
      </c>
    </row>
    <row r="1318" spans="1:4" ht="15" x14ac:dyDescent="0.2">
      <c r="A1318" s="2781">
        <v>45178</v>
      </c>
      <c r="B1318" s="2788">
        <f>IFERROR(AVERAGE('2018+'!S2037:S2080),"")</f>
        <v>1.576208083635223</v>
      </c>
      <c r="C1318" s="2782">
        <f>IFERROR(AVERAGE('2018+'!N2037:N2080),"")</f>
        <v>1.0614372174988083</v>
      </c>
      <c r="D1318" s="2787">
        <f>'2018+'!U2080</f>
        <v>36.831823510136715</v>
      </c>
    </row>
    <row r="1319" spans="1:4" ht="15" x14ac:dyDescent="0.2">
      <c r="A1319" s="2781">
        <v>45179</v>
      </c>
      <c r="B1319" s="2788">
        <f>IFERROR(AVERAGE('2018+'!S2038:S2081),"")</f>
        <v>1.5719393338099008</v>
      </c>
      <c r="C1319" s="2782">
        <f>IFERROR(AVERAGE('2018+'!N2038:N2081),"")</f>
        <v>1.0611088443851133</v>
      </c>
      <c r="D1319" s="2787">
        <f>'2018+'!U2081</f>
        <v>35.954875331323933</v>
      </c>
    </row>
    <row r="1320" spans="1:4" ht="15" x14ac:dyDescent="0.2">
      <c r="A1320" s="2781">
        <v>45180</v>
      </c>
      <c r="B1320" s="2788">
        <f>IFERROR(AVERAGE('2018+'!S2039:S2082),"")</f>
        <v>1.5705141179299136</v>
      </c>
      <c r="C1320" s="2782">
        <f>IFERROR(AVERAGE('2018+'!N2039:N2082),"")</f>
        <v>1.0614170191446561</v>
      </c>
      <c r="D1320" s="2787">
        <f>'2018+'!U2082</f>
        <v>36.527378299625745</v>
      </c>
    </row>
    <row r="1321" spans="1:4" ht="15" x14ac:dyDescent="0.2">
      <c r="A1321" s="2781">
        <v>45181</v>
      </c>
      <c r="B1321" s="2788">
        <f>IFERROR(AVERAGE('2018+'!S2040:S2083),"")</f>
        <v>1.5716552933341328</v>
      </c>
      <c r="C1321" s="2782">
        <f>IFERROR(AVERAGE('2018+'!N2040:N2083),"")</f>
        <v>1.0610357616462693</v>
      </c>
      <c r="D1321" s="2787">
        <f>'2018+'!U2083</f>
        <v>35.657678816301321</v>
      </c>
    </row>
    <row r="1322" spans="1:4" ht="15" x14ac:dyDescent="0.2">
      <c r="A1322" s="2781">
        <v>45182</v>
      </c>
      <c r="B1322" s="2788">
        <f>IFERROR(AVERAGE('2018+'!S2041:S2084),"")</f>
        <v>1.5622749459138583</v>
      </c>
      <c r="C1322" s="2782">
        <f>IFERROR(AVERAGE('2018+'!N2041:N2084),"")</f>
        <v>1.0615215556670752</v>
      </c>
      <c r="D1322" s="2787">
        <f>'2018+'!U2084</f>
        <v>36.165829320675101</v>
      </c>
    </row>
    <row r="1323" spans="1:4" ht="15" x14ac:dyDescent="0.2">
      <c r="A1323" s="2781">
        <v>45183</v>
      </c>
      <c r="B1323" s="2788">
        <f>IFERROR(AVERAGE('2018+'!S2042:S2085),"")</f>
        <v>1.5622749459138583</v>
      </c>
      <c r="C1323" s="2782">
        <f>IFERROR(AVERAGE('2018+'!N2042:N2085),"")</f>
        <v>1.0615215556670752</v>
      </c>
      <c r="D1323" s="2787">
        <f>'2018+'!U2085</f>
        <v>35.30473814637331</v>
      </c>
    </row>
    <row r="1324" spans="1:4" ht="15" x14ac:dyDescent="0.2">
      <c r="A1324" s="2781">
        <v>45184</v>
      </c>
      <c r="B1324" s="2788">
        <f>IFERROR(AVERAGE('2018+'!S2043:S2086),"")</f>
        <v>1.562554920512121</v>
      </c>
      <c r="C1324" s="2782">
        <f>IFERROR(AVERAGE('2018+'!N2043:N2086),"")</f>
        <v>1.0618676017157618</v>
      </c>
      <c r="D1324" s="2787">
        <f>'2018+'!U2086</f>
        <v>34.464149142888232</v>
      </c>
    </row>
    <row r="1325" spans="1:4" ht="15" x14ac:dyDescent="0.2">
      <c r="A1325" s="2781">
        <v>45185</v>
      </c>
      <c r="B1325" s="2788">
        <f>IFERROR(AVERAGE('2018+'!S2044:S2087),"")</f>
        <v>1.5605645547372855</v>
      </c>
      <c r="C1325" s="2782">
        <f>IFERROR(AVERAGE('2018+'!N2044:N2087),"")</f>
        <v>1.0622631201815893</v>
      </c>
      <c r="D1325" s="2787">
        <f>'2018+'!U2087</f>
        <v>33.643574163295654</v>
      </c>
    </row>
    <row r="1326" spans="1:4" ht="15" x14ac:dyDescent="0.2">
      <c r="A1326" s="2781">
        <v>45186</v>
      </c>
      <c r="B1326" s="2788">
        <f>IFERROR(AVERAGE('2018+'!S2045:S2088),"")</f>
        <v>1.5525130249466255</v>
      </c>
      <c r="C1326" s="2782">
        <f>IFERROR(AVERAGE('2018+'!N2045:N2088),"")</f>
        <v>1.062411908079264</v>
      </c>
      <c r="D1326" s="2787">
        <f>'2018+'!U2088</f>
        <v>35.294917635598139</v>
      </c>
    </row>
    <row r="1327" spans="1:4" ht="15" x14ac:dyDescent="0.2">
      <c r="A1327" s="2781">
        <v>45187</v>
      </c>
      <c r="B1327" s="2788">
        <f>IFERROR(AVERAGE('2018+'!S2046:S2089),"")</f>
        <v>1.5526771327781503</v>
      </c>
      <c r="C1327" s="2782">
        <f>IFERROR(AVERAGE('2018+'!N2046:N2089),"")</f>
        <v>1.0621308994315</v>
      </c>
      <c r="D1327" s="2787">
        <f>'2018+'!U2089</f>
        <v>35.621229120464854</v>
      </c>
    </row>
    <row r="1328" spans="1:4" ht="15" x14ac:dyDescent="0.2">
      <c r="A1328" s="2781">
        <v>45188</v>
      </c>
      <c r="B1328" s="2788">
        <f>IFERROR(AVERAGE('2018+'!S2047:S2090),"")</f>
        <v>1.5552919075322942</v>
      </c>
      <c r="C1328" s="2782">
        <f>IFERROR(AVERAGE('2018+'!N2047:N2090),"")</f>
        <v>1.0624058295371872</v>
      </c>
      <c r="D1328" s="2787">
        <f>'2018+'!U2090</f>
        <v>34.773104617596644</v>
      </c>
    </row>
    <row r="1329" spans="1:4" ht="15" x14ac:dyDescent="0.2">
      <c r="A1329" s="2781">
        <v>45189</v>
      </c>
      <c r="B1329" s="2788">
        <f>IFERROR(AVERAGE('2018+'!S2048:S2091),"")</f>
        <v>1.5535833161470201</v>
      </c>
      <c r="C1329" s="2782">
        <f>IFERROR(AVERAGE('2018+'!N2048:N2091),"")</f>
        <v>1.062081895291916</v>
      </c>
      <c r="D1329" s="2787">
        <f>'2018+'!U2091</f>
        <v>35.897554507653865</v>
      </c>
    </row>
    <row r="1330" spans="1:4" ht="15" x14ac:dyDescent="0.2">
      <c r="A1330" s="2781">
        <v>45190</v>
      </c>
      <c r="B1330" s="2788">
        <f>IFERROR(AVERAGE('2018+'!S2049:S2092),"")</f>
        <v>1.5552491908868153</v>
      </c>
      <c r="C1330" s="2782">
        <f>IFERROR(AVERAGE('2018+'!N2049:N2092),"")</f>
        <v>1.06314392807326</v>
      </c>
      <c r="D1330" s="2787">
        <f>'2018+'!U2092</f>
        <v>36.328565114614484</v>
      </c>
    </row>
    <row r="1331" spans="1:4" ht="15" x14ac:dyDescent="0.2">
      <c r="A1331" s="2781">
        <v>45191</v>
      </c>
      <c r="B1331" s="2788">
        <f>IFERROR(AVERAGE('2018+'!S2050:S2093),"")</f>
        <v>1.5552491908868153</v>
      </c>
      <c r="C1331" s="2782">
        <f>IFERROR(AVERAGE('2018+'!N2050:N2093),"")</f>
        <v>1.06314392807326</v>
      </c>
      <c r="D1331" s="2787">
        <f>'2018+'!U2093</f>
        <v>35.463599278552238</v>
      </c>
    </row>
    <row r="1332" spans="1:4" ht="15" x14ac:dyDescent="0.2">
      <c r="A1332" s="2781">
        <v>45192</v>
      </c>
      <c r="B1332" s="2788">
        <f>IFERROR(AVERAGE('2018+'!S2051:S2094),"")</f>
        <v>1.5552491908868153</v>
      </c>
      <c r="C1332" s="2782">
        <f>IFERROR(AVERAGE('2018+'!N2051:N2094),"")</f>
        <v>1.06314392807326</v>
      </c>
      <c r="D1332" s="2787">
        <f>'2018+'!U2094</f>
        <v>34.619227867158138</v>
      </c>
    </row>
    <row r="1333" spans="1:4" ht="15" x14ac:dyDescent="0.2">
      <c r="A1333" s="2781">
        <v>45193</v>
      </c>
      <c r="B1333" s="2788">
        <f>IFERROR(AVERAGE('2018+'!S2052:S2095),"")</f>
        <v>1.5547527788963871</v>
      </c>
      <c r="C1333" s="2782">
        <f>IFERROR(AVERAGE('2018+'!N2052:N2095),"")</f>
        <v>1.0634289451974319</v>
      </c>
      <c r="D1333" s="2787">
        <f>'2018+'!U2095</f>
        <v>36.509246251273417</v>
      </c>
    </row>
    <row r="1334" spans="1:4" ht="15" x14ac:dyDescent="0.2">
      <c r="A1334" s="2781">
        <v>45194</v>
      </c>
      <c r="B1334" s="2788">
        <f>IFERROR(AVERAGE('2018+'!S2053:S2096),"")</f>
        <v>1.5531957389363233</v>
      </c>
      <c r="C1334" s="2782">
        <f>IFERROR(AVERAGE('2018+'!N2053:N2096),"")</f>
        <v>1.0621661180572264</v>
      </c>
      <c r="D1334" s="2787">
        <f>'2018+'!U2096</f>
        <v>36.401883245290719</v>
      </c>
    </row>
    <row r="1335" spans="1:4" ht="15" x14ac:dyDescent="0.2">
      <c r="A1335" s="2781">
        <v>45195</v>
      </c>
      <c r="B1335" s="2788">
        <f>IFERROR(AVERAGE('2018+'!S2054:S2097),"")</f>
        <v>1.5531957389363233</v>
      </c>
      <c r="C1335" s="2782">
        <f>IFERROR(AVERAGE('2018+'!N2054:N2097),"")</f>
        <v>1.0621661180572264</v>
      </c>
      <c r="D1335" s="2787">
        <f>'2018+'!U2097</f>
        <v>35.535171739450462</v>
      </c>
    </row>
    <row r="1336" spans="1:4" ht="15" x14ac:dyDescent="0.2">
      <c r="A1336" s="2781">
        <v>45196</v>
      </c>
      <c r="B1336" s="2788">
        <f>IFERROR(AVERAGE('2018+'!S2055:S2098),"")</f>
        <v>1.5547360804150694</v>
      </c>
      <c r="C1336" s="2782">
        <f>IFERROR(AVERAGE('2018+'!N2055:N2098),"")</f>
        <v>1.0619699599057992</v>
      </c>
      <c r="D1336" s="2787">
        <f>'2018+'!U2098</f>
        <v>35.617667650415925</v>
      </c>
    </row>
    <row r="1337" spans="1:4" ht="15" x14ac:dyDescent="0.2">
      <c r="A1337" s="2781">
        <v>45197</v>
      </c>
      <c r="B1337" s="2788">
        <f>IFERROR(AVERAGE('2018+'!S2056:S2099),"")</f>
        <v>1.5551717601220518</v>
      </c>
      <c r="C1337" s="2782">
        <f>IFERROR(AVERAGE('2018+'!N2056:N2099),"")</f>
        <v>1.0620868583268517</v>
      </c>
      <c r="D1337" s="2787">
        <f>'2018+'!U2099</f>
        <v>34.769627944453639</v>
      </c>
    </row>
    <row r="1338" spans="1:4" ht="15" x14ac:dyDescent="0.2">
      <c r="A1338" s="2781">
        <v>45198</v>
      </c>
      <c r="B1338" s="2788">
        <f>IFERROR(AVERAGE('2018+'!S2057:S2100),"")</f>
        <v>1.5483156451169664</v>
      </c>
      <c r="C1338" s="2782">
        <f>IFERROR(AVERAGE('2018+'!N2057:N2100),"")</f>
        <v>1.0624790858263016</v>
      </c>
      <c r="D1338" s="2787">
        <f>'2018+'!U2100</f>
        <v>34.489398707680934</v>
      </c>
    </row>
    <row r="1339" spans="1:4" ht="15" x14ac:dyDescent="0.2">
      <c r="A1339" s="2781">
        <v>45199</v>
      </c>
      <c r="B1339" s="2788">
        <f>IFERROR(AVERAGE('2018+'!S2058:S2101),"")</f>
        <v>1.5471119775133562</v>
      </c>
      <c r="C1339" s="2782">
        <f>IFERROR(AVERAGE('2018+'!N2058:N2101),"")</f>
        <v>1.0620026656662997</v>
      </c>
      <c r="D1339" s="2787">
        <f>'2018+'!U2101</f>
        <v>33.668222547974246</v>
      </c>
    </row>
    <row r="1340" spans="1:4" ht="15" x14ac:dyDescent="0.2">
      <c r="A1340" s="2781">
        <v>45200</v>
      </c>
      <c r="B1340" s="2788">
        <f>IFERROR(AVERAGE('2018+'!S2059:S2102),"")</f>
        <v>1.5471119775133562</v>
      </c>
      <c r="C1340" s="2782">
        <f>IFERROR(AVERAGE('2018+'!N2059:N2102),"")</f>
        <v>1.0620026656662997</v>
      </c>
      <c r="D1340" s="2787">
        <f>'2018+'!U2102</f>
        <v>32.866598201593909</v>
      </c>
    </row>
    <row r="1341" spans="1:4" ht="15" x14ac:dyDescent="0.2">
      <c r="A1341" s="2781">
        <v>45201</v>
      </c>
      <c r="B1341" s="2788">
        <f>IFERROR(AVERAGE('2018+'!S2060:S2103),"")</f>
        <v>1.5459321864703497</v>
      </c>
      <c r="C1341" s="2782">
        <f>IFERROR(AVERAGE('2018+'!N2060:N2103),"")</f>
        <v>1.062551110384077</v>
      </c>
      <c r="D1341" s="2787">
        <f>'2018+'!U2103</f>
        <v>33.655488720603579</v>
      </c>
    </row>
    <row r="1342" spans="1:4" ht="15" x14ac:dyDescent="0.2">
      <c r="A1342" s="2781">
        <v>45202</v>
      </c>
      <c r="B1342" s="2788">
        <f>IFERROR(AVERAGE('2018+'!S2061:S2104),"")</f>
        <v>1.5476824123059423</v>
      </c>
      <c r="C1342" s="2782">
        <f>IFERROR(AVERAGE('2018+'!N2061:N2104),"")</f>
        <v>1.0622200820321452</v>
      </c>
      <c r="D1342" s="2787">
        <f>'2018+'!U2104</f>
        <v>34.30654851297016</v>
      </c>
    </row>
    <row r="1343" spans="1:4" ht="15" x14ac:dyDescent="0.2">
      <c r="A1343" s="2781">
        <v>45203</v>
      </c>
      <c r="B1343" s="2788">
        <f>IFERROR(AVERAGE('2018+'!S2062:S2105),"")</f>
        <v>1.5476824123059423</v>
      </c>
      <c r="C1343" s="2782">
        <f>IFERROR(AVERAGE('2018+'!N2062:N2105),"")</f>
        <v>1.0622200820321452</v>
      </c>
      <c r="D1343" s="2787">
        <f>'2018+'!U2105</f>
        <v>33.48972592932801</v>
      </c>
    </row>
    <row r="1344" spans="1:4" ht="15" x14ac:dyDescent="0.2">
      <c r="A1344" s="2781">
        <v>45204</v>
      </c>
      <c r="B1344" s="2788">
        <f>IFERROR(AVERAGE('2018+'!S2063:S2106),"")</f>
        <v>1.5507801105586301</v>
      </c>
      <c r="C1344" s="2782">
        <f>IFERROR(AVERAGE('2018+'!N2063:N2106),"")</f>
        <v>1.0625823383091502</v>
      </c>
      <c r="D1344" s="2787">
        <f>'2018+'!U2106</f>
        <v>33.83520864529639</v>
      </c>
    </row>
    <row r="1345" spans="1:4" ht="15" x14ac:dyDescent="0.2">
      <c r="A1345" s="2781">
        <v>45205</v>
      </c>
      <c r="B1345" s="2788">
        <f>IFERROR(AVERAGE('2018+'!S2064:S2107),"")</f>
        <v>1.5507801105586301</v>
      </c>
      <c r="C1345" s="2782">
        <f>IFERROR(AVERAGE('2018+'!N2064:N2107),"")</f>
        <v>1.0625823383091502</v>
      </c>
      <c r="D1345" s="2787">
        <f>'2018+'!U2107</f>
        <v>33.029608439455998</v>
      </c>
    </row>
    <row r="1346" spans="1:4" ht="15" x14ac:dyDescent="0.2">
      <c r="A1346" s="2781">
        <v>45206</v>
      </c>
      <c r="B1346" s="2788">
        <f>IFERROR(AVERAGE('2018+'!S2065:S2108),"")</f>
        <v>1.5595772016910505</v>
      </c>
      <c r="C1346" s="2782">
        <f>IFERROR(AVERAGE('2018+'!N2065:N2108),"")</f>
        <v>1.0632427388599901</v>
      </c>
      <c r="D1346" s="2787">
        <f>'2018+'!U2108</f>
        <v>33.195570143278474</v>
      </c>
    </row>
    <row r="1347" spans="1:4" ht="15" x14ac:dyDescent="0.2">
      <c r="A1347" s="2781">
        <v>45207</v>
      </c>
      <c r="B1347" s="2788">
        <f>IFERROR(AVERAGE('2018+'!S2066:S2109),"")</f>
        <v>1.5580352834030942</v>
      </c>
      <c r="C1347" s="2782">
        <f>IFERROR(AVERAGE('2018+'!N2066:N2109),"")</f>
        <v>1.0634115647521907</v>
      </c>
      <c r="D1347" s="2787">
        <f>'2018+'!U2109</f>
        <v>32.405199425581365</v>
      </c>
    </row>
    <row r="1348" spans="1:4" ht="15" x14ac:dyDescent="0.2">
      <c r="A1348" s="2781">
        <v>45208</v>
      </c>
      <c r="B1348" s="2788">
        <f>IFERROR(AVERAGE('2018+'!S2067:S2110),"")</f>
        <v>1.5632560354835208</v>
      </c>
      <c r="C1348" s="2782">
        <f>IFERROR(AVERAGE('2018+'!N2067:N2110),"")</f>
        <v>1.0632164832114777</v>
      </c>
      <c r="D1348" s="2787">
        <f>'2018+'!U2110</f>
        <v>32.56221848687705</v>
      </c>
    </row>
    <row r="1349" spans="1:4" ht="15" x14ac:dyDescent="0.2">
      <c r="A1349" s="2781">
        <v>45209</v>
      </c>
      <c r="B1349" s="2788">
        <f>IFERROR(AVERAGE('2018+'!S2068:S2111),"")</f>
        <v>1.5680435380072435</v>
      </c>
      <c r="C1349" s="2782">
        <f>IFERROR(AVERAGE('2018+'!N2068:N2111),"")</f>
        <v>1.0626739005838035</v>
      </c>
      <c r="D1349" s="2787">
        <f>'2018+'!U2111</f>
        <v>32.953594237189499</v>
      </c>
    </row>
    <row r="1350" spans="1:4" ht="15" x14ac:dyDescent="0.2">
      <c r="A1350" s="2781">
        <v>45210</v>
      </c>
      <c r="B1350" s="2788">
        <f>IFERROR(AVERAGE('2018+'!S2069:S2112),"")</f>
        <v>1.565461656626814</v>
      </c>
      <c r="C1350" s="2782">
        <f>IFERROR(AVERAGE('2018+'!N2069:N2112),"")</f>
        <v>1.0624610715051528</v>
      </c>
      <c r="D1350" s="2787">
        <f>'2018+'!U2112</f>
        <v>34.31184199344689</v>
      </c>
    </row>
    <row r="1351" spans="1:4" ht="15" x14ac:dyDescent="0.2">
      <c r="A1351" s="2781">
        <v>45211</v>
      </c>
      <c r="B1351" s="2788">
        <f>IFERROR(AVERAGE('2018+'!S2070:S2113),"")</f>
        <v>1.5620677172328745</v>
      </c>
      <c r="C1351" s="2782">
        <f>IFERROR(AVERAGE('2018+'!N2070:N2113),"")</f>
        <v>1.0622948091141065</v>
      </c>
      <c r="D1351" s="2787">
        <f>'2018+'!U2113</f>
        <v>34.423464803126727</v>
      </c>
    </row>
    <row r="1352" spans="1:4" ht="15" x14ac:dyDescent="0.2">
      <c r="A1352" s="2781">
        <v>45212</v>
      </c>
      <c r="B1352" s="2788">
        <f>IFERROR(AVERAGE('2018+'!S2071:S2114),"")</f>
        <v>1.5650398920429596</v>
      </c>
      <c r="C1352" s="2782">
        <f>IFERROR(AVERAGE('2018+'!N2071:N2114),"")</f>
        <v>1.0623789314952132</v>
      </c>
      <c r="D1352" s="2787">
        <f>'2018+'!U2114</f>
        <v>34.675287069718948</v>
      </c>
    </row>
    <row r="1353" spans="1:4" ht="15" x14ac:dyDescent="0.2">
      <c r="A1353" s="2781">
        <v>45213</v>
      </c>
      <c r="B1353" s="2788">
        <f>IFERROR(AVERAGE('2018+'!S2072:S2115),"")</f>
        <v>1.5675502022455776</v>
      </c>
      <c r="C1353" s="2782">
        <f>IFERROR(AVERAGE('2018+'!N2072:N2115),"")</f>
        <v>1.0629707394836778</v>
      </c>
      <c r="D1353" s="2787">
        <f>'2018+'!U2115</f>
        <v>36.183018329963737</v>
      </c>
    </row>
    <row r="1354" spans="1:4" ht="15" x14ac:dyDescent="0.2">
      <c r="A1354" s="2781">
        <v>45214</v>
      </c>
      <c r="B1354" s="2788">
        <f>IFERROR(AVERAGE('2018+'!S2073:S2116),"")</f>
        <v>1.5712892473724378</v>
      </c>
      <c r="C1354" s="2782">
        <f>IFERROR(AVERAGE('2018+'!N2073:N2116),"")</f>
        <v>1.0635580501868176</v>
      </c>
      <c r="D1354" s="2787">
        <f>'2018+'!U2116</f>
        <v>35.321517893536026</v>
      </c>
    </row>
    <row r="1355" spans="1:4" ht="15" x14ac:dyDescent="0.2">
      <c r="A1355" s="2781">
        <v>45215</v>
      </c>
      <c r="B1355" s="2788">
        <f>IFERROR(AVERAGE('2018+'!S2074:S2117),"")</f>
        <v>1.5765601737555492</v>
      </c>
      <c r="C1355" s="2782">
        <f>IFERROR(AVERAGE('2018+'!N2074:N2117),"")</f>
        <v>1.063891299428491</v>
      </c>
      <c r="D1355" s="2787">
        <f>'2018+'!U2117</f>
        <v>35.551957943689928</v>
      </c>
    </row>
    <row r="1356" spans="1:4" ht="15" x14ac:dyDescent="0.2">
      <c r="A1356" s="2781">
        <v>45216</v>
      </c>
      <c r="B1356" s="2788">
        <f>IFERROR(AVERAGE('2018+'!S2075:S2118),"")</f>
        <v>1.5781074291906196</v>
      </c>
      <c r="C1356" s="2782">
        <f>IFERROR(AVERAGE('2018+'!N2075:N2118),"")</f>
        <v>1.0633193461884733</v>
      </c>
      <c r="D1356" s="2787">
        <f>'2018+'!U2118</f>
        <v>34.705482754554453</v>
      </c>
    </row>
    <row r="1357" spans="1:4" ht="15" x14ac:dyDescent="0.2">
      <c r="A1357" s="2781">
        <v>45217</v>
      </c>
      <c r="B1357" s="2788">
        <f>IFERROR(AVERAGE('2018+'!S2076:S2119),"")</f>
        <v>1.5727792438624342</v>
      </c>
      <c r="C1357" s="2782">
        <f>IFERROR(AVERAGE('2018+'!N2076:N2119),"")</f>
        <v>1.0634109407760608</v>
      </c>
      <c r="D1357" s="2787">
        <f>'2018+'!U2119</f>
        <v>36.093447450874585</v>
      </c>
    </row>
    <row r="1358" spans="1:4" ht="15" x14ac:dyDescent="0.2">
      <c r="A1358" s="2781">
        <v>45218</v>
      </c>
      <c r="B1358" s="2788">
        <f>IFERROR(AVERAGE('2018+'!S2077:S2120),"")</f>
        <v>1.5737674898968974</v>
      </c>
      <c r="C1358" s="2782">
        <f>IFERROR(AVERAGE('2018+'!N2077:N2120),"")</f>
        <v>1.062862371251843</v>
      </c>
      <c r="D1358" s="2787">
        <f>'2018+'!U2120</f>
        <v>36.091222511568049</v>
      </c>
    </row>
    <row r="1359" spans="1:4" ht="15" x14ac:dyDescent="0.2">
      <c r="A1359" s="2781">
        <v>45219</v>
      </c>
      <c r="B1359" s="2788">
        <f>IFERROR(AVERAGE('2018+'!S2078:S2121),"")</f>
        <v>1.5746770427424257</v>
      </c>
      <c r="C1359" s="2782">
        <f>IFERROR(AVERAGE('2018+'!N2078:N2121),"")</f>
        <v>1.0635730236212866</v>
      </c>
      <c r="D1359" s="2787">
        <f>'2018+'!U2121</f>
        <v>36.350955308911665</v>
      </c>
    </row>
    <row r="1360" spans="1:4" ht="15" x14ac:dyDescent="0.2">
      <c r="A1360" s="2781">
        <v>45220</v>
      </c>
      <c r="B1360" s="2788">
        <f>IFERROR(AVERAGE('2018+'!S2079:S2122),"")</f>
        <v>1.5746770427424257</v>
      </c>
      <c r="C1360" s="2782">
        <f>IFERROR(AVERAGE('2018+'!N2079:N2122),"")</f>
        <v>1.0635730236212866</v>
      </c>
      <c r="D1360" s="2787">
        <f>'2018+'!U2122</f>
        <v>35.485456372985198</v>
      </c>
    </row>
    <row r="1361" spans="1:4" ht="15" x14ac:dyDescent="0.2">
      <c r="A1361" s="2781">
        <v>45221</v>
      </c>
      <c r="B1361" s="2788">
        <f>IFERROR(AVERAGE('2018+'!S2080:S2123),"")</f>
        <v>1.573038885947418</v>
      </c>
      <c r="C1361" s="2782">
        <f>IFERROR(AVERAGE('2018+'!N2080:N2123),"")</f>
        <v>1.0635793278218804</v>
      </c>
      <c r="D1361" s="2787">
        <f>'2018+'!U2123</f>
        <v>37.259612173628405</v>
      </c>
    </row>
    <row r="1362" spans="1:4" ht="15" x14ac:dyDescent="0.2">
      <c r="A1362" s="2781">
        <v>45222</v>
      </c>
      <c r="B1362" s="2788">
        <f>IFERROR(AVERAGE('2018+'!S2081:S2124),"")</f>
        <v>1.5775861515473153</v>
      </c>
      <c r="C1362" s="2782">
        <f>IFERROR(AVERAGE('2018+'!N2081:N2124),"")</f>
        <v>1.0630171924024046</v>
      </c>
      <c r="D1362" s="2787">
        <f>'2018+'!U2124</f>
        <v>37.134383312351538</v>
      </c>
    </row>
    <row r="1363" spans="1:4" ht="15" x14ac:dyDescent="0.2">
      <c r="A1363" s="2781">
        <v>45223</v>
      </c>
      <c r="B1363" s="2788">
        <f>IFERROR(AVERAGE('2018+'!S2082:S2125),"")</f>
        <v>1.5775861515473153</v>
      </c>
      <c r="C1363" s="2782">
        <f>IFERROR(AVERAGE('2018+'!N2082:N2125),"")</f>
        <v>1.0630171924024046</v>
      </c>
      <c r="D1363" s="2787">
        <f>'2018+'!U2125</f>
        <v>36.250231328724119</v>
      </c>
    </row>
    <row r="1364" spans="1:4" ht="15" x14ac:dyDescent="0.2">
      <c r="A1364" s="2781">
        <v>45224</v>
      </c>
      <c r="B1364" s="2788">
        <f>IFERROR(AVERAGE('2018+'!S2083:S2126),"")</f>
        <v>1.5802467467660497</v>
      </c>
      <c r="C1364" s="2782">
        <f>IFERROR(AVERAGE('2018+'!N2083:N2126),"")</f>
        <v>1.063145547758555</v>
      </c>
      <c r="D1364" s="2787">
        <f>'2018+'!U2126</f>
        <v>37.29189248756402</v>
      </c>
    </row>
    <row r="1365" spans="1:4" ht="15" x14ac:dyDescent="0.2">
      <c r="A1365" s="2781">
        <v>45225</v>
      </c>
      <c r="B1365" s="2788">
        <f>IFERROR(AVERAGE('2018+'!S2084:S2127),"")</f>
        <v>1.5802467467660497</v>
      </c>
      <c r="C1365" s="2782">
        <f>IFERROR(AVERAGE('2018+'!N2084:N2127),"")</f>
        <v>1.063145547758555</v>
      </c>
      <c r="D1365" s="2787">
        <f>'2018+'!U2127</f>
        <v>36.403990285479161</v>
      </c>
    </row>
    <row r="1366" spans="1:4" ht="15" x14ac:dyDescent="0.2">
      <c r="A1366" s="2781">
        <v>45226</v>
      </c>
      <c r="B1366" s="2788">
        <f>IFERROR(AVERAGE('2018+'!S2085:S2128),"")</f>
        <v>1.5818673035705249</v>
      </c>
      <c r="C1366" s="2782">
        <f>IFERROR(AVERAGE('2018+'!N2085:N2128),"")</f>
        <v>1.0625621736886062</v>
      </c>
      <c r="D1366" s="2787">
        <f>'2018+'!U2128</f>
        <v>35.537228612015369</v>
      </c>
    </row>
    <row r="1367" spans="1:4" ht="15" x14ac:dyDescent="0.2">
      <c r="A1367" s="2781">
        <v>45227</v>
      </c>
      <c r="B1367" s="2788">
        <f>IFERROR(AVERAGE('2018+'!S2086:S2129),"")</f>
        <v>1.5818673035705249</v>
      </c>
      <c r="C1367" s="2782">
        <f>IFERROR(AVERAGE('2018+'!N2086:N2129),"")</f>
        <v>1.0625621736886062</v>
      </c>
      <c r="D1367" s="2787">
        <f>'2018+'!U2129</f>
        <v>34.691104121253098</v>
      </c>
    </row>
    <row r="1368" spans="1:4" ht="15" x14ac:dyDescent="0.2">
      <c r="A1368" s="2781">
        <v>45228</v>
      </c>
      <c r="B1368" s="2788">
        <f>IFERROR(AVERAGE('2018+'!S2087:S2130),"")</f>
        <v>1.5818673035705249</v>
      </c>
      <c r="C1368" s="2782">
        <f>IFERROR(AVERAGE('2018+'!N2087:N2130),"")</f>
        <v>1.0625621736886062</v>
      </c>
      <c r="D1368" s="2787">
        <f>'2018+'!U2130</f>
        <v>33.865125451699456</v>
      </c>
    </row>
    <row r="1369" spans="1:4" ht="15" x14ac:dyDescent="0.2">
      <c r="A1369" s="2781">
        <v>45229</v>
      </c>
      <c r="B1369" s="2788">
        <f>IFERROR(AVERAGE('2018+'!S2088:S2131),"")</f>
        <v>1.5818673035705249</v>
      </c>
      <c r="C1369" s="2782">
        <f>IFERROR(AVERAGE('2018+'!N2088:N2131),"")</f>
        <v>1.0625621736886062</v>
      </c>
      <c r="D1369" s="2787">
        <f>'2018+'!U2131</f>
        <v>33.058812940944705</v>
      </c>
    </row>
    <row r="1370" spans="1:4" ht="15" x14ac:dyDescent="0.2">
      <c r="A1370" s="2781">
        <v>45230</v>
      </c>
      <c r="B1370" s="2788">
        <f>IFERROR(AVERAGE('2018+'!S2089:S2132),"")</f>
        <v>1.5865539657225443</v>
      </c>
      <c r="C1370" s="2782">
        <f>IFERROR(AVERAGE('2018+'!N2089:N2132),"")</f>
        <v>1.0623500872860923</v>
      </c>
      <c r="D1370" s="2787">
        <f>'2018+'!U2132</f>
        <v>32.271698347112689</v>
      </c>
    </row>
    <row r="1371" spans="1:4" ht="15" x14ac:dyDescent="0.2">
      <c r="A1371" s="2781">
        <v>45231</v>
      </c>
      <c r="B1371" s="2788">
        <f>IFERROR(AVERAGE('2018+'!S2090:S2133),"")</f>
        <v>1.5879222544870588</v>
      </c>
      <c r="C1371" s="2782">
        <f>IFERROR(AVERAGE('2018+'!N2090:N2133),"")</f>
        <v>1.0626538321385091</v>
      </c>
      <c r="D1371" s="2787">
        <f>'2018+'!U2133</f>
        <v>31.503324576943339</v>
      </c>
    </row>
    <row r="1372" spans="1:4" ht="15" x14ac:dyDescent="0.2">
      <c r="A1372" s="2781">
        <v>45232</v>
      </c>
      <c r="B1372" s="2788">
        <f>IFERROR(AVERAGE('2018+'!S2091:S2134),"")</f>
        <v>1.5879222544870588</v>
      </c>
      <c r="C1372" s="2782">
        <f>IFERROR(AVERAGE('2018+'!N2091:N2134),"")</f>
        <v>1.0626538321385091</v>
      </c>
      <c r="D1372" s="2787">
        <f>'2018+'!U2134</f>
        <v>30.753245420349451</v>
      </c>
    </row>
    <row r="1373" spans="1:4" ht="15" x14ac:dyDescent="0.2">
      <c r="A1373" s="2781">
        <v>45233</v>
      </c>
      <c r="B1373" s="2788">
        <f>IFERROR(AVERAGE('2018+'!S2092:S2135),"")</f>
        <v>1.5914287564014087</v>
      </c>
      <c r="C1373" s="2782">
        <f>IFERROR(AVERAGE('2018+'!N2092:N2135),"")</f>
        <v>1.0630358523522152</v>
      </c>
      <c r="D1373" s="2787">
        <f>'2018+'!U2135</f>
        <v>30.021025291293512</v>
      </c>
    </row>
    <row r="1374" spans="1:4" ht="15" x14ac:dyDescent="0.2">
      <c r="A1374" s="2781">
        <v>45234</v>
      </c>
      <c r="B1374" s="2788">
        <f>IFERROR(AVERAGE('2018+'!S2093:S2136),"")</f>
        <v>1.5875356272923455</v>
      </c>
      <c r="C1374" s="2782">
        <f>IFERROR(AVERAGE('2018+'!N2093:N2136),"")</f>
        <v>1.062890301897951</v>
      </c>
      <c r="D1374" s="2787">
        <f>'2018+'!U2136</f>
        <v>29.306238974834141</v>
      </c>
    </row>
    <row r="1375" spans="1:4" ht="15" x14ac:dyDescent="0.2">
      <c r="A1375" s="2781">
        <v>45235</v>
      </c>
      <c r="B1375" s="2788">
        <f>IFERROR(AVERAGE('2018+'!S2094:S2137),"")</f>
        <v>1.5875356272923455</v>
      </c>
      <c r="C1375" s="2782">
        <f>IFERROR(AVERAGE('2018+'!N2094:N2137),"")</f>
        <v>1.062890301897951</v>
      </c>
      <c r="D1375" s="2787">
        <f>'2018+'!U2137</f>
        <v>28.608471380195233</v>
      </c>
    </row>
    <row r="1376" spans="1:4" ht="15" x14ac:dyDescent="0.2">
      <c r="A1376" s="2781">
        <v>45236</v>
      </c>
      <c r="B1376" s="2788">
        <f>IFERROR(AVERAGE('2018+'!S2095:S2138),"")</f>
        <v>1.5875356272923455</v>
      </c>
      <c r="C1376" s="2782">
        <f>IFERROR(AVERAGE('2018+'!N2095:N2138),"")</f>
        <v>1.062890301897951</v>
      </c>
      <c r="D1376" s="2787">
        <f>'2018+'!U2138</f>
        <v>27.927317299714396</v>
      </c>
    </row>
    <row r="1377" spans="1:4" ht="15" x14ac:dyDescent="0.2">
      <c r="A1377" s="2781">
        <v>45237</v>
      </c>
      <c r="B1377" s="2788">
        <f>IFERROR(AVERAGE('2018+'!S2096:S2139),"")</f>
        <v>1.5869863117069958</v>
      </c>
      <c r="C1377" s="2782">
        <f>IFERROR(AVERAGE('2018+'!N2096:N2139),"")</f>
        <v>1.0622747163544961</v>
      </c>
      <c r="D1377" s="2787">
        <f>'2018+'!U2139</f>
        <v>28.000476411625957</v>
      </c>
    </row>
    <row r="1378" spans="1:4" ht="15" x14ac:dyDescent="0.2">
      <c r="A1378" s="2781">
        <v>45238</v>
      </c>
      <c r="B1378" s="2788">
        <f>IFERROR(AVERAGE('2018+'!S2097:S2140),"")</f>
        <v>1.5866746103431928</v>
      </c>
      <c r="C1378" s="2782">
        <f>IFERROR(AVERAGE('2018+'!N2097:N2140),"")</f>
        <v>1.0629446778929323</v>
      </c>
      <c r="D1378" s="2787">
        <f>'2018+'!U2140</f>
        <v>27.333798401825341</v>
      </c>
    </row>
    <row r="1379" spans="1:4" ht="15" x14ac:dyDescent="0.2">
      <c r="A1379" s="2781">
        <v>45239</v>
      </c>
      <c r="B1379" s="2788">
        <f>IFERROR(AVERAGE('2018+'!S2098:S2141),"")</f>
        <v>1.5866746103431928</v>
      </c>
      <c r="C1379" s="2782">
        <f>IFERROR(AVERAGE('2018+'!N2098:N2141),"")</f>
        <v>1.0629446778929323</v>
      </c>
      <c r="D1379" s="2787">
        <f>'2018+'!U2141</f>
        <v>26.682993677972355</v>
      </c>
    </row>
    <row r="1380" spans="1:4" ht="15" x14ac:dyDescent="0.2">
      <c r="A1380" s="2781">
        <v>45240</v>
      </c>
      <c r="B1380" s="2788">
        <f>IFERROR(AVERAGE('2018+'!S2099:S2142),"")</f>
        <v>1.5864909617072436</v>
      </c>
      <c r="C1380" s="2782">
        <f>IFERROR(AVERAGE('2018+'!N2099:N2142),"")</f>
        <v>1.0632334334439832</v>
      </c>
      <c r="D1380" s="2787">
        <f>'2018+'!U2142</f>
        <v>26.047684304687298</v>
      </c>
    </row>
    <row r="1381" spans="1:4" ht="15" x14ac:dyDescent="0.2">
      <c r="A1381" s="2781">
        <v>45241</v>
      </c>
      <c r="B1381" s="2788">
        <f>IFERROR(AVERAGE('2018+'!S2100:S2143),"")</f>
        <v>1.5864909617072436</v>
      </c>
      <c r="C1381" s="2782">
        <f>IFERROR(AVERAGE('2018+'!N2100:N2143),"")</f>
        <v>1.0632334334439832</v>
      </c>
      <c r="D1381" s="2787">
        <f>'2018+'!U2143</f>
        <v>25.427501345051887</v>
      </c>
    </row>
    <row r="1382" spans="1:4" ht="15" x14ac:dyDescent="0.2">
      <c r="A1382" s="2781">
        <v>45242</v>
      </c>
      <c r="B1382" s="2788">
        <f>IFERROR(AVERAGE('2018+'!S2101:S2144),"")</f>
        <v>1.5936755292307037</v>
      </c>
      <c r="C1382" s="2782">
        <f>IFERROR(AVERAGE('2018+'!N2101:N2144),"")</f>
        <v>1.0669040859317858</v>
      </c>
      <c r="D1382" s="2787">
        <f>'2018+'!U2144</f>
        <v>25.560179884455412</v>
      </c>
    </row>
    <row r="1383" spans="1:4" ht="15" x14ac:dyDescent="0.2">
      <c r="A1383" s="2781">
        <v>45243</v>
      </c>
      <c r="B1383" s="2788">
        <f>IFERROR(AVERAGE('2018+'!S2102:S2145),"")</f>
        <v>1.5936755292307037</v>
      </c>
      <c r="C1383" s="2782">
        <f>IFERROR(AVERAGE('2018+'!N2102:N2145),"")</f>
        <v>1.0669040859317858</v>
      </c>
      <c r="D1383" s="2787">
        <f>'2018+'!U2145</f>
        <v>24.95160417292076</v>
      </c>
    </row>
    <row r="1384" spans="1:4" ht="15" x14ac:dyDescent="0.2">
      <c r="A1384" s="2781">
        <v>45244</v>
      </c>
      <c r="B1384" s="2788">
        <f>IFERROR(AVERAGE('2018+'!S2103:S2146),"")</f>
        <v>1.5936755292307037</v>
      </c>
      <c r="C1384" s="2782">
        <f>IFERROR(AVERAGE('2018+'!N2103:N2146),"")</f>
        <v>1.0669040859317858</v>
      </c>
      <c r="D1384" s="2787">
        <f>'2018+'!U2146</f>
        <v>24.357518359279791</v>
      </c>
    </row>
    <row r="1385" spans="1:4" ht="15" x14ac:dyDescent="0.2">
      <c r="A1385" s="2781">
        <v>45245</v>
      </c>
      <c r="B1385" s="2788">
        <f>IFERROR(AVERAGE('2018+'!S2104:S2147),"")</f>
        <v>1.5978354479390093</v>
      </c>
      <c r="C1385" s="2782">
        <f>IFERROR(AVERAGE('2018+'!N2104:N2147),"")</f>
        <v>1.0664451274339428</v>
      </c>
      <c r="D1385" s="2787">
        <f>'2018+'!U2147</f>
        <v>23.777577445963605</v>
      </c>
    </row>
    <row r="1386" spans="1:4" ht="15" x14ac:dyDescent="0.2">
      <c r="A1386" s="2781">
        <v>45246</v>
      </c>
      <c r="B1386" s="2788">
        <f>IFERROR(AVERAGE('2018+'!S2105:S2148),"")</f>
        <v>1.5970545265759444</v>
      </c>
      <c r="C1386" s="2782">
        <f>IFERROR(AVERAGE('2018+'!N2105:N2148),"")</f>
        <v>1.0662519628978675</v>
      </c>
      <c r="D1386" s="2787">
        <f>'2018+'!U2148</f>
        <v>23.211444649631137</v>
      </c>
    </row>
    <row r="1387" spans="1:4" ht="15" x14ac:dyDescent="0.2">
      <c r="A1387" s="2781">
        <v>45247</v>
      </c>
      <c r="B1387" s="2788">
        <f>IFERROR(AVERAGE('2018+'!S2106:S2149),"")</f>
        <v>1.5970545265759444</v>
      </c>
      <c r="C1387" s="2782">
        <f>IFERROR(AVERAGE('2018+'!N2106:N2149),"")</f>
        <v>1.0662519628978675</v>
      </c>
      <c r="D1387" s="2787">
        <f>'2018+'!U2149</f>
        <v>22.658791205592301</v>
      </c>
    </row>
    <row r="1388" spans="1:4" ht="15" x14ac:dyDescent="0.2">
      <c r="A1388" s="2781">
        <v>45248</v>
      </c>
      <c r="B1388" s="2788">
        <f>IFERROR(AVERAGE('2018+'!S2107:S2150),"")</f>
        <v>1.5950559183579087</v>
      </c>
      <c r="C1388" s="2782">
        <f>IFERROR(AVERAGE('2018+'!N2107:N2150),"")</f>
        <v>1.0665405406872521</v>
      </c>
      <c r="D1388" s="2787">
        <f>'2018+'!U2150</f>
        <v>22.119296176887723</v>
      </c>
    </row>
    <row r="1389" spans="1:4" ht="15" x14ac:dyDescent="0.2">
      <c r="A1389" s="2781">
        <v>45249</v>
      </c>
      <c r="B1389" s="2788">
        <f>IFERROR(AVERAGE('2018+'!S2108:S2151),"")</f>
        <v>1.5950559183579087</v>
      </c>
      <c r="C1389" s="2782">
        <f>IFERROR(AVERAGE('2018+'!N2108:N2151),"")</f>
        <v>1.0665405406872521</v>
      </c>
      <c r="D1389" s="2787">
        <f>'2018+'!U2151</f>
        <v>21.592646267914205</v>
      </c>
    </row>
    <row r="1390" spans="1:4" ht="15" x14ac:dyDescent="0.2">
      <c r="A1390" s="2781">
        <v>45250</v>
      </c>
      <c r="B1390" s="2788">
        <f>IFERROR(AVERAGE('2018+'!S2109:S2152),"")</f>
        <v>1.5908141372664</v>
      </c>
      <c r="C1390" s="2782">
        <f>IFERROR(AVERAGE('2018+'!N2109:N2152),"")</f>
        <v>1.066587920016651</v>
      </c>
      <c r="D1390" s="2787">
        <f>'2018+'!U2152</f>
        <v>21.078535642487676</v>
      </c>
    </row>
    <row r="1391" spans="1:4" ht="15" x14ac:dyDescent="0.2">
      <c r="A1391" s="2781">
        <v>45251</v>
      </c>
      <c r="B1391" s="2788">
        <f>IFERROR(AVERAGE('2018+'!S2110:S2153),"")</f>
        <v>1.5908141372664</v>
      </c>
      <c r="C1391" s="2782">
        <f>IFERROR(AVERAGE('2018+'!N2110:N2153),"")</f>
        <v>1.066587920016651</v>
      </c>
      <c r="D1391" s="2787">
        <f>'2018+'!U2153</f>
        <v>20.576665746237971</v>
      </c>
    </row>
    <row r="1392" spans="1:4" ht="15" x14ac:dyDescent="0.2">
      <c r="A1392" s="2781">
        <v>45252</v>
      </c>
      <c r="B1392" s="2788">
        <f>IFERROR(AVERAGE('2018+'!S2111:S2154),"")</f>
        <v>1.5842056232616191</v>
      </c>
      <c r="C1392" s="2782">
        <f>IFERROR(AVERAGE('2018+'!N2111:N2154),"")</f>
        <v>1.0671492280339061</v>
      </c>
      <c r="D1392" s="2787">
        <f>'2018+'!U2154</f>
        <v>20.086745133232306</v>
      </c>
    </row>
    <row r="1393" spans="1:4" ht="15" x14ac:dyDescent="0.2">
      <c r="A1393" s="2781">
        <v>45253</v>
      </c>
      <c r="B1393" s="2788">
        <f>IFERROR(AVERAGE('2018+'!S2112:S2155),"")</f>
        <v>1.5794776487941604</v>
      </c>
      <c r="C1393" s="2782">
        <f>IFERROR(AVERAGE('2018+'!N2112:N2155),"")</f>
        <v>1.0674516494040487</v>
      </c>
      <c r="D1393" s="2787">
        <f>'2018+'!U2155</f>
        <v>19.608489296726773</v>
      </c>
    </row>
    <row r="1394" spans="1:4" ht="15" x14ac:dyDescent="0.2">
      <c r="A1394" s="2781">
        <v>45254</v>
      </c>
      <c r="B1394" s="2788">
        <f>IFERROR(AVERAGE('2018+'!S2113:S2156),"")</f>
        <v>1.5858094109022984</v>
      </c>
      <c r="C1394" s="2782">
        <f>IFERROR(AVERAGE('2018+'!N2113:N2156),"")</f>
        <v>1.0682931890529246</v>
      </c>
      <c r="D1394" s="2787">
        <f>'2018+'!U2156</f>
        <v>19.141620503947564</v>
      </c>
    </row>
    <row r="1395" spans="1:4" ht="15" x14ac:dyDescent="0.2">
      <c r="A1395" s="2781">
        <v>45255</v>
      </c>
      <c r="B1395" s="2788">
        <f>IFERROR(AVERAGE('2018+'!S2114:S2157),"")</f>
        <v>1.60270117552978</v>
      </c>
      <c r="C1395" s="2782">
        <f>IFERROR(AVERAGE('2018+'!N2114:N2157),"")</f>
        <v>1.0694329269499188</v>
      </c>
      <c r="D1395" s="2787">
        <f>'2018+'!U2157</f>
        <v>18.685867634805955</v>
      </c>
    </row>
    <row r="1396" spans="1:4" ht="15" x14ac:dyDescent="0.2">
      <c r="A1396" s="2781">
        <v>45256</v>
      </c>
      <c r="B1396" s="2788">
        <f>IFERROR(AVERAGE('2018+'!S2115:S2158),"")</f>
        <v>1.5990368668532497</v>
      </c>
      <c r="C1396" s="2782">
        <f>IFERROR(AVERAGE('2018+'!N2115:N2158),"")</f>
        <v>1.0699280205426225</v>
      </c>
      <c r="D1396" s="2787">
        <f>'2018+'!U2158</f>
        <v>18.240966024453432</v>
      </c>
    </row>
    <row r="1397" spans="1:4" ht="15" x14ac:dyDescent="0.2">
      <c r="A1397" s="2781">
        <v>45257</v>
      </c>
      <c r="B1397" s="2788">
        <f>IFERROR(AVERAGE('2018+'!S2116:S2159),"")</f>
        <v>1.6016234547527692</v>
      </c>
      <c r="C1397" s="2782">
        <f>IFERROR(AVERAGE('2018+'!N2116:N2159),"")</f>
        <v>1.0703383677230738</v>
      </c>
      <c r="D1397" s="2787">
        <f>'2018+'!U2159</f>
        <v>17.806657309585493</v>
      </c>
    </row>
    <row r="1398" spans="1:4" ht="15" x14ac:dyDescent="0.2">
      <c r="A1398" s="2781">
        <v>45258</v>
      </c>
      <c r="B1398" s="2788">
        <f>IFERROR(AVERAGE('2018+'!S2117:S2160),"")</f>
        <v>1.6016234547527692</v>
      </c>
      <c r="C1398" s="2782">
        <f>IFERROR(AVERAGE('2018+'!N2117:N2160),"")</f>
        <v>1.0703383677230738</v>
      </c>
      <c r="D1398" s="2787">
        <f>'2018+'!U2160</f>
        <v>17.382689278404886</v>
      </c>
    </row>
    <row r="1399" spans="1:4" ht="15" x14ac:dyDescent="0.2">
      <c r="A1399" s="2781">
        <v>45259</v>
      </c>
      <c r="B1399" s="2788">
        <f>IFERROR(AVERAGE('2018+'!S2118:S2161),"")</f>
        <v>1.5882847199301988</v>
      </c>
      <c r="C1399" s="2782">
        <f>IFERROR(AVERAGE('2018+'!N2118:N2161),"")</f>
        <v>1.0701028473796677</v>
      </c>
      <c r="D1399" s="2787">
        <f>'2018+'!U2161</f>
        <v>16.96881572415715</v>
      </c>
    </row>
    <row r="1400" spans="1:4" ht="15" x14ac:dyDescent="0.2">
      <c r="A1400" s="2781">
        <v>45260</v>
      </c>
      <c r="B1400" s="2788">
        <f>IFERROR(AVERAGE('2018+'!S2119:S2162),"")</f>
        <v>1.5882847199301988</v>
      </c>
      <c r="C1400" s="2782">
        <f>IFERROR(AVERAGE('2018+'!N2119:N2162),"")</f>
        <v>1.0701028473796677</v>
      </c>
      <c r="D1400" s="2787">
        <f>'2018+'!U2162</f>
        <v>16.564796302153407</v>
      </c>
    </row>
    <row r="1401" spans="1:4" ht="15" x14ac:dyDescent="0.2">
      <c r="A1401" s="2781">
        <v>45261</v>
      </c>
      <c r="B1401" s="2788">
        <f>IFERROR(AVERAGE('2018+'!S2120:S2163),"")</f>
        <v>1.5893138111943581</v>
      </c>
      <c r="C1401" s="2782">
        <f>IFERROR(AVERAGE('2018+'!N2120:N2163),"")</f>
        <v>1.0714166059448225</v>
      </c>
      <c r="D1401" s="2787">
        <f>'2018+'!U2163</f>
        <v>16.170396390197375</v>
      </c>
    </row>
    <row r="1402" spans="1:4" ht="15" x14ac:dyDescent="0.2">
      <c r="A1402" s="2781">
        <v>45262</v>
      </c>
      <c r="B1402" s="2788">
        <f>IFERROR(AVERAGE('2018+'!S2121:S2164),"")</f>
        <v>1.5904199188343628</v>
      </c>
      <c r="C1402" s="2782">
        <f>IFERROR(AVERAGE('2018+'!N2121:N2164),"")</f>
        <v>1.0755708355905969</v>
      </c>
      <c r="D1402" s="2787">
        <f>'2018+'!U2164</f>
        <v>15.785386952335532</v>
      </c>
    </row>
    <row r="1403" spans="1:4" ht="15" x14ac:dyDescent="0.2">
      <c r="A1403" s="2781">
        <v>45263</v>
      </c>
      <c r="B1403" s="2788">
        <f>IFERROR(AVERAGE('2018+'!S2122:S2165),"")</f>
        <v>1.5803789026012356</v>
      </c>
      <c r="C1403" s="2782">
        <f>IFERROR(AVERAGE('2018+'!N2122:N2165),"")</f>
        <v>1.0773254531511152</v>
      </c>
      <c r="D1403" s="2787">
        <f>'2018+'!U2165</f>
        <v>15.409544405851353</v>
      </c>
    </row>
    <row r="1404" spans="1:4" ht="15" x14ac:dyDescent="0.2">
      <c r="A1404" s="2781">
        <v>45264</v>
      </c>
      <c r="B1404" s="2788">
        <f>IFERROR(AVERAGE('2018+'!S2123:S2166),"")</f>
        <v>1.5803789026012356</v>
      </c>
      <c r="C1404" s="2782">
        <f>IFERROR(AVERAGE('2018+'!N2123:N2166),"")</f>
        <v>1.0773254531511152</v>
      </c>
      <c r="D1404" s="2787">
        <f>'2018+'!U2166</f>
        <v>15.04265049142632</v>
      </c>
    </row>
    <row r="1405" spans="1:4" ht="15" x14ac:dyDescent="0.2">
      <c r="A1405" s="2781">
        <v>45265</v>
      </c>
      <c r="B1405" s="2788">
        <f>IFERROR(AVERAGE('2018+'!S2124:S2167),"")</f>
        <v>1.5842522542057427</v>
      </c>
      <c r="C1405" s="2782">
        <f>IFERROR(AVERAGE('2018+'!N2124:N2167),"")</f>
        <v>1.0799507485185162</v>
      </c>
      <c r="D1405" s="2787">
        <f>'2018+'!U2167</f>
        <v>14.68449214639236</v>
      </c>
    </row>
    <row r="1406" spans="1:4" ht="15" x14ac:dyDescent="0.2">
      <c r="A1406" s="2781">
        <v>45266</v>
      </c>
      <c r="B1406" s="2788">
        <f>IFERROR(AVERAGE('2018+'!S2125:S2168),"")</f>
        <v>1.568176794781446</v>
      </c>
      <c r="C1406" s="2782">
        <f>IFERROR(AVERAGE('2018+'!N2125:N2168),"")</f>
        <v>1.0878453310347567</v>
      </c>
      <c r="D1406" s="2787">
        <f>'2018+'!U2168</f>
        <v>14.334861381002066</v>
      </c>
    </row>
    <row r="1407" spans="1:4" ht="15" x14ac:dyDescent="0.2">
      <c r="A1407" s="2781">
        <v>45267</v>
      </c>
      <c r="B1407" s="2788">
        <f>IFERROR(AVERAGE('2018+'!S2126:S2169),"")</f>
        <v>1.568176794781446</v>
      </c>
      <c r="C1407" s="2782">
        <f>IFERROR(AVERAGE('2018+'!N2126:N2169),"")</f>
        <v>1.0878453310347567</v>
      </c>
      <c r="D1407" s="2787">
        <f>'2018+'!U2169</f>
        <v>13.993555157644874</v>
      </c>
    </row>
    <row r="1408" spans="1:4" ht="15" x14ac:dyDescent="0.2">
      <c r="A1408" s="2781">
        <v>45268</v>
      </c>
      <c r="B1408" s="2788">
        <f>IFERROR(AVERAGE('2018+'!S2127:S2170),"")</f>
        <v>1.5515658914728683</v>
      </c>
      <c r="C1408" s="2782">
        <f>IFERROR(AVERAGE('2018+'!N2127:N2170),"")</f>
        <v>1.095602860533643</v>
      </c>
      <c r="D1408" s="2787">
        <f>'2018+'!U2170</f>
        <v>13.660375272939044</v>
      </c>
    </row>
    <row r="1409" spans="1:4" ht="15" x14ac:dyDescent="0.2">
      <c r="A1409" s="2781">
        <v>45269</v>
      </c>
      <c r="B1409" s="2788">
        <f>IFERROR(AVERAGE('2018+'!S2128:S2171),"")</f>
        <v>1.5515658914728683</v>
      </c>
      <c r="C1409" s="2782">
        <f>IFERROR(AVERAGE('2018+'!N2128:N2171),"")</f>
        <v>1.095602860533643</v>
      </c>
      <c r="D1409" s="2787">
        <f>'2018+'!U2171</f>
        <v>13.335128242630972</v>
      </c>
    </row>
    <row r="1410" spans="1:4" ht="15" x14ac:dyDescent="0.2">
      <c r="A1410" s="2781">
        <v>45270</v>
      </c>
      <c r="B1410" s="2788">
        <f>IFERROR(AVERAGE('2018+'!S2129:S2172),"")</f>
        <v>1.5515658914728683</v>
      </c>
      <c r="C1410" s="2782">
        <f>IFERROR(AVERAGE('2018+'!N2129:N2172),"")</f>
        <v>1.095602860533643</v>
      </c>
      <c r="D1410" s="2787">
        <f>'2018+'!U2172</f>
        <v>13.017625189234996</v>
      </c>
    </row>
    <row r="1411" spans="1:4" ht="15" x14ac:dyDescent="0.2">
      <c r="A1411" s="2781">
        <v>45271</v>
      </c>
      <c r="B1411" s="2788">
        <f>IFERROR(AVERAGE('2018+'!S2130:S2173),"")</f>
        <v>1.5515658914728683</v>
      </c>
      <c r="C1411" s="2782">
        <f>IFERROR(AVERAGE('2018+'!N2130:N2173),"")</f>
        <v>1.095602860533643</v>
      </c>
      <c r="D1411" s="2787">
        <f>'2018+'!U2173</f>
        <v>12.707681732348449</v>
      </c>
    </row>
    <row r="1412" spans="1:4" ht="15" x14ac:dyDescent="0.2">
      <c r="A1412" s="2781">
        <v>45272</v>
      </c>
      <c r="B1412" s="2788">
        <f>IFERROR(AVERAGE('2018+'!S2131:S2174),"")</f>
        <v>1.5253333333333334</v>
      </c>
      <c r="C1412" s="2782">
        <f>IFERROR(AVERAGE('2018+'!N2131:N2174),"")</f>
        <v>1.085057201976231</v>
      </c>
      <c r="D1412" s="2787">
        <f>'2018+'!U2174</f>
        <v>12.881308357768724</v>
      </c>
    </row>
    <row r="1413" spans="1:4" ht="15" x14ac:dyDescent="0.2">
      <c r="A1413" s="2781">
        <v>45273</v>
      </c>
      <c r="B1413" s="2788">
        <f>IFERROR(AVERAGE('2018+'!S2132:S2175),"")</f>
        <v>1.5253333333333334</v>
      </c>
      <c r="C1413" s="2782">
        <f>IFERROR(AVERAGE('2018+'!N2132:N2175),"")</f>
        <v>1.085057201976231</v>
      </c>
      <c r="D1413" s="2787">
        <f>'2018+'!U2175</f>
        <v>12.574610539726612</v>
      </c>
    </row>
    <row r="1414" spans="1:4" ht="15" x14ac:dyDescent="0.2">
      <c r="A1414" s="2781">
        <v>45274</v>
      </c>
      <c r="B1414" s="2788">
        <f>IFERROR(AVERAGE('2018+'!S2133:S2176),"")</f>
        <v>1.5253333333333334</v>
      </c>
      <c r="C1414" s="2782">
        <f>IFERROR(AVERAGE('2018+'!N2133:N2176),"")</f>
        <v>1.085057201976231</v>
      </c>
      <c r="D1414" s="2787">
        <f>'2018+'!U2176</f>
        <v>12.275215050685501</v>
      </c>
    </row>
    <row r="1415" spans="1:4" ht="15" x14ac:dyDescent="0.2">
      <c r="A1415" s="2781">
        <v>45275</v>
      </c>
      <c r="B1415" s="2788">
        <f>IFERROR(AVERAGE('2018+'!S2134:S2177),"")</f>
        <v>1.5253333333333334</v>
      </c>
      <c r="C1415" s="2782">
        <f>IFERROR(AVERAGE('2018+'!N2134:N2177),"")</f>
        <v>1.085057201976231</v>
      </c>
      <c r="D1415" s="2787">
        <f>'2018+'!U2177</f>
        <v>11.982948025669179</v>
      </c>
    </row>
    <row r="1416" spans="1:4" ht="15" x14ac:dyDescent="0.2">
      <c r="A1416" s="2781">
        <v>45276</v>
      </c>
      <c r="B1416" s="2788">
        <f>IFERROR(AVERAGE('2018+'!S2135:S2178),"")</f>
        <v>1.5253333333333334</v>
      </c>
      <c r="C1416" s="2782">
        <f>IFERROR(AVERAGE('2018+'!N2135:N2178),"")</f>
        <v>1.085057201976231</v>
      </c>
      <c r="D1416" s="2787">
        <f>'2018+'!U2178</f>
        <v>11.697639739343723</v>
      </c>
    </row>
    <row r="1417" spans="1:4" ht="15" x14ac:dyDescent="0.2">
      <c r="A1417" s="2781">
        <v>45277</v>
      </c>
      <c r="B1417" s="2788">
        <f>IFERROR(AVERAGE('2018+'!S2136:S2179),"")</f>
        <v>1.5253333333333334</v>
      </c>
      <c r="C1417" s="2782">
        <f>IFERROR(AVERAGE('2018+'!N2136:N2179),"")</f>
        <v>1.085057201976231</v>
      </c>
      <c r="D1417" s="2787">
        <f>'2018+'!U2179</f>
        <v>11.419124507454587</v>
      </c>
    </row>
    <row r="1418" spans="1:4" ht="15" x14ac:dyDescent="0.2">
      <c r="A1418" s="2781">
        <v>45278</v>
      </c>
      <c r="B1418" s="2788">
        <f>IFERROR(AVERAGE('2018+'!S2137:S2180),"")</f>
        <v>1.5253333333333334</v>
      </c>
      <c r="C1418" s="2782">
        <f>IFERROR(AVERAGE('2018+'!N2137:N2180),"")</f>
        <v>1.085057201976231</v>
      </c>
      <c r="D1418" s="2787">
        <f>'2018+'!U2180</f>
        <v>11.14724059061043</v>
      </c>
    </row>
    <row r="1419" spans="1:4" ht="15" x14ac:dyDescent="0.2">
      <c r="A1419" s="2781">
        <v>45279</v>
      </c>
      <c r="B1419" s="2788">
        <f>IFERROR(AVERAGE('2018+'!S2138:S2181),"")</f>
        <v>1.5253333333333334</v>
      </c>
      <c r="C1419" s="2782">
        <f>IFERROR(AVERAGE('2018+'!N2138:N2181),"")</f>
        <v>1.085057201976231</v>
      </c>
      <c r="D1419" s="2787">
        <f>'2018+'!U2181</f>
        <v>10.881830100357801</v>
      </c>
    </row>
    <row r="1420" spans="1:4" ht="15" x14ac:dyDescent="0.2">
      <c r="A1420" s="2781">
        <v>45280</v>
      </c>
      <c r="B1420" s="2788">
        <f>IFERROR(AVERAGE('2018+'!S2139:S2182),"")</f>
        <v>1.5253333333333334</v>
      </c>
      <c r="C1420" s="2782">
        <f>IFERROR(AVERAGE('2018+'!N2139:N2182),"")</f>
        <v>1.085057201976231</v>
      </c>
      <c r="D1420" s="2787">
        <f>'2018+'!U2182</f>
        <v>10.622738907492138</v>
      </c>
    </row>
    <row r="1421" spans="1:4" ht="15" x14ac:dyDescent="0.2">
      <c r="A1421" s="2781">
        <v>45281</v>
      </c>
      <c r="B1421" s="2788">
        <f>IFERROR(AVERAGE('2018+'!S2140:S2183),"")</f>
        <v>1.5</v>
      </c>
      <c r="C1421" s="2782">
        <f>IFERROR(AVERAGE('2018+'!N2140:N2183),"")</f>
        <v>1.1026043002216499</v>
      </c>
      <c r="D1421" s="2787">
        <f>'2018+'!U2183</f>
        <v>10.36981655255185</v>
      </c>
    </row>
    <row r="1422" spans="1:4" ht="15" x14ac:dyDescent="0.2">
      <c r="A1422" s="2781">
        <v>45282</v>
      </c>
      <c r="B1422" s="2788">
        <f>IFERROR(AVERAGE('2018+'!S2141:S2184),"")</f>
        <v>1.5</v>
      </c>
      <c r="C1422" s="2782">
        <f>IFERROR(AVERAGE('2018+'!N2141:N2184),"")</f>
        <v>1.1026043002216499</v>
      </c>
      <c r="D1422" s="2787">
        <f>'2018+'!U2184</f>
        <v>10.122916158443472</v>
      </c>
    </row>
    <row r="1423" spans="1:4" ht="15" x14ac:dyDescent="0.2">
      <c r="A1423" s="2781">
        <v>45283</v>
      </c>
      <c r="B1423" s="2788">
        <f>IFERROR(AVERAGE('2018+'!S2142:S2185),"")</f>
        <v>1.5</v>
      </c>
      <c r="C1423" s="2782">
        <f>IFERROR(AVERAGE('2018+'!N2142:N2185),"")</f>
        <v>1.1026043002216499</v>
      </c>
      <c r="D1423" s="2787">
        <f>'2018+'!U2185</f>
        <v>9.8818943451471988</v>
      </c>
    </row>
    <row r="1424" spans="1:4" ht="15" x14ac:dyDescent="0.2">
      <c r="A1424" s="2781">
        <v>45284</v>
      </c>
      <c r="B1424" s="2788">
        <f>IFERROR(AVERAGE('2018+'!S2143:S2186),"")</f>
        <v>1.5</v>
      </c>
      <c r="C1424" s="2782">
        <f>IFERROR(AVERAGE('2018+'!N2143:N2186),"")</f>
        <v>1.1026043002216499</v>
      </c>
      <c r="D1424" s="2787">
        <f>'2018+'!U2186</f>
        <v>9.6466111464532176</v>
      </c>
    </row>
    <row r="1425" spans="1:4" ht="15" x14ac:dyDescent="0.2">
      <c r="A1425" s="2781">
        <v>45285</v>
      </c>
      <c r="B1425" s="2788">
        <f>IFERROR(AVERAGE('2018+'!S2144:S2187),"")</f>
        <v>1.5</v>
      </c>
      <c r="C1425" s="2782">
        <f>IFERROR(AVERAGE('2018+'!N2144:N2187),"")</f>
        <v>1.1026043002216499</v>
      </c>
      <c r="D1425" s="2787">
        <f>'2018+'!U2187</f>
        <v>9.4169299286805224</v>
      </c>
    </row>
    <row r="1426" spans="1:4" ht="15" x14ac:dyDescent="0.2">
      <c r="A1426" s="2781">
        <v>45286</v>
      </c>
      <c r="B1426" s="2788">
        <f>IFERROR(AVERAGE('2018+'!S2145:S2188),"")</f>
        <v>1.4728682170542635</v>
      </c>
      <c r="C1426" s="2782">
        <f>IFERROR(AVERAGE('2018+'!N2145:N2188),"")</f>
        <v>1.0639658848614073</v>
      </c>
      <c r="D1426" s="2787">
        <f>'2018+'!U2188</f>
        <v>9.1927173113309859</v>
      </c>
    </row>
    <row r="1427" spans="1:4" ht="15" x14ac:dyDescent="0.2">
      <c r="A1427" s="2781">
        <v>45287</v>
      </c>
      <c r="B1427" s="2788">
        <f>IFERROR(AVERAGE('2018+'!S2146:S2189),"")</f>
        <v>1.4810384250738944</v>
      </c>
      <c r="C1427" s="2782">
        <f>IFERROR(AVERAGE('2018+'!N2146:N2189),"")</f>
        <v>1.069346404450215</v>
      </c>
      <c r="D1427" s="2787">
        <f>'2018+'!U2189</f>
        <v>9.6881288039183442</v>
      </c>
    </row>
    <row r="1428" spans="1:4" ht="15" x14ac:dyDescent="0.2">
      <c r="A1428" s="2781">
        <v>45288</v>
      </c>
      <c r="B1428" s="2788">
        <f>IFERROR(AVERAGE('2018+'!S2147:S2190),"")</f>
        <v>1.4810384250738944</v>
      </c>
      <c r="C1428" s="2782">
        <f>IFERROR(AVERAGE('2018+'!N2147:N2190),"")</f>
        <v>1.069346404450215</v>
      </c>
      <c r="D1428" s="2787">
        <f>'2018+'!U2190</f>
        <v>9.4574590704917174</v>
      </c>
    </row>
    <row r="1429" spans="1:4" ht="15" x14ac:dyDescent="0.2">
      <c r="A1429" s="2781">
        <v>45289</v>
      </c>
      <c r="B1429" s="2788">
        <f>IFERROR(AVERAGE('2018+'!S2148:S2191),"")</f>
        <v>1.4764299883006291</v>
      </c>
      <c r="C1429" s="2782">
        <f>IFERROR(AVERAGE('2018+'!N2148:N2191),"")</f>
        <v>1.0634360629303667</v>
      </c>
      <c r="D1429" s="2787">
        <f>'2018+'!U2191</f>
        <v>9.8037100450038199</v>
      </c>
    </row>
    <row r="1430" spans="1:4" ht="15" x14ac:dyDescent="0.2">
      <c r="A1430" s="2781">
        <v>45290</v>
      </c>
      <c r="B1430" s="2788">
        <f>IFERROR(AVERAGE('2018+'!S2149:S2192),"")</f>
        <v>1.4764299883006291</v>
      </c>
      <c r="C1430" s="2782">
        <f>IFERROR(AVERAGE('2018+'!N2149:N2192),"")</f>
        <v>1.0634360629303667</v>
      </c>
      <c r="D1430" s="2787">
        <f>'2018+'!U2192</f>
        <v>9.5702883772656335</v>
      </c>
    </row>
    <row r="1431" spans="1:4" ht="15" x14ac:dyDescent="0.2">
      <c r="A1431" s="2781">
        <v>45291</v>
      </c>
      <c r="B1431" s="2788">
        <f>IFERROR(AVERAGE('2018+'!S2150:S2193),"")</f>
        <v>1.4526462322326661</v>
      </c>
      <c r="C1431" s="2782">
        <f>IFERROR(AVERAGE('2018+'!N2150:N2193),"")</f>
        <v>1.064912127521348</v>
      </c>
      <c r="D1431" s="2787">
        <f>'2018+'!U2193</f>
        <v>10.318614844473595</v>
      </c>
    </row>
    <row r="1432" spans="1:4" ht="15" x14ac:dyDescent="0.2">
      <c r="A1432" s="2781">
        <v>45292</v>
      </c>
      <c r="B1432" s="2788">
        <f>IFERROR(AVERAGE('2018+'!S2151:S2194),"")</f>
        <v>1.4526462322326661</v>
      </c>
      <c r="C1432" s="2782">
        <f>IFERROR(AVERAGE('2018+'!N2151:N2194),"")</f>
        <v>1.064912127521348</v>
      </c>
      <c r="D1432" s="2787">
        <f>'2018+'!U2194</f>
        <v>10.072933538652796</v>
      </c>
    </row>
    <row r="1433" spans="1:4" ht="15" x14ac:dyDescent="0.2">
      <c r="A1433" s="2781">
        <v>45293</v>
      </c>
      <c r="B1433" s="2788">
        <f>IFERROR(AVERAGE('2018+'!S2152:S2195),"")</f>
        <v>1.4526462322326661</v>
      </c>
      <c r="C1433" s="2782">
        <f>IFERROR(AVERAGE('2018+'!N2152:N2195),"")</f>
        <v>1.064912127521348</v>
      </c>
      <c r="D1433" s="2787">
        <f>'2018+'!U2195</f>
        <v>9.8331017877324918</v>
      </c>
    </row>
    <row r="1434" spans="1:4" ht="15" x14ac:dyDescent="0.2">
      <c r="A1434" s="2781">
        <v>45294</v>
      </c>
      <c r="B1434" s="2788">
        <f>IFERROR(AVERAGE('2018+'!S2153:S2196),"")</f>
        <v>1.4772248994551975</v>
      </c>
      <c r="C1434" s="2782">
        <f>IFERROR(AVERAGE('2018+'!N2153:N2196),"")</f>
        <v>1.0703243952177417</v>
      </c>
      <c r="D1434" s="2787">
        <f>'2018+'!U2196</f>
        <v>10.741837459453146</v>
      </c>
    </row>
    <row r="1435" spans="1:4" ht="15" x14ac:dyDescent="0.2">
      <c r="A1435" s="2781">
        <v>45295</v>
      </c>
      <c r="B1435" s="2788">
        <f>IFERROR(AVERAGE('2018+'!S2154:S2197),"")</f>
        <v>1.4772248994551975</v>
      </c>
      <c r="C1435" s="2782">
        <f>IFERROR(AVERAGE('2018+'!N2154:N2197),"")</f>
        <v>1.0703243952177417</v>
      </c>
      <c r="D1435" s="2787">
        <f>'2018+'!U2197</f>
        <v>10.486079424704261</v>
      </c>
    </row>
    <row r="1436" spans="1:4" ht="15" x14ac:dyDescent="0.2">
      <c r="A1436" s="2781">
        <v>45296</v>
      </c>
      <c r="B1436" s="2788">
        <f>IFERROR(AVERAGE('2018+'!S2155:S2198),"")</f>
        <v>1.4772248994551975</v>
      </c>
      <c r="C1436" s="2782">
        <f>IFERROR(AVERAGE('2018+'!N2155:N2198),"")</f>
        <v>1.0703243952177417</v>
      </c>
      <c r="D1436" s="2787">
        <f>'2018+'!U2198</f>
        <v>10.236410866973207</v>
      </c>
    </row>
    <row r="1437" spans="1:4" ht="15" x14ac:dyDescent="0.2">
      <c r="A1437" s="2781">
        <v>45297</v>
      </c>
      <c r="B1437" s="2788">
        <f>IFERROR(AVERAGE('2018+'!S2156:S2199),"")</f>
        <v>1.479112352599433</v>
      </c>
      <c r="C1437" s="2782">
        <f>IFERROR(AVERAGE('2018+'!N2156:N2199),"")</f>
        <v>1.0678682640443846</v>
      </c>
      <c r="D1437" s="2787">
        <f>'2018+'!U2199</f>
        <v>10.80221060823575</v>
      </c>
    </row>
    <row r="1438" spans="1:4" ht="15" x14ac:dyDescent="0.2">
      <c r="A1438" s="2781">
        <v>45298</v>
      </c>
      <c r="B1438" s="2788">
        <f>IFERROR(AVERAGE('2018+'!S2157:S2200),"")</f>
        <v>1.479112352599433</v>
      </c>
      <c r="C1438" s="2782">
        <f>IFERROR(AVERAGE('2018+'!N2157:N2200),"")</f>
        <v>1.0678682640443846</v>
      </c>
      <c r="D1438" s="2787">
        <f>'2018+'!U2200</f>
        <v>10.545015117563471</v>
      </c>
    </row>
    <row r="1439" spans="1:4" ht="15" x14ac:dyDescent="0.2">
      <c r="A1439" s="2781">
        <v>45299</v>
      </c>
      <c r="B1439" s="2788">
        <f>IFERROR(AVERAGE('2018+'!S2158:S2201),"")</f>
        <v>1.4936170395552744</v>
      </c>
      <c r="C1439" s="2782">
        <f>IFERROR(AVERAGE('2018+'!N2158:N2201),"")</f>
        <v>1.0653424990914717</v>
      </c>
      <c r="D1439" s="2787">
        <f>'2018+'!U2201</f>
        <v>11.222514757621484</v>
      </c>
    </row>
    <row r="1440" spans="1:4" ht="15" x14ac:dyDescent="0.2">
      <c r="A1440" s="2781">
        <v>45300</v>
      </c>
      <c r="B1440" s="2788">
        <f>IFERROR(AVERAGE('2018+'!S2159:S2202),"")</f>
        <v>1.4936170395552744</v>
      </c>
      <c r="C1440" s="2782">
        <f>IFERROR(AVERAGE('2018+'!N2159:N2202),"")</f>
        <v>1.0653424990914717</v>
      </c>
      <c r="D1440" s="2787">
        <f>'2018+'!U2202</f>
        <v>10.955312025297163</v>
      </c>
    </row>
    <row r="1441" spans="1:4" ht="15" x14ac:dyDescent="0.2">
      <c r="A1441" s="2781">
        <v>45301</v>
      </c>
      <c r="B1441" s="2788">
        <f>IFERROR(AVERAGE('2018+'!S2160:S2203),"")</f>
        <v>1.482446824504482</v>
      </c>
      <c r="C1441" s="2782">
        <f>IFERROR(AVERAGE('2018+'!N2160:N2203),"")</f>
        <v>1.064362399070697</v>
      </c>
      <c r="D1441" s="2787">
        <f>'2018+'!U2203</f>
        <v>11.503995072313897</v>
      </c>
    </row>
    <row r="1442" spans="1:4" ht="15" x14ac:dyDescent="0.2">
      <c r="A1442" s="2781">
        <v>45302</v>
      </c>
      <c r="B1442" s="2788">
        <f>IFERROR(AVERAGE('2018+'!S2161:S2204),"")</f>
        <v>1.482446824504482</v>
      </c>
      <c r="C1442" s="2782">
        <f>IFERROR(AVERAGE('2018+'!N2161:N2204),"")</f>
        <v>1.064362399070697</v>
      </c>
      <c r="D1442" s="2787">
        <f>'2018+'!U2204</f>
        <v>11.230090427734995</v>
      </c>
    </row>
    <row r="1443" spans="1:4" ht="15" x14ac:dyDescent="0.2">
      <c r="A1443" s="2781">
        <v>45303</v>
      </c>
      <c r="B1443" s="2788">
        <f>IFERROR(AVERAGE('2018+'!S2162:S2205),"")</f>
        <v>1.482446824504482</v>
      </c>
      <c r="C1443" s="2782">
        <f>IFERROR(AVERAGE('2018+'!N2162:N2205),"")</f>
        <v>1.064362399070697</v>
      </c>
      <c r="D1443" s="2787">
        <f>'2018+'!U2205</f>
        <v>10.962707322312733</v>
      </c>
    </row>
    <row r="1444" spans="1:4" ht="15" x14ac:dyDescent="0.2">
      <c r="A1444" s="2781">
        <v>45304</v>
      </c>
      <c r="B1444" s="2788">
        <f>IFERROR(AVERAGE('2018+'!S2163:S2206),"")</f>
        <v>1.482446824504482</v>
      </c>
      <c r="C1444" s="2782">
        <f>IFERROR(AVERAGE('2018+'!N2163:N2206),"")</f>
        <v>1.064362399070697</v>
      </c>
      <c r="D1444" s="2787">
        <f>'2018+'!U2206</f>
        <v>10.701690481305286</v>
      </c>
    </row>
    <row r="1445" spans="1:4" ht="15" x14ac:dyDescent="0.2">
      <c r="A1445" s="2781">
        <v>45305</v>
      </c>
      <c r="B1445" s="2788">
        <f>IFERROR(AVERAGE('2018+'!S2164:S2207),"")</f>
        <v>1.4715766645168045</v>
      </c>
      <c r="C1445" s="2782">
        <f>IFERROR(AVERAGE('2018+'!N2164:N2207),"")</f>
        <v>1.0661813214112512</v>
      </c>
      <c r="D1445" s="2787">
        <f>'2018+'!U2207</f>
        <v>11.208793088893255</v>
      </c>
    </row>
    <row r="1446" spans="1:4" ht="15" x14ac:dyDescent="0.2">
      <c r="A1446" s="2781">
        <v>45306</v>
      </c>
      <c r="B1446" s="2788">
        <f>IFERROR(AVERAGE('2018+'!S2165:S2208),"")</f>
        <v>1.4814437914535539</v>
      </c>
      <c r="C1446" s="2782">
        <f>IFERROR(AVERAGE('2018+'!N2165:N2208),"")</f>
        <v>1.0657206044414607</v>
      </c>
      <c r="D1446" s="2787">
        <f>'2018+'!U2208</f>
        <v>11.65620277725294</v>
      </c>
    </row>
    <row r="1447" spans="1:4" ht="15" x14ac:dyDescent="0.2">
      <c r="A1447" s="2781">
        <v>45307</v>
      </c>
      <c r="B1447" s="2788">
        <f>IFERROR(AVERAGE('2018+'!S2166:S2209),"")</f>
        <v>1.4814437914535539</v>
      </c>
      <c r="C1447" s="2782">
        <f>IFERROR(AVERAGE('2018+'!N2166:N2209),"")</f>
        <v>1.0657206044414607</v>
      </c>
      <c r="D1447" s="2787">
        <f>'2018+'!U2209</f>
        <v>11.378674139699298</v>
      </c>
    </row>
    <row r="1448" spans="1:4" ht="15" x14ac:dyDescent="0.2">
      <c r="A1448" s="2781">
        <v>45308</v>
      </c>
      <c r="B1448" s="2788">
        <f>IFERROR(AVERAGE('2018+'!S2167:S2210),"")</f>
        <v>1.4852286216011328</v>
      </c>
      <c r="C1448" s="2782">
        <f>IFERROR(AVERAGE('2018+'!N2167:N2210),"")</f>
        <v>1.0670338844762419</v>
      </c>
      <c r="D1448" s="2787">
        <f>'2018+'!U2210</f>
        <v>11.869658088754075</v>
      </c>
    </row>
    <row r="1449" spans="1:4" ht="15" x14ac:dyDescent="0.2">
      <c r="A1449" s="2781">
        <v>45309</v>
      </c>
      <c r="B1449" s="2788">
        <f>IFERROR(AVERAGE('2018+'!S2168:S2211),"")</f>
        <v>1.4716193871526366</v>
      </c>
      <c r="C1449" s="2782">
        <f>IFERROR(AVERAGE('2018+'!N2168:N2211),"")</f>
        <v>1.0649537085030096</v>
      </c>
      <c r="D1449" s="2787">
        <f>'2018+'!U2211</f>
        <v>12.182285277117074</v>
      </c>
    </row>
    <row r="1450" spans="1:4" ht="15" x14ac:dyDescent="0.2">
      <c r="A1450" s="2781">
        <v>45310</v>
      </c>
      <c r="B1450" s="2788">
        <f>IFERROR(AVERAGE('2018+'!S2169:S2212),"")</f>
        <v>1.4716193871526366</v>
      </c>
      <c r="C1450" s="2782">
        <f>IFERROR(AVERAGE('2018+'!N2169:N2212),"")</f>
        <v>1.0649537085030096</v>
      </c>
      <c r="D1450" s="2787">
        <f>'2018+'!U2212</f>
        <v>11.892230865757144</v>
      </c>
    </row>
    <row r="1451" spans="1:4" ht="15" x14ac:dyDescent="0.2">
      <c r="A1451" s="2781">
        <v>45311</v>
      </c>
      <c r="B1451" s="2788">
        <f>IFERROR(AVERAGE('2018+'!S2170:S2213),"")</f>
        <v>1.4716193871526366</v>
      </c>
      <c r="C1451" s="2782">
        <f>IFERROR(AVERAGE('2018+'!N2170:N2213),"")</f>
        <v>1.0649537085030096</v>
      </c>
      <c r="D1451" s="2787">
        <f>'2018+'!U2213</f>
        <v>12.370987273715308</v>
      </c>
    </row>
    <row r="1452" spans="1:4" ht="15" x14ac:dyDescent="0.2">
      <c r="A1452" s="2781">
        <v>45312</v>
      </c>
      <c r="B1452" s="2788">
        <f>IFERROR(AVERAGE('2018+'!S2171:S2214),"")</f>
        <v>1.4716193871526366</v>
      </c>
      <c r="C1452" s="2782">
        <f>IFERROR(AVERAGE('2018+'!N2171:N2214),"")</f>
        <v>1.0649537085030096</v>
      </c>
      <c r="D1452" s="2787">
        <f>'2018+'!U2214</f>
        <v>12.076439957674467</v>
      </c>
    </row>
    <row r="1453" spans="1:4" ht="15" x14ac:dyDescent="0.2">
      <c r="A1453" s="2781">
        <v>45313</v>
      </c>
      <c r="B1453" s="2788">
        <f>IFERROR(AVERAGE('2018+'!S2172:S2215),"")</f>
        <v>1.4716193871526366</v>
      </c>
      <c r="C1453" s="2782">
        <f>IFERROR(AVERAGE('2018+'!N2172:N2215),"")</f>
        <v>1.0649537085030096</v>
      </c>
      <c r="D1453" s="2787">
        <f>'2018+'!U2215</f>
        <v>12.649024720586979</v>
      </c>
    </row>
    <row r="1454" spans="1:4" ht="15" x14ac:dyDescent="0.2">
      <c r="A1454" s="2781">
        <v>45314</v>
      </c>
      <c r="B1454" s="2788">
        <f>IFERROR(AVERAGE('2018+'!S2173:S2216),"")</f>
        <v>1.4716193871526366</v>
      </c>
      <c r="C1454" s="2782">
        <f>IFERROR(AVERAGE('2018+'!N2173:N2216),"")</f>
        <v>1.0649537085030096</v>
      </c>
      <c r="D1454" s="2787">
        <f>'2018+'!U2216</f>
        <v>14.063397465334909</v>
      </c>
    </row>
    <row r="1455" spans="1:4" ht="15" x14ac:dyDescent="0.2">
      <c r="A1455" s="2781">
        <v>45315</v>
      </c>
      <c r="B1455" s="2788">
        <f>IFERROR(AVERAGE('2018+'!S2174:S2217),"")</f>
        <v>1.4716193871526366</v>
      </c>
      <c r="C1455" s="2782">
        <f>IFERROR(AVERAGE('2018+'!N2174:N2217),"")</f>
        <v>1.0649537085030096</v>
      </c>
      <c r="D1455" s="2787">
        <f>'2018+'!U2217</f>
        <v>13.72855466854122</v>
      </c>
    </row>
    <row r="1456" spans="1:4" ht="15" x14ac:dyDescent="0.2">
      <c r="A1456" s="2781">
        <v>45316</v>
      </c>
      <c r="B1456" s="2788">
        <f>IFERROR(AVERAGE('2018+'!S2175:S2218),"")</f>
        <v>1.4715058571615798</v>
      </c>
      <c r="C1456" s="2782">
        <f>IFERROR(AVERAGE('2018+'!N2175:N2218),"")</f>
        <v>1.065043510652246</v>
      </c>
      <c r="D1456" s="2787">
        <f>'2018+'!U2218</f>
        <v>14.261803366909286</v>
      </c>
    </row>
    <row r="1457" spans="1:4" ht="15" x14ac:dyDescent="0.2">
      <c r="A1457" s="2781">
        <v>45317</v>
      </c>
      <c r="B1457" s="2788">
        <f>IFERROR(AVERAGE('2018+'!S2176:S2219),"")</f>
        <v>1.4715058571615798</v>
      </c>
      <c r="C1457" s="2782">
        <f>IFERROR(AVERAGE('2018+'!N2176:N2219),"")</f>
        <v>1.065043510652246</v>
      </c>
      <c r="D1457" s="2787">
        <f>'2018+'!U2219</f>
        <v>13.922236620078111</v>
      </c>
    </row>
    <row r="1458" spans="1:4" ht="15" x14ac:dyDescent="0.2">
      <c r="A1458" s="2781">
        <v>45318</v>
      </c>
      <c r="B1458" s="2788">
        <f>IFERROR(AVERAGE('2018+'!S2177:S2220),"")</f>
        <v>1.4715058571615798</v>
      </c>
      <c r="C1458" s="2782">
        <f>IFERROR(AVERAGE('2018+'!N2177:N2220),"")</f>
        <v>1.065043510652246</v>
      </c>
      <c r="D1458" s="2787">
        <f>'2018+'!U2220</f>
        <v>15.306294795790537</v>
      </c>
    </row>
    <row r="1459" spans="1:4" ht="15" x14ac:dyDescent="0.2">
      <c r="A1459" s="2781">
        <v>45319</v>
      </c>
      <c r="B1459" s="2788">
        <f>IFERROR(AVERAGE('2018+'!S2178:S2221),"")</f>
        <v>1.4715058571615798</v>
      </c>
      <c r="C1459" s="2782">
        <f>IFERROR(AVERAGE('2018+'!N2178:N2221),"")</f>
        <v>1.065043510652246</v>
      </c>
      <c r="D1459" s="2787">
        <f>'2018+'!U2221</f>
        <v>14.941859205414572</v>
      </c>
    </row>
    <row r="1460" spans="1:4" ht="15" x14ac:dyDescent="0.2">
      <c r="A1460" s="2781">
        <v>45320</v>
      </c>
      <c r="B1460" s="2788">
        <f>IFERROR(AVERAGE('2018+'!S2179:S2222),"")</f>
        <v>1.4715058571615798</v>
      </c>
      <c r="C1460" s="2782">
        <f>IFERROR(AVERAGE('2018+'!N2179:N2222),"")</f>
        <v>1.065043510652246</v>
      </c>
      <c r="D1460" s="2787">
        <f>'2018+'!U2222</f>
        <v>16.303718727086768</v>
      </c>
    </row>
    <row r="1461" spans="1:4" ht="15" x14ac:dyDescent="0.2">
      <c r="A1461" s="2781">
        <v>45321</v>
      </c>
      <c r="B1461" s="2788">
        <f>IFERROR(AVERAGE('2018+'!S2180:S2223),"")</f>
        <v>1.4715058571615798</v>
      </c>
      <c r="C1461" s="2782">
        <f>IFERROR(AVERAGE('2018+'!N2180:N2223),"")</f>
        <v>1.065043510652246</v>
      </c>
      <c r="D1461" s="2787">
        <f>'2018+'!U2223</f>
        <v>16.775653995489463</v>
      </c>
    </row>
    <row r="1462" spans="1:4" ht="15" x14ac:dyDescent="0.2">
      <c r="A1462" s="2781">
        <v>45322</v>
      </c>
      <c r="B1462" s="2788">
        <f>IFERROR(AVERAGE('2018+'!S2181:S2224),"")</f>
        <v>1.4715058571615798</v>
      </c>
      <c r="C1462" s="2782">
        <f>IFERROR(AVERAGE('2018+'!N2181:N2224),"")</f>
        <v>1.065043510652246</v>
      </c>
      <c r="D1462" s="2787">
        <f>'2018+'!U2224</f>
        <v>16.376233662263523</v>
      </c>
    </row>
    <row r="1463" spans="1:4" ht="15" x14ac:dyDescent="0.2">
      <c r="A1463" s="2781">
        <v>45323</v>
      </c>
      <c r="B1463" s="2788">
        <f>IFERROR(AVERAGE('2018+'!S2182:S2225),"")</f>
        <v>1.4715058571615798</v>
      </c>
      <c r="C1463" s="2782">
        <f>IFERROR(AVERAGE('2018+'!N2182:N2225),"")</f>
        <v>1.065043510652246</v>
      </c>
      <c r="D1463" s="2787">
        <f>'2018+'!U2225</f>
        <v>15.986323336971534</v>
      </c>
    </row>
    <row r="1464" spans="1:4" ht="15" x14ac:dyDescent="0.2">
      <c r="A1464" s="2781">
        <v>45324</v>
      </c>
      <c r="B1464" s="2788">
        <f>IFERROR(AVERAGE('2018+'!S2183:S2226),"")</f>
        <v>1.4715058571615798</v>
      </c>
      <c r="C1464" s="2782">
        <f>IFERROR(AVERAGE('2018+'!N2183:N2226),"")</f>
        <v>1.065043510652246</v>
      </c>
      <c r="D1464" s="2787">
        <f>'2018+'!U2226</f>
        <v>16.465815638472211</v>
      </c>
    </row>
    <row r="1465" spans="1:4" ht="15" x14ac:dyDescent="0.2">
      <c r="A1465" s="2781">
        <v>45325</v>
      </c>
      <c r="B1465" s="2788">
        <f>IFERROR(AVERAGE('2018+'!S2184:S2227),"")</f>
        <v>1.4715058571615798</v>
      </c>
      <c r="C1465" s="2782">
        <f>IFERROR(AVERAGE('2018+'!N2184:N2227),"")</f>
        <v>1.065043510652246</v>
      </c>
      <c r="D1465" s="2787">
        <f>'2018+'!U2227</f>
        <v>16.073772408984777</v>
      </c>
    </row>
    <row r="1466" spans="1:4" ht="15" x14ac:dyDescent="0.2">
      <c r="A1466" s="2781">
        <v>45326</v>
      </c>
      <c r="B1466" s="2788">
        <f>IFERROR(AVERAGE('2018+'!S2185:S2228),"")</f>
        <v>1.4715058571615798</v>
      </c>
      <c r="C1466" s="2782">
        <f>IFERROR(AVERAGE('2018+'!N2185:N2228),"")</f>
        <v>1.065043510652246</v>
      </c>
      <c r="D1466" s="2787">
        <f>'2018+'!U2228</f>
        <v>15.691063542104187</v>
      </c>
    </row>
    <row r="1467" spans="1:4" ht="15" x14ac:dyDescent="0.2">
      <c r="A1467" s="2781">
        <v>45327</v>
      </c>
      <c r="B1467" s="2788">
        <f>IFERROR(AVERAGE('2018+'!S2186:S2229),"")</f>
        <v>1.4715058571615798</v>
      </c>
      <c r="C1467" s="2782">
        <f>IFERROR(AVERAGE('2018+'!N2186:N2229),"")</f>
        <v>1.065043510652246</v>
      </c>
      <c r="D1467" s="2787">
        <f>'2018+'!U2229</f>
        <v>16.177585838720756</v>
      </c>
    </row>
    <row r="1468" spans="1:4" ht="15" x14ac:dyDescent="0.2">
      <c r="A1468" s="2781">
        <v>45328</v>
      </c>
      <c r="B1468" s="2788">
        <f>IFERROR(AVERAGE('2018+'!S2187:S2230),"")</f>
        <v>1.4715058571615798</v>
      </c>
      <c r="C1468" s="2782">
        <f>IFERROR(AVERAGE('2018+'!N2187:N2230),"")</f>
        <v>1.065043510652246</v>
      </c>
      <c r="D1468" s="2787">
        <f>'2018+'!U2230</f>
        <v>16.652524271132165</v>
      </c>
    </row>
    <row r="1469" spans="1:4" ht="15" x14ac:dyDescent="0.2">
      <c r="A1469" s="2781">
        <v>45329</v>
      </c>
      <c r="B1469" s="2788">
        <f>IFERROR(AVERAGE('2018+'!S2188:S2231),"")</f>
        <v>1.4715058571615798</v>
      </c>
      <c r="C1469" s="2782">
        <f>IFERROR(AVERAGE('2018+'!N2188:N2231),"")</f>
        <v>1.065043510652246</v>
      </c>
      <c r="D1469" s="2787">
        <f>'2018+'!U2231</f>
        <v>16.256035598009969</v>
      </c>
    </row>
    <row r="1470" spans="1:4" ht="15" x14ac:dyDescent="0.2">
      <c r="A1470" s="2781">
        <v>45330</v>
      </c>
      <c r="B1470" s="2788">
        <f>IFERROR(AVERAGE('2018+'!S2189:S2232),"")</f>
        <v>1.4715058571615798</v>
      </c>
      <c r="C1470" s="2782">
        <f>IFERROR(AVERAGE('2018+'!N2189:N2232),"")</f>
        <v>1.065043510652246</v>
      </c>
      <c r="D1470" s="2787">
        <f>'2018+'!U2232</f>
        <v>15.868987131390684</v>
      </c>
    </row>
    <row r="1471" spans="1:4" ht="15" x14ac:dyDescent="0.2">
      <c r="A1471" s="2781">
        <v>45331</v>
      </c>
      <c r="B1471" s="2788">
        <f>IFERROR(AVERAGE('2018+'!S2190:S2233),"")</f>
        <v>1.4697355795683851</v>
      </c>
      <c r="C1471" s="2782">
        <f>IFERROR(AVERAGE('2018+'!N2190:N2233),"")</f>
        <v>1.0640751693135684</v>
      </c>
      <c r="D1471" s="2787">
        <f>'2018+'!U2233</f>
        <v>16.351273152071858</v>
      </c>
    </row>
    <row r="1472" spans="1:4" ht="15" x14ac:dyDescent="0.2">
      <c r="A1472" s="2781">
        <v>45332</v>
      </c>
      <c r="B1472" s="2788">
        <f>IFERROR(AVERAGE('2018+'!S2191:S2234),"")</f>
        <v>1.4697355795683851</v>
      </c>
      <c r="C1472" s="2782">
        <f>IFERROR(AVERAGE('2018+'!N2191:N2234),"")</f>
        <v>1.0640751693135684</v>
      </c>
      <c r="D1472" s="2787">
        <f>'2018+'!U2234</f>
        <v>15.961957124641575</v>
      </c>
    </row>
    <row r="1473" spans="1:4" ht="15" x14ac:dyDescent="0.2">
      <c r="A1473" s="2781">
        <v>45333</v>
      </c>
      <c r="B1473" s="2788">
        <f>IFERROR(AVERAGE('2018+'!S2192:S2235),"")</f>
        <v>1.4700158534366394</v>
      </c>
      <c r="C1473" s="2782">
        <f>IFERROR(AVERAGE('2018+'!N2192:N2235),"")</f>
        <v>1.0654595903605568</v>
      </c>
      <c r="D1473" s="2787">
        <f>'2018+'!U2235</f>
        <v>15.581910526435824</v>
      </c>
    </row>
    <row r="1474" spans="1:4" ht="15" x14ac:dyDescent="0.2">
      <c r="A1474" s="2781">
        <v>45334</v>
      </c>
      <c r="B1474" s="2788">
        <f>IFERROR(AVERAGE('2018+'!S2193:S2236),"")</f>
        <v>1.4700158534366394</v>
      </c>
      <c r="C1474" s="2782">
        <f>IFERROR(AVERAGE('2018+'!N2193:N2236),"")</f>
        <v>1.0654595903605568</v>
      </c>
      <c r="D1474" s="2787">
        <f>'2018+'!U2236</f>
        <v>15.210912656758779</v>
      </c>
    </row>
    <row r="1475" spans="1:4" ht="15" x14ac:dyDescent="0.2">
      <c r="A1475" s="2781">
        <v>45335</v>
      </c>
      <c r="B1475" s="2788">
        <f>IFERROR(AVERAGE('2018+'!S2194:S2237),"")</f>
        <v>1.4811059646126221</v>
      </c>
      <c r="C1475" s="2782">
        <f>IFERROR(AVERAGE('2018+'!N2194:N2237),"")</f>
        <v>1.0649744989938401</v>
      </c>
      <c r="D1475" s="2787">
        <f>'2018+'!U2237</f>
        <v>15.708867117312142</v>
      </c>
    </row>
    <row r="1476" spans="1:4" ht="15" x14ac:dyDescent="0.2">
      <c r="A1476" s="2781">
        <v>45336</v>
      </c>
      <c r="B1476" s="2788">
        <f>IFERROR(AVERAGE('2018+'!S2195:S2238),"")</f>
        <v>1.4811059646126221</v>
      </c>
      <c r="C1476" s="2782">
        <f>IFERROR(AVERAGE('2018+'!N2195:N2238),"")</f>
        <v>1.0649744989938401</v>
      </c>
      <c r="D1476" s="2787">
        <f>'2018+'!U2238</f>
        <v>15.334846471661853</v>
      </c>
    </row>
    <row r="1477" spans="1:4" ht="15" x14ac:dyDescent="0.2">
      <c r="A1477" s="2781">
        <v>45337</v>
      </c>
      <c r="B1477" s="2788">
        <f>IFERROR(AVERAGE('2018+'!S2196:S2239),"")</f>
        <v>1.4811059646126221</v>
      </c>
      <c r="C1477" s="2782">
        <f>IFERROR(AVERAGE('2018+'!N2196:N2239),"")</f>
        <v>1.0649744989938401</v>
      </c>
      <c r="D1477" s="2787">
        <f>'2018+'!U2239</f>
        <v>14.969731079479429</v>
      </c>
    </row>
    <row r="1478" spans="1:4" ht="15" x14ac:dyDescent="0.2">
      <c r="A1478" s="2781">
        <v>45338</v>
      </c>
      <c r="B1478" s="2788">
        <f>IFERROR(AVERAGE('2018+'!S2197:S2240),"")</f>
        <v>1.4676154497936647</v>
      </c>
      <c r="C1478" s="2782">
        <f>IFERROR(AVERAGE('2018+'!N2197:N2240),"")</f>
        <v>1.0611175037067719</v>
      </c>
      <c r="D1478" s="2787">
        <f>'2018+'!U2240</f>
        <v>15.473427958539443</v>
      </c>
    </row>
    <row r="1479" spans="1:4" ht="15" x14ac:dyDescent="0.2">
      <c r="A1479" s="2781">
        <v>45339</v>
      </c>
      <c r="B1479" s="2788">
        <f>IFERROR(AVERAGE('2018+'!S2198:S2241),"")</f>
        <v>1.4676154497936647</v>
      </c>
      <c r="C1479" s="2782">
        <f>IFERROR(AVERAGE('2018+'!N2198:N2241),"")</f>
        <v>1.0611175037067719</v>
      </c>
      <c r="D1479" s="2787">
        <f>'2018+'!U2241</f>
        <v>15.105013007145645</v>
      </c>
    </row>
    <row r="1480" spans="1:4" ht="15" x14ac:dyDescent="0.2">
      <c r="A1480" s="2781">
        <v>45340</v>
      </c>
      <c r="B1480" s="2788">
        <f>IFERROR(AVERAGE('2018+'!S2199:S2242),"")</f>
        <v>1.4676154497936647</v>
      </c>
      <c r="C1480" s="2782">
        <f>IFERROR(AVERAGE('2018+'!N2199:N2242),"")</f>
        <v>1.0611175037067719</v>
      </c>
      <c r="D1480" s="2787">
        <f>'2018+'!U2242</f>
        <v>14.745369840308845</v>
      </c>
    </row>
    <row r="1481" spans="1:4" ht="15" x14ac:dyDescent="0.2">
      <c r="A1481" s="2781">
        <v>45341</v>
      </c>
      <c r="B1481" s="2788">
        <f>IFERROR(AVERAGE('2018+'!S2200:S2243),"")</f>
        <v>1.4641264217058403</v>
      </c>
      <c r="C1481" s="2782">
        <f>IFERROR(AVERAGE('2018+'!N2200:N2243),"")</f>
        <v>1.062039152961634</v>
      </c>
      <c r="D1481" s="2787">
        <f>'2018+'!U2243</f>
        <v>15.254408653634824</v>
      </c>
    </row>
    <row r="1482" spans="1:4" ht="15" x14ac:dyDescent="0.2">
      <c r="A1482" s="2781">
        <v>45342</v>
      </c>
      <c r="B1482" s="2788">
        <f>IFERROR(AVERAGE('2018+'!S2201:S2244),"")</f>
        <v>1.4641264217058403</v>
      </c>
      <c r="C1482" s="2782">
        <f>IFERROR(AVERAGE('2018+'!N2201:N2244),"")</f>
        <v>1.062039152961634</v>
      </c>
      <c r="D1482" s="2787">
        <f>'2018+'!U2244</f>
        <v>15.751327495214948</v>
      </c>
    </row>
    <row r="1483" spans="1:4" ht="15" x14ac:dyDescent="0.2">
      <c r="A1483" s="2781">
        <v>45343</v>
      </c>
      <c r="B1483" s="2788">
        <f>IFERROR(AVERAGE('2018+'!S2202:S2245),"")</f>
        <v>1.440822673788944</v>
      </c>
      <c r="C1483" s="2782">
        <f>IFERROR(AVERAGE('2018+'!N2202:N2245),"")</f>
        <v>1.0644094016791621</v>
      </c>
      <c r="D1483" s="2787">
        <f>'2018+'!U2245</f>
        <v>15.376295888186021</v>
      </c>
    </row>
    <row r="1484" spans="1:4" ht="15" x14ac:dyDescent="0.2">
      <c r="A1484" s="2781">
        <v>45344</v>
      </c>
      <c r="B1484" s="2788">
        <f>IFERROR(AVERAGE('2018+'!S2203:S2246),"")</f>
        <v>1.440822673788944</v>
      </c>
      <c r="C1484" s="2782">
        <f>IFERROR(AVERAGE('2018+'!N2203:N2246),"")</f>
        <v>1.0644094016791621</v>
      </c>
      <c r="D1484" s="2787">
        <f>'2018+'!U2246</f>
        <v>15.010193605133974</v>
      </c>
    </row>
    <row r="1485" spans="1:4" ht="15" x14ac:dyDescent="0.2">
      <c r="A1485" s="2781">
        <v>45345</v>
      </c>
      <c r="B1485" s="2788">
        <f>IFERROR(AVERAGE('2018+'!S2204:S2247),"")</f>
        <v>1.4499645124489458</v>
      </c>
      <c r="C1485" s="2782">
        <f>IFERROR(AVERAGE('2018+'!N2204:N2247),"")</f>
        <v>1.0661363273676345</v>
      </c>
      <c r="D1485" s="2787">
        <f>'2018+'!U2247</f>
        <v>15.512927090726022</v>
      </c>
    </row>
    <row r="1486" spans="1:4" ht="15" x14ac:dyDescent="0.2">
      <c r="A1486" s="2781">
        <v>45346</v>
      </c>
      <c r="B1486" s="2788">
        <f>IFERROR(AVERAGE('2018+'!S2205:S2248),"")</f>
        <v>1.4499645124489458</v>
      </c>
      <c r="C1486" s="2782">
        <f>IFERROR(AVERAGE('2018+'!N2205:N2248),"")</f>
        <v>1.0661363273676345</v>
      </c>
      <c r="D1486" s="2787">
        <f>'2018+'!U2248</f>
        <v>15.143571683803973</v>
      </c>
    </row>
    <row r="1487" spans="1:4" ht="15" x14ac:dyDescent="0.2">
      <c r="A1487" s="2781">
        <v>45347</v>
      </c>
      <c r="B1487" s="2788">
        <f>IFERROR(AVERAGE('2018+'!S2206:S2249),"")</f>
        <v>1.4499645124489458</v>
      </c>
      <c r="C1487" s="2782">
        <f>IFERROR(AVERAGE('2018+'!N2206:N2249),"")</f>
        <v>1.0661363273676345</v>
      </c>
      <c r="D1487" s="2787">
        <f>'2018+'!U2249</f>
        <v>14.783010453237212</v>
      </c>
    </row>
    <row r="1488" spans="1:4" ht="15" x14ac:dyDescent="0.2">
      <c r="A1488" s="2781">
        <v>45348</v>
      </c>
      <c r="B1488" s="2788">
        <f>IFERROR(AVERAGE('2018+'!S2207:S2250),"")</f>
        <v>1.4499645124489458</v>
      </c>
      <c r="C1488" s="2782">
        <f>IFERROR(AVERAGE('2018+'!N2207:N2250),"")</f>
        <v>1.0661363273676345</v>
      </c>
      <c r="D1488" s="2787">
        <f>'2018+'!U2250</f>
        <v>14.431034013874422</v>
      </c>
    </row>
    <row r="1489" spans="1:4" ht="15" x14ac:dyDescent="0.2">
      <c r="A1489" s="2781">
        <v>45349</v>
      </c>
      <c r="B1489" s="2788">
        <f>IFERROR(AVERAGE('2018+'!S2208:S2251),"")</f>
        <v>1.4717475550601329</v>
      </c>
      <c r="C1489" s="2782">
        <f>IFERROR(AVERAGE('2018+'!N2208:N2251),"")</f>
        <v>1.0612708697782844</v>
      </c>
      <c r="D1489" s="2787">
        <f>'2018+'!U2251</f>
        <v>14.947557013544078</v>
      </c>
    </row>
    <row r="1490" spans="1:4" ht="15" x14ac:dyDescent="0.2">
      <c r="A1490" s="2781">
        <v>45350</v>
      </c>
      <c r="B1490" s="2788">
        <f>IFERROR(AVERAGE('2018+'!S2209:S2252),"")</f>
        <v>1.4224973656480504</v>
      </c>
      <c r="C1490" s="2782">
        <f>IFERROR(AVERAGE('2018+'!N2209:N2252),"")</f>
        <v>1.0611192288107547</v>
      </c>
      <c r="D1490" s="2787">
        <f>'2018+'!U2252</f>
        <v>14.591662798935886</v>
      </c>
    </row>
    <row r="1491" spans="1:4" ht="15" x14ac:dyDescent="0.2">
      <c r="A1491" s="2781">
        <v>45351</v>
      </c>
      <c r="B1491" s="2788">
        <f>IFERROR(AVERAGE('2018+'!S2210:S2253),"")</f>
        <v>1.4224973656480504</v>
      </c>
      <c r="C1491" s="2782">
        <f>IFERROR(AVERAGE('2018+'!N2210:N2253),"")</f>
        <v>1.0611192288107547</v>
      </c>
      <c r="D1491" s="2787">
        <f>'2018+'!U2253</f>
        <v>14.244242256104078</v>
      </c>
    </row>
    <row r="1492" spans="1:4" ht="15" x14ac:dyDescent="0.2">
      <c r="A1492" s="2781">
        <v>45352</v>
      </c>
      <c r="B1492" s="2788">
        <f>IFERROR(AVERAGE('2018+'!S2211:S2254),"")</f>
        <v>1.321917808219178</v>
      </c>
      <c r="C1492" s="2782">
        <f>IFERROR(AVERAGE('2018+'!N2211:N2254),"")</f>
        <v>1.0420717727974547</v>
      </c>
      <c r="D1492" s="2787">
        <f>'2018+'!U2254</f>
        <v>14.765212678577791</v>
      </c>
    </row>
    <row r="1493" spans="1:4" ht="15" x14ac:dyDescent="0.2">
      <c r="A1493" s="2781">
        <v>45353</v>
      </c>
      <c r="B1493" s="2788" t="str">
        <f>IFERROR(AVERAGE('2018+'!S2212:S2255),"")</f>
        <v/>
      </c>
      <c r="C1493" s="2782" t="str">
        <f>IFERROR(AVERAGE('2018+'!N2212:N2255),"")</f>
        <v/>
      </c>
      <c r="D1493" s="2787">
        <f>'2018+'!U2255</f>
        <v>14.413659995754511</v>
      </c>
    </row>
    <row r="1494" spans="1:4" ht="15" x14ac:dyDescent="0.2">
      <c r="A1494" s="2781">
        <v>45354</v>
      </c>
      <c r="B1494" s="2788" t="str">
        <f>IFERROR(AVERAGE('2018+'!S2213:S2256),"")</f>
        <v/>
      </c>
      <c r="C1494" s="2782" t="str">
        <f>IFERROR(AVERAGE('2018+'!N2213:N2256),"")</f>
        <v/>
      </c>
      <c r="D1494" s="2787">
        <f>'2018+'!U2256</f>
        <v>14.070477614903213</v>
      </c>
    </row>
    <row r="1495" spans="1:4" ht="15" x14ac:dyDescent="0.2">
      <c r="A1495" s="2781">
        <v>45355</v>
      </c>
      <c r="B1495" s="2788" t="str">
        <f>IFERROR(AVERAGE('2018+'!S2214:S2257),"")</f>
        <v/>
      </c>
      <c r="C1495" s="2782" t="str">
        <f>IFERROR(AVERAGE('2018+'!N2214:N2257),"")</f>
        <v/>
      </c>
      <c r="D1495" s="2787">
        <f>'2018+'!U2257</f>
        <v>14.595585290738851</v>
      </c>
    </row>
    <row r="1496" spans="1:4" ht="15" x14ac:dyDescent="0.2">
      <c r="A1496" s="2781">
        <v>45356</v>
      </c>
      <c r="B1496" s="2788" t="str">
        <f>IFERROR(AVERAGE('2018+'!S2215:S2258),"")</f>
        <v/>
      </c>
      <c r="C1496" s="2782" t="str">
        <f>IFERROR(AVERAGE('2018+'!N2215:N2258),"")</f>
        <v/>
      </c>
      <c r="D1496" s="2787">
        <f>'2018+'!U2258</f>
        <v>15.108190402864118</v>
      </c>
    </row>
    <row r="1497" spans="1:4" ht="15" x14ac:dyDescent="0.2">
      <c r="A1497" s="2781">
        <v>45357</v>
      </c>
      <c r="B1497" s="2788" t="str">
        <f>IFERROR(AVERAGE('2018+'!S2216:S2259),"")</f>
        <v/>
      </c>
      <c r="C1497" s="2782" t="str">
        <f>IFERROR(AVERAGE('2018+'!N2216:N2259),"")</f>
        <v/>
      </c>
      <c r="D1497" s="2787">
        <f>'2018+'!U2259</f>
        <v>14.748471583748305</v>
      </c>
    </row>
    <row r="1498" spans="1:4" ht="15" x14ac:dyDescent="0.2">
      <c r="A1498" s="2781">
        <v>45358</v>
      </c>
      <c r="B1498" s="2788" t="str">
        <f>IFERROR(AVERAGE('2018+'!S2217:S2260),"")</f>
        <v/>
      </c>
      <c r="C1498" s="2782" t="str">
        <f>IFERROR(AVERAGE('2018+'!N2217:N2260),"")</f>
        <v/>
      </c>
      <c r="D1498" s="2787">
        <f>'2018+'!U2260</f>
        <v>14.397317498420964</v>
      </c>
    </row>
  </sheetData>
  <pageMargins left="0.7" right="0.7" top="0.78740157499999996" bottom="0.78740157499999996" header="0.3" footer="0.3"/>
  <pageSetup paperSize="9" orientation="portrait" horizontalDpi="0" verticalDpi="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CD1DC-F2B0-BA4A-9473-B8D3EBEF467B}">
  <dimension ref="A1:C1073"/>
  <sheetViews>
    <sheetView topLeftCell="A758" workbookViewId="0">
      <selection activeCell="B777" sqref="B777"/>
    </sheetView>
  </sheetViews>
  <sheetFormatPr baseColWidth="10" defaultColWidth="10.83203125" defaultRowHeight="15" x14ac:dyDescent="0.2"/>
  <cols>
    <col min="1" max="1" width="9.5" style="2781" bestFit="1" customWidth="1"/>
    <col min="2" max="3" width="10.83203125" style="2"/>
  </cols>
  <sheetData>
    <row r="1" spans="1:3" s="140" customFormat="1" x14ac:dyDescent="0.2">
      <c r="A1" s="2781" t="s">
        <v>962</v>
      </c>
      <c r="B1" s="35" t="s">
        <v>963</v>
      </c>
      <c r="C1" s="35" t="s">
        <v>1469</v>
      </c>
    </row>
    <row r="2" spans="1:3" s="140" customFormat="1" x14ac:dyDescent="0.2">
      <c r="A2" s="2781">
        <v>44534</v>
      </c>
      <c r="B2" s="2877">
        <f>SUM('2018+'!H1347:H1436)</f>
        <v>267.55999999999995</v>
      </c>
      <c r="C2" s="2877">
        <f>SUM('2018+'!H1071:H1436)</f>
        <v>1368.7900000000006</v>
      </c>
    </row>
    <row r="3" spans="1:3" s="140" customFormat="1" x14ac:dyDescent="0.2">
      <c r="A3" s="2781">
        <v>44535</v>
      </c>
      <c r="B3" s="2877">
        <f>SUM('2018+'!H1348:H1437)</f>
        <v>282.45999999999992</v>
      </c>
      <c r="C3" s="2877">
        <f>SUM('2018+'!H1072:H1437)</f>
        <v>1383.6900000000007</v>
      </c>
    </row>
    <row r="4" spans="1:3" s="140" customFormat="1" x14ac:dyDescent="0.2">
      <c r="A4" s="2781">
        <v>44536</v>
      </c>
      <c r="B4" s="2877">
        <f>SUM('2018+'!H1349:H1438)</f>
        <v>271.15999999999997</v>
      </c>
      <c r="C4" s="2877">
        <f>SUM('2018+'!H1073:H1438)</f>
        <v>1383.6900000000007</v>
      </c>
    </row>
    <row r="5" spans="1:3" s="140" customFormat="1" x14ac:dyDescent="0.2">
      <c r="A5" s="2781">
        <v>44537</v>
      </c>
      <c r="B5" s="2877">
        <f>SUM('2018+'!H1350:H1439)</f>
        <v>280.83</v>
      </c>
      <c r="C5" s="2877">
        <f>SUM('2018+'!H1074:H1439)</f>
        <v>1381.7300000000007</v>
      </c>
    </row>
    <row r="6" spans="1:3" s="140" customFormat="1" x14ac:dyDescent="0.2">
      <c r="A6" s="2781">
        <v>44538</v>
      </c>
      <c r="B6" s="2877">
        <f>SUM('2018+'!H1351:H1440)</f>
        <v>277.14</v>
      </c>
      <c r="C6" s="2877">
        <f>SUM('2018+'!H1075:H1440)</f>
        <v>1388.5600000000006</v>
      </c>
    </row>
    <row r="7" spans="1:3" s="140" customFormat="1" x14ac:dyDescent="0.2">
      <c r="A7" s="2781">
        <v>44539</v>
      </c>
      <c r="B7" s="2877">
        <f>SUM('2018+'!H1352:H1441)</f>
        <v>277.14</v>
      </c>
      <c r="C7" s="2877">
        <f>SUM('2018+'!H1076:H1441)</f>
        <v>1378.4700000000005</v>
      </c>
    </row>
    <row r="8" spans="1:3" s="140" customFormat="1" x14ac:dyDescent="0.2">
      <c r="A8" s="2781">
        <v>44540</v>
      </c>
      <c r="B8" s="2877">
        <f>SUM('2018+'!H1353:H1442)</f>
        <v>287.74</v>
      </c>
      <c r="C8" s="2877">
        <f>SUM('2018+'!H1077:H1442)</f>
        <v>1389.0700000000004</v>
      </c>
    </row>
    <row r="9" spans="1:3" s="140" customFormat="1" x14ac:dyDescent="0.2">
      <c r="A9" s="2781">
        <v>44541</v>
      </c>
      <c r="B9" s="2877">
        <f>SUM('2018+'!H1354:H1443)</f>
        <v>288.63000000000005</v>
      </c>
      <c r="C9" s="2877">
        <f>SUM('2018+'!H1078:H1443)</f>
        <v>1389.9800000000002</v>
      </c>
    </row>
    <row r="10" spans="1:3" s="140" customFormat="1" x14ac:dyDescent="0.2">
      <c r="A10" s="2781">
        <v>44542</v>
      </c>
      <c r="B10" s="2877">
        <f>SUM('2018+'!H1355:H1444)</f>
        <v>288.63000000000005</v>
      </c>
      <c r="C10" s="2877">
        <f>SUM('2018+'!H1079:H1444)</f>
        <v>1389.9800000000002</v>
      </c>
    </row>
    <row r="11" spans="1:3" s="140" customFormat="1" x14ac:dyDescent="0.2">
      <c r="A11" s="2781">
        <v>44543</v>
      </c>
      <c r="B11" s="2877">
        <f>SUM('2018+'!H1356:H1445)</f>
        <v>289.41000000000003</v>
      </c>
      <c r="C11" s="2877">
        <f>SUM('2018+'!H1080:H1445)</f>
        <v>1397.0000000000002</v>
      </c>
    </row>
    <row r="12" spans="1:3" s="140" customFormat="1" x14ac:dyDescent="0.2">
      <c r="A12" s="2781">
        <v>44544</v>
      </c>
      <c r="B12" s="2877">
        <f>SUM('2018+'!H1357:H1446)</f>
        <v>289.41000000000003</v>
      </c>
      <c r="C12" s="2877">
        <f>SUM('2018+'!H1081:H1446)</f>
        <v>1384.6000000000004</v>
      </c>
    </row>
    <row r="13" spans="1:3" s="140" customFormat="1" x14ac:dyDescent="0.2">
      <c r="A13" s="2781">
        <v>44545</v>
      </c>
      <c r="B13" s="2877">
        <f>SUM('2018+'!H1358:H1447)</f>
        <v>292.05000000000007</v>
      </c>
      <c r="C13" s="2877">
        <f>SUM('2018+'!H1082:H1447)</f>
        <v>1394.7000000000003</v>
      </c>
    </row>
    <row r="14" spans="1:3" s="140" customFormat="1" x14ac:dyDescent="0.2">
      <c r="A14" s="2781">
        <v>44546</v>
      </c>
      <c r="B14" s="2877">
        <f>SUM('2018+'!H1359:H1448)</f>
        <v>292.05000000000007</v>
      </c>
      <c r="C14" s="2877">
        <f>SUM('2018+'!H1083:H1448)</f>
        <v>1384.2000000000003</v>
      </c>
    </row>
    <row r="15" spans="1:3" s="140" customFormat="1" x14ac:dyDescent="0.2">
      <c r="A15" s="2781">
        <v>44547</v>
      </c>
      <c r="B15" s="2877">
        <f>SUM('2018+'!H1360:H1449)</f>
        <v>282.17</v>
      </c>
      <c r="C15" s="2877">
        <f>SUM('2018+'!H1084:H1449)</f>
        <v>1384.2000000000003</v>
      </c>
    </row>
    <row r="16" spans="1:3" s="140" customFormat="1" x14ac:dyDescent="0.2">
      <c r="A16" s="2781">
        <v>44548</v>
      </c>
      <c r="B16" s="2877">
        <f>SUM('2018+'!H1361:H1450)</f>
        <v>282.17</v>
      </c>
      <c r="C16" s="2877">
        <f>SUM('2018+'!H1085:H1450)</f>
        <v>1375.1100000000004</v>
      </c>
    </row>
    <row r="17" spans="1:3" s="140" customFormat="1" x14ac:dyDescent="0.2">
      <c r="A17" s="2781">
        <v>44549</v>
      </c>
      <c r="B17" s="2877">
        <f>SUM('2018+'!H1362:H1451)</f>
        <v>272.18</v>
      </c>
      <c r="C17" s="2877">
        <f>SUM('2018+'!H1086:H1451)</f>
        <v>1375.1100000000004</v>
      </c>
    </row>
    <row r="18" spans="1:3" s="140" customFormat="1" x14ac:dyDescent="0.2">
      <c r="A18" s="2781">
        <v>44550</v>
      </c>
      <c r="B18" s="2877">
        <f>SUM('2018+'!H1363:H1452)</f>
        <v>272.18</v>
      </c>
      <c r="C18" s="2877">
        <f>SUM('2018+'!H1087:H1452)</f>
        <v>1364.7000000000003</v>
      </c>
    </row>
    <row r="19" spans="1:3" s="140" customFormat="1" x14ac:dyDescent="0.2">
      <c r="A19" s="2781">
        <v>44551</v>
      </c>
      <c r="B19" s="2877">
        <f>SUM('2018+'!H1364:H1453)</f>
        <v>263.22000000000003</v>
      </c>
      <c r="C19" s="2877">
        <f>SUM('2018+'!H1088:H1453)</f>
        <v>1364.7000000000003</v>
      </c>
    </row>
    <row r="20" spans="1:3" s="140" customFormat="1" x14ac:dyDescent="0.2">
      <c r="A20" s="2781">
        <v>44552</v>
      </c>
      <c r="B20" s="2877">
        <f>SUM('2018+'!H1365:H1454)</f>
        <v>255.82</v>
      </c>
      <c r="C20" s="2877">
        <f>SUM('2018+'!H1089:H1454)</f>
        <v>1354.7700000000002</v>
      </c>
    </row>
    <row r="21" spans="1:3" s="140" customFormat="1" x14ac:dyDescent="0.2">
      <c r="A21" s="2781">
        <v>44553</v>
      </c>
      <c r="B21" s="2877">
        <f>SUM('2018+'!H1366:H1455)</f>
        <v>255.82</v>
      </c>
      <c r="C21" s="2877">
        <f>SUM('2018+'!H1090:H1455)</f>
        <v>1354.7700000000002</v>
      </c>
    </row>
    <row r="22" spans="1:3" s="140" customFormat="1" x14ac:dyDescent="0.2">
      <c r="A22" s="2781">
        <v>44554</v>
      </c>
      <c r="B22" s="2877">
        <f>SUM('2018+'!H1367:H1456)</f>
        <v>250.25</v>
      </c>
      <c r="C22" s="2877">
        <f>SUM('2018+'!H1091:H1456)</f>
        <v>1343.0500000000004</v>
      </c>
    </row>
    <row r="23" spans="1:3" s="140" customFormat="1" x14ac:dyDescent="0.2">
      <c r="A23" s="2781">
        <v>44555</v>
      </c>
      <c r="B23" s="2877">
        <f>SUM('2018+'!H1368:H1457)</f>
        <v>250.25</v>
      </c>
      <c r="C23" s="2877">
        <f>SUM('2018+'!H1092:H1457)</f>
        <v>1343.0500000000004</v>
      </c>
    </row>
    <row r="24" spans="1:3" s="140" customFormat="1" x14ac:dyDescent="0.2">
      <c r="A24" s="2781">
        <v>44556</v>
      </c>
      <c r="B24" s="2877">
        <f>SUM('2018+'!H1369:H1458)</f>
        <v>239.45</v>
      </c>
      <c r="C24" s="2877">
        <f>SUM('2018+'!H1093:H1458)</f>
        <v>1332.9500000000003</v>
      </c>
    </row>
    <row r="25" spans="1:3" s="140" customFormat="1" x14ac:dyDescent="0.2">
      <c r="A25" s="2781">
        <v>44557</v>
      </c>
      <c r="B25" s="2877">
        <f>SUM('2018+'!H1370:H1459)</f>
        <v>239.45</v>
      </c>
      <c r="C25" s="2877">
        <f>SUM('2018+'!H1094:H1459)</f>
        <v>1332.9500000000003</v>
      </c>
    </row>
    <row r="26" spans="1:3" s="140" customFormat="1" x14ac:dyDescent="0.2">
      <c r="A26" s="2781">
        <v>44558</v>
      </c>
      <c r="B26" s="2877">
        <f>SUM('2018+'!H1371:H1460)</f>
        <v>233.03</v>
      </c>
      <c r="C26" s="2877">
        <f>SUM('2018+'!H1095:H1460)</f>
        <v>1321.8500000000001</v>
      </c>
    </row>
    <row r="27" spans="1:3" s="140" customFormat="1" x14ac:dyDescent="0.2">
      <c r="A27" s="2781">
        <v>44559</v>
      </c>
      <c r="B27" s="2877">
        <f>SUM('2018+'!H1372:H1461)</f>
        <v>240.13</v>
      </c>
      <c r="C27" s="2877">
        <f>SUM('2018+'!H1096:H1461)</f>
        <v>1328.95</v>
      </c>
    </row>
    <row r="28" spans="1:3" s="140" customFormat="1" x14ac:dyDescent="0.2">
      <c r="A28" s="2781">
        <v>44560</v>
      </c>
      <c r="B28" s="2877">
        <f>SUM('2018+'!H1373:H1462)</f>
        <v>240.13</v>
      </c>
      <c r="C28" s="2877">
        <f>SUM('2018+'!H1097:H1462)</f>
        <v>1317.8500000000001</v>
      </c>
    </row>
    <row r="29" spans="1:3" s="140" customFormat="1" x14ac:dyDescent="0.2">
      <c r="A29" s="2781">
        <v>44561</v>
      </c>
      <c r="B29" s="2877">
        <f>SUM('2018+'!H1374:H1463)</f>
        <v>250.32999999999998</v>
      </c>
      <c r="C29" s="2877">
        <f>SUM('2018+'!H1098:H1463)</f>
        <v>1328.0500000000002</v>
      </c>
    </row>
    <row r="30" spans="1:3" s="140" customFormat="1" x14ac:dyDescent="0.2">
      <c r="A30" s="2781">
        <v>44562</v>
      </c>
      <c r="B30" s="2877">
        <f>SUM('2018+'!H1375:H1464)</f>
        <v>250.32999999999998</v>
      </c>
      <c r="C30" s="2877">
        <f>SUM('2018+'!H1099:H1464)</f>
        <v>1320.43</v>
      </c>
    </row>
    <row r="31" spans="1:3" s="140" customFormat="1" x14ac:dyDescent="0.2">
      <c r="A31" s="2781">
        <v>44563</v>
      </c>
      <c r="B31" s="2877">
        <f>SUM('2018+'!H1376:H1465)</f>
        <v>261.02999999999997</v>
      </c>
      <c r="C31" s="2877">
        <f>SUM('2018+'!H1100:H1465)</f>
        <v>1331.13</v>
      </c>
    </row>
    <row r="32" spans="1:3" s="140" customFormat="1" x14ac:dyDescent="0.2">
      <c r="A32" s="2781">
        <v>44564</v>
      </c>
      <c r="B32" s="2877">
        <f>SUM('2018+'!H1377:H1466)</f>
        <v>261.02999999999997</v>
      </c>
      <c r="C32" s="2877">
        <f>SUM('2018+'!H1101:H1466)</f>
        <v>1321.03</v>
      </c>
    </row>
    <row r="33" spans="1:3" s="140" customFormat="1" x14ac:dyDescent="0.2">
      <c r="A33" s="2781">
        <v>44565</v>
      </c>
      <c r="B33" s="2877">
        <f>SUM('2018+'!H1378:H1467)</f>
        <v>271.85999999999996</v>
      </c>
      <c r="C33" s="2877">
        <f>SUM('2018+'!H1102:H1467)</f>
        <v>1321.16</v>
      </c>
    </row>
    <row r="34" spans="1:3" s="140" customFormat="1" x14ac:dyDescent="0.2">
      <c r="A34" s="2781">
        <v>44566</v>
      </c>
      <c r="B34" s="2877">
        <f>SUM('2018+'!H1379:H1468)</f>
        <v>271.85999999999996</v>
      </c>
      <c r="C34" s="2877">
        <f>SUM('2018+'!H1103:H1468)</f>
        <v>1321.16</v>
      </c>
    </row>
    <row r="35" spans="1:3" s="140" customFormat="1" x14ac:dyDescent="0.2">
      <c r="A35" s="2781">
        <v>44567</v>
      </c>
      <c r="B35" s="2877">
        <f>SUM('2018+'!H1380:H1469)</f>
        <v>282.49999999999994</v>
      </c>
      <c r="C35" s="2877">
        <f>SUM('2018+'!H1104:H1469)</f>
        <v>1320.4</v>
      </c>
    </row>
    <row r="36" spans="1:3" s="140" customFormat="1" x14ac:dyDescent="0.2">
      <c r="A36" s="2781">
        <v>44568</v>
      </c>
      <c r="B36" s="2877">
        <f>SUM('2018+'!H1381:H1470)</f>
        <v>282.49999999999994</v>
      </c>
      <c r="C36" s="2877">
        <f>SUM('2018+'!H1105:H1470)</f>
        <v>1320.4</v>
      </c>
    </row>
    <row r="37" spans="1:3" s="140" customFormat="1" x14ac:dyDescent="0.2">
      <c r="A37" s="2781">
        <v>44569</v>
      </c>
      <c r="B37" s="2877">
        <f>SUM('2018+'!H1382:H1471)</f>
        <v>291.43999999999994</v>
      </c>
      <c r="C37" s="2877">
        <f>SUM('2018+'!H1106:H1471)</f>
        <v>1319.14</v>
      </c>
    </row>
    <row r="38" spans="1:3" s="140" customFormat="1" x14ac:dyDescent="0.2">
      <c r="A38" s="2781">
        <v>44570</v>
      </c>
      <c r="B38" s="2877">
        <f>SUM('2018+'!H1383:H1472)</f>
        <v>291.43999999999994</v>
      </c>
      <c r="C38" s="2877">
        <f>SUM('2018+'!H1107:H1472)</f>
        <v>1311.24</v>
      </c>
    </row>
    <row r="39" spans="1:3" s="140" customFormat="1" x14ac:dyDescent="0.2">
      <c r="A39" s="2781">
        <v>44571</v>
      </c>
      <c r="B39" s="2877">
        <f>SUM('2018+'!H1384:H1473)</f>
        <v>299.74999999999994</v>
      </c>
      <c r="C39" s="2877">
        <f>SUM('2018+'!H1108:H1473)</f>
        <v>1319.55</v>
      </c>
    </row>
    <row r="40" spans="1:3" s="140" customFormat="1" x14ac:dyDescent="0.2">
      <c r="A40" s="2781">
        <v>44572</v>
      </c>
      <c r="B40" s="2877">
        <f>SUM('2018+'!H1385:H1474)</f>
        <v>309.88999999999993</v>
      </c>
      <c r="C40" s="2877">
        <f>SUM('2018+'!H1109:H1474)</f>
        <v>1315.0600000000002</v>
      </c>
    </row>
    <row r="41" spans="1:3" s="140" customFormat="1" x14ac:dyDescent="0.2">
      <c r="A41" s="2781">
        <v>44573</v>
      </c>
      <c r="B41" s="2877">
        <f>SUM('2018+'!H1386:H1475)</f>
        <v>309.88999999999993</v>
      </c>
      <c r="C41" s="2877">
        <f>SUM('2018+'!H1110:H1475)</f>
        <v>1315.0600000000002</v>
      </c>
    </row>
    <row r="42" spans="1:3" s="140" customFormat="1" x14ac:dyDescent="0.2">
      <c r="A42" s="2781">
        <v>44574</v>
      </c>
      <c r="B42" s="2877">
        <f>SUM('2018+'!H1387:H1476)</f>
        <v>320.01999999999992</v>
      </c>
      <c r="C42" s="2877">
        <f>SUM('2018+'!H1111:H1476)</f>
        <v>1316.0700000000002</v>
      </c>
    </row>
    <row r="43" spans="1:3" s="140" customFormat="1" x14ac:dyDescent="0.2">
      <c r="A43" s="2781">
        <v>44575</v>
      </c>
      <c r="B43" s="2877">
        <f>SUM('2018+'!H1388:H1477)</f>
        <v>313.75999999999993</v>
      </c>
      <c r="C43" s="2877">
        <f>SUM('2018+'!H1112:H1477)</f>
        <v>1316.0700000000002</v>
      </c>
    </row>
    <row r="44" spans="1:3" s="140" customFormat="1" x14ac:dyDescent="0.2">
      <c r="A44" s="2781">
        <v>44576</v>
      </c>
      <c r="B44" s="2877">
        <f>SUM('2018+'!H1389:H1478)</f>
        <v>325.19999999999993</v>
      </c>
      <c r="C44" s="2877">
        <f>SUM('2018+'!H1113:H1478)</f>
        <v>1317.2800000000002</v>
      </c>
    </row>
    <row r="45" spans="1:3" s="140" customFormat="1" x14ac:dyDescent="0.2">
      <c r="A45" s="2781">
        <v>44577</v>
      </c>
      <c r="B45" s="2877">
        <f>SUM('2018+'!H1390:H1479)</f>
        <v>317.65999999999997</v>
      </c>
      <c r="C45" s="2877">
        <f>SUM('2018+'!H1114:H1479)</f>
        <v>1304.78</v>
      </c>
    </row>
    <row r="46" spans="1:3" s="140" customFormat="1" x14ac:dyDescent="0.2">
      <c r="A46" s="2781">
        <v>44578</v>
      </c>
      <c r="B46" s="2877">
        <f>SUM('2018+'!H1391:H1480)</f>
        <v>327.79999999999995</v>
      </c>
      <c r="C46" s="2877">
        <f>SUM('2018+'!H1115:H1480)</f>
        <v>1314.92</v>
      </c>
    </row>
    <row r="47" spans="1:3" s="140" customFormat="1" x14ac:dyDescent="0.2">
      <c r="A47" s="2781">
        <v>44579</v>
      </c>
      <c r="B47" s="2877">
        <f>SUM('2018+'!H1392:H1481)</f>
        <v>330.22999999999996</v>
      </c>
      <c r="C47" s="2877">
        <f>SUM('2018+'!H1116:H1481)</f>
        <v>1309.6300000000003</v>
      </c>
    </row>
    <row r="48" spans="1:3" s="140" customFormat="1" x14ac:dyDescent="0.2">
      <c r="A48" s="2781">
        <v>44580</v>
      </c>
      <c r="B48" s="2877">
        <f>SUM('2018+'!H1393:H1482)</f>
        <v>330.22999999999996</v>
      </c>
      <c r="C48" s="2877">
        <f>SUM('2018+'!H1117:H1482)</f>
        <v>1309.6300000000003</v>
      </c>
    </row>
    <row r="49" spans="1:3" s="140" customFormat="1" x14ac:dyDescent="0.2">
      <c r="A49" s="2781">
        <v>44581</v>
      </c>
      <c r="B49" s="2877">
        <f>SUM('2018+'!H1394:H1483)</f>
        <v>333.6099999999999</v>
      </c>
      <c r="C49" s="2877">
        <f>SUM('2018+'!H1118:H1483)</f>
        <v>1320.2800000000004</v>
      </c>
    </row>
    <row r="50" spans="1:3" s="140" customFormat="1" x14ac:dyDescent="0.2">
      <c r="A50" s="2781">
        <v>44582</v>
      </c>
      <c r="B50" s="2877">
        <f>SUM('2018+'!H1395:H1484)</f>
        <v>333.6099999999999</v>
      </c>
      <c r="C50" s="2877">
        <f>SUM('2018+'!H1119:H1484)</f>
        <v>1311.1500000000005</v>
      </c>
    </row>
    <row r="51" spans="1:3" s="140" customFormat="1" x14ac:dyDescent="0.2">
      <c r="A51" s="2781">
        <v>44583</v>
      </c>
      <c r="B51" s="2877">
        <f>SUM('2018+'!H1396:H1485)</f>
        <v>336.89999999999992</v>
      </c>
      <c r="C51" s="2877">
        <f>SUM('2018+'!H1120:H1485)</f>
        <v>1323.5700000000006</v>
      </c>
    </row>
    <row r="52" spans="1:3" s="140" customFormat="1" x14ac:dyDescent="0.2">
      <c r="A52" s="2781">
        <v>44584</v>
      </c>
      <c r="B52" s="2877">
        <f>SUM('2018+'!H1397:H1486)</f>
        <v>336.89999999999992</v>
      </c>
      <c r="C52" s="2877">
        <f>SUM('2018+'!H1121:H1486)</f>
        <v>1313.9400000000005</v>
      </c>
    </row>
    <row r="53" spans="1:3" s="140" customFormat="1" x14ac:dyDescent="0.2">
      <c r="A53" s="2781">
        <v>44585</v>
      </c>
      <c r="B53" s="2877">
        <f>SUM('2018+'!H1398:H1487)</f>
        <v>347.52999999999992</v>
      </c>
      <c r="C53" s="2877">
        <f>SUM('2018+'!H1122:H1487)</f>
        <v>1324.5700000000006</v>
      </c>
    </row>
    <row r="54" spans="1:3" s="140" customFormat="1" x14ac:dyDescent="0.2">
      <c r="A54" s="2781">
        <v>44586</v>
      </c>
      <c r="B54" s="2877">
        <f>SUM('2018+'!H1399:H1488)</f>
        <v>356.03999999999991</v>
      </c>
      <c r="C54" s="2877">
        <f>SUM('2018+'!H1123:H1488)</f>
        <v>1333.0800000000006</v>
      </c>
    </row>
    <row r="55" spans="1:3" s="140" customFormat="1" x14ac:dyDescent="0.2">
      <c r="A55" s="2781">
        <v>44587</v>
      </c>
      <c r="B55" s="2877">
        <f>SUM('2018+'!H1400:H1489)</f>
        <v>349.77999999999992</v>
      </c>
      <c r="C55" s="2877">
        <f>SUM('2018+'!H1124:H1489)</f>
        <v>1333.0800000000006</v>
      </c>
    </row>
    <row r="56" spans="1:3" s="140" customFormat="1" x14ac:dyDescent="0.2">
      <c r="A56" s="2781">
        <v>44588</v>
      </c>
      <c r="B56" s="2877">
        <f>SUM('2018+'!H1401:H1490)</f>
        <v>362.51999999999992</v>
      </c>
      <c r="C56" s="2877">
        <f>SUM('2018+'!H1125:H1490)</f>
        <v>1335.5300000000007</v>
      </c>
    </row>
    <row r="57" spans="1:3" s="140" customFormat="1" x14ac:dyDescent="0.2">
      <c r="A57" s="2781">
        <v>44589</v>
      </c>
      <c r="B57" s="2877">
        <f>SUM('2018+'!H1402:H1491)</f>
        <v>362.51999999999992</v>
      </c>
      <c r="C57" s="2877">
        <f>SUM('2018+'!H1126:H1491)</f>
        <v>1324.2300000000005</v>
      </c>
    </row>
    <row r="58" spans="1:3" s="140" customFormat="1" x14ac:dyDescent="0.2">
      <c r="A58" s="2781">
        <v>44590</v>
      </c>
      <c r="B58" s="2877">
        <f>SUM('2018+'!H1403:H1492)</f>
        <v>371.46999999999997</v>
      </c>
      <c r="C58" s="2877">
        <f>SUM('2018+'!H1127:H1492)</f>
        <v>1340.3900000000006</v>
      </c>
    </row>
    <row r="59" spans="1:3" s="140" customFormat="1" x14ac:dyDescent="0.2">
      <c r="A59" s="2781">
        <v>44591</v>
      </c>
      <c r="B59" s="2877">
        <f>SUM('2018+'!H1404:H1493)</f>
        <v>371.46999999999997</v>
      </c>
      <c r="C59" s="2877">
        <f>SUM('2018+'!H1128:H1493)</f>
        <v>1330.6800000000005</v>
      </c>
    </row>
    <row r="60" spans="1:3" s="140" customFormat="1" x14ac:dyDescent="0.2">
      <c r="A60" s="2781">
        <v>44592</v>
      </c>
      <c r="B60" s="2877">
        <f>SUM('2018+'!H1405:H1494)</f>
        <v>379.30999999999995</v>
      </c>
      <c r="C60" s="2877">
        <f>SUM('2018+'!H1129:H1494)</f>
        <v>1338.5200000000004</v>
      </c>
    </row>
    <row r="61" spans="1:3" s="140" customFormat="1" x14ac:dyDescent="0.2">
      <c r="A61" s="2781">
        <v>44593</v>
      </c>
      <c r="B61" s="2877">
        <f>SUM('2018+'!H1406:H1495)</f>
        <v>373.02999999999992</v>
      </c>
      <c r="C61" s="2877">
        <f>SUM('2018+'!H1130:H1495)</f>
        <v>1321.7500000000005</v>
      </c>
    </row>
    <row r="62" spans="1:3" s="140" customFormat="1" x14ac:dyDescent="0.2">
      <c r="A62" s="2781">
        <v>44594</v>
      </c>
      <c r="B62" s="2877">
        <f>SUM('2018+'!H1407:H1496)</f>
        <v>382.27999999999992</v>
      </c>
      <c r="C62" s="2877">
        <f>SUM('2018+'!H1131:H1496)</f>
        <v>1331.0000000000005</v>
      </c>
    </row>
    <row r="63" spans="1:3" s="140" customFormat="1" x14ac:dyDescent="0.2">
      <c r="A63" s="2781">
        <v>44595</v>
      </c>
      <c r="B63" s="2877">
        <f>SUM('2018+'!H1408:H1497)</f>
        <v>382.27999999999992</v>
      </c>
      <c r="C63" s="2877">
        <f>SUM('2018+'!H1132:H1497)</f>
        <v>1321.0500000000004</v>
      </c>
    </row>
    <row r="64" spans="1:3" s="140" customFormat="1" x14ac:dyDescent="0.2">
      <c r="A64" s="2781">
        <v>44596</v>
      </c>
      <c r="B64" s="2877">
        <f>SUM('2018+'!H1409:H1498)</f>
        <v>379.74999999999994</v>
      </c>
      <c r="C64" s="2877">
        <f>SUM('2018+'!H1133:H1498)</f>
        <v>1330.1200000000003</v>
      </c>
    </row>
    <row r="65" spans="1:3" s="140" customFormat="1" x14ac:dyDescent="0.2">
      <c r="A65" s="2781">
        <v>44597</v>
      </c>
      <c r="B65" s="2877">
        <f>SUM('2018+'!H1410:H1499)</f>
        <v>379.74999999999994</v>
      </c>
      <c r="C65" s="2877">
        <f>SUM('2018+'!H1134:H1499)</f>
        <v>1317.4100000000003</v>
      </c>
    </row>
    <row r="66" spans="1:3" s="140" customFormat="1" x14ac:dyDescent="0.2">
      <c r="A66" s="2781">
        <v>44598</v>
      </c>
      <c r="B66" s="2877">
        <f>SUM('2018+'!H1411:H1500)</f>
        <v>373.61999999999995</v>
      </c>
      <c r="C66" s="2877">
        <f>SUM('2018+'!H1135:H1500)</f>
        <v>1307.4700000000003</v>
      </c>
    </row>
    <row r="67" spans="1:3" s="140" customFormat="1" x14ac:dyDescent="0.2">
      <c r="A67" s="2781">
        <v>44599</v>
      </c>
      <c r="B67" s="2877">
        <f>SUM('2018+'!H1412:H1501)</f>
        <v>383.74999999999994</v>
      </c>
      <c r="C67" s="2877">
        <f>SUM('2018+'!H1136:H1501)</f>
        <v>1317.6000000000004</v>
      </c>
    </row>
    <row r="68" spans="1:3" s="140" customFormat="1" x14ac:dyDescent="0.2">
      <c r="A68" s="2781">
        <v>44600</v>
      </c>
      <c r="B68" s="2877">
        <f>SUM('2018+'!H1413:H1502)</f>
        <v>383.81999999999994</v>
      </c>
      <c r="C68" s="2877">
        <f>SUM('2018+'!H1137:H1502)</f>
        <v>1308.7600000000004</v>
      </c>
    </row>
    <row r="69" spans="1:3" s="140" customFormat="1" x14ac:dyDescent="0.2">
      <c r="A69" s="2781">
        <v>44601</v>
      </c>
      <c r="B69" s="2877">
        <f>SUM('2018+'!H1414:H1503)</f>
        <v>393.88999999999993</v>
      </c>
      <c r="C69" s="2877">
        <f>SUM('2018+'!H1138:H1503)</f>
        <v>1318.8300000000004</v>
      </c>
    </row>
    <row r="70" spans="1:3" s="140" customFormat="1" x14ac:dyDescent="0.2">
      <c r="A70" s="2781">
        <v>44602</v>
      </c>
      <c r="B70" s="2877">
        <f>SUM('2018+'!H1415:H1504)</f>
        <v>406.60999999999996</v>
      </c>
      <c r="C70" s="2877">
        <f>SUM('2018+'!H1139:H1504)</f>
        <v>1331.5500000000004</v>
      </c>
    </row>
    <row r="71" spans="1:3" s="140" customFormat="1" x14ac:dyDescent="0.2">
      <c r="A71" s="2781">
        <v>44603</v>
      </c>
      <c r="B71" s="2877">
        <f>SUM('2018+'!H1416:H1505)</f>
        <v>406.60999999999996</v>
      </c>
      <c r="C71" s="2877">
        <f>SUM('2018+'!H1140:H1505)</f>
        <v>1322.4300000000003</v>
      </c>
    </row>
    <row r="72" spans="1:3" s="140" customFormat="1" x14ac:dyDescent="0.2">
      <c r="A72" s="2781">
        <v>44604</v>
      </c>
      <c r="B72" s="2877">
        <f>SUM('2018+'!H1417:H1506)</f>
        <v>415.01999999999992</v>
      </c>
      <c r="C72" s="2877">
        <f>SUM('2018+'!H1141:H1506)</f>
        <v>1340.5700000000004</v>
      </c>
    </row>
    <row r="73" spans="1:3" s="140" customFormat="1" x14ac:dyDescent="0.2">
      <c r="A73" s="2781">
        <v>44605</v>
      </c>
      <c r="B73" s="2877">
        <f>SUM('2018+'!H1418:H1507)</f>
        <v>415.01999999999992</v>
      </c>
      <c r="C73" s="2877">
        <f>SUM('2018+'!H1142:H1507)</f>
        <v>1330.3500000000006</v>
      </c>
    </row>
    <row r="74" spans="1:3" s="140" customFormat="1" x14ac:dyDescent="0.2">
      <c r="A74" s="2781">
        <v>44606</v>
      </c>
      <c r="B74" s="2877">
        <f>SUM('2018+'!H1419:H1508)</f>
        <v>425.15999999999991</v>
      </c>
      <c r="C74" s="2877">
        <f>SUM('2018+'!H1143:H1508)</f>
        <v>1340.4900000000007</v>
      </c>
    </row>
    <row r="75" spans="1:3" s="140" customFormat="1" x14ac:dyDescent="0.2">
      <c r="A75" s="2781">
        <v>44607</v>
      </c>
      <c r="B75" s="2877">
        <f>SUM('2018+'!H1420:H1509)</f>
        <v>433.31999999999994</v>
      </c>
      <c r="C75" s="2877">
        <f>SUM('2018+'!H1144:H1509)</f>
        <v>1338.0900000000011</v>
      </c>
    </row>
    <row r="76" spans="1:3" s="140" customFormat="1" x14ac:dyDescent="0.2">
      <c r="A76" s="2781">
        <v>44608</v>
      </c>
      <c r="B76" s="2877">
        <f>SUM('2018+'!H1421:H1510)</f>
        <v>441.16999999999996</v>
      </c>
      <c r="C76" s="2877">
        <f>SUM('2018+'!H1145:H1510)</f>
        <v>1345.940000000001</v>
      </c>
    </row>
    <row r="77" spans="1:3" s="140" customFormat="1" x14ac:dyDescent="0.2">
      <c r="A77" s="2781">
        <v>44609</v>
      </c>
      <c r="B77" s="2877">
        <f>SUM('2018+'!H1422:H1511)</f>
        <v>435.00999999999993</v>
      </c>
      <c r="C77" s="2877">
        <f>SUM('2018+'!H1146:H1511)</f>
        <v>1335.390000000001</v>
      </c>
    </row>
    <row r="78" spans="1:3" s="140" customFormat="1" x14ac:dyDescent="0.2">
      <c r="A78" s="2781">
        <v>44610</v>
      </c>
      <c r="B78" s="2877">
        <f>SUM('2018+'!H1423:H1512)</f>
        <v>448.24999999999994</v>
      </c>
      <c r="C78" s="2877">
        <f>SUM('2018+'!H1147:H1512)</f>
        <v>1336.1800000000012</v>
      </c>
    </row>
    <row r="79" spans="1:3" s="140" customFormat="1" x14ac:dyDescent="0.2">
      <c r="A79" s="2781">
        <v>44611</v>
      </c>
      <c r="B79" s="2877">
        <f>SUM('2018+'!H1424:H1513)</f>
        <v>457.84999999999997</v>
      </c>
      <c r="C79" s="2877">
        <f>SUM('2018+'!H1148:H1513)</f>
        <v>1348.0700000000011</v>
      </c>
    </row>
    <row r="80" spans="1:3" s="140" customFormat="1" x14ac:dyDescent="0.2">
      <c r="A80" s="2781">
        <v>44612</v>
      </c>
      <c r="B80" s="2877">
        <f>SUM('2018+'!H1425:H1514)</f>
        <v>457.84999999999997</v>
      </c>
      <c r="C80" s="2877">
        <f>SUM('2018+'!H1149:H1514)</f>
        <v>1348.0700000000011</v>
      </c>
    </row>
    <row r="81" spans="1:3" s="140" customFormat="1" x14ac:dyDescent="0.2">
      <c r="A81" s="2781">
        <v>44613</v>
      </c>
      <c r="B81" s="2877">
        <f>SUM('2018+'!H1426:H1515)</f>
        <v>447.24999999999994</v>
      </c>
      <c r="C81" s="2877">
        <f>SUM('2018+'!H1150:H1515)</f>
        <v>1330.8000000000011</v>
      </c>
    </row>
    <row r="82" spans="1:3" s="140" customFormat="1" x14ac:dyDescent="0.2">
      <c r="A82" s="2781">
        <v>44614</v>
      </c>
      <c r="B82" s="2877">
        <f>SUM('2018+'!H1427:H1516)</f>
        <v>459.81999999999994</v>
      </c>
      <c r="C82" s="2877">
        <f>SUM('2018+'!H1151:H1516)</f>
        <v>1343.370000000001</v>
      </c>
    </row>
    <row r="83" spans="1:3" s="140" customFormat="1" x14ac:dyDescent="0.2">
      <c r="A83" s="2781">
        <v>44615</v>
      </c>
      <c r="B83" s="2877">
        <f>SUM('2018+'!H1428:H1517)</f>
        <v>470.01999999999992</v>
      </c>
      <c r="C83" s="2877">
        <f>SUM('2018+'!H1152:H1517)</f>
        <v>1343.2500000000011</v>
      </c>
    </row>
    <row r="84" spans="1:3" s="140" customFormat="1" x14ac:dyDescent="0.2">
      <c r="A84" s="2781">
        <v>44616</v>
      </c>
      <c r="B84" s="2877">
        <f>SUM('2018+'!H1429:H1518)</f>
        <v>470.52</v>
      </c>
      <c r="C84" s="2877">
        <f>SUM('2018+'!H1153:H1518)</f>
        <v>1355.5500000000011</v>
      </c>
    </row>
    <row r="85" spans="1:3" s="140" customFormat="1" x14ac:dyDescent="0.2">
      <c r="A85" s="2781">
        <v>44617</v>
      </c>
      <c r="B85" s="2877">
        <f>SUM('2018+'!H1430:H1519)</f>
        <v>478.45</v>
      </c>
      <c r="C85" s="2877">
        <f>SUM('2018+'!H1154:H1519)</f>
        <v>1352.0100000000009</v>
      </c>
    </row>
    <row r="86" spans="1:3" s="140" customFormat="1" x14ac:dyDescent="0.2">
      <c r="A86" s="2781">
        <v>44618</v>
      </c>
      <c r="B86" s="2877">
        <f>SUM('2018+'!H1431:H1520)</f>
        <v>465.75</v>
      </c>
      <c r="C86" s="2877">
        <f>SUM('2018+'!H1155:H1520)</f>
        <v>1342.620000000001</v>
      </c>
    </row>
    <row r="87" spans="1:3" s="140" customFormat="1" x14ac:dyDescent="0.2">
      <c r="A87" s="2781">
        <v>44619</v>
      </c>
      <c r="B87" s="2877">
        <f>SUM('2018+'!H1432:H1521)</f>
        <v>486.93</v>
      </c>
      <c r="C87" s="2877">
        <f>SUM('2018+'!H1156:H1521)</f>
        <v>1363.8000000000011</v>
      </c>
    </row>
    <row r="88" spans="1:3" s="140" customFormat="1" x14ac:dyDescent="0.2">
      <c r="A88" s="2781">
        <v>44620</v>
      </c>
      <c r="B88" s="2877">
        <f>SUM('2018+'!H1433:H1522)</f>
        <v>486.93</v>
      </c>
      <c r="C88" s="2877">
        <f>SUM('2018+'!H1157:H1522)</f>
        <v>1344.170000000001</v>
      </c>
    </row>
    <row r="89" spans="1:3" s="140" customFormat="1" x14ac:dyDescent="0.2">
      <c r="A89" s="2781">
        <v>44621</v>
      </c>
      <c r="B89" s="2877">
        <f>SUM('2018+'!H1434:H1523)</f>
        <v>491.46999999999997</v>
      </c>
      <c r="C89" s="2877">
        <f>SUM('2018+'!H1158:H1523)</f>
        <v>1356.670000000001</v>
      </c>
    </row>
    <row r="90" spans="1:3" s="140" customFormat="1" x14ac:dyDescent="0.2">
      <c r="A90" s="2781">
        <v>44622</v>
      </c>
      <c r="B90" s="2877">
        <f>SUM('2018+'!H1435:H1524)</f>
        <v>499.55999999999995</v>
      </c>
      <c r="C90" s="2877">
        <f>SUM('2018+'!H1159:H1524)</f>
        <v>1354.5600000000009</v>
      </c>
    </row>
    <row r="91" spans="1:3" s="140" customFormat="1" x14ac:dyDescent="0.2">
      <c r="A91" s="2781">
        <v>44623</v>
      </c>
      <c r="B91" s="2877">
        <f>SUM('2018+'!H1436:H1525)</f>
        <v>489.15999999999997</v>
      </c>
      <c r="C91" s="2877">
        <f>SUM('2018+'!H1160:H1525)</f>
        <v>1354.5600000000009</v>
      </c>
    </row>
    <row r="92" spans="1:3" s="140" customFormat="1" x14ac:dyDescent="0.2">
      <c r="A92" s="2781">
        <v>44624</v>
      </c>
      <c r="B92" s="2877">
        <f>SUM('2018+'!H1437:H1526)</f>
        <v>498.13</v>
      </c>
      <c r="C92" s="2877">
        <f>SUM('2018+'!H1161:H1526)</f>
        <v>1351.0600000000009</v>
      </c>
    </row>
    <row r="93" spans="1:3" s="140" customFormat="1" x14ac:dyDescent="0.2">
      <c r="A93" s="2781">
        <v>44625</v>
      </c>
      <c r="B93" s="2877">
        <f>SUM('2018+'!H1438:H1527)</f>
        <v>483.23</v>
      </c>
      <c r="C93" s="2877">
        <f>SUM('2018+'!H1162:H1527)</f>
        <v>1341.8000000000006</v>
      </c>
    </row>
    <row r="94" spans="1:3" s="140" customFormat="1" x14ac:dyDescent="0.2">
      <c r="A94" s="2781">
        <v>44626</v>
      </c>
      <c r="B94" s="2877">
        <f>SUM('2018+'!H1439:H1528)</f>
        <v>488.69</v>
      </c>
      <c r="C94" s="2877">
        <f>SUM('2018+'!H1163:H1528)</f>
        <v>1347.2600000000007</v>
      </c>
    </row>
    <row r="95" spans="1:3" s="140" customFormat="1" x14ac:dyDescent="0.2">
      <c r="A95" s="2781">
        <v>44627</v>
      </c>
      <c r="B95" s="2877">
        <f>SUM('2018+'!H1440:H1529)</f>
        <v>479.02000000000004</v>
      </c>
      <c r="C95" s="2877">
        <f>SUM('2018+'!H1164:H1529)</f>
        <v>1328.2200000000007</v>
      </c>
    </row>
    <row r="96" spans="1:3" s="140" customFormat="1" x14ac:dyDescent="0.2">
      <c r="A96" s="2781">
        <v>44628</v>
      </c>
      <c r="B96" s="2877">
        <f>SUM('2018+'!H1441:H1530)</f>
        <v>482.31</v>
      </c>
      <c r="C96" s="2877">
        <f>SUM('2018+'!H1165:H1530)</f>
        <v>1338.3400000000006</v>
      </c>
    </row>
    <row r="97" spans="1:3" s="140" customFormat="1" x14ac:dyDescent="0.2">
      <c r="A97" s="2781">
        <v>44629</v>
      </c>
      <c r="B97" s="2877">
        <f>SUM('2018+'!H1442:H1531)</f>
        <v>482.31</v>
      </c>
      <c r="C97" s="2877">
        <f>SUM('2018+'!H1166:H1531)</f>
        <v>1328.2400000000005</v>
      </c>
    </row>
    <row r="98" spans="1:3" s="140" customFormat="1" x14ac:dyDescent="0.2">
      <c r="A98" s="2781">
        <v>44630</v>
      </c>
      <c r="B98" s="2877">
        <f>SUM('2018+'!H1443:H1532)</f>
        <v>481.83000000000004</v>
      </c>
      <c r="C98" s="2877">
        <f>SUM('2018+'!H1167:H1532)</f>
        <v>1338.3600000000004</v>
      </c>
    </row>
    <row r="99" spans="1:3" s="140" customFormat="1" x14ac:dyDescent="0.2">
      <c r="A99" s="2781">
        <v>44631</v>
      </c>
      <c r="B99" s="2877">
        <f>SUM('2018+'!H1444:H1533)</f>
        <v>471.23</v>
      </c>
      <c r="C99" s="2877">
        <f>SUM('2018+'!H1168:H1533)</f>
        <v>1328.8100000000004</v>
      </c>
    </row>
    <row r="100" spans="1:3" s="140" customFormat="1" x14ac:dyDescent="0.2">
      <c r="A100" s="2781">
        <v>44632</v>
      </c>
      <c r="B100" s="2877">
        <f>SUM('2018+'!H1445:H1534)</f>
        <v>486.77000000000004</v>
      </c>
      <c r="C100" s="2877">
        <f>SUM('2018+'!H1169:H1534)</f>
        <v>1344.3500000000004</v>
      </c>
    </row>
    <row r="101" spans="1:3" s="140" customFormat="1" x14ac:dyDescent="0.2">
      <c r="A101" s="2781">
        <v>44633</v>
      </c>
      <c r="B101" s="2877">
        <f>SUM('2018+'!H1446:H1535)</f>
        <v>479.75</v>
      </c>
      <c r="C101" s="2877">
        <f>SUM('2018+'!H1170:H1535)</f>
        <v>1333.7400000000002</v>
      </c>
    </row>
    <row r="102" spans="1:3" s="140" customFormat="1" x14ac:dyDescent="0.2">
      <c r="A102" s="2781">
        <v>44634</v>
      </c>
      <c r="B102" s="2877">
        <f>SUM('2018+'!H1447:H1536)</f>
        <v>489.49</v>
      </c>
      <c r="C102" s="2877">
        <f>SUM('2018+'!H1171:H1536)</f>
        <v>1343.4800000000002</v>
      </c>
    </row>
    <row r="103" spans="1:3" s="140" customFormat="1" x14ac:dyDescent="0.2">
      <c r="A103" s="2781">
        <v>44635</v>
      </c>
      <c r="B103" s="2877">
        <f>SUM('2018+'!H1448:H1537)</f>
        <v>487.50000000000006</v>
      </c>
      <c r="C103" s="2877">
        <f>SUM('2018+'!H1172:H1537)</f>
        <v>1336.0900000000001</v>
      </c>
    </row>
    <row r="104" spans="1:3" s="140" customFormat="1" x14ac:dyDescent="0.2">
      <c r="A104" s="2781">
        <v>44636</v>
      </c>
      <c r="B104" s="2877">
        <f>SUM('2018+'!H1449:H1538)</f>
        <v>487.50000000000006</v>
      </c>
      <c r="C104" s="2877">
        <f>SUM('2018+'!H1173:H1538)</f>
        <v>1336.0900000000001</v>
      </c>
    </row>
    <row r="105" spans="1:3" s="140" customFormat="1" x14ac:dyDescent="0.2">
      <c r="A105" s="2781">
        <v>44637</v>
      </c>
      <c r="B105" s="2877">
        <f>SUM('2018+'!H1450:H1539)</f>
        <v>497.25000000000006</v>
      </c>
      <c r="C105" s="2877">
        <f>SUM('2018+'!H1174:H1539)</f>
        <v>1337.6200000000001</v>
      </c>
    </row>
    <row r="106" spans="1:3" s="140" customFormat="1" x14ac:dyDescent="0.2">
      <c r="A106" s="2781">
        <v>44638</v>
      </c>
      <c r="B106" s="2877">
        <f>SUM('2018+'!H1451:H1540)</f>
        <v>505.34000000000003</v>
      </c>
      <c r="C106" s="2877">
        <f>SUM('2018+'!H1175:H1540)</f>
        <v>1345.71</v>
      </c>
    </row>
    <row r="107" spans="1:3" s="140" customFormat="1" x14ac:dyDescent="0.2">
      <c r="A107" s="2781">
        <v>44639</v>
      </c>
      <c r="B107" s="2877">
        <f>SUM('2018+'!H1452:H1541)</f>
        <v>505.34000000000003</v>
      </c>
      <c r="C107" s="2877">
        <f>SUM('2018+'!H1176:H1541)</f>
        <v>1336.19</v>
      </c>
    </row>
    <row r="108" spans="1:3" s="140" customFormat="1" x14ac:dyDescent="0.2">
      <c r="A108" s="2781">
        <v>44640</v>
      </c>
      <c r="B108" s="2877">
        <f>SUM('2018+'!H1453:H1542)</f>
        <v>522.92000000000007</v>
      </c>
      <c r="C108" s="2877">
        <f>SUM('2018+'!H1177:H1542)</f>
        <v>1353.77</v>
      </c>
    </row>
    <row r="109" spans="1:3" s="140" customFormat="1" x14ac:dyDescent="0.2">
      <c r="A109" s="2781">
        <v>44641</v>
      </c>
      <c r="B109" s="2877">
        <f>SUM('2018+'!H1454:H1543)</f>
        <v>522.92000000000007</v>
      </c>
      <c r="C109" s="2877">
        <f>SUM('2018+'!H1178:H1543)</f>
        <v>1345.1000000000001</v>
      </c>
    </row>
    <row r="110" spans="1:3" s="140" customFormat="1" x14ac:dyDescent="0.2">
      <c r="A110" s="2781">
        <v>44642</v>
      </c>
      <c r="B110" s="2877">
        <f>SUM('2018+'!H1455:H1544)</f>
        <v>535.63000000000011</v>
      </c>
      <c r="C110" s="2877">
        <f>SUM('2018+'!H1179:H1544)</f>
        <v>1357.8100000000002</v>
      </c>
    </row>
    <row r="111" spans="1:3" s="140" customFormat="1" x14ac:dyDescent="0.2">
      <c r="A111" s="2781">
        <v>44643</v>
      </c>
      <c r="B111" s="2877">
        <f>SUM('2018+'!H1456:H1545)</f>
        <v>548.0100000000001</v>
      </c>
      <c r="C111" s="2877">
        <f>SUM('2018+'!H1180:H1545)</f>
        <v>1360.41</v>
      </c>
    </row>
    <row r="112" spans="1:3" s="140" customFormat="1" x14ac:dyDescent="0.2">
      <c r="A112" s="2781">
        <v>44644</v>
      </c>
      <c r="B112" s="2877">
        <f>SUM('2018+'!H1457:H1546)</f>
        <v>558.71000000000015</v>
      </c>
      <c r="C112" s="2877">
        <f>SUM('2018+'!H1181:H1546)</f>
        <v>1371.1100000000001</v>
      </c>
    </row>
    <row r="113" spans="1:3" s="140" customFormat="1" x14ac:dyDescent="0.2">
      <c r="A113" s="2781">
        <v>44645</v>
      </c>
      <c r="B113" s="2877">
        <f>SUM('2018+'!H1458:H1547)</f>
        <v>558.71000000000015</v>
      </c>
      <c r="C113" s="2877">
        <f>SUM('2018+'!H1182:H1547)</f>
        <v>1362.66</v>
      </c>
    </row>
    <row r="114" spans="1:3" s="140" customFormat="1" x14ac:dyDescent="0.2">
      <c r="A114" s="2781">
        <v>44646</v>
      </c>
      <c r="B114" s="2877">
        <f>SUM('2018+'!H1459:H1548)</f>
        <v>573.80000000000018</v>
      </c>
      <c r="C114" s="2877">
        <f>SUM('2018+'!H1183:H1548)</f>
        <v>1377.75</v>
      </c>
    </row>
    <row r="115" spans="1:3" s="140" customFormat="1" x14ac:dyDescent="0.2">
      <c r="A115" s="2781">
        <v>44647</v>
      </c>
      <c r="B115" s="2877">
        <f>SUM('2018+'!H1460:H1549)</f>
        <v>573.80000000000018</v>
      </c>
      <c r="C115" s="2877">
        <f>SUM('2018+'!H1184:H1549)</f>
        <v>1371.52</v>
      </c>
    </row>
    <row r="116" spans="1:3" s="140" customFormat="1" x14ac:dyDescent="0.2">
      <c r="A116" s="2781">
        <v>44648</v>
      </c>
      <c r="B116" s="2877">
        <f>SUM('2018+'!H1461:H1550)</f>
        <v>583.92000000000019</v>
      </c>
      <c r="C116" s="2877">
        <f>SUM('2018+'!H1185:H1550)</f>
        <v>1381.6399999999999</v>
      </c>
    </row>
    <row r="117" spans="1:3" s="140" customFormat="1" x14ac:dyDescent="0.2">
      <c r="A117" s="2781">
        <v>44649</v>
      </c>
      <c r="B117" s="2877">
        <f>SUM('2018+'!H1462:H1551)</f>
        <v>576.82000000000016</v>
      </c>
      <c r="C117" s="2877">
        <f>SUM('2018+'!H1186:H1551)</f>
        <v>1381.6399999999999</v>
      </c>
    </row>
    <row r="118" spans="1:3" s="140" customFormat="1" x14ac:dyDescent="0.2">
      <c r="A118" s="2781">
        <v>44650</v>
      </c>
      <c r="B118" s="2877">
        <f>SUM('2018+'!H1463:H1552)</f>
        <v>589.45000000000016</v>
      </c>
      <c r="C118" s="2877">
        <f>SUM('2018+'!H1187:H1552)</f>
        <v>1386.1499999999999</v>
      </c>
    </row>
    <row r="119" spans="1:3" s="140" customFormat="1" x14ac:dyDescent="0.2">
      <c r="A119" s="2781">
        <v>44651</v>
      </c>
      <c r="B119" s="2877">
        <f>SUM('2018+'!H1464:H1553)</f>
        <v>586.50000000000011</v>
      </c>
      <c r="C119" s="2877">
        <f>SUM('2018+'!H1188:H1553)</f>
        <v>1393.3999999999999</v>
      </c>
    </row>
    <row r="120" spans="1:3" s="140" customFormat="1" x14ac:dyDescent="0.2">
      <c r="A120" s="2781">
        <v>44652</v>
      </c>
      <c r="B120" s="2877">
        <f>SUM('2018+'!H1465:H1554)</f>
        <v>598.73000000000013</v>
      </c>
      <c r="C120" s="2877">
        <f>SUM('2018+'!H1189:H1554)</f>
        <v>1397.23</v>
      </c>
    </row>
    <row r="121" spans="1:3" s="140" customFormat="1" x14ac:dyDescent="0.2">
      <c r="A121" s="2781">
        <v>44653</v>
      </c>
      <c r="B121" s="2877">
        <f>SUM('2018+'!H1466:H1555)</f>
        <v>588.03000000000009</v>
      </c>
      <c r="C121" s="2877">
        <f>SUM('2018+'!H1190:H1555)</f>
        <v>1397.23</v>
      </c>
    </row>
    <row r="122" spans="1:3" s="140" customFormat="1" x14ac:dyDescent="0.2">
      <c r="A122" s="2781">
        <v>44654</v>
      </c>
      <c r="B122" s="2877">
        <f>SUM('2018+'!H1467:H1556)</f>
        <v>609.43000000000006</v>
      </c>
      <c r="C122" s="2877">
        <f>SUM('2018+'!H1191:H1556)</f>
        <v>1408.63</v>
      </c>
    </row>
    <row r="123" spans="1:3" s="140" customFormat="1" x14ac:dyDescent="0.2">
      <c r="A123" s="2781">
        <v>44655</v>
      </c>
      <c r="B123" s="2877">
        <f>SUM('2018+'!H1468:H1557)</f>
        <v>598.6</v>
      </c>
      <c r="C123" s="2877">
        <f>SUM('2018+'!H1192:H1557)</f>
        <v>1408.63</v>
      </c>
    </row>
    <row r="124" spans="1:3" s="140" customFormat="1" x14ac:dyDescent="0.2">
      <c r="A124" s="2781">
        <v>44656</v>
      </c>
      <c r="B124" s="2877">
        <f>SUM('2018+'!H1469:H1558)</f>
        <v>608.70000000000005</v>
      </c>
      <c r="C124" s="2877">
        <f>SUM('2018+'!H1193:H1558)</f>
        <v>1418.73</v>
      </c>
    </row>
    <row r="125" spans="1:3" s="140" customFormat="1" x14ac:dyDescent="0.2">
      <c r="A125" s="2781">
        <v>44657</v>
      </c>
      <c r="B125" s="2877">
        <f>SUM('2018+'!H1470:H1559)</f>
        <v>610.46999999999991</v>
      </c>
      <c r="C125" s="2877">
        <f>SUM('2018+'!H1194:H1559)</f>
        <v>1431.14</v>
      </c>
    </row>
    <row r="126" spans="1:3" s="140" customFormat="1" x14ac:dyDescent="0.2">
      <c r="A126" s="2781">
        <v>44658</v>
      </c>
      <c r="B126" s="2877">
        <f>SUM('2018+'!H1471:H1560)</f>
        <v>610.46999999999991</v>
      </c>
      <c r="C126" s="2877">
        <f>SUM('2018+'!H1195:H1560)</f>
        <v>1431.14</v>
      </c>
    </row>
    <row r="127" spans="1:3" s="140" customFormat="1" x14ac:dyDescent="0.2">
      <c r="A127" s="2781">
        <v>44659</v>
      </c>
      <c r="B127" s="2877">
        <f>SUM('2018+'!H1472:H1561)</f>
        <v>611.61</v>
      </c>
      <c r="C127" s="2877">
        <f>SUM('2018+'!H1196:H1561)</f>
        <v>1441.22</v>
      </c>
    </row>
    <row r="128" spans="1:3" s="140" customFormat="1" x14ac:dyDescent="0.2">
      <c r="A128" s="2781">
        <v>44660</v>
      </c>
      <c r="B128" s="2877">
        <f>SUM('2018+'!H1473:H1562)</f>
        <v>611.61</v>
      </c>
      <c r="C128" s="2877">
        <f>SUM('2018+'!H1197:H1562)</f>
        <v>1430.12</v>
      </c>
    </row>
    <row r="129" spans="1:3" s="140" customFormat="1" x14ac:dyDescent="0.2">
      <c r="A129" s="2781">
        <v>44661</v>
      </c>
      <c r="B129" s="2877">
        <f>SUM('2018+'!H1474:H1563)</f>
        <v>613.7399999999999</v>
      </c>
      <c r="C129" s="2877">
        <f>SUM('2018+'!H1198:H1563)</f>
        <v>1440.56</v>
      </c>
    </row>
    <row r="130" spans="1:3" s="140" customFormat="1" x14ac:dyDescent="0.2">
      <c r="A130" s="2781">
        <v>44662</v>
      </c>
      <c r="B130" s="2877">
        <f>SUM('2018+'!H1475:H1564)</f>
        <v>603.6</v>
      </c>
      <c r="C130" s="2877">
        <f>SUM('2018+'!H1199:H1564)</f>
        <v>1429.3600000000001</v>
      </c>
    </row>
    <row r="131" spans="1:3" s="140" customFormat="1" x14ac:dyDescent="0.2">
      <c r="A131" s="2781">
        <v>44663</v>
      </c>
      <c r="B131" s="2877">
        <f>SUM('2018+'!H1476:H1565)</f>
        <v>613.93000000000006</v>
      </c>
      <c r="C131" s="2877">
        <f>SUM('2018+'!H1200:H1565)</f>
        <v>1439.69</v>
      </c>
    </row>
    <row r="132" spans="1:3" s="140" customFormat="1" x14ac:dyDescent="0.2">
      <c r="A132" s="2781">
        <v>44664</v>
      </c>
      <c r="B132" s="2877">
        <f>SUM('2018+'!H1477:H1566)</f>
        <v>603.80000000000007</v>
      </c>
      <c r="C132" s="2877">
        <f>SUM('2018+'!H1201:H1566)</f>
        <v>1439.69</v>
      </c>
    </row>
    <row r="133" spans="1:3" s="140" customFormat="1" x14ac:dyDescent="0.2">
      <c r="A133" s="2781">
        <v>44665</v>
      </c>
      <c r="B133" s="2877">
        <f>SUM('2018+'!H1478:H1567)</f>
        <v>613.8900000000001</v>
      </c>
      <c r="C133" s="2877">
        <f>SUM('2018+'!H1202:H1567)</f>
        <v>1441.3999999999999</v>
      </c>
    </row>
    <row r="134" spans="1:3" s="140" customFormat="1" x14ac:dyDescent="0.2">
      <c r="A134" s="2781">
        <v>44666</v>
      </c>
      <c r="B134" s="2877">
        <f>SUM('2018+'!H1479:H1568)</f>
        <v>602.45000000000005</v>
      </c>
      <c r="C134" s="2877">
        <f>SUM('2018+'!H1203:H1568)</f>
        <v>1441.3999999999999</v>
      </c>
    </row>
    <row r="135" spans="1:3" s="140" customFormat="1" x14ac:dyDescent="0.2">
      <c r="A135" s="2781">
        <v>44667</v>
      </c>
      <c r="B135" s="2877">
        <f>SUM('2018+'!H1480:H1569)</f>
        <v>612.05000000000007</v>
      </c>
      <c r="C135" s="2877">
        <f>SUM('2018+'!H1204:H1569)</f>
        <v>1450.9999999999998</v>
      </c>
    </row>
    <row r="136" spans="1:3" s="140" customFormat="1" x14ac:dyDescent="0.2">
      <c r="A136" s="2781">
        <v>44668</v>
      </c>
      <c r="B136" s="2877">
        <f>SUM('2018+'!H1481:H1570)</f>
        <v>601.91000000000008</v>
      </c>
      <c r="C136" s="2877">
        <f>SUM('2018+'!H1205:H1570)</f>
        <v>1450.9999999999998</v>
      </c>
    </row>
    <row r="137" spans="1:3" s="140" customFormat="1" x14ac:dyDescent="0.2">
      <c r="A137" s="2781">
        <v>44669</v>
      </c>
      <c r="B137" s="2877">
        <f>SUM('2018+'!H1482:H1571)</f>
        <v>591.47000000000014</v>
      </c>
      <c r="C137" s="2877">
        <f>SUM('2018+'!H1206:H1571)</f>
        <v>1440.5999999999997</v>
      </c>
    </row>
    <row r="138" spans="1:3" s="140" customFormat="1" x14ac:dyDescent="0.2">
      <c r="A138" s="2781">
        <v>44670</v>
      </c>
      <c r="B138" s="2877">
        <f>SUM('2018+'!H1483:H1572)</f>
        <v>602.24000000000012</v>
      </c>
      <c r="C138" s="2877">
        <f>SUM('2018+'!H1207:H1572)</f>
        <v>1451.3699999999997</v>
      </c>
    </row>
    <row r="139" spans="1:3" s="140" customFormat="1" x14ac:dyDescent="0.2">
      <c r="A139" s="2781">
        <v>44671</v>
      </c>
      <c r="B139" s="2877">
        <f>SUM('2018+'!H1484:H1573)</f>
        <v>591.59</v>
      </c>
      <c r="C139" s="2877">
        <f>SUM('2018+'!H1208:H1573)</f>
        <v>1451.3699999999997</v>
      </c>
    </row>
    <row r="140" spans="1:3" s="140" customFormat="1" x14ac:dyDescent="0.2">
      <c r="A140" s="2781">
        <v>44672</v>
      </c>
      <c r="B140" s="2877">
        <f>SUM('2018+'!H1485:H1574)</f>
        <v>601.89</v>
      </c>
      <c r="C140" s="2877">
        <f>SUM('2018+'!H1209:H1574)</f>
        <v>1454.6599999999996</v>
      </c>
    </row>
    <row r="141" spans="1:3" s="140" customFormat="1" x14ac:dyDescent="0.2">
      <c r="A141" s="2781">
        <v>44673</v>
      </c>
      <c r="B141" s="2877">
        <f>SUM('2018+'!H1486:H1575)</f>
        <v>589.47</v>
      </c>
      <c r="C141" s="2877">
        <f>SUM('2018+'!H1210:H1575)</f>
        <v>1454.6599999999996</v>
      </c>
    </row>
    <row r="142" spans="1:3" s="140" customFormat="1" x14ac:dyDescent="0.2">
      <c r="A142" s="2781">
        <v>44674</v>
      </c>
      <c r="B142" s="2877">
        <f>SUM('2018+'!H1487:H1576)</f>
        <v>606.82000000000005</v>
      </c>
      <c r="C142" s="2877">
        <f>SUM('2018+'!H1211:H1576)</f>
        <v>1463.3699999999994</v>
      </c>
    </row>
    <row r="143" spans="1:3" s="140" customFormat="1" x14ac:dyDescent="0.2">
      <c r="A143" s="2781">
        <v>44675</v>
      </c>
      <c r="B143" s="2877">
        <f>SUM('2018+'!H1488:H1577)</f>
        <v>596.19000000000005</v>
      </c>
      <c r="C143" s="2877">
        <f>SUM('2018+'!H1212:H1577)</f>
        <v>1463.3699999999994</v>
      </c>
    </row>
    <row r="144" spans="1:3" s="140" customFormat="1" x14ac:dyDescent="0.2">
      <c r="A144" s="2781">
        <v>44676</v>
      </c>
      <c r="B144" s="2877">
        <f>SUM('2018+'!H1489:H1578)</f>
        <v>598.97</v>
      </c>
      <c r="C144" s="2877">
        <f>SUM('2018+'!H1213:H1578)</f>
        <v>1469.6599999999994</v>
      </c>
    </row>
    <row r="145" spans="1:3" s="140" customFormat="1" x14ac:dyDescent="0.2">
      <c r="A145" s="2781">
        <v>44677</v>
      </c>
      <c r="B145" s="2877">
        <f>SUM('2018+'!H1490:H1579)</f>
        <v>598.97</v>
      </c>
      <c r="C145" s="2877">
        <f>SUM('2018+'!H1214:H1579)</f>
        <v>1469.6599999999994</v>
      </c>
    </row>
    <row r="146" spans="1:3" s="140" customFormat="1" x14ac:dyDescent="0.2">
      <c r="A146" s="2781">
        <v>44678</v>
      </c>
      <c r="B146" s="2877">
        <f>SUM('2018+'!H1491:H1580)</f>
        <v>595.91</v>
      </c>
      <c r="C146" s="2877">
        <f>SUM('2018+'!H1215:H1580)</f>
        <v>1471.4399999999996</v>
      </c>
    </row>
    <row r="147" spans="1:3" s="140" customFormat="1" x14ac:dyDescent="0.2">
      <c r="A147" s="2781">
        <v>44679</v>
      </c>
      <c r="B147" s="2877">
        <f>SUM('2018+'!H1492:H1581)</f>
        <v>603.36</v>
      </c>
      <c r="C147" s="2877">
        <f>SUM('2018+'!H1216:H1581)</f>
        <v>1478.8899999999996</v>
      </c>
    </row>
    <row r="148" spans="1:3" s="140" customFormat="1" x14ac:dyDescent="0.2">
      <c r="A148" s="2781">
        <v>44680</v>
      </c>
      <c r="B148" s="2877">
        <f>SUM('2018+'!H1493:H1582)</f>
        <v>587.19999999999982</v>
      </c>
      <c r="C148" s="2877">
        <f>SUM('2018+'!H1217:H1582)</f>
        <v>1468.7899999999997</v>
      </c>
    </row>
    <row r="149" spans="1:3" s="140" customFormat="1" x14ac:dyDescent="0.2">
      <c r="A149" s="2781">
        <v>44681</v>
      </c>
      <c r="B149" s="2877">
        <f>SUM('2018+'!H1494:H1583)</f>
        <v>607.77999999999986</v>
      </c>
      <c r="C149" s="2877">
        <f>SUM('2018+'!H1218:H1583)</f>
        <v>1489.3699999999997</v>
      </c>
    </row>
    <row r="150" spans="1:3" s="140" customFormat="1" x14ac:dyDescent="0.2">
      <c r="A150" s="2781">
        <v>44682</v>
      </c>
      <c r="B150" s="2877">
        <f>SUM('2018+'!H1495:H1584)</f>
        <v>599.93999999999983</v>
      </c>
      <c r="C150" s="2877">
        <f>SUM('2018+'!H1219:H1584)</f>
        <v>1489.3699999999997</v>
      </c>
    </row>
    <row r="151" spans="1:3" s="140" customFormat="1" x14ac:dyDescent="0.2">
      <c r="A151" s="2781">
        <v>44683</v>
      </c>
      <c r="B151" s="2877">
        <f>SUM('2018+'!H1496:H1585)</f>
        <v>612.72999999999979</v>
      </c>
      <c r="C151" s="2877">
        <f>SUM('2018+'!H1220:H1585)</f>
        <v>1491.6599999999994</v>
      </c>
    </row>
    <row r="152" spans="1:3" s="140" customFormat="1" x14ac:dyDescent="0.2">
      <c r="A152" s="2781">
        <v>44684</v>
      </c>
      <c r="B152" s="2877">
        <f>SUM('2018+'!H1497:H1586)</f>
        <v>603.4799999999999</v>
      </c>
      <c r="C152" s="2877">
        <f>SUM('2018+'!H1221:H1586)</f>
        <v>1491.6599999999994</v>
      </c>
    </row>
    <row r="153" spans="1:3" s="140" customFormat="1" x14ac:dyDescent="0.2">
      <c r="A153" s="2781">
        <v>44685</v>
      </c>
      <c r="B153" s="2877">
        <f>SUM('2018+'!H1498:H1587)</f>
        <v>615.57999999999993</v>
      </c>
      <c r="C153" s="2877">
        <f>SUM('2018+'!H1222:H1587)</f>
        <v>1493.9899999999996</v>
      </c>
    </row>
    <row r="154" spans="1:3" s="140" customFormat="1" x14ac:dyDescent="0.2">
      <c r="A154" s="2781">
        <v>44686</v>
      </c>
      <c r="B154" s="2877">
        <f>SUM('2018+'!H1499:H1588)</f>
        <v>613.9799999999999</v>
      </c>
      <c r="C154" s="2877">
        <f>SUM('2018+'!H1223:H1588)</f>
        <v>1493.5499999999995</v>
      </c>
    </row>
    <row r="155" spans="1:3" s="140" customFormat="1" x14ac:dyDescent="0.2">
      <c r="A155" s="2781">
        <v>44687</v>
      </c>
      <c r="B155" s="2877">
        <f>SUM('2018+'!H1500:H1589)</f>
        <v>613.9799999999999</v>
      </c>
      <c r="C155" s="2877">
        <f>SUM('2018+'!H1224:H1589)</f>
        <v>1493.5499999999995</v>
      </c>
    </row>
    <row r="156" spans="1:3" s="140" customFormat="1" x14ac:dyDescent="0.2">
      <c r="A156" s="2781">
        <v>44688</v>
      </c>
      <c r="B156" s="2877">
        <f>SUM('2018+'!H1501:H1590)</f>
        <v>613.9799999999999</v>
      </c>
      <c r="C156" s="2877">
        <f>SUM('2018+'!H1225:H1590)</f>
        <v>1493.5499999999995</v>
      </c>
    </row>
    <row r="157" spans="1:3" s="140" customFormat="1" x14ac:dyDescent="0.2">
      <c r="A157" s="2781">
        <v>44689</v>
      </c>
      <c r="B157" s="2877">
        <f>SUM('2018+'!H1502:H1591)</f>
        <v>603.84999999999991</v>
      </c>
      <c r="C157" s="2877">
        <f>SUM('2018+'!H1226:H1591)</f>
        <v>1493.5499999999995</v>
      </c>
    </row>
    <row r="158" spans="1:3" s="140" customFormat="1" x14ac:dyDescent="0.2">
      <c r="A158" s="2781">
        <v>44690</v>
      </c>
      <c r="B158" s="2877">
        <f>SUM('2018+'!H1503:H1592)</f>
        <v>595.91</v>
      </c>
      <c r="C158" s="2877">
        <f>SUM('2018+'!H1227:H1592)</f>
        <v>1485.5499999999995</v>
      </c>
    </row>
    <row r="159" spans="1:3" s="140" customFormat="1" x14ac:dyDescent="0.2">
      <c r="A159" s="2781">
        <v>44691</v>
      </c>
      <c r="B159" s="2877">
        <f>SUM('2018+'!H1504:H1593)</f>
        <v>585.84</v>
      </c>
      <c r="C159" s="2877">
        <f>SUM('2018+'!H1228:H1593)</f>
        <v>1485.5499999999995</v>
      </c>
    </row>
    <row r="160" spans="1:3" s="140" customFormat="1" x14ac:dyDescent="0.2">
      <c r="A160" s="2781">
        <v>44692</v>
      </c>
      <c r="B160" s="2877">
        <f>SUM('2018+'!H1505:H1594)</f>
        <v>573.12000000000012</v>
      </c>
      <c r="C160" s="2877">
        <f>SUM('2018+'!H1229:H1594)</f>
        <v>1485.5499999999995</v>
      </c>
    </row>
    <row r="161" spans="1:3" s="140" customFormat="1" x14ac:dyDescent="0.2">
      <c r="A161" s="2781">
        <v>44693</v>
      </c>
      <c r="B161" s="2877">
        <f>SUM('2018+'!H1506:H1595)</f>
        <v>573.12000000000012</v>
      </c>
      <c r="C161" s="2877">
        <f>SUM('2018+'!H1230:H1595)</f>
        <v>1485.5499999999995</v>
      </c>
    </row>
    <row r="162" spans="1:3" s="140" customFormat="1" x14ac:dyDescent="0.2">
      <c r="A162" s="2781">
        <v>44694</v>
      </c>
      <c r="B162" s="2877">
        <f>SUM('2018+'!H1507:H1596)</f>
        <v>554.98</v>
      </c>
      <c r="C162" s="2877">
        <f>SUM('2018+'!H1231:H1596)</f>
        <v>1485.5499999999995</v>
      </c>
    </row>
    <row r="163" spans="1:3" s="140" customFormat="1" x14ac:dyDescent="0.2">
      <c r="A163" s="2781">
        <v>44695</v>
      </c>
      <c r="B163" s="2877">
        <f>SUM('2018+'!H1508:H1597)</f>
        <v>554.98</v>
      </c>
      <c r="C163" s="2877">
        <f>SUM('2018+'!H1232:H1597)</f>
        <v>1485.5499999999995</v>
      </c>
    </row>
    <row r="164" spans="1:3" s="140" customFormat="1" x14ac:dyDescent="0.2">
      <c r="A164" s="2781">
        <v>44696</v>
      </c>
      <c r="B164" s="2877">
        <f>SUM('2018+'!H1509:H1598)</f>
        <v>552.20000000000016</v>
      </c>
      <c r="C164" s="2877">
        <f>SUM('2018+'!H1233:H1598)</f>
        <v>1482.5299999999993</v>
      </c>
    </row>
    <row r="165" spans="1:3" s="140" customFormat="1" x14ac:dyDescent="0.2">
      <c r="A165" s="2781">
        <v>44697</v>
      </c>
      <c r="B165" s="2877">
        <f>SUM('2018+'!H1510:H1599)</f>
        <v>544.04000000000008</v>
      </c>
      <c r="C165" s="2877">
        <f>SUM('2018+'!H1234:H1599)</f>
        <v>1482.5299999999993</v>
      </c>
    </row>
    <row r="166" spans="1:3" s="140" customFormat="1" x14ac:dyDescent="0.2">
      <c r="A166" s="2781">
        <v>44698</v>
      </c>
      <c r="B166" s="2877">
        <f>SUM('2018+'!H1511:H1600)</f>
        <v>544.85000000000014</v>
      </c>
      <c r="C166" s="2877">
        <f>SUM('2018+'!H1235:H1600)</f>
        <v>1491.1899999999994</v>
      </c>
    </row>
    <row r="167" spans="1:3" s="140" customFormat="1" x14ac:dyDescent="0.2">
      <c r="A167" s="2781">
        <v>44699</v>
      </c>
      <c r="B167" s="2877">
        <f>SUM('2018+'!H1512:H1601)</f>
        <v>544.85000000000014</v>
      </c>
      <c r="C167" s="2877">
        <f>SUM('2018+'!H1236:H1601)</f>
        <v>1480.7299999999993</v>
      </c>
    </row>
    <row r="168" spans="1:3" s="140" customFormat="1" x14ac:dyDescent="0.2">
      <c r="A168" s="2781">
        <v>44700</v>
      </c>
      <c r="B168" s="2877">
        <f>SUM('2018+'!H1513:H1602)</f>
        <v>539.99</v>
      </c>
      <c r="C168" s="2877">
        <f>SUM('2018+'!H1237:H1602)</f>
        <v>1489.1099999999994</v>
      </c>
    </row>
    <row r="169" spans="1:3" s="140" customFormat="1" x14ac:dyDescent="0.2">
      <c r="A169" s="2781">
        <v>44701</v>
      </c>
      <c r="B169" s="2877">
        <f>SUM('2018+'!H1514:H1603)</f>
        <v>519.99000000000024</v>
      </c>
      <c r="C169" s="2877">
        <f>SUM('2018+'!H1238:H1603)</f>
        <v>1479.1199999999997</v>
      </c>
    </row>
    <row r="170" spans="1:3" s="140" customFormat="1" x14ac:dyDescent="0.2">
      <c r="A170" s="2781">
        <v>44702</v>
      </c>
      <c r="B170" s="2877">
        <f>SUM('2018+'!H1515:H1604)</f>
        <v>528.42000000000019</v>
      </c>
      <c r="C170" s="2877">
        <f>SUM('2018+'!H1239:H1604)</f>
        <v>1487.5499999999997</v>
      </c>
    </row>
    <row r="171" spans="1:3" s="140" customFormat="1" x14ac:dyDescent="0.2">
      <c r="A171" s="2781">
        <v>44703</v>
      </c>
      <c r="B171" s="2877">
        <f>SUM('2018+'!H1516:H1605)</f>
        <v>528.42000000000019</v>
      </c>
      <c r="C171" s="2877">
        <f>SUM('2018+'!H1240:H1605)</f>
        <v>1487.5499999999997</v>
      </c>
    </row>
    <row r="172" spans="1:3" s="140" customFormat="1" x14ac:dyDescent="0.2">
      <c r="A172" s="2781">
        <v>44704</v>
      </c>
      <c r="B172" s="2877">
        <f>SUM('2018+'!H1517:H1606)</f>
        <v>524.6400000000001</v>
      </c>
      <c r="C172" s="2877">
        <f>SUM('2018+'!H1241:H1606)</f>
        <v>1485.7999999999997</v>
      </c>
    </row>
    <row r="173" spans="1:3" s="140" customFormat="1" x14ac:dyDescent="0.2">
      <c r="A173" s="2781">
        <v>44705</v>
      </c>
      <c r="B173" s="2877">
        <f>SUM('2018+'!H1518:H1607)</f>
        <v>514.44000000000017</v>
      </c>
      <c r="C173" s="2877">
        <f>SUM('2018+'!H1242:H1607)</f>
        <v>1485.7999999999997</v>
      </c>
    </row>
    <row r="174" spans="1:3" s="140" customFormat="1" x14ac:dyDescent="0.2">
      <c r="A174" s="2781">
        <v>44706</v>
      </c>
      <c r="B174" s="2877">
        <f>SUM('2018+'!H1519:H1608)</f>
        <v>512.57000000000016</v>
      </c>
      <c r="C174" s="2877">
        <f>SUM('2018+'!H1243:H1608)</f>
        <v>1496.2299999999998</v>
      </c>
    </row>
    <row r="175" spans="1:3" s="140" customFormat="1" x14ac:dyDescent="0.2">
      <c r="A175" s="2781">
        <v>44707</v>
      </c>
      <c r="B175" s="2877">
        <f>SUM('2018+'!H1520:H1609)</f>
        <v>504.64000000000016</v>
      </c>
      <c r="C175" s="2877">
        <f>SUM('2018+'!H1244:H1609)</f>
        <v>1496.2299999999998</v>
      </c>
    </row>
    <row r="176" spans="1:3" s="140" customFormat="1" x14ac:dyDescent="0.2">
      <c r="A176" s="2781">
        <v>44708</v>
      </c>
      <c r="B176" s="2877">
        <f>SUM('2018+'!H1521:H1610)</f>
        <v>512.69000000000017</v>
      </c>
      <c r="C176" s="2877">
        <f>SUM('2018+'!H1245:H1610)</f>
        <v>1504.2799999999997</v>
      </c>
    </row>
    <row r="177" spans="1:3" s="140" customFormat="1" x14ac:dyDescent="0.2">
      <c r="A177" s="2781">
        <v>44709</v>
      </c>
      <c r="B177" s="2877">
        <f>SUM('2018+'!H1522:H1611)</f>
        <v>491.5100000000001</v>
      </c>
      <c r="C177" s="2877">
        <f>SUM('2018+'!H1246:H1611)</f>
        <v>1493.2799999999997</v>
      </c>
    </row>
    <row r="178" spans="1:3" s="140" customFormat="1" x14ac:dyDescent="0.2">
      <c r="A178" s="2781">
        <v>44710</v>
      </c>
      <c r="B178" s="2877">
        <f>SUM('2018+'!H1523:H1612)</f>
        <v>502.59000000000009</v>
      </c>
      <c r="C178" s="2877">
        <f>SUM('2018+'!H1247:H1612)</f>
        <v>1504.3599999999997</v>
      </c>
    </row>
    <row r="179" spans="1:3" s="140" customFormat="1" x14ac:dyDescent="0.2">
      <c r="A179" s="2781">
        <v>44711</v>
      </c>
      <c r="B179" s="2877">
        <f>SUM('2018+'!H1524:H1613)</f>
        <v>497.62000000000006</v>
      </c>
      <c r="C179" s="2877">
        <f>SUM('2018+'!H1248:H1613)</f>
        <v>1501.2899999999995</v>
      </c>
    </row>
    <row r="180" spans="1:3" s="140" customFormat="1" x14ac:dyDescent="0.2">
      <c r="A180" s="2781">
        <v>44712</v>
      </c>
      <c r="B180" s="2877">
        <f>SUM('2018+'!H1525:H1614)</f>
        <v>489.53000000000009</v>
      </c>
      <c r="C180" s="2877">
        <f>SUM('2018+'!H1249:H1614)</f>
        <v>1501.2899999999995</v>
      </c>
    </row>
    <row r="181" spans="1:3" s="140" customFormat="1" x14ac:dyDescent="0.2">
      <c r="A181" s="2781">
        <v>44713</v>
      </c>
      <c r="B181" s="2877">
        <f>SUM('2018+'!H1526:H1615)</f>
        <v>496.6400000000001</v>
      </c>
      <c r="C181" s="2877">
        <f>SUM('2018+'!H1250:H1615)</f>
        <v>1508.3999999999994</v>
      </c>
    </row>
    <row r="182" spans="1:3" s="140" customFormat="1" x14ac:dyDescent="0.2">
      <c r="A182" s="2781">
        <v>44714</v>
      </c>
      <c r="B182" s="2877">
        <f>SUM('2018+'!H1527:H1616)</f>
        <v>497.81000000000012</v>
      </c>
      <c r="C182" s="2877">
        <f>SUM('2018+'!H1251:H1616)</f>
        <v>1509.1799999999996</v>
      </c>
    </row>
    <row r="183" spans="1:3" s="140" customFormat="1" x14ac:dyDescent="0.2">
      <c r="A183" s="2781">
        <v>44715</v>
      </c>
      <c r="B183" s="2877">
        <f>SUM('2018+'!H1528:H1617)</f>
        <v>497.81000000000012</v>
      </c>
      <c r="C183" s="2877">
        <f>SUM('2018+'!H1252:H1617)</f>
        <v>1509.1799999999996</v>
      </c>
    </row>
    <row r="184" spans="1:3" s="140" customFormat="1" x14ac:dyDescent="0.2">
      <c r="A184" s="2781">
        <v>44716</v>
      </c>
      <c r="B184" s="2877">
        <f>SUM('2018+'!H1529:H1618)</f>
        <v>503.4500000000001</v>
      </c>
      <c r="C184" s="2877">
        <f>SUM('2018+'!H1253:H1618)</f>
        <v>1509.6299999999997</v>
      </c>
    </row>
    <row r="185" spans="1:3" s="140" customFormat="1" x14ac:dyDescent="0.2">
      <c r="A185" s="2781">
        <v>44717</v>
      </c>
      <c r="B185" s="2877">
        <f>SUM('2018+'!H1530:H1619)</f>
        <v>503.4500000000001</v>
      </c>
      <c r="C185" s="2877">
        <f>SUM('2018+'!H1254:H1619)</f>
        <v>1509.6299999999997</v>
      </c>
    </row>
    <row r="186" spans="1:3" s="140" customFormat="1" x14ac:dyDescent="0.2">
      <c r="A186" s="2781">
        <v>44718</v>
      </c>
      <c r="B186" s="2877">
        <f>SUM('2018+'!H1531:H1620)</f>
        <v>506.88000000000017</v>
      </c>
      <c r="C186" s="2877">
        <f>SUM('2018+'!H1255:H1620)</f>
        <v>1523.1799999999996</v>
      </c>
    </row>
    <row r="187" spans="1:3" s="140" customFormat="1" x14ac:dyDescent="0.2">
      <c r="A187" s="2781">
        <v>44719</v>
      </c>
      <c r="B187" s="2877">
        <f>SUM('2018+'!H1532:H1621)</f>
        <v>506.88000000000017</v>
      </c>
      <c r="C187" s="2877">
        <f>SUM('2018+'!H1256:H1621)</f>
        <v>1514.2099999999998</v>
      </c>
    </row>
    <row r="188" spans="1:3" s="140" customFormat="1" x14ac:dyDescent="0.2">
      <c r="A188" s="2781">
        <v>44720</v>
      </c>
      <c r="B188" s="2877">
        <f>SUM('2018+'!H1533:H1622)</f>
        <v>506.96000000000015</v>
      </c>
      <c r="C188" s="2877">
        <f>SUM('2018+'!H1257:H1622)</f>
        <v>1524.4099999999999</v>
      </c>
    </row>
    <row r="189" spans="1:3" s="140" customFormat="1" x14ac:dyDescent="0.2">
      <c r="A189" s="2781">
        <v>44721</v>
      </c>
      <c r="B189" s="2877">
        <f>SUM('2018+'!H1534:H1623)</f>
        <v>515.69000000000017</v>
      </c>
      <c r="C189" s="2877">
        <f>SUM('2018+'!H1258:H1623)</f>
        <v>1533.1399999999999</v>
      </c>
    </row>
    <row r="190" spans="1:3" s="140" customFormat="1" x14ac:dyDescent="0.2">
      <c r="A190" s="2781">
        <v>44722</v>
      </c>
      <c r="B190" s="2877">
        <f>SUM('2018+'!H1535:H1624)</f>
        <v>500.15000000000015</v>
      </c>
      <c r="C190" s="2877">
        <f>SUM('2018+'!H1259:H1624)</f>
        <v>1533.1399999999999</v>
      </c>
    </row>
    <row r="191" spans="1:3" s="140" customFormat="1" x14ac:dyDescent="0.2">
      <c r="A191" s="2781">
        <v>44723</v>
      </c>
      <c r="B191" s="2877">
        <f>SUM('2018+'!H1536:H1625)</f>
        <v>514.69000000000017</v>
      </c>
      <c r="C191" s="2877">
        <f>SUM('2018+'!H1260:H1625)</f>
        <v>1547.6799999999998</v>
      </c>
    </row>
    <row r="192" spans="1:3" s="140" customFormat="1" x14ac:dyDescent="0.2">
      <c r="A192" s="2781">
        <v>44724</v>
      </c>
      <c r="B192" s="2877">
        <f>SUM('2018+'!H1537:H1626)</f>
        <v>504.95000000000022</v>
      </c>
      <c r="C192" s="2877">
        <f>SUM('2018+'!H1261:H1626)</f>
        <v>1547.6799999999998</v>
      </c>
    </row>
    <row r="193" spans="1:3" s="140" customFormat="1" x14ac:dyDescent="0.2">
      <c r="A193" s="2781">
        <v>44725</v>
      </c>
      <c r="B193" s="2877">
        <f>SUM('2018+'!H1538:H1627)</f>
        <v>505.6500000000002</v>
      </c>
      <c r="C193" s="2877">
        <f>SUM('2018+'!H1262:H1627)</f>
        <v>1547.8099999999997</v>
      </c>
    </row>
    <row r="194" spans="1:3" s="140" customFormat="1" x14ac:dyDescent="0.2">
      <c r="A194" s="2781">
        <v>44726</v>
      </c>
      <c r="B194" s="2877">
        <f>SUM('2018+'!H1539:H1628)</f>
        <v>505.6500000000002</v>
      </c>
      <c r="C194" s="2877">
        <f>SUM('2018+'!H1263:H1628)</f>
        <v>1547.8099999999997</v>
      </c>
    </row>
    <row r="195" spans="1:3" s="140" customFormat="1" x14ac:dyDescent="0.2">
      <c r="A195" s="2781">
        <v>44727</v>
      </c>
      <c r="B195" s="2877">
        <f>SUM('2018+'!H1540:H1629)</f>
        <v>495.9000000000002</v>
      </c>
      <c r="C195" s="2877">
        <f>SUM('2018+'!H1264:H1629)</f>
        <v>1547.8099999999997</v>
      </c>
    </row>
    <row r="196" spans="1:3" s="140" customFormat="1" x14ac:dyDescent="0.2">
      <c r="A196" s="2781">
        <v>44728</v>
      </c>
      <c r="B196" s="2877">
        <f>SUM('2018+'!H1541:H1630)</f>
        <v>500.74000000000018</v>
      </c>
      <c r="C196" s="2877">
        <f>SUM('2018+'!H1265:H1630)</f>
        <v>1552.3199999999997</v>
      </c>
    </row>
    <row r="197" spans="1:3" s="140" customFormat="1" x14ac:dyDescent="0.2">
      <c r="A197" s="2781">
        <v>44729</v>
      </c>
      <c r="B197" s="2877">
        <f>SUM('2018+'!H1542:H1631)</f>
        <v>500.74000000000018</v>
      </c>
      <c r="C197" s="2877">
        <f>SUM('2018+'!H1266:H1631)</f>
        <v>1552.3199999999997</v>
      </c>
    </row>
    <row r="198" spans="1:3" s="140" customFormat="1" x14ac:dyDescent="0.2">
      <c r="A198" s="2781">
        <v>44730</v>
      </c>
      <c r="B198" s="2877">
        <f>SUM('2018+'!H1543:H1632)</f>
        <v>483.1600000000002</v>
      </c>
      <c r="C198" s="2877">
        <f>SUM('2018+'!H1267:H1632)</f>
        <v>1552.3199999999997</v>
      </c>
    </row>
    <row r="199" spans="1:3" s="140" customFormat="1" x14ac:dyDescent="0.2">
      <c r="A199" s="2781">
        <v>44731</v>
      </c>
      <c r="B199" s="2877">
        <f>SUM('2018+'!H1544:H1633)</f>
        <v>483.1600000000002</v>
      </c>
      <c r="C199" s="2877">
        <f>SUM('2018+'!H1268:H1633)</f>
        <v>1543.9599999999998</v>
      </c>
    </row>
    <row r="200" spans="1:3" s="140" customFormat="1" x14ac:dyDescent="0.2">
      <c r="A200" s="2781">
        <v>44732</v>
      </c>
      <c r="B200" s="2877">
        <f>SUM('2018+'!H1545:H1634)</f>
        <v>470.45000000000022</v>
      </c>
      <c r="C200" s="2877">
        <f>SUM('2018+'!H1269:H1634)</f>
        <v>1543.9599999999998</v>
      </c>
    </row>
    <row r="201" spans="1:3" s="140" customFormat="1" x14ac:dyDescent="0.2">
      <c r="A201" s="2781">
        <v>44733</v>
      </c>
      <c r="B201" s="2877">
        <f>SUM('2018+'!H1546:H1635)</f>
        <v>467.64000000000016</v>
      </c>
      <c r="C201" s="2877">
        <f>SUM('2018+'!H1270:H1635)</f>
        <v>1553.5299999999997</v>
      </c>
    </row>
    <row r="202" spans="1:3" s="140" customFormat="1" x14ac:dyDescent="0.2">
      <c r="A202" s="2781">
        <v>44734</v>
      </c>
      <c r="B202" s="2877">
        <f>SUM('2018+'!H1547:H1636)</f>
        <v>456.94000000000011</v>
      </c>
      <c r="C202" s="2877">
        <f>SUM('2018+'!H1271:H1636)</f>
        <v>1545.0299999999997</v>
      </c>
    </row>
    <row r="203" spans="1:3" s="140" customFormat="1" x14ac:dyDescent="0.2">
      <c r="A203" s="2781">
        <v>44735</v>
      </c>
      <c r="B203" s="2877">
        <f>SUM('2018+'!H1548:H1637)</f>
        <v>466.4500000000001</v>
      </c>
      <c r="C203" s="2877">
        <f>SUM('2018+'!H1272:H1637)</f>
        <v>1554.5399999999997</v>
      </c>
    </row>
    <row r="204" spans="1:3" s="140" customFormat="1" x14ac:dyDescent="0.2">
      <c r="A204" s="2781">
        <v>44736</v>
      </c>
      <c r="B204" s="2877">
        <f>SUM('2018+'!H1549:H1638)</f>
        <v>451.36000000000013</v>
      </c>
      <c r="C204" s="2877">
        <f>SUM('2018+'!H1273:H1638)</f>
        <v>1544.2399999999998</v>
      </c>
    </row>
    <row r="205" spans="1:3" s="140" customFormat="1" x14ac:dyDescent="0.2">
      <c r="A205" s="2781">
        <v>44737</v>
      </c>
      <c r="B205" s="2877">
        <f>SUM('2018+'!H1550:H1639)</f>
        <v>464.36000000000013</v>
      </c>
      <c r="C205" s="2877">
        <f>SUM('2018+'!H1274:H1639)</f>
        <v>1557.2399999999998</v>
      </c>
    </row>
    <row r="206" spans="1:3" s="140" customFormat="1" x14ac:dyDescent="0.2">
      <c r="A206" s="2781">
        <v>44738</v>
      </c>
      <c r="B206" s="2877">
        <f>SUM('2018+'!H1551:H1640)</f>
        <v>454.24</v>
      </c>
      <c r="C206" s="2877">
        <f>SUM('2018+'!H1275:H1640)</f>
        <v>1550.53</v>
      </c>
    </row>
    <row r="207" spans="1:3" s="140" customFormat="1" x14ac:dyDescent="0.2">
      <c r="A207" s="2781">
        <v>44739</v>
      </c>
      <c r="B207" s="2877">
        <f>SUM('2018+'!H1552:H1641)</f>
        <v>462.78000000000003</v>
      </c>
      <c r="C207" s="2877">
        <f>SUM('2018+'!H1276:H1641)</f>
        <v>1559.07</v>
      </c>
    </row>
    <row r="208" spans="1:3" s="140" customFormat="1" x14ac:dyDescent="0.2">
      <c r="A208" s="2781">
        <v>44740</v>
      </c>
      <c r="B208" s="2877">
        <f>SUM('2018+'!H1553:H1642)</f>
        <v>450.15000000000003</v>
      </c>
      <c r="C208" s="2877">
        <f>SUM('2018+'!H1277:H1642)</f>
        <v>1559.07</v>
      </c>
    </row>
    <row r="209" spans="1:3" s="140" customFormat="1" x14ac:dyDescent="0.2">
      <c r="A209" s="2781">
        <v>44741</v>
      </c>
      <c r="B209" s="2877">
        <f>SUM('2018+'!H1554:H1643)</f>
        <v>453.78000000000003</v>
      </c>
      <c r="C209" s="2877">
        <f>SUM('2018+'!H1278:H1643)</f>
        <v>1569.95</v>
      </c>
    </row>
    <row r="210" spans="1:3" s="140" customFormat="1" x14ac:dyDescent="0.2">
      <c r="A210" s="2781">
        <v>44742</v>
      </c>
      <c r="B210" s="2877">
        <f>SUM('2018+'!H1555:H1644)</f>
        <v>441.54999999999995</v>
      </c>
      <c r="C210" s="2877">
        <f>SUM('2018+'!H1279:H1644)</f>
        <v>1569.95</v>
      </c>
    </row>
    <row r="211" spans="1:3" s="140" customFormat="1" x14ac:dyDescent="0.2">
      <c r="A211" s="2781">
        <v>44743</v>
      </c>
      <c r="B211" s="2877">
        <f>SUM('2018+'!H1556:H1645)</f>
        <v>441.54999999999995</v>
      </c>
      <c r="C211" s="2877">
        <f>SUM('2018+'!H1280:H1645)</f>
        <v>1563.81</v>
      </c>
    </row>
    <row r="212" spans="1:3" s="140" customFormat="1" x14ac:dyDescent="0.2">
      <c r="A212" s="2781">
        <v>44744</v>
      </c>
      <c r="B212" s="2877">
        <f>SUM('2018+'!H1557:H1646)</f>
        <v>427.98</v>
      </c>
      <c r="C212" s="2877">
        <f>SUM('2018+'!H1281:H1646)</f>
        <v>1571.6399999999999</v>
      </c>
    </row>
    <row r="213" spans="1:3" s="140" customFormat="1" x14ac:dyDescent="0.2">
      <c r="A213" s="2781">
        <v>44745</v>
      </c>
      <c r="B213" s="2877">
        <f>SUM('2018+'!H1558:H1647)</f>
        <v>427.98</v>
      </c>
      <c r="C213" s="2877">
        <f>SUM('2018+'!H1282:H1647)</f>
        <v>1571.6399999999999</v>
      </c>
    </row>
    <row r="214" spans="1:3" s="140" customFormat="1" x14ac:dyDescent="0.2">
      <c r="A214" s="2781">
        <v>44746</v>
      </c>
      <c r="B214" s="2877">
        <f>SUM('2018+'!H1559:H1648)</f>
        <v>426.96000000000004</v>
      </c>
      <c r="C214" s="2877">
        <f>SUM('2018+'!H1283:H1648)</f>
        <v>1580.7199999999998</v>
      </c>
    </row>
    <row r="215" spans="1:3" s="140" customFormat="1" x14ac:dyDescent="0.2">
      <c r="A215" s="2781">
        <v>44747</v>
      </c>
      <c r="B215" s="2877">
        <f>SUM('2018+'!H1560:H1649)</f>
        <v>414.55000000000007</v>
      </c>
      <c r="C215" s="2877">
        <f>SUM('2018+'!H1284:H1649)</f>
        <v>1580.7199999999998</v>
      </c>
    </row>
    <row r="216" spans="1:3" s="140" customFormat="1" x14ac:dyDescent="0.2">
      <c r="A216" s="2781">
        <v>44748</v>
      </c>
      <c r="B216" s="2877">
        <f>SUM('2018+'!H1561:H1650)</f>
        <v>424.42000000000007</v>
      </c>
      <c r="C216" s="2877">
        <f>SUM('2018+'!H1285:H1650)</f>
        <v>1590.5899999999997</v>
      </c>
    </row>
    <row r="217" spans="1:3" s="140" customFormat="1" x14ac:dyDescent="0.2">
      <c r="A217" s="2781">
        <v>44749</v>
      </c>
      <c r="B217" s="2877">
        <f>SUM('2018+'!H1562:H1651)</f>
        <v>422.82000000000011</v>
      </c>
      <c r="C217" s="2877">
        <f>SUM('2018+'!H1286:H1651)</f>
        <v>1599.0699999999997</v>
      </c>
    </row>
    <row r="218" spans="1:3" s="140" customFormat="1" x14ac:dyDescent="0.2">
      <c r="A218" s="2781">
        <v>44750</v>
      </c>
      <c r="B218" s="2877">
        <f>SUM('2018+'!H1563:H1652)</f>
        <v>422.82000000000011</v>
      </c>
      <c r="C218" s="2877">
        <f>SUM('2018+'!H1287:H1652)</f>
        <v>1599.0699999999997</v>
      </c>
    </row>
    <row r="219" spans="1:3" s="140" customFormat="1" x14ac:dyDescent="0.2">
      <c r="A219" s="2781">
        <v>44751</v>
      </c>
      <c r="B219" s="2877">
        <f>SUM('2018+'!H1564:H1653)</f>
        <v>423.3900000000001</v>
      </c>
      <c r="C219" s="2877">
        <f>SUM('2018+'!H1288:H1653)</f>
        <v>1610.0799999999997</v>
      </c>
    </row>
    <row r="220" spans="1:3" s="140" customFormat="1" x14ac:dyDescent="0.2">
      <c r="A220" s="2781">
        <v>44752</v>
      </c>
      <c r="B220" s="2877">
        <f>SUM('2018+'!H1565:H1654)</f>
        <v>423.3900000000001</v>
      </c>
      <c r="C220" s="2877">
        <f>SUM('2018+'!H1289:H1654)</f>
        <v>1601.7599999999998</v>
      </c>
    </row>
    <row r="221" spans="1:3" s="140" customFormat="1" x14ac:dyDescent="0.2">
      <c r="A221" s="2781">
        <v>44753</v>
      </c>
      <c r="B221" s="2877">
        <f>SUM('2018+'!H1566:H1655)</f>
        <v>413.06000000000006</v>
      </c>
      <c r="C221" s="2877">
        <f>SUM('2018+'!H1290:H1655)</f>
        <v>1601.7599999999998</v>
      </c>
    </row>
    <row r="222" spans="1:3" s="140" customFormat="1" x14ac:dyDescent="0.2">
      <c r="A222" s="2781">
        <v>44754</v>
      </c>
      <c r="B222" s="2877">
        <f>SUM('2018+'!H1567:H1656)</f>
        <v>422.03000000000009</v>
      </c>
      <c r="C222" s="2877">
        <f>SUM('2018+'!H1291:H1656)</f>
        <v>1610.7299999999998</v>
      </c>
    </row>
    <row r="223" spans="1:3" x14ac:dyDescent="0.2">
      <c r="A223" s="2781">
        <v>44755</v>
      </c>
      <c r="B223" s="2877">
        <f>SUM('2018+'!H1568:H1657)</f>
        <v>419.25000000000011</v>
      </c>
      <c r="C223" s="2877">
        <f>SUM('2018+'!H1292:H1657)</f>
        <v>1618.0399999999997</v>
      </c>
    </row>
    <row r="224" spans="1:3" x14ac:dyDescent="0.2">
      <c r="A224" s="2781">
        <v>44756</v>
      </c>
      <c r="B224" s="2877">
        <f>SUM('2018+'!H1569:H1658)</f>
        <v>427.55000000000013</v>
      </c>
      <c r="C224" s="2877">
        <f>SUM('2018+'!H1293:H1658)</f>
        <v>1626.3399999999997</v>
      </c>
    </row>
    <row r="225" spans="1:3" x14ac:dyDescent="0.2">
      <c r="A225" s="2781">
        <v>44757</v>
      </c>
      <c r="B225" s="2877">
        <f>SUM('2018+'!H1570:H1659)</f>
        <v>417.9500000000001</v>
      </c>
      <c r="C225" s="2877">
        <f>SUM('2018+'!H1294:H1659)</f>
        <v>1618.3299999999997</v>
      </c>
    </row>
    <row r="226" spans="1:3" x14ac:dyDescent="0.2">
      <c r="A226" s="2781">
        <v>44758</v>
      </c>
      <c r="B226" s="2877">
        <f>SUM('2018+'!H1571:H1660)</f>
        <v>426.81000000000012</v>
      </c>
      <c r="C226" s="2877">
        <f>SUM('2018+'!H1295:H1660)</f>
        <v>1627.1899999999996</v>
      </c>
    </row>
    <row r="227" spans="1:3" x14ac:dyDescent="0.2">
      <c r="A227" s="2781">
        <v>44759</v>
      </c>
      <c r="B227" s="2877">
        <f>SUM('2018+'!H1572:H1661)</f>
        <v>426.81000000000012</v>
      </c>
      <c r="C227" s="2877">
        <f>SUM('2018+'!H1296:H1661)</f>
        <v>1627.1899999999996</v>
      </c>
    </row>
    <row r="228" spans="1:3" x14ac:dyDescent="0.2">
      <c r="A228" s="2781">
        <v>44760</v>
      </c>
      <c r="B228" s="2877">
        <f>SUM('2018+'!H1573:H1662)</f>
        <v>423.93000000000006</v>
      </c>
      <c r="C228" s="2877">
        <f>SUM('2018+'!H1297:H1662)</f>
        <v>1635.0799999999997</v>
      </c>
    </row>
    <row r="229" spans="1:3" x14ac:dyDescent="0.2">
      <c r="A229" s="2781">
        <v>44761</v>
      </c>
      <c r="B229" s="2877">
        <f>SUM('2018+'!H1574:H1663)</f>
        <v>429.94000000000005</v>
      </c>
      <c r="C229" s="2877">
        <f>SUM('2018+'!H1298:H1663)</f>
        <v>1641.0899999999997</v>
      </c>
    </row>
    <row r="230" spans="1:3" x14ac:dyDescent="0.2">
      <c r="A230" s="2781">
        <v>44762</v>
      </c>
      <c r="B230" s="2877">
        <f>SUM('2018+'!H1575:H1664)</f>
        <v>431.14</v>
      </c>
      <c r="C230" s="2877">
        <f>SUM('2018+'!H1299:H1664)</f>
        <v>1652.5899999999997</v>
      </c>
    </row>
    <row r="231" spans="1:3" x14ac:dyDescent="0.2">
      <c r="A231" s="2781">
        <v>44763</v>
      </c>
      <c r="B231" s="2877">
        <f>SUM('2018+'!H1576:H1665)</f>
        <v>431.14</v>
      </c>
      <c r="C231" s="2877">
        <f>SUM('2018+'!H1300:H1665)</f>
        <v>1652.5899999999997</v>
      </c>
    </row>
    <row r="232" spans="1:3" x14ac:dyDescent="0.2">
      <c r="A232" s="2781">
        <v>44764</v>
      </c>
      <c r="B232" s="2877">
        <f>SUM('2018+'!H1577:H1666)</f>
        <v>413.79</v>
      </c>
      <c r="C232" s="2877">
        <f>SUM('2018+'!H1301:H1666)</f>
        <v>1652.5899999999997</v>
      </c>
    </row>
    <row r="233" spans="1:3" x14ac:dyDescent="0.2">
      <c r="A233" s="2781">
        <v>44765</v>
      </c>
      <c r="B233" s="2877">
        <f>SUM('2018+'!H1578:H1667)</f>
        <v>422.55</v>
      </c>
      <c r="C233" s="2877">
        <f>SUM('2018+'!H1302:H1667)</f>
        <v>1661.3499999999997</v>
      </c>
    </row>
    <row r="234" spans="1:3" x14ac:dyDescent="0.2">
      <c r="A234" s="2781">
        <v>44766</v>
      </c>
      <c r="B234" s="2877">
        <f>SUM('2018+'!H1579:H1668)</f>
        <v>411.26000000000005</v>
      </c>
      <c r="C234" s="2877">
        <f>SUM('2018+'!H1303:H1668)</f>
        <v>1661.3499999999997</v>
      </c>
    </row>
    <row r="235" spans="1:3" x14ac:dyDescent="0.2">
      <c r="A235" s="2781">
        <v>44767</v>
      </c>
      <c r="B235" s="2877">
        <f>SUM('2018+'!H1580:H1669)</f>
        <v>411.26000000000005</v>
      </c>
      <c r="C235" s="2877">
        <f>SUM('2018+'!H1304:H1669)</f>
        <v>1661.3499999999997</v>
      </c>
    </row>
    <row r="236" spans="1:3" x14ac:dyDescent="0.2">
      <c r="A236" s="2781">
        <v>44768</v>
      </c>
      <c r="B236" s="2877">
        <f>SUM('2018+'!H1581:H1670)</f>
        <v>401.58</v>
      </c>
      <c r="C236" s="2877">
        <f>SUM('2018+'!H1305:H1670)</f>
        <v>1661.3499999999997</v>
      </c>
    </row>
    <row r="237" spans="1:3" x14ac:dyDescent="0.2">
      <c r="A237" s="2781">
        <v>44769</v>
      </c>
      <c r="B237" s="2877">
        <f>SUM('2018+'!H1582:H1671)</f>
        <v>394.12999999999994</v>
      </c>
      <c r="C237" s="2877">
        <f>SUM('2018+'!H1306:H1671)</f>
        <v>1656.3099999999995</v>
      </c>
    </row>
    <row r="238" spans="1:3" x14ac:dyDescent="0.2">
      <c r="A238" s="2781">
        <v>44770</v>
      </c>
      <c r="B238" s="2877">
        <f>SUM('2018+'!H1583:H1672)</f>
        <v>394.12999999999994</v>
      </c>
      <c r="C238" s="2877">
        <f>SUM('2018+'!H1307:H1672)</f>
        <v>1656.3099999999995</v>
      </c>
    </row>
    <row r="239" spans="1:3" x14ac:dyDescent="0.2">
      <c r="A239" s="2781">
        <v>44771</v>
      </c>
      <c r="B239" s="2877">
        <f>SUM('2018+'!H1584:H1673)</f>
        <v>373.54999999999995</v>
      </c>
      <c r="C239" s="2877">
        <f>SUM('2018+'!H1308:H1673)</f>
        <v>1650.0599999999995</v>
      </c>
    </row>
    <row r="240" spans="1:3" x14ac:dyDescent="0.2">
      <c r="A240" s="2781">
        <v>44772</v>
      </c>
      <c r="B240" s="2877">
        <f>SUM('2018+'!H1585:H1674)</f>
        <v>373.54999999999995</v>
      </c>
      <c r="C240" s="2877">
        <f>SUM('2018+'!H1309:H1674)</f>
        <v>1650.0599999999995</v>
      </c>
    </row>
    <row r="241" spans="1:3" x14ac:dyDescent="0.2">
      <c r="A241" s="2781">
        <v>44773</v>
      </c>
      <c r="B241" s="2877">
        <f>SUM('2018+'!H1586:H1675)</f>
        <v>370.68</v>
      </c>
      <c r="C241" s="2877">
        <f>SUM('2018+'!H1310:H1675)</f>
        <v>1653.0299999999995</v>
      </c>
    </row>
    <row r="242" spans="1:3" x14ac:dyDescent="0.2">
      <c r="A242" s="2781">
        <v>44774</v>
      </c>
      <c r="B242" s="2877">
        <f>SUM('2018+'!H1587:H1676)</f>
        <v>370.68</v>
      </c>
      <c r="C242" s="2877">
        <f>SUM('2018+'!H1311:H1676)</f>
        <v>1653.0299999999995</v>
      </c>
    </row>
    <row r="243" spans="1:3" x14ac:dyDescent="0.2">
      <c r="A243" s="2781">
        <v>44775</v>
      </c>
      <c r="B243" s="2877">
        <f>SUM('2018+'!H1588:H1677)</f>
        <v>368.58000000000004</v>
      </c>
      <c r="C243" s="2877">
        <f>SUM('2018+'!H1312:H1677)</f>
        <v>1656.4299999999996</v>
      </c>
    </row>
    <row r="244" spans="1:3" x14ac:dyDescent="0.2">
      <c r="A244" s="2781">
        <v>44776</v>
      </c>
      <c r="B244" s="2877">
        <f>SUM('2018+'!H1589:H1678)</f>
        <v>361.11</v>
      </c>
      <c r="C244" s="2877">
        <f>SUM('2018+'!H1313:H1678)</f>
        <v>1656.4299999999996</v>
      </c>
    </row>
    <row r="245" spans="1:3" x14ac:dyDescent="0.2">
      <c r="A245" s="2781">
        <v>44777</v>
      </c>
      <c r="B245" s="2877">
        <f>SUM('2018+'!H1590:H1679)</f>
        <v>370.86</v>
      </c>
      <c r="C245" s="2877">
        <f>SUM('2018+'!H1314:H1679)</f>
        <v>1666.1799999999996</v>
      </c>
    </row>
    <row r="246" spans="1:3" x14ac:dyDescent="0.2">
      <c r="A246" s="2781">
        <v>44778</v>
      </c>
      <c r="B246" s="2877">
        <f>SUM('2018+'!H1591:H1680)</f>
        <v>370.86</v>
      </c>
      <c r="C246" s="2877">
        <f>SUM('2018+'!H1315:H1680)</f>
        <v>1659.2199999999996</v>
      </c>
    </row>
    <row r="247" spans="1:3" x14ac:dyDescent="0.2">
      <c r="A247" s="2781">
        <v>44779</v>
      </c>
      <c r="B247" s="2877">
        <f>SUM('2018+'!H1592:H1681)</f>
        <v>384.06</v>
      </c>
      <c r="C247" s="2877">
        <f>SUM('2018+'!H1316:H1681)</f>
        <v>1672.4199999999996</v>
      </c>
    </row>
    <row r="248" spans="1:3" x14ac:dyDescent="0.2">
      <c r="A248" s="2781">
        <v>44780</v>
      </c>
      <c r="B248" s="2877">
        <f>SUM('2018+'!H1593:H1682)</f>
        <v>384.06</v>
      </c>
      <c r="C248" s="2877">
        <f>SUM('2018+'!H1317:H1682)</f>
        <v>1664.5799999999995</v>
      </c>
    </row>
    <row r="249" spans="1:3" x14ac:dyDescent="0.2">
      <c r="A249" s="2781">
        <v>44781</v>
      </c>
      <c r="B249" s="2877">
        <f>SUM('2018+'!H1594:H1683)</f>
        <v>393.07</v>
      </c>
      <c r="C249" s="2877">
        <f>SUM('2018+'!H1318:H1683)</f>
        <v>1673.5899999999995</v>
      </c>
    </row>
    <row r="250" spans="1:3" x14ac:dyDescent="0.2">
      <c r="A250" s="2781">
        <v>44782</v>
      </c>
      <c r="B250" s="2877">
        <f>SUM('2018+'!H1595:H1684)</f>
        <v>393.07</v>
      </c>
      <c r="C250" s="2877">
        <f>SUM('2018+'!H1319:H1684)</f>
        <v>1667.0299999999997</v>
      </c>
    </row>
    <row r="251" spans="1:3" x14ac:dyDescent="0.2">
      <c r="A251" s="2781">
        <v>44783</v>
      </c>
      <c r="B251" s="2877">
        <f>SUM('2018+'!H1596:H1685)</f>
        <v>399.23</v>
      </c>
      <c r="C251" s="2877">
        <f>SUM('2018+'!H1320:H1685)</f>
        <v>1673.1899999999998</v>
      </c>
    </row>
    <row r="252" spans="1:3" x14ac:dyDescent="0.2">
      <c r="A252" s="2781">
        <v>44784</v>
      </c>
      <c r="B252" s="2877">
        <f>SUM('2018+'!H1597:H1686)</f>
        <v>399.23</v>
      </c>
      <c r="C252" s="2877">
        <f>SUM('2018+'!H1321:H1686)</f>
        <v>1663.09</v>
      </c>
    </row>
    <row r="253" spans="1:3" x14ac:dyDescent="0.2">
      <c r="A253" s="2781">
        <v>44785</v>
      </c>
      <c r="B253" s="2877">
        <f>SUM('2018+'!H1598:H1687)</f>
        <v>399.23</v>
      </c>
      <c r="C253" s="2877">
        <f>SUM('2018+'!H1322:H1687)</f>
        <v>1663.09</v>
      </c>
    </row>
    <row r="254" spans="1:3" x14ac:dyDescent="0.2">
      <c r="A254" s="2781">
        <v>44786</v>
      </c>
      <c r="B254" s="2877">
        <f>SUM('2018+'!H1599:H1688)</f>
        <v>391.87</v>
      </c>
      <c r="C254" s="2877">
        <f>SUM('2018+'!H1323:H1688)</f>
        <v>1663.09</v>
      </c>
    </row>
    <row r="255" spans="1:3" x14ac:dyDescent="0.2">
      <c r="A255" s="2781">
        <v>44787</v>
      </c>
      <c r="B255" s="2877">
        <f>SUM('2018+'!H1600:H1689)</f>
        <v>391.87</v>
      </c>
      <c r="C255" s="2877">
        <f>SUM('2018+'!H1324:H1689)</f>
        <v>1656.5999999999997</v>
      </c>
    </row>
    <row r="256" spans="1:3" x14ac:dyDescent="0.2">
      <c r="A256" s="2781">
        <v>44788</v>
      </c>
      <c r="B256" s="2877">
        <f>SUM('2018+'!H1601:H1690)</f>
        <v>383.21000000000004</v>
      </c>
      <c r="C256" s="2877">
        <f>SUM('2018+'!H1325:H1690)</f>
        <v>1656.5999999999997</v>
      </c>
    </row>
    <row r="257" spans="1:3" x14ac:dyDescent="0.2">
      <c r="A257" s="2781">
        <v>44789</v>
      </c>
      <c r="B257" s="2877">
        <f>SUM('2018+'!H1602:H1691)</f>
        <v>394.41</v>
      </c>
      <c r="C257" s="2877">
        <f>SUM('2018+'!H1326:H1691)</f>
        <v>1656.9999999999998</v>
      </c>
    </row>
    <row r="258" spans="1:3" x14ac:dyDescent="0.2">
      <c r="A258" s="2781">
        <v>44790</v>
      </c>
      <c r="B258" s="2877">
        <f>SUM('2018+'!H1603:H1692)</f>
        <v>386.03000000000003</v>
      </c>
      <c r="C258" s="2877">
        <f>SUM('2018+'!H1327:H1692)</f>
        <v>1656.9999999999998</v>
      </c>
    </row>
    <row r="259" spans="1:3" x14ac:dyDescent="0.2">
      <c r="A259" s="2781">
        <v>44791</v>
      </c>
      <c r="B259" s="2877">
        <f>SUM('2018+'!H1604:H1693)</f>
        <v>396.53000000000003</v>
      </c>
      <c r="C259" s="2877">
        <f>SUM('2018+'!H1328:H1693)</f>
        <v>1660.1199999999997</v>
      </c>
    </row>
    <row r="260" spans="1:3" x14ac:dyDescent="0.2">
      <c r="A260" s="2781">
        <v>44792</v>
      </c>
      <c r="B260" s="2877">
        <f>SUM('2018+'!H1605:H1694)</f>
        <v>388.09999999999997</v>
      </c>
      <c r="C260" s="2877">
        <f>SUM('2018+'!H1329:H1694)</f>
        <v>1660.1199999999997</v>
      </c>
    </row>
    <row r="261" spans="1:3" x14ac:dyDescent="0.2">
      <c r="A261" s="2781">
        <v>44793</v>
      </c>
      <c r="B261" s="2877">
        <f>SUM('2018+'!H1606:H1695)</f>
        <v>398.59999999999997</v>
      </c>
      <c r="C261" s="2877">
        <f>SUM('2018+'!H1330:H1695)</f>
        <v>1663.4899999999996</v>
      </c>
    </row>
    <row r="262" spans="1:3" x14ac:dyDescent="0.2">
      <c r="A262" s="2781">
        <v>44794</v>
      </c>
      <c r="B262" s="2877">
        <f>SUM('2018+'!H1607:H1696)</f>
        <v>389.81</v>
      </c>
      <c r="C262" s="2877">
        <f>SUM('2018+'!H1331:H1696)</f>
        <v>1663.4899999999996</v>
      </c>
    </row>
    <row r="263" spans="1:3" x14ac:dyDescent="0.2">
      <c r="A263" s="2781">
        <v>44795</v>
      </c>
      <c r="B263" s="2877">
        <f>SUM('2018+'!H1608:H1697)</f>
        <v>397.49</v>
      </c>
      <c r="C263" s="2877">
        <f>SUM('2018+'!H1332:H1697)</f>
        <v>1671.1699999999996</v>
      </c>
    </row>
    <row r="264" spans="1:3" x14ac:dyDescent="0.2">
      <c r="A264" s="2781">
        <v>44796</v>
      </c>
      <c r="B264" s="2877">
        <f>SUM('2018+'!H1609:H1698)</f>
        <v>387.06</v>
      </c>
      <c r="C264" s="2877">
        <f>SUM('2018+'!H1333:H1698)</f>
        <v>1662.5199999999995</v>
      </c>
    </row>
    <row r="265" spans="1:3" x14ac:dyDescent="0.2">
      <c r="A265" s="2781">
        <v>44797</v>
      </c>
      <c r="B265" s="2877">
        <f>SUM('2018+'!H1610:H1699)</f>
        <v>396.12</v>
      </c>
      <c r="C265" s="2877">
        <f>SUM('2018+'!H1334:H1699)</f>
        <v>1671.5799999999995</v>
      </c>
    </row>
    <row r="266" spans="1:3" x14ac:dyDescent="0.2">
      <c r="A266" s="2781">
        <v>44798</v>
      </c>
      <c r="B266" s="2877">
        <f>SUM('2018+'!H1611:H1700)</f>
        <v>395.34999999999997</v>
      </c>
      <c r="C266" s="2877">
        <f>SUM('2018+'!H1335:H1700)</f>
        <v>1671.3499999999995</v>
      </c>
    </row>
    <row r="267" spans="1:3" x14ac:dyDescent="0.2">
      <c r="A267" s="2781">
        <v>44799</v>
      </c>
      <c r="B267" s="2877">
        <f>SUM('2018+'!H1612:H1701)</f>
        <v>395.34999999999997</v>
      </c>
      <c r="C267" s="2877">
        <f>SUM('2018+'!H1336:H1701)</f>
        <v>1671.3499999999995</v>
      </c>
    </row>
    <row r="268" spans="1:3" x14ac:dyDescent="0.2">
      <c r="A268" s="2781">
        <v>44800</v>
      </c>
      <c r="B268" s="2877">
        <f>SUM('2018+'!H1613:H1702)</f>
        <v>394.03999999999996</v>
      </c>
      <c r="C268" s="2877">
        <f>SUM('2018+'!H1337:H1702)</f>
        <v>1672.7899999999995</v>
      </c>
    </row>
    <row r="269" spans="1:3" x14ac:dyDescent="0.2">
      <c r="A269" s="2781">
        <v>44801</v>
      </c>
      <c r="B269" s="2877">
        <f>SUM('2018+'!H1614:H1703)</f>
        <v>386.50999999999993</v>
      </c>
      <c r="C269" s="2877">
        <f>SUM('2018+'!H1338:H1703)</f>
        <v>1672.7899999999995</v>
      </c>
    </row>
    <row r="270" spans="1:3" x14ac:dyDescent="0.2">
      <c r="A270" s="2781">
        <v>44802</v>
      </c>
      <c r="B270" s="2877">
        <f>SUM('2018+'!H1615:H1704)</f>
        <v>386.50999999999993</v>
      </c>
      <c r="C270" s="2877">
        <f>SUM('2018+'!H1339:H1704)</f>
        <v>1662.8599999999997</v>
      </c>
    </row>
    <row r="271" spans="1:3" x14ac:dyDescent="0.2">
      <c r="A271" s="2781">
        <v>44803</v>
      </c>
      <c r="B271" s="2877">
        <f>SUM('2018+'!H1616:H1705)</f>
        <v>379.4</v>
      </c>
      <c r="C271" s="2877">
        <f>SUM('2018+'!H1340:H1705)</f>
        <v>1662.8599999999997</v>
      </c>
    </row>
    <row r="272" spans="1:3" x14ac:dyDescent="0.2">
      <c r="A272" s="2781">
        <v>44804</v>
      </c>
      <c r="B272" s="2877">
        <f>SUM('2018+'!H1617:H1706)</f>
        <v>376.15999999999991</v>
      </c>
      <c r="C272" s="2877">
        <f>SUM('2018+'!H1341:H1706)</f>
        <v>1669.7599999999998</v>
      </c>
    </row>
    <row r="273" spans="1:3" x14ac:dyDescent="0.2">
      <c r="A273" s="2781">
        <v>44805</v>
      </c>
      <c r="B273" s="2877">
        <f>SUM('2018+'!H1618:H1707)</f>
        <v>376.15999999999991</v>
      </c>
      <c r="C273" s="2877">
        <f>SUM('2018+'!H1342:H1707)</f>
        <v>1659.2699999999998</v>
      </c>
    </row>
    <row r="274" spans="1:3" x14ac:dyDescent="0.2">
      <c r="A274" s="2781">
        <v>44806</v>
      </c>
      <c r="B274" s="2877">
        <f>SUM('2018+'!H1619:H1708)</f>
        <v>365.05999999999989</v>
      </c>
      <c r="C274" s="2877">
        <f>SUM('2018+'!H1343:H1708)</f>
        <v>1659.2699999999998</v>
      </c>
    </row>
    <row r="275" spans="1:3" x14ac:dyDescent="0.2">
      <c r="A275" s="2781">
        <v>44807</v>
      </c>
      <c r="B275" s="2877">
        <f>SUM('2018+'!H1620:H1709)</f>
        <v>373.20999999999987</v>
      </c>
      <c r="C275" s="2877">
        <f>SUM('2018+'!H1344:H1709)</f>
        <v>1658.4499999999998</v>
      </c>
    </row>
    <row r="276" spans="1:3" x14ac:dyDescent="0.2">
      <c r="A276" s="2781">
        <v>44808</v>
      </c>
      <c r="B276" s="2877">
        <f>SUM('2018+'!H1621:H1710)</f>
        <v>359.65999999999991</v>
      </c>
      <c r="C276" s="2877">
        <f>SUM('2018+'!H1345:H1710)</f>
        <v>1658.4499999999998</v>
      </c>
    </row>
    <row r="277" spans="1:3" x14ac:dyDescent="0.2">
      <c r="A277" s="2781">
        <v>44809</v>
      </c>
      <c r="B277" s="2877">
        <f>SUM('2018+'!H1622:H1711)</f>
        <v>369.8599999999999</v>
      </c>
      <c r="C277" s="2877">
        <f>SUM('2018+'!H1346:H1711)</f>
        <v>1658.01</v>
      </c>
    </row>
    <row r="278" spans="1:3" x14ac:dyDescent="0.2">
      <c r="A278" s="2781">
        <v>44810</v>
      </c>
      <c r="B278" s="2877">
        <f>SUM('2018+'!H1623:H1712)</f>
        <v>359.65999999999985</v>
      </c>
      <c r="C278" s="2877">
        <f>SUM('2018+'!H1347:H1712)</f>
        <v>1658.01</v>
      </c>
    </row>
    <row r="279" spans="1:3" x14ac:dyDescent="0.2">
      <c r="A279" s="2781">
        <v>44811</v>
      </c>
      <c r="B279" s="2877">
        <f>SUM('2018+'!H1624:H1713)</f>
        <v>361.02999999999986</v>
      </c>
      <c r="C279" s="2877">
        <f>SUM('2018+'!H1348:H1713)</f>
        <v>1668.11</v>
      </c>
    </row>
    <row r="280" spans="1:3" x14ac:dyDescent="0.2">
      <c r="A280" s="2781">
        <v>44812</v>
      </c>
      <c r="B280" s="2877">
        <f>SUM('2018+'!H1625:H1714)</f>
        <v>361.02999999999986</v>
      </c>
      <c r="C280" s="2877">
        <f>SUM('2018+'!H1349:H1714)</f>
        <v>1656.81</v>
      </c>
    </row>
    <row r="281" spans="1:3" x14ac:dyDescent="0.2">
      <c r="A281" s="2781">
        <v>44813</v>
      </c>
      <c r="B281" s="2877">
        <f>SUM('2018+'!H1626:H1715)</f>
        <v>356.08999999999992</v>
      </c>
      <c r="C281" s="2877">
        <f>SUM('2018+'!H1350:H1715)</f>
        <v>1666.4099999999999</v>
      </c>
    </row>
    <row r="282" spans="1:3" x14ac:dyDescent="0.2">
      <c r="A282" s="2781">
        <v>44814</v>
      </c>
      <c r="B282" s="2877">
        <f>SUM('2018+'!H1627:H1716)</f>
        <v>356.08999999999992</v>
      </c>
      <c r="C282" s="2877">
        <f>SUM('2018+'!H1351:H1716)</f>
        <v>1655.89</v>
      </c>
    </row>
    <row r="283" spans="1:3" x14ac:dyDescent="0.2">
      <c r="A283" s="2781">
        <v>44815</v>
      </c>
      <c r="B283" s="2877">
        <f>SUM('2018+'!H1628:H1717)</f>
        <v>347.27999999999986</v>
      </c>
      <c r="C283" s="2877">
        <f>SUM('2018+'!H1352:H1717)</f>
        <v>1655.89</v>
      </c>
    </row>
    <row r="284" spans="1:3" x14ac:dyDescent="0.2">
      <c r="A284" s="2781">
        <v>44816</v>
      </c>
      <c r="B284" s="2877">
        <f>SUM('2018+'!H1629:H1718)</f>
        <v>359.67999999999984</v>
      </c>
      <c r="C284" s="2877">
        <f>SUM('2018+'!H1353:H1718)</f>
        <v>1668.2900000000002</v>
      </c>
    </row>
    <row r="285" spans="1:3" x14ac:dyDescent="0.2">
      <c r="A285" s="2781">
        <v>44817</v>
      </c>
      <c r="B285" s="2877">
        <f>SUM('2018+'!H1630:H1719)</f>
        <v>359.67999999999984</v>
      </c>
      <c r="C285" s="2877">
        <f>SUM('2018+'!H1354:H1719)</f>
        <v>1658.5800000000004</v>
      </c>
    </row>
    <row r="286" spans="1:3" x14ac:dyDescent="0.2">
      <c r="A286" s="2781">
        <v>44818</v>
      </c>
      <c r="B286" s="2877">
        <f>SUM('2018+'!H1631:H1720)</f>
        <v>354.18999999999983</v>
      </c>
      <c r="C286" s="2877">
        <f>SUM('2018+'!H1355:H1720)</f>
        <v>1666.0200000000004</v>
      </c>
    </row>
    <row r="287" spans="1:3" x14ac:dyDescent="0.2">
      <c r="A287" s="2781">
        <v>44819</v>
      </c>
      <c r="B287" s="2877">
        <f>SUM('2018+'!H1632:H1721)</f>
        <v>354.18999999999983</v>
      </c>
      <c r="C287" s="2877">
        <f>SUM('2018+'!H1356:H1721)</f>
        <v>1659.7800000000002</v>
      </c>
    </row>
    <row r="288" spans="1:3" x14ac:dyDescent="0.2">
      <c r="A288" s="2781">
        <v>44820</v>
      </c>
      <c r="B288" s="2877">
        <f>SUM('2018+'!H1633:H1722)</f>
        <v>354.18999999999983</v>
      </c>
      <c r="C288" s="2877">
        <f>SUM('2018+'!H1357:H1722)</f>
        <v>1659.7800000000002</v>
      </c>
    </row>
    <row r="289" spans="1:3" x14ac:dyDescent="0.2">
      <c r="A289" s="2781">
        <v>44821</v>
      </c>
      <c r="B289" s="2877">
        <f>SUM('2018+'!H1634:H1723)</f>
        <v>363.49999999999983</v>
      </c>
      <c r="C289" s="2877">
        <f>SUM('2018+'!H1358:H1723)</f>
        <v>1661.6300000000003</v>
      </c>
    </row>
    <row r="290" spans="1:3" x14ac:dyDescent="0.2">
      <c r="A290" s="2781">
        <v>44822</v>
      </c>
      <c r="B290" s="2877">
        <f>SUM('2018+'!H1635:H1724)</f>
        <v>363.49999999999983</v>
      </c>
      <c r="C290" s="2877">
        <f>SUM('2018+'!H1359:H1724)</f>
        <v>1661.6300000000003</v>
      </c>
    </row>
    <row r="291" spans="1:3" x14ac:dyDescent="0.2">
      <c r="A291" s="2781">
        <v>44823</v>
      </c>
      <c r="B291" s="2877">
        <f>SUM('2018+'!H1636:H1725)</f>
        <v>353.92999999999984</v>
      </c>
      <c r="C291" s="2877">
        <f>SUM('2018+'!H1360:H1725)</f>
        <v>1651.7500000000002</v>
      </c>
    </row>
    <row r="292" spans="1:3" x14ac:dyDescent="0.2">
      <c r="A292" s="2781">
        <v>44824</v>
      </c>
      <c r="B292" s="2877">
        <f>SUM('2018+'!H1637:H1726)</f>
        <v>353.92999999999984</v>
      </c>
      <c r="C292" s="2877">
        <f>SUM('2018+'!H1361:H1726)</f>
        <v>1651.7500000000002</v>
      </c>
    </row>
    <row r="293" spans="1:3" x14ac:dyDescent="0.2">
      <c r="A293" s="2781">
        <v>44825</v>
      </c>
      <c r="B293" s="2877">
        <f>SUM('2018+'!H1638:H1727)</f>
        <v>344.4199999999999</v>
      </c>
      <c r="C293" s="2877">
        <f>SUM('2018+'!H1362:H1727)</f>
        <v>1641.7600000000002</v>
      </c>
    </row>
    <row r="294" spans="1:3" x14ac:dyDescent="0.2">
      <c r="A294" s="2781">
        <v>44826</v>
      </c>
      <c r="B294" s="2877">
        <f>SUM('2018+'!H1639:H1728)</f>
        <v>344.4199999999999</v>
      </c>
      <c r="C294" s="2877">
        <f>SUM('2018+'!H1363:H1728)</f>
        <v>1641.7600000000002</v>
      </c>
    </row>
    <row r="295" spans="1:3" x14ac:dyDescent="0.2">
      <c r="A295" s="2781">
        <v>44827</v>
      </c>
      <c r="B295" s="2877">
        <f>SUM('2018+'!H1640:H1729)</f>
        <v>331.4199999999999</v>
      </c>
      <c r="C295" s="2877">
        <f>SUM('2018+'!H1364:H1729)</f>
        <v>1632.8</v>
      </c>
    </row>
    <row r="296" spans="1:3" x14ac:dyDescent="0.2">
      <c r="A296" s="2781">
        <v>44828</v>
      </c>
      <c r="B296" s="2877">
        <f>SUM('2018+'!H1641:H1730)</f>
        <v>331.4199999999999</v>
      </c>
      <c r="C296" s="2877">
        <f>SUM('2018+'!H1365:H1730)</f>
        <v>1625.4</v>
      </c>
    </row>
    <row r="297" spans="1:3" x14ac:dyDescent="0.2">
      <c r="A297" s="2781">
        <v>44829</v>
      </c>
      <c r="B297" s="2877">
        <f>SUM('2018+'!H1642:H1731)</f>
        <v>333.48</v>
      </c>
      <c r="C297" s="2877">
        <f>SUM('2018+'!H1366:H1731)</f>
        <v>1636</v>
      </c>
    </row>
    <row r="298" spans="1:3" x14ac:dyDescent="0.2">
      <c r="A298" s="2781">
        <v>44830</v>
      </c>
      <c r="B298" s="2877">
        <f>SUM('2018+'!H1643:H1732)</f>
        <v>333.48</v>
      </c>
      <c r="C298" s="2877">
        <f>SUM('2018+'!H1367:H1732)</f>
        <v>1630.4299999999998</v>
      </c>
    </row>
    <row r="299" spans="1:3" x14ac:dyDescent="0.2">
      <c r="A299" s="2781">
        <v>44831</v>
      </c>
      <c r="B299" s="2877">
        <f>SUM('2018+'!H1644:H1733)</f>
        <v>328.86000000000007</v>
      </c>
      <c r="C299" s="2877">
        <f>SUM('2018+'!H1368:H1733)</f>
        <v>1636.6899999999998</v>
      </c>
    </row>
    <row r="300" spans="1:3" x14ac:dyDescent="0.2">
      <c r="A300" s="2781">
        <v>44832</v>
      </c>
      <c r="B300" s="2877">
        <f>SUM('2018+'!H1645:H1734)</f>
        <v>328.86000000000007</v>
      </c>
      <c r="C300" s="2877">
        <f>SUM('2018+'!H1369:H1734)</f>
        <v>1625.8899999999999</v>
      </c>
    </row>
    <row r="301" spans="1:3" x14ac:dyDescent="0.2">
      <c r="A301" s="2781">
        <v>44833</v>
      </c>
      <c r="B301" s="2877">
        <f>SUM('2018+'!H1646:H1735)</f>
        <v>328.86000000000007</v>
      </c>
      <c r="C301" s="2877">
        <f>SUM('2018+'!H1370:H1735)</f>
        <v>1625.8899999999999</v>
      </c>
    </row>
    <row r="302" spans="1:3" x14ac:dyDescent="0.2">
      <c r="A302" s="2781">
        <v>44834</v>
      </c>
      <c r="B302" s="2877">
        <f>SUM('2018+'!H1647:H1736)</f>
        <v>321.03000000000003</v>
      </c>
      <c r="C302" s="2877">
        <f>SUM('2018+'!H1371:H1736)</f>
        <v>1619.47</v>
      </c>
    </row>
    <row r="303" spans="1:3" x14ac:dyDescent="0.2">
      <c r="A303" s="2781">
        <v>44835</v>
      </c>
      <c r="B303" s="2877">
        <f>SUM('2018+'!H1648:H1737)</f>
        <v>335.33000000000004</v>
      </c>
      <c r="C303" s="2877">
        <f>SUM('2018+'!H1372:H1737)</f>
        <v>1633.77</v>
      </c>
    </row>
    <row r="304" spans="1:3" x14ac:dyDescent="0.2">
      <c r="A304" s="2781">
        <v>44836</v>
      </c>
      <c r="B304" s="2877">
        <f>SUM('2018+'!H1649:H1738)</f>
        <v>326.25000000000006</v>
      </c>
      <c r="C304" s="2877">
        <f>SUM('2018+'!H1373:H1738)</f>
        <v>1633.77</v>
      </c>
    </row>
    <row r="305" spans="1:3" x14ac:dyDescent="0.2">
      <c r="A305" s="2781">
        <v>44837</v>
      </c>
      <c r="B305" s="2877">
        <f>SUM('2018+'!H1650:H1739)</f>
        <v>326.25000000000006</v>
      </c>
      <c r="C305" s="2877">
        <f>SUM('2018+'!H1374:H1739)</f>
        <v>1633.77</v>
      </c>
    </row>
    <row r="306" spans="1:3" x14ac:dyDescent="0.2">
      <c r="A306" s="2781">
        <v>44838</v>
      </c>
      <c r="B306" s="2877">
        <f>SUM('2018+'!H1651:H1740)</f>
        <v>316.38</v>
      </c>
      <c r="C306" s="2877">
        <f>SUM('2018+'!H1375:H1740)</f>
        <v>1633.77</v>
      </c>
    </row>
    <row r="307" spans="1:3" x14ac:dyDescent="0.2">
      <c r="A307" s="2781">
        <v>44839</v>
      </c>
      <c r="B307" s="2877">
        <f>SUM('2018+'!H1652:H1741)</f>
        <v>315.45000000000005</v>
      </c>
      <c r="C307" s="2877">
        <f>SUM('2018+'!H1376:H1741)</f>
        <v>1641.32</v>
      </c>
    </row>
    <row r="308" spans="1:3" x14ac:dyDescent="0.2">
      <c r="A308" s="2781">
        <v>44840</v>
      </c>
      <c r="B308" s="2877">
        <f>SUM('2018+'!H1653:H1742)</f>
        <v>315.45000000000005</v>
      </c>
      <c r="C308" s="2877">
        <f>SUM('2018+'!H1377:H1742)</f>
        <v>1641.32</v>
      </c>
    </row>
    <row r="309" spans="1:3" x14ac:dyDescent="0.2">
      <c r="A309" s="2781">
        <v>44841</v>
      </c>
      <c r="B309" s="2877">
        <f>SUM('2018+'!H1654:H1743)</f>
        <v>304.44000000000005</v>
      </c>
      <c r="C309" s="2877">
        <f>SUM('2018+'!H1378:H1743)</f>
        <v>1641.32</v>
      </c>
    </row>
    <row r="310" spans="1:3" x14ac:dyDescent="0.2">
      <c r="A310" s="2781">
        <v>44842</v>
      </c>
      <c r="B310" s="2877">
        <f>SUM('2018+'!H1655:H1744)</f>
        <v>304.44000000000005</v>
      </c>
      <c r="C310" s="2877">
        <f>SUM('2018+'!H1379:H1744)</f>
        <v>1641.32</v>
      </c>
    </row>
    <row r="311" spans="1:3" x14ac:dyDescent="0.2">
      <c r="A311" s="2781">
        <v>44843</v>
      </c>
      <c r="B311" s="2877">
        <f>SUM('2018+'!H1656:H1745)</f>
        <v>314.54000000000008</v>
      </c>
      <c r="C311" s="2877">
        <f>SUM('2018+'!H1380:H1745)</f>
        <v>1651.4199999999998</v>
      </c>
    </row>
    <row r="312" spans="1:3" x14ac:dyDescent="0.2">
      <c r="A312" s="2781">
        <v>44844</v>
      </c>
      <c r="B312" s="2877">
        <f>SUM('2018+'!H1657:H1746)</f>
        <v>305.57000000000005</v>
      </c>
      <c r="C312" s="2877">
        <f>SUM('2018+'!H1381:H1746)</f>
        <v>1651.4199999999998</v>
      </c>
    </row>
    <row r="313" spans="1:3" x14ac:dyDescent="0.2">
      <c r="A313" s="2781">
        <v>44845</v>
      </c>
      <c r="B313" s="2877">
        <f>SUM('2018+'!H1658:H1747)</f>
        <v>298.26000000000005</v>
      </c>
      <c r="C313" s="2877">
        <f>SUM('2018+'!H1382:H1747)</f>
        <v>1651.4199999999998</v>
      </c>
    </row>
    <row r="314" spans="1:3" x14ac:dyDescent="0.2">
      <c r="A314" s="2781">
        <v>44846</v>
      </c>
      <c r="B314" s="2877">
        <f>SUM('2018+'!H1659:H1748)</f>
        <v>289.96000000000004</v>
      </c>
      <c r="C314" s="2877">
        <f>SUM('2018+'!H1383:H1748)</f>
        <v>1651.4199999999998</v>
      </c>
    </row>
    <row r="315" spans="1:3" x14ac:dyDescent="0.2">
      <c r="A315" s="2781">
        <v>44847</v>
      </c>
      <c r="B315" s="2877">
        <f>SUM('2018+'!H1660:H1749)</f>
        <v>289.96000000000004</v>
      </c>
      <c r="C315" s="2877">
        <f>SUM('2018+'!H1384:H1749)</f>
        <v>1651.4199999999998</v>
      </c>
    </row>
    <row r="316" spans="1:3" x14ac:dyDescent="0.2">
      <c r="A316" s="2781">
        <v>44848</v>
      </c>
      <c r="B316" s="2877">
        <f>SUM('2018+'!H1661:H1750)</f>
        <v>281.10000000000002</v>
      </c>
      <c r="C316" s="2877">
        <f>SUM('2018+'!H1385:H1750)</f>
        <v>1651.4199999999998</v>
      </c>
    </row>
    <row r="317" spans="1:3" x14ac:dyDescent="0.2">
      <c r="A317" s="2781">
        <v>44849</v>
      </c>
      <c r="B317" s="2877">
        <f>SUM('2018+'!H1662:H1751)</f>
        <v>281.10000000000002</v>
      </c>
      <c r="C317" s="2877">
        <f>SUM('2018+'!H1386:H1751)</f>
        <v>1651.4199999999998</v>
      </c>
    </row>
    <row r="318" spans="1:3" x14ac:dyDescent="0.2">
      <c r="A318" s="2781">
        <v>44850</v>
      </c>
      <c r="B318" s="2877">
        <f>SUM('2018+'!H1663:H1752)</f>
        <v>273.21000000000004</v>
      </c>
      <c r="C318" s="2877">
        <f>SUM('2018+'!H1387:H1752)</f>
        <v>1651.4199999999998</v>
      </c>
    </row>
    <row r="319" spans="1:3" x14ac:dyDescent="0.2">
      <c r="A319" s="2781">
        <v>44851</v>
      </c>
      <c r="B319" s="2877">
        <f>SUM('2018+'!H1664:H1753)</f>
        <v>267.20000000000005</v>
      </c>
      <c r="C319" s="2877">
        <f>SUM('2018+'!H1388:H1753)</f>
        <v>1645.1599999999999</v>
      </c>
    </row>
    <row r="320" spans="1:3" x14ac:dyDescent="0.2">
      <c r="A320" s="2781">
        <v>44852</v>
      </c>
      <c r="B320" s="2877">
        <f>SUM('2018+'!H1665:H1754)</f>
        <v>255.70000000000002</v>
      </c>
      <c r="C320" s="2877">
        <f>SUM('2018+'!H1389:H1754)</f>
        <v>1645.1599999999999</v>
      </c>
    </row>
    <row r="321" spans="1:3" x14ac:dyDescent="0.2">
      <c r="A321" s="2781">
        <v>44853</v>
      </c>
      <c r="B321" s="2877">
        <f>SUM('2018+'!H1666:H1755)</f>
        <v>255.70000000000002</v>
      </c>
      <c r="C321" s="2877">
        <f>SUM('2018+'!H1390:H1755)</f>
        <v>1637.62</v>
      </c>
    </row>
    <row r="322" spans="1:3" x14ac:dyDescent="0.2">
      <c r="A322" s="2781">
        <v>44854</v>
      </c>
      <c r="B322" s="2877">
        <f>SUM('2018+'!H1667:H1756)</f>
        <v>255.70000000000002</v>
      </c>
      <c r="C322" s="2877">
        <f>SUM('2018+'!H1391:H1756)</f>
        <v>1637.62</v>
      </c>
    </row>
    <row r="323" spans="1:3" x14ac:dyDescent="0.2">
      <c r="A323" s="2781">
        <v>44855</v>
      </c>
      <c r="B323" s="2877">
        <f>SUM('2018+'!H1668:H1757)</f>
        <v>246.94</v>
      </c>
      <c r="C323" s="2877">
        <f>SUM('2018+'!H1392:H1757)</f>
        <v>1629.61</v>
      </c>
    </row>
    <row r="324" spans="1:3" x14ac:dyDescent="0.2">
      <c r="A324" s="2781">
        <v>44856</v>
      </c>
      <c r="B324" s="2877">
        <f>SUM('2018+'!H1669:H1758)</f>
        <v>246.94</v>
      </c>
      <c r="C324" s="2877">
        <f>SUM('2018+'!H1393:H1758)</f>
        <v>1629.61</v>
      </c>
    </row>
    <row r="325" spans="1:3" x14ac:dyDescent="0.2">
      <c r="A325" s="2781">
        <v>44857</v>
      </c>
      <c r="B325" s="2877">
        <f>SUM('2018+'!H1670:H1759)</f>
        <v>246.94</v>
      </c>
      <c r="C325" s="2877">
        <f>SUM('2018+'!H1394:H1759)</f>
        <v>1622.34</v>
      </c>
    </row>
    <row r="326" spans="1:3" x14ac:dyDescent="0.2">
      <c r="A326" s="2781">
        <v>44858</v>
      </c>
      <c r="B326" s="2877">
        <f>SUM('2018+'!H1671:H1760)</f>
        <v>246.94</v>
      </c>
      <c r="C326" s="2877">
        <f>SUM('2018+'!H1395:H1760)</f>
        <v>1622.34</v>
      </c>
    </row>
    <row r="327" spans="1:3" x14ac:dyDescent="0.2">
      <c r="A327" s="2781">
        <v>44859</v>
      </c>
      <c r="B327" s="2877">
        <f>SUM('2018+'!H1672:H1761)</f>
        <v>246.94</v>
      </c>
      <c r="C327" s="2877">
        <f>SUM('2018+'!H1396:H1761)</f>
        <v>1613.21</v>
      </c>
    </row>
    <row r="328" spans="1:3" x14ac:dyDescent="0.2">
      <c r="A328" s="2781">
        <v>44860</v>
      </c>
      <c r="B328" s="2877">
        <f>SUM('2018+'!H1673:H1762)</f>
        <v>246.94</v>
      </c>
      <c r="C328" s="2877">
        <f>SUM('2018+'!H1397:H1762)</f>
        <v>1613.21</v>
      </c>
    </row>
    <row r="329" spans="1:3" x14ac:dyDescent="0.2">
      <c r="A329" s="2781">
        <v>44861</v>
      </c>
      <c r="B329" s="2877">
        <f>SUM('2018+'!H1674:H1763)</f>
        <v>246.94</v>
      </c>
      <c r="C329" s="2877">
        <f>SUM('2018+'!H1398:H1763)</f>
        <v>1613.21</v>
      </c>
    </row>
    <row r="330" spans="1:3" x14ac:dyDescent="0.2">
      <c r="A330" s="2781">
        <v>44862</v>
      </c>
      <c r="B330" s="2877">
        <f>SUM('2018+'!H1675:H1764)</f>
        <v>246.94</v>
      </c>
      <c r="C330" s="2877">
        <f>SUM('2018+'!H1399:H1764)</f>
        <v>1613.21</v>
      </c>
    </row>
    <row r="331" spans="1:3" x14ac:dyDescent="0.2">
      <c r="A331" s="2781">
        <v>44863</v>
      </c>
      <c r="B331" s="2877">
        <f>SUM('2018+'!H1676:H1765)</f>
        <v>237.01999999999998</v>
      </c>
      <c r="C331" s="2877">
        <f>SUM('2018+'!H1400:H1765)</f>
        <v>1606.95</v>
      </c>
    </row>
    <row r="332" spans="1:3" x14ac:dyDescent="0.2">
      <c r="A332" s="2781">
        <v>44864</v>
      </c>
      <c r="B332" s="2877">
        <f>SUM('2018+'!H1677:H1766)</f>
        <v>237.01999999999998</v>
      </c>
      <c r="C332" s="2877">
        <f>SUM('2018+'!H1401:H1766)</f>
        <v>1606.95</v>
      </c>
    </row>
    <row r="333" spans="1:3" x14ac:dyDescent="0.2">
      <c r="A333" s="2781">
        <v>44865</v>
      </c>
      <c r="B333" s="2877">
        <f>SUM('2018+'!H1678:H1767)</f>
        <v>227.02</v>
      </c>
      <c r="C333" s="2877">
        <f>SUM('2018+'!H1402:H1767)</f>
        <v>1606.95</v>
      </c>
    </row>
    <row r="334" spans="1:3" x14ac:dyDescent="0.2">
      <c r="A334" s="2781">
        <v>44866</v>
      </c>
      <c r="B334" s="2877">
        <f>SUM('2018+'!H1679:H1768)</f>
        <v>227.02</v>
      </c>
      <c r="C334" s="2877">
        <f>SUM('2018+'!H1403:H1768)</f>
        <v>1599.74</v>
      </c>
    </row>
    <row r="335" spans="1:3" x14ac:dyDescent="0.2">
      <c r="A335" s="2781">
        <v>44867</v>
      </c>
      <c r="B335" s="2877">
        <f>SUM('2018+'!H1680:H1769)</f>
        <v>217.27</v>
      </c>
      <c r="C335" s="2877">
        <f>SUM('2018+'!H1404:H1769)</f>
        <v>1599.74</v>
      </c>
    </row>
    <row r="336" spans="1:3" x14ac:dyDescent="0.2">
      <c r="A336" s="2781">
        <v>44868</v>
      </c>
      <c r="B336" s="2877">
        <f>SUM('2018+'!H1681:H1770)</f>
        <v>217.27</v>
      </c>
      <c r="C336" s="2877">
        <f>SUM('2018+'!H1405:H1770)</f>
        <v>1599.74</v>
      </c>
    </row>
    <row r="337" spans="1:3" x14ac:dyDescent="0.2">
      <c r="A337" s="2781">
        <v>44869</v>
      </c>
      <c r="B337" s="2877">
        <f>SUM('2018+'!H1682:H1771)</f>
        <v>204.07</v>
      </c>
      <c r="C337" s="2877">
        <f>SUM('2018+'!H1406:H1771)</f>
        <v>1593.4599999999998</v>
      </c>
    </row>
    <row r="338" spans="1:3" x14ac:dyDescent="0.2">
      <c r="A338" s="2781">
        <v>44870</v>
      </c>
      <c r="B338" s="2877">
        <f>SUM('2018+'!H1683:H1772)</f>
        <v>204.07</v>
      </c>
      <c r="C338" s="2877">
        <f>SUM('2018+'!H1407:H1772)</f>
        <v>1593.4599999999998</v>
      </c>
    </row>
    <row r="339" spans="1:3" x14ac:dyDescent="0.2">
      <c r="A339" s="2781">
        <v>44871</v>
      </c>
      <c r="B339" s="2877">
        <f>SUM('2018+'!H1684:H1773)</f>
        <v>195.06</v>
      </c>
      <c r="C339" s="2877">
        <f>SUM('2018+'!H1408:H1773)</f>
        <v>1593.4599999999998</v>
      </c>
    </row>
    <row r="340" spans="1:3" x14ac:dyDescent="0.2">
      <c r="A340" s="2781">
        <v>44872</v>
      </c>
      <c r="B340" s="2877">
        <f>SUM('2018+'!H1685:H1774)</f>
        <v>195.06</v>
      </c>
      <c r="C340" s="2877">
        <f>SUM('2018+'!H1409:H1774)</f>
        <v>1581.8599999999997</v>
      </c>
    </row>
    <row r="341" spans="1:3" x14ac:dyDescent="0.2">
      <c r="A341" s="2781">
        <v>44873</v>
      </c>
      <c r="B341" s="2877">
        <f>SUM('2018+'!H1686:H1775)</f>
        <v>194.27000000000004</v>
      </c>
      <c r="C341" s="2877">
        <f>SUM('2018+'!H1410:H1775)</f>
        <v>1587.2299999999996</v>
      </c>
    </row>
    <row r="342" spans="1:3" x14ac:dyDescent="0.2">
      <c r="A342" s="2781">
        <v>44874</v>
      </c>
      <c r="B342" s="2877">
        <f>SUM('2018+'!H1687:H1776)</f>
        <v>194.27000000000004</v>
      </c>
      <c r="C342" s="2877">
        <f>SUM('2018+'!H1411:H1776)</f>
        <v>1581.0999999999997</v>
      </c>
    </row>
    <row r="343" spans="1:3" x14ac:dyDescent="0.2">
      <c r="A343" s="2781">
        <v>44875</v>
      </c>
      <c r="B343" s="2877">
        <f>SUM('2018+'!H1688:H1777)</f>
        <v>200.25000000000003</v>
      </c>
      <c r="C343" s="2877">
        <f>SUM('2018+'!H1412:H1777)</f>
        <v>1587.0799999999997</v>
      </c>
    </row>
    <row r="344" spans="1:3" x14ac:dyDescent="0.2">
      <c r="A344" s="2781">
        <v>44876</v>
      </c>
      <c r="B344" s="2877">
        <f>SUM('2018+'!H1689:H1778)</f>
        <v>200.25000000000003</v>
      </c>
      <c r="C344" s="2877">
        <f>SUM('2018+'!H1413:H1778)</f>
        <v>1579.2099999999996</v>
      </c>
    </row>
    <row r="345" spans="1:3" x14ac:dyDescent="0.2">
      <c r="A345" s="2781">
        <v>44877</v>
      </c>
      <c r="B345" s="2877">
        <f>SUM('2018+'!H1690:H1779)</f>
        <v>200.25000000000003</v>
      </c>
      <c r="C345" s="2877">
        <f>SUM('2018+'!H1414:H1779)</f>
        <v>1579.2099999999996</v>
      </c>
    </row>
    <row r="346" spans="1:3" x14ac:dyDescent="0.2">
      <c r="A346" s="2781">
        <v>44878</v>
      </c>
      <c r="B346" s="2877">
        <f>SUM('2018+'!H1691:H1780)</f>
        <v>205.75000000000003</v>
      </c>
      <c r="C346" s="2877">
        <f>SUM('2018+'!H1415:H1780)</f>
        <v>1584.7099999999996</v>
      </c>
    </row>
    <row r="347" spans="1:3" x14ac:dyDescent="0.2">
      <c r="A347" s="2781">
        <v>44879</v>
      </c>
      <c r="B347" s="2877">
        <f>SUM('2018+'!H1692:H1781)</f>
        <v>194.54999999999998</v>
      </c>
      <c r="C347" s="2877">
        <f>SUM('2018+'!H1416:H1781)</f>
        <v>1584.7099999999996</v>
      </c>
    </row>
    <row r="348" spans="1:3" x14ac:dyDescent="0.2">
      <c r="A348" s="2781">
        <v>44880</v>
      </c>
      <c r="B348" s="2877">
        <f>SUM('2018+'!H1693:H1782)</f>
        <v>194.54999999999998</v>
      </c>
      <c r="C348" s="2877">
        <f>SUM('2018+'!H1417:H1782)</f>
        <v>1574.9799999999996</v>
      </c>
    </row>
    <row r="349" spans="1:3" x14ac:dyDescent="0.2">
      <c r="A349" s="2781">
        <v>44881</v>
      </c>
      <c r="B349" s="2877">
        <f>SUM('2018+'!H1694:H1783)</f>
        <v>190.28</v>
      </c>
      <c r="C349" s="2877">
        <f>SUM('2018+'!H1418:H1783)</f>
        <v>1581.2099999999996</v>
      </c>
    </row>
    <row r="350" spans="1:3" x14ac:dyDescent="0.2">
      <c r="A350" s="2781">
        <v>44882</v>
      </c>
      <c r="B350" s="2877">
        <f>SUM('2018+'!H1695:H1784)</f>
        <v>190.28</v>
      </c>
      <c r="C350" s="2877">
        <f>SUM('2018+'!H1419:H1784)</f>
        <v>1581.2099999999996</v>
      </c>
    </row>
    <row r="351" spans="1:3" x14ac:dyDescent="0.2">
      <c r="A351" s="2781">
        <v>44883</v>
      </c>
      <c r="B351" s="2877">
        <f>SUM('2018+'!H1696:H1785)</f>
        <v>186.45</v>
      </c>
      <c r="C351" s="2877">
        <f>SUM('2018+'!H1420:H1785)</f>
        <v>1587.8799999999997</v>
      </c>
    </row>
    <row r="352" spans="1:3" x14ac:dyDescent="0.2">
      <c r="A352" s="2781">
        <v>44884</v>
      </c>
      <c r="B352" s="2877">
        <f>SUM('2018+'!H1697:H1786)</f>
        <v>186.45</v>
      </c>
      <c r="C352" s="2877">
        <f>SUM('2018+'!H1421:H1786)</f>
        <v>1587.8799999999997</v>
      </c>
    </row>
    <row r="353" spans="1:3" x14ac:dyDescent="0.2">
      <c r="A353" s="2781">
        <v>44885</v>
      </c>
      <c r="B353" s="2877">
        <f>SUM('2018+'!H1698:H1787)</f>
        <v>185.68999999999997</v>
      </c>
      <c r="C353" s="2877">
        <f>SUM('2018+'!H1422:H1787)</f>
        <v>1588.6399999999999</v>
      </c>
    </row>
    <row r="354" spans="1:3" x14ac:dyDescent="0.2">
      <c r="A354" s="2781">
        <v>44886</v>
      </c>
      <c r="B354" s="2877">
        <f>SUM('2018+'!H1699:H1788)</f>
        <v>185.68999999999997</v>
      </c>
      <c r="C354" s="2877">
        <f>SUM('2018+'!H1423:H1788)</f>
        <v>1588.6399999999999</v>
      </c>
    </row>
    <row r="355" spans="1:3" x14ac:dyDescent="0.2">
      <c r="A355" s="2781">
        <v>44887</v>
      </c>
      <c r="B355" s="2877">
        <f>SUM('2018+'!H1700:H1789)</f>
        <v>183.89999999999998</v>
      </c>
      <c r="C355" s="2877">
        <f>SUM('2018+'!H1424:H1789)</f>
        <v>1585.5099999999998</v>
      </c>
    </row>
    <row r="356" spans="1:3" x14ac:dyDescent="0.2">
      <c r="A356" s="2781">
        <v>44888</v>
      </c>
      <c r="B356" s="2877">
        <f>SUM('2018+'!H1701:H1790)</f>
        <v>176.61999999999998</v>
      </c>
      <c r="C356" s="2877">
        <f>SUM('2018+'!H1425:H1790)</f>
        <v>1585.5099999999998</v>
      </c>
    </row>
    <row r="357" spans="1:3" x14ac:dyDescent="0.2">
      <c r="A357" s="2781">
        <v>44889</v>
      </c>
      <c r="B357" s="2877">
        <f>SUM('2018+'!H1702:H1791)</f>
        <v>183.78999999999996</v>
      </c>
      <c r="C357" s="2877">
        <f>SUM('2018+'!H1426:H1791)</f>
        <v>1582.08</v>
      </c>
    </row>
    <row r="358" spans="1:3" x14ac:dyDescent="0.2">
      <c r="A358" s="2781">
        <v>44890</v>
      </c>
      <c r="B358" s="2877">
        <f>SUM('2018+'!H1703:H1792)</f>
        <v>174.01999999999995</v>
      </c>
      <c r="C358" s="2877">
        <f>SUM('2018+'!H1427:H1792)</f>
        <v>1582.08</v>
      </c>
    </row>
    <row r="359" spans="1:3" x14ac:dyDescent="0.2">
      <c r="A359" s="2781">
        <v>44891</v>
      </c>
      <c r="B359" s="2877">
        <f>SUM('2018+'!H1704:H1793)</f>
        <v>182.44999999999996</v>
      </c>
      <c r="C359" s="2877">
        <f>SUM('2018+'!H1428:H1793)</f>
        <v>1590.51</v>
      </c>
    </row>
    <row r="360" spans="1:3" x14ac:dyDescent="0.2">
      <c r="A360" s="2781">
        <v>44892</v>
      </c>
      <c r="B360" s="2877">
        <f>SUM('2018+'!H1705:H1794)</f>
        <v>182.44999999999996</v>
      </c>
      <c r="C360" s="2877">
        <f>SUM('2018+'!H1429:H1794)</f>
        <v>1578.71</v>
      </c>
    </row>
    <row r="361" spans="1:3" x14ac:dyDescent="0.2">
      <c r="A361" s="2781">
        <v>44893</v>
      </c>
      <c r="B361" s="2877">
        <f>SUM('2018+'!H1706:H1795)</f>
        <v>182.44999999999996</v>
      </c>
      <c r="C361" s="2877">
        <f>SUM('2018+'!H1430:H1795)</f>
        <v>1578.71</v>
      </c>
    </row>
    <row r="362" spans="1:3" x14ac:dyDescent="0.2">
      <c r="A362" s="2781">
        <v>44894</v>
      </c>
      <c r="B362" s="2877">
        <f>SUM('2018+'!H1707:H1796)</f>
        <v>182.08999999999997</v>
      </c>
      <c r="C362" s="2877">
        <f>SUM('2018+'!H1431:H1796)</f>
        <v>1572.55</v>
      </c>
    </row>
    <row r="363" spans="1:3" x14ac:dyDescent="0.2">
      <c r="A363" s="2781">
        <v>44895</v>
      </c>
      <c r="B363" s="2877">
        <f>SUM('2018+'!H1708:H1797)</f>
        <v>182.08999999999997</v>
      </c>
      <c r="C363" s="2877">
        <f>SUM('2018+'!H1432:H1797)</f>
        <v>1572.55</v>
      </c>
    </row>
    <row r="364" spans="1:3" x14ac:dyDescent="0.2">
      <c r="A364" s="2781">
        <v>44896</v>
      </c>
      <c r="B364" s="2877">
        <f>SUM('2018+'!H1709:H1798)</f>
        <v>188.32999999999998</v>
      </c>
      <c r="C364" s="2877">
        <f>SUM('2018+'!H1433:H1798)</f>
        <v>1578.79</v>
      </c>
    </row>
    <row r="365" spans="1:3" x14ac:dyDescent="0.2">
      <c r="A365" s="2781">
        <v>44897</v>
      </c>
      <c r="B365" s="2877">
        <f>SUM('2018+'!H1710:H1799)</f>
        <v>180.17999999999998</v>
      </c>
      <c r="C365" s="2877">
        <f>SUM('2018+'!H1434:H1799)</f>
        <v>1570.8300000000002</v>
      </c>
    </row>
    <row r="366" spans="1:3" x14ac:dyDescent="0.2">
      <c r="A366" s="2781">
        <v>44898</v>
      </c>
      <c r="B366" s="2877">
        <f>SUM('2018+'!H1711:H1800)</f>
        <v>180.17999999999998</v>
      </c>
      <c r="C366" s="2877">
        <f>SUM('2018+'!H1435:H1800)</f>
        <v>1570.8300000000002</v>
      </c>
    </row>
    <row r="367" spans="1:3" x14ac:dyDescent="0.2">
      <c r="A367" s="2781">
        <v>44899</v>
      </c>
      <c r="B367" s="2877">
        <f>SUM('2018+'!H1712:H1801)</f>
        <v>169.98000000000002</v>
      </c>
      <c r="C367" s="2877">
        <f>SUM('2018+'!H1436:H1801)</f>
        <v>1560.4299999999998</v>
      </c>
    </row>
    <row r="368" spans="1:3" x14ac:dyDescent="0.2">
      <c r="A368" s="2781">
        <v>44900</v>
      </c>
      <c r="B368" s="2877">
        <f>SUM('2018+'!H1713:H1802)</f>
        <v>169.98000000000002</v>
      </c>
      <c r="C368" s="2877">
        <f>SUM('2018+'!H1437:H1802)</f>
        <v>1560.4299999999998</v>
      </c>
    </row>
    <row r="369" spans="1:3" x14ac:dyDescent="0.2">
      <c r="A369" s="2781">
        <v>44901</v>
      </c>
      <c r="B369" s="2877">
        <f>SUM('2018+'!H1714:H1803)</f>
        <v>159.88</v>
      </c>
      <c r="C369" s="2877">
        <f>SUM('2018+'!H1438:H1803)</f>
        <v>1545.53</v>
      </c>
    </row>
    <row r="370" spans="1:3" x14ac:dyDescent="0.2">
      <c r="A370" s="2781">
        <v>44902</v>
      </c>
      <c r="B370" s="2877">
        <f>SUM('2018+'!H1715:H1804)</f>
        <v>168.62</v>
      </c>
      <c r="C370" s="2877">
        <f>SUM('2018+'!H1439:H1804)</f>
        <v>1554.27</v>
      </c>
    </row>
    <row r="371" spans="1:3" x14ac:dyDescent="0.2">
      <c r="A371" s="2781">
        <v>44903</v>
      </c>
      <c r="B371" s="2877">
        <f>SUM('2018+'!H1716:H1805)</f>
        <v>159.02000000000001</v>
      </c>
      <c r="C371" s="2877">
        <f>SUM('2018+'!H1440:H1805)</f>
        <v>1544.6000000000001</v>
      </c>
    </row>
    <row r="372" spans="1:3" x14ac:dyDescent="0.2">
      <c r="A372" s="2781">
        <v>44904</v>
      </c>
      <c r="B372" s="2877">
        <f>SUM('2018+'!H1717:H1806)</f>
        <v>159.02000000000001</v>
      </c>
      <c r="C372" s="2877">
        <f>SUM('2018+'!H1441:H1806)</f>
        <v>1537.7700000000002</v>
      </c>
    </row>
    <row r="373" spans="1:3" x14ac:dyDescent="0.2">
      <c r="A373" s="2781">
        <v>44905</v>
      </c>
      <c r="B373" s="2877">
        <f>SUM('2018+'!H1718:H1807)</f>
        <v>159.02000000000001</v>
      </c>
      <c r="C373" s="2877">
        <f>SUM('2018+'!H1442:H1807)</f>
        <v>1537.7700000000002</v>
      </c>
    </row>
    <row r="374" spans="1:3" x14ac:dyDescent="0.2">
      <c r="A374" s="2781">
        <v>44906</v>
      </c>
      <c r="B374" s="2877">
        <f>SUM('2018+'!H1719:H1808)</f>
        <v>152.21</v>
      </c>
      <c r="C374" s="2877">
        <f>SUM('2018+'!H1443:H1808)</f>
        <v>1532.76</v>
      </c>
    </row>
    <row r="375" spans="1:3" x14ac:dyDescent="0.2">
      <c r="A375" s="2781">
        <v>44907</v>
      </c>
      <c r="B375" s="2877">
        <f>SUM('2018+'!H1720:H1809)</f>
        <v>152.21</v>
      </c>
      <c r="C375" s="2877">
        <f>SUM('2018+'!H1444:H1809)</f>
        <v>1522.16</v>
      </c>
    </row>
    <row r="376" spans="1:3" x14ac:dyDescent="0.2">
      <c r="A376" s="2781">
        <v>44908</v>
      </c>
      <c r="B376" s="2877">
        <f>SUM('2018+'!H1721:H1810)</f>
        <v>144.77000000000001</v>
      </c>
      <c r="C376" s="2877">
        <f>SUM('2018+'!H1445:H1810)</f>
        <v>1522.16</v>
      </c>
    </row>
    <row r="377" spans="1:3" x14ac:dyDescent="0.2">
      <c r="A377" s="2781">
        <v>44909</v>
      </c>
      <c r="B377" s="2877">
        <f>SUM('2018+'!H1722:H1811)</f>
        <v>144.77000000000001</v>
      </c>
      <c r="C377" s="2877">
        <f>SUM('2018+'!H1446:H1811)</f>
        <v>1515.1399999999999</v>
      </c>
    </row>
    <row r="378" spans="1:3" x14ac:dyDescent="0.2">
      <c r="A378" s="2781">
        <v>44910</v>
      </c>
      <c r="B378" s="2877">
        <f>SUM('2018+'!H1723:H1812)</f>
        <v>144.77000000000001</v>
      </c>
      <c r="C378" s="2877">
        <f>SUM('2018+'!H1447:H1812)</f>
        <v>1515.1399999999999</v>
      </c>
    </row>
    <row r="379" spans="1:3" x14ac:dyDescent="0.2">
      <c r="A379" s="2781">
        <v>44911</v>
      </c>
      <c r="B379" s="2877">
        <f>SUM('2018+'!H1724:H1813)</f>
        <v>135.46</v>
      </c>
      <c r="C379" s="2877">
        <f>SUM('2018+'!H1448:H1813)</f>
        <v>1505.04</v>
      </c>
    </row>
    <row r="380" spans="1:3" x14ac:dyDescent="0.2">
      <c r="A380" s="2781">
        <v>44912</v>
      </c>
      <c r="B380" s="2877">
        <f>SUM('2018+'!H1725:H1814)</f>
        <v>135.46</v>
      </c>
      <c r="C380" s="2877">
        <f>SUM('2018+'!H1449:H1814)</f>
        <v>1505.04</v>
      </c>
    </row>
    <row r="381" spans="1:3" x14ac:dyDescent="0.2">
      <c r="A381" s="2781">
        <v>44913</v>
      </c>
      <c r="B381" s="2877">
        <f>SUM('2018+'!H1726:H1815)</f>
        <v>135.46</v>
      </c>
      <c r="C381" s="2877">
        <f>SUM('2018+'!H1450:H1815)</f>
        <v>1505.04</v>
      </c>
    </row>
    <row r="382" spans="1:3" x14ac:dyDescent="0.2">
      <c r="A382" s="2781">
        <v>44914</v>
      </c>
      <c r="B382" s="2877">
        <f>SUM('2018+'!H1727:H1816)</f>
        <v>142.17000000000002</v>
      </c>
      <c r="C382" s="2877">
        <f>SUM('2018+'!H1451:H1816)</f>
        <v>1511.75</v>
      </c>
    </row>
    <row r="383" spans="1:3" x14ac:dyDescent="0.2">
      <c r="A383" s="2781">
        <v>44915</v>
      </c>
      <c r="B383" s="2877">
        <f>SUM('2018+'!H1728:H1817)</f>
        <v>142.17000000000002</v>
      </c>
      <c r="C383" s="2877">
        <f>SUM('2018+'!H1452:H1817)</f>
        <v>1511.75</v>
      </c>
    </row>
    <row r="384" spans="1:3" x14ac:dyDescent="0.2">
      <c r="A384" s="2781">
        <v>44916</v>
      </c>
      <c r="B384" s="2877">
        <f>SUM('2018+'!H1729:H1818)</f>
        <v>151.02000000000001</v>
      </c>
      <c r="C384" s="2877">
        <f>SUM('2018+'!H1453:H1818)</f>
        <v>1520.6</v>
      </c>
    </row>
    <row r="385" spans="1:3" x14ac:dyDescent="0.2">
      <c r="A385" s="2781">
        <v>44917</v>
      </c>
      <c r="B385" s="2877">
        <f>SUM('2018+'!H1730:H1819)</f>
        <v>151.02000000000001</v>
      </c>
      <c r="C385" s="2877">
        <f>SUM('2018+'!H1454:H1819)</f>
        <v>1520.6</v>
      </c>
    </row>
    <row r="386" spans="1:3" x14ac:dyDescent="0.2">
      <c r="A386" s="2781">
        <v>44918</v>
      </c>
      <c r="B386" s="2877">
        <f>SUM('2018+'!H1731:H1820)</f>
        <v>151.02000000000001</v>
      </c>
      <c r="C386" s="2877">
        <f>SUM('2018+'!H1455:H1820)</f>
        <v>1520.6</v>
      </c>
    </row>
    <row r="387" spans="1:3" x14ac:dyDescent="0.2">
      <c r="A387" s="2781">
        <v>44919</v>
      </c>
      <c r="B387" s="2877">
        <f>SUM('2018+'!H1732:H1821)</f>
        <v>150.72</v>
      </c>
      <c r="C387" s="2877">
        <f>SUM('2018+'!H1456:H1821)</f>
        <v>1530.8999999999999</v>
      </c>
    </row>
    <row r="388" spans="1:3" x14ac:dyDescent="0.2">
      <c r="A388" s="2781">
        <v>44920</v>
      </c>
      <c r="B388" s="2877">
        <f>SUM('2018+'!H1733:H1822)</f>
        <v>150.72</v>
      </c>
      <c r="C388" s="2877">
        <f>SUM('2018+'!H1457:H1822)</f>
        <v>1530.8999999999999</v>
      </c>
    </row>
    <row r="389" spans="1:3" x14ac:dyDescent="0.2">
      <c r="A389" s="2781">
        <v>44921</v>
      </c>
      <c r="B389" s="2877">
        <f>SUM('2018+'!H1734:H1823)</f>
        <v>144.46</v>
      </c>
      <c r="C389" s="2877">
        <f>SUM('2018+'!H1458:H1823)</f>
        <v>1530.8999999999999</v>
      </c>
    </row>
    <row r="390" spans="1:3" x14ac:dyDescent="0.2">
      <c r="A390" s="2781">
        <v>44922</v>
      </c>
      <c r="B390" s="2877">
        <f>SUM('2018+'!H1735:H1824)</f>
        <v>156.56</v>
      </c>
      <c r="C390" s="2877">
        <f>SUM('2018+'!H1459:H1824)</f>
        <v>1542.9999999999998</v>
      </c>
    </row>
    <row r="391" spans="1:3" x14ac:dyDescent="0.2">
      <c r="A391" s="2781">
        <v>44923</v>
      </c>
      <c r="B391" s="2877">
        <f>SUM('2018+'!H1736:H1825)</f>
        <v>156.56</v>
      </c>
      <c r="C391" s="2877">
        <f>SUM('2018+'!H1460:H1825)</f>
        <v>1542.9999999999998</v>
      </c>
    </row>
    <row r="392" spans="1:3" x14ac:dyDescent="0.2">
      <c r="A392" s="2781">
        <v>44924</v>
      </c>
      <c r="B392" s="2877">
        <f>SUM('2018+'!H1737:H1826)</f>
        <v>165.92000000000002</v>
      </c>
      <c r="C392" s="2877">
        <f>SUM('2018+'!H1461:H1826)</f>
        <v>1552.3599999999997</v>
      </c>
    </row>
    <row r="393" spans="1:3" x14ac:dyDescent="0.2">
      <c r="A393" s="2781">
        <v>44925</v>
      </c>
      <c r="B393" s="2877">
        <f>SUM('2018+'!H1738:H1827)</f>
        <v>151.62</v>
      </c>
      <c r="C393" s="2877">
        <f>SUM('2018+'!H1462:H1827)</f>
        <v>1545.2599999999995</v>
      </c>
    </row>
    <row r="394" spans="1:3" x14ac:dyDescent="0.2">
      <c r="A394" s="2781">
        <v>44926</v>
      </c>
      <c r="B394" s="2877">
        <f>SUM('2018+'!H1739:H1828)</f>
        <v>164.82</v>
      </c>
      <c r="C394" s="2877">
        <f>SUM('2018+'!H1463:H1828)</f>
        <v>1558.4599999999996</v>
      </c>
    </row>
    <row r="395" spans="1:3" x14ac:dyDescent="0.2">
      <c r="A395" s="2781">
        <v>44927</v>
      </c>
      <c r="B395" s="2877">
        <f>SUM('2018+'!H1740:H1829)</f>
        <v>164.82</v>
      </c>
      <c r="C395" s="2877">
        <f>SUM('2018+'!H1464:H1829)</f>
        <v>1548.2599999999998</v>
      </c>
    </row>
    <row r="396" spans="1:3" x14ac:dyDescent="0.2">
      <c r="A396" s="2781">
        <v>44928</v>
      </c>
      <c r="B396" s="2877">
        <f>SUM('2018+'!H1741:H1830)</f>
        <v>164.82</v>
      </c>
      <c r="C396" s="2877">
        <f>SUM('2018+'!H1465:H1830)</f>
        <v>1548.2599999999998</v>
      </c>
    </row>
    <row r="397" spans="1:3" x14ac:dyDescent="0.2">
      <c r="A397" s="2781">
        <v>44929</v>
      </c>
      <c r="B397" s="2877">
        <f>SUM('2018+'!H1742:H1831)</f>
        <v>165.27999999999997</v>
      </c>
      <c r="C397" s="2877">
        <f>SUM('2018+'!H1466:H1831)</f>
        <v>1545.5699999999995</v>
      </c>
    </row>
    <row r="398" spans="1:3" x14ac:dyDescent="0.2">
      <c r="A398" s="2781">
        <v>44930</v>
      </c>
      <c r="B398" s="2877">
        <f>SUM('2018+'!H1743:H1832)</f>
        <v>165.27999999999997</v>
      </c>
      <c r="C398" s="2877">
        <f>SUM('2018+'!H1467:H1832)</f>
        <v>1545.5699999999995</v>
      </c>
    </row>
    <row r="399" spans="1:3" x14ac:dyDescent="0.2">
      <c r="A399" s="2781">
        <v>44931</v>
      </c>
      <c r="B399" s="2877">
        <f>SUM('2018+'!H1744:H1833)</f>
        <v>174.58999999999997</v>
      </c>
      <c r="C399" s="2877">
        <f>SUM('2018+'!H1468:H1833)</f>
        <v>1544.0499999999995</v>
      </c>
    </row>
    <row r="400" spans="1:3" x14ac:dyDescent="0.2">
      <c r="A400" s="2781">
        <v>44932</v>
      </c>
      <c r="B400" s="2877">
        <f>SUM('2018+'!H1745:H1834)</f>
        <v>174.58999999999997</v>
      </c>
      <c r="C400" s="2877">
        <f>SUM('2018+'!H1469:H1834)</f>
        <v>1544.0499999999995</v>
      </c>
    </row>
    <row r="401" spans="1:3" x14ac:dyDescent="0.2">
      <c r="A401" s="2781">
        <v>44933</v>
      </c>
      <c r="B401" s="2877">
        <f>SUM('2018+'!H1746:H1835)</f>
        <v>177.08999999999995</v>
      </c>
      <c r="C401" s="2877">
        <f>SUM('2018+'!H1470:H1835)</f>
        <v>1546.0099999999993</v>
      </c>
    </row>
    <row r="402" spans="1:3" x14ac:dyDescent="0.2">
      <c r="A402" s="2781">
        <v>44934</v>
      </c>
      <c r="B402" s="2877">
        <f>SUM('2018+'!H1747:H1836)</f>
        <v>177.08999999999995</v>
      </c>
      <c r="C402" s="2877">
        <f>SUM('2018+'!H1471:H1836)</f>
        <v>1546.0099999999993</v>
      </c>
    </row>
    <row r="403" spans="1:3" x14ac:dyDescent="0.2">
      <c r="A403" s="2781">
        <v>44935</v>
      </c>
      <c r="B403" s="2877">
        <f>SUM('2018+'!H1748:H1837)</f>
        <v>177.08999999999995</v>
      </c>
      <c r="C403" s="2877">
        <f>SUM('2018+'!H1472:H1837)</f>
        <v>1537.0699999999995</v>
      </c>
    </row>
    <row r="404" spans="1:3" x14ac:dyDescent="0.2">
      <c r="A404" s="2781">
        <v>44936</v>
      </c>
      <c r="B404" s="2877">
        <f>SUM('2018+'!H1749:H1838)</f>
        <v>177.08999999999995</v>
      </c>
      <c r="C404" s="2877">
        <f>SUM('2018+'!H1473:H1838)</f>
        <v>1537.0699999999995</v>
      </c>
    </row>
    <row r="405" spans="1:3" x14ac:dyDescent="0.2">
      <c r="A405" s="2781">
        <v>44937</v>
      </c>
      <c r="B405" s="2877">
        <f>SUM('2018+'!H1750:H1839)</f>
        <v>187.38999999999996</v>
      </c>
      <c r="C405" s="2877">
        <f>SUM('2018+'!H1474:H1839)</f>
        <v>1539.0599999999993</v>
      </c>
    </row>
    <row r="406" spans="1:3" x14ac:dyDescent="0.2">
      <c r="A406" s="2781">
        <v>44938</v>
      </c>
      <c r="B406" s="2877">
        <f>SUM('2018+'!H1751:H1840)</f>
        <v>187.38999999999996</v>
      </c>
      <c r="C406" s="2877">
        <f>SUM('2018+'!H1475:H1840)</f>
        <v>1528.9199999999996</v>
      </c>
    </row>
    <row r="407" spans="1:3" x14ac:dyDescent="0.2">
      <c r="A407" s="2781">
        <v>44939</v>
      </c>
      <c r="B407" s="2877">
        <f>SUM('2018+'!H1752:H1841)</f>
        <v>187.38999999999996</v>
      </c>
      <c r="C407" s="2877">
        <f>SUM('2018+'!H1476:H1841)</f>
        <v>1528.9199999999996</v>
      </c>
    </row>
    <row r="408" spans="1:3" x14ac:dyDescent="0.2">
      <c r="A408" s="2781">
        <v>44940</v>
      </c>
      <c r="B408" s="2877">
        <f>SUM('2018+'!H1753:H1842)</f>
        <v>187.38999999999996</v>
      </c>
      <c r="C408" s="2877">
        <f>SUM('2018+'!H1477:H1842)</f>
        <v>1518.7899999999995</v>
      </c>
    </row>
    <row r="409" spans="1:3" x14ac:dyDescent="0.2">
      <c r="A409" s="2781">
        <v>44941</v>
      </c>
      <c r="B409" s="2877">
        <f>SUM('2018+'!H1754:H1843)</f>
        <v>187.38999999999996</v>
      </c>
      <c r="C409" s="2877">
        <f>SUM('2018+'!H1478:H1843)</f>
        <v>1518.7899999999995</v>
      </c>
    </row>
    <row r="410" spans="1:3" x14ac:dyDescent="0.2">
      <c r="A410" s="2781">
        <v>44942</v>
      </c>
      <c r="B410" s="2877">
        <f>SUM('2018+'!H1755:H1844)</f>
        <v>187.38999999999996</v>
      </c>
      <c r="C410" s="2877">
        <f>SUM('2018+'!H1479:H1844)</f>
        <v>1507.3499999999995</v>
      </c>
    </row>
    <row r="411" spans="1:3" x14ac:dyDescent="0.2">
      <c r="A411" s="2781">
        <v>44943</v>
      </c>
      <c r="B411" s="2877">
        <f>SUM('2018+'!H1756:H1845)</f>
        <v>187.38999999999996</v>
      </c>
      <c r="C411" s="2877">
        <f>SUM('2018+'!H1480:H1845)</f>
        <v>1507.3499999999995</v>
      </c>
    </row>
    <row r="412" spans="1:3" x14ac:dyDescent="0.2">
      <c r="A412" s="2781">
        <v>44944</v>
      </c>
      <c r="B412" s="2877">
        <f>SUM('2018+'!H1757:H1846)</f>
        <v>187.38999999999996</v>
      </c>
      <c r="C412" s="2877">
        <f>SUM('2018+'!H1481:H1846)</f>
        <v>1497.2099999999996</v>
      </c>
    </row>
    <row r="413" spans="1:3" x14ac:dyDescent="0.2">
      <c r="A413" s="2781">
        <v>44945</v>
      </c>
      <c r="B413" s="2877">
        <f>SUM('2018+'!H1758:H1847)</f>
        <v>187.38999999999996</v>
      </c>
      <c r="C413" s="2877">
        <f>SUM('2018+'!H1482:H1847)</f>
        <v>1486.7699999999995</v>
      </c>
    </row>
    <row r="414" spans="1:3" x14ac:dyDescent="0.2">
      <c r="A414" s="2781">
        <v>44946</v>
      </c>
      <c r="B414" s="2877">
        <f>SUM('2018+'!H1759:H1848)</f>
        <v>187.38999999999996</v>
      </c>
      <c r="C414" s="2877">
        <f>SUM('2018+'!H1483:H1848)</f>
        <v>1486.7699999999995</v>
      </c>
    </row>
    <row r="415" spans="1:3" x14ac:dyDescent="0.2">
      <c r="A415" s="2781">
        <v>44947</v>
      </c>
      <c r="B415" s="2877">
        <f>SUM('2018+'!H1760:H1849)</f>
        <v>194.92999999999995</v>
      </c>
      <c r="C415" s="2877">
        <f>SUM('2018+'!H1484:H1849)</f>
        <v>1483.6599999999994</v>
      </c>
    </row>
    <row r="416" spans="1:3" x14ac:dyDescent="0.2">
      <c r="A416" s="2781">
        <v>44948</v>
      </c>
      <c r="B416" s="2877">
        <f>SUM('2018+'!H1761:H1850)</f>
        <v>194.92999999999995</v>
      </c>
      <c r="C416" s="2877">
        <f>SUM('2018+'!H1485:H1850)</f>
        <v>1483.6599999999994</v>
      </c>
    </row>
    <row r="417" spans="1:3" x14ac:dyDescent="0.2">
      <c r="A417" s="2781">
        <v>44949</v>
      </c>
      <c r="B417" s="2877">
        <f>SUM('2018+'!H1762:H1851)</f>
        <v>201.84999999999994</v>
      </c>
      <c r="C417" s="2877">
        <f>SUM('2018+'!H1486:H1851)</f>
        <v>1478.1599999999996</v>
      </c>
    </row>
    <row r="418" spans="1:3" x14ac:dyDescent="0.2">
      <c r="A418" s="2781">
        <v>44950</v>
      </c>
      <c r="B418" s="2877">
        <f>SUM('2018+'!H1763:H1852)</f>
        <v>201.84999999999994</v>
      </c>
      <c r="C418" s="2877">
        <f>SUM('2018+'!H1487:H1852)</f>
        <v>1478.1599999999996</v>
      </c>
    </row>
    <row r="419" spans="1:3" x14ac:dyDescent="0.2">
      <c r="A419" s="2781">
        <v>44951</v>
      </c>
      <c r="B419" s="2877">
        <f>SUM('2018+'!H1764:H1853)</f>
        <v>210.52999999999994</v>
      </c>
      <c r="C419" s="2877">
        <f>SUM('2018+'!H1488:H1853)</f>
        <v>1476.2099999999996</v>
      </c>
    </row>
    <row r="420" spans="1:3" x14ac:dyDescent="0.2">
      <c r="A420" s="2781">
        <v>44952</v>
      </c>
      <c r="B420" s="2877">
        <f>SUM('2018+'!H1765:H1854)</f>
        <v>216.10999999999996</v>
      </c>
      <c r="C420" s="2877">
        <f>SUM('2018+'!H1489:H1854)</f>
        <v>1473.2799999999993</v>
      </c>
    </row>
    <row r="421" spans="1:3" x14ac:dyDescent="0.2">
      <c r="A421" s="2781">
        <v>44953</v>
      </c>
      <c r="B421" s="2877">
        <f>SUM('2018+'!H1766:H1855)</f>
        <v>216.10999999999996</v>
      </c>
      <c r="C421" s="2877">
        <f>SUM('2018+'!H1490:H1855)</f>
        <v>1473.2799999999993</v>
      </c>
    </row>
    <row r="422" spans="1:3" x14ac:dyDescent="0.2">
      <c r="A422" s="2781">
        <v>44954</v>
      </c>
      <c r="B422" s="2877">
        <f>SUM('2018+'!H1767:H1856)</f>
        <v>223.18999999999997</v>
      </c>
      <c r="C422" s="2877">
        <f>SUM('2018+'!H1491:H1856)</f>
        <v>1467.6199999999994</v>
      </c>
    </row>
    <row r="423" spans="1:3" x14ac:dyDescent="0.2">
      <c r="A423" s="2781">
        <v>44955</v>
      </c>
      <c r="B423" s="2877">
        <f>SUM('2018+'!H1768:H1857)</f>
        <v>223.18999999999997</v>
      </c>
      <c r="C423" s="2877">
        <f>SUM('2018+'!H1492:H1857)</f>
        <v>1467.6199999999994</v>
      </c>
    </row>
    <row r="424" spans="1:3" x14ac:dyDescent="0.2">
      <c r="A424" s="2781">
        <v>44956</v>
      </c>
      <c r="B424" s="2877">
        <f>SUM('2018+'!H1769:H1858)</f>
        <v>223.18999999999997</v>
      </c>
      <c r="C424" s="2877">
        <f>SUM('2018+'!H1493:H1858)</f>
        <v>1451.4599999999991</v>
      </c>
    </row>
    <row r="425" spans="1:3" x14ac:dyDescent="0.2">
      <c r="A425" s="2781">
        <v>44957</v>
      </c>
      <c r="B425" s="2877">
        <f>SUM('2018+'!H1770:H1859)</f>
        <v>229.51999999999998</v>
      </c>
      <c r="C425" s="2877">
        <f>SUM('2018+'!H1494:H1859)</f>
        <v>1457.7899999999991</v>
      </c>
    </row>
    <row r="426" spans="1:3" x14ac:dyDescent="0.2">
      <c r="A426" s="2781">
        <v>44958</v>
      </c>
      <c r="B426" s="2877">
        <f>SUM('2018+'!H1771:H1860)</f>
        <v>229.51999999999998</v>
      </c>
      <c r="C426" s="2877">
        <f>SUM('2018+'!H1495:H1860)</f>
        <v>1449.9499999999991</v>
      </c>
    </row>
    <row r="427" spans="1:3" x14ac:dyDescent="0.2">
      <c r="A427" s="2781">
        <v>44959</v>
      </c>
      <c r="B427" s="2877">
        <f>SUM('2018+'!H1772:H1861)</f>
        <v>235.35999999999999</v>
      </c>
      <c r="C427" s="2877">
        <f>SUM('2018+'!H1496:H1861)</f>
        <v>1455.7899999999991</v>
      </c>
    </row>
    <row r="428" spans="1:3" x14ac:dyDescent="0.2">
      <c r="A428" s="2781">
        <v>44960</v>
      </c>
      <c r="B428" s="2877">
        <f>SUM('2018+'!H1773:H1862)</f>
        <v>240.89</v>
      </c>
      <c r="C428" s="2877">
        <f>SUM('2018+'!H1497:H1862)</f>
        <v>1452.0699999999988</v>
      </c>
    </row>
    <row r="429" spans="1:3" x14ac:dyDescent="0.2">
      <c r="A429" s="2781">
        <v>44961</v>
      </c>
      <c r="B429" s="2877">
        <f>SUM('2018+'!H1774:H1863)</f>
        <v>240.89</v>
      </c>
      <c r="C429" s="2877">
        <f>SUM('2018+'!H1498:H1863)</f>
        <v>1452.0699999999988</v>
      </c>
    </row>
    <row r="430" spans="1:3" x14ac:dyDescent="0.2">
      <c r="A430" s="2781">
        <v>44962</v>
      </c>
      <c r="B430" s="2877">
        <f>SUM('2018+'!H1775:H1864)</f>
        <v>250.67999999999998</v>
      </c>
      <c r="C430" s="2877">
        <f>SUM('2018+'!H1499:H1864)</f>
        <v>1452.7899999999988</v>
      </c>
    </row>
    <row r="431" spans="1:3" x14ac:dyDescent="0.2">
      <c r="A431" s="2781">
        <v>44963</v>
      </c>
      <c r="B431" s="2877">
        <f>SUM('2018+'!H1776:H1865)</f>
        <v>252.11999999999998</v>
      </c>
      <c r="C431" s="2877">
        <f>SUM('2018+'!H1500:H1865)</f>
        <v>1459.5999999999988</v>
      </c>
    </row>
    <row r="432" spans="1:3" x14ac:dyDescent="0.2">
      <c r="A432" s="2781">
        <v>44964</v>
      </c>
      <c r="B432" s="2877">
        <f>SUM('2018+'!H1777:H1866)</f>
        <v>259.39</v>
      </c>
      <c r="C432" s="2877">
        <f>SUM('2018+'!H1501:H1866)</f>
        <v>1466.8699999999988</v>
      </c>
    </row>
    <row r="433" spans="1:3" x14ac:dyDescent="0.2">
      <c r="A433" s="2781">
        <v>44965</v>
      </c>
      <c r="B433" s="2877">
        <f>SUM('2018+'!H1778:H1867)</f>
        <v>253.41000000000003</v>
      </c>
      <c r="C433" s="2877">
        <f>SUM('2018+'!H1502:H1867)</f>
        <v>1456.7399999999989</v>
      </c>
    </row>
    <row r="434" spans="1:3" x14ac:dyDescent="0.2">
      <c r="A434" s="2781">
        <v>44966</v>
      </c>
      <c r="B434" s="2877">
        <f>SUM('2018+'!H1779:H1868)</f>
        <v>259.40000000000003</v>
      </c>
      <c r="C434" s="2877">
        <f>SUM('2018+'!H1503:H1868)</f>
        <v>1454.7899999999988</v>
      </c>
    </row>
    <row r="435" spans="1:3" x14ac:dyDescent="0.2">
      <c r="A435" s="2781">
        <v>44967</v>
      </c>
      <c r="B435" s="2877">
        <f>SUM('2018+'!H1780:H1869)</f>
        <v>265.74</v>
      </c>
      <c r="C435" s="2877">
        <f>SUM('2018+'!H1504:H1869)</f>
        <v>1451.0599999999988</v>
      </c>
    </row>
    <row r="436" spans="1:3" x14ac:dyDescent="0.2">
      <c r="A436" s="2781">
        <v>44968</v>
      </c>
      <c r="B436" s="2877">
        <f>SUM('2018+'!H1781:H1870)</f>
        <v>260.24</v>
      </c>
      <c r="C436" s="2877">
        <f>SUM('2018+'!H1505:H1870)</f>
        <v>1438.3399999999988</v>
      </c>
    </row>
    <row r="437" spans="1:3" x14ac:dyDescent="0.2">
      <c r="A437" s="2781">
        <v>44969</v>
      </c>
      <c r="B437" s="2877">
        <f>SUM('2018+'!H1782:H1871)</f>
        <v>267.23</v>
      </c>
      <c r="C437" s="2877">
        <f>SUM('2018+'!H1506:H1871)</f>
        <v>1445.3299999999988</v>
      </c>
    </row>
    <row r="438" spans="1:3" x14ac:dyDescent="0.2">
      <c r="A438" s="2781">
        <v>44970</v>
      </c>
      <c r="B438" s="2877">
        <f>SUM('2018+'!H1783:H1872)</f>
        <v>273.79000000000002</v>
      </c>
      <c r="C438" s="2877">
        <f>SUM('2018+'!H1507:H1872)</f>
        <v>1433.7499999999986</v>
      </c>
    </row>
    <row r="439" spans="1:3" x14ac:dyDescent="0.2">
      <c r="A439" s="2781">
        <v>44971</v>
      </c>
      <c r="B439" s="2877">
        <f>SUM('2018+'!H1784:H1873)</f>
        <v>277.30000000000007</v>
      </c>
      <c r="C439" s="2877">
        <f>SUM('2018+'!H1508:H1873)</f>
        <v>1443.4899999999986</v>
      </c>
    </row>
    <row r="440" spans="1:3" x14ac:dyDescent="0.2">
      <c r="A440" s="2781">
        <v>44972</v>
      </c>
      <c r="B440" s="2877">
        <f>SUM('2018+'!H1785:H1874)</f>
        <v>277.30000000000007</v>
      </c>
      <c r="C440" s="2877">
        <f>SUM('2018+'!H1509:H1874)</f>
        <v>1433.3499999999985</v>
      </c>
    </row>
    <row r="441" spans="1:3" x14ac:dyDescent="0.2">
      <c r="A441" s="2781">
        <v>44973</v>
      </c>
      <c r="B441" s="2877">
        <f>SUM('2018+'!H1786:H1875)</f>
        <v>277.15000000000003</v>
      </c>
      <c r="C441" s="2877">
        <f>SUM('2018+'!H1510:H1875)</f>
        <v>1431.7099999999984</v>
      </c>
    </row>
    <row r="442" spans="1:3" x14ac:dyDescent="0.2">
      <c r="A442" s="2781">
        <v>44974</v>
      </c>
      <c r="B442" s="2877">
        <f>SUM('2018+'!H1787:H1876)</f>
        <v>277.15000000000003</v>
      </c>
      <c r="C442" s="2877">
        <f>SUM('2018+'!H1511:H1876)</f>
        <v>1423.8599999999985</v>
      </c>
    </row>
    <row r="443" spans="1:3" x14ac:dyDescent="0.2">
      <c r="A443" s="2781">
        <v>44975</v>
      </c>
      <c r="B443" s="2877">
        <f>SUM('2018+'!H1788:H1877)</f>
        <v>280.26000000000005</v>
      </c>
      <c r="C443" s="2877">
        <f>SUM('2018+'!H1512:H1877)</f>
        <v>1433.8899999999985</v>
      </c>
    </row>
    <row r="444" spans="1:3" x14ac:dyDescent="0.2">
      <c r="A444" s="2781">
        <v>44976</v>
      </c>
      <c r="B444" s="2877">
        <f>SUM('2018+'!H1789:H1878)</f>
        <v>280.26000000000005</v>
      </c>
      <c r="C444" s="2877">
        <f>SUM('2018+'!H1513:H1878)</f>
        <v>1420.6499999999985</v>
      </c>
    </row>
    <row r="445" spans="1:3" x14ac:dyDescent="0.2">
      <c r="A445" s="2781">
        <v>44977</v>
      </c>
      <c r="B445" s="2877">
        <f>SUM('2018+'!H1790:H1879)</f>
        <v>279.71000000000004</v>
      </c>
      <c r="C445" s="2877">
        <f>SUM('2018+'!H1514:H1879)</f>
        <v>1407.3699999999988</v>
      </c>
    </row>
    <row r="446" spans="1:3" x14ac:dyDescent="0.2">
      <c r="A446" s="2781">
        <v>44978</v>
      </c>
      <c r="B446" s="2877">
        <f>SUM('2018+'!H1791:H1880)</f>
        <v>288.93000000000006</v>
      </c>
      <c r="C446" s="2877">
        <f>SUM('2018+'!H1515:H1880)</f>
        <v>1416.5899999999988</v>
      </c>
    </row>
    <row r="447" spans="1:3" x14ac:dyDescent="0.2">
      <c r="A447" s="2781">
        <v>44979</v>
      </c>
      <c r="B447" s="2877">
        <f>SUM('2018+'!H1792:H1881)</f>
        <v>281.7600000000001</v>
      </c>
      <c r="C447" s="2877">
        <f>SUM('2018+'!H1516:H1881)</f>
        <v>1416.5899999999988</v>
      </c>
    </row>
    <row r="448" spans="1:3" x14ac:dyDescent="0.2">
      <c r="A448" s="2781">
        <v>44980</v>
      </c>
      <c r="B448" s="2877">
        <f>SUM('2018+'!H1793:H1882)</f>
        <v>287.96000000000009</v>
      </c>
      <c r="C448" s="2877">
        <f>SUM('2018+'!H1517:H1882)</f>
        <v>1410.2199999999989</v>
      </c>
    </row>
    <row r="449" spans="1:3" x14ac:dyDescent="0.2">
      <c r="A449" s="2781">
        <v>44981</v>
      </c>
      <c r="B449" s="2877">
        <f>SUM('2018+'!H1794:H1883)</f>
        <v>285.94000000000011</v>
      </c>
      <c r="C449" s="2877">
        <f>SUM('2018+'!H1518:H1883)</f>
        <v>1406.4299999999992</v>
      </c>
    </row>
    <row r="450" spans="1:3" x14ac:dyDescent="0.2">
      <c r="A450" s="2781">
        <v>44982</v>
      </c>
      <c r="B450" s="2877">
        <f>SUM('2018+'!H1795:H1884)</f>
        <v>297.6400000000001</v>
      </c>
      <c r="C450" s="2877">
        <f>SUM('2018+'!H1519:H1884)</f>
        <v>1405.8299999999992</v>
      </c>
    </row>
    <row r="451" spans="1:3" x14ac:dyDescent="0.2">
      <c r="A451" s="2781">
        <v>44983</v>
      </c>
      <c r="B451" s="2877">
        <f>SUM('2018+'!H1796:H1885)</f>
        <v>297.6400000000001</v>
      </c>
      <c r="C451" s="2877">
        <f>SUM('2018+'!H1520:H1885)</f>
        <v>1397.8999999999992</v>
      </c>
    </row>
    <row r="452" spans="1:3" x14ac:dyDescent="0.2">
      <c r="A452" s="2781">
        <v>44984</v>
      </c>
      <c r="B452" s="2877">
        <f>SUM('2018+'!H1797:H1886)</f>
        <v>298.34000000000015</v>
      </c>
      <c r="C452" s="2877">
        <f>SUM('2018+'!H1521:H1886)</f>
        <v>1405.1399999999992</v>
      </c>
    </row>
    <row r="453" spans="1:3" x14ac:dyDescent="0.2">
      <c r="A453" s="2781">
        <v>44985</v>
      </c>
      <c r="B453" s="2877">
        <f>SUM('2018+'!H1798:H1887)</f>
        <v>307.38000000000017</v>
      </c>
      <c r="C453" s="2877">
        <f>SUM('2018+'!H1522:H1887)</f>
        <v>1392.9999999999991</v>
      </c>
    </row>
    <row r="454" spans="1:3" x14ac:dyDescent="0.2">
      <c r="A454" s="2781">
        <v>44986</v>
      </c>
      <c r="B454" s="2877">
        <f>SUM('2018+'!H1799:H1888)</f>
        <v>301.14000000000016</v>
      </c>
      <c r="C454" s="2877">
        <f>SUM('2018+'!H1523:H1888)</f>
        <v>1392.9999999999991</v>
      </c>
    </row>
    <row r="455" spans="1:3" x14ac:dyDescent="0.2">
      <c r="A455" s="2781">
        <v>44987</v>
      </c>
      <c r="B455" s="2877">
        <f>SUM('2018+'!H1800:H1889)</f>
        <v>308.60000000000014</v>
      </c>
      <c r="C455" s="2877">
        <f>SUM('2018+'!H1524:H1889)</f>
        <v>1387.9599999999994</v>
      </c>
    </row>
    <row r="456" spans="1:3" x14ac:dyDescent="0.2">
      <c r="A456" s="2781">
        <v>44988</v>
      </c>
      <c r="B456" s="2877">
        <f>SUM('2018+'!H1801:H1890)</f>
        <v>315.74000000000012</v>
      </c>
      <c r="C456" s="2877">
        <f>SUM('2018+'!H1525:H1890)</f>
        <v>1387.0099999999993</v>
      </c>
    </row>
    <row r="457" spans="1:3" x14ac:dyDescent="0.2">
      <c r="A457" s="2781">
        <v>44989</v>
      </c>
      <c r="B457" s="2877">
        <f>SUM('2018+'!H1802:H1891)</f>
        <v>315.74000000000012</v>
      </c>
      <c r="C457" s="2877">
        <f>SUM('2018+'!H1526:H1891)</f>
        <v>1387.0099999999993</v>
      </c>
    </row>
    <row r="458" spans="1:3" x14ac:dyDescent="0.2">
      <c r="A458" s="2781">
        <v>44990</v>
      </c>
      <c r="B458" s="2877">
        <f>SUM('2018+'!H1803:H1892)</f>
        <v>325.61000000000013</v>
      </c>
      <c r="C458" s="2877">
        <f>SUM('2018+'!H1527:H1892)</f>
        <v>1387.9099999999992</v>
      </c>
    </row>
    <row r="459" spans="1:3" x14ac:dyDescent="0.2">
      <c r="A459" s="2781">
        <v>44991</v>
      </c>
      <c r="B459" s="2877">
        <f>SUM('2018+'!H1804:H1893)</f>
        <v>325.61000000000013</v>
      </c>
      <c r="C459" s="2877">
        <f>SUM('2018+'!H1528:H1893)</f>
        <v>1387.9099999999992</v>
      </c>
    </row>
    <row r="460" spans="1:3" x14ac:dyDescent="0.2">
      <c r="A460" s="2781">
        <v>44992</v>
      </c>
      <c r="B460" s="2877">
        <f>SUM('2018+'!H1805:H1894)</f>
        <v>324.19000000000011</v>
      </c>
      <c r="C460" s="2877">
        <f>SUM('2018+'!H1529:H1894)</f>
        <v>1389.7699999999991</v>
      </c>
    </row>
    <row r="461" spans="1:3" x14ac:dyDescent="0.2">
      <c r="A461" s="2781">
        <v>44993</v>
      </c>
      <c r="B461" s="2877">
        <f>SUM('2018+'!H1806:H1895)</f>
        <v>332.11000000000013</v>
      </c>
      <c r="C461" s="2877">
        <f>SUM('2018+'!H1530:H1895)</f>
        <v>1397.6899999999991</v>
      </c>
    </row>
    <row r="462" spans="1:3" x14ac:dyDescent="0.2">
      <c r="A462" s="2781">
        <v>44994</v>
      </c>
      <c r="B462" s="2877">
        <f>SUM('2018+'!H1807:H1896)</f>
        <v>332.11000000000013</v>
      </c>
      <c r="C462" s="2877">
        <f>SUM('2018+'!H1531:H1896)</f>
        <v>1387.569999999999</v>
      </c>
    </row>
    <row r="463" spans="1:3" x14ac:dyDescent="0.2">
      <c r="A463" s="2781">
        <v>44995</v>
      </c>
      <c r="B463" s="2877">
        <f>SUM('2018+'!H1808:H1897)</f>
        <v>332.11000000000013</v>
      </c>
      <c r="C463" s="2877">
        <f>SUM('2018+'!H1532:H1897)</f>
        <v>1387.569999999999</v>
      </c>
    </row>
    <row r="464" spans="1:3" x14ac:dyDescent="0.2">
      <c r="A464" s="2781">
        <v>44996</v>
      </c>
      <c r="B464" s="2877">
        <f>SUM('2018+'!H1809:H1898)</f>
        <v>326.5200000000001</v>
      </c>
      <c r="C464" s="2877">
        <f>SUM('2018+'!H1533:H1898)</f>
        <v>1377.4499999999989</v>
      </c>
    </row>
    <row r="465" spans="1:3" x14ac:dyDescent="0.2">
      <c r="A465" s="2781">
        <v>44997</v>
      </c>
      <c r="B465" s="2877">
        <f>SUM('2018+'!H1810:H1899)</f>
        <v>326.5200000000001</v>
      </c>
      <c r="C465" s="2877">
        <f>SUM('2018+'!H1534:H1899)</f>
        <v>1377.4499999999989</v>
      </c>
    </row>
    <row r="466" spans="1:3" x14ac:dyDescent="0.2">
      <c r="A466" s="2781">
        <v>44998</v>
      </c>
      <c r="B466" s="2877">
        <f>SUM('2018+'!H1811:H1900)</f>
        <v>326.5200000000001</v>
      </c>
      <c r="C466" s="2877">
        <f>SUM('2018+'!H1535:H1900)</f>
        <v>1361.9099999999989</v>
      </c>
    </row>
    <row r="467" spans="1:3" x14ac:dyDescent="0.2">
      <c r="A467" s="2781">
        <v>44999</v>
      </c>
      <c r="B467" s="2877">
        <f>SUM('2018+'!H1812:H1901)</f>
        <v>326.5200000000001</v>
      </c>
      <c r="C467" s="2877">
        <f>SUM('2018+'!H1536:H1901)</f>
        <v>1361.9099999999989</v>
      </c>
    </row>
    <row r="468" spans="1:3" x14ac:dyDescent="0.2">
      <c r="A468" s="2781">
        <v>45000</v>
      </c>
      <c r="B468" s="2877">
        <f>SUM('2018+'!H1813:H1902)</f>
        <v>326.5200000000001</v>
      </c>
      <c r="C468" s="2877">
        <f>SUM('2018+'!H1537:H1902)</f>
        <v>1352.1699999999992</v>
      </c>
    </row>
    <row r="469" spans="1:3" x14ac:dyDescent="0.2">
      <c r="A469" s="2781">
        <v>45001</v>
      </c>
      <c r="B469" s="2877">
        <f>SUM('2018+'!H1814:H1903)</f>
        <v>326.5200000000001</v>
      </c>
      <c r="C469" s="2877">
        <f>SUM('2018+'!H1538:H1903)</f>
        <v>1344.059999999999</v>
      </c>
    </row>
    <row r="470" spans="1:3" x14ac:dyDescent="0.2">
      <c r="A470" s="2781">
        <v>45002</v>
      </c>
      <c r="B470" s="2877">
        <f>SUM('2018+'!H1815:H1904)</f>
        <v>326.5200000000001</v>
      </c>
      <c r="C470" s="2877">
        <f>SUM('2018+'!H1539:H1904)</f>
        <v>1344.059999999999</v>
      </c>
    </row>
    <row r="471" spans="1:3" x14ac:dyDescent="0.2">
      <c r="A471" s="2781">
        <v>45003</v>
      </c>
      <c r="B471" s="2877">
        <f>SUM('2018+'!H1816:H1905)</f>
        <v>326.5200000000001</v>
      </c>
      <c r="C471" s="2877">
        <f>SUM('2018+'!H1540:H1905)</f>
        <v>1334.3099999999993</v>
      </c>
    </row>
    <row r="472" spans="1:3" x14ac:dyDescent="0.2">
      <c r="A472" s="2781">
        <v>45004</v>
      </c>
      <c r="B472" s="2877">
        <f>SUM('2018+'!H1817:H1906)</f>
        <v>319.81000000000006</v>
      </c>
      <c r="C472" s="2877">
        <f>SUM('2018+'!H1541:H1906)</f>
        <v>1326.2199999999993</v>
      </c>
    </row>
    <row r="473" spans="1:3" x14ac:dyDescent="0.2">
      <c r="A473" s="2781">
        <v>45005</v>
      </c>
      <c r="B473" s="2877">
        <f>SUM('2018+'!H1818:H1907)</f>
        <v>319.81000000000006</v>
      </c>
      <c r="C473" s="2877">
        <f>SUM('2018+'!H1542:H1907)</f>
        <v>1326.2199999999993</v>
      </c>
    </row>
    <row r="474" spans="1:3" x14ac:dyDescent="0.2">
      <c r="A474" s="2781">
        <v>45006</v>
      </c>
      <c r="B474" s="2877">
        <f>SUM('2018+'!H1819:H1908)</f>
        <v>316.47999999999996</v>
      </c>
      <c r="C474" s="2877">
        <f>SUM('2018+'!H1543:H1908)</f>
        <v>1314.1599999999994</v>
      </c>
    </row>
    <row r="475" spans="1:3" x14ac:dyDescent="0.2">
      <c r="A475" s="2781">
        <v>45007</v>
      </c>
      <c r="B475" s="2877">
        <f>SUM('2018+'!H1820:H1909)</f>
        <v>316.47999999999996</v>
      </c>
      <c r="C475" s="2877">
        <f>SUM('2018+'!H1544:H1909)</f>
        <v>1314.1599999999994</v>
      </c>
    </row>
    <row r="476" spans="1:3" x14ac:dyDescent="0.2">
      <c r="A476" s="2781">
        <v>45008</v>
      </c>
      <c r="B476" s="2877">
        <f>SUM('2018+'!H1821:H1910)</f>
        <v>323.42999999999995</v>
      </c>
      <c r="C476" s="2877">
        <f>SUM('2018+'!H1545:H1910)</f>
        <v>1308.3999999999996</v>
      </c>
    </row>
    <row r="477" spans="1:3" x14ac:dyDescent="0.2">
      <c r="A477" s="2781">
        <v>45009</v>
      </c>
      <c r="B477" s="2877">
        <f>SUM('2018+'!H1822:H1911)</f>
        <v>313.13</v>
      </c>
      <c r="C477" s="2877">
        <f>SUM('2018+'!H1546:H1911)</f>
        <v>1296.0199999999995</v>
      </c>
    </row>
    <row r="478" spans="1:3" x14ac:dyDescent="0.2">
      <c r="A478" s="2781">
        <v>45010</v>
      </c>
      <c r="B478" s="2877">
        <f>SUM('2018+'!H1823:H1912)</f>
        <v>319.31</v>
      </c>
      <c r="C478" s="2877">
        <f>SUM('2018+'!H1547:H1912)</f>
        <v>1291.4999999999995</v>
      </c>
    </row>
    <row r="479" spans="1:3" x14ac:dyDescent="0.2">
      <c r="A479" s="2781">
        <v>45011</v>
      </c>
      <c r="B479" s="2877">
        <f>SUM('2018+'!H1824:H1913)</f>
        <v>319.31</v>
      </c>
      <c r="C479" s="2877">
        <f>SUM('2018+'!H1548:H1913)</f>
        <v>1291.4999999999995</v>
      </c>
    </row>
    <row r="480" spans="1:3" x14ac:dyDescent="0.2">
      <c r="A480" s="2781">
        <v>45012</v>
      </c>
      <c r="B480" s="2877">
        <f>SUM('2018+'!H1825:H1914)</f>
        <v>313.45000000000005</v>
      </c>
      <c r="C480" s="2877">
        <f>SUM('2018+'!H1549:H1914)</f>
        <v>1282.6499999999996</v>
      </c>
    </row>
    <row r="481" spans="1:3" x14ac:dyDescent="0.2">
      <c r="A481" s="2781">
        <v>45013</v>
      </c>
      <c r="B481" s="2877">
        <f>SUM('2018+'!H1826:H1915)</f>
        <v>313.45000000000005</v>
      </c>
      <c r="C481" s="2877">
        <f>SUM('2018+'!H1550:H1915)</f>
        <v>1282.6499999999996</v>
      </c>
    </row>
    <row r="482" spans="1:3" x14ac:dyDescent="0.2">
      <c r="A482" s="2781">
        <v>45014</v>
      </c>
      <c r="B482" s="2877">
        <f>SUM('2018+'!H1827:H1916)</f>
        <v>312.15000000000003</v>
      </c>
      <c r="C482" s="2877">
        <f>SUM('2018+'!H1551:H1916)</f>
        <v>1280.5899999999995</v>
      </c>
    </row>
    <row r="483" spans="1:3" x14ac:dyDescent="0.2">
      <c r="A483" s="2781">
        <v>45015</v>
      </c>
      <c r="B483" s="2877">
        <f>SUM('2018+'!H1828:H1917)</f>
        <v>318.59000000000003</v>
      </c>
      <c r="C483" s="2877">
        <f>SUM('2018+'!H1552:H1917)</f>
        <v>1287.0299999999995</v>
      </c>
    </row>
    <row r="484" spans="1:3" x14ac:dyDescent="0.2">
      <c r="A484" s="2781">
        <v>45016</v>
      </c>
      <c r="B484" s="2877">
        <f>SUM('2018+'!H1829:H1918)</f>
        <v>315.53999999999996</v>
      </c>
      <c r="C484" s="2877">
        <f>SUM('2018+'!H1553:H1918)</f>
        <v>1284.5499999999993</v>
      </c>
    </row>
    <row r="485" spans="1:3" x14ac:dyDescent="0.2">
      <c r="A485" s="2781">
        <v>45017</v>
      </c>
      <c r="B485" s="2877">
        <f>SUM('2018+'!H1830:H1919)</f>
        <v>315.53999999999996</v>
      </c>
      <c r="C485" s="2877">
        <f>SUM('2018+'!H1554:H1919)</f>
        <v>1277.2999999999995</v>
      </c>
    </row>
    <row r="486" spans="1:3" x14ac:dyDescent="0.2">
      <c r="A486" s="2781">
        <v>45018</v>
      </c>
      <c r="B486" s="2877">
        <f>SUM('2018+'!H1831:H1920)</f>
        <v>328.23999999999995</v>
      </c>
      <c r="C486" s="2877">
        <f>SUM('2018+'!H1555:H1920)</f>
        <v>1277.7699999999995</v>
      </c>
    </row>
    <row r="487" spans="1:3" x14ac:dyDescent="0.2">
      <c r="A487" s="2781">
        <v>45019</v>
      </c>
      <c r="B487" s="2877">
        <f>SUM('2018+'!H1832:H1921)</f>
        <v>320.22999999999996</v>
      </c>
      <c r="C487" s="2877">
        <f>SUM('2018+'!H1556:H1921)</f>
        <v>1277.7699999999995</v>
      </c>
    </row>
    <row r="488" spans="1:3" x14ac:dyDescent="0.2">
      <c r="A488" s="2781">
        <v>45020</v>
      </c>
      <c r="B488" s="2877">
        <f>SUM('2018+'!H1833:H1922)</f>
        <v>326.87999999999994</v>
      </c>
      <c r="C488" s="2877">
        <f>SUM('2018+'!H1557:H1922)</f>
        <v>1263.0200000000002</v>
      </c>
    </row>
    <row r="489" spans="1:3" x14ac:dyDescent="0.2">
      <c r="A489" s="2781">
        <v>45021</v>
      </c>
      <c r="B489" s="2877">
        <f>SUM('2018+'!H1834:H1923)</f>
        <v>326.76999999999992</v>
      </c>
      <c r="C489" s="2877">
        <f>SUM('2018+'!H1558:H1923)</f>
        <v>1272.2200000000003</v>
      </c>
    </row>
    <row r="490" spans="1:3" x14ac:dyDescent="0.2">
      <c r="A490" s="2781">
        <v>45022</v>
      </c>
      <c r="B490" s="2877">
        <f>SUM('2018+'!H1835:H1924)</f>
        <v>333.83999999999992</v>
      </c>
      <c r="C490" s="2877">
        <f>SUM('2018+'!H1559:H1924)</f>
        <v>1269.19</v>
      </c>
    </row>
    <row r="491" spans="1:3" x14ac:dyDescent="0.2">
      <c r="A491" s="2781">
        <v>45023</v>
      </c>
      <c r="B491" s="2877">
        <f>SUM('2018+'!H1836:H1925)</f>
        <v>327.76999999999987</v>
      </c>
      <c r="C491" s="2877">
        <f>SUM('2018+'!H1560:H1925)</f>
        <v>1263.31</v>
      </c>
    </row>
    <row r="492" spans="1:3" x14ac:dyDescent="0.2">
      <c r="A492" s="2781">
        <v>45024</v>
      </c>
      <c r="B492" s="2877">
        <f>SUM('2018+'!H1837:H1926)</f>
        <v>345.66999999999985</v>
      </c>
      <c r="C492" s="2877">
        <f>SUM('2018+'!H1561:H1926)</f>
        <v>1281.21</v>
      </c>
    </row>
    <row r="493" spans="1:3" x14ac:dyDescent="0.2">
      <c r="A493" s="2781">
        <v>45025</v>
      </c>
      <c r="B493" s="2877">
        <f>SUM('2018+'!H1838:H1927)</f>
        <v>345.66999999999985</v>
      </c>
      <c r="C493" s="2877">
        <f>SUM('2018+'!H1562:H1927)</f>
        <v>1271.1300000000003</v>
      </c>
    </row>
    <row r="494" spans="1:3" x14ac:dyDescent="0.2">
      <c r="A494" s="2781">
        <v>45026</v>
      </c>
      <c r="B494" s="2877">
        <f>SUM('2018+'!H1839:H1928)</f>
        <v>345.66999999999985</v>
      </c>
      <c r="C494" s="2877">
        <f>SUM('2018+'!H1563:H1928)</f>
        <v>1271.1300000000003</v>
      </c>
    </row>
    <row r="495" spans="1:3" x14ac:dyDescent="0.2">
      <c r="A495" s="2781">
        <v>45027</v>
      </c>
      <c r="B495" s="2877">
        <f>SUM('2018+'!H1840:H1929)</f>
        <v>342.85999999999979</v>
      </c>
      <c r="C495" s="2877">
        <f>SUM('2018+'!H1564:H1929)</f>
        <v>1268.1800000000003</v>
      </c>
    </row>
    <row r="496" spans="1:3" x14ac:dyDescent="0.2">
      <c r="A496" s="2781">
        <v>45028</v>
      </c>
      <c r="B496" s="2877">
        <f>SUM('2018+'!H1841:H1930)</f>
        <v>342.85999999999979</v>
      </c>
      <c r="C496" s="2877">
        <f>SUM('2018+'!H1565:H1930)</f>
        <v>1268.1800000000003</v>
      </c>
    </row>
    <row r="497" spans="1:3" x14ac:dyDescent="0.2">
      <c r="A497" s="2781">
        <v>45029</v>
      </c>
      <c r="B497" s="2877">
        <f>SUM('2018+'!H1842:H1931)</f>
        <v>342.85999999999979</v>
      </c>
      <c r="C497" s="2877">
        <f>SUM('2018+'!H1566:H1931)</f>
        <v>1257.8500000000001</v>
      </c>
    </row>
    <row r="498" spans="1:3" x14ac:dyDescent="0.2">
      <c r="A498" s="2781">
        <v>45030</v>
      </c>
      <c r="B498" s="2877">
        <f>SUM('2018+'!H1843:H1932)</f>
        <v>342.85999999999979</v>
      </c>
      <c r="C498" s="2877">
        <f>SUM('2018+'!H1567:H1932)</f>
        <v>1257.8500000000001</v>
      </c>
    </row>
    <row r="499" spans="1:3" x14ac:dyDescent="0.2">
      <c r="A499" s="2781">
        <v>45031</v>
      </c>
      <c r="B499" s="2877">
        <f>SUM('2018+'!H1844:H1933)</f>
        <v>352.36999999999978</v>
      </c>
      <c r="C499" s="2877">
        <f>SUM('2018+'!H1568:H1933)</f>
        <v>1257.2700000000004</v>
      </c>
    </row>
    <row r="500" spans="1:3" x14ac:dyDescent="0.2">
      <c r="A500" s="2781">
        <v>45032</v>
      </c>
      <c r="B500" s="2877">
        <f>SUM('2018+'!H1845:H1934)</f>
        <v>358.63999999999976</v>
      </c>
      <c r="C500" s="2877">
        <f>SUM('2018+'!H1569:H1934)</f>
        <v>1263.5400000000004</v>
      </c>
    </row>
    <row r="501" spans="1:3" x14ac:dyDescent="0.2">
      <c r="A501" s="2781">
        <v>45033</v>
      </c>
      <c r="B501" s="2877">
        <f>SUM('2018+'!H1846:H1935)</f>
        <v>364.55999999999977</v>
      </c>
      <c r="C501" s="2877">
        <f>SUM('2018+'!H1570:H1935)</f>
        <v>1259.8600000000004</v>
      </c>
    </row>
    <row r="502" spans="1:3" x14ac:dyDescent="0.2">
      <c r="A502" s="2781">
        <v>45034</v>
      </c>
      <c r="B502" s="2877">
        <f>SUM('2018+'!H1847:H1936)</f>
        <v>373.16999999999979</v>
      </c>
      <c r="C502" s="2877">
        <f>SUM('2018+'!H1571:H1936)</f>
        <v>1268.4700000000003</v>
      </c>
    </row>
    <row r="503" spans="1:3" x14ac:dyDescent="0.2">
      <c r="A503" s="2781">
        <v>45035</v>
      </c>
      <c r="B503" s="2877">
        <f>SUM('2018+'!H1848:H1937)</f>
        <v>373.16999999999979</v>
      </c>
      <c r="C503" s="2877">
        <f>SUM('2018+'!H1572:H1937)</f>
        <v>1268.4700000000003</v>
      </c>
    </row>
    <row r="504" spans="1:3" x14ac:dyDescent="0.2">
      <c r="A504" s="2781">
        <v>45036</v>
      </c>
      <c r="B504" s="2877">
        <f>SUM('2018+'!H1849:H1938)</f>
        <v>380.19999999999976</v>
      </c>
      <c r="C504" s="2877">
        <f>SUM('2018+'!H1573:H1938)</f>
        <v>1264.73</v>
      </c>
    </row>
    <row r="505" spans="1:3" x14ac:dyDescent="0.2">
      <c r="A505" s="2781">
        <v>45037</v>
      </c>
      <c r="B505" s="2877">
        <f>SUM('2018+'!H1850:H1939)</f>
        <v>378.86999999999983</v>
      </c>
      <c r="C505" s="2877">
        <f>SUM('2018+'!H1574:H1939)</f>
        <v>1270.94</v>
      </c>
    </row>
    <row r="506" spans="1:3" x14ac:dyDescent="0.2">
      <c r="A506" s="2781">
        <v>45038</v>
      </c>
      <c r="B506" s="2877">
        <f>SUM('2018+'!H1851:H1940)</f>
        <v>378.86999999999983</v>
      </c>
      <c r="C506" s="2877">
        <f>SUM('2018+'!H1575:H1940)</f>
        <v>1260.6400000000001</v>
      </c>
    </row>
    <row r="507" spans="1:3" x14ac:dyDescent="0.2">
      <c r="A507" s="2781">
        <v>45039</v>
      </c>
      <c r="B507" s="2877">
        <f>SUM('2018+'!H1852:H1941)</f>
        <v>381.18999999999983</v>
      </c>
      <c r="C507" s="2877">
        <f>SUM('2018+'!H1576:H1941)</f>
        <v>1269.8800000000001</v>
      </c>
    </row>
    <row r="508" spans="1:3" x14ac:dyDescent="0.2">
      <c r="A508" s="2781">
        <v>45040</v>
      </c>
      <c r="B508" s="2877">
        <f>SUM('2018+'!H1853:H1942)</f>
        <v>387.10999999999984</v>
      </c>
      <c r="C508" s="2877">
        <f>SUM('2018+'!H1577:H1942)</f>
        <v>1258.45</v>
      </c>
    </row>
    <row r="509" spans="1:3" x14ac:dyDescent="0.2">
      <c r="A509" s="2781">
        <v>45041</v>
      </c>
      <c r="B509" s="2877">
        <f>SUM('2018+'!H1854:H1943)</f>
        <v>383.93999999999988</v>
      </c>
      <c r="C509" s="2877">
        <f>SUM('2018+'!H1578:H1943)</f>
        <v>1263.96</v>
      </c>
    </row>
    <row r="510" spans="1:3" x14ac:dyDescent="0.2">
      <c r="A510" s="2781">
        <v>45042</v>
      </c>
      <c r="B510" s="2877">
        <f>SUM('2018+'!H1855:H1944)</f>
        <v>378.3599999999999</v>
      </c>
      <c r="C510" s="2877">
        <f>SUM('2018+'!H1579:H1944)</f>
        <v>1252.6700000000003</v>
      </c>
    </row>
    <row r="511" spans="1:3" x14ac:dyDescent="0.2">
      <c r="A511" s="2781">
        <v>45043</v>
      </c>
      <c r="B511" s="2877">
        <f>SUM('2018+'!H1856:H1945)</f>
        <v>384.9899999999999</v>
      </c>
      <c r="C511" s="2877">
        <f>SUM('2018+'!H1580:H1945)</f>
        <v>1259.3000000000004</v>
      </c>
    </row>
    <row r="512" spans="1:3" x14ac:dyDescent="0.2">
      <c r="A512" s="2781">
        <v>45044</v>
      </c>
      <c r="B512" s="2877">
        <f>SUM('2018+'!H1857:H1946)</f>
        <v>383.20999999999987</v>
      </c>
      <c r="C512" s="2877">
        <f>SUM('2018+'!H1581:H1946)</f>
        <v>1254.9200000000003</v>
      </c>
    </row>
    <row r="513" spans="1:3" x14ac:dyDescent="0.2">
      <c r="A513" s="2781">
        <v>45045</v>
      </c>
      <c r="B513" s="2877">
        <f>SUM('2018+'!H1858:H1947)</f>
        <v>383.20999999999987</v>
      </c>
      <c r="C513" s="2877">
        <f>SUM('2018+'!H1582:H1947)</f>
        <v>1247.4700000000003</v>
      </c>
    </row>
    <row r="514" spans="1:3" x14ac:dyDescent="0.2">
      <c r="A514" s="2781">
        <v>45046</v>
      </c>
      <c r="B514" s="2877">
        <f>SUM('2018+'!H1859:H1948)</f>
        <v>388.20999999999987</v>
      </c>
      <c r="C514" s="2877">
        <f>SUM('2018+'!H1583:H1948)</f>
        <v>1252.4700000000003</v>
      </c>
    </row>
    <row r="515" spans="1:3" x14ac:dyDescent="0.2">
      <c r="A515" s="2781">
        <v>45047</v>
      </c>
      <c r="B515" s="2877">
        <f>SUM('2018+'!H1860:H1949)</f>
        <v>381.87999999999994</v>
      </c>
      <c r="C515" s="2877">
        <f>SUM('2018+'!H1584:H1949)</f>
        <v>1231.8900000000003</v>
      </c>
    </row>
    <row r="516" spans="1:3" x14ac:dyDescent="0.2">
      <c r="A516" s="2781">
        <v>45048</v>
      </c>
      <c r="B516" s="2877">
        <f>SUM('2018+'!H1861:H1950)</f>
        <v>381.87999999999994</v>
      </c>
      <c r="C516" s="2877">
        <f>SUM('2018+'!H1585:H1950)</f>
        <v>1231.8900000000003</v>
      </c>
    </row>
    <row r="517" spans="1:3" x14ac:dyDescent="0.2">
      <c r="A517" s="2781">
        <v>45049</v>
      </c>
      <c r="B517" s="2877">
        <f>SUM('2018+'!H1862:H1951)</f>
        <v>380.7299999999999</v>
      </c>
      <c r="C517" s="2877">
        <f>SUM('2018+'!H1586:H1951)</f>
        <v>1223.7900000000002</v>
      </c>
    </row>
    <row r="518" spans="1:3" x14ac:dyDescent="0.2">
      <c r="A518" s="2781">
        <v>45050</v>
      </c>
      <c r="B518" s="2877">
        <f>SUM('2018+'!H1863:H1952)</f>
        <v>380.64999999999992</v>
      </c>
      <c r="C518" s="2877">
        <f>SUM('2018+'!H1587:H1952)</f>
        <v>1229.2400000000002</v>
      </c>
    </row>
    <row r="519" spans="1:3" x14ac:dyDescent="0.2">
      <c r="A519" s="2781">
        <v>45051</v>
      </c>
      <c r="B519" s="2877">
        <f>SUM('2018+'!H1864:H1953)</f>
        <v>386.37999999999994</v>
      </c>
      <c r="C519" s="2877">
        <f>SUM('2018+'!H1588:H1953)</f>
        <v>1222.8700000000003</v>
      </c>
    </row>
    <row r="520" spans="1:3" x14ac:dyDescent="0.2">
      <c r="A520" s="2781">
        <v>45052</v>
      </c>
      <c r="B520" s="2877">
        <f>SUM('2018+'!H1865:H1954)</f>
        <v>376.59</v>
      </c>
      <c r="C520" s="2877">
        <f>SUM('2018+'!H1589:H1954)</f>
        <v>1215.4000000000001</v>
      </c>
    </row>
    <row r="521" spans="1:3" x14ac:dyDescent="0.2">
      <c r="A521" s="2781">
        <v>45053</v>
      </c>
      <c r="B521" s="2877">
        <f>SUM('2018+'!H1866:H1955)</f>
        <v>369.78</v>
      </c>
      <c r="C521" s="2877">
        <f>SUM('2018+'!H1590:H1955)</f>
        <v>1215.4000000000001</v>
      </c>
    </row>
    <row r="522" spans="1:3" x14ac:dyDescent="0.2">
      <c r="A522" s="2781">
        <v>45054</v>
      </c>
      <c r="B522" s="2877">
        <f>SUM('2018+'!H1867:H1956)</f>
        <v>368.18999999999994</v>
      </c>
      <c r="C522" s="2877">
        <f>SUM('2018+'!H1591:H1956)</f>
        <v>1221.0800000000002</v>
      </c>
    </row>
    <row r="523" spans="1:3" x14ac:dyDescent="0.2">
      <c r="A523" s="2781">
        <v>45055</v>
      </c>
      <c r="B523" s="2877">
        <f>SUM('2018+'!H1868:H1957)</f>
        <v>374.89999999999992</v>
      </c>
      <c r="C523" s="2877">
        <f>SUM('2018+'!H1592:H1957)</f>
        <v>1227.7900000000002</v>
      </c>
    </row>
    <row r="524" spans="1:3" x14ac:dyDescent="0.2">
      <c r="A524" s="2781">
        <v>45056</v>
      </c>
      <c r="B524" s="2877">
        <f>SUM('2018+'!H1869:H1958)</f>
        <v>368.90999999999997</v>
      </c>
      <c r="C524" s="2877">
        <f>SUM('2018+'!H1593:H1958)</f>
        <v>1227.7900000000002</v>
      </c>
    </row>
    <row r="525" spans="1:3" x14ac:dyDescent="0.2">
      <c r="A525" s="2781">
        <v>45057</v>
      </c>
      <c r="B525" s="2877">
        <f>SUM('2018+'!H1870:H1959)</f>
        <v>369.51</v>
      </c>
      <c r="C525" s="2877">
        <f>SUM('2018+'!H1594:H1959)</f>
        <v>1234.7300000000002</v>
      </c>
    </row>
    <row r="526" spans="1:3" x14ac:dyDescent="0.2">
      <c r="A526" s="2781">
        <v>45058</v>
      </c>
      <c r="B526" s="2877">
        <f>SUM('2018+'!H1871:H1960)</f>
        <v>369.51</v>
      </c>
      <c r="C526" s="2877">
        <f>SUM('2018+'!H1595:H1960)</f>
        <v>1234.7300000000002</v>
      </c>
    </row>
    <row r="527" spans="1:3" x14ac:dyDescent="0.2">
      <c r="A527" s="2781">
        <v>45059</v>
      </c>
      <c r="B527" s="2877">
        <f>SUM('2018+'!H1872:H1961)</f>
        <v>362.52</v>
      </c>
      <c r="C527" s="2877">
        <f>SUM('2018+'!H1596:H1961)</f>
        <v>1234.7300000000002</v>
      </c>
    </row>
    <row r="528" spans="1:3" x14ac:dyDescent="0.2">
      <c r="A528" s="2781">
        <v>45060</v>
      </c>
      <c r="B528" s="2877">
        <f>SUM('2018+'!H1873:H1962)</f>
        <v>355.96</v>
      </c>
      <c r="C528" s="2877">
        <f>SUM('2018+'!H1597:H1962)</f>
        <v>1234.7300000000002</v>
      </c>
    </row>
    <row r="529" spans="1:3" x14ac:dyDescent="0.2">
      <c r="A529" s="2781">
        <v>45061</v>
      </c>
      <c r="B529" s="2877">
        <f>SUM('2018+'!H1874:H1963)</f>
        <v>346.21999999999991</v>
      </c>
      <c r="C529" s="2877">
        <f>SUM('2018+'!H1598:H1963)</f>
        <v>1234.7300000000002</v>
      </c>
    </row>
    <row r="530" spans="1:3" x14ac:dyDescent="0.2">
      <c r="A530" s="2781">
        <v>45062</v>
      </c>
      <c r="B530" s="2877">
        <f>SUM('2018+'!H1875:H1964)</f>
        <v>353.90999999999991</v>
      </c>
      <c r="C530" s="2877">
        <f>SUM('2018+'!H1599:H1964)</f>
        <v>1235.0600000000004</v>
      </c>
    </row>
    <row r="531" spans="1:3" x14ac:dyDescent="0.2">
      <c r="A531" s="2781">
        <v>45063</v>
      </c>
      <c r="B531" s="2877">
        <f>SUM('2018+'!H1876:H1965)</f>
        <v>347.38999999999993</v>
      </c>
      <c r="C531" s="2877">
        <f>SUM('2018+'!H1600:H1965)</f>
        <v>1235.0600000000004</v>
      </c>
    </row>
    <row r="532" spans="1:3" x14ac:dyDescent="0.2">
      <c r="A532" s="2781">
        <v>45064</v>
      </c>
      <c r="B532" s="2877">
        <f>SUM('2018+'!H1877:H1966)</f>
        <v>347.38999999999993</v>
      </c>
      <c r="C532" s="2877">
        <f>SUM('2018+'!H1601:H1966)</f>
        <v>1226.4000000000003</v>
      </c>
    </row>
    <row r="533" spans="1:3" x14ac:dyDescent="0.2">
      <c r="A533" s="2781">
        <v>45065</v>
      </c>
      <c r="B533" s="2877">
        <f>SUM('2018+'!H1878:H1967)</f>
        <v>337.35999999999996</v>
      </c>
      <c r="C533" s="2877">
        <f>SUM('2018+'!H1602:H1967)</f>
        <v>1226.4000000000003</v>
      </c>
    </row>
    <row r="534" spans="1:3" x14ac:dyDescent="0.2">
      <c r="A534" s="2781">
        <v>45066</v>
      </c>
      <c r="B534" s="2877">
        <f>SUM('2018+'!H1879:H1968)</f>
        <v>337.35999999999996</v>
      </c>
      <c r="C534" s="2877">
        <f>SUM('2018+'!H1603:H1968)</f>
        <v>1218.0200000000004</v>
      </c>
    </row>
    <row r="535" spans="1:3" x14ac:dyDescent="0.2">
      <c r="A535" s="2781">
        <v>45067</v>
      </c>
      <c r="B535" s="2877">
        <f>SUM('2018+'!H1880:H1969)</f>
        <v>337.53999999999996</v>
      </c>
      <c r="C535" s="2877">
        <f>SUM('2018+'!H1604:H1969)</f>
        <v>1224.9200000000005</v>
      </c>
    </row>
    <row r="536" spans="1:3" x14ac:dyDescent="0.2">
      <c r="A536" s="2781">
        <v>45068</v>
      </c>
      <c r="B536" s="2877">
        <f>SUM('2018+'!H1881:H1970)</f>
        <v>334.41999999999996</v>
      </c>
      <c r="C536" s="2877">
        <f>SUM('2018+'!H1605:H1970)</f>
        <v>1222.5900000000001</v>
      </c>
    </row>
    <row r="537" spans="1:3" x14ac:dyDescent="0.2">
      <c r="A537" s="2781">
        <v>45069</v>
      </c>
      <c r="B537" s="2877">
        <f>SUM('2018+'!H1882:H1971)</f>
        <v>334.41999999999996</v>
      </c>
      <c r="C537" s="2877">
        <f>SUM('2018+'!H1606:H1971)</f>
        <v>1222.5900000000001</v>
      </c>
    </row>
    <row r="538" spans="1:3" x14ac:dyDescent="0.2">
      <c r="A538" s="2781">
        <v>45070</v>
      </c>
      <c r="B538" s="2877">
        <f>SUM('2018+'!H1883:H1972)</f>
        <v>334.23</v>
      </c>
      <c r="C538" s="2877">
        <f>SUM('2018+'!H1607:H1972)</f>
        <v>1219.8100000000002</v>
      </c>
    </row>
    <row r="539" spans="1:3" x14ac:dyDescent="0.2">
      <c r="A539" s="2781">
        <v>45071</v>
      </c>
      <c r="B539" s="2877">
        <f>SUM('2018+'!H1884:H1973)</f>
        <v>334.77999999999992</v>
      </c>
      <c r="C539" s="2877">
        <f>SUM('2018+'!H1608:H1973)</f>
        <v>1226.7700000000002</v>
      </c>
    </row>
    <row r="540" spans="1:3" x14ac:dyDescent="0.2">
      <c r="A540" s="2781">
        <v>45072</v>
      </c>
      <c r="B540" s="2877">
        <f>SUM('2018+'!H1885:H1974)</f>
        <v>329.82</v>
      </c>
      <c r="C540" s="2877">
        <f>SUM('2018+'!H1609:H1974)</f>
        <v>1223.0800000000002</v>
      </c>
    </row>
    <row r="541" spans="1:3" x14ac:dyDescent="0.2">
      <c r="A541" s="2781">
        <v>45073</v>
      </c>
      <c r="B541" s="2877">
        <f>SUM('2018+'!H1886:H1975)</f>
        <v>329.82</v>
      </c>
      <c r="C541" s="2877">
        <f>SUM('2018+'!H1610:H1975)</f>
        <v>1223.0800000000002</v>
      </c>
    </row>
    <row r="542" spans="1:3" x14ac:dyDescent="0.2">
      <c r="A542" s="2781">
        <v>45074</v>
      </c>
      <c r="B542" s="2877">
        <f>SUM('2018+'!H1887:H1976)</f>
        <v>322.58000000000004</v>
      </c>
      <c r="C542" s="2877">
        <f>SUM('2018+'!H1611:H1976)</f>
        <v>1215.0300000000004</v>
      </c>
    </row>
    <row r="543" spans="1:3" x14ac:dyDescent="0.2">
      <c r="A543" s="2781">
        <v>45075</v>
      </c>
      <c r="B543" s="2877">
        <f>SUM('2018+'!H1888:H1977)</f>
        <v>313.53999999999996</v>
      </c>
      <c r="C543" s="2877">
        <f>SUM('2018+'!H1612:H1977)</f>
        <v>1215.0300000000004</v>
      </c>
    </row>
    <row r="544" spans="1:3" x14ac:dyDescent="0.2">
      <c r="A544" s="2781">
        <v>45076</v>
      </c>
      <c r="B544" s="2877">
        <f>SUM('2018+'!H1889:H1978)</f>
        <v>319.08999999999997</v>
      </c>
      <c r="C544" s="2877">
        <f>SUM('2018+'!H1613:H1978)</f>
        <v>1209.5000000000002</v>
      </c>
    </row>
    <row r="545" spans="1:3" x14ac:dyDescent="0.2">
      <c r="A545" s="2781">
        <v>45077</v>
      </c>
      <c r="B545" s="2877">
        <f>SUM('2018+'!H1890:H1979)</f>
        <v>318.69</v>
      </c>
      <c r="C545" s="2877">
        <f>SUM('2018+'!H1614:H1979)</f>
        <v>1209.0300000000002</v>
      </c>
    </row>
    <row r="546" spans="1:3" x14ac:dyDescent="0.2">
      <c r="A546" s="2781">
        <v>45078</v>
      </c>
      <c r="B546" s="2877">
        <f>SUM('2018+'!H1891:H1980)</f>
        <v>318.54000000000002</v>
      </c>
      <c r="C546" s="2877">
        <f>SUM('2018+'!H1615:H1980)</f>
        <v>1216.0200000000002</v>
      </c>
    </row>
    <row r="547" spans="1:3" x14ac:dyDescent="0.2">
      <c r="A547" s="2781">
        <v>45079</v>
      </c>
      <c r="B547" s="2877">
        <f>SUM('2018+'!H1892:H1981)</f>
        <v>324.65000000000003</v>
      </c>
      <c r="C547" s="2877">
        <f>SUM('2018+'!H1616:H1981)</f>
        <v>1215.0200000000002</v>
      </c>
    </row>
    <row r="548" spans="1:3" x14ac:dyDescent="0.2">
      <c r="A548" s="2781">
        <v>45080</v>
      </c>
      <c r="B548" s="2877">
        <f>SUM('2018+'!H1893:H1982)</f>
        <v>314.78000000000003</v>
      </c>
      <c r="C548" s="2877">
        <f>SUM('2018+'!H1617:H1982)</f>
        <v>1204.8800000000001</v>
      </c>
    </row>
    <row r="549" spans="1:3" x14ac:dyDescent="0.2">
      <c r="A549" s="2781">
        <v>45081</v>
      </c>
      <c r="B549" s="2877">
        <f>SUM('2018+'!H1894:H1983)</f>
        <v>327.18</v>
      </c>
      <c r="C549" s="2877">
        <f>SUM('2018+'!H1618:H1983)</f>
        <v>1217.2800000000002</v>
      </c>
    </row>
    <row r="550" spans="1:3" x14ac:dyDescent="0.2">
      <c r="A550" s="2781">
        <v>45082</v>
      </c>
      <c r="B550" s="2877">
        <f>SUM('2018+'!H1895:H1984)</f>
        <v>319.86</v>
      </c>
      <c r="C550" s="2877">
        <f>SUM('2018+'!H1619:H1984)</f>
        <v>1206.1800000000003</v>
      </c>
    </row>
    <row r="551" spans="1:3" x14ac:dyDescent="0.2">
      <c r="A551" s="2781">
        <v>45083</v>
      </c>
      <c r="B551" s="2877">
        <f>SUM('2018+'!H1896:H1985)</f>
        <v>320.05</v>
      </c>
      <c r="C551" s="2877">
        <f>SUM('2018+'!H1620:H1985)</f>
        <v>1214.2900000000002</v>
      </c>
    </row>
    <row r="552" spans="1:3" x14ac:dyDescent="0.2">
      <c r="A552" s="2781">
        <v>45084</v>
      </c>
      <c r="B552" s="2877">
        <f>SUM('2018+'!H1897:H1986)</f>
        <v>320.05</v>
      </c>
      <c r="C552" s="2877">
        <f>SUM('2018+'!H1621:H1986)</f>
        <v>1200.7400000000002</v>
      </c>
    </row>
    <row r="553" spans="1:3" x14ac:dyDescent="0.2">
      <c r="A553" s="2781">
        <v>45085</v>
      </c>
      <c r="B553" s="2877">
        <f>SUM('2018+'!H1898:H1987)</f>
        <v>320.05</v>
      </c>
      <c r="C553" s="2877">
        <f>SUM('2018+'!H1622:H1987)</f>
        <v>1200.7400000000002</v>
      </c>
    </row>
    <row r="554" spans="1:3" x14ac:dyDescent="0.2">
      <c r="A554" s="2781">
        <v>45086</v>
      </c>
      <c r="B554" s="2877">
        <f>SUM('2018+'!H1899:H1988)</f>
        <v>329.40000000000003</v>
      </c>
      <c r="C554" s="2877">
        <f>SUM('2018+'!H1623:H1988)</f>
        <v>1199.8900000000003</v>
      </c>
    </row>
    <row r="555" spans="1:3" x14ac:dyDescent="0.2">
      <c r="A555" s="2781">
        <v>45087</v>
      </c>
      <c r="B555" s="2877">
        <f>SUM('2018+'!H1900:H1989)</f>
        <v>329.40000000000003</v>
      </c>
      <c r="C555" s="2877">
        <f>SUM('2018+'!H1624:H1989)</f>
        <v>1191.1600000000001</v>
      </c>
    </row>
    <row r="556" spans="1:3" x14ac:dyDescent="0.2">
      <c r="A556" s="2781">
        <v>45088</v>
      </c>
      <c r="B556" s="2877">
        <f>SUM('2018+'!H1901:H1990)</f>
        <v>341.1</v>
      </c>
      <c r="C556" s="2877">
        <f>SUM('2018+'!H1625:H1990)</f>
        <v>1202.8600000000001</v>
      </c>
    </row>
    <row r="557" spans="1:3" x14ac:dyDescent="0.2">
      <c r="A557" s="2781">
        <v>45089</v>
      </c>
      <c r="B557" s="2877">
        <f>SUM('2018+'!H1902:H1991)</f>
        <v>347.32000000000005</v>
      </c>
      <c r="C557" s="2877">
        <f>SUM('2018+'!H1626:H1991)</f>
        <v>1194.5400000000002</v>
      </c>
    </row>
    <row r="558" spans="1:3" x14ac:dyDescent="0.2">
      <c r="A558" s="2781">
        <v>45090</v>
      </c>
      <c r="B558" s="2877">
        <f>SUM('2018+'!H1903:H1992)</f>
        <v>353.99000000000007</v>
      </c>
      <c r="C558" s="2877">
        <f>SUM('2018+'!H1627:H1992)</f>
        <v>1201.2100000000003</v>
      </c>
    </row>
    <row r="559" spans="1:3" x14ac:dyDescent="0.2">
      <c r="A559" s="2781">
        <v>45091</v>
      </c>
      <c r="B559" s="2877">
        <f>SUM('2018+'!H1904:H1993)</f>
        <v>353.99000000000007</v>
      </c>
      <c r="C559" s="2877">
        <f>SUM('2018+'!H1628:H1993)</f>
        <v>1192.4000000000001</v>
      </c>
    </row>
    <row r="560" spans="1:3" x14ac:dyDescent="0.2">
      <c r="A560" s="2781">
        <v>45092</v>
      </c>
      <c r="B560" s="2877">
        <f>SUM('2018+'!H1905:H1994)</f>
        <v>361.05000000000007</v>
      </c>
      <c r="C560" s="2877">
        <f>SUM('2018+'!H1629:H1994)</f>
        <v>1199.46</v>
      </c>
    </row>
    <row r="561" spans="1:3" x14ac:dyDescent="0.2">
      <c r="A561" s="2781">
        <v>45093</v>
      </c>
      <c r="B561" s="2877">
        <f>SUM('2018+'!H1906:H1995)</f>
        <v>368.56000000000006</v>
      </c>
      <c r="C561" s="2877">
        <f>SUM('2018+'!H1630:H1995)</f>
        <v>1206.97</v>
      </c>
    </row>
    <row r="562" spans="1:3" x14ac:dyDescent="0.2">
      <c r="A562" s="2781">
        <v>45094</v>
      </c>
      <c r="B562" s="2877">
        <f>SUM('2018+'!H1907:H1996)</f>
        <v>368.56000000000006</v>
      </c>
      <c r="C562" s="2877">
        <f>SUM('2018+'!H1631:H1996)</f>
        <v>1194.04</v>
      </c>
    </row>
    <row r="563" spans="1:3" x14ac:dyDescent="0.2">
      <c r="A563" s="2781">
        <v>45095</v>
      </c>
      <c r="B563" s="2877">
        <f>SUM('2018+'!H1908:H1997)</f>
        <v>381.54000000000008</v>
      </c>
      <c r="C563" s="2877">
        <f>SUM('2018+'!H1632:H1997)</f>
        <v>1207.02</v>
      </c>
    </row>
    <row r="564" spans="1:3" x14ac:dyDescent="0.2">
      <c r="A564" s="2781">
        <v>45096</v>
      </c>
      <c r="B564" s="2877">
        <f>SUM('2018+'!H1909:H1998)</f>
        <v>382.53000000000009</v>
      </c>
      <c r="C564" s="2877">
        <f>SUM('2018+'!H1633:H1998)</f>
        <v>1213.53</v>
      </c>
    </row>
    <row r="565" spans="1:3" x14ac:dyDescent="0.2">
      <c r="A565" s="2781">
        <v>45097</v>
      </c>
      <c r="B565" s="2877">
        <f>SUM('2018+'!H1910:H1999)</f>
        <v>390.55000000000007</v>
      </c>
      <c r="C565" s="2877">
        <f>SUM('2018+'!H1634:H1999)</f>
        <v>1221.55</v>
      </c>
    </row>
    <row r="566" spans="1:3" x14ac:dyDescent="0.2">
      <c r="A566" s="2781">
        <v>45098</v>
      </c>
      <c r="B566" s="2877">
        <f>SUM('2018+'!H1911:H2000)</f>
        <v>383.60000000000008</v>
      </c>
      <c r="C566" s="2877">
        <f>SUM('2018+'!H1635:H2000)</f>
        <v>1221.55</v>
      </c>
    </row>
    <row r="567" spans="1:3" x14ac:dyDescent="0.2">
      <c r="A567" s="2781">
        <v>45099</v>
      </c>
      <c r="B567" s="2877">
        <f>SUM('2018+'!H1912:H2001)</f>
        <v>389.44000000000005</v>
      </c>
      <c r="C567" s="2877">
        <f>SUM('2018+'!H1636:H2001)</f>
        <v>1217.82</v>
      </c>
    </row>
    <row r="568" spans="1:3" x14ac:dyDescent="0.2">
      <c r="A568" s="2781">
        <v>45100</v>
      </c>
      <c r="B568" s="2877">
        <f>SUM('2018+'!H1913:H2002)</f>
        <v>390.48000000000008</v>
      </c>
      <c r="C568" s="2877">
        <f>SUM('2018+'!H1637:H2002)</f>
        <v>1225.04</v>
      </c>
    </row>
    <row r="569" spans="1:3" x14ac:dyDescent="0.2">
      <c r="A569" s="2781">
        <v>45101</v>
      </c>
      <c r="B569" s="2877">
        <f>SUM('2018+'!H1914:H2003)</f>
        <v>390.48000000000008</v>
      </c>
      <c r="C569" s="2877">
        <f>SUM('2018+'!H1638:H2003)</f>
        <v>1215.53</v>
      </c>
    </row>
    <row r="570" spans="1:3" x14ac:dyDescent="0.2">
      <c r="A570" s="2781">
        <v>45102</v>
      </c>
      <c r="B570" s="2877">
        <f>SUM('2018+'!H1915:H2004)</f>
        <v>397.21000000000004</v>
      </c>
      <c r="C570" s="2877">
        <f>SUM('2018+'!H1639:H2004)</f>
        <v>1228.5</v>
      </c>
    </row>
    <row r="571" spans="1:3" x14ac:dyDescent="0.2">
      <c r="A571" s="2781">
        <v>45103</v>
      </c>
      <c r="B571" s="2877">
        <f>SUM('2018+'!H1916:H2005)</f>
        <v>403.18000000000006</v>
      </c>
      <c r="C571" s="2877">
        <f>SUM('2018+'!H1640:H2005)</f>
        <v>1221.4699999999998</v>
      </c>
    </row>
    <row r="572" spans="1:3" x14ac:dyDescent="0.2">
      <c r="A572" s="2781">
        <v>45104</v>
      </c>
      <c r="B572" s="2877">
        <f>SUM('2018+'!H1917:H2006)</f>
        <v>403.05000000000007</v>
      </c>
      <c r="C572" s="2877">
        <f>SUM('2018+'!H1641:H2006)</f>
        <v>1229.3999999999999</v>
      </c>
    </row>
    <row r="573" spans="1:3" x14ac:dyDescent="0.2">
      <c r="A573" s="2781">
        <v>45105</v>
      </c>
      <c r="B573" s="2877">
        <f>SUM('2018+'!H1918:H2007)</f>
        <v>396.61000000000007</v>
      </c>
      <c r="C573" s="2877">
        <f>SUM('2018+'!H1642:H2007)</f>
        <v>1220.8600000000001</v>
      </c>
    </row>
    <row r="574" spans="1:3" x14ac:dyDescent="0.2">
      <c r="A574" s="2781">
        <v>45106</v>
      </c>
      <c r="B574" s="2877">
        <f>SUM('2018+'!H1919:H2008)</f>
        <v>393.17000000000013</v>
      </c>
      <c r="C574" s="2877">
        <f>SUM('2018+'!H1643:H2008)</f>
        <v>1227.5700000000002</v>
      </c>
    </row>
    <row r="575" spans="1:3" x14ac:dyDescent="0.2">
      <c r="A575" s="2781">
        <v>45107</v>
      </c>
      <c r="B575" s="2877">
        <f>SUM('2018+'!H1920:H2009)</f>
        <v>401.10000000000014</v>
      </c>
      <c r="C575" s="2877">
        <f>SUM('2018+'!H1644:H2009)</f>
        <v>1224.6200000000001</v>
      </c>
    </row>
    <row r="576" spans="1:3" x14ac:dyDescent="0.2">
      <c r="A576" s="2781">
        <v>45108</v>
      </c>
      <c r="B576" s="2877">
        <f>SUM('2018+'!H1921:H2010)</f>
        <v>388.40000000000015</v>
      </c>
      <c r="C576" s="2877">
        <f>SUM('2018+'!H1645:H2010)</f>
        <v>1224.6200000000001</v>
      </c>
    </row>
    <row r="577" spans="1:3" x14ac:dyDescent="0.2">
      <c r="A577" s="2781">
        <v>45109</v>
      </c>
      <c r="B577" s="2877">
        <f>SUM('2018+'!H1922:H2011)</f>
        <v>400.39000000000016</v>
      </c>
      <c r="C577" s="2877">
        <f>SUM('2018+'!H1646:H2011)</f>
        <v>1236.6100000000001</v>
      </c>
    </row>
    <row r="578" spans="1:3" x14ac:dyDescent="0.2">
      <c r="A578" s="2781">
        <v>45110</v>
      </c>
      <c r="B578" s="2877">
        <f>SUM('2018+'!H1923:H2012)</f>
        <v>399.86000000000013</v>
      </c>
      <c r="C578" s="2877">
        <f>SUM('2018+'!H1647:H2012)</f>
        <v>1234.9000000000001</v>
      </c>
    </row>
    <row r="579" spans="1:3" x14ac:dyDescent="0.2">
      <c r="A579" s="2781">
        <v>45111</v>
      </c>
      <c r="B579" s="2877">
        <f>SUM('2018+'!H1924:H2013)</f>
        <v>390.66000000000014</v>
      </c>
      <c r="C579" s="2877">
        <f>SUM('2018+'!H1648:H2013)</f>
        <v>1234.9000000000001</v>
      </c>
    </row>
    <row r="580" spans="1:3" x14ac:dyDescent="0.2">
      <c r="A580" s="2781">
        <v>45112</v>
      </c>
      <c r="B580" s="2877">
        <f>SUM('2018+'!H1925:H2014)</f>
        <v>383.59000000000009</v>
      </c>
      <c r="C580" s="2877">
        <f>SUM('2018+'!H1649:H2014)</f>
        <v>1225.8200000000002</v>
      </c>
    </row>
    <row r="581" spans="1:3" x14ac:dyDescent="0.2">
      <c r="A581" s="2781">
        <v>45113</v>
      </c>
      <c r="B581" s="2877">
        <f>SUM('2018+'!H1926:H2015)</f>
        <v>387.37000000000012</v>
      </c>
      <c r="C581" s="2877">
        <f>SUM('2018+'!H1650:H2015)</f>
        <v>1236.1300000000001</v>
      </c>
    </row>
    <row r="582" spans="1:3" x14ac:dyDescent="0.2">
      <c r="A582" s="2781">
        <v>45114</v>
      </c>
      <c r="B582" s="2877">
        <f>SUM('2018+'!H1927:H2016)</f>
        <v>375.71000000000009</v>
      </c>
      <c r="C582" s="2877">
        <f>SUM('2018+'!H1651:H2016)</f>
        <v>1232.5000000000002</v>
      </c>
    </row>
    <row r="583" spans="1:3" x14ac:dyDescent="0.2">
      <c r="A583" s="2781">
        <v>45115</v>
      </c>
      <c r="B583" s="2877">
        <f>SUM('2018+'!H1928:H2017)</f>
        <v>375.71000000000009</v>
      </c>
      <c r="C583" s="2877">
        <f>SUM('2018+'!H1652:H2017)</f>
        <v>1224.0200000000002</v>
      </c>
    </row>
    <row r="584" spans="1:3" x14ac:dyDescent="0.2">
      <c r="A584" s="2781">
        <v>45116</v>
      </c>
      <c r="B584" s="2877">
        <f>SUM('2018+'!H1929:H2018)</f>
        <v>390.92000000000007</v>
      </c>
      <c r="C584" s="2877">
        <f>SUM('2018+'!H1653:H2018)</f>
        <v>1239.2300000000002</v>
      </c>
    </row>
    <row r="585" spans="1:3" x14ac:dyDescent="0.2">
      <c r="A585" s="2781">
        <v>45117</v>
      </c>
      <c r="B585" s="2877">
        <f>SUM('2018+'!H1930:H2019)</f>
        <v>390.86</v>
      </c>
      <c r="C585" s="2877">
        <f>SUM('2018+'!H1654:H2019)</f>
        <v>1235.6500000000003</v>
      </c>
    </row>
    <row r="586" spans="1:3" x14ac:dyDescent="0.2">
      <c r="A586" s="2781">
        <v>45118</v>
      </c>
      <c r="B586" s="2877">
        <f>SUM('2018+'!H1931:H2020)</f>
        <v>397.82</v>
      </c>
      <c r="C586" s="2877">
        <f>SUM('2018+'!H1655:H2020)</f>
        <v>1242.6100000000004</v>
      </c>
    </row>
    <row r="587" spans="1:3" x14ac:dyDescent="0.2">
      <c r="A587" s="2781">
        <v>45119</v>
      </c>
      <c r="B587" s="2877">
        <f>SUM('2018+'!H1932:H2021)</f>
        <v>397.82</v>
      </c>
      <c r="C587" s="2877">
        <f>SUM('2018+'!H1656:H2021)</f>
        <v>1242.6100000000004</v>
      </c>
    </row>
    <row r="588" spans="1:3" x14ac:dyDescent="0.2">
      <c r="A588" s="2781">
        <v>45120</v>
      </c>
      <c r="B588" s="2877">
        <f>SUM('2018+'!H1933:H2022)</f>
        <v>405.88</v>
      </c>
      <c r="C588" s="2877">
        <f>SUM('2018+'!H1657:H2022)</f>
        <v>1241.7000000000005</v>
      </c>
    </row>
    <row r="589" spans="1:3" x14ac:dyDescent="0.2">
      <c r="A589" s="2781">
        <v>45121</v>
      </c>
      <c r="B589" s="2877">
        <f>SUM('2018+'!H1934:H2023)</f>
        <v>402.98</v>
      </c>
      <c r="C589" s="2877">
        <f>SUM('2018+'!H1658:H2023)</f>
        <v>1241.0000000000002</v>
      </c>
    </row>
    <row r="590" spans="1:3" x14ac:dyDescent="0.2">
      <c r="A590" s="2781">
        <v>45122</v>
      </c>
      <c r="B590" s="2877">
        <f>SUM('2018+'!H1935:H2024)</f>
        <v>396.71000000000004</v>
      </c>
      <c r="C590" s="2877">
        <f>SUM('2018+'!H1659:H2024)</f>
        <v>1232.7000000000003</v>
      </c>
    </row>
    <row r="591" spans="1:3" x14ac:dyDescent="0.2">
      <c r="A591" s="2781">
        <v>45123</v>
      </c>
      <c r="B591" s="2877">
        <f>SUM('2018+'!H1936:H2025)</f>
        <v>406.09000000000003</v>
      </c>
      <c r="C591" s="2877">
        <f>SUM('2018+'!H1660:H2025)</f>
        <v>1248.0000000000002</v>
      </c>
    </row>
    <row r="592" spans="1:3" x14ac:dyDescent="0.2">
      <c r="A592" s="2781">
        <v>45124</v>
      </c>
      <c r="B592" s="2877">
        <f>SUM('2018+'!H1937:H2026)</f>
        <v>404.03000000000009</v>
      </c>
      <c r="C592" s="2877">
        <f>SUM('2018+'!H1661:H2026)</f>
        <v>1245.69</v>
      </c>
    </row>
    <row r="593" spans="1:3" x14ac:dyDescent="0.2">
      <c r="A593" s="2781">
        <v>45125</v>
      </c>
      <c r="B593" s="2877">
        <f>SUM('2018+'!H1938:H2027)</f>
        <v>404.03000000000009</v>
      </c>
      <c r="C593" s="2877">
        <f>SUM('2018+'!H1662:H2027)</f>
        <v>1245.69</v>
      </c>
    </row>
    <row r="594" spans="1:3" x14ac:dyDescent="0.2">
      <c r="A594" s="2781">
        <v>45126</v>
      </c>
      <c r="B594" s="2877">
        <f>SUM('2018+'!H1939:H2028)</f>
        <v>397</v>
      </c>
      <c r="C594" s="2877">
        <f>SUM('2018+'!H1663:H2028)</f>
        <v>1237.8000000000002</v>
      </c>
    </row>
    <row r="595" spans="1:3" x14ac:dyDescent="0.2">
      <c r="A595" s="2781">
        <v>45127</v>
      </c>
      <c r="B595" s="2877">
        <f>SUM('2018+'!H1940:H2029)</f>
        <v>396.77000000000004</v>
      </c>
      <c r="C595" s="2877">
        <f>SUM('2018+'!H1664:H2029)</f>
        <v>1237.7700000000002</v>
      </c>
    </row>
    <row r="596" spans="1:3" x14ac:dyDescent="0.2">
      <c r="A596" s="2781">
        <v>45128</v>
      </c>
      <c r="B596" s="2877">
        <f>SUM('2018+'!H1941:H2030)</f>
        <v>405.36</v>
      </c>
      <c r="C596" s="2877">
        <f>SUM('2018+'!H1665:H2030)</f>
        <v>1234.8600000000001</v>
      </c>
    </row>
    <row r="597" spans="1:3" x14ac:dyDescent="0.2">
      <c r="A597" s="2781">
        <v>45129</v>
      </c>
      <c r="B597" s="2877">
        <f>SUM('2018+'!H1942:H2031)</f>
        <v>396.12</v>
      </c>
      <c r="C597" s="2877">
        <f>SUM('2018+'!H1666:H2031)</f>
        <v>1234.8600000000001</v>
      </c>
    </row>
    <row r="598" spans="1:3" x14ac:dyDescent="0.2">
      <c r="A598" s="2781">
        <v>45130</v>
      </c>
      <c r="B598" s="2877">
        <f>SUM('2018+'!H1943:H2032)</f>
        <v>404.18999999999994</v>
      </c>
      <c r="C598" s="2877">
        <f>SUM('2018+'!H1667:H2032)</f>
        <v>1248.8500000000001</v>
      </c>
    </row>
    <row r="599" spans="1:3" x14ac:dyDescent="0.2">
      <c r="A599" s="2781">
        <v>45131</v>
      </c>
      <c r="B599" s="2877">
        <f>SUM('2018+'!H1944:H2033)</f>
        <v>405.40000000000003</v>
      </c>
      <c r="C599" s="2877">
        <f>SUM('2018+'!H1668:H2033)</f>
        <v>1246.8100000000002</v>
      </c>
    </row>
    <row r="600" spans="1:3" x14ac:dyDescent="0.2">
      <c r="A600" s="2781">
        <v>45132</v>
      </c>
      <c r="B600" s="2877">
        <f>SUM('2018+'!H1945:H2034)</f>
        <v>405.40000000000003</v>
      </c>
      <c r="C600" s="2877">
        <f>SUM('2018+'!H1669:H2034)</f>
        <v>1246.8100000000002</v>
      </c>
    </row>
    <row r="601" spans="1:3" x14ac:dyDescent="0.2">
      <c r="A601" s="2781">
        <v>45133</v>
      </c>
      <c r="B601" s="2877">
        <f>SUM('2018+'!H1946:H2035)</f>
        <v>407.55</v>
      </c>
      <c r="C601" s="2877">
        <f>SUM('2018+'!H1670:H2035)</f>
        <v>1255.5900000000001</v>
      </c>
    </row>
    <row r="602" spans="1:3" x14ac:dyDescent="0.2">
      <c r="A602" s="2781">
        <v>45134</v>
      </c>
      <c r="B602" s="2877">
        <f>SUM('2018+'!H1947:H2036)</f>
        <v>409.31</v>
      </c>
      <c r="C602" s="2877">
        <f>SUM('2018+'!H1671:H2036)</f>
        <v>1262.6500000000001</v>
      </c>
    </row>
    <row r="603" spans="1:3" x14ac:dyDescent="0.2">
      <c r="A603" s="2781">
        <v>45135</v>
      </c>
      <c r="B603" s="2877">
        <f>SUM('2018+'!H1948:H2037)</f>
        <v>416.97</v>
      </c>
      <c r="C603" s="2877">
        <f>SUM('2018+'!H1672:H2037)</f>
        <v>1270.3100000000002</v>
      </c>
    </row>
    <row r="604" spans="1:3" x14ac:dyDescent="0.2">
      <c r="A604" s="2781">
        <v>45136</v>
      </c>
      <c r="B604" s="2877">
        <f>SUM('2018+'!H1949:H2038)</f>
        <v>411.97</v>
      </c>
      <c r="C604" s="2877">
        <f>SUM('2018+'!H1673:H2038)</f>
        <v>1270.3100000000002</v>
      </c>
    </row>
    <row r="605" spans="1:3" x14ac:dyDescent="0.2">
      <c r="A605" s="2781">
        <v>45137</v>
      </c>
      <c r="B605" s="2877">
        <f>SUM('2018+'!H1950:H2039)</f>
        <v>426.35</v>
      </c>
      <c r="C605" s="2877">
        <f>SUM('2018+'!H1674:H2039)</f>
        <v>1284.6900000000003</v>
      </c>
    </row>
    <row r="606" spans="1:3" x14ac:dyDescent="0.2">
      <c r="A606" s="2781">
        <v>45138</v>
      </c>
      <c r="B606" s="2877">
        <f>SUM('2018+'!H1951:H2040)</f>
        <v>434.37</v>
      </c>
      <c r="C606" s="2877">
        <f>SUM('2018+'!H1675:H2040)</f>
        <v>1292.7100000000003</v>
      </c>
    </row>
    <row r="607" spans="1:3" x14ac:dyDescent="0.2">
      <c r="A607" s="2781">
        <v>45139</v>
      </c>
      <c r="B607" s="2877">
        <f>SUM('2018+'!H1952:H2041)</f>
        <v>429.68</v>
      </c>
      <c r="C607" s="2877">
        <f>SUM('2018+'!H1676:H2041)</f>
        <v>1282.79</v>
      </c>
    </row>
    <row r="608" spans="1:3" x14ac:dyDescent="0.2">
      <c r="A608" s="2781">
        <v>45140</v>
      </c>
      <c r="B608" s="2877">
        <f>SUM('2018+'!H1953:H2042)</f>
        <v>433.39000000000004</v>
      </c>
      <c r="C608" s="2877">
        <f>SUM('2018+'!H1677:H2042)</f>
        <v>1291.95</v>
      </c>
    </row>
    <row r="609" spans="1:3" x14ac:dyDescent="0.2">
      <c r="A609" s="2781">
        <v>45141</v>
      </c>
      <c r="B609" s="2877">
        <f>SUM('2018+'!H1954:H2043)</f>
        <v>434.90000000000003</v>
      </c>
      <c r="C609" s="2877">
        <f>SUM('2018+'!H1678:H2043)</f>
        <v>1289.1900000000003</v>
      </c>
    </row>
    <row r="610" spans="1:3" x14ac:dyDescent="0.2">
      <c r="A610" s="2781">
        <v>45142</v>
      </c>
      <c r="B610" s="2877">
        <f>SUM('2018+'!H1955:H2044)</f>
        <v>446.02000000000004</v>
      </c>
      <c r="C610" s="2877">
        <f>SUM('2018+'!H1679:H2044)</f>
        <v>1300.3100000000002</v>
      </c>
    </row>
    <row r="611" spans="1:3" x14ac:dyDescent="0.2">
      <c r="A611" s="2781">
        <v>45143</v>
      </c>
      <c r="B611" s="2877">
        <f>SUM('2018+'!H1956:H2045)</f>
        <v>446.02000000000004</v>
      </c>
      <c r="C611" s="2877">
        <f>SUM('2018+'!H1680:H2045)</f>
        <v>1290.5600000000002</v>
      </c>
    </row>
    <row r="612" spans="1:3" x14ac:dyDescent="0.2">
      <c r="A612" s="2781">
        <v>45144</v>
      </c>
      <c r="B612" s="2877">
        <f>SUM('2018+'!H1957:H2046)</f>
        <v>456.17</v>
      </c>
      <c r="C612" s="2877">
        <f>SUM('2018+'!H1681:H2046)</f>
        <v>1306.3900000000001</v>
      </c>
    </row>
    <row r="613" spans="1:3" x14ac:dyDescent="0.2">
      <c r="A613" s="2781">
        <v>45145</v>
      </c>
      <c r="B613" s="2877">
        <f>SUM('2018+'!H1958:H2047)</f>
        <v>449.46000000000004</v>
      </c>
      <c r="C613" s="2877">
        <f>SUM('2018+'!H1682:H2047)</f>
        <v>1293.19</v>
      </c>
    </row>
    <row r="614" spans="1:3" x14ac:dyDescent="0.2">
      <c r="A614" s="2781">
        <v>45146</v>
      </c>
      <c r="B614" s="2877">
        <f>SUM('2018+'!H1959:H2048)</f>
        <v>457.13000000000005</v>
      </c>
      <c r="C614" s="2877">
        <f>SUM('2018+'!H1683:H2048)</f>
        <v>1300.8600000000001</v>
      </c>
    </row>
    <row r="615" spans="1:3" x14ac:dyDescent="0.2">
      <c r="A615" s="2781">
        <v>45147</v>
      </c>
      <c r="B615" s="2877">
        <f>SUM('2018+'!H1960:H2049)</f>
        <v>450.19000000000011</v>
      </c>
      <c r="C615" s="2877">
        <f>SUM('2018+'!H1684:H2049)</f>
        <v>1291.8500000000001</v>
      </c>
    </row>
    <row r="616" spans="1:3" x14ac:dyDescent="0.2">
      <c r="A616" s="2781">
        <v>45148</v>
      </c>
      <c r="B616" s="2877">
        <f>SUM('2018+'!H1961:H2050)</f>
        <v>450.19000000000011</v>
      </c>
      <c r="C616" s="2877">
        <f>SUM('2018+'!H1685:H2050)</f>
        <v>1291.8500000000001</v>
      </c>
    </row>
    <row r="617" spans="1:3" x14ac:dyDescent="0.2">
      <c r="A617" s="2781">
        <v>45149</v>
      </c>
      <c r="B617" s="2877">
        <f>SUM('2018+'!H1962:H2051)</f>
        <v>459.06000000000012</v>
      </c>
      <c r="C617" s="2877">
        <f>SUM('2018+'!H1686:H2051)</f>
        <v>1294.56</v>
      </c>
    </row>
    <row r="618" spans="1:3" x14ac:dyDescent="0.2">
      <c r="A618" s="2781">
        <v>45150</v>
      </c>
      <c r="B618" s="2877">
        <f>SUM('2018+'!H1963:H2052)</f>
        <v>467.96000000000009</v>
      </c>
      <c r="C618" s="2877">
        <f>SUM('2018+'!H1687:H2052)</f>
        <v>1303.46</v>
      </c>
    </row>
    <row r="619" spans="1:3" x14ac:dyDescent="0.2">
      <c r="A619" s="2781">
        <v>45151</v>
      </c>
      <c r="B619" s="2877">
        <f>SUM('2018+'!H1964:H2053)</f>
        <v>485.16000000000008</v>
      </c>
      <c r="C619" s="2877">
        <f>SUM('2018+'!H1688:H2053)</f>
        <v>1320.66</v>
      </c>
    </row>
    <row r="620" spans="1:3" x14ac:dyDescent="0.2">
      <c r="A620" s="2781">
        <v>45152</v>
      </c>
      <c r="B620" s="2877">
        <f>SUM('2018+'!H1965:H2054)</f>
        <v>477.47000000000008</v>
      </c>
      <c r="C620" s="2877">
        <f>SUM('2018+'!H1689:H2054)</f>
        <v>1320.66</v>
      </c>
    </row>
    <row r="621" spans="1:3" x14ac:dyDescent="0.2">
      <c r="A621" s="2781">
        <v>45153</v>
      </c>
      <c r="B621" s="2877">
        <f>SUM('2018+'!H1966:H2055)</f>
        <v>486.35000000000008</v>
      </c>
      <c r="C621" s="2877">
        <f>SUM('2018+'!H1690:H2055)</f>
        <v>1329.5400000000002</v>
      </c>
    </row>
    <row r="622" spans="1:3" x14ac:dyDescent="0.2">
      <c r="A622" s="2781">
        <v>45154</v>
      </c>
      <c r="B622" s="2877">
        <f>SUM('2018+'!H1967:H2056)</f>
        <v>486.35000000000008</v>
      </c>
      <c r="C622" s="2877">
        <f>SUM('2018+'!H1691:H2056)</f>
        <v>1329.5400000000002</v>
      </c>
    </row>
    <row r="623" spans="1:3" x14ac:dyDescent="0.2">
      <c r="A623" s="2781">
        <v>45155</v>
      </c>
      <c r="B623" s="2877">
        <f>SUM('2018+'!H1968:H2057)</f>
        <v>494.74000000000007</v>
      </c>
      <c r="C623" s="2877">
        <f>SUM('2018+'!H1692:H2057)</f>
        <v>1326.7300000000002</v>
      </c>
    </row>
    <row r="624" spans="1:3" x14ac:dyDescent="0.2">
      <c r="A624" s="2781">
        <v>45156</v>
      </c>
      <c r="B624" s="2877">
        <f>SUM('2018+'!H1969:H2058)</f>
        <v>494.74000000000007</v>
      </c>
      <c r="C624" s="2877">
        <f>SUM('2018+'!H1693:H2058)</f>
        <v>1326.7300000000002</v>
      </c>
    </row>
    <row r="625" spans="1:3" x14ac:dyDescent="0.2">
      <c r="A625" s="2781">
        <v>45157</v>
      </c>
      <c r="B625" s="2877">
        <f>SUM('2018+'!H1970:H2059)</f>
        <v>487.84000000000009</v>
      </c>
      <c r="C625" s="2877">
        <f>SUM('2018+'!H1694:H2059)</f>
        <v>1316.2300000000002</v>
      </c>
    </row>
    <row r="626" spans="1:3" x14ac:dyDescent="0.2">
      <c r="A626" s="2781">
        <v>45158</v>
      </c>
      <c r="B626" s="2877">
        <f>SUM('2018+'!H1971:H2060)</f>
        <v>493.60000000000014</v>
      </c>
      <c r="C626" s="2877">
        <f>SUM('2018+'!H1695:H2060)</f>
        <v>1328.0900000000001</v>
      </c>
    </row>
    <row r="627" spans="1:3" x14ac:dyDescent="0.2">
      <c r="A627" s="2781">
        <v>45159</v>
      </c>
      <c r="B627" s="2877">
        <f>SUM('2018+'!H1972:H2061)</f>
        <v>493.60000000000014</v>
      </c>
      <c r="C627" s="2877">
        <f>SUM('2018+'!H1696:H2061)</f>
        <v>1317.5900000000001</v>
      </c>
    </row>
    <row r="628" spans="1:3" x14ac:dyDescent="0.2">
      <c r="A628" s="2781">
        <v>45160</v>
      </c>
      <c r="B628" s="2877">
        <f>SUM('2018+'!H1973:H2062)</f>
        <v>494.80000000000013</v>
      </c>
      <c r="C628" s="2877">
        <f>SUM('2018+'!H1697:H2062)</f>
        <v>1324.8000000000002</v>
      </c>
    </row>
    <row r="629" spans="1:3" x14ac:dyDescent="0.2">
      <c r="A629" s="2781">
        <v>45161</v>
      </c>
      <c r="B629" s="2877">
        <f>SUM('2018+'!H1974:H2063)</f>
        <v>487.84000000000009</v>
      </c>
      <c r="C629" s="2877">
        <f>SUM('2018+'!H1698:H2063)</f>
        <v>1317.12</v>
      </c>
    </row>
    <row r="630" spans="1:3" x14ac:dyDescent="0.2">
      <c r="A630" s="2781">
        <v>45162</v>
      </c>
      <c r="B630" s="2877">
        <f>SUM('2018+'!H1975:H2064)</f>
        <v>489.03000000000009</v>
      </c>
      <c r="C630" s="2877">
        <f>SUM('2018+'!H1699:H2064)</f>
        <v>1325.05</v>
      </c>
    </row>
    <row r="631" spans="1:3" x14ac:dyDescent="0.2">
      <c r="A631" s="2781">
        <v>45163</v>
      </c>
      <c r="B631" s="2877">
        <f>SUM('2018+'!H1976:H2065)</f>
        <v>497.59000000000009</v>
      </c>
      <c r="C631" s="2877">
        <f>SUM('2018+'!H1700:H2065)</f>
        <v>1324.5500000000002</v>
      </c>
    </row>
    <row r="632" spans="1:3" x14ac:dyDescent="0.2">
      <c r="A632" s="2781">
        <v>45164</v>
      </c>
      <c r="B632" s="2877">
        <f>SUM('2018+'!H1977:H2066)</f>
        <v>497.59000000000009</v>
      </c>
      <c r="C632" s="2877">
        <f>SUM('2018+'!H1701:H2066)</f>
        <v>1317.2700000000002</v>
      </c>
    </row>
    <row r="633" spans="1:3" x14ac:dyDescent="0.2">
      <c r="A633" s="2781">
        <v>45165</v>
      </c>
      <c r="B633" s="2877">
        <f>SUM('2018+'!H1978:H2067)</f>
        <v>511.11000000000007</v>
      </c>
      <c r="C633" s="2877">
        <f>SUM('2018+'!H1702:H2067)</f>
        <v>1330.7900000000002</v>
      </c>
    </row>
    <row r="634" spans="1:3" x14ac:dyDescent="0.2">
      <c r="A634" s="2781">
        <v>45166</v>
      </c>
      <c r="B634" s="2877">
        <f>SUM('2018+'!H1979:H2068)</f>
        <v>505.56000000000012</v>
      </c>
      <c r="C634" s="2877">
        <f>SUM('2018+'!H1703:H2068)</f>
        <v>1321.02</v>
      </c>
    </row>
    <row r="635" spans="1:3" x14ac:dyDescent="0.2">
      <c r="A635" s="2781">
        <v>45167</v>
      </c>
      <c r="B635" s="2877">
        <f>SUM('2018+'!H1980:H2069)</f>
        <v>506.7000000000001</v>
      </c>
      <c r="C635" s="2877">
        <f>SUM('2018+'!H1704:H2069)</f>
        <v>1329.22</v>
      </c>
    </row>
    <row r="636" spans="1:3" x14ac:dyDescent="0.2">
      <c r="A636" s="2781">
        <v>45168</v>
      </c>
      <c r="B636" s="2877">
        <f>SUM('2018+'!H1981:H2070)</f>
        <v>499.71000000000009</v>
      </c>
      <c r="C636" s="2877">
        <f>SUM('2018+'!H1705:H2070)</f>
        <v>1329.22</v>
      </c>
    </row>
    <row r="637" spans="1:3" x14ac:dyDescent="0.2">
      <c r="A637" s="2781">
        <v>45169</v>
      </c>
      <c r="B637" s="2877">
        <f>SUM('2018+'!H1982:H2071)</f>
        <v>505.35000000000008</v>
      </c>
      <c r="C637" s="2877">
        <f>SUM('2018+'!H1706:H2071)</f>
        <v>1340.97</v>
      </c>
    </row>
    <row r="638" spans="1:3" x14ac:dyDescent="0.2">
      <c r="A638" s="2781">
        <v>45170</v>
      </c>
      <c r="B638" s="2877">
        <f>SUM('2018+'!H1983:H2072)</f>
        <v>512.15000000000009</v>
      </c>
      <c r="C638" s="2877">
        <f>SUM('2018+'!H1707:H2072)</f>
        <v>1340.8700000000001</v>
      </c>
    </row>
    <row r="639" spans="1:3" x14ac:dyDescent="0.2">
      <c r="A639" s="2781">
        <v>45171</v>
      </c>
      <c r="B639" s="2877">
        <f>SUM('2018+'!H1984:H2073)</f>
        <v>499.75000000000006</v>
      </c>
      <c r="C639" s="2877">
        <f>SUM('2018+'!H1708:H2073)</f>
        <v>1340.8700000000001</v>
      </c>
    </row>
    <row r="640" spans="1:3" x14ac:dyDescent="0.2">
      <c r="A640" s="2781">
        <v>45172</v>
      </c>
      <c r="B640" s="2877">
        <f>SUM('2018+'!H1985:H2074)</f>
        <v>514.18000000000006</v>
      </c>
      <c r="C640" s="2877">
        <f>SUM('2018+'!H1709:H2074)</f>
        <v>1355.3000000000002</v>
      </c>
    </row>
    <row r="641" spans="1:3" x14ac:dyDescent="0.2">
      <c r="A641" s="2781">
        <v>45173</v>
      </c>
      <c r="B641" s="2877">
        <f>SUM('2018+'!H1986:H2075)</f>
        <v>514.2700000000001</v>
      </c>
      <c r="C641" s="2877">
        <f>SUM('2018+'!H1710:H2075)</f>
        <v>1355.3500000000001</v>
      </c>
    </row>
    <row r="642" spans="1:3" x14ac:dyDescent="0.2">
      <c r="A642" s="2781">
        <v>45174</v>
      </c>
      <c r="B642" s="2877">
        <f>SUM('2018+'!H1987:H2076)</f>
        <v>525.82000000000005</v>
      </c>
      <c r="C642" s="2877">
        <f>SUM('2018+'!H1711:H2076)</f>
        <v>1366.9</v>
      </c>
    </row>
    <row r="643" spans="1:3" x14ac:dyDescent="0.2">
      <c r="A643" s="2781">
        <v>45175</v>
      </c>
      <c r="B643" s="2877">
        <f>SUM('2018+'!H1988:H2077)</f>
        <v>534.28000000000009</v>
      </c>
      <c r="C643" s="2877">
        <f>SUM('2018+'!H1712:H2077)</f>
        <v>1365.16</v>
      </c>
    </row>
    <row r="644" spans="1:3" x14ac:dyDescent="0.2">
      <c r="A644" s="2781">
        <v>45176</v>
      </c>
      <c r="B644" s="2877">
        <f>SUM('2018+'!H1989:H2078)</f>
        <v>524.93000000000006</v>
      </c>
      <c r="C644" s="2877">
        <f>SUM('2018+'!H1713:H2078)</f>
        <v>1365.16</v>
      </c>
    </row>
    <row r="645" spans="1:3" x14ac:dyDescent="0.2">
      <c r="A645" s="2781">
        <v>45177</v>
      </c>
      <c r="B645" s="2877">
        <f>SUM('2018+'!H1990:H2079)</f>
        <v>533.18000000000006</v>
      </c>
      <c r="C645" s="2877">
        <f>SUM('2018+'!H1714:H2079)</f>
        <v>1363.3100000000002</v>
      </c>
    </row>
    <row r="646" spans="1:3" x14ac:dyDescent="0.2">
      <c r="A646" s="2781">
        <v>45178</v>
      </c>
      <c r="B646" s="2877">
        <f>SUM('2018+'!H1991:H2080)</f>
        <v>535.26</v>
      </c>
      <c r="C646" s="2877">
        <f>SUM('2018+'!H1715:H2080)</f>
        <v>1377.0900000000001</v>
      </c>
    </row>
    <row r="647" spans="1:3" x14ac:dyDescent="0.2">
      <c r="A647" s="2781">
        <v>45179</v>
      </c>
      <c r="B647" s="2877">
        <f>SUM('2018+'!H1992:H2081)</f>
        <v>529.04</v>
      </c>
      <c r="C647" s="2877">
        <f>SUM('2018+'!H1716:H2081)</f>
        <v>1367.4900000000002</v>
      </c>
    </row>
    <row r="648" spans="1:3" x14ac:dyDescent="0.2">
      <c r="A648" s="2781">
        <v>45180</v>
      </c>
      <c r="B648" s="2877">
        <f>SUM('2018+'!H1993:H2082)</f>
        <v>532.52</v>
      </c>
      <c r="C648" s="2877">
        <f>SUM('2018+'!H1717:H2082)</f>
        <v>1377.6400000000003</v>
      </c>
    </row>
    <row r="649" spans="1:3" x14ac:dyDescent="0.2">
      <c r="A649" s="2781">
        <v>45181</v>
      </c>
      <c r="B649" s="2877">
        <f>SUM('2018+'!H1994:H2083)</f>
        <v>532.52</v>
      </c>
      <c r="C649" s="2877">
        <f>SUM('2018+'!H1718:H2083)</f>
        <v>1377.6400000000003</v>
      </c>
    </row>
    <row r="650" spans="1:3" x14ac:dyDescent="0.2">
      <c r="A650" s="2781">
        <v>45182</v>
      </c>
      <c r="B650" s="2877">
        <f>SUM('2018+'!H1995:H2084)</f>
        <v>534.75999999999988</v>
      </c>
      <c r="C650" s="2877">
        <f>SUM('2018+'!H1719:H2084)</f>
        <v>1374.5400000000004</v>
      </c>
    </row>
    <row r="651" spans="1:3" x14ac:dyDescent="0.2">
      <c r="A651" s="2781">
        <v>45183</v>
      </c>
      <c r="B651" s="2877">
        <f>SUM('2018+'!H1996:H2085)</f>
        <v>527.24999999999989</v>
      </c>
      <c r="C651" s="2877">
        <f>SUM('2018+'!H1720:H2085)</f>
        <v>1374.5400000000004</v>
      </c>
    </row>
    <row r="652" spans="1:3" x14ac:dyDescent="0.2">
      <c r="A652" s="2781">
        <v>45184</v>
      </c>
      <c r="B652" s="2877">
        <f>SUM('2018+'!H1997:H2086)</f>
        <v>527.24999999999989</v>
      </c>
      <c r="C652" s="2877">
        <f>SUM('2018+'!H1721:H2086)</f>
        <v>1367.1000000000001</v>
      </c>
    </row>
    <row r="653" spans="1:3" x14ac:dyDescent="0.2">
      <c r="A653" s="2781">
        <v>45185</v>
      </c>
      <c r="B653" s="2877">
        <f>SUM('2018+'!H1998:H2087)</f>
        <v>514.27</v>
      </c>
      <c r="C653" s="2877">
        <f>SUM('2018+'!H1722:H2087)</f>
        <v>1367.1000000000001</v>
      </c>
    </row>
    <row r="654" spans="1:3" x14ac:dyDescent="0.2">
      <c r="A654" s="2781">
        <v>45186</v>
      </c>
      <c r="B654" s="2877">
        <f>SUM('2018+'!H1999:H2088)</f>
        <v>525.11999999999989</v>
      </c>
      <c r="C654" s="2877">
        <f>SUM('2018+'!H1723:H2088)</f>
        <v>1384.46</v>
      </c>
    </row>
    <row r="655" spans="1:3" x14ac:dyDescent="0.2">
      <c r="A655" s="2781">
        <v>45187</v>
      </c>
      <c r="B655" s="2877">
        <f>SUM('2018+'!H2000:H2089)</f>
        <v>525.80999999999995</v>
      </c>
      <c r="C655" s="2877">
        <f>SUM('2018+'!H1724:H2089)</f>
        <v>1383.8600000000001</v>
      </c>
    </row>
    <row r="656" spans="1:3" x14ac:dyDescent="0.2">
      <c r="A656" s="2781">
        <v>45188</v>
      </c>
      <c r="B656" s="2877">
        <f>SUM('2018+'!H2001:H2090)</f>
        <v>525.80999999999995</v>
      </c>
      <c r="C656" s="2877">
        <f>SUM('2018+'!H1725:H2090)</f>
        <v>1383.8600000000001</v>
      </c>
    </row>
    <row r="657" spans="1:3" x14ac:dyDescent="0.2">
      <c r="A657" s="2781">
        <v>45189</v>
      </c>
      <c r="B657" s="2877">
        <f>SUM('2018+'!H2002:H2091)</f>
        <v>531.07699999999988</v>
      </c>
      <c r="C657" s="2877">
        <f>SUM('2018+'!H1726:H2091)</f>
        <v>1394.9670000000001</v>
      </c>
    </row>
    <row r="658" spans="1:3" x14ac:dyDescent="0.2">
      <c r="A658" s="2781">
        <v>45190</v>
      </c>
      <c r="B658" s="2877">
        <f>SUM('2018+'!H2003:H2092)</f>
        <v>532.31700000000001</v>
      </c>
      <c r="C658" s="2877">
        <f>SUM('2018+'!H1727:H2092)</f>
        <v>1403.4270000000001</v>
      </c>
    </row>
    <row r="659" spans="1:3" x14ac:dyDescent="0.2">
      <c r="A659" s="2781">
        <v>45191</v>
      </c>
      <c r="B659" s="2877">
        <f>SUM('2018+'!H2004:H2093)</f>
        <v>532.31700000000001</v>
      </c>
      <c r="C659" s="2877">
        <f>SUM('2018+'!H1728:H2093)</f>
        <v>1403.4270000000001</v>
      </c>
    </row>
    <row r="660" spans="1:3" x14ac:dyDescent="0.2">
      <c r="A660" s="2781">
        <v>45192</v>
      </c>
      <c r="B660" s="2877">
        <f>SUM('2018+'!H2005:H2094)</f>
        <v>519.34699999999998</v>
      </c>
      <c r="C660" s="2877">
        <f>SUM('2018+'!H1729:H2094)</f>
        <v>1403.4270000000001</v>
      </c>
    </row>
    <row r="661" spans="1:3" x14ac:dyDescent="0.2">
      <c r="A661" s="2781">
        <v>45193</v>
      </c>
      <c r="B661" s="2877">
        <f>SUM('2018+'!H2006:H2095)</f>
        <v>529.1869999999999</v>
      </c>
      <c r="C661" s="2877">
        <f>SUM('2018+'!H1730:H2095)</f>
        <v>1419.2370000000001</v>
      </c>
    </row>
    <row r="662" spans="1:3" x14ac:dyDescent="0.2">
      <c r="A662" s="2781">
        <v>45194</v>
      </c>
      <c r="B662" s="2877">
        <f>SUM('2018+'!H2007:H2096)</f>
        <v>527.09699999999987</v>
      </c>
      <c r="C662" s="2877">
        <f>SUM('2018+'!H1731:H2096)</f>
        <v>1425.077</v>
      </c>
    </row>
    <row r="663" spans="1:3" x14ac:dyDescent="0.2">
      <c r="A663" s="2781">
        <v>45195</v>
      </c>
      <c r="B663" s="2877">
        <f>SUM('2018+'!H2008:H2097)</f>
        <v>527.09699999999987</v>
      </c>
      <c r="C663" s="2877">
        <f>SUM('2018+'!H1732:H2097)</f>
        <v>1414.4770000000001</v>
      </c>
    </row>
    <row r="664" spans="1:3" x14ac:dyDescent="0.2">
      <c r="A664" s="2781">
        <v>45196</v>
      </c>
      <c r="B664" s="2877">
        <f>SUM('2018+'!H2009:H2098)</f>
        <v>527.22699999999998</v>
      </c>
      <c r="C664" s="2877">
        <f>SUM('2018+'!H1733:H2098)</f>
        <v>1421.317</v>
      </c>
    </row>
    <row r="665" spans="1:3" x14ac:dyDescent="0.2">
      <c r="A665" s="2781">
        <v>45197</v>
      </c>
      <c r="B665" s="2877">
        <f>SUM('2018+'!H2010:H2099)</f>
        <v>519.29700000000003</v>
      </c>
      <c r="C665" s="2877">
        <f>SUM('2018+'!H1734:H2099)</f>
        <v>1415.057</v>
      </c>
    </row>
    <row r="666" spans="1:3" x14ac:dyDescent="0.2">
      <c r="A666" s="2781">
        <v>45198</v>
      </c>
      <c r="B666" s="2877">
        <f>SUM('2018+'!H2011:H2100)</f>
        <v>523.51700000000005</v>
      </c>
      <c r="C666" s="2877">
        <f>SUM('2018+'!H1735:H2100)</f>
        <v>1419.277</v>
      </c>
    </row>
    <row r="667" spans="1:3" x14ac:dyDescent="0.2">
      <c r="A667" s="2781">
        <v>45199</v>
      </c>
      <c r="B667" s="2877">
        <f>SUM('2018+'!H2012:H2101)</f>
        <v>511.52699999999993</v>
      </c>
      <c r="C667" s="2877">
        <f>SUM('2018+'!H1736:H2101)</f>
        <v>1419.277</v>
      </c>
    </row>
    <row r="668" spans="1:3" x14ac:dyDescent="0.2">
      <c r="A668" s="2781">
        <v>45200</v>
      </c>
      <c r="B668" s="2877">
        <f>SUM('2018+'!H2013:H2102)</f>
        <v>505.40699999999993</v>
      </c>
      <c r="C668" s="2877">
        <f>SUM('2018+'!H1737:H2102)</f>
        <v>1419.277</v>
      </c>
    </row>
    <row r="669" spans="1:3" x14ac:dyDescent="0.2">
      <c r="A669" s="2781">
        <v>45201</v>
      </c>
      <c r="B669" s="2877">
        <f>SUM('2018+'!H2014:H2103)</f>
        <v>516.21699999999987</v>
      </c>
      <c r="C669" s="2877">
        <f>SUM('2018+'!H1738:H2103)</f>
        <v>1415.787</v>
      </c>
    </row>
    <row r="670" spans="1:3" x14ac:dyDescent="0.2">
      <c r="A670" s="2781">
        <v>45202</v>
      </c>
      <c r="B670" s="2877">
        <f>SUM('2018+'!H2015:H2104)</f>
        <v>526.33699999999988</v>
      </c>
      <c r="C670" s="2877">
        <f>SUM('2018+'!H1739:H2104)</f>
        <v>1425.9069999999999</v>
      </c>
    </row>
    <row r="671" spans="1:3" x14ac:dyDescent="0.2">
      <c r="A671" s="2781">
        <v>45203</v>
      </c>
      <c r="B671" s="2877">
        <f>SUM('2018+'!H2016:H2105)</f>
        <v>516.02699999999982</v>
      </c>
      <c r="C671" s="2877">
        <f>SUM('2018+'!H1740:H2105)</f>
        <v>1425.9069999999999</v>
      </c>
    </row>
    <row r="672" spans="1:3" x14ac:dyDescent="0.2">
      <c r="A672" s="2781">
        <v>45204</v>
      </c>
      <c r="B672" s="2877">
        <f>SUM('2018+'!H2017:H2106)</f>
        <v>518.01699999999983</v>
      </c>
      <c r="C672" s="2877">
        <f>SUM('2018+'!H1741:H2106)</f>
        <v>1434.1369999999999</v>
      </c>
    </row>
    <row r="673" spans="1:3" x14ac:dyDescent="0.2">
      <c r="A673" s="2781">
        <v>45205</v>
      </c>
      <c r="B673" s="2877">
        <f>SUM('2018+'!H2018:H2107)</f>
        <v>518.01699999999983</v>
      </c>
      <c r="C673" s="2877">
        <f>SUM('2018+'!H1742:H2107)</f>
        <v>1426.587</v>
      </c>
    </row>
    <row r="674" spans="1:3" x14ac:dyDescent="0.2">
      <c r="A674" s="2781">
        <v>45206</v>
      </c>
      <c r="B674" s="2877">
        <f>SUM('2018+'!H2019:H2108)</f>
        <v>507.80699999999996</v>
      </c>
      <c r="C674" s="2877">
        <f>SUM('2018+'!H1743:H2108)</f>
        <v>1431.587</v>
      </c>
    </row>
    <row r="675" spans="1:3" x14ac:dyDescent="0.2">
      <c r="A675" s="2781">
        <v>45207</v>
      </c>
      <c r="B675" s="2877">
        <f>SUM('2018+'!H2020:H2109)</f>
        <v>500.3769999999999</v>
      </c>
      <c r="C675" s="2877">
        <f>SUM('2018+'!H1744:H2109)</f>
        <v>1431.587</v>
      </c>
    </row>
    <row r="676" spans="1:3" x14ac:dyDescent="0.2">
      <c r="A676" s="2781">
        <v>45208</v>
      </c>
      <c r="B676" s="2877">
        <f>SUM('2018+'!H2021:H2110)</f>
        <v>500.72699999999986</v>
      </c>
      <c r="C676" s="2877">
        <f>SUM('2018+'!H1745:H2110)</f>
        <v>1438.8969999999999</v>
      </c>
    </row>
    <row r="677" spans="1:3" x14ac:dyDescent="0.2">
      <c r="A677" s="2781">
        <v>45209</v>
      </c>
      <c r="B677" s="2877">
        <f>SUM('2018+'!H2022:H2111)</f>
        <v>509.29699999999985</v>
      </c>
      <c r="C677" s="2877">
        <f>SUM('2018+'!H1746:H2111)</f>
        <v>1437.3669999999995</v>
      </c>
    </row>
    <row r="678" spans="1:3" x14ac:dyDescent="0.2">
      <c r="A678" s="2781">
        <v>45210</v>
      </c>
      <c r="B678" s="2877">
        <f>SUM('2018+'!H2023:H2112)</f>
        <v>514.45699999999988</v>
      </c>
      <c r="C678" s="2877">
        <f>SUM('2018+'!H1747:H2112)</f>
        <v>1450.5869999999995</v>
      </c>
    </row>
    <row r="679" spans="1:3" x14ac:dyDescent="0.2">
      <c r="A679" s="2781">
        <v>45211</v>
      </c>
      <c r="B679" s="2877">
        <f>SUM('2018+'!H2024:H2113)</f>
        <v>515.3069999999999</v>
      </c>
      <c r="C679" s="2877">
        <f>SUM('2018+'!H1748:H2113)</f>
        <v>1458.0469999999996</v>
      </c>
    </row>
    <row r="680" spans="1:3" x14ac:dyDescent="0.2">
      <c r="A680" s="2781">
        <v>45212</v>
      </c>
      <c r="B680" s="2877">
        <f>SUM('2018+'!H2025:H2114)</f>
        <v>523.48699999999985</v>
      </c>
      <c r="C680" s="2877">
        <f>SUM('2018+'!H1749:H2114)</f>
        <v>1466.2269999999996</v>
      </c>
    </row>
    <row r="681" spans="1:3" x14ac:dyDescent="0.2">
      <c r="A681" s="2781">
        <v>45213</v>
      </c>
      <c r="B681" s="2877">
        <f>SUM('2018+'!H2026:H2115)</f>
        <v>525.51699999999994</v>
      </c>
      <c r="C681" s="2877">
        <f>SUM('2018+'!H1750:H2115)</f>
        <v>1483.5569999999996</v>
      </c>
    </row>
    <row r="682" spans="1:3" x14ac:dyDescent="0.2">
      <c r="A682" s="2781">
        <v>45214</v>
      </c>
      <c r="B682" s="2877">
        <f>SUM('2018+'!H2027:H2116)</f>
        <v>518.96699999999998</v>
      </c>
      <c r="C682" s="2877">
        <f>SUM('2018+'!H1751:H2116)</f>
        <v>1483.5569999999996</v>
      </c>
    </row>
    <row r="683" spans="1:3" x14ac:dyDescent="0.2">
      <c r="A683" s="2781">
        <v>45215</v>
      </c>
      <c r="B683" s="2877">
        <f>SUM('2018+'!H2028:H2117)</f>
        <v>527.03700000000003</v>
      </c>
      <c r="C683" s="2877">
        <f>SUM('2018+'!H1752:H2117)</f>
        <v>1491.6269999999995</v>
      </c>
    </row>
    <row r="684" spans="1:3" x14ac:dyDescent="0.2">
      <c r="A684" s="2781">
        <v>45216</v>
      </c>
      <c r="B684" s="2877">
        <f>SUM('2018+'!H2029:H2118)</f>
        <v>527.03700000000003</v>
      </c>
      <c r="C684" s="2877">
        <f>SUM('2018+'!H1753:H2118)</f>
        <v>1491.6269999999995</v>
      </c>
    </row>
    <row r="685" spans="1:3" x14ac:dyDescent="0.2">
      <c r="A685" s="2781">
        <v>45217</v>
      </c>
      <c r="B685" s="2877">
        <f>SUM('2018+'!H2030:H2119)</f>
        <v>534.60699999999997</v>
      </c>
      <c r="C685" s="2877">
        <f>SUM('2018+'!H1754:H2119)</f>
        <v>1505.1769999999995</v>
      </c>
    </row>
    <row r="686" spans="1:3" x14ac:dyDescent="0.2">
      <c r="A686" s="2781">
        <v>45218</v>
      </c>
      <c r="B686" s="2877">
        <f>SUM('2018+'!H2031:H2120)</f>
        <v>532.85699999999997</v>
      </c>
      <c r="C686" s="2877">
        <f>SUM('2018+'!H1755:H2120)</f>
        <v>1512.0169999999994</v>
      </c>
    </row>
    <row r="687" spans="1:3" x14ac:dyDescent="0.2">
      <c r="A687" s="2781">
        <v>45219</v>
      </c>
      <c r="B687" s="2877">
        <f>SUM('2018+'!H2032:H2121)</f>
        <v>541.20699999999999</v>
      </c>
      <c r="C687" s="2877">
        <f>SUM('2018+'!H1756:H2121)</f>
        <v>1520.3669999999993</v>
      </c>
    </row>
    <row r="688" spans="1:3" x14ac:dyDescent="0.2">
      <c r="A688" s="2781">
        <v>45220</v>
      </c>
      <c r="B688" s="2877">
        <f>SUM('2018+'!H2033:H2122)</f>
        <v>527.21699999999998</v>
      </c>
      <c r="C688" s="2877">
        <f>SUM('2018+'!H1757:H2122)</f>
        <v>1520.3669999999993</v>
      </c>
    </row>
    <row r="689" spans="1:3" x14ac:dyDescent="0.2">
      <c r="A689" s="2781">
        <v>45221</v>
      </c>
      <c r="B689" s="2877">
        <f>SUM('2018+'!H2034:H2123)</f>
        <v>540.03700000000003</v>
      </c>
      <c r="C689" s="2877">
        <f>SUM('2018+'!H1758:H2123)</f>
        <v>1539.9069999999992</v>
      </c>
    </row>
    <row r="690" spans="1:3" x14ac:dyDescent="0.2">
      <c r="A690" s="2781">
        <v>45222</v>
      </c>
      <c r="B690" s="2877">
        <f>SUM('2018+'!H2035:H2124)</f>
        <v>546.34699999999998</v>
      </c>
      <c r="C690" s="2877">
        <f>SUM('2018+'!H1759:H2124)</f>
        <v>1546.2169999999992</v>
      </c>
    </row>
    <row r="691" spans="1:3" x14ac:dyDescent="0.2">
      <c r="A691" s="2781">
        <v>45223</v>
      </c>
      <c r="B691" s="2877">
        <f>SUM('2018+'!H2036:H2125)</f>
        <v>537.56699999999989</v>
      </c>
      <c r="C691" s="2877">
        <f>SUM('2018+'!H1760:H2125)</f>
        <v>1546.2169999999992</v>
      </c>
    </row>
    <row r="692" spans="1:3" x14ac:dyDescent="0.2">
      <c r="A692" s="2781">
        <v>45224</v>
      </c>
      <c r="B692" s="2877">
        <f>SUM('2018+'!H2037:H2126)</f>
        <v>542.51699999999994</v>
      </c>
      <c r="C692" s="2877">
        <f>SUM('2018+'!H1761:H2126)</f>
        <v>1558.2269999999992</v>
      </c>
    </row>
    <row r="693" spans="1:3" x14ac:dyDescent="0.2">
      <c r="A693" s="2781">
        <v>45225</v>
      </c>
      <c r="B693" s="2877">
        <f>SUM('2018+'!H2038:H2127)</f>
        <v>534.85699999999997</v>
      </c>
      <c r="C693" s="2877">
        <f>SUM('2018+'!H1762:H2127)</f>
        <v>1558.2269999999992</v>
      </c>
    </row>
    <row r="694" spans="1:3" x14ac:dyDescent="0.2">
      <c r="A694" s="2781">
        <v>45226</v>
      </c>
      <c r="B694" s="2877">
        <f>SUM('2018+'!H2039:H2128)</f>
        <v>534.85699999999997</v>
      </c>
      <c r="C694" s="2877">
        <f>SUM('2018+'!H1763:H2128)</f>
        <v>1558.2269999999992</v>
      </c>
    </row>
    <row r="695" spans="1:3" x14ac:dyDescent="0.2">
      <c r="A695" s="2781">
        <v>45227</v>
      </c>
      <c r="B695" s="2877">
        <f>SUM('2018+'!H2040:H2129)</f>
        <v>520.47700000000009</v>
      </c>
      <c r="C695" s="2877">
        <f>SUM('2018+'!H1764:H2129)</f>
        <v>1558.2269999999992</v>
      </c>
    </row>
    <row r="696" spans="1:3" x14ac:dyDescent="0.2">
      <c r="A696" s="2781">
        <v>45228</v>
      </c>
      <c r="B696" s="2877">
        <f>SUM('2018+'!H2041:H2130)</f>
        <v>512.45700000000011</v>
      </c>
      <c r="C696" s="2877">
        <f>SUM('2018+'!H1765:H2130)</f>
        <v>1558.2269999999992</v>
      </c>
    </row>
    <row r="697" spans="1:3" x14ac:dyDescent="0.2">
      <c r="A697" s="2781">
        <v>45229</v>
      </c>
      <c r="B697" s="2877">
        <f>SUM('2018+'!H2042:H2131)</f>
        <v>512.45700000000011</v>
      </c>
      <c r="C697" s="2877">
        <f>SUM('2018+'!H1766:H2131)</f>
        <v>1558.2269999999992</v>
      </c>
    </row>
    <row r="698" spans="1:3" x14ac:dyDescent="0.2">
      <c r="A698" s="2781">
        <v>45230</v>
      </c>
      <c r="B698" s="2877">
        <f>SUM('2018+'!H2043:H2132)</f>
        <v>503.29699999999997</v>
      </c>
      <c r="C698" s="2877">
        <f>SUM('2018+'!H1767:H2132)</f>
        <v>1558.2269999999992</v>
      </c>
    </row>
    <row r="699" spans="1:3" x14ac:dyDescent="0.2">
      <c r="A699" s="2781">
        <v>45231</v>
      </c>
      <c r="B699" s="2877">
        <f>SUM('2018+'!H2044:H2133)</f>
        <v>496.05699999999996</v>
      </c>
      <c r="C699" s="2877">
        <f>SUM('2018+'!H1768:H2133)</f>
        <v>1558.2269999999992</v>
      </c>
    </row>
    <row r="700" spans="1:3" x14ac:dyDescent="0.2">
      <c r="A700" s="2781">
        <v>45232</v>
      </c>
      <c r="B700" s="2877">
        <f>SUM('2018+'!H2045:H2134)</f>
        <v>484.93699999999995</v>
      </c>
      <c r="C700" s="2877">
        <f>SUM('2018+'!H1769:H2134)</f>
        <v>1558.2269999999992</v>
      </c>
    </row>
    <row r="701" spans="1:3" x14ac:dyDescent="0.2">
      <c r="A701" s="2781">
        <v>45233</v>
      </c>
      <c r="B701" s="2877">
        <f>SUM('2018+'!H2046:H2135)</f>
        <v>484.93699999999995</v>
      </c>
      <c r="C701" s="2877">
        <f>SUM('2018+'!H1770:H2135)</f>
        <v>1558.2269999999992</v>
      </c>
    </row>
    <row r="702" spans="1:3" x14ac:dyDescent="0.2">
      <c r="A702" s="2781">
        <v>45234</v>
      </c>
      <c r="B702" s="2877">
        <f>SUM('2018+'!H2047:H2136)</f>
        <v>469.10700000000003</v>
      </c>
      <c r="C702" s="2877">
        <f>SUM('2018+'!H1771:H2136)</f>
        <v>1558.2269999999992</v>
      </c>
    </row>
    <row r="703" spans="1:3" x14ac:dyDescent="0.2">
      <c r="A703" s="2781">
        <v>45235</v>
      </c>
      <c r="B703" s="2877">
        <f>SUM('2018+'!H2048:H2137)</f>
        <v>469.10700000000003</v>
      </c>
      <c r="C703" s="2877">
        <f>SUM('2018+'!H1772:H2137)</f>
        <v>1558.2269999999992</v>
      </c>
    </row>
    <row r="704" spans="1:3" x14ac:dyDescent="0.2">
      <c r="A704" s="2781">
        <v>45236</v>
      </c>
      <c r="B704" s="2877">
        <f>SUM('2018+'!H2049:H2138)</f>
        <v>461.43700000000001</v>
      </c>
      <c r="C704" s="2877">
        <f>SUM('2018+'!H1773:H2138)</f>
        <v>1558.2269999999992</v>
      </c>
    </row>
    <row r="705" spans="1:3" x14ac:dyDescent="0.2">
      <c r="A705" s="2781">
        <v>45237</v>
      </c>
      <c r="B705" s="2877">
        <f>SUM('2018+'!H2050:H2139)</f>
        <v>467.28700000000003</v>
      </c>
      <c r="C705" s="2877">
        <f>SUM('2018+'!H1774:H2139)</f>
        <v>1564.0769999999991</v>
      </c>
    </row>
    <row r="706" spans="1:3" x14ac:dyDescent="0.2">
      <c r="A706" s="2781">
        <v>45238</v>
      </c>
      <c r="B706" s="2877">
        <f>SUM('2018+'!H2051:H2140)</f>
        <v>467.28700000000003</v>
      </c>
      <c r="C706" s="2877">
        <f>SUM('2018+'!H1775:H2140)</f>
        <v>1564.0769999999991</v>
      </c>
    </row>
    <row r="707" spans="1:3" x14ac:dyDescent="0.2">
      <c r="A707" s="2781">
        <v>45239</v>
      </c>
      <c r="B707" s="2877">
        <f>SUM('2018+'!H2052:H2141)</f>
        <v>458.41700000000003</v>
      </c>
      <c r="C707" s="2877">
        <f>SUM('2018+'!H1776:H2141)</f>
        <v>1558.7069999999992</v>
      </c>
    </row>
    <row r="708" spans="1:3" x14ac:dyDescent="0.2">
      <c r="A708" s="2781">
        <v>45240</v>
      </c>
      <c r="B708" s="2877">
        <f>SUM('2018+'!H2053:H2142)</f>
        <v>449.51700000000011</v>
      </c>
      <c r="C708" s="2877">
        <f>SUM('2018+'!H1777:H2142)</f>
        <v>1558.7069999999992</v>
      </c>
    </row>
    <row r="709" spans="1:3" x14ac:dyDescent="0.2">
      <c r="A709" s="2781">
        <v>45241</v>
      </c>
      <c r="B709" s="2877">
        <f>SUM('2018+'!H2054:H2143)</f>
        <v>432.31700000000012</v>
      </c>
      <c r="C709" s="2877">
        <f>SUM('2018+'!H1778:H2143)</f>
        <v>1552.7269999999992</v>
      </c>
    </row>
    <row r="710" spans="1:3" x14ac:dyDescent="0.2">
      <c r="A710" s="2781">
        <v>45242</v>
      </c>
      <c r="B710" s="2877">
        <f>SUM('2018+'!H2055:H2144)</f>
        <v>438.38700000000011</v>
      </c>
      <c r="C710" s="2877">
        <f>SUM('2018+'!H1779:H2144)</f>
        <v>1558.7969999999991</v>
      </c>
    </row>
    <row r="711" spans="1:3" x14ac:dyDescent="0.2">
      <c r="A711" s="2781">
        <v>45243</v>
      </c>
      <c r="B711" s="2877">
        <f>SUM('2018+'!H2056:H2145)</f>
        <v>429.50700000000012</v>
      </c>
      <c r="C711" s="2877">
        <f>SUM('2018+'!H1780:H2145)</f>
        <v>1558.7969999999991</v>
      </c>
    </row>
    <row r="712" spans="1:3" x14ac:dyDescent="0.2">
      <c r="A712" s="2781">
        <v>45244</v>
      </c>
      <c r="B712" s="2877">
        <f>SUM('2018+'!H2057:H2146)</f>
        <v>429.50700000000012</v>
      </c>
      <c r="C712" s="2877">
        <f>SUM('2018+'!H1781:H2146)</f>
        <v>1553.2969999999991</v>
      </c>
    </row>
    <row r="713" spans="1:3" x14ac:dyDescent="0.2">
      <c r="A713" s="2781">
        <v>45245</v>
      </c>
      <c r="B713" s="2877">
        <f>SUM('2018+'!H2058:H2147)</f>
        <v>421.11700000000008</v>
      </c>
      <c r="C713" s="2877">
        <f>SUM('2018+'!H1782:H2147)</f>
        <v>1553.2969999999991</v>
      </c>
    </row>
    <row r="714" spans="1:3" x14ac:dyDescent="0.2">
      <c r="A714" s="2781">
        <v>45246</v>
      </c>
      <c r="B714" s="2877">
        <f>SUM('2018+'!H2059:H2148)</f>
        <v>421.11700000000008</v>
      </c>
      <c r="C714" s="2877">
        <f>SUM('2018+'!H1783:H2148)</f>
        <v>1553.2969999999991</v>
      </c>
    </row>
    <row r="715" spans="1:3" x14ac:dyDescent="0.2">
      <c r="A715" s="2781">
        <v>45247</v>
      </c>
      <c r="B715" s="2877">
        <f>SUM('2018+'!H2060:H2149)</f>
        <v>421.11700000000008</v>
      </c>
      <c r="C715" s="2877">
        <f>SUM('2018+'!H1784:H2149)</f>
        <v>1547.0669999999991</v>
      </c>
    </row>
    <row r="716" spans="1:3" x14ac:dyDescent="0.2">
      <c r="A716" s="2781">
        <v>45248</v>
      </c>
      <c r="B716" s="2877">
        <f>SUM('2018+'!H2061:H2150)</f>
        <v>409.25700000000012</v>
      </c>
      <c r="C716" s="2877">
        <f>SUM('2018+'!H1785:H2150)</f>
        <v>1547.0669999999991</v>
      </c>
    </row>
    <row r="717" spans="1:3" x14ac:dyDescent="0.2">
      <c r="A717" s="2781">
        <v>45249</v>
      </c>
      <c r="B717" s="2877">
        <f>SUM('2018+'!H2062:H2151)</f>
        <v>409.25700000000012</v>
      </c>
      <c r="C717" s="2877">
        <f>SUM('2018+'!H1786:H2151)</f>
        <v>1540.396999999999</v>
      </c>
    </row>
    <row r="718" spans="1:3" x14ac:dyDescent="0.2">
      <c r="A718" s="2781">
        <v>45250</v>
      </c>
      <c r="B718" s="2877">
        <f>SUM('2018+'!H2063:H2152)</f>
        <v>402.04700000000003</v>
      </c>
      <c r="C718" s="2877">
        <f>SUM('2018+'!H1787:H2152)</f>
        <v>1540.396999999999</v>
      </c>
    </row>
    <row r="719" spans="1:3" x14ac:dyDescent="0.2">
      <c r="A719" s="2781">
        <v>45251</v>
      </c>
      <c r="B719" s="2877">
        <f>SUM('2018+'!H2064:H2153)</f>
        <v>402.04700000000003</v>
      </c>
      <c r="C719" s="2877">
        <f>SUM('2018+'!H1788:H2153)</f>
        <v>1533.476999999999</v>
      </c>
    </row>
    <row r="720" spans="1:3" x14ac:dyDescent="0.2">
      <c r="A720" s="2781">
        <v>45252</v>
      </c>
      <c r="B720" s="2877">
        <f>SUM('2018+'!H2065:H2154)</f>
        <v>394.11700000000008</v>
      </c>
      <c r="C720" s="2877">
        <f>SUM('2018+'!H1789:H2154)</f>
        <v>1533.476999999999</v>
      </c>
    </row>
    <row r="721" spans="1:3" x14ac:dyDescent="0.2">
      <c r="A721" s="2781">
        <v>45253</v>
      </c>
      <c r="B721" s="2877">
        <f>SUM('2018+'!H2066:H2155)</f>
        <v>385.55700000000002</v>
      </c>
      <c r="C721" s="2877">
        <f>SUM('2018+'!H1790:H2155)</f>
        <v>1526.206999999999</v>
      </c>
    </row>
    <row r="722" spans="1:3" x14ac:dyDescent="0.2">
      <c r="A722" s="2781">
        <v>45254</v>
      </c>
      <c r="B722" s="2877">
        <f>SUM('2018+'!H2067:H2156)</f>
        <v>385.55700000000002</v>
      </c>
      <c r="C722" s="2877">
        <f>SUM('2018+'!H1791:H2156)</f>
        <v>1526.206999999999</v>
      </c>
    </row>
    <row r="723" spans="1:3" x14ac:dyDescent="0.2">
      <c r="A723" s="2781">
        <v>45255</v>
      </c>
      <c r="B723" s="2877">
        <f>SUM('2018+'!H2068:H2157)</f>
        <v>372.03700000000003</v>
      </c>
      <c r="C723" s="2877">
        <f>SUM('2018+'!H1792:H2157)</f>
        <v>1519.0369999999994</v>
      </c>
    </row>
    <row r="724" spans="1:3" x14ac:dyDescent="0.2">
      <c r="A724" s="2781">
        <v>45256</v>
      </c>
      <c r="B724" s="2877">
        <f>SUM('2018+'!H2069:H2158)</f>
        <v>372.03700000000003</v>
      </c>
      <c r="C724" s="2877">
        <f>SUM('2018+'!H1793:H2158)</f>
        <v>1519.0369999999994</v>
      </c>
    </row>
    <row r="725" spans="1:3" x14ac:dyDescent="0.2">
      <c r="A725" s="2781">
        <v>45257</v>
      </c>
      <c r="B725" s="2877">
        <f>SUM('2018+'!H2070:H2159)</f>
        <v>363.83700000000005</v>
      </c>
      <c r="C725" s="2877">
        <f>SUM('2018+'!H1794:H2159)</f>
        <v>1510.6069999999993</v>
      </c>
    </row>
    <row r="726" spans="1:3" x14ac:dyDescent="0.2">
      <c r="A726" s="2781">
        <v>45258</v>
      </c>
      <c r="B726" s="2877">
        <f>SUM('2018+'!H2071:H2160)</f>
        <v>363.83700000000005</v>
      </c>
      <c r="C726" s="2877">
        <f>SUM('2018+'!H1795:H2160)</f>
        <v>1510.6069999999993</v>
      </c>
    </row>
    <row r="727" spans="1:3" x14ac:dyDescent="0.2">
      <c r="A727" s="2781">
        <v>45259</v>
      </c>
      <c r="B727" s="2877">
        <f>SUM('2018+'!H2072:H2161)</f>
        <v>352.08700000000005</v>
      </c>
      <c r="C727" s="2877">
        <f>SUM('2018+'!H1796:H2161)</f>
        <v>1510.6069999999993</v>
      </c>
    </row>
    <row r="728" spans="1:3" x14ac:dyDescent="0.2">
      <c r="A728" s="2781">
        <v>45260</v>
      </c>
      <c r="B728" s="2877">
        <f>SUM('2018+'!H2073:H2162)</f>
        <v>345.28700000000003</v>
      </c>
      <c r="C728" s="2877">
        <f>SUM('2018+'!H1797:H2162)</f>
        <v>1504.0669999999991</v>
      </c>
    </row>
    <row r="729" spans="1:3" x14ac:dyDescent="0.2">
      <c r="A729" s="2781">
        <v>45261</v>
      </c>
      <c r="B729" s="2877">
        <f>SUM('2018+'!H2074:H2163)</f>
        <v>345.28700000000003</v>
      </c>
      <c r="C729" s="2877">
        <f>SUM('2018+'!H1798:H2163)</f>
        <v>1504.0669999999991</v>
      </c>
    </row>
    <row r="730" spans="1:3" x14ac:dyDescent="0.2">
      <c r="A730" s="2781">
        <v>45262</v>
      </c>
      <c r="B730" s="2877">
        <f>SUM('2018+'!H2075:H2164)</f>
        <v>330.85700000000003</v>
      </c>
      <c r="C730" s="2877">
        <f>SUM('2018+'!H1799:H2164)</f>
        <v>1497.8269999999993</v>
      </c>
    </row>
    <row r="731" spans="1:3" x14ac:dyDescent="0.2">
      <c r="A731" s="2781">
        <v>45263</v>
      </c>
      <c r="B731" s="2877">
        <f>SUM('2018+'!H2076:H2165)</f>
        <v>322.65700000000004</v>
      </c>
      <c r="C731" s="2877">
        <f>SUM('2018+'!H1800:H2165)</f>
        <v>1497.8269999999993</v>
      </c>
    </row>
    <row r="732" spans="1:3" x14ac:dyDescent="0.2">
      <c r="A732" s="2781">
        <v>45264</v>
      </c>
      <c r="B732" s="2877">
        <f>SUM('2018+'!H2077:H2166)</f>
        <v>311.10700000000003</v>
      </c>
      <c r="C732" s="2877">
        <f>SUM('2018+'!H1801:H2166)</f>
        <v>1497.8269999999993</v>
      </c>
    </row>
    <row r="733" spans="1:3" x14ac:dyDescent="0.2">
      <c r="A733" s="2781">
        <v>45265</v>
      </c>
      <c r="B733" s="2877">
        <f>SUM('2018+'!H2078:H2167)</f>
        <v>302.64700000000005</v>
      </c>
      <c r="C733" s="2877">
        <f>SUM('2018+'!H1802:H2167)</f>
        <v>1497.8269999999993</v>
      </c>
    </row>
    <row r="734" spans="1:3" x14ac:dyDescent="0.2">
      <c r="A734" s="2781">
        <v>45266</v>
      </c>
      <c r="B734" s="2877">
        <f>SUM('2018+'!H2079:H2168)</f>
        <v>302.64700000000005</v>
      </c>
      <c r="C734" s="2877">
        <f>SUM('2018+'!H1803:H2168)</f>
        <v>1497.8269999999993</v>
      </c>
    </row>
    <row r="735" spans="1:3" x14ac:dyDescent="0.2">
      <c r="A735" s="2781">
        <v>45267</v>
      </c>
      <c r="B735" s="2877">
        <f>SUM('2018+'!H2080:H2169)</f>
        <v>294.39700000000005</v>
      </c>
      <c r="C735" s="2877">
        <f>SUM('2018+'!H1804:H2169)</f>
        <v>1497.8269999999993</v>
      </c>
    </row>
    <row r="736" spans="1:3" x14ac:dyDescent="0.2">
      <c r="A736" s="2781">
        <v>45268</v>
      </c>
      <c r="B736" s="2877">
        <f>SUM('2018+'!H2081:H2170)</f>
        <v>280.61700000000002</v>
      </c>
      <c r="C736" s="2877">
        <f>SUM('2018+'!H1805:H2170)</f>
        <v>1489.0869999999993</v>
      </c>
    </row>
    <row r="737" spans="1:3" x14ac:dyDescent="0.2">
      <c r="A737" s="2781">
        <v>45269</v>
      </c>
      <c r="B737" s="2877">
        <f>SUM('2018+'!H2082:H2171)</f>
        <v>280.61700000000002</v>
      </c>
      <c r="C737" s="2877">
        <f>SUM('2018+'!H1806:H2171)</f>
        <v>1489.0869999999993</v>
      </c>
    </row>
    <row r="738" spans="1:3" x14ac:dyDescent="0.2">
      <c r="A738" s="2781">
        <v>45270</v>
      </c>
      <c r="B738" s="2877">
        <f>SUM('2018+'!H2083:H2172)</f>
        <v>270.46700000000004</v>
      </c>
      <c r="C738" s="2877">
        <f>SUM('2018+'!H1807:H2172)</f>
        <v>1489.0869999999993</v>
      </c>
    </row>
    <row r="739" spans="1:3" x14ac:dyDescent="0.2">
      <c r="A739" s="2781">
        <v>45271</v>
      </c>
      <c r="B739" s="2877">
        <f>SUM('2018+'!H2084:H2173)</f>
        <v>270.46700000000004</v>
      </c>
      <c r="C739" s="2877">
        <f>SUM('2018+'!H1808:H2173)</f>
        <v>1489.0869999999993</v>
      </c>
    </row>
    <row r="740" spans="1:3" x14ac:dyDescent="0.2">
      <c r="A740" s="2781">
        <v>45272</v>
      </c>
      <c r="B740" s="2877">
        <f>SUM('2018+'!H2085:H2174)</f>
        <v>265.15700000000004</v>
      </c>
      <c r="C740" s="2877">
        <f>SUM('2018+'!H1809:H2174)</f>
        <v>1487.4869999999992</v>
      </c>
    </row>
    <row r="741" spans="1:3" x14ac:dyDescent="0.2">
      <c r="A741" s="2781">
        <v>45273</v>
      </c>
      <c r="B741" s="2877">
        <f>SUM('2018+'!H2086:H2175)</f>
        <v>265.15700000000004</v>
      </c>
      <c r="C741" s="2877">
        <f>SUM('2018+'!H1810:H2175)</f>
        <v>1487.4869999999992</v>
      </c>
    </row>
    <row r="742" spans="1:3" x14ac:dyDescent="0.2">
      <c r="A742" s="2781">
        <v>45274</v>
      </c>
      <c r="B742" s="2877">
        <f>SUM('2018+'!H2087:H2176)</f>
        <v>265.15700000000004</v>
      </c>
      <c r="C742" s="2877">
        <f>SUM('2018+'!H1811:H2176)</f>
        <v>1487.4869999999992</v>
      </c>
    </row>
    <row r="743" spans="1:3" x14ac:dyDescent="0.2">
      <c r="A743" s="2781">
        <v>45275</v>
      </c>
      <c r="B743" s="2877">
        <f>SUM('2018+'!H2088:H2177)</f>
        <v>265.15700000000004</v>
      </c>
      <c r="C743" s="2877">
        <f>SUM('2018+'!H1812:H2177)</f>
        <v>1487.4869999999992</v>
      </c>
    </row>
    <row r="744" spans="1:3" x14ac:dyDescent="0.2">
      <c r="A744" s="2781">
        <v>45276</v>
      </c>
      <c r="B744" s="2877">
        <f>SUM('2018+'!H2089:H2178)</f>
        <v>247.79700000000003</v>
      </c>
      <c r="C744" s="2877">
        <f>SUM('2018+'!H1813:H2178)</f>
        <v>1487.4869999999992</v>
      </c>
    </row>
    <row r="745" spans="1:3" x14ac:dyDescent="0.2">
      <c r="A745" s="2781">
        <v>45277</v>
      </c>
      <c r="B745" s="2877">
        <f>SUM('2018+'!H2090:H2179)</f>
        <v>239.08699999999999</v>
      </c>
      <c r="C745" s="2877">
        <f>SUM('2018+'!H1814:H2179)</f>
        <v>1487.4869999999992</v>
      </c>
    </row>
    <row r="746" spans="1:3" x14ac:dyDescent="0.2">
      <c r="A746" s="2781">
        <v>45278</v>
      </c>
      <c r="B746" s="2877">
        <f>SUM('2018+'!H2091:H2180)</f>
        <v>239.08699999999999</v>
      </c>
      <c r="C746" s="2877">
        <f>SUM('2018+'!H1815:H2180)</f>
        <v>1487.4869999999992</v>
      </c>
    </row>
    <row r="747" spans="1:3" x14ac:dyDescent="0.2">
      <c r="A747" s="2781">
        <v>45279</v>
      </c>
      <c r="B747" s="2877">
        <f>SUM('2018+'!H2092:H2181)</f>
        <v>227.97999999999996</v>
      </c>
      <c r="C747" s="2877">
        <f>SUM('2018+'!H1816:H2181)</f>
        <v>1487.4869999999992</v>
      </c>
    </row>
    <row r="748" spans="1:3" x14ac:dyDescent="0.2">
      <c r="A748" s="2781">
        <v>45280</v>
      </c>
      <c r="B748" s="2877">
        <f>SUM('2018+'!H2093:H2182)</f>
        <v>219.51999999999998</v>
      </c>
      <c r="C748" s="2877">
        <f>SUM('2018+'!H1817:H2182)</f>
        <v>1480.7769999999991</v>
      </c>
    </row>
    <row r="749" spans="1:3" x14ac:dyDescent="0.2">
      <c r="A749" s="2781">
        <v>45281</v>
      </c>
      <c r="B749" s="2877">
        <f>SUM('2018+'!H2094:H2183)</f>
        <v>219.51999999999998</v>
      </c>
      <c r="C749" s="2877">
        <f>SUM('2018+'!H1818:H2183)</f>
        <v>1480.7769999999991</v>
      </c>
    </row>
    <row r="750" spans="1:3" x14ac:dyDescent="0.2">
      <c r="A750" s="2781">
        <v>45282</v>
      </c>
      <c r="B750" s="2877">
        <f>SUM('2018+'!H2095:H2184)</f>
        <v>219.51999999999998</v>
      </c>
      <c r="C750" s="2877">
        <f>SUM('2018+'!H1819:H2184)</f>
        <v>1471.926999999999</v>
      </c>
    </row>
    <row r="751" spans="1:3" x14ac:dyDescent="0.2">
      <c r="A751" s="2781">
        <v>45283</v>
      </c>
      <c r="B751" s="2877">
        <f>SUM('2018+'!H2096:H2185)</f>
        <v>203.70999999999998</v>
      </c>
      <c r="C751" s="2877">
        <f>SUM('2018+'!H1820:H2185)</f>
        <v>1471.926999999999</v>
      </c>
    </row>
    <row r="752" spans="1:3" x14ac:dyDescent="0.2">
      <c r="A752" s="2781">
        <v>45284</v>
      </c>
      <c r="B752" s="2877">
        <f>SUM('2018+'!H2097:H2186)</f>
        <v>197.87</v>
      </c>
      <c r="C752" s="2877">
        <f>SUM('2018+'!H1821:H2186)</f>
        <v>1471.926999999999</v>
      </c>
    </row>
    <row r="753" spans="1:3" x14ac:dyDescent="0.2">
      <c r="A753" s="2781">
        <v>45285</v>
      </c>
      <c r="B753" s="2877">
        <f>SUM('2018+'!H2098:H2187)</f>
        <v>197.87</v>
      </c>
      <c r="C753" s="2877">
        <f>SUM('2018+'!H1822:H2187)</f>
        <v>1461.626999999999</v>
      </c>
    </row>
    <row r="754" spans="1:3" x14ac:dyDescent="0.2">
      <c r="A754" s="2781">
        <v>45286</v>
      </c>
      <c r="B754" s="2877">
        <f>SUM('2018+'!H2099:H2188)</f>
        <v>191.02999999999997</v>
      </c>
      <c r="C754" s="2877">
        <f>SUM('2018+'!H1823:H2188)</f>
        <v>1461.626999999999</v>
      </c>
    </row>
    <row r="755" spans="1:3" x14ac:dyDescent="0.2">
      <c r="A755" s="2781">
        <v>45287</v>
      </c>
      <c r="B755" s="2877">
        <f>SUM('2018+'!H2100:H2189)</f>
        <v>196.39999999999998</v>
      </c>
      <c r="C755" s="2877">
        <f>SUM('2018+'!H1824:H2189)</f>
        <v>1466.9969999999989</v>
      </c>
    </row>
    <row r="756" spans="1:3" x14ac:dyDescent="0.2">
      <c r="A756" s="2781">
        <v>45288</v>
      </c>
      <c r="B756" s="2877">
        <f>SUM('2018+'!H2101:H2190)</f>
        <v>192.18</v>
      </c>
      <c r="C756" s="2877">
        <f>SUM('2018+'!H1825:H2190)</f>
        <v>1454.8969999999988</v>
      </c>
    </row>
    <row r="757" spans="1:3" x14ac:dyDescent="0.2">
      <c r="A757" s="2781">
        <v>45289</v>
      </c>
      <c r="B757" s="2877">
        <f>SUM('2018+'!H2102:H2191)</f>
        <v>197.04000000000002</v>
      </c>
      <c r="C757" s="2877">
        <f>SUM('2018+'!H1826:H2191)</f>
        <v>1459.7569999999987</v>
      </c>
    </row>
    <row r="758" spans="1:3" x14ac:dyDescent="0.2">
      <c r="A758" s="2781">
        <v>45290</v>
      </c>
      <c r="B758" s="2877">
        <f>SUM('2018+'!H2103:H2192)</f>
        <v>197.04000000000002</v>
      </c>
      <c r="C758" s="2877">
        <f>SUM('2018+'!H1827:H2192)</f>
        <v>1450.3969999999986</v>
      </c>
    </row>
    <row r="759" spans="1:3" x14ac:dyDescent="0.2">
      <c r="A759" s="2781">
        <v>45291</v>
      </c>
      <c r="B759" s="2877">
        <f>SUM('2018+'!H2104:H2193)</f>
        <v>194.09000000000003</v>
      </c>
      <c r="C759" s="2877">
        <f>SUM('2018+'!H1828:H2193)</f>
        <v>1458.2569999999985</v>
      </c>
    </row>
    <row r="760" spans="1:3" x14ac:dyDescent="0.2">
      <c r="A760" s="2781">
        <v>45292</v>
      </c>
      <c r="B760" s="2877">
        <f>SUM('2018+'!H2105:H2194)</f>
        <v>183.97000000000003</v>
      </c>
      <c r="C760" s="2877">
        <f>SUM('2018+'!H1829:H2194)</f>
        <v>1445.0569999999984</v>
      </c>
    </row>
    <row r="761" spans="1:3" x14ac:dyDescent="0.2">
      <c r="A761" s="2781">
        <v>45293</v>
      </c>
      <c r="B761" s="2877">
        <f>SUM('2018+'!H2106:H2195)</f>
        <v>183.97000000000003</v>
      </c>
      <c r="C761" s="2877">
        <f>SUM('2018+'!H1830:H2195)</f>
        <v>1445.0569999999984</v>
      </c>
    </row>
    <row r="762" spans="1:3" x14ac:dyDescent="0.2">
      <c r="A762" s="2781">
        <v>45294</v>
      </c>
      <c r="B762" s="2877">
        <f>SUM('2018+'!H2107:H2196)</f>
        <v>183.84</v>
      </c>
      <c r="C762" s="2877">
        <f>SUM('2018+'!H1831:H2196)</f>
        <v>1453.1569999999983</v>
      </c>
    </row>
    <row r="763" spans="1:3" x14ac:dyDescent="0.2">
      <c r="A763" s="2781">
        <v>45295</v>
      </c>
      <c r="B763" s="2877">
        <f>SUM('2018+'!H2108:H2197)</f>
        <v>183.84</v>
      </c>
      <c r="C763" s="2877">
        <f>SUM('2018+'!H1832:H2197)</f>
        <v>1445.1469999999983</v>
      </c>
    </row>
    <row r="764" spans="1:3" x14ac:dyDescent="0.2">
      <c r="A764" s="2781">
        <v>45296</v>
      </c>
      <c r="B764" s="2877">
        <f>SUM('2018+'!H2109:H2198)</f>
        <v>178.84</v>
      </c>
      <c r="C764" s="2877">
        <f>SUM('2018+'!H1833:H2198)</f>
        <v>1445.1469999999983</v>
      </c>
    </row>
    <row r="765" spans="1:3" x14ac:dyDescent="0.2">
      <c r="A765" s="2781">
        <v>45297</v>
      </c>
      <c r="B765" s="2877">
        <f>SUM('2018+'!H2110:H2199)</f>
        <v>184.79</v>
      </c>
      <c r="C765" s="2877">
        <f>SUM('2018+'!H1834:H2199)</f>
        <v>1441.7869999999984</v>
      </c>
    </row>
    <row r="766" spans="1:3" x14ac:dyDescent="0.2">
      <c r="A766" s="2781">
        <v>45298</v>
      </c>
      <c r="B766" s="2877">
        <f>SUM('2018+'!H2111:H2200)</f>
        <v>177.48</v>
      </c>
      <c r="C766" s="2877">
        <f>SUM('2018+'!H1835:H2200)</f>
        <v>1441.7869999999984</v>
      </c>
    </row>
    <row r="767" spans="1:3" x14ac:dyDescent="0.2">
      <c r="A767" s="2781">
        <v>45299</v>
      </c>
      <c r="B767" s="2877">
        <f>SUM('2018+'!H2112:H2201)</f>
        <v>175.86</v>
      </c>
      <c r="C767" s="2877">
        <f>SUM('2018+'!H1836:H2201)</f>
        <v>1436.1369999999984</v>
      </c>
    </row>
    <row r="768" spans="1:3" x14ac:dyDescent="0.2">
      <c r="A768" s="2781">
        <v>45300</v>
      </c>
      <c r="B768" s="2877">
        <f>SUM('2018+'!H2113:H2202)</f>
        <v>162.63999999999999</v>
      </c>
      <c r="C768" s="2877">
        <f>SUM('2018+'!H1837:H2202)</f>
        <v>1436.1369999999984</v>
      </c>
    </row>
    <row r="769" spans="1:3" x14ac:dyDescent="0.2">
      <c r="A769" s="2781">
        <v>45301</v>
      </c>
      <c r="B769" s="2877">
        <f>SUM('2018+'!H2114:H2203)</f>
        <v>161.10999999999999</v>
      </c>
      <c r="C769" s="2877">
        <f>SUM('2018+'!H1838:H2203)</f>
        <v>1442.0669999999984</v>
      </c>
    </row>
    <row r="770" spans="1:3" x14ac:dyDescent="0.2">
      <c r="A770" s="2781">
        <v>45302</v>
      </c>
      <c r="B770" s="2877">
        <f>SUM('2018+'!H2115:H2204)</f>
        <v>152.93</v>
      </c>
      <c r="C770" s="2877">
        <f>SUM('2018+'!H1839:H2204)</f>
        <v>1442.0669999999984</v>
      </c>
    </row>
    <row r="771" spans="1:3" x14ac:dyDescent="0.2">
      <c r="A771" s="2781">
        <v>45303</v>
      </c>
      <c r="B771" s="2877">
        <f>SUM('2018+'!H2116:H2205)</f>
        <v>135.6</v>
      </c>
      <c r="C771" s="2877">
        <f>SUM('2018+'!H1840:H2205)</f>
        <v>1431.7669999999985</v>
      </c>
    </row>
    <row r="772" spans="1:3" x14ac:dyDescent="0.2">
      <c r="A772" s="2781">
        <v>45304</v>
      </c>
      <c r="B772" s="2877">
        <f>SUM('2018+'!H2117:H2206)</f>
        <v>135.6</v>
      </c>
      <c r="C772" s="2877">
        <f>SUM('2018+'!H1841:H2206)</f>
        <v>1431.7669999999985</v>
      </c>
    </row>
    <row r="773" spans="1:3" x14ac:dyDescent="0.2">
      <c r="A773" s="2781">
        <v>45305</v>
      </c>
      <c r="B773" s="2877">
        <f>SUM('2018+'!H2118:H2207)</f>
        <v>133.25</v>
      </c>
      <c r="C773" s="2877">
        <f>SUM('2018+'!H1842:H2207)</f>
        <v>1437.4869999999985</v>
      </c>
    </row>
    <row r="774" spans="1:3" x14ac:dyDescent="0.2">
      <c r="A774" s="2781">
        <v>45306</v>
      </c>
      <c r="B774" s="2877">
        <f>SUM('2018+'!H2119:H2208)</f>
        <v>138.59</v>
      </c>
      <c r="C774" s="2877">
        <f>SUM('2018+'!H1843:H2208)</f>
        <v>1442.8269999999984</v>
      </c>
    </row>
    <row r="775" spans="1:3" x14ac:dyDescent="0.2">
      <c r="A775" s="2781">
        <v>45307</v>
      </c>
      <c r="B775" s="2877">
        <f>SUM('2018+'!H2120:H2209)</f>
        <v>125.03999999999999</v>
      </c>
      <c r="C775" s="2877">
        <f>SUM('2018+'!H1844:H2209)</f>
        <v>1442.8269999999984</v>
      </c>
    </row>
    <row r="776" spans="1:3" x14ac:dyDescent="0.2">
      <c r="A776" s="2781">
        <v>45308</v>
      </c>
      <c r="B776" s="2877">
        <f>SUM('2018+'!H2121:H2210)</f>
        <v>123.68000000000002</v>
      </c>
      <c r="C776" s="2877">
        <f>SUM('2018+'!H1845:H2210)</f>
        <v>1448.3069999999984</v>
      </c>
    </row>
    <row r="777" spans="1:3" x14ac:dyDescent="0.2">
      <c r="A777" s="2781">
        <v>45309</v>
      </c>
      <c r="B777" s="2877">
        <f>SUM('2018+'!H2122:H2211)</f>
        <v>118.52</v>
      </c>
      <c r="C777" s="2877">
        <f>SUM('2018+'!H1846:H2211)</f>
        <v>1451.4969999999985</v>
      </c>
    </row>
    <row r="778" spans="1:3" x14ac:dyDescent="0.2">
      <c r="A778" s="2781">
        <v>45310</v>
      </c>
      <c r="B778" s="2877">
        <f>SUM('2018+'!H2123:H2212)</f>
        <v>118.52</v>
      </c>
      <c r="C778" s="2877">
        <f>SUM('2018+'!H1847:H2212)</f>
        <v>1451.4969999999985</v>
      </c>
    </row>
    <row r="779" spans="1:3" x14ac:dyDescent="0.2">
      <c r="A779" s="2781">
        <v>45311</v>
      </c>
      <c r="B779" s="2877">
        <f>SUM('2018+'!H2124:H2213)</f>
        <v>105.76071135653085</v>
      </c>
      <c r="C779" s="2877">
        <f>SUM('2018+'!H1848:H2213)</f>
        <v>1458.2777113565294</v>
      </c>
    </row>
    <row r="780" spans="1:3" x14ac:dyDescent="0.2">
      <c r="A780" s="2781">
        <v>45312</v>
      </c>
      <c r="B780" s="2877">
        <f>SUM('2018+'!H2125:H2214)</f>
        <v>99.450711356530846</v>
      </c>
      <c r="C780" s="2877">
        <f>SUM('2018+'!H1849:H2214)</f>
        <v>1458.2777113565294</v>
      </c>
    </row>
    <row r="781" spans="1:3" x14ac:dyDescent="0.2">
      <c r="A781" s="2781">
        <v>45313</v>
      </c>
      <c r="B781" s="2877">
        <f>SUM('2018+'!H2126:H2215)</f>
        <v>104.53624487392898</v>
      </c>
      <c r="C781" s="2877">
        <f>SUM('2018+'!H1850:H2215)</f>
        <v>1455.8232448739275</v>
      </c>
    </row>
    <row r="782" spans="1:3" x14ac:dyDescent="0.2">
      <c r="A782" s="2781">
        <v>45314</v>
      </c>
      <c r="B782" s="2877">
        <f>SUM('2018+'!H2127:H2216)</f>
        <v>102.75886833091927</v>
      </c>
      <c r="C782" s="2877">
        <f>SUM('2018+'!H1851:H2216)</f>
        <v>1466.0558683309177</v>
      </c>
    </row>
    <row r="783" spans="1:3" x14ac:dyDescent="0.2">
      <c r="A783" s="2781">
        <v>45315</v>
      </c>
      <c r="B783" s="2877">
        <f>SUM('2018+'!H2128:H2217)</f>
        <v>102.75886833091927</v>
      </c>
      <c r="C783" s="2877">
        <f>SUM('2018+'!H1852:H2217)</f>
        <v>1459.1358683309177</v>
      </c>
    </row>
    <row r="784" spans="1:3" x14ac:dyDescent="0.2">
      <c r="A784" s="2781">
        <v>45316</v>
      </c>
      <c r="B784" s="2877">
        <f>SUM('2018+'!H2129:H2218)</f>
        <v>107.8444018483174</v>
      </c>
      <c r="C784" s="2877">
        <f>SUM('2018+'!H1853:H2218)</f>
        <v>1464.2214018483157</v>
      </c>
    </row>
    <row r="785" spans="1:3" x14ac:dyDescent="0.2">
      <c r="A785" s="2781">
        <v>45317</v>
      </c>
      <c r="B785" s="2877">
        <f>SUM('2018+'!H2130:H2219)</f>
        <v>107.8444018483174</v>
      </c>
      <c r="C785" s="2877">
        <f>SUM('2018+'!H1854:H2219)</f>
        <v>1455.5414018483159</v>
      </c>
    </row>
    <row r="786" spans="1:3" x14ac:dyDescent="0.2">
      <c r="A786" s="2781">
        <v>45318</v>
      </c>
      <c r="B786" s="2877">
        <f>SUM('2018+'!H2131:H2220)</f>
        <v>118.07702530530769</v>
      </c>
      <c r="C786" s="2877">
        <f>SUM('2018+'!H1855:H2220)</f>
        <v>1460.194025305306</v>
      </c>
    </row>
    <row r="787" spans="1:3" x14ac:dyDescent="0.2">
      <c r="A787" s="2781">
        <v>45319</v>
      </c>
      <c r="B787" s="2877">
        <f>SUM('2018+'!H2132:H2221)</f>
        <v>118.07702530530769</v>
      </c>
      <c r="C787" s="2877">
        <f>SUM('2018+'!H1856:H2221)</f>
        <v>1460.194025305306</v>
      </c>
    </row>
    <row r="788" spans="1:3" x14ac:dyDescent="0.2">
      <c r="A788" s="2781">
        <v>45320</v>
      </c>
      <c r="B788" s="2877">
        <f>SUM('2018+'!H2133:H2222)</f>
        <v>127.41133070677054</v>
      </c>
      <c r="C788" s="2877">
        <f>SUM('2018+'!H1857:H2222)</f>
        <v>1462.4483307067687</v>
      </c>
    </row>
    <row r="789" spans="1:3" x14ac:dyDescent="0.2">
      <c r="A789" s="2781">
        <v>45321</v>
      </c>
      <c r="B789" s="2877">
        <f>SUM('2018+'!H2134:H2223)</f>
        <v>132.49686422416866</v>
      </c>
      <c r="C789" s="2877">
        <f>SUM('2018+'!H1858:H2223)</f>
        <v>1467.5338642241668</v>
      </c>
    </row>
    <row r="790" spans="1:3" x14ac:dyDescent="0.2">
      <c r="A790" s="2781">
        <v>45322</v>
      </c>
      <c r="B790" s="2877">
        <f>SUM('2018+'!H2135:H2224)</f>
        <v>141.49686422416866</v>
      </c>
      <c r="C790" s="2877">
        <f>SUM('2018+'!H1859:H2224)</f>
        <v>1476.5338642241668</v>
      </c>
    </row>
    <row r="791" spans="1:3" x14ac:dyDescent="0.2">
      <c r="A791" s="2781">
        <v>45323</v>
      </c>
      <c r="B791" s="2877">
        <f>SUM('2018+'!H2136:H2225)</f>
        <v>141.49686422416866</v>
      </c>
      <c r="C791" s="2877">
        <f>SUM('2018+'!H1860:H2225)</f>
        <v>1470.2038642241671</v>
      </c>
    </row>
    <row r="792" spans="1:3" x14ac:dyDescent="0.2">
      <c r="A792" s="2781">
        <v>45324</v>
      </c>
      <c r="B792" s="2877">
        <f>SUM('2018+'!H2137:H2226)</f>
        <v>146.58239774156678</v>
      </c>
      <c r="C792" s="2877">
        <f>SUM('2018+'!H1861:H2226)</f>
        <v>1475.2893977415652</v>
      </c>
    </row>
    <row r="793" spans="1:3" x14ac:dyDescent="0.2">
      <c r="A793" s="2781">
        <v>45325</v>
      </c>
      <c r="B793" s="2877">
        <f>SUM('2018+'!H2138:H2227)</f>
        <v>160.18239774156677</v>
      </c>
      <c r="C793" s="2877">
        <f>SUM('2018+'!H1862:H2227)</f>
        <v>1483.0493977415649</v>
      </c>
    </row>
    <row r="794" spans="1:3" x14ac:dyDescent="0.2">
      <c r="A794" s="2781">
        <v>45326</v>
      </c>
      <c r="B794" s="2877">
        <f>SUM('2018+'!H2139:H2228)</f>
        <v>160.18239774156677</v>
      </c>
      <c r="C794" s="2877">
        <f>SUM('2018+'!H1863:H2228)</f>
        <v>1477.5193977415649</v>
      </c>
    </row>
    <row r="795" spans="1:3" x14ac:dyDescent="0.2">
      <c r="A795" s="2781">
        <v>45327</v>
      </c>
      <c r="B795" s="2877">
        <f>SUM('2018+'!H2140:H2229)</f>
        <v>159.4179312589649</v>
      </c>
      <c r="C795" s="2877">
        <f>SUM('2018+'!H1864:H2229)</f>
        <v>1482.604931258963</v>
      </c>
    </row>
    <row r="796" spans="1:3" x14ac:dyDescent="0.2">
      <c r="A796" s="2781">
        <v>45328</v>
      </c>
      <c r="B796" s="2877">
        <f>SUM('2018+'!H2141:H2230)</f>
        <v>164.50346477636302</v>
      </c>
      <c r="C796" s="2877">
        <f>SUM('2018+'!H1865:H2230)</f>
        <v>1477.9004647763611</v>
      </c>
    </row>
    <row r="797" spans="1:3" x14ac:dyDescent="0.2">
      <c r="A797" s="2781">
        <v>45329</v>
      </c>
      <c r="B797" s="2877">
        <f>SUM('2018+'!H2142:H2231)</f>
        <v>172.50346477636302</v>
      </c>
      <c r="C797" s="2877">
        <f>SUM('2018+'!H1866:H2231)</f>
        <v>1479.0904647763612</v>
      </c>
    </row>
    <row r="798" spans="1:3" x14ac:dyDescent="0.2">
      <c r="A798" s="2781">
        <v>45330</v>
      </c>
      <c r="B798" s="2877">
        <f>SUM('2018+'!H2143:H2232)</f>
        <v>172.50346477636302</v>
      </c>
      <c r="C798" s="2877">
        <f>SUM('2018+'!H1867:H2232)</f>
        <v>1471.8204647763612</v>
      </c>
    </row>
    <row r="799" spans="1:3" x14ac:dyDescent="0.2">
      <c r="A799" s="2781">
        <v>45331</v>
      </c>
      <c r="B799" s="2877">
        <f>SUM('2018+'!H2144:H2233)</f>
        <v>177.58899829376114</v>
      </c>
      <c r="C799" s="2877">
        <f>SUM('2018+'!H1868:H2233)</f>
        <v>1476.9059982937592</v>
      </c>
    </row>
    <row r="800" spans="1:3" x14ac:dyDescent="0.2">
      <c r="A800" s="2781">
        <v>45332</v>
      </c>
      <c r="B800" s="2877">
        <f>SUM('2018+'!H2145:H2234)</f>
        <v>186.01899829376114</v>
      </c>
      <c r="C800" s="2877">
        <f>SUM('2018+'!H1869:H2234)</f>
        <v>1485.4159982937592</v>
      </c>
    </row>
    <row r="801" spans="1:3" x14ac:dyDescent="0.2">
      <c r="A801" s="2781">
        <v>45333</v>
      </c>
      <c r="B801" s="2877">
        <f>SUM('2018+'!H2146:H2235)</f>
        <v>186.01899829376114</v>
      </c>
      <c r="C801" s="2877">
        <f>SUM('2018+'!H1870:H2235)</f>
        <v>1479.0759982937591</v>
      </c>
    </row>
    <row r="802" spans="1:3" x14ac:dyDescent="0.2">
      <c r="A802" s="2781">
        <v>45334</v>
      </c>
      <c r="B802" s="2877">
        <f>SUM('2018+'!H2147:H2236)</f>
        <v>194.41899829376115</v>
      </c>
      <c r="C802" s="2877">
        <f>SUM('2018+'!H1871:H2236)</f>
        <v>1487.4759982937592</v>
      </c>
    </row>
    <row r="803" spans="1:3" x14ac:dyDescent="0.2">
      <c r="A803" s="2781">
        <v>45335</v>
      </c>
      <c r="B803" s="2877">
        <f>SUM('2018+'!H2148:H2237)</f>
        <v>199.50453181115927</v>
      </c>
      <c r="C803" s="2877">
        <f>SUM('2018+'!H1872:H2237)</f>
        <v>1485.5715318111575</v>
      </c>
    </row>
    <row r="804" spans="1:3" x14ac:dyDescent="0.2">
      <c r="A804" s="2781">
        <v>45336</v>
      </c>
      <c r="B804" s="2877">
        <f>SUM('2018+'!H2149:H2238)</f>
        <v>208.10453181115926</v>
      </c>
      <c r="C804" s="2877">
        <f>SUM('2018+'!H1873:H2238)</f>
        <v>1487.6115318111572</v>
      </c>
    </row>
    <row r="805" spans="1:3" x14ac:dyDescent="0.2">
      <c r="A805" s="2781">
        <v>45337</v>
      </c>
      <c r="B805" s="2877">
        <f>SUM('2018+'!H2150:H2239)</f>
        <v>208.10453181115926</v>
      </c>
      <c r="C805" s="2877">
        <f>SUM('2018+'!H1874:H2239)</f>
        <v>1477.8715318111572</v>
      </c>
    </row>
    <row r="806" spans="1:3" x14ac:dyDescent="0.2">
      <c r="A806" s="2781">
        <v>45338</v>
      </c>
      <c r="B806" s="2877">
        <f>SUM('2018+'!H2151:H2240)</f>
        <v>213.19006532855738</v>
      </c>
      <c r="C806" s="2877">
        <f>SUM('2018+'!H1875:H2240)</f>
        <v>1482.9570653285552</v>
      </c>
    </row>
    <row r="807" spans="1:3" x14ac:dyDescent="0.2">
      <c r="A807" s="2781">
        <v>45339</v>
      </c>
      <c r="B807" s="2877">
        <f>SUM('2018+'!H2152:H2241)</f>
        <v>228.49006532855739</v>
      </c>
      <c r="C807" s="2877">
        <f>SUM('2018+'!H1876:H2241)</f>
        <v>1491.7370653285552</v>
      </c>
    </row>
    <row r="808" spans="1:3" x14ac:dyDescent="0.2">
      <c r="A808" s="2781">
        <v>45340</v>
      </c>
      <c r="B808" s="2877">
        <f>SUM('2018+'!H2153:H2242)</f>
        <v>228.49006532855739</v>
      </c>
      <c r="C808" s="2877">
        <f>SUM('2018+'!H1877:H2242)</f>
        <v>1491.7370653285552</v>
      </c>
    </row>
    <row r="809" spans="1:3" x14ac:dyDescent="0.2">
      <c r="A809" s="2781">
        <v>45341</v>
      </c>
      <c r="B809" s="2877">
        <f>SUM('2018+'!H2154:H2243)</f>
        <v>233.57559884595551</v>
      </c>
      <c r="C809" s="2877">
        <f>SUM('2018+'!H1878:H2243)</f>
        <v>1486.7925988459533</v>
      </c>
    </row>
    <row r="810" spans="1:3" x14ac:dyDescent="0.2">
      <c r="A810" s="2781">
        <v>45342</v>
      </c>
      <c r="B810" s="2877">
        <f>SUM('2018+'!H2155:H2244)</f>
        <v>238.66113236335363</v>
      </c>
      <c r="C810" s="2877">
        <f>SUM('2018+'!H1879:H2244)</f>
        <v>1491.8781323633514</v>
      </c>
    </row>
    <row r="811" spans="1:3" x14ac:dyDescent="0.2">
      <c r="A811" s="2781">
        <v>45343</v>
      </c>
      <c r="B811" s="2877">
        <f>SUM('2018+'!H2156:H2245)</f>
        <v>245.56113236335364</v>
      </c>
      <c r="C811" s="2877">
        <f>SUM('2018+'!H1880:H2245)</f>
        <v>1492.0581323633514</v>
      </c>
    </row>
    <row r="812" spans="1:3" x14ac:dyDescent="0.2">
      <c r="A812" s="2781">
        <v>45344</v>
      </c>
      <c r="B812" s="2877">
        <f>SUM('2018+'!H2157:H2246)</f>
        <v>245.56113236335364</v>
      </c>
      <c r="C812" s="2877">
        <f>SUM('2018+'!H1881:H2246)</f>
        <v>1482.8381323633516</v>
      </c>
    </row>
    <row r="813" spans="1:3" x14ac:dyDescent="0.2">
      <c r="A813" s="2781">
        <v>45345</v>
      </c>
      <c r="B813" s="2877">
        <f>SUM('2018+'!H2158:H2247)</f>
        <v>250.64666588075175</v>
      </c>
      <c r="C813" s="2877">
        <f>SUM('2018+'!H1882:H2247)</f>
        <v>1487.9236658807497</v>
      </c>
    </row>
    <row r="814" spans="1:3" x14ac:dyDescent="0.2">
      <c r="A814" s="2781">
        <v>45346</v>
      </c>
      <c r="B814" s="2877">
        <f>SUM('2018+'!H2159:H2248)</f>
        <v>258.64666588075175</v>
      </c>
      <c r="C814" s="2877">
        <f>SUM('2018+'!H1883:H2248)</f>
        <v>1489.7236658807496</v>
      </c>
    </row>
    <row r="815" spans="1:3" x14ac:dyDescent="0.2">
      <c r="A815" s="2781">
        <v>45347</v>
      </c>
      <c r="B815" s="2877">
        <f>SUM('2018+'!H2160:H2249)</f>
        <v>258.64666588075175</v>
      </c>
      <c r="C815" s="2877">
        <f>SUM('2018+'!H1884:H2249)</f>
        <v>1483.3136658807496</v>
      </c>
    </row>
    <row r="816" spans="1:3" x14ac:dyDescent="0.2">
      <c r="A816" s="2781">
        <v>45348</v>
      </c>
      <c r="B816" s="2877">
        <f>SUM('2018+'!H2161:H2250)</f>
        <v>267.64666588075175</v>
      </c>
      <c r="C816" s="2877">
        <f>SUM('2018+'!H1885:H2250)</f>
        <v>1480.6136658807497</v>
      </c>
    </row>
    <row r="817" spans="1:3" x14ac:dyDescent="0.2">
      <c r="A817" s="2781">
        <v>45349</v>
      </c>
      <c r="B817" s="2877">
        <f>SUM('2018+'!H2162:H2251)</f>
        <v>272.73219939814987</v>
      </c>
      <c r="C817" s="2877">
        <f>SUM('2018+'!H1886:H2251)</f>
        <v>1485.6991993981478</v>
      </c>
    </row>
    <row r="818" spans="1:3" x14ac:dyDescent="0.2">
      <c r="A818" s="2781">
        <v>45350</v>
      </c>
      <c r="B818" s="2877">
        <f>SUM('2018+'!H2163:H2252)</f>
        <v>282.23219939814987</v>
      </c>
      <c r="C818" s="2877">
        <f>SUM('2018+'!H1887:H2252)</f>
        <v>1487.959199398148</v>
      </c>
    </row>
    <row r="819" spans="1:3" x14ac:dyDescent="0.2">
      <c r="A819" s="2781">
        <v>45351</v>
      </c>
      <c r="B819" s="2877">
        <f>SUM('2018+'!H2164:H2253)</f>
        <v>282.23219939814987</v>
      </c>
      <c r="C819" s="2877">
        <f>SUM('2018+'!H1888:H2253)</f>
        <v>1478.9191993981481</v>
      </c>
    </row>
    <row r="820" spans="1:3" x14ac:dyDescent="0.2">
      <c r="A820" s="2781">
        <v>45352</v>
      </c>
      <c r="B820" s="2877">
        <f>SUM('2018+'!H2165:H2254)</f>
        <v>287.31773291554799</v>
      </c>
      <c r="C820" s="2877">
        <f>SUM('2018+'!H1889:H2254)</f>
        <v>1484.0047329155461</v>
      </c>
    </row>
    <row r="821" spans="1:3" x14ac:dyDescent="0.2">
      <c r="A821" s="2781">
        <v>45353</v>
      </c>
      <c r="B821" s="2877">
        <f>SUM('2018+'!H2166:H2255)</f>
        <v>303.51773291554798</v>
      </c>
      <c r="C821" s="2877">
        <f>SUM('2018+'!H1890:H2255)</f>
        <v>1492.7447329155461</v>
      </c>
    </row>
    <row r="822" spans="1:3" x14ac:dyDescent="0.2">
      <c r="A822" s="2781">
        <v>45354</v>
      </c>
      <c r="B822" s="2877">
        <f>SUM('2018+'!H2167:H2256)</f>
        <v>303.51773291554798</v>
      </c>
      <c r="C822" s="2877">
        <f>SUM('2018+'!H1891:H2256)</f>
        <v>1485.604732915546</v>
      </c>
    </row>
    <row r="823" spans="1:3" x14ac:dyDescent="0.2">
      <c r="A823" s="2781">
        <v>45355</v>
      </c>
      <c r="B823" s="2877">
        <f>SUM('2018+'!H2168:H2257)</f>
        <v>308.6032664329461</v>
      </c>
      <c r="C823" s="2877">
        <f>SUM('2018+'!H1892:H2257)</f>
        <v>1490.6902664329441</v>
      </c>
    </row>
    <row r="824" spans="1:3" x14ac:dyDescent="0.2">
      <c r="A824" s="2781">
        <v>45356</v>
      </c>
      <c r="B824" s="2877">
        <f>SUM('2018+'!H2169:H2258)</f>
        <v>313.68879995034422</v>
      </c>
      <c r="C824" s="2877">
        <f>SUM('2018+'!H1893:H2258)</f>
        <v>1485.9057999503423</v>
      </c>
    </row>
    <row r="825" spans="1:3" x14ac:dyDescent="0.2">
      <c r="A825" s="2781">
        <v>45357</v>
      </c>
      <c r="B825" s="2877">
        <f>SUM('2018+'!H2170:H2259)</f>
        <v>322.18879995034422</v>
      </c>
      <c r="C825" s="2877">
        <f>SUM('2018+'!H1894:H2259)</f>
        <v>1494.4057999503423</v>
      </c>
    </row>
    <row r="826" spans="1:3" x14ac:dyDescent="0.2">
      <c r="A826" s="2781">
        <v>45358</v>
      </c>
      <c r="B826" s="2877">
        <f>SUM('2018+'!H2171:H2260)</f>
        <v>322.18879995034422</v>
      </c>
      <c r="C826" s="2877">
        <f>SUM('2018+'!H1895:H2260)</f>
        <v>1487.0857999503423</v>
      </c>
    </row>
    <row r="827" spans="1:3" x14ac:dyDescent="0.2">
      <c r="A827" s="2781">
        <v>45359</v>
      </c>
      <c r="B827" s="2877">
        <f>SUM('2018+'!H2172:H2261)</f>
        <v>327.27433346774234</v>
      </c>
      <c r="C827" s="2877">
        <f>SUM('2018+'!H1896:H2261)</f>
        <v>1484.2513334677403</v>
      </c>
    </row>
    <row r="828" spans="1:3" x14ac:dyDescent="0.2">
      <c r="A828" s="2781">
        <v>45360</v>
      </c>
      <c r="B828" s="2877">
        <f>SUM('2018+'!H2173:H2262)</f>
        <v>344.27433346774234</v>
      </c>
      <c r="C828" s="2877">
        <f>SUM('2018+'!H1897:H2262)</f>
        <v>1501.2513334677403</v>
      </c>
    </row>
    <row r="829" spans="1:3" x14ac:dyDescent="0.2">
      <c r="A829" s="2781">
        <v>45361</v>
      </c>
      <c r="B829" s="2877">
        <f>SUM('2018+'!H2174:H2263)</f>
        <v>344.27433346774234</v>
      </c>
      <c r="C829" s="2877">
        <f>SUM('2018+'!H1898:H2263)</f>
        <v>1501.2513334677403</v>
      </c>
    </row>
    <row r="830" spans="1:3" x14ac:dyDescent="0.2">
      <c r="A830" s="2781">
        <v>45362</v>
      </c>
      <c r="B830" s="2877">
        <f>SUM('2018+'!H2175:H2264)</f>
        <v>349.28433346774233</v>
      </c>
      <c r="C830" s="2877">
        <f>SUM('2018+'!H1899:H2264)</f>
        <v>1510.2513334677403</v>
      </c>
    </row>
    <row r="831" spans="1:3" x14ac:dyDescent="0.2">
      <c r="A831" s="2781">
        <v>45363</v>
      </c>
      <c r="B831" s="2877">
        <f>SUM('2018+'!H2176:H2265)</f>
        <v>354.36986698514045</v>
      </c>
      <c r="C831" s="2877">
        <f>SUM('2018+'!H1900:H2265)</f>
        <v>1515.3368669851384</v>
      </c>
    </row>
    <row r="832" spans="1:3" x14ac:dyDescent="0.2">
      <c r="A832" s="2781">
        <v>45364</v>
      </c>
      <c r="B832" s="2877">
        <f>SUM('2018+'!H2177:H2266)</f>
        <v>363.06986698514044</v>
      </c>
      <c r="C832" s="2877">
        <f>SUM('2018+'!H1901:H2266)</f>
        <v>1524.0368669851384</v>
      </c>
    </row>
    <row r="833" spans="1:3" x14ac:dyDescent="0.2">
      <c r="A833" s="2781">
        <v>45365</v>
      </c>
      <c r="B833" s="2877">
        <f>SUM('2018+'!H2178:H2267)</f>
        <v>363.06986698514044</v>
      </c>
      <c r="C833" s="2877">
        <f>SUM('2018+'!H1902:H2267)</f>
        <v>1524.0368669851384</v>
      </c>
    </row>
    <row r="834" spans="1:3" x14ac:dyDescent="0.2">
      <c r="A834" s="2781">
        <v>45366</v>
      </c>
      <c r="B834" s="2877">
        <f>SUM('2018+'!H2179:H2268)</f>
        <v>368.15540050253855</v>
      </c>
      <c r="C834" s="2877">
        <f>SUM('2018+'!H1903:H2268)</f>
        <v>1529.1224005025365</v>
      </c>
    </row>
    <row r="835" spans="1:3" x14ac:dyDescent="0.2">
      <c r="A835" s="2781">
        <v>45367</v>
      </c>
      <c r="B835" s="2877">
        <f>SUM('2018+'!H2180:H2269)</f>
        <v>386.05540050253853</v>
      </c>
      <c r="C835" s="2877">
        <f>SUM('2018+'!H1904:H2269)</f>
        <v>1547.0224005025366</v>
      </c>
    </row>
    <row r="836" spans="1:3" x14ac:dyDescent="0.2">
      <c r="A836" s="2781">
        <v>45368</v>
      </c>
      <c r="B836" s="2877">
        <f>SUM('2018+'!H2181:H2270)</f>
        <v>386.05540050253853</v>
      </c>
      <c r="C836" s="2877">
        <f>SUM('2018+'!H1905:H2270)</f>
        <v>1547.0224005025366</v>
      </c>
    </row>
    <row r="837" spans="1:3" x14ac:dyDescent="0.2">
      <c r="A837" s="2781">
        <v>45369</v>
      </c>
      <c r="B837" s="2877">
        <f>SUM('2018+'!H2182:H2271)</f>
        <v>391.14093401993665</v>
      </c>
      <c r="C837" s="2877">
        <f>SUM('2018+'!H1906:H2271)</f>
        <v>1552.1079340199346</v>
      </c>
    </row>
    <row r="838" spans="1:3" x14ac:dyDescent="0.2">
      <c r="A838" s="2781">
        <v>45370</v>
      </c>
      <c r="B838" s="2877">
        <f>SUM('2018+'!H2183:H2272)</f>
        <v>396.22646753733477</v>
      </c>
      <c r="C838" s="2877">
        <f>SUM('2018+'!H1907:H2272)</f>
        <v>1557.1934675373327</v>
      </c>
    </row>
    <row r="839" spans="1:3" x14ac:dyDescent="0.2">
      <c r="A839" s="2781">
        <v>45371</v>
      </c>
      <c r="B839" s="2877">
        <f>SUM('2018+'!H2184:H2273)</f>
        <v>402.92646753733476</v>
      </c>
      <c r="C839" s="2877">
        <f>SUM('2018+'!H1908:H2273)</f>
        <v>1563.8934675373328</v>
      </c>
    </row>
    <row r="840" spans="1:3" x14ac:dyDescent="0.2">
      <c r="A840" s="2781">
        <v>45372</v>
      </c>
      <c r="B840" s="2877">
        <f>SUM('2018+'!H2185:H2274)</f>
        <v>402.92646753733476</v>
      </c>
      <c r="C840" s="2877">
        <f>SUM('2018+'!H1909:H2274)</f>
        <v>1558.3734675373328</v>
      </c>
    </row>
    <row r="841" spans="1:3" x14ac:dyDescent="0.2">
      <c r="A841" s="2781">
        <v>45373</v>
      </c>
      <c r="B841" s="2877">
        <f>SUM('2018+'!H2186:H2275)</f>
        <v>408.01200105473288</v>
      </c>
      <c r="C841" s="2877">
        <f>SUM('2018+'!H1910:H2275)</f>
        <v>1563.4590010547308</v>
      </c>
    </row>
    <row r="842" spans="1:3" x14ac:dyDescent="0.2">
      <c r="A842" s="2781">
        <v>45374</v>
      </c>
      <c r="B842" s="2877">
        <f>SUM('2018+'!H2187:H2276)</f>
        <v>418.31200105473289</v>
      </c>
      <c r="C842" s="2877">
        <f>SUM('2018+'!H1911:H2276)</f>
        <v>1566.809001054731</v>
      </c>
    </row>
    <row r="843" spans="1:3" x14ac:dyDescent="0.2">
      <c r="A843" s="2781">
        <v>45375</v>
      </c>
      <c r="B843" s="2877">
        <f>SUM('2018+'!H2188:H2277)</f>
        <v>418.31200105473289</v>
      </c>
      <c r="C843" s="2877">
        <f>SUM('2018+'!H1912:H2277)</f>
        <v>1566.809001054731</v>
      </c>
    </row>
    <row r="844" spans="1:3" x14ac:dyDescent="0.2">
      <c r="A844" s="2781">
        <v>45376</v>
      </c>
      <c r="B844" s="2877">
        <f>SUM('2018+'!H2189:H2278)</f>
        <v>426.41200105473291</v>
      </c>
      <c r="C844" s="2877">
        <f>SUM('2018+'!H1913:H2278)</f>
        <v>1568.7290010547308</v>
      </c>
    </row>
    <row r="845" spans="1:3" x14ac:dyDescent="0.2">
      <c r="A845" s="2781">
        <v>45377</v>
      </c>
      <c r="B845" s="2877">
        <f>SUM('2018+'!H2190:H2279)</f>
        <v>426.12753457213108</v>
      </c>
      <c r="C845" s="2877">
        <f>SUM('2018+'!H1914:H2279)</f>
        <v>1573.8145345721289</v>
      </c>
    </row>
    <row r="846" spans="1:3" x14ac:dyDescent="0.2">
      <c r="A846" s="2781">
        <v>45378</v>
      </c>
      <c r="B846" s="2877">
        <f>SUM('2018+'!H2191:H2280)</f>
        <v>435.62753457213108</v>
      </c>
      <c r="C846" s="2877">
        <f>SUM('2018+'!H1915:H2280)</f>
        <v>1577.0745345721289</v>
      </c>
    </row>
    <row r="847" spans="1:3" x14ac:dyDescent="0.2">
      <c r="A847" s="2781">
        <v>45379</v>
      </c>
      <c r="B847" s="2877">
        <f>SUM('2018+'!H2192:H2281)</f>
        <v>430.76753457213107</v>
      </c>
      <c r="C847" s="2877">
        <f>SUM('2018+'!H1916:H2281)</f>
        <v>1577.0745345721289</v>
      </c>
    </row>
    <row r="848" spans="1:3" x14ac:dyDescent="0.2">
      <c r="A848" s="2781">
        <v>45380</v>
      </c>
      <c r="B848" s="2877">
        <f>SUM('2018+'!H2193:H2282)</f>
        <v>435.85306808952919</v>
      </c>
      <c r="C848" s="2877">
        <f>SUM('2018+'!H1917:H2282)</f>
        <v>1574.100068089527</v>
      </c>
    </row>
    <row r="849" spans="1:3" x14ac:dyDescent="0.2">
      <c r="A849" s="2781">
        <v>45381</v>
      </c>
      <c r="B849" s="2877">
        <f>SUM('2018+'!H2194:H2283)</f>
        <v>446.89306808952915</v>
      </c>
      <c r="C849" s="2877">
        <f>SUM('2018+'!H1918:H2283)</f>
        <v>1586.560068089527</v>
      </c>
    </row>
    <row r="850" spans="1:3" x14ac:dyDescent="0.2">
      <c r="A850" s="2781">
        <v>45382</v>
      </c>
      <c r="B850" s="2877">
        <f>SUM('2018+'!H2195:H2284)</f>
        <v>446.89306808952915</v>
      </c>
      <c r="C850" s="2877">
        <f>SUM('2018+'!H1919:H2284)</f>
        <v>1576.4100680895272</v>
      </c>
    </row>
    <row r="851" spans="1:3" x14ac:dyDescent="0.2">
      <c r="A851" s="2781">
        <v>45383</v>
      </c>
      <c r="B851" s="2877">
        <f>SUM('2018+'!H2196:H2285)</f>
        <v>451.97860160692727</v>
      </c>
      <c r="C851" s="2877">
        <f>SUM('2018+'!H1920:H2285)</f>
        <v>1581.4956016069252</v>
      </c>
    </row>
    <row r="852" spans="1:3" x14ac:dyDescent="0.2">
      <c r="A852" s="2781">
        <v>45384</v>
      </c>
      <c r="B852" s="2877">
        <f>SUM('2018+'!H2197:H2286)</f>
        <v>448.96413512432537</v>
      </c>
      <c r="C852" s="2877">
        <f>SUM('2018+'!H1921:H2286)</f>
        <v>1573.8811351243235</v>
      </c>
    </row>
    <row r="853" spans="1:3" x14ac:dyDescent="0.2">
      <c r="A853" s="2781">
        <v>45385</v>
      </c>
      <c r="B853" s="2877">
        <f>SUM('2018+'!H2198:H2287)</f>
        <v>457.26413512432538</v>
      </c>
      <c r="C853" s="2877">
        <f>SUM('2018+'!H1922:H2287)</f>
        <v>1582.1811351243234</v>
      </c>
    </row>
    <row r="854" spans="1:3" x14ac:dyDescent="0.2">
      <c r="A854" s="2781">
        <v>45386</v>
      </c>
      <c r="B854" s="2877">
        <f>SUM('2018+'!H2199:H2288)</f>
        <v>457.26413512432538</v>
      </c>
      <c r="C854" s="2877">
        <f>SUM('2018+'!H1923:H2288)</f>
        <v>1575.5311351243233</v>
      </c>
    </row>
    <row r="855" spans="1:3" x14ac:dyDescent="0.2">
      <c r="A855" s="2781">
        <v>45387</v>
      </c>
      <c r="B855" s="2877">
        <f>SUM('2018+'!H2200:H2289)</f>
        <v>456.39966864172357</v>
      </c>
      <c r="C855" s="2877">
        <f>SUM('2018+'!H1924:H2289)</f>
        <v>1571.4166686417216</v>
      </c>
    </row>
    <row r="856" spans="1:3" x14ac:dyDescent="0.2">
      <c r="A856" s="2781">
        <v>45388</v>
      </c>
      <c r="B856" s="2877">
        <f>SUM('2018+'!H2201:H2290)</f>
        <v>475.99966864172359</v>
      </c>
      <c r="C856" s="2877">
        <f>SUM('2018+'!H1925:H2290)</f>
        <v>1583.9466686417215</v>
      </c>
    </row>
    <row r="857" spans="1:3" x14ac:dyDescent="0.2">
      <c r="A857" s="2781">
        <v>45389</v>
      </c>
      <c r="B857" s="2877">
        <f>SUM('2018+'!H2202:H2291)</f>
        <v>474.04966864172354</v>
      </c>
      <c r="C857" s="2877">
        <f>SUM('2018+'!H1926:H2291)</f>
        <v>1582.4166686417216</v>
      </c>
    </row>
    <row r="858" spans="1:3" x14ac:dyDescent="0.2">
      <c r="A858" s="2781">
        <v>45390</v>
      </c>
      <c r="B858" s="2877">
        <f>SUM('2018+'!H2203:H2292)</f>
        <v>478.84966864172355</v>
      </c>
      <c r="C858" s="2877">
        <f>SUM('2018+'!H1927:H2292)</f>
        <v>1569.3166686417217</v>
      </c>
    </row>
    <row r="859" spans="1:3" x14ac:dyDescent="0.2">
      <c r="A859" s="2781">
        <v>45391</v>
      </c>
      <c r="B859" s="2877">
        <f>SUM('2018+'!H2204:H2293)</f>
        <v>477.81966864172358</v>
      </c>
      <c r="C859" s="2877">
        <f>SUM('2018+'!H1928:H2293)</f>
        <v>1574.2166686417218</v>
      </c>
    </row>
    <row r="860" spans="1:3" x14ac:dyDescent="0.2">
      <c r="A860" s="2781">
        <v>45392</v>
      </c>
      <c r="B860" s="2877">
        <f>SUM('2018+'!H2205:H2294)</f>
        <v>485.51966864172357</v>
      </c>
      <c r="C860" s="2877">
        <f>SUM('2018+'!H1929:H2294)</f>
        <v>1581.9166686417218</v>
      </c>
    </row>
    <row r="861" spans="1:3" x14ac:dyDescent="0.2">
      <c r="A861" s="2781">
        <v>45393</v>
      </c>
      <c r="B861" s="2877">
        <f>SUM('2018+'!H2206:H2295)</f>
        <v>485.51966864172357</v>
      </c>
      <c r="C861" s="2877">
        <f>SUM('2018+'!H1930:H2295)</f>
        <v>1574.4266686417218</v>
      </c>
    </row>
    <row r="862" spans="1:3" x14ac:dyDescent="0.2">
      <c r="A862" s="2781">
        <v>45394</v>
      </c>
      <c r="B862" s="2877">
        <f>SUM('2018+'!H2207:H2296)</f>
        <v>490.41966864172355</v>
      </c>
      <c r="C862" s="2877">
        <f>SUM('2018+'!H1931:H2296)</f>
        <v>1579.3266686417219</v>
      </c>
    </row>
    <row r="863" spans="1:3" x14ac:dyDescent="0.2">
      <c r="A863" s="2781">
        <v>45395</v>
      </c>
      <c r="B863" s="2877">
        <f>SUM('2018+'!H2208:H2297)</f>
        <v>498.29966864172354</v>
      </c>
      <c r="C863" s="2877">
        <f>SUM('2018+'!H1932:H2297)</f>
        <v>1592.9266686417218</v>
      </c>
    </row>
    <row r="864" spans="1:3" x14ac:dyDescent="0.2">
      <c r="A864" s="2781">
        <v>45396</v>
      </c>
      <c r="B864" s="2877">
        <f>SUM('2018+'!H2209:H2298)</f>
        <v>492.95966864172351</v>
      </c>
      <c r="C864" s="2877">
        <f>SUM('2018+'!H1933:H2298)</f>
        <v>1592.9266686417218</v>
      </c>
    </row>
    <row r="865" spans="1:3" x14ac:dyDescent="0.2">
      <c r="A865" s="2781">
        <v>45397</v>
      </c>
      <c r="B865" s="2877">
        <f>SUM('2018+'!H2210:H2299)</f>
        <v>497.95966864172351</v>
      </c>
      <c r="C865" s="2877">
        <f>SUM('2018+'!H1934:H2299)</f>
        <v>1588.4166686417218</v>
      </c>
    </row>
    <row r="866" spans="1:3" x14ac:dyDescent="0.2">
      <c r="A866" s="2781">
        <v>45398</v>
      </c>
      <c r="B866" s="2877">
        <f>SUM('2018+'!H2211:H2300)</f>
        <v>495.77966864172356</v>
      </c>
      <c r="C866" s="2877">
        <f>SUM('2018+'!H1935:H2300)</f>
        <v>1585.4466686417218</v>
      </c>
    </row>
    <row r="867" spans="1:3" x14ac:dyDescent="0.2">
      <c r="A867" s="2781">
        <v>45399</v>
      </c>
      <c r="B867" s="2877">
        <f>SUM('2018+'!H2212:H2301)</f>
        <v>497.58966864172356</v>
      </c>
      <c r="C867" s="2877">
        <f>SUM('2018+'!H1936:H2301)</f>
        <v>1584.5266686417219</v>
      </c>
    </row>
    <row r="868" spans="1:3" x14ac:dyDescent="0.2">
      <c r="A868" s="2781">
        <v>45400</v>
      </c>
      <c r="B868" s="2877">
        <f>SUM('2018+'!H2213:H2302)</f>
        <v>497.58966864172356</v>
      </c>
      <c r="C868" s="2877">
        <f>SUM('2018+'!H1937:H2302)</f>
        <v>1575.9166686417223</v>
      </c>
    </row>
    <row r="869" spans="1:3" x14ac:dyDescent="0.2">
      <c r="A869" s="2781">
        <v>45401</v>
      </c>
      <c r="B869" s="2877">
        <f>SUM('2018+'!H2214:H2303)</f>
        <v>494.10895728519273</v>
      </c>
      <c r="C869" s="2877">
        <f>SUM('2018+'!H1938:H2303)</f>
        <v>1579.2166686417222</v>
      </c>
    </row>
    <row r="870" spans="1:3" x14ac:dyDescent="0.2">
      <c r="A870" s="2781">
        <v>45402</v>
      </c>
      <c r="B870" s="2877">
        <f>SUM('2018+'!H2215:H2304)</f>
        <v>494.10895728519273</v>
      </c>
      <c r="C870" s="2877">
        <f>SUM('2018+'!H1939:H2304)</f>
        <v>1572.186668641722</v>
      </c>
    </row>
    <row r="871" spans="1:3" x14ac:dyDescent="0.2">
      <c r="A871" s="2781">
        <v>45403</v>
      </c>
      <c r="B871" s="2877">
        <f>SUM('2018+'!H2216:H2305)</f>
        <v>499.02342376779461</v>
      </c>
      <c r="C871" s="2877">
        <f>SUM('2018+'!H1940:H2305)</f>
        <v>1575.9766686417222</v>
      </c>
    </row>
    <row r="872" spans="1:3" x14ac:dyDescent="0.2">
      <c r="A872" s="2781">
        <v>45404</v>
      </c>
      <c r="B872" s="2877">
        <f>SUM('2018+'!H2217:H2306)</f>
        <v>488.79080031080434</v>
      </c>
      <c r="C872" s="2877">
        <f>SUM('2018+'!H1941:H2306)</f>
        <v>1575.9766686417222</v>
      </c>
    </row>
    <row r="873" spans="1:3" x14ac:dyDescent="0.2">
      <c r="A873" s="2781">
        <v>45405</v>
      </c>
      <c r="B873" s="2877">
        <f>SUM('2018+'!H2218:H2307)</f>
        <v>488.79080031080434</v>
      </c>
      <c r="C873" s="2877">
        <f>SUM('2018+'!H1942:H2307)</f>
        <v>1566.7366686417222</v>
      </c>
    </row>
    <row r="874" spans="1:3" x14ac:dyDescent="0.2">
      <c r="A874" s="2781">
        <v>45406</v>
      </c>
      <c r="B874" s="2877">
        <f>SUM('2018+'!H2219:H2308)</f>
        <v>483.70526679340617</v>
      </c>
      <c r="C874" s="2877">
        <f>SUM('2018+'!H1943:H2308)</f>
        <v>1560.8166686417221</v>
      </c>
    </row>
    <row r="875" spans="1:3" x14ac:dyDescent="0.2">
      <c r="A875" s="2781">
        <v>45407</v>
      </c>
      <c r="B875" s="2877">
        <f>SUM('2018+'!H2220:H2309)</f>
        <v>483.70526679340617</v>
      </c>
      <c r="C875" s="2877">
        <f>SUM('2018+'!H1944:H2309)</f>
        <v>1555.3066686417221</v>
      </c>
    </row>
    <row r="876" spans="1:3" x14ac:dyDescent="0.2">
      <c r="A876" s="2781">
        <v>45408</v>
      </c>
      <c r="B876" s="2877">
        <f>SUM('2018+'!H2221:H2310)</f>
        <v>473.47264333641596</v>
      </c>
      <c r="C876" s="2877">
        <f>SUM('2018+'!H1945:H2310)</f>
        <v>1555.3066686417221</v>
      </c>
    </row>
    <row r="877" spans="1:3" x14ac:dyDescent="0.2">
      <c r="A877" s="2781">
        <v>45409</v>
      </c>
      <c r="B877" s="2877">
        <f>SUM('2018+'!H2222:H2311)</f>
        <v>473.47264333641596</v>
      </c>
      <c r="C877" s="2877">
        <f>SUM('2018+'!H1946:H2311)</f>
        <v>1548.6766686417222</v>
      </c>
    </row>
    <row r="878" spans="1:3" x14ac:dyDescent="0.2">
      <c r="A878" s="2781">
        <v>45410</v>
      </c>
      <c r="B878" s="2877">
        <f>SUM('2018+'!H2223:H2312)</f>
        <v>464.13833793495309</v>
      </c>
      <c r="C878" s="2877">
        <f>SUM('2018+'!H1947:H2312)</f>
        <v>1543.3766686417221</v>
      </c>
    </row>
    <row r="879" spans="1:3" x14ac:dyDescent="0.2">
      <c r="A879" s="2781">
        <v>45411</v>
      </c>
      <c r="B879" s="2877">
        <f>SUM('2018+'!H2224:H2313)</f>
        <v>464.13833793495309</v>
      </c>
      <c r="C879" s="2877">
        <f>SUM('2018+'!H1948:H2313)</f>
        <v>1548.4622021591201</v>
      </c>
    </row>
    <row r="880" spans="1:3" x14ac:dyDescent="0.2">
      <c r="A880" s="2781">
        <v>45412</v>
      </c>
      <c r="B880" s="2877">
        <f>SUM('2018+'!H2225:H2314)</f>
        <v>455.13833793495309</v>
      </c>
      <c r="C880" s="2877">
        <f>SUM('2018+'!H1949:H2314)</f>
        <v>1543.4622021591201</v>
      </c>
    </row>
    <row r="881" spans="1:3" x14ac:dyDescent="0.2">
      <c r="A881" s="2781">
        <v>45413</v>
      </c>
      <c r="B881" s="2877">
        <f>SUM('2018+'!H2226:H2315)</f>
        <v>461.91904929148393</v>
      </c>
      <c r="C881" s="2877">
        <f>SUM('2018+'!H1950:H2315)</f>
        <v>1550.242913515651</v>
      </c>
    </row>
    <row r="882" spans="1:3" x14ac:dyDescent="0.2">
      <c r="A882" s="2781">
        <v>45414</v>
      </c>
      <c r="B882" s="2877">
        <f>SUM('2018+'!H2227:H2316)</f>
        <v>456.83351577408581</v>
      </c>
      <c r="C882" s="2877">
        <f>SUM('2018+'!H1951:H2316)</f>
        <v>1550.242913515651</v>
      </c>
    </row>
    <row r="883" spans="1:3" x14ac:dyDescent="0.2">
      <c r="A883" s="2781">
        <v>45415</v>
      </c>
      <c r="B883" s="2877">
        <f>SUM('2018+'!H2228:H2317)</f>
        <v>448.31904929148396</v>
      </c>
      <c r="C883" s="2877">
        <f>SUM('2018+'!H1952:H2317)</f>
        <v>1550.6384470330493</v>
      </c>
    </row>
    <row r="884" spans="1:3" x14ac:dyDescent="0.2">
      <c r="A884" s="2781">
        <v>45416</v>
      </c>
      <c r="B884" s="2877">
        <f>SUM('2018+'!H2229:H2318)</f>
        <v>448.31904929148396</v>
      </c>
      <c r="C884" s="2877">
        <f>SUM('2018+'!H1953:H2318)</f>
        <v>1545.1884470330492</v>
      </c>
    </row>
    <row r="885" spans="1:3" x14ac:dyDescent="0.2">
      <c r="A885" s="2781">
        <v>45417</v>
      </c>
      <c r="B885" s="2877">
        <f>SUM('2018+'!H2230:H2319)</f>
        <v>453.40458280888208</v>
      </c>
      <c r="C885" s="2877">
        <f>SUM('2018+'!H1954:H2319)</f>
        <v>1549.6295140678455</v>
      </c>
    </row>
    <row r="886" spans="1:3" x14ac:dyDescent="0.2">
      <c r="A886" s="2781">
        <v>45418</v>
      </c>
      <c r="B886" s="2877">
        <f>SUM('2018+'!H2231:H2320)</f>
        <v>453.40458280888203</v>
      </c>
      <c r="C886" s="2877">
        <f>SUM('2018+'!H1955:H2320)</f>
        <v>1554.7150475852436</v>
      </c>
    </row>
    <row r="887" spans="1:3" x14ac:dyDescent="0.2">
      <c r="A887" s="2781">
        <v>45419</v>
      </c>
      <c r="B887" s="2877">
        <f>SUM('2018+'!H2232:H2321)</f>
        <v>445.40458280888208</v>
      </c>
      <c r="C887" s="2877">
        <f>SUM('2018+'!H1956:H2321)</f>
        <v>1554.7150475852436</v>
      </c>
    </row>
    <row r="888" spans="1:3" x14ac:dyDescent="0.2">
      <c r="A888" s="2781">
        <v>45420</v>
      </c>
      <c r="B888" s="2877">
        <f>SUM('2018+'!H2233:H2322)</f>
        <v>452.18529416541293</v>
      </c>
      <c r="C888" s="2877">
        <f>SUM('2018+'!H1957:H2322)</f>
        <v>1555.8157589417747</v>
      </c>
    </row>
    <row r="889" spans="1:3" x14ac:dyDescent="0.2">
      <c r="A889" s="2781">
        <v>45421</v>
      </c>
      <c r="B889" s="2877">
        <f>SUM('2018+'!H2234:H2323)</f>
        <v>447.09976064801475</v>
      </c>
      <c r="C889" s="2877">
        <f>SUM('2018+'!H1958:H2323)</f>
        <v>1549.1057589417746</v>
      </c>
    </row>
    <row r="890" spans="1:3" x14ac:dyDescent="0.2">
      <c r="A890" s="2781">
        <v>45422</v>
      </c>
      <c r="B890" s="2877">
        <f>SUM('2018+'!H2235:H2324)</f>
        <v>437.68529416541293</v>
      </c>
      <c r="C890" s="2877">
        <f>SUM('2018+'!H1959:H2324)</f>
        <v>1554.1912924591727</v>
      </c>
    </row>
    <row r="891" spans="1:3" x14ac:dyDescent="0.2">
      <c r="A891" s="2781">
        <v>45423</v>
      </c>
      <c r="B891" s="2877">
        <f>SUM('2018+'!H2236:H2325)</f>
        <v>437.68529416541293</v>
      </c>
      <c r="C891" s="2877">
        <f>SUM('2018+'!H1960:H2325)</f>
        <v>1547.2512924591729</v>
      </c>
    </row>
    <row r="892" spans="1:3" x14ac:dyDescent="0.2">
      <c r="A892" s="2781">
        <v>45424</v>
      </c>
      <c r="B892" s="2877">
        <f>SUM('2018+'!H2237:H2326)</f>
        <v>439.45636120020919</v>
      </c>
      <c r="C892" s="2877">
        <f>SUM('2018+'!H1961:H2326)</f>
        <v>1557.4223594939692</v>
      </c>
    </row>
    <row r="893" spans="1:3" x14ac:dyDescent="0.2">
      <c r="A893" s="2781">
        <v>45425</v>
      </c>
      <c r="B893" s="2877">
        <f>SUM('2018+'!H2238:H2327)</f>
        <v>439.45636120020913</v>
      </c>
      <c r="C893" s="2877">
        <f>SUM('2018+'!H1962:H2327)</f>
        <v>1562.5078930113673</v>
      </c>
    </row>
    <row r="894" spans="1:3" x14ac:dyDescent="0.2">
      <c r="A894" s="2781">
        <v>45426</v>
      </c>
      <c r="B894" s="2877">
        <f>SUM('2018+'!H2239:H2328)</f>
        <v>430.85636120020916</v>
      </c>
      <c r="C894" s="2877">
        <f>SUM('2018+'!H1963:H2328)</f>
        <v>1562.5078930113673</v>
      </c>
    </row>
    <row r="895" spans="1:3" x14ac:dyDescent="0.2">
      <c r="A895" s="2781">
        <v>45427</v>
      </c>
      <c r="B895" s="2877">
        <f>SUM('2018+'!H2240:H2329)</f>
        <v>437.63707255674001</v>
      </c>
      <c r="C895" s="2877">
        <f>SUM('2018+'!H1964:H2329)</f>
        <v>1569.2886043678982</v>
      </c>
    </row>
    <row r="896" spans="1:3" x14ac:dyDescent="0.2">
      <c r="A896" s="2781">
        <v>45428</v>
      </c>
      <c r="B896" s="2877">
        <f>SUM('2018+'!H2241:H2330)</f>
        <v>432.55153903934189</v>
      </c>
      <c r="C896" s="2877">
        <f>SUM('2018+'!H1965:H2330)</f>
        <v>1561.5986043678979</v>
      </c>
    </row>
    <row r="897" spans="1:3" x14ac:dyDescent="0.2">
      <c r="A897" s="2781">
        <v>45429</v>
      </c>
      <c r="B897" s="2877">
        <f>SUM('2018+'!H2242:H2331)</f>
        <v>422.33707255674</v>
      </c>
      <c r="C897" s="2877">
        <f>SUM('2018+'!H1966:H2331)</f>
        <v>1566.684137885296</v>
      </c>
    </row>
    <row r="898" spans="1:3" x14ac:dyDescent="0.2">
      <c r="A898" s="2781">
        <v>45430</v>
      </c>
      <c r="B898" s="2877">
        <f>SUM('2018+'!H2243:H2332)</f>
        <v>422.33707255674</v>
      </c>
      <c r="C898" s="2877">
        <f>SUM('2018+'!H1967:H2332)</f>
        <v>1566.684137885296</v>
      </c>
    </row>
    <row r="899" spans="1:3" x14ac:dyDescent="0.2">
      <c r="A899" s="2781">
        <v>45431</v>
      </c>
      <c r="B899" s="2877">
        <f>SUM('2018+'!H2244:H2333)</f>
        <v>427.42260607413812</v>
      </c>
      <c r="C899" s="2877">
        <f>SUM('2018+'!H1968:H2333)</f>
        <v>1576.8552049200923</v>
      </c>
    </row>
    <row r="900" spans="1:3" x14ac:dyDescent="0.2">
      <c r="A900" s="2781">
        <v>45432</v>
      </c>
      <c r="B900" s="2877">
        <f>SUM('2018+'!H2245:H2334)</f>
        <v>427.42260607413812</v>
      </c>
      <c r="C900" s="2877">
        <f>SUM('2018+'!H1969:H2334)</f>
        <v>1581.9407384374904</v>
      </c>
    </row>
    <row r="901" spans="1:3" x14ac:dyDescent="0.2">
      <c r="A901" s="2781">
        <v>45433</v>
      </c>
      <c r="B901" s="2877">
        <f>SUM('2018+'!H2246:H2335)</f>
        <v>420.52260607413808</v>
      </c>
      <c r="C901" s="2877">
        <f>SUM('2018+'!H1970:H2335)</f>
        <v>1575.0407384374905</v>
      </c>
    </row>
    <row r="902" spans="1:3" x14ac:dyDescent="0.2">
      <c r="A902" s="2781">
        <v>45434</v>
      </c>
      <c r="B902" s="2877">
        <f>SUM('2018+'!H2247:H2336)</f>
        <v>427.30331743066893</v>
      </c>
      <c r="C902" s="2877">
        <f>SUM('2018+'!H1971:H2336)</f>
        <v>1575.7214497940217</v>
      </c>
    </row>
    <row r="903" spans="1:3" x14ac:dyDescent="0.2">
      <c r="A903" s="2781">
        <v>45435</v>
      </c>
      <c r="B903" s="2877">
        <f>SUM('2018+'!H2248:H2337)</f>
        <v>422.21778391327081</v>
      </c>
      <c r="C903" s="2877">
        <f>SUM('2018+'!H1972:H2337)</f>
        <v>1575.7214497940217</v>
      </c>
    </row>
    <row r="904" spans="1:3" x14ac:dyDescent="0.2">
      <c r="A904" s="2781">
        <v>45436</v>
      </c>
      <c r="B904" s="2877">
        <f>SUM('2018+'!H2249:H2338)</f>
        <v>419.30331743066893</v>
      </c>
      <c r="C904" s="2877">
        <f>SUM('2018+'!H1973:H2338)</f>
        <v>1574.7969833114198</v>
      </c>
    </row>
    <row r="905" spans="1:3" x14ac:dyDescent="0.2">
      <c r="A905" s="2781">
        <v>45437</v>
      </c>
      <c r="B905" s="2877">
        <f>SUM('2018+'!H2250:H2339)</f>
        <v>419.30331743066893</v>
      </c>
      <c r="C905" s="2877">
        <f>SUM('2018+'!H1974:H2339)</f>
        <v>1567.8369833114198</v>
      </c>
    </row>
    <row r="906" spans="1:3" x14ac:dyDescent="0.2">
      <c r="A906" s="2781">
        <v>45438</v>
      </c>
      <c r="B906" s="2877">
        <f>SUM('2018+'!H2251:H2340)</f>
        <v>420.47438446546522</v>
      </c>
      <c r="C906" s="2877">
        <f>SUM('2018+'!H1975:H2340)</f>
        <v>1571.2680503462161</v>
      </c>
    </row>
    <row r="907" spans="1:3" x14ac:dyDescent="0.2">
      <c r="A907" s="2781">
        <v>45439</v>
      </c>
      <c r="B907" s="2877">
        <f>SUM('2018+'!H2252:H2341)</f>
        <v>420.47438446546522</v>
      </c>
      <c r="C907" s="2877">
        <f>SUM('2018+'!H1976:H2341)</f>
        <v>1576.3535838636142</v>
      </c>
    </row>
    <row r="908" spans="1:3" x14ac:dyDescent="0.2">
      <c r="A908" s="2781">
        <v>45440</v>
      </c>
      <c r="B908" s="2877">
        <f>SUM('2018+'!H2253:H2342)</f>
        <v>416.05991798286334</v>
      </c>
      <c r="C908" s="2877">
        <f>SUM('2018+'!H1977:H2342)</f>
        <v>1581.4391173810122</v>
      </c>
    </row>
    <row r="909" spans="1:3" x14ac:dyDescent="0.2">
      <c r="A909" s="2781">
        <v>45441</v>
      </c>
      <c r="B909" s="2877">
        <f>SUM('2018+'!H2254:H2343)</f>
        <v>416.05991798286334</v>
      </c>
      <c r="C909" s="2877">
        <f>SUM('2018+'!H1978:H2343)</f>
        <v>1581.4391173810122</v>
      </c>
    </row>
    <row r="910" spans="1:3" x14ac:dyDescent="0.2">
      <c r="A910" s="2781">
        <v>45442</v>
      </c>
      <c r="B910" s="2877">
        <f>SUM('2018+'!H2255:H2344)</f>
        <v>417.75509582199606</v>
      </c>
      <c r="C910" s="2877">
        <f>SUM('2018+'!H1979:H2344)</f>
        <v>1582.6698287375432</v>
      </c>
    </row>
    <row r="911" spans="1:3" x14ac:dyDescent="0.2">
      <c r="A911" s="2781">
        <v>45443</v>
      </c>
      <c r="B911" s="2877">
        <f>SUM('2018+'!H2256:H2345)</f>
        <v>406.64062933939414</v>
      </c>
      <c r="C911" s="2877">
        <f>SUM('2018+'!H1980:H2345)</f>
        <v>1580.6953622549415</v>
      </c>
    </row>
    <row r="912" spans="1:3" x14ac:dyDescent="0.2">
      <c r="A912" s="2781">
        <v>45444</v>
      </c>
      <c r="B912" s="2877">
        <f>SUM('2018+'!H2257:H2346)</f>
        <v>406.64062933939414</v>
      </c>
      <c r="C912" s="2877">
        <f>SUM('2018+'!H1981:H2346)</f>
        <v>1573.7053622549415</v>
      </c>
    </row>
    <row r="913" spans="1:3" x14ac:dyDescent="0.2">
      <c r="A913" s="2781">
        <v>45445</v>
      </c>
      <c r="B913" s="2877">
        <f>SUM('2018+'!H2258:H2347)</f>
        <v>411.72616285679231</v>
      </c>
      <c r="C913" s="2877">
        <f>SUM('2018+'!H1982:H2347)</f>
        <v>1577.766429289738</v>
      </c>
    </row>
    <row r="914" spans="1:3" x14ac:dyDescent="0.2">
      <c r="A914" s="2781">
        <v>45446</v>
      </c>
      <c r="B914" s="2877">
        <f>SUM('2018+'!H2259:H2348)</f>
        <v>411.72616285679231</v>
      </c>
      <c r="C914" s="2877">
        <f>SUM('2018+'!H1983:H2348)</f>
        <v>1582.851962807136</v>
      </c>
    </row>
    <row r="915" spans="1:3" x14ac:dyDescent="0.2">
      <c r="A915" s="2781">
        <v>45447</v>
      </c>
      <c r="B915" s="2877">
        <f>SUM('2018+'!H2260:H2349)</f>
        <v>408.31169637419038</v>
      </c>
      <c r="C915" s="2877">
        <f>SUM('2018+'!H1984:H2349)</f>
        <v>1575.5374963245342</v>
      </c>
    </row>
    <row r="916" spans="1:3" x14ac:dyDescent="0.2">
      <c r="A916" s="2781">
        <v>45448</v>
      </c>
      <c r="B916" s="2877">
        <f>SUM('2018+'!H2261:H2350)</f>
        <v>408.31169637419038</v>
      </c>
      <c r="C916" s="2877">
        <f>SUM('2018+'!H1985:H2350)</f>
        <v>1575.5374963245342</v>
      </c>
    </row>
    <row r="917" spans="1:3" x14ac:dyDescent="0.2">
      <c r="A917" s="2781">
        <v>45449</v>
      </c>
      <c r="B917" s="2877">
        <f>SUM('2018+'!H2262:H2351)</f>
        <v>410.0068742133231</v>
      </c>
      <c r="C917" s="2877">
        <f>SUM('2018+'!H1986:H2351)</f>
        <v>1574.208207681065</v>
      </c>
    </row>
    <row r="918" spans="1:3" x14ac:dyDescent="0.2">
      <c r="A918" s="2781">
        <v>45450</v>
      </c>
      <c r="B918" s="2877">
        <f>SUM('2018+'!H2263:H2352)</f>
        <v>398.09240773072122</v>
      </c>
      <c r="C918" s="2877">
        <f>SUM('2018+'!H1987:H2352)</f>
        <v>1579.2937411984631</v>
      </c>
    </row>
    <row r="919" spans="1:3" x14ac:dyDescent="0.2">
      <c r="A919" s="2781">
        <v>45451</v>
      </c>
      <c r="B919" s="2877">
        <f>SUM('2018+'!H2264:H2353)</f>
        <v>398.09240773072122</v>
      </c>
      <c r="C919" s="2877">
        <f>SUM('2018+'!H1988:H2353)</f>
        <v>1579.2937411984631</v>
      </c>
    </row>
    <row r="920" spans="1:3" x14ac:dyDescent="0.2">
      <c r="A920" s="2781">
        <v>45452</v>
      </c>
      <c r="B920" s="2877">
        <f>SUM('2018+'!H2265:H2354)</f>
        <v>399.26347476551751</v>
      </c>
      <c r="C920" s="2877">
        <f>SUM('2018+'!H1989:H2354)</f>
        <v>1580.1148082332595</v>
      </c>
    </row>
    <row r="921" spans="1:3" x14ac:dyDescent="0.2">
      <c r="A921" s="2781">
        <v>45453</v>
      </c>
      <c r="B921" s="2877">
        <f>SUM('2018+'!H2266:H2355)</f>
        <v>399.26347476551751</v>
      </c>
      <c r="C921" s="2877">
        <f>SUM('2018+'!H1990:H2355)</f>
        <v>1585.2003417506576</v>
      </c>
    </row>
    <row r="922" spans="1:3" x14ac:dyDescent="0.2">
      <c r="A922" s="2781">
        <v>45454</v>
      </c>
      <c r="B922" s="2877">
        <f>SUM('2018+'!H2267:H2356)</f>
        <v>395.64900828291564</v>
      </c>
      <c r="C922" s="2877">
        <f>SUM('2018+'!H1991:H2356)</f>
        <v>1578.5858752680558</v>
      </c>
    </row>
    <row r="923" spans="1:3" x14ac:dyDescent="0.2">
      <c r="A923" s="2781">
        <v>45455</v>
      </c>
      <c r="B923" s="2877">
        <f>SUM('2018+'!H2268:H2357)</f>
        <v>395.64900828291564</v>
      </c>
      <c r="C923" s="2877">
        <f>SUM('2018+'!H1992:H2357)</f>
        <v>1572.3658752680558</v>
      </c>
    </row>
    <row r="924" spans="1:3" x14ac:dyDescent="0.2">
      <c r="A924" s="2781">
        <v>45456</v>
      </c>
      <c r="B924" s="2877">
        <f>SUM('2018+'!H2269:H2358)</f>
        <v>397.34418612204837</v>
      </c>
      <c r="C924" s="2877">
        <f>SUM('2018+'!H1993:H2358)</f>
        <v>1572.4765866245868</v>
      </c>
    </row>
    <row r="925" spans="1:3" x14ac:dyDescent="0.2">
      <c r="A925" s="2781">
        <v>45457</v>
      </c>
      <c r="B925" s="2877">
        <f>SUM('2018+'!H2270:H2359)</f>
        <v>384.52971963944651</v>
      </c>
      <c r="C925" s="2877">
        <f>SUM('2018+'!H1994:H2359)</f>
        <v>1577.5621201419849</v>
      </c>
    </row>
    <row r="926" spans="1:3" x14ac:dyDescent="0.2">
      <c r="A926" s="2781">
        <v>45458</v>
      </c>
      <c r="B926" s="2877">
        <f>SUM('2018+'!H2271:H2360)</f>
        <v>384.52971963944651</v>
      </c>
      <c r="C926" s="2877">
        <f>SUM('2018+'!H1995:H2360)</f>
        <v>1570.5021201419847</v>
      </c>
    </row>
    <row r="927" spans="1:3" x14ac:dyDescent="0.2">
      <c r="A927" s="2781">
        <v>45459</v>
      </c>
      <c r="B927" s="2877">
        <f>SUM('2018+'!H2272:H2361)</f>
        <v>389.61525315684457</v>
      </c>
      <c r="C927" s="2877">
        <f>SUM('2018+'!H1996:H2361)</f>
        <v>1573.1631871767813</v>
      </c>
    </row>
    <row r="928" spans="1:3" x14ac:dyDescent="0.2">
      <c r="A928" s="2781">
        <v>45460</v>
      </c>
      <c r="B928" s="2877">
        <f>SUM('2018+'!H2273:H2362)</f>
        <v>389.61525315684463</v>
      </c>
      <c r="C928" s="2877">
        <f>SUM('2018+'!H1997:H2362)</f>
        <v>1578.2487206941794</v>
      </c>
    </row>
    <row r="929" spans="1:3" x14ac:dyDescent="0.2">
      <c r="A929" s="2781">
        <v>45461</v>
      </c>
      <c r="B929" s="2877">
        <f>SUM('2018+'!H2274:H2363)</f>
        <v>388.00078667424276</v>
      </c>
      <c r="C929" s="2877">
        <f>SUM('2018+'!H1998:H2363)</f>
        <v>1570.3542542115774</v>
      </c>
    </row>
    <row r="930" spans="1:3" x14ac:dyDescent="0.2">
      <c r="A930" s="2781">
        <v>45462</v>
      </c>
      <c r="B930" s="2877">
        <f>SUM('2018+'!H2275:H2364)</f>
        <v>388.00078667424276</v>
      </c>
      <c r="C930" s="2877">
        <f>SUM('2018+'!H1999:H2364)</f>
        <v>1563.8442542115774</v>
      </c>
    </row>
    <row r="931" spans="1:3" x14ac:dyDescent="0.2">
      <c r="A931" s="2781">
        <v>45463</v>
      </c>
      <c r="B931" s="2877">
        <f>SUM('2018+'!H2276:H2365)</f>
        <v>389.69596451337543</v>
      </c>
      <c r="C931" s="2877">
        <f>SUM('2018+'!H2000:H2365)</f>
        <v>1562.6049655681084</v>
      </c>
    </row>
    <row r="932" spans="1:3" x14ac:dyDescent="0.2">
      <c r="A932" s="2781">
        <v>45464</v>
      </c>
      <c r="B932" s="2877">
        <f>SUM('2018+'!H2277:H2366)</f>
        <v>384.48149803077359</v>
      </c>
      <c r="C932" s="2877">
        <f>SUM('2018+'!H2001:H2366)</f>
        <v>1567.6904990855064</v>
      </c>
    </row>
    <row r="933" spans="1:3" x14ac:dyDescent="0.2">
      <c r="A933" s="2781">
        <v>45465</v>
      </c>
      <c r="B933" s="2877">
        <f>SUM('2018+'!H2278:H2367)</f>
        <v>384.48149803077359</v>
      </c>
      <c r="C933" s="2877">
        <f>SUM('2018+'!H2002:H2367)</f>
        <v>1561.8504990855065</v>
      </c>
    </row>
    <row r="934" spans="1:3" x14ac:dyDescent="0.2">
      <c r="A934" s="2781">
        <v>45466</v>
      </c>
      <c r="B934" s="2877">
        <f>SUM('2018+'!H2279:H2368)</f>
        <v>386.55256506556981</v>
      </c>
      <c r="C934" s="2877">
        <f>SUM('2018+'!H2003:H2368)</f>
        <v>1564.8015661203028</v>
      </c>
    </row>
    <row r="935" spans="1:3" x14ac:dyDescent="0.2">
      <c r="A935" s="2781">
        <v>45467</v>
      </c>
      <c r="B935" s="2877">
        <f>SUM('2018+'!H2280:H2369)</f>
        <v>386.55256506556981</v>
      </c>
      <c r="C935" s="2877">
        <f>SUM('2018+'!H2004:H2369)</f>
        <v>1569.8870996377009</v>
      </c>
    </row>
    <row r="936" spans="1:3" x14ac:dyDescent="0.2">
      <c r="A936" s="2781">
        <v>45468</v>
      </c>
      <c r="B936" s="2877">
        <f>SUM('2018+'!H2281:H2370)</f>
        <v>382.13809858296787</v>
      </c>
      <c r="C936" s="2877">
        <f>SUM('2018+'!H2005:H2370)</f>
        <v>1562.0026331550991</v>
      </c>
    </row>
    <row r="937" spans="1:3" x14ac:dyDescent="0.2">
      <c r="A937" s="2781">
        <v>45469</v>
      </c>
      <c r="B937" s="2877">
        <f>SUM('2018+'!H2282:H2371)</f>
        <v>382.13809858296787</v>
      </c>
      <c r="C937" s="2877">
        <f>SUM('2018+'!H2006:H2371)</f>
        <v>1556.0326331550991</v>
      </c>
    </row>
    <row r="938" spans="1:3" x14ac:dyDescent="0.2">
      <c r="A938" s="2781">
        <v>45470</v>
      </c>
      <c r="B938" s="2877">
        <f>SUM('2018+'!H2283:H2372)</f>
        <v>383.83327642210065</v>
      </c>
      <c r="C938" s="2877">
        <f>SUM('2018+'!H2007:H2372)</f>
        <v>1554.88334451163</v>
      </c>
    </row>
    <row r="939" spans="1:3" x14ac:dyDescent="0.2">
      <c r="A939" s="2781">
        <v>45471</v>
      </c>
      <c r="B939" s="2877">
        <f>SUM('2018+'!H2284:H2373)</f>
        <v>370.01880993949879</v>
      </c>
      <c r="C939" s="2877">
        <f>SUM('2018+'!H2008:H2373)</f>
        <v>1559.968878029028</v>
      </c>
    </row>
    <row r="940" spans="1:3" x14ac:dyDescent="0.2">
      <c r="A940" s="2781">
        <v>45472</v>
      </c>
      <c r="B940" s="2877">
        <f>SUM('2018+'!H2285:H2374)</f>
        <v>370.01880993949879</v>
      </c>
      <c r="C940" s="2877">
        <f>SUM('2018+'!H2009:H2374)</f>
        <v>1553.2588780290282</v>
      </c>
    </row>
    <row r="941" spans="1:3" x14ac:dyDescent="0.2">
      <c r="A941" s="2781">
        <v>45473</v>
      </c>
      <c r="B941" s="2877">
        <f>SUM('2018+'!H2286:H2375)</f>
        <v>375.10434345689691</v>
      </c>
      <c r="C941" s="2877">
        <f>SUM('2018+'!H2010:H2375)</f>
        <v>1555.4999450638247</v>
      </c>
    </row>
    <row r="942" spans="1:3" x14ac:dyDescent="0.2">
      <c r="A942" s="2781">
        <v>45474</v>
      </c>
      <c r="B942" s="2877">
        <f>SUM('2018+'!H2287:H2376)</f>
        <v>375.10434345689686</v>
      </c>
      <c r="C942" s="2877">
        <f>SUM('2018+'!H2011:H2376)</f>
        <v>1560.5854785812228</v>
      </c>
    </row>
    <row r="943" spans="1:3" x14ac:dyDescent="0.2">
      <c r="A943" s="2781">
        <v>45475</v>
      </c>
      <c r="B943" s="2877">
        <f>SUM('2018+'!H2288:H2377)</f>
        <v>371.88987697429502</v>
      </c>
      <c r="C943" s="2877">
        <f>SUM('2018+'!H2012:H2377)</f>
        <v>1553.6810120986208</v>
      </c>
    </row>
    <row r="944" spans="1:3" x14ac:dyDescent="0.2">
      <c r="A944" s="2781">
        <v>45476</v>
      </c>
      <c r="B944" s="2877">
        <f>SUM('2018+'!H2289:H2378)</f>
        <v>371.88987697429502</v>
      </c>
      <c r="C944" s="2877">
        <f>SUM('2018+'!H2013:H2378)</f>
        <v>1547.5610120986207</v>
      </c>
    </row>
    <row r="945" spans="1:3" x14ac:dyDescent="0.2">
      <c r="A945" s="2781">
        <v>45477</v>
      </c>
      <c r="B945" s="2877">
        <f>SUM('2018+'!H2290:H2379)</f>
        <v>373.58505481342775</v>
      </c>
      <c r="C945" s="2877">
        <f>SUM('2018+'!H2014:H2379)</f>
        <v>1554.3417234551516</v>
      </c>
    </row>
    <row r="946" spans="1:3" x14ac:dyDescent="0.2">
      <c r="A946" s="2781">
        <v>45478</v>
      </c>
      <c r="B946" s="2877">
        <f>SUM('2018+'!H2291:H2380)</f>
        <v>359.0705883308259</v>
      </c>
      <c r="C946" s="2877">
        <f>SUM('2018+'!H2015:H2380)</f>
        <v>1559.4272569725497</v>
      </c>
    </row>
    <row r="947" spans="1:3" x14ac:dyDescent="0.2">
      <c r="A947" s="2781">
        <v>45479</v>
      </c>
      <c r="B947" s="2877">
        <f>SUM('2018+'!H2292:H2381)</f>
        <v>354.0705883308259</v>
      </c>
      <c r="C947" s="2877">
        <f>SUM('2018+'!H2016:H2381)</f>
        <v>1549.1172569725497</v>
      </c>
    </row>
    <row r="948" spans="1:3" x14ac:dyDescent="0.2">
      <c r="A948" s="2781">
        <v>45480</v>
      </c>
      <c r="B948" s="2877">
        <f>SUM('2018+'!H2293:H2382)</f>
        <v>359.44165536562218</v>
      </c>
      <c r="C948" s="2877">
        <f>SUM('2018+'!H2017:H2382)</f>
        <v>1553.0483240073461</v>
      </c>
    </row>
    <row r="949" spans="1:3" x14ac:dyDescent="0.2">
      <c r="A949" s="2781">
        <v>45481</v>
      </c>
      <c r="B949" s="2877">
        <f>SUM('2018+'!H2294:H2383)</f>
        <v>359.62718888302027</v>
      </c>
      <c r="C949" s="2877">
        <f>SUM('2018+'!H2018:H2383)</f>
        <v>1558.1338575247441</v>
      </c>
    </row>
    <row r="950" spans="1:3" x14ac:dyDescent="0.2">
      <c r="A950" s="2781">
        <v>45482</v>
      </c>
      <c r="B950" s="2877">
        <f>SUM('2018+'!H2295:H2384)</f>
        <v>357.01272240041845</v>
      </c>
      <c r="C950" s="2877">
        <f>SUM('2018+'!H2019:H2384)</f>
        <v>1548.0093910421426</v>
      </c>
    </row>
    <row r="951" spans="1:3" x14ac:dyDescent="0.2">
      <c r="A951" s="2781">
        <v>45483</v>
      </c>
      <c r="B951" s="2877">
        <f>SUM('2018+'!H2296:H2385)</f>
        <v>357.01272240041845</v>
      </c>
      <c r="C951" s="2877">
        <f>SUM('2018+'!H2020:H2385)</f>
        <v>1540.5793910421426</v>
      </c>
    </row>
    <row r="952" spans="1:3" x14ac:dyDescent="0.2">
      <c r="A952" s="2781">
        <v>45484</v>
      </c>
      <c r="B952" s="2877">
        <f>SUM('2018+'!H2297:H2386)</f>
        <v>358.89343375694926</v>
      </c>
      <c r="C952" s="2877">
        <f>SUM('2018+'!H2021:H2386)</f>
        <v>1540.4001023986732</v>
      </c>
    </row>
    <row r="953" spans="1:3" x14ac:dyDescent="0.2">
      <c r="A953" s="2781">
        <v>45485</v>
      </c>
      <c r="B953" s="2877">
        <f>SUM('2018+'!H2298:H2387)</f>
        <v>350.37896727434742</v>
      </c>
      <c r="C953" s="2877">
        <f>SUM('2018+'!H2022:H2387)</f>
        <v>1545.4856359160713</v>
      </c>
    </row>
    <row r="954" spans="1:3" x14ac:dyDescent="0.2">
      <c r="A954" s="2781">
        <v>45486</v>
      </c>
      <c r="B954" s="2877">
        <f>SUM('2018+'!H2299:H2388)</f>
        <v>350.37896727434742</v>
      </c>
      <c r="C954" s="2877">
        <f>SUM('2018+'!H2023:H2388)</f>
        <v>1537.4256359160713</v>
      </c>
    </row>
    <row r="955" spans="1:3" x14ac:dyDescent="0.2">
      <c r="A955" s="2781">
        <v>45487</v>
      </c>
      <c r="B955" s="2877">
        <f>SUM('2018+'!H2300:H2389)</f>
        <v>355.55003430914365</v>
      </c>
      <c r="C955" s="2877">
        <f>SUM('2018+'!H2024:H2389)</f>
        <v>1540.9867029508678</v>
      </c>
    </row>
    <row r="956" spans="1:3" x14ac:dyDescent="0.2">
      <c r="A956" s="2781">
        <v>45488</v>
      </c>
      <c r="B956" s="2877">
        <f>SUM('2018+'!H2301:H2390)</f>
        <v>357.33556782654182</v>
      </c>
      <c r="C956" s="2877">
        <f>SUM('2018+'!H2025:H2390)</f>
        <v>1546.0722364682658</v>
      </c>
    </row>
    <row r="957" spans="1:3" x14ac:dyDescent="0.2">
      <c r="A957" s="2781">
        <v>45489</v>
      </c>
      <c r="B957" s="2877">
        <f>SUM('2018+'!H2302:H2391)</f>
        <v>357.42110134393994</v>
      </c>
      <c r="C957" s="2877">
        <f>SUM('2018+'!H2026:H2391)</f>
        <v>1535.8577699856642</v>
      </c>
    </row>
    <row r="958" spans="1:3" x14ac:dyDescent="0.2">
      <c r="A958" s="2781">
        <v>45490</v>
      </c>
      <c r="B958" s="2877">
        <f>SUM('2018+'!H2303:H2392)</f>
        <v>357.42110134393994</v>
      </c>
      <c r="C958" s="2877">
        <f>SUM('2018+'!H2027:H2392)</f>
        <v>1529.3077699856642</v>
      </c>
    </row>
    <row r="959" spans="1:3" x14ac:dyDescent="0.2">
      <c r="A959" s="2781">
        <v>45491</v>
      </c>
      <c r="B959" s="2877">
        <f>SUM('2018+'!H2304:H2393)</f>
        <v>360.90181270047077</v>
      </c>
      <c r="C959" s="2877">
        <f>SUM('2018+'!H2028:H2393)</f>
        <v>1536.0884813421951</v>
      </c>
    </row>
    <row r="960" spans="1:3" x14ac:dyDescent="0.2">
      <c r="A960" s="2781">
        <v>45492</v>
      </c>
      <c r="B960" s="2877">
        <f>SUM('2018+'!H2305:H2394)</f>
        <v>365.98734621786889</v>
      </c>
      <c r="C960" s="2877">
        <f>SUM('2018+'!H2029:H2394)</f>
        <v>1541.1740148595932</v>
      </c>
    </row>
    <row r="961" spans="1:3" x14ac:dyDescent="0.2">
      <c r="A961" s="2781">
        <v>45493</v>
      </c>
      <c r="B961" s="2877">
        <f>SUM('2018+'!H2306:H2395)</f>
        <v>355.98734621786889</v>
      </c>
      <c r="C961" s="2877">
        <f>SUM('2018+'!H2030:H2395)</f>
        <v>1535.1940148595932</v>
      </c>
    </row>
    <row r="962" spans="1:3" x14ac:dyDescent="0.2">
      <c r="A962" s="2781">
        <v>45494</v>
      </c>
      <c r="B962" s="2877">
        <f>SUM('2018+'!H2307:H2396)</f>
        <v>366.15841325266513</v>
      </c>
      <c r="C962" s="2877">
        <f>SUM('2018+'!H2031:H2396)</f>
        <v>1536.7750818943896</v>
      </c>
    </row>
    <row r="963" spans="1:3" x14ac:dyDescent="0.2">
      <c r="A963" s="2781">
        <v>45495</v>
      </c>
      <c r="B963" s="2877">
        <f>SUM('2018+'!H2308:H2397)</f>
        <v>373.78671352876233</v>
      </c>
      <c r="C963" s="2877">
        <f>SUM('2018+'!H2032:H2397)</f>
        <v>1544.4033821704868</v>
      </c>
    </row>
    <row r="964" spans="1:3" x14ac:dyDescent="0.2">
      <c r="A964" s="2781">
        <v>45496</v>
      </c>
      <c r="B964" s="2877">
        <f>SUM('2018+'!H2309:H2398)</f>
        <v>381.41501380485954</v>
      </c>
      <c r="C964" s="2877">
        <f>SUM('2018+'!H2033:H2398)</f>
        <v>1538.0416824465842</v>
      </c>
    </row>
    <row r="965" spans="1:3" x14ac:dyDescent="0.2">
      <c r="A965" s="2781">
        <v>45497</v>
      </c>
      <c r="B965" s="2877">
        <f>SUM('2018+'!H2310:H2399)</f>
        <v>388.97758764213182</v>
      </c>
      <c r="C965" s="2877">
        <f>SUM('2018+'!H2034:H2399)</f>
        <v>1538.8842562838565</v>
      </c>
    </row>
    <row r="966" spans="1:3" x14ac:dyDescent="0.2">
      <c r="A966" s="2781">
        <v>45498</v>
      </c>
      <c r="B966" s="2877">
        <f>SUM('2018+'!H2311:H2400)</f>
        <v>396.60588791822903</v>
      </c>
      <c r="C966" s="2877">
        <f>SUM('2018+'!H2035:H2400)</f>
        <v>1546.5125565599537</v>
      </c>
    </row>
    <row r="967" spans="1:3" x14ac:dyDescent="0.2">
      <c r="A967" s="2781">
        <v>45499</v>
      </c>
      <c r="B967" s="2877">
        <f>SUM('2018+'!H2312:H2401)</f>
        <v>404.23418819432624</v>
      </c>
      <c r="C967" s="2877">
        <f>SUM('2018+'!H2036:H2401)</f>
        <v>1545.360856836051</v>
      </c>
    </row>
    <row r="968" spans="1:3" x14ac:dyDescent="0.2">
      <c r="A968" s="2781">
        <v>45500</v>
      </c>
      <c r="B968" s="2877">
        <f>SUM('2018+'!H2313:H2402)</f>
        <v>419.49078874652065</v>
      </c>
      <c r="C968" s="2877">
        <f>SUM('2018+'!H2037:H2402)</f>
        <v>1553.5574573882454</v>
      </c>
    </row>
    <row r="969" spans="1:3" x14ac:dyDescent="0.2">
      <c r="A969" s="2781">
        <v>45501</v>
      </c>
      <c r="B969" s="2877">
        <f>SUM('2018+'!H2314:H2403)</f>
        <v>414.40525522912253</v>
      </c>
      <c r="C969" s="2877">
        <f>SUM('2018+'!H2038:H2403)</f>
        <v>1545.8974573882456</v>
      </c>
    </row>
    <row r="970" spans="1:3" x14ac:dyDescent="0.2">
      <c r="A970" s="2781">
        <v>45502</v>
      </c>
      <c r="B970" s="2877">
        <f>SUM('2018+'!H2315:H2404)</f>
        <v>422.03355550521974</v>
      </c>
      <c r="C970" s="2877">
        <f>SUM('2018+'!H2039:H2404)</f>
        <v>1553.5257576643428</v>
      </c>
    </row>
    <row r="971" spans="1:3" x14ac:dyDescent="0.2">
      <c r="A971" s="2781">
        <v>45503</v>
      </c>
      <c r="B971" s="2877">
        <f>SUM('2018+'!H2316:H2405)</f>
        <v>422.8811444247861</v>
      </c>
      <c r="C971" s="2877">
        <f>SUM('2018+'!H2040:H2405)</f>
        <v>1546.7740579404401</v>
      </c>
    </row>
    <row r="972" spans="1:3" x14ac:dyDescent="0.2">
      <c r="A972" s="2781">
        <v>45504</v>
      </c>
      <c r="B972" s="2877">
        <f>SUM('2018+'!H2317:H2406)</f>
        <v>430.44371826205838</v>
      </c>
      <c r="C972" s="2877">
        <f>SUM('2018+'!H2041:H2406)</f>
        <v>1546.3166317777127</v>
      </c>
    </row>
    <row r="973" spans="1:3" x14ac:dyDescent="0.2">
      <c r="A973" s="2781">
        <v>45505</v>
      </c>
      <c r="B973" s="2877">
        <f>SUM('2018+'!H2318:H2407)</f>
        <v>432.98648502075753</v>
      </c>
      <c r="C973" s="2877">
        <f>SUM('2018+'!H2042:H2407)</f>
        <v>1553.9449320538099</v>
      </c>
    </row>
    <row r="974" spans="1:3" x14ac:dyDescent="0.2">
      <c r="A974" s="2781">
        <v>45506</v>
      </c>
      <c r="B974" s="2877">
        <f>SUM('2018+'!H2319:H2408)</f>
        <v>440.61478529685473</v>
      </c>
      <c r="C974" s="2877">
        <f>SUM('2018+'!H2043:H2408)</f>
        <v>1552.4132323299068</v>
      </c>
    </row>
    <row r="975" spans="1:3" x14ac:dyDescent="0.2">
      <c r="A975" s="2781">
        <v>45507</v>
      </c>
      <c r="B975" s="2877">
        <f>SUM('2018+'!H2320:H2409)</f>
        <v>447.39549665338552</v>
      </c>
      <c r="C975" s="2877">
        <f>SUM('2018+'!H2044:H2409)</f>
        <v>1562.125010721234</v>
      </c>
    </row>
    <row r="976" spans="1:3" x14ac:dyDescent="0.2">
      <c r="A976" s="2781">
        <v>45508</v>
      </c>
      <c r="B976" s="2877">
        <f>SUM('2018+'!H2321:H2410)</f>
        <v>442.3099631359874</v>
      </c>
      <c r="C976" s="2877">
        <f>SUM('2018+'!H2045:H2410)</f>
        <v>1551.0050107212337</v>
      </c>
    </row>
    <row r="977" spans="1:3" x14ac:dyDescent="0.2">
      <c r="A977" s="2781">
        <v>45509</v>
      </c>
      <c r="B977" s="2877">
        <f>SUM('2018+'!H2322:H2411)</f>
        <v>449.93826341208461</v>
      </c>
      <c r="C977" s="2877">
        <f>SUM('2018+'!H2046:H2411)</f>
        <v>1558.6333109973309</v>
      </c>
    </row>
    <row r="978" spans="1:3" x14ac:dyDescent="0.2">
      <c r="A978" s="2781">
        <v>45510</v>
      </c>
      <c r="B978" s="2877">
        <f>SUM('2018+'!H2323:H2412)</f>
        <v>451.90765050525016</v>
      </c>
      <c r="C978" s="2877">
        <f>SUM('2018+'!H2047:H2412)</f>
        <v>1551.5534094470274</v>
      </c>
    </row>
    <row r="979" spans="1:3" x14ac:dyDescent="0.2">
      <c r="A979" s="2781">
        <v>45511</v>
      </c>
      <c r="B979" s="2877">
        <f>SUM('2018+'!H2324:H2413)</f>
        <v>459.53595078134737</v>
      </c>
      <c r="C979" s="2877">
        <f>SUM('2018+'!H2048:H2413)</f>
        <v>1559.1817097231246</v>
      </c>
    </row>
    <row r="980" spans="1:3" x14ac:dyDescent="0.2">
      <c r="A980" s="2781">
        <v>45512</v>
      </c>
      <c r="B980" s="2877">
        <f>SUM('2018+'!H2325:H2414)</f>
        <v>463.78472266541212</v>
      </c>
      <c r="C980" s="2877">
        <f>SUM('2018+'!H2049:H2414)</f>
        <v>1560.8460151245874</v>
      </c>
    </row>
    <row r="981" spans="1:3" x14ac:dyDescent="0.2">
      <c r="A981" s="2781">
        <v>45513</v>
      </c>
      <c r="B981" s="2877">
        <f>SUM('2018+'!H2326:H2415)</f>
        <v>471.41302294150933</v>
      </c>
      <c r="C981" s="2877">
        <f>SUM('2018+'!H2050:H2415)</f>
        <v>1568.4743154006846</v>
      </c>
    </row>
    <row r="982" spans="1:3" x14ac:dyDescent="0.2">
      <c r="A982" s="2781">
        <v>45514</v>
      </c>
      <c r="B982" s="2877">
        <f>SUM('2018+'!H2327:H2416)</f>
        <v>479.88891213717295</v>
      </c>
      <c r="C982" s="2877">
        <f>SUM('2018+'!H2051:H2416)</f>
        <v>1587.1212716311445</v>
      </c>
    </row>
    <row r="983" spans="1:3" x14ac:dyDescent="0.2">
      <c r="A983" s="2781">
        <v>45515</v>
      </c>
      <c r="B983" s="2877">
        <f>SUM('2018+'!H2328:H2417)</f>
        <v>474.80337861977478</v>
      </c>
      <c r="C983" s="2877">
        <f>SUM('2018+'!H2052:H2417)</f>
        <v>1578.2512716311446</v>
      </c>
    </row>
    <row r="984" spans="1:3" x14ac:dyDescent="0.2">
      <c r="A984" s="2781">
        <v>45516</v>
      </c>
      <c r="B984" s="2877">
        <f>SUM('2018+'!H2329:H2418)</f>
        <v>474.80337861977478</v>
      </c>
      <c r="C984" s="2877">
        <f>SUM('2018+'!H2053:H2418)</f>
        <v>1569.3512716311448</v>
      </c>
    </row>
    <row r="985" spans="1:3" x14ac:dyDescent="0.2">
      <c r="A985" s="2781">
        <v>45517</v>
      </c>
      <c r="B985" s="2877">
        <f>SUM('2018+'!H2330:H2419)</f>
        <v>475.6509675393412</v>
      </c>
      <c r="C985" s="2877">
        <f>SUM('2018+'!H2054:H2419)</f>
        <v>1559.7795719072419</v>
      </c>
    </row>
    <row r="986" spans="1:3" x14ac:dyDescent="0.2">
      <c r="A986" s="2781">
        <v>45518</v>
      </c>
      <c r="B986" s="2877">
        <f>SUM('2018+'!H2331:H2420)</f>
        <v>475.6509675393412</v>
      </c>
      <c r="C986" s="2877">
        <f>SUM('2018+'!H2055:H2420)</f>
        <v>1559.7795719072419</v>
      </c>
    </row>
    <row r="987" spans="1:3" x14ac:dyDescent="0.2">
      <c r="A987" s="2781">
        <v>45519</v>
      </c>
      <c r="B987" s="2877">
        <f>SUM('2018+'!H2332:H2421)</f>
        <v>478.19373429804023</v>
      </c>
      <c r="C987" s="2877">
        <f>SUM('2018+'!H2056:H2421)</f>
        <v>1558.527872183339</v>
      </c>
    </row>
    <row r="988" spans="1:3" x14ac:dyDescent="0.2">
      <c r="A988" s="2781">
        <v>45520</v>
      </c>
      <c r="B988" s="2877">
        <f>SUM('2018+'!H2333:H2422)</f>
        <v>478.19373429804023</v>
      </c>
      <c r="C988" s="2877">
        <f>SUM('2018+'!H2057:H2422)</f>
        <v>1558.527872183339</v>
      </c>
    </row>
    <row r="989" spans="1:3" x14ac:dyDescent="0.2">
      <c r="A989" s="2781">
        <v>45521</v>
      </c>
      <c r="B989" s="2877">
        <f>SUM('2018+'!H2334:H2423)</f>
        <v>478.19373429804028</v>
      </c>
      <c r="C989" s="2877">
        <f>SUM('2018+'!H2058:H2423)</f>
        <v>1560.3089392181353</v>
      </c>
    </row>
    <row r="990" spans="1:3" x14ac:dyDescent="0.2">
      <c r="A990" s="2781">
        <v>45522</v>
      </c>
      <c r="B990" s="2877">
        <f>SUM('2018+'!H2335:H2424)</f>
        <v>473.10820078064211</v>
      </c>
      <c r="C990" s="2877">
        <f>SUM('2018+'!H2059:H2424)</f>
        <v>1560.3089392181353</v>
      </c>
    </row>
    <row r="991" spans="1:3" x14ac:dyDescent="0.2">
      <c r="A991" s="2781">
        <v>45523</v>
      </c>
      <c r="B991" s="2877">
        <f>SUM('2018+'!H2336:H2425)</f>
        <v>480.73650105673931</v>
      </c>
      <c r="C991" s="2877">
        <f>SUM('2018+'!H2060:H2425)</f>
        <v>1567.9372394942325</v>
      </c>
    </row>
    <row r="992" spans="1:3" x14ac:dyDescent="0.2">
      <c r="A992" s="2781">
        <v>45524</v>
      </c>
      <c r="B992" s="2877">
        <f>SUM('2018+'!H2337:H2426)</f>
        <v>481.58408997630568</v>
      </c>
      <c r="C992" s="2877">
        <f>SUM('2018+'!H2061:H2426)</f>
        <v>1563.7055397703298</v>
      </c>
    </row>
    <row r="993" spans="1:3" x14ac:dyDescent="0.2">
      <c r="A993" s="2781">
        <v>45525</v>
      </c>
      <c r="B993" s="2877">
        <f>SUM('2018+'!H2338:H2427)</f>
        <v>491.75219086960647</v>
      </c>
      <c r="C993" s="2877">
        <f>SUM('2018+'!H2062:H2427)</f>
        <v>1573.8736406636306</v>
      </c>
    </row>
    <row r="994" spans="1:3" x14ac:dyDescent="0.2">
      <c r="A994" s="2781">
        <v>45526</v>
      </c>
      <c r="B994" s="2877">
        <f>SUM('2018+'!H2339:H2428)</f>
        <v>494.29495762830561</v>
      </c>
      <c r="C994" s="2877">
        <f>SUM('2018+'!H2063:H2428)</f>
        <v>1574.2919409397277</v>
      </c>
    </row>
    <row r="995" spans="1:3" x14ac:dyDescent="0.2">
      <c r="A995" s="2781">
        <v>45527</v>
      </c>
      <c r="B995" s="2877">
        <f>SUM('2018+'!H2340:H2429)</f>
        <v>501.92325790440282</v>
      </c>
      <c r="C995" s="2877">
        <f>SUM('2018+'!H2064:H2429)</f>
        <v>1581.9202412158249</v>
      </c>
    </row>
    <row r="996" spans="1:3" x14ac:dyDescent="0.2">
      <c r="A996" s="2781">
        <v>45528</v>
      </c>
      <c r="B996" s="2877">
        <f>SUM('2018+'!H2341:H2430)</f>
        <v>508.7039692609336</v>
      </c>
      <c r="C996" s="2877">
        <f>SUM('2018+'!H2065:H2430)</f>
        <v>1590.9420196071519</v>
      </c>
    </row>
    <row r="997" spans="1:3" x14ac:dyDescent="0.2">
      <c r="A997" s="2781">
        <v>45529</v>
      </c>
      <c r="B997" s="2877">
        <f>SUM('2018+'!H2342:H2431)</f>
        <v>503.61843574353549</v>
      </c>
      <c r="C997" s="2877">
        <f>SUM('2018+'!H2066:H2431)</f>
        <v>1582.382019607152</v>
      </c>
    </row>
    <row r="998" spans="1:3" x14ac:dyDescent="0.2">
      <c r="A998" s="2781">
        <v>45530</v>
      </c>
      <c r="B998" s="2877">
        <f>SUM('2018+'!H2343:H2432)</f>
        <v>506.16120250223457</v>
      </c>
      <c r="C998" s="2877">
        <f>SUM('2018+'!H2067:H2432)</f>
        <v>1590.0103198832492</v>
      </c>
    </row>
    <row r="999" spans="1:3" x14ac:dyDescent="0.2">
      <c r="A999" s="2781">
        <v>45531</v>
      </c>
      <c r="B999" s="2877">
        <f>SUM('2018+'!H2344:H2433)</f>
        <v>513.78950277833178</v>
      </c>
      <c r="C999" s="2877">
        <f>SUM('2018+'!H2068:H2433)</f>
        <v>1584.1186201593462</v>
      </c>
    </row>
    <row r="1000" spans="1:3" x14ac:dyDescent="0.2">
      <c r="A1000" s="2781">
        <v>45532</v>
      </c>
      <c r="B1000" s="2877">
        <f>SUM('2018+'!H2345:H2434)</f>
        <v>517.17689231510178</v>
      </c>
      <c r="C1000" s="2877">
        <f>SUM('2018+'!H2069:H2434)</f>
        <v>1594.286721052647</v>
      </c>
    </row>
    <row r="1001" spans="1:3" x14ac:dyDescent="0.2">
      <c r="A1001" s="2781">
        <v>45533</v>
      </c>
      <c r="B1001" s="2877">
        <f>SUM('2018+'!H2346:H2435)</f>
        <v>519.71965907380081</v>
      </c>
      <c r="C1001" s="2877">
        <f>SUM('2018+'!H2070:H2435)</f>
        <v>1593.7150213287441</v>
      </c>
    </row>
    <row r="1002" spans="1:3" x14ac:dyDescent="0.2">
      <c r="A1002" s="2781">
        <v>45534</v>
      </c>
      <c r="B1002" s="2877">
        <f>SUM('2018+'!H2347:H2436)</f>
        <v>527.34795934989802</v>
      </c>
      <c r="C1002" s="2877">
        <f>SUM('2018+'!H2071:H2436)</f>
        <v>1601.3433216048413</v>
      </c>
    </row>
    <row r="1003" spans="1:3" x14ac:dyDescent="0.2">
      <c r="A1003" s="2781">
        <v>45535</v>
      </c>
      <c r="B1003" s="2877">
        <f>SUM('2018+'!H2348:H2437)</f>
        <v>535.82384854556165</v>
      </c>
      <c r="C1003" s="2877">
        <f>SUM('2018+'!H2072:H2437)</f>
        <v>1608.2402778353012</v>
      </c>
    </row>
    <row r="1004" spans="1:3" x14ac:dyDescent="0.2">
      <c r="A1004" s="2781">
        <v>45536</v>
      </c>
      <c r="B1004" s="2877">
        <f>SUM('2018+'!H2349:H2438)</f>
        <v>530.73831502816347</v>
      </c>
      <c r="C1004" s="2877">
        <f>SUM('2018+'!H2073:H2438)</f>
        <v>1601.4402778353012</v>
      </c>
    </row>
    <row r="1005" spans="1:3" x14ac:dyDescent="0.2">
      <c r="A1005" s="2781">
        <v>45537</v>
      </c>
      <c r="B1005" s="2877">
        <f>SUM('2018+'!H2350:H2439)</f>
        <v>533.28108178686261</v>
      </c>
      <c r="C1005" s="2877">
        <f>SUM('2018+'!H2074:H2439)</f>
        <v>1609.0685781113984</v>
      </c>
    </row>
    <row r="1006" spans="1:3" x14ac:dyDescent="0.2">
      <c r="A1006" s="2781">
        <v>45538</v>
      </c>
      <c r="B1006" s="2877">
        <f>SUM('2018+'!H2351:H2440)</f>
        <v>545.64359698215037</v>
      </c>
      <c r="C1006" s="2877">
        <f>SUM('2018+'!H2075:H2440)</f>
        <v>1607.0010933066862</v>
      </c>
    </row>
    <row r="1007" spans="1:3" x14ac:dyDescent="0.2">
      <c r="A1007" s="2781">
        <v>45539</v>
      </c>
      <c r="B1007" s="2877">
        <f>SUM('2018+'!H2352:H2441)</f>
        <v>546.49118590171668</v>
      </c>
      <c r="C1007" s="2877">
        <f>SUM('2018+'!H2076:H2441)</f>
        <v>1606.4293935827836</v>
      </c>
    </row>
    <row r="1008" spans="1:3" x14ac:dyDescent="0.2">
      <c r="A1008" s="2781">
        <v>45540</v>
      </c>
      <c r="B1008" s="2877">
        <f>SUM('2018+'!H2353:H2442)</f>
        <v>551.5577336584779</v>
      </c>
      <c r="C1008" s="2877">
        <f>SUM('2018+'!H2077:H2442)</f>
        <v>1605.0314748569429</v>
      </c>
    </row>
    <row r="1009" spans="1:3" x14ac:dyDescent="0.2">
      <c r="A1009" s="2781">
        <v>45541</v>
      </c>
      <c r="B1009" s="2877">
        <f>SUM('2018+'!H2354:H2443)</f>
        <v>559.18603393457511</v>
      </c>
      <c r="C1009" s="2877">
        <f>SUM('2018+'!H2078:H2443)</f>
        <v>1604.19977513304</v>
      </c>
    </row>
    <row r="1010" spans="1:3" x14ac:dyDescent="0.2">
      <c r="A1010" s="2781">
        <v>45542</v>
      </c>
      <c r="B1010" s="2877">
        <f>SUM('2018+'!H2355:H2444)</f>
        <v>569.35710096937123</v>
      </c>
      <c r="C1010" s="2877">
        <f>SUM('2018+'!H2079:H2444)</f>
        <v>1624.5419092026325</v>
      </c>
    </row>
    <row r="1011" spans="1:3" x14ac:dyDescent="0.2">
      <c r="A1011" s="2781">
        <v>45543</v>
      </c>
      <c r="B1011" s="2877">
        <f>SUM('2018+'!H2356:H2445)</f>
        <v>564.27156745197317</v>
      </c>
      <c r="C1011" s="2877">
        <f>SUM('2018+'!H2080:H2445)</f>
        <v>1616.2919092026327</v>
      </c>
    </row>
    <row r="1012" spans="1:3" x14ac:dyDescent="0.2">
      <c r="A1012" s="2781">
        <v>45544</v>
      </c>
      <c r="B1012" s="2877">
        <f>SUM('2018+'!H2357:H2446)</f>
        <v>559.18603393457499</v>
      </c>
      <c r="C1012" s="2877">
        <f>SUM('2018+'!H2081:H2446)</f>
        <v>1602.5119092026325</v>
      </c>
    </row>
    <row r="1013" spans="1:3" x14ac:dyDescent="0.2">
      <c r="A1013" s="2781">
        <v>45545</v>
      </c>
      <c r="B1013" s="2877">
        <f>SUM('2018+'!H2358:H2447)</f>
        <v>566.8143342106722</v>
      </c>
      <c r="C1013" s="2877">
        <f>SUM('2018+'!H2082:H2447)</f>
        <v>1610.1402094787297</v>
      </c>
    </row>
    <row r="1014" spans="1:3" x14ac:dyDescent="0.2">
      <c r="A1014" s="2781">
        <v>45546</v>
      </c>
      <c r="B1014" s="2877">
        <f>SUM('2018+'!H2359:H2448)</f>
        <v>560.03362285414141</v>
      </c>
      <c r="C1014" s="2877">
        <f>SUM('2018+'!H2083:H2448)</f>
        <v>1599.9902094787299</v>
      </c>
    </row>
    <row r="1015" spans="1:3" x14ac:dyDescent="0.2">
      <c r="A1015" s="2781">
        <v>45547</v>
      </c>
      <c r="B1015" s="2877">
        <f>SUM('2018+'!H2360:H2449)</f>
        <v>562.57638961284056</v>
      </c>
      <c r="C1015" s="2877">
        <f>SUM('2018+'!H2084:H2449)</f>
        <v>1607.6185097548271</v>
      </c>
    </row>
    <row r="1016" spans="1:3" x14ac:dyDescent="0.2">
      <c r="A1016" s="2781">
        <v>45548</v>
      </c>
      <c r="B1016" s="2877">
        <f>SUM('2018+'!H2361:H2450)</f>
        <v>562.57638961284056</v>
      </c>
      <c r="C1016" s="2877">
        <f>SUM('2018+'!H2085:H2450)</f>
        <v>1598.3185097548271</v>
      </c>
    </row>
    <row r="1017" spans="1:3" x14ac:dyDescent="0.2">
      <c r="A1017" s="2781">
        <v>45549</v>
      </c>
      <c r="B1017" s="2877">
        <f>SUM('2018+'!H2362:H2451)</f>
        <v>562.57638961284044</v>
      </c>
      <c r="C1017" s="2877">
        <f>SUM('2018+'!H2086:H2451)</f>
        <v>1608.4895767896235</v>
      </c>
    </row>
    <row r="1018" spans="1:3" x14ac:dyDescent="0.2">
      <c r="A1018" s="2781">
        <v>45550</v>
      </c>
      <c r="B1018" s="2877">
        <f>SUM('2018+'!H2363:H2452)</f>
        <v>557.49085609544238</v>
      </c>
      <c r="C1018" s="2877">
        <f>SUM('2018+'!H2087:H2452)</f>
        <v>1608.4895767896235</v>
      </c>
    </row>
    <row r="1019" spans="1:3" x14ac:dyDescent="0.2">
      <c r="A1019" s="2781">
        <v>45551</v>
      </c>
      <c r="B1019" s="2877">
        <f>SUM('2018+'!H2364:H2453)</f>
        <v>560.03362285414141</v>
      </c>
      <c r="C1019" s="2877">
        <f>SUM('2018+'!H2088:H2453)</f>
        <v>1616.1178770657207</v>
      </c>
    </row>
    <row r="1020" spans="1:3" x14ac:dyDescent="0.2">
      <c r="A1020" s="2781">
        <v>45552</v>
      </c>
      <c r="B1020" s="2877">
        <f>SUM('2018+'!H2365:H2454)</f>
        <v>567.66192313023862</v>
      </c>
      <c r="C1020" s="2877">
        <f>SUM('2018+'!H2089:H2454)</f>
        <v>1606.3861773418178</v>
      </c>
    </row>
    <row r="1021" spans="1:3" x14ac:dyDescent="0.2">
      <c r="A1021" s="2781">
        <v>45553</v>
      </c>
      <c r="B1021" s="2877">
        <f>SUM('2018+'!H2366:H2455)</f>
        <v>571.03329304786712</v>
      </c>
      <c r="C1021" s="2877">
        <f>SUM('2018+'!H2090:H2455)</f>
        <v>1607.8282586159771</v>
      </c>
    </row>
    <row r="1022" spans="1:3" x14ac:dyDescent="0.2">
      <c r="A1022" s="2781">
        <v>45554</v>
      </c>
      <c r="B1022" s="2877">
        <f>SUM('2018+'!H2367:H2456)</f>
        <v>573.57605980656626</v>
      </c>
      <c r="C1022" s="2877">
        <f>SUM('2018+'!H2091:H2456)</f>
        <v>1615.4565588920743</v>
      </c>
    </row>
    <row r="1023" spans="1:3" x14ac:dyDescent="0.2">
      <c r="A1023" s="2781">
        <v>45555</v>
      </c>
      <c r="B1023" s="2877">
        <f>SUM('2018+'!H2368:H2457)</f>
        <v>581.20436008266347</v>
      </c>
      <c r="C1023" s="2877">
        <f>SUM('2018+'!H2092:H2457)</f>
        <v>1611.9778591681716</v>
      </c>
    </row>
    <row r="1024" spans="1:3" x14ac:dyDescent="0.2">
      <c r="A1024" s="2781">
        <v>45556</v>
      </c>
      <c r="B1024" s="2877">
        <f>SUM('2018+'!H2369:H2458)</f>
        <v>589.6802492783271</v>
      </c>
      <c r="C1024" s="2877">
        <f>SUM('2018+'!H2093:H2458)</f>
        <v>1622.1648153986314</v>
      </c>
    </row>
    <row r="1025" spans="1:3" x14ac:dyDescent="0.2">
      <c r="A1025" s="2781">
        <v>45557</v>
      </c>
      <c r="B1025" s="2877">
        <f>SUM('2018+'!H2370:H2459)</f>
        <v>584.59471576092892</v>
      </c>
      <c r="C1025" s="2877">
        <f>SUM('2018+'!H2094:H2459)</f>
        <v>1622.1648153986314</v>
      </c>
    </row>
    <row r="1026" spans="1:3" x14ac:dyDescent="0.2">
      <c r="A1026" s="2781">
        <v>45558</v>
      </c>
      <c r="B1026" s="2877">
        <f>SUM('2018+'!H2371:H2460)</f>
        <v>587.13748251962807</v>
      </c>
      <c r="C1026" s="2877">
        <f>SUM('2018+'!H2095:H2460)</f>
        <v>1629.7931156747286</v>
      </c>
    </row>
    <row r="1027" spans="1:3" x14ac:dyDescent="0.2">
      <c r="A1027" s="2781">
        <v>45559</v>
      </c>
      <c r="B1027" s="2877">
        <f>SUM('2018+'!H2372:H2461)</f>
        <v>594.76578279572527</v>
      </c>
      <c r="C1027" s="2877">
        <f>SUM('2018+'!H2096:H2461)</f>
        <v>1621.6114159508256</v>
      </c>
    </row>
    <row r="1028" spans="1:3" x14ac:dyDescent="0.2">
      <c r="A1028" s="2781">
        <v>45560</v>
      </c>
      <c r="B1028" s="2877">
        <f>SUM('2018+'!H2373:H2462)</f>
        <v>599.7727044587466</v>
      </c>
      <c r="C1028" s="2877">
        <f>SUM('2018+'!H2097:H2462)</f>
        <v>1627.5590489703779</v>
      </c>
    </row>
    <row r="1029" spans="1:3" x14ac:dyDescent="0.2">
      <c r="A1029" s="2781">
        <v>45561</v>
      </c>
      <c r="B1029" s="2877">
        <f>SUM('2018+'!H2374:H2463)</f>
        <v>602.31547121744563</v>
      </c>
      <c r="C1029" s="2877">
        <f>SUM('2018+'!H2098:H2463)</f>
        <v>1635.1873492464752</v>
      </c>
    </row>
    <row r="1030" spans="1:3" x14ac:dyDescent="0.2">
      <c r="A1030" s="2781">
        <v>45562</v>
      </c>
      <c r="B1030" s="2877">
        <f>SUM('2018+'!H2375:H2464)</f>
        <v>609.94377149354284</v>
      </c>
      <c r="C1030" s="2877">
        <f>SUM('2018+'!H2099:H2464)</f>
        <v>1635.9756495225722</v>
      </c>
    </row>
    <row r="1031" spans="1:3" x14ac:dyDescent="0.2">
      <c r="A1031" s="2781">
        <v>45563</v>
      </c>
      <c r="B1031" s="2877">
        <f>SUM('2018+'!H2376:H2465)</f>
        <v>620.11483852833908</v>
      </c>
      <c r="C1031" s="2877">
        <f>SUM('2018+'!H2100:H2465)</f>
        <v>1656.3177835921647</v>
      </c>
    </row>
    <row r="1032" spans="1:3" x14ac:dyDescent="0.2">
      <c r="A1032" s="2781">
        <v>45564</v>
      </c>
      <c r="B1032" s="2877">
        <f>SUM('2018+'!H2377:H2466)</f>
        <v>615.0293050109409</v>
      </c>
      <c r="C1032" s="2877">
        <f>SUM('2018+'!H2101:H2466)</f>
        <v>1652.0977835921647</v>
      </c>
    </row>
    <row r="1033" spans="1:3" x14ac:dyDescent="0.2">
      <c r="A1033" s="2781">
        <v>45565</v>
      </c>
      <c r="B1033" s="2877">
        <f>SUM('2018+'!H2378:H2467)</f>
        <v>617.57207176963993</v>
      </c>
      <c r="C1033" s="2877">
        <f>SUM('2018+'!H2102:H2467)</f>
        <v>1659.7260838682619</v>
      </c>
    </row>
    <row r="1034" spans="1:3" x14ac:dyDescent="0.2">
      <c r="A1034" s="2781">
        <v>45566</v>
      </c>
      <c r="B1034" s="2877">
        <f>SUM('2018+'!H2379:H2468)</f>
        <v>625.20037204573714</v>
      </c>
      <c r="C1034" s="2877">
        <f>SUM('2018+'!H2103:H2468)</f>
        <v>1667.3543841443591</v>
      </c>
    </row>
    <row r="1035" spans="1:3" x14ac:dyDescent="0.2">
      <c r="A1035" s="2781">
        <v>45567</v>
      </c>
      <c r="B1035" s="2877">
        <f>SUM('2018+'!H2380:H2469)</f>
        <v>631.84284545415153</v>
      </c>
      <c r="C1035" s="2877">
        <f>SUM('2018+'!H2104:H2469)</f>
        <v>1669.9675689093042</v>
      </c>
    </row>
    <row r="1036" spans="1:3" x14ac:dyDescent="0.2">
      <c r="A1036" s="2781">
        <v>45568</v>
      </c>
      <c r="B1036" s="2877">
        <f>SUM('2018+'!H2381:H2470)</f>
        <v>634.38561221285056</v>
      </c>
      <c r="C1036" s="2877">
        <f>SUM('2018+'!H2105:H2470)</f>
        <v>1667.4758691854015</v>
      </c>
    </row>
    <row r="1037" spans="1:3" x14ac:dyDescent="0.2">
      <c r="A1037" s="2781">
        <v>45569</v>
      </c>
      <c r="B1037" s="2877">
        <f>SUM('2018+'!H2382:H2471)</f>
        <v>642.01391248894777</v>
      </c>
      <c r="C1037" s="2877">
        <f>SUM('2018+'!H2106:H2471)</f>
        <v>1675.1041694614987</v>
      </c>
    </row>
    <row r="1038" spans="1:3" x14ac:dyDescent="0.2">
      <c r="A1038" s="2781">
        <v>45570</v>
      </c>
      <c r="B1038" s="2877">
        <f>SUM('2018+'!H2383:H2472)</f>
        <v>656.84284545415153</v>
      </c>
      <c r="C1038" s="2877">
        <f>SUM('2018+'!H2107:H2472)</f>
        <v>1691.8741694614987</v>
      </c>
    </row>
    <row r="1039" spans="1:3" x14ac:dyDescent="0.2">
      <c r="A1039" s="2781">
        <v>45571</v>
      </c>
      <c r="B1039" s="2877">
        <f>SUM('2018+'!H2384:H2473)</f>
        <v>651.75731193675335</v>
      </c>
      <c r="C1039" s="2877">
        <f>SUM('2018+'!H2108:H2473)</f>
        <v>1691.8741694614987</v>
      </c>
    </row>
    <row r="1040" spans="1:3" x14ac:dyDescent="0.2">
      <c r="A1040" s="2781">
        <v>45572</v>
      </c>
      <c r="B1040" s="2877">
        <f>SUM('2018+'!H2385:H2474)</f>
        <v>654.30007869545238</v>
      </c>
      <c r="C1040" s="2877">
        <f>SUM('2018+'!H2109:H2474)</f>
        <v>1694.5024697375959</v>
      </c>
    </row>
    <row r="1041" spans="1:3" x14ac:dyDescent="0.2">
      <c r="A1041" s="2781">
        <v>45573</v>
      </c>
      <c r="B1041" s="2877">
        <f>SUM('2018+'!H2386:H2475)</f>
        <v>654.30007869545238</v>
      </c>
      <c r="C1041" s="2877">
        <f>SUM('2018+'!H2110:H2475)</f>
        <v>1694.5024697375959</v>
      </c>
    </row>
    <row r="1042" spans="1:3" x14ac:dyDescent="0.2">
      <c r="A1042" s="2781">
        <v>45574</v>
      </c>
      <c r="B1042" s="2877">
        <f>SUM('2018+'!H2387:H2476)</f>
        <v>657.69043437371784</v>
      </c>
      <c r="C1042" s="2877">
        <f>SUM('2018+'!H2111:H2476)</f>
        <v>1697.3635367723921</v>
      </c>
    </row>
    <row r="1043" spans="1:3" x14ac:dyDescent="0.2">
      <c r="A1043" s="2781">
        <v>45575</v>
      </c>
      <c r="B1043" s="2877">
        <f>SUM('2018+'!H2388:H2477)</f>
        <v>652.60490085631966</v>
      </c>
      <c r="C1043" s="2877">
        <f>SUM('2018+'!H2112:H2477)</f>
        <v>1688.7935367723924</v>
      </c>
    </row>
    <row r="1044" spans="1:3" x14ac:dyDescent="0.2">
      <c r="A1044" s="2781">
        <v>45576</v>
      </c>
      <c r="B1044" s="2877">
        <f>SUM('2018+'!H2389:H2478)</f>
        <v>660.167474693592</v>
      </c>
      <c r="C1044" s="2877">
        <f>SUM('2018+'!H2113:H2478)</f>
        <v>1683.1361106096645</v>
      </c>
    </row>
    <row r="1045" spans="1:3" x14ac:dyDescent="0.2">
      <c r="A1045" s="2781">
        <v>45577</v>
      </c>
      <c r="B1045" s="2877">
        <f>SUM('2018+'!H2390:H2479)</f>
        <v>649.99640765879565</v>
      </c>
      <c r="C1045" s="2877">
        <f>SUM('2018+'!H2114:H2479)</f>
        <v>1675.6761106096644</v>
      </c>
    </row>
    <row r="1046" spans="1:3" x14ac:dyDescent="0.2">
      <c r="A1046" s="2781">
        <v>45578</v>
      </c>
      <c r="B1046" s="2877">
        <f>SUM('2018+'!H2391:H2480)</f>
        <v>658.91087414139758</v>
      </c>
      <c r="C1046" s="2877">
        <f>SUM('2018+'!H2115:H2480)</f>
        <v>1681.4961106096646</v>
      </c>
    </row>
    <row r="1047" spans="1:3" x14ac:dyDescent="0.2">
      <c r="A1047" s="2781">
        <v>45579</v>
      </c>
      <c r="B1047" s="2877">
        <f>SUM('2018+'!H2392:H2481)</f>
        <v>653.82534062399941</v>
      </c>
      <c r="C1047" s="2877">
        <f>SUM('2018+'!H2116:H2481)</f>
        <v>1664.1661106096644</v>
      </c>
    </row>
    <row r="1048" spans="1:3" x14ac:dyDescent="0.2">
      <c r="A1048" s="2781">
        <v>45580</v>
      </c>
      <c r="B1048" s="2877">
        <f>SUM('2018+'!H2393:H2482)</f>
        <v>663.99640765879565</v>
      </c>
      <c r="C1048" s="2877">
        <f>SUM('2018+'!H2117:H2482)</f>
        <v>1674.3371776444608</v>
      </c>
    </row>
    <row r="1049" spans="1:3" x14ac:dyDescent="0.2">
      <c r="A1049" s="2781">
        <v>45581</v>
      </c>
      <c r="B1049" s="2877">
        <f>SUM('2018+'!H2394:H2483)</f>
        <v>657.21569630226486</v>
      </c>
      <c r="C1049" s="2877">
        <f>SUM('2018+'!H2118:H2483)</f>
        <v>1666.2671776444608</v>
      </c>
    </row>
    <row r="1050" spans="1:3" x14ac:dyDescent="0.2">
      <c r="A1050" s="2781">
        <v>45582</v>
      </c>
      <c r="B1050" s="2877">
        <f>SUM('2018+'!H2395:H2484)</f>
        <v>658.13016278486668</v>
      </c>
      <c r="C1050" s="2877">
        <f>SUM('2018+'!H2119:H2484)</f>
        <v>1672.2671776444608</v>
      </c>
    </row>
    <row r="1051" spans="1:3" x14ac:dyDescent="0.2">
      <c r="A1051" s="2781">
        <v>45583</v>
      </c>
      <c r="B1051" s="2877">
        <f>SUM('2018+'!H2396:H2485)</f>
        <v>658.13016278486668</v>
      </c>
      <c r="C1051" s="2877">
        <f>SUM('2018+'!H2120:H2485)</f>
        <v>1658.7171776444607</v>
      </c>
    </row>
    <row r="1052" spans="1:3" x14ac:dyDescent="0.2">
      <c r="A1052" s="2781">
        <v>45584</v>
      </c>
      <c r="B1052" s="2877">
        <f>SUM('2018+'!H2397:H2486)</f>
        <v>651.95909575007045</v>
      </c>
      <c r="C1052" s="2877">
        <f>SUM('2018+'!H2121:H2486)</f>
        <v>1655.8771776444607</v>
      </c>
    </row>
    <row r="1053" spans="1:3" x14ac:dyDescent="0.2">
      <c r="A1053" s="2781">
        <v>45585</v>
      </c>
      <c r="B1053" s="2877">
        <f>SUM('2018+'!H2398:H2487)</f>
        <v>665.33079547397324</v>
      </c>
      <c r="C1053" s="2877">
        <f>SUM('2018+'!H2122:H2487)</f>
        <v>1668.5271776444606</v>
      </c>
    </row>
    <row r="1054" spans="1:3" x14ac:dyDescent="0.2">
      <c r="A1054" s="2781">
        <v>45586</v>
      </c>
      <c r="B1054" s="2877">
        <f>SUM('2018+'!H2399:H2488)</f>
        <v>657.70249519787615</v>
      </c>
      <c r="C1054" s="2877">
        <f>SUM('2018+'!H2123:H2488)</f>
        <v>1668.5271776444606</v>
      </c>
    </row>
    <row r="1055" spans="1:3" x14ac:dyDescent="0.2">
      <c r="A1055" s="2781">
        <v>45587</v>
      </c>
      <c r="B1055" s="2877">
        <f>SUM('2018+'!H2400:H2489)</f>
        <v>650.13992136060381</v>
      </c>
      <c r="C1055" s="2877">
        <f>SUM('2018+'!H2124:H2489)</f>
        <v>1648.9871776444606</v>
      </c>
    </row>
    <row r="1056" spans="1:3" x14ac:dyDescent="0.2">
      <c r="A1056" s="2781">
        <v>45588</v>
      </c>
      <c r="B1056" s="2877">
        <f>SUM('2018+'!H2401:H2490)</f>
        <v>642.5116210845066</v>
      </c>
      <c r="C1056" s="2877">
        <f>SUM('2018+'!H2125:H2490)</f>
        <v>1642.6771776444607</v>
      </c>
    </row>
    <row r="1057" spans="1:3" x14ac:dyDescent="0.2">
      <c r="A1057" s="2781">
        <v>45589</v>
      </c>
      <c r="B1057" s="2877">
        <f>SUM('2018+'!H2402:H2491)</f>
        <v>634.88332080840939</v>
      </c>
      <c r="C1057" s="2877">
        <f>SUM('2018+'!H2126:H2491)</f>
        <v>1642.6771776444607</v>
      </c>
    </row>
    <row r="1058" spans="1:3" x14ac:dyDescent="0.2">
      <c r="A1058" s="2781">
        <v>45590</v>
      </c>
      <c r="B1058" s="2877">
        <f>SUM('2018+'!H2403:H2492)</f>
        <v>619.62672025621498</v>
      </c>
      <c r="C1058" s="2877">
        <f>SUM('2018+'!H2127:H2492)</f>
        <v>1630.6671776444605</v>
      </c>
    </row>
    <row r="1059" spans="1:3" x14ac:dyDescent="0.2">
      <c r="A1059" s="2781">
        <v>45591</v>
      </c>
      <c r="B1059" s="2877">
        <f>SUM('2018+'!H2404:H2493)</f>
        <v>619.62672025621498</v>
      </c>
      <c r="C1059" s="2877">
        <f>SUM('2018+'!H2128:H2493)</f>
        <v>1630.6671776444605</v>
      </c>
    </row>
    <row r="1060" spans="1:3" x14ac:dyDescent="0.2">
      <c r="A1060" s="2781">
        <v>45592</v>
      </c>
      <c r="B1060" s="2877">
        <f>SUM('2018+'!H2405:H2494)</f>
        <v>611.99841998011777</v>
      </c>
      <c r="C1060" s="2877">
        <f>SUM('2018+'!H2129:H2494)</f>
        <v>1630.6671776444605</v>
      </c>
    </row>
    <row r="1061" spans="1:3" x14ac:dyDescent="0.2">
      <c r="A1061" s="2781">
        <v>45593</v>
      </c>
      <c r="B1061" s="2877">
        <f>SUM('2018+'!H2406:H2495)</f>
        <v>609.45565322141886</v>
      </c>
      <c r="C1061" s="2877">
        <f>SUM('2018+'!H2130:H2495)</f>
        <v>1635.7527111618585</v>
      </c>
    </row>
    <row r="1062" spans="1:3" x14ac:dyDescent="0.2">
      <c r="A1062" s="2781">
        <v>45594</v>
      </c>
      <c r="B1062" s="2877">
        <f>SUM('2018+'!H2407:H2496)</f>
        <v>606.97861290154469</v>
      </c>
      <c r="C1062" s="2877">
        <f>SUM('2018+'!H2131:H2496)</f>
        <v>1640.8382446792566</v>
      </c>
    </row>
    <row r="1063" spans="1:3" x14ac:dyDescent="0.2">
      <c r="A1063" s="2781">
        <v>45595</v>
      </c>
      <c r="B1063" s="2877">
        <f>SUM('2018+'!H2408:H2497)</f>
        <v>599.35031262544737</v>
      </c>
      <c r="C1063" s="2877">
        <f>SUM('2018+'!H2132:H2497)</f>
        <v>1640.8382446792566</v>
      </c>
    </row>
    <row r="1064" spans="1:3" x14ac:dyDescent="0.2">
      <c r="A1064" s="2781">
        <v>45596</v>
      </c>
      <c r="B1064" s="2877">
        <f>SUM('2018+'!H2409:H2498)</f>
        <v>596.80754586674846</v>
      </c>
      <c r="C1064" s="2877">
        <f>SUM('2018+'!H2133:H2498)</f>
        <v>1645.9237781966547</v>
      </c>
    </row>
    <row r="1065" spans="1:3" x14ac:dyDescent="0.2">
      <c r="A1065" s="2781">
        <v>45597</v>
      </c>
      <c r="B1065" s="2877">
        <f>SUM('2018+'!H2410:H2499)</f>
        <v>584.94130099281949</v>
      </c>
      <c r="C1065" s="2877">
        <f>SUM('2018+'!H2134:H2499)</f>
        <v>1651.0093117140527</v>
      </c>
    </row>
    <row r="1066" spans="1:3" x14ac:dyDescent="0.2">
      <c r="A1066" s="2781">
        <v>45598</v>
      </c>
      <c r="B1066" s="2877">
        <f>SUM('2018+'!H2411:H2500)</f>
        <v>584.94130099281949</v>
      </c>
      <c r="C1066" s="2877">
        <f>SUM('2018+'!H2135:H2500)</f>
        <v>1651.0093117140527</v>
      </c>
    </row>
    <row r="1067" spans="1:3" x14ac:dyDescent="0.2">
      <c r="A1067" s="2781">
        <v>45599</v>
      </c>
      <c r="B1067" s="2877">
        <f>SUM('2018+'!H2412:H2501)</f>
        <v>587.48406775151852</v>
      </c>
      <c r="C1067" s="2877">
        <f>SUM('2018+'!H2136:H2501)</f>
        <v>1661.1803787488491</v>
      </c>
    </row>
    <row r="1068" spans="1:3" x14ac:dyDescent="0.2">
      <c r="A1068" s="2781">
        <v>45600</v>
      </c>
      <c r="B1068" s="2877">
        <f>SUM('2018+'!H2413:H2502)</f>
        <v>583.81950281922025</v>
      </c>
      <c r="C1068" s="2877">
        <f>SUM('2018+'!H2137:H2502)</f>
        <v>1666.2659122662471</v>
      </c>
    </row>
    <row r="1069" spans="1:3" x14ac:dyDescent="0.2">
      <c r="A1069" s="2781">
        <v>45601</v>
      </c>
      <c r="B1069" s="2877">
        <f>SUM('2018+'!H2414:H2503)</f>
        <v>581.2767360605211</v>
      </c>
      <c r="C1069" s="2877">
        <f>SUM('2018+'!H2138:H2503)</f>
        <v>1671.3514457836452</v>
      </c>
    </row>
    <row r="1070" spans="1:3" x14ac:dyDescent="0.2">
      <c r="A1070" s="2781">
        <v>45602</v>
      </c>
      <c r="B1070" s="2877">
        <f>SUM('2018+'!H2415:H2504)</f>
        <v>571.94243065905835</v>
      </c>
      <c r="C1070" s="2877">
        <f>SUM('2018+'!H2139:H2504)</f>
        <v>1671.3514457836452</v>
      </c>
    </row>
    <row r="1071" spans="1:3" x14ac:dyDescent="0.2">
      <c r="A1071" s="2781">
        <v>45603</v>
      </c>
      <c r="B1071" s="2877">
        <f>SUM('2018+'!H2416:H2505)</f>
        <v>569.39966390035931</v>
      </c>
      <c r="C1071" s="2877">
        <f>SUM('2018+'!H2140:H2505)</f>
        <v>1670.5869793010434</v>
      </c>
    </row>
    <row r="1072" spans="1:3" x14ac:dyDescent="0.2">
      <c r="A1072" s="2781">
        <v>45604</v>
      </c>
      <c r="B1072" s="2877">
        <f>SUM('2018+'!H2417:H2506)</f>
        <v>555.83824118729763</v>
      </c>
      <c r="C1072" s="2877">
        <f>SUM('2018+'!H2141:H2506)</f>
        <v>1675.6725128184414</v>
      </c>
    </row>
    <row r="1073" spans="1:3" x14ac:dyDescent="0.2">
      <c r="A1073" s="2781">
        <v>45605</v>
      </c>
      <c r="B1073" s="2877">
        <f>SUM('2018+'!H2418:H2507)</f>
        <v>555.83824118729763</v>
      </c>
      <c r="C1073" s="2877">
        <f>SUM('2018+'!H2142:H2507)</f>
        <v>1675.6725128184414</v>
      </c>
    </row>
  </sheetData>
  <pageMargins left="0.7" right="0.7" top="0.75" bottom="0.75" header="0.3" footer="0.3"/>
  <pageSetup paperSize="9"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43EFF-8FB3-4952-A84E-6C7B60D826FD}">
  <dimension ref="C2:G133"/>
  <sheetViews>
    <sheetView workbookViewId="0">
      <selection activeCell="F33" sqref="F33"/>
    </sheetView>
  </sheetViews>
  <sheetFormatPr baseColWidth="10" defaultColWidth="8.83203125" defaultRowHeight="13" x14ac:dyDescent="0.15"/>
  <cols>
    <col min="3" max="3" width="13.1640625" style="367" bestFit="1" customWidth="1"/>
    <col min="4" max="4" width="18" style="367" bestFit="1" customWidth="1"/>
    <col min="5" max="5" width="6.6640625" style="367" bestFit="1" customWidth="1"/>
    <col min="6" max="7" width="14.6640625" style="367" bestFit="1" customWidth="1"/>
    <col min="8" max="8" width="7" bestFit="1" customWidth="1"/>
    <col min="9" max="10" width="14.6640625" bestFit="1" customWidth="1"/>
    <col min="11" max="11" width="11.6640625" bestFit="1" customWidth="1"/>
    <col min="12" max="16" width="16.33203125" bestFit="1" customWidth="1"/>
    <col min="17" max="17" width="19.1640625" bestFit="1" customWidth="1"/>
  </cols>
  <sheetData>
    <row r="2" spans="3:7" x14ac:dyDescent="0.15">
      <c r="C2" s="2795" t="s">
        <v>956</v>
      </c>
      <c r="D2" s="367" t="s">
        <v>1523</v>
      </c>
    </row>
    <row r="3" spans="3:7" x14ac:dyDescent="0.15">
      <c r="C3" s="2795" t="s">
        <v>3</v>
      </c>
      <c r="D3" s="367" t="s">
        <v>1524</v>
      </c>
    </row>
    <row r="5" spans="3:7" x14ac:dyDescent="0.15">
      <c r="C5" s="2795" t="s">
        <v>1516</v>
      </c>
      <c r="D5" s="367" t="s">
        <v>784</v>
      </c>
      <c r="E5"/>
      <c r="F5"/>
      <c r="G5"/>
    </row>
    <row r="6" spans="3:7" x14ac:dyDescent="0.15">
      <c r="C6" s="367" t="s">
        <v>944</v>
      </c>
      <c r="D6" s="2796">
        <v>1.0639026664749811</v>
      </c>
      <c r="E6"/>
      <c r="F6"/>
      <c r="G6"/>
    </row>
    <row r="7" spans="3:7" x14ac:dyDescent="0.15">
      <c r="C7" s="367" t="s">
        <v>1466</v>
      </c>
      <c r="D7" s="2796">
        <v>1.0647303449843915</v>
      </c>
      <c r="E7"/>
      <c r="F7"/>
      <c r="G7"/>
    </row>
    <row r="8" spans="3:7" x14ac:dyDescent="0.15">
      <c r="C8" s="367" t="s">
        <v>800</v>
      </c>
      <c r="D8" s="2796">
        <v>1.067054046462752</v>
      </c>
      <c r="E8"/>
      <c r="F8"/>
      <c r="G8"/>
    </row>
    <row r="9" spans="3:7" x14ac:dyDescent="0.15">
      <c r="C9" s="367" t="s">
        <v>809</v>
      </c>
      <c r="D9" s="2796">
        <v>1.072752508143948</v>
      </c>
      <c r="E9"/>
      <c r="F9"/>
      <c r="G9"/>
    </row>
    <row r="10" spans="3:7" x14ac:dyDescent="0.15">
      <c r="C10" s="367" t="s">
        <v>810</v>
      </c>
      <c r="D10" s="2796">
        <v>1.0741619170696746</v>
      </c>
      <c r="E10"/>
      <c r="F10"/>
      <c r="G10"/>
    </row>
    <row r="11" spans="3:7" x14ac:dyDescent="0.15">
      <c r="C11" s="367" t="s">
        <v>943</v>
      </c>
      <c r="D11" s="2796">
        <v>1.0743644986773457</v>
      </c>
      <c r="E11"/>
      <c r="F11"/>
      <c r="G11"/>
    </row>
    <row r="12" spans="3:7" x14ac:dyDescent="0.15">
      <c r="C12" s="367" t="s">
        <v>907</v>
      </c>
      <c r="D12" s="2796">
        <v>1.0778477557867536</v>
      </c>
      <c r="E12"/>
      <c r="F12"/>
      <c r="G12"/>
    </row>
    <row r="13" spans="3:7" x14ac:dyDescent="0.15">
      <c r="C13" s="367" t="s">
        <v>906</v>
      </c>
      <c r="D13" s="2796">
        <v>1.0782812694260235</v>
      </c>
      <c r="E13"/>
      <c r="F13"/>
      <c r="G13"/>
    </row>
    <row r="14" spans="3:7" x14ac:dyDescent="0.15">
      <c r="C14" s="367" t="s">
        <v>819</v>
      </c>
      <c r="D14" s="2796">
        <v>1.0786699741051373</v>
      </c>
      <c r="E14"/>
      <c r="F14"/>
      <c r="G14"/>
    </row>
    <row r="15" spans="3:7" x14ac:dyDescent="0.15">
      <c r="C15" s="367" t="s">
        <v>801</v>
      </c>
      <c r="D15" s="2796">
        <v>1.083982416557165</v>
      </c>
      <c r="E15"/>
      <c r="F15"/>
      <c r="G15"/>
    </row>
    <row r="16" spans="3:7" x14ac:dyDescent="0.15">
      <c r="C16" s="367" t="s">
        <v>811</v>
      </c>
      <c r="D16" s="2796">
        <v>1.0847604738952266</v>
      </c>
      <c r="E16"/>
      <c r="F16"/>
      <c r="G16"/>
    </row>
    <row r="17" spans="3:7" x14ac:dyDescent="0.15">
      <c r="C17" s="367" t="s">
        <v>812</v>
      </c>
      <c r="D17" s="2796">
        <v>1.0852063871160729</v>
      </c>
      <c r="E17"/>
      <c r="F17"/>
      <c r="G17"/>
    </row>
    <row r="18" spans="3:7" x14ac:dyDescent="0.15">
      <c r="C18" s="367" t="s">
        <v>1517</v>
      </c>
      <c r="D18" s="2796">
        <v>1.0743369123297437</v>
      </c>
      <c r="E18"/>
      <c r="F18"/>
      <c r="G18"/>
    </row>
    <row r="19" spans="3:7" x14ac:dyDescent="0.15">
      <c r="C19"/>
      <c r="D19"/>
      <c r="E19"/>
      <c r="F19"/>
      <c r="G19"/>
    </row>
    <row r="20" spans="3:7" x14ac:dyDescent="0.15">
      <c r="C20"/>
      <c r="D20"/>
      <c r="E20"/>
      <c r="F20"/>
      <c r="G20"/>
    </row>
    <row r="21" spans="3:7" x14ac:dyDescent="0.15">
      <c r="C21"/>
      <c r="D21"/>
      <c r="E21"/>
      <c r="F21"/>
      <c r="G21"/>
    </row>
    <row r="22" spans="3:7" x14ac:dyDescent="0.15">
      <c r="C22"/>
      <c r="D22"/>
      <c r="E22"/>
      <c r="F22"/>
      <c r="G22"/>
    </row>
    <row r="23" spans="3:7" x14ac:dyDescent="0.15">
      <c r="C23"/>
      <c r="D23"/>
      <c r="E23"/>
      <c r="F23"/>
      <c r="G23"/>
    </row>
    <row r="24" spans="3:7" x14ac:dyDescent="0.15">
      <c r="C24"/>
      <c r="D24"/>
      <c r="E24"/>
      <c r="F24"/>
      <c r="G24"/>
    </row>
    <row r="25" spans="3:7" x14ac:dyDescent="0.15">
      <c r="C25"/>
      <c r="D25"/>
      <c r="E25"/>
      <c r="F25"/>
      <c r="G25"/>
    </row>
    <row r="26" spans="3:7" x14ac:dyDescent="0.15">
      <c r="C26"/>
      <c r="D26"/>
      <c r="E26"/>
      <c r="F26"/>
      <c r="G26"/>
    </row>
    <row r="27" spans="3:7" x14ac:dyDescent="0.15">
      <c r="C27"/>
      <c r="D27"/>
      <c r="E27"/>
      <c r="F27"/>
      <c r="G27"/>
    </row>
    <row r="28" spans="3:7" x14ac:dyDescent="0.15">
      <c r="C28"/>
      <c r="D28"/>
      <c r="E28"/>
      <c r="F28"/>
      <c r="G28"/>
    </row>
    <row r="29" spans="3:7" x14ac:dyDescent="0.15">
      <c r="C29"/>
      <c r="D29"/>
      <c r="E29"/>
      <c r="F29"/>
      <c r="G29"/>
    </row>
    <row r="30" spans="3:7" x14ac:dyDescent="0.15">
      <c r="C30"/>
      <c r="D30"/>
      <c r="E30"/>
      <c r="F30"/>
      <c r="G30"/>
    </row>
    <row r="31" spans="3:7" x14ac:dyDescent="0.15">
      <c r="C31"/>
      <c r="D31"/>
      <c r="E31"/>
      <c r="F31"/>
      <c r="G31"/>
    </row>
    <row r="32" spans="3:7" x14ac:dyDescent="0.15">
      <c r="C32"/>
      <c r="D32"/>
      <c r="E32"/>
      <c r="F32"/>
      <c r="G32"/>
    </row>
    <row r="33" customFormat="1" x14ac:dyDescent="0.15"/>
    <row r="34" customFormat="1" x14ac:dyDescent="0.15"/>
    <row r="35" customFormat="1" x14ac:dyDescent="0.15"/>
    <row r="36" customFormat="1" x14ac:dyDescent="0.15"/>
    <row r="37" customFormat="1" x14ac:dyDescent="0.15"/>
    <row r="38" customFormat="1" x14ac:dyDescent="0.15"/>
    <row r="39" customFormat="1" x14ac:dyDescent="0.15"/>
    <row r="40" customFormat="1" x14ac:dyDescent="0.15"/>
    <row r="41" customFormat="1" x14ac:dyDescent="0.15"/>
    <row r="42" customFormat="1" x14ac:dyDescent="0.15"/>
    <row r="43" customFormat="1" x14ac:dyDescent="0.15"/>
    <row r="44" customFormat="1" x14ac:dyDescent="0.15"/>
    <row r="45" customFormat="1" x14ac:dyDescent="0.15"/>
    <row r="46" customFormat="1" x14ac:dyDescent="0.15"/>
    <row r="47" customFormat="1" x14ac:dyDescent="0.15"/>
    <row r="48" customFormat="1" x14ac:dyDescent="0.15"/>
    <row r="49" customFormat="1" x14ac:dyDescent="0.15"/>
    <row r="50" customFormat="1" x14ac:dyDescent="0.15"/>
    <row r="51" customFormat="1" x14ac:dyDescent="0.15"/>
    <row r="52" customFormat="1" x14ac:dyDescent="0.15"/>
    <row r="53" customFormat="1" x14ac:dyDescent="0.15"/>
    <row r="54" customFormat="1" x14ac:dyDescent="0.15"/>
    <row r="55" customFormat="1" x14ac:dyDescent="0.15"/>
    <row r="56" customFormat="1" x14ac:dyDescent="0.15"/>
    <row r="57" customFormat="1" x14ac:dyDescent="0.15"/>
    <row r="58" customFormat="1" x14ac:dyDescent="0.15"/>
    <row r="59" customFormat="1" x14ac:dyDescent="0.15"/>
    <row r="60" customFormat="1" x14ac:dyDescent="0.15"/>
    <row r="61" customFormat="1" x14ac:dyDescent="0.15"/>
    <row r="62" customFormat="1" x14ac:dyDescent="0.15"/>
    <row r="63" customFormat="1" x14ac:dyDescent="0.15"/>
    <row r="64" customFormat="1" x14ac:dyDescent="0.15"/>
    <row r="65" customFormat="1" x14ac:dyDescent="0.15"/>
    <row r="66" customFormat="1" x14ac:dyDescent="0.15"/>
    <row r="67" customFormat="1" x14ac:dyDescent="0.15"/>
    <row r="68" customFormat="1" x14ac:dyDescent="0.15"/>
    <row r="69" customFormat="1" x14ac:dyDescent="0.15"/>
    <row r="70" customFormat="1" x14ac:dyDescent="0.15"/>
    <row r="71" customFormat="1" x14ac:dyDescent="0.15"/>
    <row r="72" customFormat="1" x14ac:dyDescent="0.15"/>
    <row r="73" customFormat="1" x14ac:dyDescent="0.15"/>
    <row r="74" customFormat="1" x14ac:dyDescent="0.15"/>
    <row r="75" customFormat="1" x14ac:dyDescent="0.15"/>
    <row r="76" customFormat="1" x14ac:dyDescent="0.15"/>
    <row r="77" customFormat="1" x14ac:dyDescent="0.15"/>
    <row r="78" customFormat="1" x14ac:dyDescent="0.15"/>
    <row r="79" customFormat="1" x14ac:dyDescent="0.15"/>
    <row r="80" customFormat="1" x14ac:dyDescent="0.15"/>
    <row r="81" customFormat="1" x14ac:dyDescent="0.15"/>
    <row r="82" customFormat="1" x14ac:dyDescent="0.15"/>
    <row r="83" customFormat="1" x14ac:dyDescent="0.15"/>
    <row r="84" customFormat="1" x14ac:dyDescent="0.15"/>
    <row r="85" customFormat="1" x14ac:dyDescent="0.15"/>
    <row r="86" customFormat="1" x14ac:dyDescent="0.15"/>
    <row r="87" customFormat="1" x14ac:dyDescent="0.15"/>
    <row r="88" customFormat="1" x14ac:dyDescent="0.15"/>
    <row r="89" customFormat="1" x14ac:dyDescent="0.15"/>
    <row r="90" customFormat="1" x14ac:dyDescent="0.15"/>
    <row r="91" customFormat="1" x14ac:dyDescent="0.15"/>
    <row r="92" customFormat="1" x14ac:dyDescent="0.15"/>
    <row r="93" customFormat="1" x14ac:dyDescent="0.15"/>
    <row r="94" customFormat="1" x14ac:dyDescent="0.15"/>
    <row r="95" customFormat="1" x14ac:dyDescent="0.15"/>
    <row r="96" customFormat="1" x14ac:dyDescent="0.15"/>
    <row r="97" customFormat="1" x14ac:dyDescent="0.15"/>
    <row r="98" customFormat="1" x14ac:dyDescent="0.15"/>
    <row r="99" customFormat="1" x14ac:dyDescent="0.15"/>
    <row r="100" customFormat="1" x14ac:dyDescent="0.15"/>
    <row r="101" customFormat="1" x14ac:dyDescent="0.15"/>
    <row r="102" customFormat="1" x14ac:dyDescent="0.15"/>
    <row r="103" customFormat="1" x14ac:dyDescent="0.15"/>
    <row r="104" customFormat="1" x14ac:dyDescent="0.15"/>
    <row r="105" customFormat="1" x14ac:dyDescent="0.15"/>
    <row r="106" customFormat="1" x14ac:dyDescent="0.15"/>
    <row r="107" customFormat="1" x14ac:dyDescent="0.15"/>
    <row r="108" customFormat="1" x14ac:dyDescent="0.15"/>
    <row r="109" customFormat="1" x14ac:dyDescent="0.15"/>
    <row r="110" customFormat="1" x14ac:dyDescent="0.15"/>
    <row r="111" customFormat="1" x14ac:dyDescent="0.15"/>
    <row r="112" customFormat="1" x14ac:dyDescent="0.15"/>
    <row r="113" customFormat="1" x14ac:dyDescent="0.15"/>
    <row r="114" customFormat="1" x14ac:dyDescent="0.15"/>
    <row r="115" customFormat="1" x14ac:dyDescent="0.15"/>
    <row r="116" customFormat="1" x14ac:dyDescent="0.15"/>
    <row r="117" customFormat="1" x14ac:dyDescent="0.15"/>
    <row r="118" customFormat="1" x14ac:dyDescent="0.15"/>
    <row r="119" customFormat="1" x14ac:dyDescent="0.15"/>
    <row r="120" customFormat="1" x14ac:dyDescent="0.15"/>
    <row r="121" customFormat="1" x14ac:dyDescent="0.15"/>
    <row r="122" customFormat="1" x14ac:dyDescent="0.15"/>
    <row r="123" customFormat="1" x14ac:dyDescent="0.15"/>
    <row r="124" customFormat="1" x14ac:dyDescent="0.15"/>
    <row r="125" customFormat="1" x14ac:dyDescent="0.15"/>
    <row r="126" customFormat="1" x14ac:dyDescent="0.15"/>
    <row r="127" customFormat="1" x14ac:dyDescent="0.15"/>
    <row r="128" customFormat="1" x14ac:dyDescent="0.15"/>
    <row r="129" customFormat="1" x14ac:dyDescent="0.15"/>
    <row r="130" customFormat="1" x14ac:dyDescent="0.15"/>
    <row r="131" customFormat="1" x14ac:dyDescent="0.15"/>
    <row r="132" customFormat="1" x14ac:dyDescent="0.15"/>
    <row r="133" customFormat="1" x14ac:dyDescent="0.15"/>
  </sheetData>
  <pageMargins left="0.7" right="0.7" top="0.75" bottom="0.75" header="0.3" footer="0.3"/>
  <pageSetup paperSize="9" orientation="portrait" horizontalDpi="0" verticalDpi="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12E06-51DF-4325-A85D-046C626C3CF3}">
  <dimension ref="A3:G363"/>
  <sheetViews>
    <sheetView zoomScaleNormal="100" workbookViewId="0">
      <selection activeCell="T27" sqref="T27"/>
    </sheetView>
  </sheetViews>
  <sheetFormatPr baseColWidth="10" defaultColWidth="8.83203125" defaultRowHeight="13" x14ac:dyDescent="0.15"/>
  <cols>
    <col min="1" max="1" width="12.6640625" bestFit="1" customWidth="1"/>
    <col min="2" max="2" width="15.1640625" bestFit="1" customWidth="1"/>
    <col min="3" max="6" width="5.1640625" bestFit="1" customWidth="1"/>
    <col min="7" max="8" width="10.33203125" bestFit="1" customWidth="1"/>
  </cols>
  <sheetData>
    <row r="3" spans="1:7" x14ac:dyDescent="0.15">
      <c r="A3" s="366" t="s">
        <v>845</v>
      </c>
      <c r="B3" s="366" t="s">
        <v>1518</v>
      </c>
    </row>
    <row r="4" spans="1:7" x14ac:dyDescent="0.15">
      <c r="A4" s="366" t="s">
        <v>1516</v>
      </c>
      <c r="B4" s="2901" t="s">
        <v>844</v>
      </c>
      <c r="C4" t="s">
        <v>905</v>
      </c>
      <c r="D4" t="s">
        <v>952</v>
      </c>
      <c r="E4" t="s">
        <v>973</v>
      </c>
      <c r="F4" t="s">
        <v>1496</v>
      </c>
      <c r="G4" t="s">
        <v>1517</v>
      </c>
    </row>
    <row r="5" spans="1:7" x14ac:dyDescent="0.15">
      <c r="A5" s="367" t="s">
        <v>835</v>
      </c>
      <c r="B5" s="368">
        <v>656.38999999999987</v>
      </c>
      <c r="C5" s="368">
        <v>356.35</v>
      </c>
      <c r="D5" s="368">
        <v>235.46</v>
      </c>
      <c r="E5" s="368">
        <v>595.64000000000021</v>
      </c>
      <c r="F5" s="368">
        <v>11.67</v>
      </c>
      <c r="G5" s="368">
        <v>1855.51</v>
      </c>
    </row>
    <row r="6" spans="1:7" x14ac:dyDescent="0.15">
      <c r="A6" s="376" t="s">
        <v>847</v>
      </c>
      <c r="B6" s="368"/>
      <c r="C6" s="368">
        <v>38.53</v>
      </c>
      <c r="D6" s="368">
        <v>23.86</v>
      </c>
      <c r="E6" s="368">
        <v>58.78</v>
      </c>
      <c r="F6" s="368">
        <v>11.67</v>
      </c>
      <c r="G6" s="368">
        <v>132.84</v>
      </c>
    </row>
    <row r="7" spans="1:7" x14ac:dyDescent="0.15">
      <c r="A7" s="376" t="s">
        <v>848</v>
      </c>
      <c r="B7" s="368"/>
      <c r="C7" s="368">
        <v>36.9</v>
      </c>
      <c r="D7" s="368">
        <v>30.25</v>
      </c>
      <c r="E7" s="368">
        <v>63.100000000000009</v>
      </c>
      <c r="F7" s="368"/>
      <c r="G7" s="368">
        <v>130.25</v>
      </c>
    </row>
    <row r="8" spans="1:7" x14ac:dyDescent="0.15">
      <c r="A8" s="376" t="s">
        <v>1519</v>
      </c>
      <c r="B8" s="368">
        <v>97.11</v>
      </c>
      <c r="C8" s="368">
        <v>6.23</v>
      </c>
      <c r="D8" s="368">
        <v>5.46</v>
      </c>
      <c r="E8" s="368">
        <v>14.24</v>
      </c>
      <c r="F8" s="368"/>
      <c r="G8" s="368">
        <v>123.03999999999999</v>
      </c>
    </row>
    <row r="9" spans="1:7" x14ac:dyDescent="0.15">
      <c r="A9" s="376" t="s">
        <v>843</v>
      </c>
      <c r="B9" s="368">
        <v>125.96000000000001</v>
      </c>
      <c r="C9" s="368">
        <v>22.299999999999997</v>
      </c>
      <c r="D9" s="368"/>
      <c r="E9" s="368">
        <v>53.599999999999994</v>
      </c>
      <c r="F9" s="368"/>
      <c r="G9" s="368">
        <v>201.85999999999999</v>
      </c>
    </row>
    <row r="10" spans="1:7" x14ac:dyDescent="0.15">
      <c r="A10" s="376" t="s">
        <v>1520</v>
      </c>
      <c r="B10" s="368">
        <v>119.56</v>
      </c>
      <c r="C10" s="368">
        <v>52.330000000000005</v>
      </c>
      <c r="D10" s="368"/>
      <c r="E10" s="368">
        <v>13.84</v>
      </c>
      <c r="F10" s="368"/>
      <c r="G10" s="368">
        <v>185.73000000000002</v>
      </c>
    </row>
    <row r="11" spans="1:7" x14ac:dyDescent="0.15">
      <c r="A11" s="376" t="s">
        <v>849</v>
      </c>
      <c r="B11" s="368">
        <v>102.60000000000001</v>
      </c>
      <c r="C11" s="368">
        <v>29.92</v>
      </c>
      <c r="D11" s="368">
        <v>24.65</v>
      </c>
      <c r="E11" s="368">
        <v>63.03</v>
      </c>
      <c r="F11" s="368"/>
      <c r="G11" s="368">
        <v>220.20000000000002</v>
      </c>
    </row>
    <row r="12" spans="1:7" x14ac:dyDescent="0.15">
      <c r="A12" s="376" t="s">
        <v>850</v>
      </c>
      <c r="B12" s="368">
        <v>55.660000000000004</v>
      </c>
      <c r="C12" s="368">
        <v>14.96</v>
      </c>
      <c r="D12" s="368">
        <v>28.65</v>
      </c>
      <c r="E12" s="368">
        <v>76.850000000000009</v>
      </c>
      <c r="F12" s="368"/>
      <c r="G12" s="368">
        <v>176.12</v>
      </c>
    </row>
    <row r="13" spans="1:7" x14ac:dyDescent="0.15">
      <c r="A13" s="376" t="s">
        <v>851</v>
      </c>
      <c r="B13" s="368">
        <v>30.590000000000003</v>
      </c>
      <c r="C13" s="368">
        <v>42.43</v>
      </c>
      <c r="D13" s="368">
        <v>49.61</v>
      </c>
      <c r="E13" s="368">
        <v>99.690000000000012</v>
      </c>
      <c r="F13" s="368"/>
      <c r="G13" s="368">
        <v>222.32000000000002</v>
      </c>
    </row>
    <row r="14" spans="1:7" x14ac:dyDescent="0.15">
      <c r="A14" s="376" t="s">
        <v>961</v>
      </c>
      <c r="B14" s="368">
        <v>36.42</v>
      </c>
      <c r="C14" s="368">
        <v>31.04</v>
      </c>
      <c r="D14" s="368">
        <v>28.949999999999996</v>
      </c>
      <c r="E14" s="368">
        <v>69.240000000000009</v>
      </c>
      <c r="F14" s="368"/>
      <c r="G14" s="368">
        <v>165.65</v>
      </c>
    </row>
    <row r="15" spans="1:7" x14ac:dyDescent="0.15">
      <c r="A15" s="376" t="s">
        <v>1521</v>
      </c>
      <c r="B15" s="368">
        <v>9.31</v>
      </c>
      <c r="C15" s="368">
        <v>23.61</v>
      </c>
      <c r="D15" s="368"/>
      <c r="E15" s="368">
        <v>72.339999999999989</v>
      </c>
      <c r="F15" s="368"/>
      <c r="G15" s="368">
        <v>105.25999999999999</v>
      </c>
    </row>
    <row r="16" spans="1:7" x14ac:dyDescent="0.15">
      <c r="A16" s="376" t="s">
        <v>852</v>
      </c>
      <c r="B16" s="368">
        <v>11.13</v>
      </c>
      <c r="C16" s="368">
        <v>22.200000000000003</v>
      </c>
      <c r="D16" s="368">
        <v>8.43</v>
      </c>
      <c r="E16" s="368">
        <v>6.07</v>
      </c>
      <c r="F16" s="368"/>
      <c r="G16" s="368">
        <v>47.830000000000005</v>
      </c>
    </row>
    <row r="17" spans="1:7" x14ac:dyDescent="0.15">
      <c r="A17" s="376" t="s">
        <v>1522</v>
      </c>
      <c r="B17" s="368">
        <v>68.05</v>
      </c>
      <c r="C17" s="368">
        <v>35.9</v>
      </c>
      <c r="D17" s="368">
        <v>35.599999999999994</v>
      </c>
      <c r="E17" s="368">
        <v>4.8600000000000003</v>
      </c>
      <c r="F17" s="368"/>
      <c r="G17" s="368">
        <v>144.41</v>
      </c>
    </row>
    <row r="18" spans="1:7" x14ac:dyDescent="0.15">
      <c r="A18" s="367" t="s">
        <v>1517</v>
      </c>
      <c r="B18" s="368">
        <v>656.38999999999987</v>
      </c>
      <c r="C18" s="368">
        <v>356.35</v>
      </c>
      <c r="D18" s="368">
        <v>235.46</v>
      </c>
      <c r="E18" s="368">
        <v>595.64000000000021</v>
      </c>
      <c r="F18" s="368">
        <v>11.67</v>
      </c>
      <c r="G18" s="368">
        <v>1855.51</v>
      </c>
    </row>
    <row r="97" spans="1:2" x14ac:dyDescent="0.15">
      <c r="A97" s="2843">
        <v>43485</v>
      </c>
      <c r="B97" s="368">
        <v>9.86</v>
      </c>
    </row>
    <row r="98" spans="1:2" x14ac:dyDescent="0.15">
      <c r="A98" s="2843">
        <v>43520</v>
      </c>
      <c r="B98" s="368">
        <v>14.02</v>
      </c>
    </row>
    <row r="99" spans="1:2" x14ac:dyDescent="0.15">
      <c r="A99" s="2843">
        <v>43618</v>
      </c>
      <c r="B99" s="368">
        <v>12.2</v>
      </c>
    </row>
    <row r="100" spans="1:2" x14ac:dyDescent="0.15">
      <c r="A100" s="2843">
        <v>43832</v>
      </c>
      <c r="B100" s="368">
        <v>9.5500000000000007</v>
      </c>
    </row>
    <row r="101" spans="1:2" x14ac:dyDescent="0.15">
      <c r="A101" s="2843">
        <v>43834</v>
      </c>
      <c r="B101" s="368">
        <v>10.54</v>
      </c>
    </row>
    <row r="102" spans="1:2" x14ac:dyDescent="0.15">
      <c r="A102" s="2843">
        <v>43836</v>
      </c>
      <c r="B102" s="368">
        <v>9.14</v>
      </c>
    </row>
    <row r="103" spans="1:2" x14ac:dyDescent="0.15">
      <c r="A103" s="2843">
        <v>43841</v>
      </c>
      <c r="B103" s="368">
        <v>9.52</v>
      </c>
    </row>
    <row r="104" spans="1:2" x14ac:dyDescent="0.15">
      <c r="A104" s="2843">
        <v>43844</v>
      </c>
      <c r="B104" s="368">
        <v>8.65</v>
      </c>
    </row>
    <row r="105" spans="1:2" x14ac:dyDescent="0.15">
      <c r="A105" s="2843">
        <v>43846</v>
      </c>
      <c r="B105" s="368">
        <v>10.130000000000001</v>
      </c>
    </row>
    <row r="106" spans="1:2" x14ac:dyDescent="0.15">
      <c r="A106" s="2843">
        <v>43849</v>
      </c>
      <c r="B106" s="368">
        <v>8.36</v>
      </c>
    </row>
    <row r="107" spans="1:2" x14ac:dyDescent="0.15">
      <c r="A107" s="2843">
        <v>43851</v>
      </c>
      <c r="B107" s="368">
        <v>10.01</v>
      </c>
    </row>
    <row r="108" spans="1:2" x14ac:dyDescent="0.15">
      <c r="A108" s="2843">
        <v>43854</v>
      </c>
      <c r="B108" s="368">
        <v>10.84</v>
      </c>
    </row>
    <row r="109" spans="1:2" x14ac:dyDescent="0.15">
      <c r="A109" s="2843">
        <v>43856</v>
      </c>
      <c r="B109" s="368">
        <v>11.43</v>
      </c>
    </row>
    <row r="110" spans="1:2" x14ac:dyDescent="0.15">
      <c r="A110" s="2843">
        <v>43858</v>
      </c>
      <c r="B110" s="368">
        <v>11.44</v>
      </c>
    </row>
    <row r="111" spans="1:2" x14ac:dyDescent="0.15">
      <c r="A111" s="2843">
        <v>43859</v>
      </c>
      <c r="B111" s="368">
        <v>8.42</v>
      </c>
    </row>
    <row r="112" spans="1:2" x14ac:dyDescent="0.15">
      <c r="A112" s="2843">
        <v>43861</v>
      </c>
      <c r="B112" s="368">
        <v>11.46</v>
      </c>
    </row>
    <row r="113" spans="1:2" x14ac:dyDescent="0.15">
      <c r="A113" s="2843">
        <v>43863</v>
      </c>
      <c r="B113" s="368">
        <v>10.4</v>
      </c>
    </row>
    <row r="114" spans="1:2" x14ac:dyDescent="0.15">
      <c r="A114" s="2843">
        <v>43865</v>
      </c>
      <c r="B114" s="368">
        <v>10.16</v>
      </c>
    </row>
    <row r="115" spans="1:2" x14ac:dyDescent="0.15">
      <c r="A115" s="2843">
        <v>43867</v>
      </c>
      <c r="B115" s="368">
        <v>10.050000000000001</v>
      </c>
    </row>
    <row r="116" spans="1:2" x14ac:dyDescent="0.15">
      <c r="A116" s="2843">
        <v>43869</v>
      </c>
      <c r="B116" s="368">
        <v>10.53</v>
      </c>
    </row>
    <row r="117" spans="1:2" x14ac:dyDescent="0.15">
      <c r="A117" s="2843">
        <v>43872</v>
      </c>
      <c r="B117" s="368">
        <v>10.17</v>
      </c>
    </row>
    <row r="118" spans="1:2" x14ac:dyDescent="0.15">
      <c r="A118" s="2843">
        <v>43874</v>
      </c>
      <c r="B118" s="368">
        <v>8.7100000000000009</v>
      </c>
    </row>
    <row r="119" spans="1:2" x14ac:dyDescent="0.15">
      <c r="A119" s="2843">
        <v>43875</v>
      </c>
      <c r="B119" s="368">
        <v>9.43</v>
      </c>
    </row>
    <row r="120" spans="1:2" x14ac:dyDescent="0.15">
      <c r="A120" s="2843">
        <v>43877</v>
      </c>
      <c r="B120" s="368">
        <v>11.4</v>
      </c>
    </row>
    <row r="121" spans="1:2" x14ac:dyDescent="0.15">
      <c r="A121" s="2843">
        <v>43879</v>
      </c>
      <c r="B121" s="368">
        <v>8.41</v>
      </c>
    </row>
    <row r="122" spans="1:2" x14ac:dyDescent="0.15">
      <c r="A122" s="2843">
        <v>43884</v>
      </c>
      <c r="B122" s="368">
        <v>11.37</v>
      </c>
    </row>
    <row r="123" spans="1:2" x14ac:dyDescent="0.15">
      <c r="A123" s="2843">
        <v>43887</v>
      </c>
      <c r="B123" s="368">
        <v>10.18</v>
      </c>
    </row>
    <row r="124" spans="1:2" x14ac:dyDescent="0.15">
      <c r="A124" s="2843">
        <v>43891</v>
      </c>
      <c r="B124" s="368">
        <v>11.55</v>
      </c>
    </row>
    <row r="125" spans="1:2" x14ac:dyDescent="0.15">
      <c r="A125" s="2843">
        <v>43894</v>
      </c>
      <c r="B125" s="368">
        <v>11.11</v>
      </c>
    </row>
    <row r="126" spans="1:2" x14ac:dyDescent="0.15">
      <c r="A126" s="2843">
        <v>43896</v>
      </c>
      <c r="B126" s="368">
        <v>9.26</v>
      </c>
    </row>
    <row r="127" spans="1:2" x14ac:dyDescent="0.15">
      <c r="A127" s="2843">
        <v>43898</v>
      </c>
      <c r="B127" s="368">
        <v>14.83</v>
      </c>
    </row>
    <row r="128" spans="1:2" x14ac:dyDescent="0.15">
      <c r="A128" s="2843">
        <v>43899</v>
      </c>
      <c r="B128" s="368">
        <v>9.19</v>
      </c>
    </row>
    <row r="129" spans="1:2" x14ac:dyDescent="0.15">
      <c r="A129" s="2843">
        <v>43901</v>
      </c>
      <c r="B129" s="368">
        <v>9.2899999999999991</v>
      </c>
    </row>
    <row r="130" spans="1:2" x14ac:dyDescent="0.15">
      <c r="A130" s="2843">
        <v>43907</v>
      </c>
      <c r="B130" s="368">
        <v>10.09</v>
      </c>
    </row>
    <row r="131" spans="1:2" x14ac:dyDescent="0.15">
      <c r="A131" s="2843">
        <v>43916</v>
      </c>
      <c r="B131" s="368">
        <v>8.84</v>
      </c>
    </row>
    <row r="132" spans="1:2" x14ac:dyDescent="0.15">
      <c r="A132" s="2843">
        <v>43924</v>
      </c>
      <c r="B132" s="368">
        <v>9.7100000000000009</v>
      </c>
    </row>
    <row r="133" spans="1:2" x14ac:dyDescent="0.15">
      <c r="A133" s="2843">
        <v>43930</v>
      </c>
      <c r="B133" s="368">
        <v>9.73</v>
      </c>
    </row>
    <row r="134" spans="1:2" x14ac:dyDescent="0.15">
      <c r="A134" s="2843">
        <v>43937</v>
      </c>
      <c r="B134" s="368">
        <v>9.44</v>
      </c>
    </row>
    <row r="135" spans="1:2" x14ac:dyDescent="0.15">
      <c r="A135" s="2843">
        <v>43942</v>
      </c>
      <c r="B135" s="368">
        <v>11.27</v>
      </c>
    </row>
    <row r="136" spans="1:2" x14ac:dyDescent="0.15">
      <c r="A136" s="2843">
        <v>43944</v>
      </c>
      <c r="B136" s="368">
        <v>10.32</v>
      </c>
    </row>
    <row r="137" spans="1:2" x14ac:dyDescent="0.15">
      <c r="A137" s="2843">
        <v>43945</v>
      </c>
      <c r="B137" s="368">
        <v>9.8800000000000008</v>
      </c>
    </row>
    <row r="138" spans="1:2" x14ac:dyDescent="0.15">
      <c r="A138" s="2843">
        <v>43958</v>
      </c>
      <c r="B138" s="368">
        <v>9.7899999999999991</v>
      </c>
    </row>
    <row r="139" spans="1:2" x14ac:dyDescent="0.15">
      <c r="A139" s="2843">
        <v>43963</v>
      </c>
      <c r="B139" s="368">
        <v>9.85</v>
      </c>
    </row>
    <row r="140" spans="1:2" x14ac:dyDescent="0.15">
      <c r="A140" s="2843">
        <v>43965</v>
      </c>
      <c r="B140" s="368">
        <v>11.63</v>
      </c>
    </row>
    <row r="141" spans="1:2" x14ac:dyDescent="0.15">
      <c r="A141" s="2843">
        <v>43966</v>
      </c>
      <c r="B141" s="368">
        <v>8.82</v>
      </c>
    </row>
    <row r="142" spans="1:2" x14ac:dyDescent="0.15">
      <c r="A142" s="2843">
        <v>43970</v>
      </c>
      <c r="B142" s="368">
        <v>9.8000000000000007</v>
      </c>
    </row>
    <row r="143" spans="1:2" x14ac:dyDescent="0.15">
      <c r="A143" s="2843">
        <v>43973</v>
      </c>
      <c r="B143" s="368">
        <v>11.95</v>
      </c>
    </row>
    <row r="144" spans="1:2" x14ac:dyDescent="0.15">
      <c r="A144" s="2843">
        <v>43977</v>
      </c>
      <c r="B144" s="368">
        <v>10.79</v>
      </c>
    </row>
    <row r="145" spans="1:2" x14ac:dyDescent="0.15">
      <c r="A145" s="2843">
        <v>43979</v>
      </c>
      <c r="B145" s="368">
        <v>9.8800000000000008</v>
      </c>
    </row>
    <row r="146" spans="1:2" x14ac:dyDescent="0.15">
      <c r="A146" s="2843">
        <v>43981</v>
      </c>
      <c r="B146" s="368">
        <v>14.51</v>
      </c>
    </row>
    <row r="147" spans="1:2" x14ac:dyDescent="0.15">
      <c r="A147" s="2843">
        <v>43983</v>
      </c>
      <c r="B147" s="368">
        <v>9.49</v>
      </c>
    </row>
    <row r="148" spans="1:2" x14ac:dyDescent="0.15">
      <c r="A148" s="2843">
        <v>43991</v>
      </c>
      <c r="B148" s="368">
        <v>15.08</v>
      </c>
    </row>
    <row r="149" spans="1:2" x14ac:dyDescent="0.15">
      <c r="A149" s="2843">
        <v>43993</v>
      </c>
      <c r="B149" s="368">
        <v>12.22</v>
      </c>
    </row>
    <row r="150" spans="1:2" x14ac:dyDescent="0.15">
      <c r="A150" s="2843">
        <v>43994</v>
      </c>
      <c r="B150" s="368">
        <v>8.3800000000000008</v>
      </c>
    </row>
    <row r="151" spans="1:2" x14ac:dyDescent="0.15">
      <c r="A151" s="2843">
        <v>43998</v>
      </c>
      <c r="B151" s="368">
        <v>9.61</v>
      </c>
    </row>
    <row r="152" spans="1:2" x14ac:dyDescent="0.15">
      <c r="A152" s="2843">
        <v>44000</v>
      </c>
      <c r="B152" s="368">
        <v>13.19</v>
      </c>
    </row>
    <row r="153" spans="1:2" x14ac:dyDescent="0.15">
      <c r="A153" s="2843">
        <v>44007</v>
      </c>
      <c r="B153" s="368">
        <v>10.36</v>
      </c>
    </row>
    <row r="154" spans="1:2" x14ac:dyDescent="0.15">
      <c r="A154" s="2843">
        <v>44009</v>
      </c>
      <c r="B154" s="368">
        <v>16.899999999999999</v>
      </c>
    </row>
    <row r="155" spans="1:2" x14ac:dyDescent="0.15">
      <c r="A155" s="2843">
        <v>44012</v>
      </c>
      <c r="B155" s="368">
        <v>9.74</v>
      </c>
    </row>
    <row r="156" spans="1:2" x14ac:dyDescent="0.15">
      <c r="A156" s="2843">
        <v>44015</v>
      </c>
      <c r="B156" s="368">
        <v>8.73</v>
      </c>
    </row>
    <row r="157" spans="1:2" x14ac:dyDescent="0.15">
      <c r="A157" s="2843">
        <v>44017</v>
      </c>
      <c r="B157" s="368">
        <v>10.26</v>
      </c>
    </row>
    <row r="158" spans="1:2" x14ac:dyDescent="0.15">
      <c r="A158" s="2843">
        <v>44019</v>
      </c>
      <c r="B158" s="368">
        <v>16.239999999999998</v>
      </c>
    </row>
    <row r="159" spans="1:2" x14ac:dyDescent="0.15">
      <c r="A159" s="2843">
        <v>44022</v>
      </c>
      <c r="B159" s="368">
        <v>10.68</v>
      </c>
    </row>
    <row r="160" spans="1:2" x14ac:dyDescent="0.15">
      <c r="A160" s="2843">
        <v>44026</v>
      </c>
      <c r="B160" s="368">
        <v>15.32</v>
      </c>
    </row>
    <row r="161" spans="1:2" x14ac:dyDescent="0.15">
      <c r="A161" s="2843">
        <v>44029</v>
      </c>
      <c r="B161" s="368">
        <v>10.76</v>
      </c>
    </row>
    <row r="162" spans="1:2" x14ac:dyDescent="0.15">
      <c r="A162" s="2843">
        <v>44035</v>
      </c>
      <c r="B162" s="368">
        <v>5.38</v>
      </c>
    </row>
    <row r="163" spans="1:2" x14ac:dyDescent="0.15">
      <c r="A163" s="2843">
        <v>44037</v>
      </c>
      <c r="B163" s="368">
        <v>14.76</v>
      </c>
    </row>
    <row r="164" spans="1:2" x14ac:dyDescent="0.15">
      <c r="A164" s="2843">
        <v>44040</v>
      </c>
      <c r="B164" s="368">
        <v>10.41</v>
      </c>
    </row>
    <row r="165" spans="1:2" x14ac:dyDescent="0.15">
      <c r="A165" s="2843">
        <v>44042</v>
      </c>
      <c r="B165" s="368">
        <v>11.03</v>
      </c>
    </row>
    <row r="166" spans="1:2" x14ac:dyDescent="0.15">
      <c r="A166" s="2843">
        <v>44045</v>
      </c>
      <c r="B166" s="368">
        <v>14.86</v>
      </c>
    </row>
    <row r="167" spans="1:2" x14ac:dyDescent="0.15">
      <c r="A167" s="2843">
        <v>44047</v>
      </c>
      <c r="B167" s="368">
        <v>12.23</v>
      </c>
    </row>
    <row r="168" spans="1:2" x14ac:dyDescent="0.15">
      <c r="A168" s="2843">
        <v>44048</v>
      </c>
      <c r="B168" s="368">
        <v>9.2899999999999991</v>
      </c>
    </row>
    <row r="169" spans="1:2" x14ac:dyDescent="0.15">
      <c r="A169" s="2843">
        <v>44052</v>
      </c>
      <c r="B169" s="368">
        <v>20.43</v>
      </c>
    </row>
    <row r="170" spans="1:2" x14ac:dyDescent="0.15">
      <c r="A170" s="2843">
        <v>44054</v>
      </c>
      <c r="B170" s="368">
        <v>10.050000000000001</v>
      </c>
    </row>
    <row r="171" spans="1:2" x14ac:dyDescent="0.15">
      <c r="A171" s="2843">
        <v>44055</v>
      </c>
      <c r="B171" s="368">
        <v>9.7899999999999991</v>
      </c>
    </row>
    <row r="172" spans="1:2" x14ac:dyDescent="0.15">
      <c r="A172" s="2843">
        <v>44057</v>
      </c>
      <c r="B172" s="368">
        <v>10.7</v>
      </c>
    </row>
    <row r="173" spans="1:2" x14ac:dyDescent="0.15">
      <c r="A173" s="2843">
        <v>44061</v>
      </c>
      <c r="B173" s="368">
        <v>7.82</v>
      </c>
    </row>
    <row r="174" spans="1:2" x14ac:dyDescent="0.15">
      <c r="A174" s="2843">
        <v>44063</v>
      </c>
      <c r="B174" s="368">
        <v>9.67</v>
      </c>
    </row>
    <row r="175" spans="1:2" x14ac:dyDescent="0.15">
      <c r="A175" s="2843">
        <v>44065</v>
      </c>
      <c r="B175" s="368">
        <v>13.37</v>
      </c>
    </row>
    <row r="176" spans="1:2" x14ac:dyDescent="0.15">
      <c r="A176" s="2843">
        <v>44068</v>
      </c>
      <c r="B176" s="368">
        <v>10.210000000000001</v>
      </c>
    </row>
    <row r="177" spans="1:2" x14ac:dyDescent="0.15">
      <c r="A177" s="2843">
        <v>44070</v>
      </c>
      <c r="B177" s="368">
        <v>10</v>
      </c>
    </row>
    <row r="178" spans="1:2" x14ac:dyDescent="0.15">
      <c r="A178" s="2843">
        <v>44071</v>
      </c>
      <c r="B178" s="368">
        <v>10.06</v>
      </c>
    </row>
    <row r="179" spans="1:2" x14ac:dyDescent="0.15">
      <c r="A179" s="2843">
        <v>44073</v>
      </c>
      <c r="B179" s="368">
        <v>20.72</v>
      </c>
    </row>
    <row r="180" spans="1:2" x14ac:dyDescent="0.15">
      <c r="A180" s="2843">
        <v>44075</v>
      </c>
      <c r="B180" s="368">
        <v>10.220000000000001</v>
      </c>
    </row>
    <row r="181" spans="1:2" x14ac:dyDescent="0.15">
      <c r="A181" s="2843">
        <v>44077</v>
      </c>
      <c r="B181" s="368">
        <v>10.57</v>
      </c>
    </row>
    <row r="182" spans="1:2" x14ac:dyDescent="0.15">
      <c r="A182" s="2843">
        <v>44079</v>
      </c>
      <c r="B182" s="368">
        <v>9.64</v>
      </c>
    </row>
    <row r="183" spans="1:2" x14ac:dyDescent="0.15">
      <c r="A183" s="2843">
        <v>44080</v>
      </c>
      <c r="B183" s="368">
        <v>24.22</v>
      </c>
    </row>
    <row r="184" spans="1:2" x14ac:dyDescent="0.15">
      <c r="A184" s="2843">
        <v>44083</v>
      </c>
      <c r="B184" s="368">
        <v>9.8699999999999992</v>
      </c>
    </row>
    <row r="185" spans="1:2" x14ac:dyDescent="0.15">
      <c r="A185" s="2843">
        <v>44085</v>
      </c>
      <c r="B185" s="368">
        <v>9.85</v>
      </c>
    </row>
    <row r="186" spans="1:2" x14ac:dyDescent="0.15">
      <c r="A186" s="2843">
        <v>44087</v>
      </c>
      <c r="B186" s="368">
        <v>15.97</v>
      </c>
    </row>
    <row r="187" spans="1:2" x14ac:dyDescent="0.15">
      <c r="A187" s="2843">
        <v>44089</v>
      </c>
      <c r="B187" s="368">
        <v>9.56</v>
      </c>
    </row>
    <row r="188" spans="1:2" x14ac:dyDescent="0.15">
      <c r="A188" s="2843">
        <v>44091</v>
      </c>
      <c r="B188" s="368">
        <v>9.1199999999999992</v>
      </c>
    </row>
    <row r="189" spans="1:2" x14ac:dyDescent="0.15">
      <c r="A189" s="2843">
        <v>44092</v>
      </c>
      <c r="B189" s="368">
        <v>9.6199999999999992</v>
      </c>
    </row>
    <row r="190" spans="1:2" x14ac:dyDescent="0.15">
      <c r="A190" s="2843">
        <v>44094</v>
      </c>
      <c r="B190" s="368">
        <v>10.3</v>
      </c>
    </row>
    <row r="191" spans="1:2" x14ac:dyDescent="0.15">
      <c r="A191" s="2843">
        <v>44096</v>
      </c>
      <c r="B191" s="368">
        <v>9.73</v>
      </c>
    </row>
    <row r="192" spans="1:2" x14ac:dyDescent="0.15">
      <c r="A192" s="2843">
        <v>44097</v>
      </c>
      <c r="B192" s="368">
        <v>11.58</v>
      </c>
    </row>
    <row r="193" spans="1:2" x14ac:dyDescent="0.15">
      <c r="A193" s="2843">
        <v>44106</v>
      </c>
      <c r="B193" s="368">
        <v>12.97</v>
      </c>
    </row>
    <row r="194" spans="1:2" x14ac:dyDescent="0.15">
      <c r="A194" s="2843">
        <v>44107</v>
      </c>
      <c r="B194" s="368">
        <v>9.5</v>
      </c>
    </row>
    <row r="195" spans="1:2" x14ac:dyDescent="0.15">
      <c r="A195" s="2843">
        <v>44108</v>
      </c>
      <c r="B195" s="368">
        <v>24.25</v>
      </c>
    </row>
    <row r="196" spans="1:2" x14ac:dyDescent="0.15">
      <c r="A196" s="2843">
        <v>44110</v>
      </c>
      <c r="B196" s="368">
        <v>10.55</v>
      </c>
    </row>
    <row r="197" spans="1:2" x14ac:dyDescent="0.15">
      <c r="A197" s="2843">
        <v>44112</v>
      </c>
      <c r="B197" s="368">
        <v>11.62</v>
      </c>
    </row>
    <row r="198" spans="1:2" x14ac:dyDescent="0.15">
      <c r="A198" s="2843">
        <v>44115</v>
      </c>
      <c r="B198" s="368">
        <v>19.7</v>
      </c>
    </row>
    <row r="199" spans="1:2" x14ac:dyDescent="0.15">
      <c r="A199" s="2843">
        <v>44117</v>
      </c>
      <c r="B199" s="368">
        <v>10.02</v>
      </c>
    </row>
    <row r="200" spans="1:2" x14ac:dyDescent="0.15">
      <c r="A200" s="2843">
        <v>44119</v>
      </c>
      <c r="B200" s="368">
        <v>9.35</v>
      </c>
    </row>
    <row r="201" spans="1:2" x14ac:dyDescent="0.15">
      <c r="A201" s="2843">
        <v>44122</v>
      </c>
      <c r="B201" s="368">
        <v>10.199999999999999</v>
      </c>
    </row>
    <row r="202" spans="1:2" x14ac:dyDescent="0.15">
      <c r="A202" s="2843">
        <v>44124</v>
      </c>
      <c r="B202" s="368">
        <v>9.3699999999999992</v>
      </c>
    </row>
    <row r="203" spans="1:2" x14ac:dyDescent="0.15">
      <c r="A203" s="2843">
        <v>44127</v>
      </c>
      <c r="B203" s="368">
        <v>7.99</v>
      </c>
    </row>
    <row r="204" spans="1:2" x14ac:dyDescent="0.15">
      <c r="A204" s="2843">
        <v>44129</v>
      </c>
      <c r="B204" s="368">
        <v>13.61</v>
      </c>
    </row>
    <row r="205" spans="1:2" x14ac:dyDescent="0.15">
      <c r="A205" s="2843">
        <v>44136</v>
      </c>
      <c r="B205" s="368">
        <v>9.6999999999999993</v>
      </c>
    </row>
    <row r="206" spans="1:2" x14ac:dyDescent="0.15">
      <c r="A206" s="2843">
        <v>44139</v>
      </c>
      <c r="B206" s="368">
        <v>9.52</v>
      </c>
    </row>
    <row r="207" spans="1:2" x14ac:dyDescent="0.15">
      <c r="A207" s="2843">
        <v>44140</v>
      </c>
      <c r="B207" s="368">
        <v>9.56</v>
      </c>
    </row>
    <row r="208" spans="1:2" x14ac:dyDescent="0.15">
      <c r="A208" s="2843">
        <v>44142</v>
      </c>
      <c r="B208" s="368">
        <v>13.77</v>
      </c>
    </row>
    <row r="209" spans="1:2" x14ac:dyDescent="0.15">
      <c r="A209" s="2843">
        <v>44146</v>
      </c>
      <c r="B209" s="368">
        <v>9.2799999999999994</v>
      </c>
    </row>
    <row r="210" spans="1:2" x14ac:dyDescent="0.15">
      <c r="A210" s="2843">
        <v>44148</v>
      </c>
      <c r="B210" s="368">
        <v>11.66</v>
      </c>
    </row>
    <row r="211" spans="1:2" x14ac:dyDescent="0.15">
      <c r="A211" s="2843">
        <v>44150</v>
      </c>
      <c r="B211" s="368">
        <v>10.58</v>
      </c>
    </row>
    <row r="212" spans="1:2" x14ac:dyDescent="0.15">
      <c r="A212" s="2843">
        <v>44153</v>
      </c>
      <c r="B212" s="368">
        <v>10.69</v>
      </c>
    </row>
    <row r="213" spans="1:2" x14ac:dyDescent="0.15">
      <c r="A213" s="2843">
        <v>44157</v>
      </c>
      <c r="B213" s="368">
        <v>10.91</v>
      </c>
    </row>
    <row r="214" spans="1:2" x14ac:dyDescent="0.15">
      <c r="A214" s="2843">
        <v>44159</v>
      </c>
      <c r="B214" s="368">
        <v>10.210000000000001</v>
      </c>
    </row>
    <row r="215" spans="1:2" x14ac:dyDescent="0.15">
      <c r="A215" s="2843">
        <v>44161</v>
      </c>
      <c r="B215" s="368">
        <v>9.06</v>
      </c>
    </row>
    <row r="216" spans="1:2" x14ac:dyDescent="0.15">
      <c r="A216" s="2843">
        <v>44163</v>
      </c>
      <c r="B216" s="368">
        <v>10.050000000000001</v>
      </c>
    </row>
    <row r="217" spans="1:2" x14ac:dyDescent="0.15">
      <c r="A217" s="2843">
        <v>44165</v>
      </c>
      <c r="B217" s="368">
        <v>9.57</v>
      </c>
    </row>
    <row r="218" spans="1:2" x14ac:dyDescent="0.15">
      <c r="A218" s="2843">
        <v>44167</v>
      </c>
      <c r="B218" s="368">
        <v>9.36</v>
      </c>
    </row>
    <row r="219" spans="1:2" x14ac:dyDescent="0.15">
      <c r="A219" s="2843">
        <v>44168</v>
      </c>
      <c r="B219" s="368">
        <v>9.09</v>
      </c>
    </row>
    <row r="220" spans="1:2" x14ac:dyDescent="0.15">
      <c r="A220" s="2843">
        <v>44173</v>
      </c>
      <c r="B220" s="368">
        <v>10.09</v>
      </c>
    </row>
    <row r="221" spans="1:2" x14ac:dyDescent="0.15">
      <c r="A221" s="2843">
        <v>44175</v>
      </c>
      <c r="B221" s="368">
        <v>9.69</v>
      </c>
    </row>
    <row r="222" spans="1:2" x14ac:dyDescent="0.15">
      <c r="A222" s="2843">
        <v>44180</v>
      </c>
      <c r="B222" s="368">
        <v>10.5</v>
      </c>
    </row>
    <row r="223" spans="1:2" x14ac:dyDescent="0.15">
      <c r="A223" s="2843">
        <v>44182</v>
      </c>
      <c r="B223" s="368">
        <v>9.09</v>
      </c>
    </row>
    <row r="224" spans="1:2" x14ac:dyDescent="0.15">
      <c r="A224" s="2843">
        <v>44184</v>
      </c>
      <c r="B224" s="368">
        <v>10.41</v>
      </c>
    </row>
    <row r="225" spans="1:2" x14ac:dyDescent="0.15">
      <c r="A225" s="2843">
        <v>44186</v>
      </c>
      <c r="B225" s="368">
        <v>9.93</v>
      </c>
    </row>
    <row r="226" spans="1:2" x14ac:dyDescent="0.15">
      <c r="A226" s="2843">
        <v>44196</v>
      </c>
      <c r="B226" s="368">
        <v>7.62</v>
      </c>
    </row>
    <row r="227" spans="1:2" x14ac:dyDescent="0.15">
      <c r="A227" s="2843">
        <v>44198</v>
      </c>
      <c r="B227" s="368">
        <v>10.1</v>
      </c>
    </row>
    <row r="228" spans="1:2" x14ac:dyDescent="0.15">
      <c r="A228" s="2843">
        <v>44199</v>
      </c>
      <c r="B228" s="368">
        <v>10.7</v>
      </c>
    </row>
    <row r="229" spans="1:2" x14ac:dyDescent="0.15">
      <c r="A229" s="2843">
        <v>44203</v>
      </c>
      <c r="B229" s="368">
        <v>10.199999999999999</v>
      </c>
    </row>
    <row r="230" spans="1:2" x14ac:dyDescent="0.15">
      <c r="A230" s="2843">
        <v>44204</v>
      </c>
      <c r="B230" s="368">
        <v>7.9</v>
      </c>
    </row>
    <row r="231" spans="1:2" x14ac:dyDescent="0.15">
      <c r="A231" s="2843">
        <v>44208</v>
      </c>
      <c r="B231" s="368">
        <v>9.1199999999999992</v>
      </c>
    </row>
    <row r="232" spans="1:2" x14ac:dyDescent="0.15">
      <c r="A232" s="2843">
        <v>44210</v>
      </c>
      <c r="B232" s="368">
        <v>10.23</v>
      </c>
    </row>
    <row r="233" spans="1:2" x14ac:dyDescent="0.15">
      <c r="A233" s="2843">
        <v>44213</v>
      </c>
      <c r="B233" s="368">
        <v>15.73</v>
      </c>
    </row>
    <row r="234" spans="1:2" x14ac:dyDescent="0.15">
      <c r="A234" s="2843">
        <v>44216</v>
      </c>
      <c r="B234" s="368">
        <v>9.1300000000000008</v>
      </c>
    </row>
    <row r="235" spans="1:2" x14ac:dyDescent="0.15">
      <c r="A235" s="2843">
        <v>44218</v>
      </c>
      <c r="B235" s="368">
        <v>9.6300000000000008</v>
      </c>
    </row>
    <row r="236" spans="1:2" x14ac:dyDescent="0.15">
      <c r="A236" s="2843">
        <v>44222</v>
      </c>
      <c r="B236" s="368">
        <v>10.29</v>
      </c>
    </row>
    <row r="237" spans="1:2" x14ac:dyDescent="0.15">
      <c r="A237" s="2843">
        <v>44223</v>
      </c>
      <c r="B237" s="368">
        <v>11.3</v>
      </c>
    </row>
    <row r="238" spans="1:2" x14ac:dyDescent="0.15">
      <c r="A238" s="2843">
        <v>44225</v>
      </c>
      <c r="B238" s="368">
        <v>9.7100000000000009</v>
      </c>
    </row>
    <row r="239" spans="1:2" x14ac:dyDescent="0.15">
      <c r="A239" s="2843">
        <v>44227</v>
      </c>
      <c r="B239" s="368">
        <v>16.77</v>
      </c>
    </row>
    <row r="240" spans="1:2" x14ac:dyDescent="0.15">
      <c r="A240" s="2843">
        <v>44229</v>
      </c>
      <c r="B240" s="368">
        <v>9.9499999999999993</v>
      </c>
    </row>
    <row r="241" spans="1:2" x14ac:dyDescent="0.15">
      <c r="A241" s="2843">
        <v>44231</v>
      </c>
      <c r="B241" s="368">
        <v>12.71</v>
      </c>
    </row>
    <row r="242" spans="1:2" x14ac:dyDescent="0.15">
      <c r="A242" s="2843">
        <v>44232</v>
      </c>
      <c r="B242" s="368">
        <v>9.94</v>
      </c>
    </row>
    <row r="243" spans="1:2" x14ac:dyDescent="0.15">
      <c r="A243" s="2843">
        <v>44234</v>
      </c>
      <c r="B243" s="368">
        <v>16.78</v>
      </c>
    </row>
    <row r="244" spans="1:2" x14ac:dyDescent="0.15">
      <c r="A244" s="2843">
        <v>44237</v>
      </c>
      <c r="B244" s="368">
        <v>9.1199999999999992</v>
      </c>
    </row>
    <row r="245" spans="1:2" x14ac:dyDescent="0.15">
      <c r="A245" s="2843">
        <v>44239</v>
      </c>
      <c r="B245" s="368">
        <v>10.220000000000001</v>
      </c>
    </row>
    <row r="246" spans="1:2" x14ac:dyDescent="0.15">
      <c r="A246" s="2843">
        <v>44241</v>
      </c>
      <c r="B246" s="368">
        <v>10.56</v>
      </c>
    </row>
    <row r="247" spans="1:2" x14ac:dyDescent="0.15">
      <c r="A247" s="2843">
        <v>44243</v>
      </c>
      <c r="B247" s="368">
        <v>10.55</v>
      </c>
    </row>
    <row r="248" spans="1:2" x14ac:dyDescent="0.15">
      <c r="A248" s="2843">
        <v>44244</v>
      </c>
      <c r="B248" s="368">
        <v>12.45</v>
      </c>
    </row>
    <row r="249" spans="1:2" x14ac:dyDescent="0.15">
      <c r="A249" s="2843">
        <v>44245</v>
      </c>
      <c r="B249" s="368">
        <v>8.11</v>
      </c>
    </row>
    <row r="250" spans="1:2" x14ac:dyDescent="0.15">
      <c r="A250" s="2843">
        <v>44249</v>
      </c>
      <c r="B250" s="368">
        <v>10.32</v>
      </c>
    </row>
    <row r="251" spans="1:2" x14ac:dyDescent="0.15">
      <c r="A251" s="2843">
        <v>44251</v>
      </c>
      <c r="B251" s="368">
        <v>11.47</v>
      </c>
    </row>
    <row r="252" spans="1:2" x14ac:dyDescent="0.15">
      <c r="A252" s="2843">
        <v>44252</v>
      </c>
      <c r="B252" s="368">
        <v>9.39</v>
      </c>
    </row>
    <row r="253" spans="1:2" x14ac:dyDescent="0.15">
      <c r="A253" s="2843">
        <v>44256</v>
      </c>
      <c r="B253" s="368">
        <v>10.199999999999999</v>
      </c>
    </row>
    <row r="254" spans="1:2" x14ac:dyDescent="0.15">
      <c r="A254" s="2843">
        <v>44258</v>
      </c>
      <c r="B254" s="368">
        <v>12.47</v>
      </c>
    </row>
    <row r="255" spans="1:2" x14ac:dyDescent="0.15">
      <c r="A255" s="2843">
        <v>44259</v>
      </c>
      <c r="B255" s="368">
        <v>9.26</v>
      </c>
    </row>
    <row r="256" spans="1:2" x14ac:dyDescent="0.15">
      <c r="A256" s="2843">
        <v>44261</v>
      </c>
      <c r="B256" s="368">
        <v>19.04</v>
      </c>
    </row>
    <row r="257" spans="1:2" x14ac:dyDescent="0.15">
      <c r="A257" s="2843">
        <v>44263</v>
      </c>
      <c r="B257" s="368">
        <v>10.1</v>
      </c>
    </row>
    <row r="258" spans="1:2" x14ac:dyDescent="0.15">
      <c r="A258" s="2843">
        <v>44265</v>
      </c>
      <c r="B258" s="368">
        <v>9.5500000000000007</v>
      </c>
    </row>
    <row r="259" spans="1:2" x14ac:dyDescent="0.15">
      <c r="A259" s="2843">
        <v>44267</v>
      </c>
      <c r="B259" s="368">
        <v>10.61</v>
      </c>
    </row>
    <row r="260" spans="1:2" x14ac:dyDescent="0.15">
      <c r="A260" s="2843">
        <v>44269</v>
      </c>
      <c r="B260" s="368">
        <v>15.5</v>
      </c>
    </row>
    <row r="261" spans="1:2" x14ac:dyDescent="0.15">
      <c r="A261" s="2843">
        <v>44271</v>
      </c>
      <c r="B261" s="368">
        <v>8.2200000000000006</v>
      </c>
    </row>
    <row r="262" spans="1:2" x14ac:dyDescent="0.15">
      <c r="A262" s="2843">
        <v>44273</v>
      </c>
      <c r="B262" s="368">
        <v>9.52</v>
      </c>
    </row>
    <row r="263" spans="1:2" x14ac:dyDescent="0.15">
      <c r="A263" s="2843">
        <v>44275</v>
      </c>
      <c r="B263" s="368">
        <v>8.67</v>
      </c>
    </row>
    <row r="264" spans="1:2" x14ac:dyDescent="0.15">
      <c r="A264" s="2843">
        <v>44277</v>
      </c>
      <c r="B264" s="368">
        <v>9.7799999999999994</v>
      </c>
    </row>
    <row r="265" spans="1:2" x14ac:dyDescent="0.15">
      <c r="A265" s="2843">
        <v>44279</v>
      </c>
      <c r="B265" s="368">
        <v>8.4499999999999993</v>
      </c>
    </row>
    <row r="266" spans="1:2" x14ac:dyDescent="0.15">
      <c r="A266" s="2843">
        <v>44284</v>
      </c>
      <c r="B266" s="368">
        <v>8.1199999999999992</v>
      </c>
    </row>
    <row r="267" spans="1:2" x14ac:dyDescent="0.15">
      <c r="A267" s="2843">
        <v>44286</v>
      </c>
      <c r="B267" s="368">
        <v>8.4</v>
      </c>
    </row>
    <row r="268" spans="1:2" x14ac:dyDescent="0.15">
      <c r="A268" s="2843">
        <v>44288</v>
      </c>
      <c r="B268" s="368">
        <v>10</v>
      </c>
    </row>
    <row r="269" spans="1:2" x14ac:dyDescent="0.15">
      <c r="A269" s="2843">
        <v>44299</v>
      </c>
      <c r="B269" s="368">
        <v>8.3800000000000008</v>
      </c>
    </row>
    <row r="270" spans="1:2" x14ac:dyDescent="0.15">
      <c r="A270" s="2843">
        <v>44303</v>
      </c>
      <c r="B270" s="368">
        <v>10.4</v>
      </c>
    </row>
    <row r="271" spans="1:2" x14ac:dyDescent="0.15">
      <c r="A271" s="2843">
        <v>44306</v>
      </c>
      <c r="B271" s="368">
        <v>7.01</v>
      </c>
    </row>
    <row r="272" spans="1:2" x14ac:dyDescent="0.15">
      <c r="A272" s="2843">
        <v>44308</v>
      </c>
      <c r="B272" s="368">
        <v>8.64</v>
      </c>
    </row>
    <row r="273" spans="1:2" x14ac:dyDescent="0.15">
      <c r="A273" s="2843">
        <v>44310</v>
      </c>
      <c r="B273" s="368">
        <v>5</v>
      </c>
    </row>
    <row r="274" spans="1:2" x14ac:dyDescent="0.15">
      <c r="A274" s="2843">
        <v>44312</v>
      </c>
      <c r="B274" s="368">
        <v>7.9</v>
      </c>
    </row>
    <row r="275" spans="1:2" x14ac:dyDescent="0.15">
      <c r="A275" s="2843">
        <v>44314</v>
      </c>
      <c r="B275" s="368">
        <v>10.1</v>
      </c>
    </row>
    <row r="276" spans="1:2" x14ac:dyDescent="0.15">
      <c r="A276" s="2843">
        <v>44319</v>
      </c>
      <c r="B276" s="368">
        <v>9.77</v>
      </c>
    </row>
    <row r="277" spans="1:2" x14ac:dyDescent="0.15">
      <c r="A277" s="2843">
        <v>44320</v>
      </c>
      <c r="B277" s="368">
        <v>7.91</v>
      </c>
    </row>
    <row r="278" spans="1:2" x14ac:dyDescent="0.15">
      <c r="A278" s="2843">
        <v>44324</v>
      </c>
      <c r="B278" s="368">
        <v>8</v>
      </c>
    </row>
    <row r="279" spans="1:2" x14ac:dyDescent="0.15">
      <c r="A279" s="2843">
        <v>44338</v>
      </c>
      <c r="B279" s="368">
        <v>10.54</v>
      </c>
    </row>
    <row r="280" spans="1:2" x14ac:dyDescent="0.15">
      <c r="A280" s="2843">
        <v>44345</v>
      </c>
      <c r="B280" s="368">
        <v>10.6</v>
      </c>
    </row>
    <row r="281" spans="1:2" x14ac:dyDescent="0.15">
      <c r="A281" s="2843">
        <v>44348</v>
      </c>
      <c r="B281" s="368">
        <v>9.36</v>
      </c>
    </row>
    <row r="282" spans="1:2" x14ac:dyDescent="0.15">
      <c r="A282" s="2843">
        <v>44359</v>
      </c>
      <c r="B282" s="368">
        <v>8.68</v>
      </c>
    </row>
    <row r="283" spans="1:2" x14ac:dyDescent="0.15">
      <c r="A283" s="2843">
        <v>44362</v>
      </c>
      <c r="B283" s="368">
        <v>8.42</v>
      </c>
    </row>
    <row r="284" spans="1:2" x14ac:dyDescent="0.15">
      <c r="A284" s="2843">
        <v>44365</v>
      </c>
      <c r="B284" s="368">
        <v>8.36</v>
      </c>
    </row>
    <row r="285" spans="1:2" x14ac:dyDescent="0.15">
      <c r="A285" s="2843">
        <v>44368</v>
      </c>
      <c r="B285" s="368">
        <v>8.5</v>
      </c>
    </row>
    <row r="286" spans="1:2" x14ac:dyDescent="0.15">
      <c r="A286" s="2843">
        <v>44372</v>
      </c>
      <c r="B286" s="368">
        <v>6.71</v>
      </c>
    </row>
    <row r="287" spans="1:2" x14ac:dyDescent="0.15">
      <c r="A287" s="2843">
        <v>44377</v>
      </c>
      <c r="B287" s="368">
        <v>6.14</v>
      </c>
    </row>
    <row r="288" spans="1:2" x14ac:dyDescent="0.15">
      <c r="A288" s="2843">
        <v>44386</v>
      </c>
      <c r="B288" s="368">
        <v>8.32</v>
      </c>
    </row>
    <row r="289" spans="1:2" x14ac:dyDescent="0.15">
      <c r="A289" s="2843">
        <v>44403</v>
      </c>
      <c r="B289" s="368">
        <v>5.04</v>
      </c>
    </row>
    <row r="290" spans="1:2" x14ac:dyDescent="0.15">
      <c r="A290" s="2843">
        <v>44405</v>
      </c>
      <c r="B290" s="368">
        <v>6.25</v>
      </c>
    </row>
    <row r="291" spans="1:2" x14ac:dyDescent="0.15">
      <c r="A291" s="2843">
        <v>44409</v>
      </c>
      <c r="B291" s="368">
        <v>6.6</v>
      </c>
    </row>
    <row r="292" spans="1:2" x14ac:dyDescent="0.15">
      <c r="A292" s="2843">
        <v>44412</v>
      </c>
      <c r="B292" s="368">
        <v>6.96</v>
      </c>
    </row>
    <row r="293" spans="1:2" x14ac:dyDescent="0.15">
      <c r="A293" s="2843">
        <v>44414</v>
      </c>
      <c r="B293" s="368">
        <v>7.84</v>
      </c>
    </row>
    <row r="294" spans="1:2" x14ac:dyDescent="0.15">
      <c r="A294" s="2843">
        <v>44418</v>
      </c>
      <c r="B294" s="368">
        <v>10.1</v>
      </c>
    </row>
    <row r="295" spans="1:2" x14ac:dyDescent="0.15">
      <c r="A295" s="2843">
        <v>44425</v>
      </c>
      <c r="B295" s="368">
        <v>7.38</v>
      </c>
    </row>
    <row r="296" spans="1:2" x14ac:dyDescent="0.15">
      <c r="A296" s="2843">
        <v>44427</v>
      </c>
      <c r="B296" s="368">
        <v>7.13</v>
      </c>
    </row>
    <row r="297" spans="1:2" x14ac:dyDescent="0.15">
      <c r="A297" s="2843">
        <v>44432</v>
      </c>
      <c r="B297" s="368">
        <v>7.51</v>
      </c>
    </row>
    <row r="298" spans="1:2" x14ac:dyDescent="0.15">
      <c r="A298" s="2843">
        <v>44434</v>
      </c>
      <c r="B298" s="368">
        <v>8.33</v>
      </c>
    </row>
    <row r="299" spans="1:2" x14ac:dyDescent="0.15">
      <c r="A299" s="2843">
        <v>44439</v>
      </c>
      <c r="B299" s="368">
        <v>10.49</v>
      </c>
    </row>
    <row r="300" spans="1:2" x14ac:dyDescent="0.15">
      <c r="A300" s="2843">
        <v>44441</v>
      </c>
      <c r="B300" s="368">
        <v>8.9700000000000006</v>
      </c>
    </row>
    <row r="301" spans="1:2" x14ac:dyDescent="0.15">
      <c r="A301" s="2843">
        <v>44446</v>
      </c>
      <c r="B301" s="368">
        <v>11.3</v>
      </c>
    </row>
    <row r="302" spans="1:2" x14ac:dyDescent="0.15">
      <c r="A302" s="2843">
        <v>44451</v>
      </c>
      <c r="B302" s="368">
        <v>9.7100000000000009</v>
      </c>
    </row>
    <row r="303" spans="1:2" x14ac:dyDescent="0.15">
      <c r="A303" s="2843">
        <v>44453</v>
      </c>
      <c r="B303" s="368">
        <v>6.24</v>
      </c>
    </row>
    <row r="304" spans="1:2" x14ac:dyDescent="0.15">
      <c r="A304" s="2843">
        <v>44455</v>
      </c>
      <c r="B304" s="368">
        <v>7.46</v>
      </c>
    </row>
    <row r="305" spans="1:2" x14ac:dyDescent="0.15">
      <c r="A305" s="2843">
        <v>44459</v>
      </c>
      <c r="B305" s="368">
        <v>9.99</v>
      </c>
    </row>
    <row r="306" spans="1:2" x14ac:dyDescent="0.15">
      <c r="A306" s="2843">
        <v>44461</v>
      </c>
      <c r="B306" s="368">
        <v>8.9600000000000009</v>
      </c>
    </row>
    <row r="307" spans="1:2" x14ac:dyDescent="0.15">
      <c r="A307" s="2843">
        <v>44462</v>
      </c>
      <c r="B307" s="368">
        <v>7.4</v>
      </c>
    </row>
    <row r="308" spans="1:2" x14ac:dyDescent="0.15">
      <c r="A308" s="2843">
        <v>44464</v>
      </c>
      <c r="B308" s="368">
        <v>5.57</v>
      </c>
    </row>
    <row r="309" spans="1:2" x14ac:dyDescent="0.15">
      <c r="A309" s="2843">
        <v>44466</v>
      </c>
      <c r="B309" s="368">
        <v>10.8</v>
      </c>
    </row>
    <row r="310" spans="1:2" x14ac:dyDescent="0.15">
      <c r="A310" s="2843">
        <v>44468</v>
      </c>
      <c r="B310" s="368">
        <v>6.42</v>
      </c>
    </row>
    <row r="311" spans="1:2" x14ac:dyDescent="0.15">
      <c r="A311" s="2843">
        <v>44485</v>
      </c>
      <c r="B311" s="368">
        <v>6.26</v>
      </c>
    </row>
    <row r="312" spans="1:2" x14ac:dyDescent="0.15">
      <c r="A312" s="2843">
        <v>44487</v>
      </c>
      <c r="B312" s="368">
        <v>7.54</v>
      </c>
    </row>
    <row r="313" spans="1:2" x14ac:dyDescent="0.15">
      <c r="A313" s="2843">
        <v>44489</v>
      </c>
      <c r="B313" s="368">
        <v>8.01</v>
      </c>
    </row>
    <row r="314" spans="1:2" x14ac:dyDescent="0.15">
      <c r="A314" s="2843">
        <v>44497</v>
      </c>
      <c r="B314" s="368">
        <v>6.26</v>
      </c>
    </row>
    <row r="315" spans="1:2" x14ac:dyDescent="0.15">
      <c r="A315" s="2843">
        <v>44503</v>
      </c>
      <c r="B315" s="368">
        <v>6.28</v>
      </c>
    </row>
    <row r="316" spans="1:2" x14ac:dyDescent="0.15">
      <c r="A316" s="2843">
        <v>44506</v>
      </c>
      <c r="B316" s="368">
        <v>11.6</v>
      </c>
    </row>
    <row r="317" spans="1:2" x14ac:dyDescent="0.15">
      <c r="A317" s="2843">
        <v>44508</v>
      </c>
      <c r="B317" s="368">
        <v>6.13</v>
      </c>
    </row>
    <row r="318" spans="1:2" x14ac:dyDescent="0.15">
      <c r="A318" s="2843">
        <v>44510</v>
      </c>
      <c r="B318" s="368">
        <v>7.87</v>
      </c>
    </row>
    <row r="319" spans="1:2" x14ac:dyDescent="0.15">
      <c r="A319" s="2843">
        <v>44514</v>
      </c>
      <c r="B319" s="368">
        <v>9.73</v>
      </c>
    </row>
    <row r="320" spans="1:2" x14ac:dyDescent="0.15">
      <c r="A320" s="2843">
        <v>44519</v>
      </c>
      <c r="B320" s="368">
        <v>6.16</v>
      </c>
    </row>
    <row r="321" spans="1:2" x14ac:dyDescent="0.15">
      <c r="A321" s="2843">
        <v>44523</v>
      </c>
      <c r="B321" s="368">
        <v>10.6</v>
      </c>
    </row>
    <row r="322" spans="1:2" x14ac:dyDescent="0.15">
      <c r="A322" s="2843">
        <v>44528</v>
      </c>
      <c r="B322" s="368">
        <v>12.7</v>
      </c>
    </row>
    <row r="323" spans="1:2" x14ac:dyDescent="0.15">
      <c r="A323" s="2843">
        <v>44531</v>
      </c>
      <c r="B323" s="368">
        <v>7.96</v>
      </c>
    </row>
    <row r="324" spans="1:2" x14ac:dyDescent="0.15">
      <c r="A324" s="2843">
        <v>44537</v>
      </c>
      <c r="B324" s="368">
        <v>9.67</v>
      </c>
    </row>
    <row r="325" spans="1:2" x14ac:dyDescent="0.15">
      <c r="A325" s="2843">
        <v>44538</v>
      </c>
      <c r="B325" s="368">
        <v>6.83</v>
      </c>
    </row>
    <row r="326" spans="1:2" x14ac:dyDescent="0.15">
      <c r="A326" s="2843">
        <v>44540</v>
      </c>
      <c r="B326" s="368">
        <v>10.6</v>
      </c>
    </row>
    <row r="327" spans="1:2" x14ac:dyDescent="0.15">
      <c r="A327" s="2843">
        <v>44543</v>
      </c>
      <c r="B327" s="368">
        <v>7.02</v>
      </c>
    </row>
    <row r="328" spans="1:2" x14ac:dyDescent="0.15">
      <c r="A328" s="2843">
        <v>44545</v>
      </c>
      <c r="B328" s="368">
        <v>10.1</v>
      </c>
    </row>
    <row r="329" spans="1:2" x14ac:dyDescent="0.15">
      <c r="A329" s="2843">
        <v>44559</v>
      </c>
      <c r="B329" s="368">
        <v>7.1</v>
      </c>
    </row>
    <row r="330" spans="1:2" x14ac:dyDescent="0.15">
      <c r="A330" s="2843">
        <v>44561</v>
      </c>
      <c r="B330" s="368">
        <v>10.199999999999999</v>
      </c>
    </row>
    <row r="331" spans="1:2" x14ac:dyDescent="0.15">
      <c r="A331" s="2843">
        <v>44563</v>
      </c>
      <c r="B331" s="368">
        <v>10.7</v>
      </c>
    </row>
    <row r="332" spans="1:2" x14ac:dyDescent="0.15">
      <c r="A332" s="2843">
        <v>44565</v>
      </c>
      <c r="B332" s="368">
        <v>10.83</v>
      </c>
    </row>
    <row r="333" spans="1:2" x14ac:dyDescent="0.15">
      <c r="A333" s="2843">
        <v>44567</v>
      </c>
      <c r="B333" s="368">
        <v>10.64</v>
      </c>
    </row>
    <row r="334" spans="1:2" x14ac:dyDescent="0.15">
      <c r="A334" s="2843">
        <v>44569</v>
      </c>
      <c r="B334" s="368">
        <v>8.94</v>
      </c>
    </row>
    <row r="335" spans="1:2" x14ac:dyDescent="0.15">
      <c r="A335" s="2843">
        <v>44571</v>
      </c>
      <c r="B335" s="368">
        <v>8.31</v>
      </c>
    </row>
    <row r="336" spans="1:2" x14ac:dyDescent="0.15">
      <c r="A336" s="2843">
        <v>44572</v>
      </c>
      <c r="B336" s="368">
        <v>10.14</v>
      </c>
    </row>
    <row r="337" spans="1:2" x14ac:dyDescent="0.15">
      <c r="A337" s="2843">
        <v>44574</v>
      </c>
      <c r="B337" s="368">
        <v>10.130000000000001</v>
      </c>
    </row>
    <row r="338" spans="1:2" x14ac:dyDescent="0.15">
      <c r="A338" s="2843">
        <v>44578</v>
      </c>
      <c r="B338" s="368">
        <v>10.14</v>
      </c>
    </row>
    <row r="339" spans="1:2" x14ac:dyDescent="0.15">
      <c r="A339" s="2843">
        <v>44579</v>
      </c>
      <c r="B339" s="368">
        <v>10.44</v>
      </c>
    </row>
    <row r="340" spans="1:2" x14ac:dyDescent="0.15">
      <c r="A340" s="2843">
        <v>44581</v>
      </c>
      <c r="B340" s="368">
        <v>10.65</v>
      </c>
    </row>
    <row r="341" spans="1:2" x14ac:dyDescent="0.15">
      <c r="A341" s="2843">
        <v>44585</v>
      </c>
      <c r="B341" s="368">
        <v>10.63</v>
      </c>
    </row>
    <row r="342" spans="1:2" x14ac:dyDescent="0.15">
      <c r="A342" s="2843">
        <v>44586</v>
      </c>
      <c r="B342" s="368">
        <v>8.51</v>
      </c>
    </row>
    <row r="343" spans="1:2" x14ac:dyDescent="0.15">
      <c r="A343" s="2843">
        <v>44588</v>
      </c>
      <c r="B343" s="368">
        <v>12.74</v>
      </c>
    </row>
    <row r="344" spans="1:2" x14ac:dyDescent="0.15">
      <c r="A344" s="2843">
        <v>44590</v>
      </c>
      <c r="B344" s="368">
        <v>16.16</v>
      </c>
    </row>
    <row r="345" spans="1:2" x14ac:dyDescent="0.15">
      <c r="A345" s="2843">
        <v>44592</v>
      </c>
      <c r="B345" s="368">
        <v>7.84</v>
      </c>
    </row>
    <row r="346" spans="1:2" x14ac:dyDescent="0.15">
      <c r="A346" s="2843">
        <v>44594</v>
      </c>
      <c r="B346" s="368">
        <v>9.25</v>
      </c>
    </row>
    <row r="347" spans="1:2" x14ac:dyDescent="0.15">
      <c r="A347" s="2843">
        <v>44599</v>
      </c>
      <c r="B347" s="368">
        <v>10.130000000000001</v>
      </c>
    </row>
    <row r="348" spans="1:2" x14ac:dyDescent="0.15">
      <c r="A348" s="2843">
        <v>44600</v>
      </c>
      <c r="B348" s="368">
        <v>7.94</v>
      </c>
    </row>
    <row r="349" spans="1:2" x14ac:dyDescent="0.15">
      <c r="A349" s="2843">
        <v>44601</v>
      </c>
      <c r="B349" s="368">
        <v>10.07</v>
      </c>
    </row>
    <row r="350" spans="1:2" x14ac:dyDescent="0.15">
      <c r="A350" s="2843">
        <v>44602</v>
      </c>
      <c r="B350" s="368">
        <v>12.72</v>
      </c>
    </row>
    <row r="351" spans="1:2" x14ac:dyDescent="0.15">
      <c r="A351" s="2843">
        <v>44604</v>
      </c>
      <c r="B351" s="368">
        <v>18.14</v>
      </c>
    </row>
    <row r="352" spans="1:2" x14ac:dyDescent="0.15">
      <c r="A352" s="2843">
        <v>44606</v>
      </c>
      <c r="B352" s="368">
        <v>10.14</v>
      </c>
    </row>
    <row r="353" spans="1:2" x14ac:dyDescent="0.15">
      <c r="A353" s="2843">
        <v>44607</v>
      </c>
      <c r="B353" s="368">
        <v>8.16</v>
      </c>
    </row>
    <row r="354" spans="1:2" x14ac:dyDescent="0.15">
      <c r="A354" s="2843">
        <v>44608</v>
      </c>
      <c r="B354" s="368">
        <v>7.85</v>
      </c>
    </row>
    <row r="355" spans="1:2" x14ac:dyDescent="0.15">
      <c r="A355" s="2843">
        <v>44610</v>
      </c>
      <c r="B355" s="368">
        <v>13.24</v>
      </c>
    </row>
    <row r="356" spans="1:2" x14ac:dyDescent="0.15">
      <c r="A356" s="2843">
        <v>44611</v>
      </c>
      <c r="B356" s="368">
        <v>20</v>
      </c>
    </row>
    <row r="357" spans="1:2" x14ac:dyDescent="0.15">
      <c r="A357" s="2843">
        <v>44614</v>
      </c>
      <c r="B357" s="368">
        <v>12.57</v>
      </c>
    </row>
    <row r="358" spans="1:2" x14ac:dyDescent="0.15">
      <c r="A358" s="2843">
        <v>44615</v>
      </c>
      <c r="B358" s="368">
        <v>10.199999999999999</v>
      </c>
    </row>
    <row r="359" spans="1:2" x14ac:dyDescent="0.15">
      <c r="A359" s="2843">
        <v>44616</v>
      </c>
      <c r="B359" s="368">
        <v>12.3</v>
      </c>
    </row>
    <row r="360" spans="1:2" x14ac:dyDescent="0.15">
      <c r="A360" s="2843">
        <v>44617</v>
      </c>
      <c r="B360" s="368">
        <v>7.93</v>
      </c>
    </row>
    <row r="361" spans="1:2" x14ac:dyDescent="0.15">
      <c r="A361" s="367" t="s">
        <v>837</v>
      </c>
      <c r="B361" s="368">
        <v>0</v>
      </c>
    </row>
    <row r="362" spans="1:2" x14ac:dyDescent="0.15">
      <c r="A362" s="376" t="s">
        <v>3</v>
      </c>
      <c r="B362" s="368">
        <v>0</v>
      </c>
    </row>
    <row r="363" spans="1:2" x14ac:dyDescent="0.15">
      <c r="A363" s="367" t="s">
        <v>951</v>
      </c>
      <c r="B363" s="368">
        <v>3828.3599999999979</v>
      </c>
    </row>
  </sheetData>
  <pageMargins left="0.7" right="0.7" top="0.75" bottom="0.75" header="0.3" footer="0.3"/>
  <pageSetup paperSize="9" orientation="portrait" horizontalDpi="0" verticalDpi="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26503-AE53-48A7-8453-B976248A6568}">
  <dimension ref="A1:T367"/>
  <sheetViews>
    <sheetView workbookViewId="0">
      <selection activeCell="Q40" sqref="Q40"/>
    </sheetView>
  </sheetViews>
  <sheetFormatPr baseColWidth="10" defaultColWidth="8.83203125" defaultRowHeight="13" x14ac:dyDescent="0.15"/>
  <cols>
    <col min="1" max="1" width="10" bestFit="1" customWidth="1"/>
    <col min="2" max="2" width="6.5" style="368" bestFit="1" customWidth="1"/>
    <col min="3" max="3" width="5" style="368" bestFit="1" customWidth="1"/>
    <col min="4" max="4" width="4.1640625" style="368" bestFit="1" customWidth="1"/>
    <col min="5" max="5" width="4.5" style="368" bestFit="1" customWidth="1"/>
  </cols>
  <sheetData>
    <row r="1" spans="1:5" ht="14" thickBot="1" x14ac:dyDescent="0.2">
      <c r="A1" s="2878"/>
      <c r="B1" s="3068" t="s">
        <v>865</v>
      </c>
      <c r="C1" s="3068" t="s">
        <v>864</v>
      </c>
      <c r="D1" s="3068" t="s">
        <v>866</v>
      </c>
      <c r="E1" s="3069" t="s">
        <v>867</v>
      </c>
    </row>
    <row r="2" spans="1:5" x14ac:dyDescent="0.15">
      <c r="A2" s="2779">
        <v>45292</v>
      </c>
      <c r="B2" s="3070" t="str">
        <f>'2018+'!H2194</f>
        <v/>
      </c>
      <c r="C2" s="3071">
        <f>1642/365</f>
        <v>4.4986301369863018</v>
      </c>
      <c r="D2" s="3072">
        <v>0</v>
      </c>
      <c r="E2" s="3073">
        <v>0</v>
      </c>
    </row>
    <row r="3" spans="1:5" x14ac:dyDescent="0.15">
      <c r="A3" s="3074">
        <v>45293</v>
      </c>
      <c r="B3" s="3075">
        <f>SUM('2018+'!$H$2194:H2195)</f>
        <v>0</v>
      </c>
      <c r="C3" s="396">
        <f>C2+(1642/365)</f>
        <v>8.9972602739726035</v>
      </c>
      <c r="D3" s="3076">
        <f t="shared" ref="D3:D66" si="0">IF(B3-C3&gt;0,B3-C3,0)</f>
        <v>0</v>
      </c>
      <c r="E3" s="3077">
        <f>IF(B3-C3&lt;=0,B3-C3,0)</f>
        <v>-8.9972602739726035</v>
      </c>
    </row>
    <row r="4" spans="1:5" x14ac:dyDescent="0.15">
      <c r="A4" s="3074">
        <v>45294</v>
      </c>
      <c r="B4" s="3075">
        <f>SUM('2018+'!$H$2194:H2196)</f>
        <v>8.1</v>
      </c>
      <c r="C4" s="396">
        <f t="shared" ref="C4:C67" si="1">C3+(1642/365)</f>
        <v>13.495890410958905</v>
      </c>
      <c r="D4" s="3076">
        <f t="shared" si="0"/>
        <v>0</v>
      </c>
      <c r="E4" s="3077">
        <f t="shared" ref="E4:E66" si="2">IF(B4-C4&lt;=0,B4-C4,0)</f>
        <v>-5.3958904109589056</v>
      </c>
    </row>
    <row r="5" spans="1:5" x14ac:dyDescent="0.15">
      <c r="A5" s="3074">
        <v>45295</v>
      </c>
      <c r="B5" s="3075">
        <f>SUM('2018+'!$H$2194:H2197)</f>
        <v>8.1</v>
      </c>
      <c r="C5" s="396">
        <f t="shared" si="1"/>
        <v>17.994520547945207</v>
      </c>
      <c r="D5" s="394">
        <f t="shared" si="0"/>
        <v>0</v>
      </c>
      <c r="E5" s="395">
        <f t="shared" si="2"/>
        <v>-9.8945205479452074</v>
      </c>
    </row>
    <row r="6" spans="1:5" x14ac:dyDescent="0.15">
      <c r="A6" s="3074">
        <v>45296</v>
      </c>
      <c r="B6" s="3075">
        <f>SUM('2018+'!$H$2194:H2198)</f>
        <v>8.1</v>
      </c>
      <c r="C6" s="396">
        <f t="shared" si="1"/>
        <v>22.493150684931507</v>
      </c>
      <c r="D6" s="3076">
        <f t="shared" si="0"/>
        <v>0</v>
      </c>
      <c r="E6" s="3077">
        <f t="shared" si="2"/>
        <v>-14.393150684931507</v>
      </c>
    </row>
    <row r="7" spans="1:5" x14ac:dyDescent="0.15">
      <c r="A7" s="3074">
        <v>45297</v>
      </c>
      <c r="B7" s="3075">
        <f>SUM('2018+'!$H$2194:H2199)</f>
        <v>14.05</v>
      </c>
      <c r="C7" s="396">
        <f t="shared" si="1"/>
        <v>26.991780821917807</v>
      </c>
      <c r="D7" s="3076">
        <f t="shared" si="0"/>
        <v>0</v>
      </c>
      <c r="E7" s="3077">
        <f t="shared" si="2"/>
        <v>-12.941780821917806</v>
      </c>
    </row>
    <row r="8" spans="1:5" x14ac:dyDescent="0.15">
      <c r="A8" s="3074">
        <v>45298</v>
      </c>
      <c r="B8" s="3075">
        <f>SUM('2018+'!$H$2194:H2200)</f>
        <v>14.05</v>
      </c>
      <c r="C8" s="396">
        <f t="shared" si="1"/>
        <v>31.490410958904107</v>
      </c>
      <c r="D8" s="3076">
        <f t="shared" si="0"/>
        <v>0</v>
      </c>
      <c r="E8" s="3077">
        <f t="shared" si="2"/>
        <v>-17.440410958904106</v>
      </c>
    </row>
    <row r="9" spans="1:5" x14ac:dyDescent="0.15">
      <c r="A9" s="3074">
        <v>45299</v>
      </c>
      <c r="B9" s="3075">
        <f>SUM('2018+'!$H$2194:H2201)</f>
        <v>21</v>
      </c>
      <c r="C9" s="396">
        <f t="shared" si="1"/>
        <v>35.989041095890407</v>
      </c>
      <c r="D9" s="3076">
        <f t="shared" si="0"/>
        <v>0</v>
      </c>
      <c r="E9" s="3077">
        <f t="shared" si="2"/>
        <v>-14.989041095890407</v>
      </c>
    </row>
    <row r="10" spans="1:5" x14ac:dyDescent="0.15">
      <c r="A10" s="3074">
        <v>45300</v>
      </c>
      <c r="B10" s="3075">
        <f>SUM('2018+'!$H$2194:H2202)</f>
        <v>21</v>
      </c>
      <c r="C10" s="396">
        <f t="shared" si="1"/>
        <v>40.487671232876707</v>
      </c>
      <c r="D10" s="3076">
        <f t="shared" si="0"/>
        <v>0</v>
      </c>
      <c r="E10" s="3077">
        <f t="shared" si="2"/>
        <v>-19.487671232876707</v>
      </c>
    </row>
    <row r="11" spans="1:5" x14ac:dyDescent="0.15">
      <c r="A11" s="3074">
        <v>45301</v>
      </c>
      <c r="B11" s="3075">
        <f>SUM('2018+'!$H$2194:H2203)</f>
        <v>26.93</v>
      </c>
      <c r="C11" s="396">
        <f t="shared" si="1"/>
        <v>44.986301369863007</v>
      </c>
      <c r="D11" s="3076">
        <f t="shared" si="0"/>
        <v>0</v>
      </c>
      <c r="E11" s="3077">
        <f t="shared" si="2"/>
        <v>-18.056301369863007</v>
      </c>
    </row>
    <row r="12" spans="1:5" x14ac:dyDescent="0.15">
      <c r="A12" s="3074">
        <v>45302</v>
      </c>
      <c r="B12" s="3075">
        <f>SUM('2018+'!$H$2194:H2204)</f>
        <v>26.93</v>
      </c>
      <c r="C12" s="396">
        <f t="shared" si="1"/>
        <v>49.484931506849307</v>
      </c>
      <c r="D12" s="394">
        <f t="shared" si="0"/>
        <v>0</v>
      </c>
      <c r="E12" s="395">
        <f t="shared" si="2"/>
        <v>-22.554931506849307</v>
      </c>
    </row>
    <row r="13" spans="1:5" x14ac:dyDescent="0.15">
      <c r="A13" s="3074">
        <v>45303</v>
      </c>
      <c r="B13" s="3075">
        <f>SUM('2018+'!$H$2194:H2205)</f>
        <v>26.93</v>
      </c>
      <c r="C13" s="396">
        <f t="shared" si="1"/>
        <v>53.983561643835607</v>
      </c>
      <c r="D13" s="3076">
        <f t="shared" si="0"/>
        <v>0</v>
      </c>
      <c r="E13" s="3077">
        <f t="shared" si="2"/>
        <v>-27.053561643835607</v>
      </c>
    </row>
    <row r="14" spans="1:5" x14ac:dyDescent="0.15">
      <c r="A14" s="3074">
        <v>45304</v>
      </c>
      <c r="B14" s="3075">
        <f>SUM('2018+'!$H$2194:H2206)</f>
        <v>26.93</v>
      </c>
      <c r="C14" s="396">
        <f t="shared" si="1"/>
        <v>58.482191780821907</v>
      </c>
      <c r="D14" s="3076">
        <f t="shared" si="0"/>
        <v>0</v>
      </c>
      <c r="E14" s="3077">
        <f t="shared" si="2"/>
        <v>-31.552191780821907</v>
      </c>
    </row>
    <row r="15" spans="1:5" x14ac:dyDescent="0.15">
      <c r="A15" s="3074">
        <v>45305</v>
      </c>
      <c r="B15" s="3075">
        <f>SUM('2018+'!$H$2194:H2207)</f>
        <v>32.65</v>
      </c>
      <c r="C15" s="396">
        <f t="shared" si="1"/>
        <v>62.980821917808207</v>
      </c>
      <c r="D15" s="3076">
        <f t="shared" si="0"/>
        <v>0</v>
      </c>
      <c r="E15" s="3077">
        <f t="shared" si="2"/>
        <v>-30.330821917808208</v>
      </c>
    </row>
    <row r="16" spans="1:5" x14ac:dyDescent="0.15">
      <c r="A16" s="3074">
        <v>45306</v>
      </c>
      <c r="B16" s="3075">
        <f>SUM('2018+'!$H$2194:H2208)</f>
        <v>37.989999999999995</v>
      </c>
      <c r="C16" s="396">
        <f t="shared" si="1"/>
        <v>67.479452054794507</v>
      </c>
      <c r="D16" s="3076">
        <f t="shared" si="0"/>
        <v>0</v>
      </c>
      <c r="E16" s="3077">
        <f t="shared" si="2"/>
        <v>-29.489452054794512</v>
      </c>
    </row>
    <row r="17" spans="1:5" x14ac:dyDescent="0.15">
      <c r="A17" s="3074">
        <v>45307</v>
      </c>
      <c r="B17" s="3075">
        <f>SUM('2018+'!$H$2194:H2209)</f>
        <v>37.989999999999995</v>
      </c>
      <c r="C17" s="396">
        <f t="shared" si="1"/>
        <v>71.978082191780814</v>
      </c>
      <c r="D17" s="3076">
        <f t="shared" si="0"/>
        <v>0</v>
      </c>
      <c r="E17" s="3077">
        <f t="shared" si="2"/>
        <v>-33.988082191780819</v>
      </c>
    </row>
    <row r="18" spans="1:5" x14ac:dyDescent="0.15">
      <c r="A18" s="3074">
        <v>45308</v>
      </c>
      <c r="B18" s="3075">
        <f>SUM('2018+'!$H$2194:H2210)</f>
        <v>43.47</v>
      </c>
      <c r="C18" s="396">
        <f t="shared" si="1"/>
        <v>76.476712328767121</v>
      </c>
      <c r="D18" s="3076">
        <f t="shared" si="0"/>
        <v>0</v>
      </c>
      <c r="E18" s="3077">
        <f t="shared" si="2"/>
        <v>-33.006712328767122</v>
      </c>
    </row>
    <row r="19" spans="1:5" x14ac:dyDescent="0.15">
      <c r="A19" s="3074">
        <v>45309</v>
      </c>
      <c r="B19" s="3075">
        <f>SUM('2018+'!$H$2194:H2211)</f>
        <v>46.66</v>
      </c>
      <c r="C19" s="396">
        <f t="shared" si="1"/>
        <v>80.975342465753428</v>
      </c>
      <c r="D19" s="394">
        <f t="shared" si="0"/>
        <v>0</v>
      </c>
      <c r="E19" s="395">
        <f t="shared" si="2"/>
        <v>-34.315342465753432</v>
      </c>
    </row>
    <row r="20" spans="1:5" x14ac:dyDescent="0.15">
      <c r="A20" s="3074">
        <v>45310</v>
      </c>
      <c r="B20" s="3075">
        <f>SUM('2018+'!$H$2194:H2212)</f>
        <v>46.66</v>
      </c>
      <c r="C20" s="396">
        <f t="shared" si="1"/>
        <v>85.473972602739735</v>
      </c>
      <c r="D20" s="3076">
        <f t="shared" si="0"/>
        <v>0</v>
      </c>
      <c r="E20" s="3077">
        <f t="shared" si="2"/>
        <v>-38.813972602739739</v>
      </c>
    </row>
    <row r="21" spans="1:5" x14ac:dyDescent="0.15">
      <c r="A21" s="3074">
        <v>45311</v>
      </c>
      <c r="B21" s="3075">
        <f>SUM('2018+'!$H$2194:H2213)</f>
        <v>53.440711356530841</v>
      </c>
      <c r="C21" s="396">
        <f t="shared" si="1"/>
        <v>89.972602739726042</v>
      </c>
      <c r="D21" s="3076">
        <f t="shared" si="0"/>
        <v>0</v>
      </c>
      <c r="E21" s="3077">
        <f t="shared" si="2"/>
        <v>-36.531891383195202</v>
      </c>
    </row>
    <row r="22" spans="1:5" x14ac:dyDescent="0.15">
      <c r="A22" s="3074">
        <v>45312</v>
      </c>
      <c r="B22" s="3075">
        <f>SUM('2018+'!$H$2194:H2214)</f>
        <v>53.440711356530841</v>
      </c>
      <c r="C22" s="396">
        <f t="shared" si="1"/>
        <v>94.471232876712349</v>
      </c>
      <c r="D22" s="3076">
        <f t="shared" si="0"/>
        <v>0</v>
      </c>
      <c r="E22" s="3077">
        <f t="shared" si="2"/>
        <v>-41.030521520181509</v>
      </c>
    </row>
    <row r="23" spans="1:5" x14ac:dyDescent="0.15">
      <c r="A23" s="3074">
        <v>45313</v>
      </c>
      <c r="B23" s="3075">
        <f>SUM('2018+'!$H$2194:H2215)</f>
        <v>58.526244873928974</v>
      </c>
      <c r="C23" s="396">
        <f t="shared" si="1"/>
        <v>98.969863013698657</v>
      </c>
      <c r="D23" s="3076">
        <f t="shared" si="0"/>
        <v>0</v>
      </c>
      <c r="E23" s="3077">
        <f t="shared" si="2"/>
        <v>-40.443618139769683</v>
      </c>
    </row>
    <row r="24" spans="1:5" x14ac:dyDescent="0.15">
      <c r="A24" s="3074">
        <v>45314</v>
      </c>
      <c r="B24" s="3075">
        <f>SUM('2018+'!$H$2194:H2216)</f>
        <v>68.758868330919256</v>
      </c>
      <c r="C24" s="396">
        <f t="shared" si="1"/>
        <v>103.46849315068496</v>
      </c>
      <c r="D24" s="3076">
        <f t="shared" si="0"/>
        <v>0</v>
      </c>
      <c r="E24" s="3077">
        <f t="shared" si="2"/>
        <v>-34.709624819765708</v>
      </c>
    </row>
    <row r="25" spans="1:5" x14ac:dyDescent="0.15">
      <c r="A25" s="3074">
        <v>45315</v>
      </c>
      <c r="B25" s="3075">
        <f>SUM('2018+'!$H$2194:H2217)</f>
        <v>68.758868330919256</v>
      </c>
      <c r="C25" s="396">
        <f t="shared" si="1"/>
        <v>107.96712328767127</v>
      </c>
      <c r="D25" s="3076">
        <f t="shared" si="0"/>
        <v>0</v>
      </c>
      <c r="E25" s="3077">
        <f t="shared" si="2"/>
        <v>-39.208254956752015</v>
      </c>
    </row>
    <row r="26" spans="1:5" x14ac:dyDescent="0.15">
      <c r="A26" s="3074">
        <v>45316</v>
      </c>
      <c r="B26" s="3075">
        <f>SUM('2018+'!$H$2194:H2218)</f>
        <v>73.844401848317389</v>
      </c>
      <c r="C26" s="396">
        <f t="shared" si="1"/>
        <v>112.46575342465758</v>
      </c>
      <c r="D26" s="3076">
        <f t="shared" si="0"/>
        <v>0</v>
      </c>
      <c r="E26" s="3077">
        <f t="shared" si="2"/>
        <v>-38.621351576340189</v>
      </c>
    </row>
    <row r="27" spans="1:5" x14ac:dyDescent="0.15">
      <c r="A27" s="3074">
        <v>45317</v>
      </c>
      <c r="B27" s="3075">
        <f>SUM('2018+'!$H$2194:H2219)</f>
        <v>73.844401848317389</v>
      </c>
      <c r="C27" s="396">
        <f t="shared" si="1"/>
        <v>116.96438356164388</v>
      </c>
      <c r="D27" s="3076">
        <f t="shared" si="0"/>
        <v>0</v>
      </c>
      <c r="E27" s="3077">
        <f t="shared" si="2"/>
        <v>-43.119981713326496</v>
      </c>
    </row>
    <row r="28" spans="1:5" x14ac:dyDescent="0.15">
      <c r="A28" s="3074">
        <v>45318</v>
      </c>
      <c r="B28" s="3075">
        <f>SUM('2018+'!$H$2194:H2220)</f>
        <v>84.077025305307671</v>
      </c>
      <c r="C28" s="396">
        <f t="shared" si="1"/>
        <v>121.46301369863019</v>
      </c>
      <c r="D28" s="3076">
        <f t="shared" si="0"/>
        <v>0</v>
      </c>
      <c r="E28" s="3077">
        <f t="shared" si="2"/>
        <v>-37.385988393322521</v>
      </c>
    </row>
    <row r="29" spans="1:5" x14ac:dyDescent="0.15">
      <c r="A29" s="3074">
        <v>45319</v>
      </c>
      <c r="B29" s="3075">
        <f>SUM('2018+'!$H$2194:H2221)</f>
        <v>84.077025305307671</v>
      </c>
      <c r="C29" s="396">
        <f t="shared" si="1"/>
        <v>125.9616438356165</v>
      </c>
      <c r="D29" s="3076">
        <f t="shared" si="0"/>
        <v>0</v>
      </c>
      <c r="E29" s="3077">
        <f t="shared" si="2"/>
        <v>-41.884618530308828</v>
      </c>
    </row>
    <row r="30" spans="1:5" x14ac:dyDescent="0.15">
      <c r="A30" s="3074">
        <v>45320</v>
      </c>
      <c r="B30" s="3075">
        <f>SUM('2018+'!$H$2194:H2222)</f>
        <v>93.411330706770528</v>
      </c>
      <c r="C30" s="396">
        <f t="shared" si="1"/>
        <v>130.46027397260281</v>
      </c>
      <c r="D30" s="3076">
        <f t="shared" si="0"/>
        <v>0</v>
      </c>
      <c r="E30" s="3077">
        <f t="shared" si="2"/>
        <v>-37.048943265832278</v>
      </c>
    </row>
    <row r="31" spans="1:5" x14ac:dyDescent="0.15">
      <c r="A31" s="3074">
        <v>45321</v>
      </c>
      <c r="B31" s="3075">
        <f>SUM('2018+'!$H$2194:H2223)</f>
        <v>98.496864224168661</v>
      </c>
      <c r="C31" s="396">
        <f t="shared" si="1"/>
        <v>134.9589041095891</v>
      </c>
      <c r="D31" s="3076">
        <f t="shared" si="0"/>
        <v>0</v>
      </c>
      <c r="E31" s="3077">
        <f t="shared" si="2"/>
        <v>-36.462039885420438</v>
      </c>
    </row>
    <row r="32" spans="1:5" x14ac:dyDescent="0.15">
      <c r="A32" s="3074">
        <v>45322</v>
      </c>
      <c r="B32" s="3075">
        <f>SUM('2018+'!$H$2194:H2224)</f>
        <v>107.49686422416866</v>
      </c>
      <c r="C32" s="396">
        <f t="shared" si="1"/>
        <v>139.45753424657539</v>
      </c>
      <c r="D32" s="3076">
        <f t="shared" si="0"/>
        <v>0</v>
      </c>
      <c r="E32" s="3077">
        <f t="shared" si="2"/>
        <v>-31.960670022406731</v>
      </c>
    </row>
    <row r="33" spans="1:5" x14ac:dyDescent="0.15">
      <c r="A33" s="3074">
        <v>45323</v>
      </c>
      <c r="B33" s="3075">
        <f>SUM('2018+'!$H$2194:H2225)</f>
        <v>107.49686422416866</v>
      </c>
      <c r="C33" s="396">
        <f t="shared" si="1"/>
        <v>143.95616438356168</v>
      </c>
      <c r="D33" s="3076">
        <f t="shared" si="0"/>
        <v>0</v>
      </c>
      <c r="E33" s="3077">
        <f t="shared" si="2"/>
        <v>-36.459300159393024</v>
      </c>
    </row>
    <row r="34" spans="1:5" x14ac:dyDescent="0.15">
      <c r="A34" s="3074">
        <v>45324</v>
      </c>
      <c r="B34" s="3075">
        <f>SUM('2018+'!$H$2194:H2226)</f>
        <v>112.58239774156679</v>
      </c>
      <c r="C34" s="396">
        <f t="shared" si="1"/>
        <v>148.45479452054798</v>
      </c>
      <c r="D34" s="3076">
        <f t="shared" si="0"/>
        <v>0</v>
      </c>
      <c r="E34" s="3077">
        <f t="shared" si="2"/>
        <v>-35.872396778981184</v>
      </c>
    </row>
    <row r="35" spans="1:5" x14ac:dyDescent="0.15">
      <c r="A35" s="3074">
        <v>45325</v>
      </c>
      <c r="B35" s="3075">
        <f>SUM('2018+'!$H$2194:H2227)</f>
        <v>126.18239774156679</v>
      </c>
      <c r="C35" s="396">
        <f t="shared" si="1"/>
        <v>152.95342465753427</v>
      </c>
      <c r="D35" s="3076">
        <f t="shared" si="0"/>
        <v>0</v>
      </c>
      <c r="E35" s="3077">
        <f t="shared" si="2"/>
        <v>-26.771026915967482</v>
      </c>
    </row>
    <row r="36" spans="1:5" x14ac:dyDescent="0.15">
      <c r="A36" s="3074">
        <v>45326</v>
      </c>
      <c r="B36" s="3075">
        <f>SUM('2018+'!$H$2194:H2228)</f>
        <v>126.18239774156679</v>
      </c>
      <c r="C36" s="396">
        <f t="shared" si="1"/>
        <v>157.45205479452056</v>
      </c>
      <c r="D36" s="3076">
        <f t="shared" si="0"/>
        <v>0</v>
      </c>
      <c r="E36" s="3077">
        <f t="shared" si="2"/>
        <v>-31.269657052953775</v>
      </c>
    </row>
    <row r="37" spans="1:5" x14ac:dyDescent="0.15">
      <c r="A37" s="3074">
        <v>45327</v>
      </c>
      <c r="B37" s="3075">
        <f>SUM('2018+'!$H$2194:H2229)</f>
        <v>131.26793125896492</v>
      </c>
      <c r="C37" s="396">
        <f t="shared" si="1"/>
        <v>161.95068493150686</v>
      </c>
      <c r="D37" s="3076">
        <f t="shared" si="0"/>
        <v>0</v>
      </c>
      <c r="E37" s="3077">
        <f t="shared" si="2"/>
        <v>-30.682753672541935</v>
      </c>
    </row>
    <row r="38" spans="1:5" x14ac:dyDescent="0.15">
      <c r="A38" s="3074">
        <v>45328</v>
      </c>
      <c r="B38" s="3075">
        <f>SUM('2018+'!$H$2194:H2230)</f>
        <v>136.35346477636304</v>
      </c>
      <c r="C38" s="396">
        <f t="shared" si="1"/>
        <v>166.44931506849315</v>
      </c>
      <c r="D38" s="3076">
        <f t="shared" si="0"/>
        <v>0</v>
      </c>
      <c r="E38" s="3077">
        <f t="shared" si="2"/>
        <v>-30.095850292130109</v>
      </c>
    </row>
    <row r="39" spans="1:5" x14ac:dyDescent="0.15">
      <c r="A39" s="3074">
        <v>45329</v>
      </c>
      <c r="B39" s="3075">
        <f>SUM('2018+'!$H$2194:H2231)</f>
        <v>144.35346477636304</v>
      </c>
      <c r="C39" s="396">
        <f t="shared" si="1"/>
        <v>170.94794520547944</v>
      </c>
      <c r="D39" s="3076">
        <f t="shared" si="0"/>
        <v>0</v>
      </c>
      <c r="E39" s="3077">
        <f t="shared" si="2"/>
        <v>-26.594480429116402</v>
      </c>
    </row>
    <row r="40" spans="1:5" x14ac:dyDescent="0.15">
      <c r="A40" s="3074">
        <v>45330</v>
      </c>
      <c r="B40" s="3075">
        <f>SUM('2018+'!$H$2194:H2232)</f>
        <v>144.35346477636304</v>
      </c>
      <c r="C40" s="396">
        <f t="shared" si="1"/>
        <v>175.44657534246574</v>
      </c>
      <c r="D40" s="3076">
        <f t="shared" si="0"/>
        <v>0</v>
      </c>
      <c r="E40" s="3077">
        <f t="shared" si="2"/>
        <v>-31.093110566102695</v>
      </c>
    </row>
    <row r="41" spans="1:5" x14ac:dyDescent="0.15">
      <c r="A41" s="3074">
        <v>45331</v>
      </c>
      <c r="B41" s="3075">
        <f>SUM('2018+'!$H$2194:H2233)</f>
        <v>149.43899829376116</v>
      </c>
      <c r="C41" s="396">
        <f t="shared" si="1"/>
        <v>179.94520547945203</v>
      </c>
      <c r="D41" s="3076">
        <f t="shared" si="0"/>
        <v>0</v>
      </c>
      <c r="E41" s="3077">
        <f t="shared" si="2"/>
        <v>-30.506207185690869</v>
      </c>
    </row>
    <row r="42" spans="1:5" x14ac:dyDescent="0.15">
      <c r="A42" s="3074">
        <v>45332</v>
      </c>
      <c r="B42" s="3075">
        <f>SUM('2018+'!$H$2194:H2234)</f>
        <v>163.93899829376116</v>
      </c>
      <c r="C42" s="396">
        <f t="shared" si="1"/>
        <v>184.44383561643832</v>
      </c>
      <c r="D42" s="3076">
        <f t="shared" si="0"/>
        <v>0</v>
      </c>
      <c r="E42" s="3077">
        <f t="shared" si="2"/>
        <v>-20.504837322677162</v>
      </c>
    </row>
    <row r="43" spans="1:5" x14ac:dyDescent="0.15">
      <c r="A43" s="3074">
        <v>45333</v>
      </c>
      <c r="B43" s="3075">
        <f>SUM('2018+'!$H$2194:H2235)</f>
        <v>163.93899829376116</v>
      </c>
      <c r="C43" s="396">
        <f t="shared" si="1"/>
        <v>188.94246575342461</v>
      </c>
      <c r="D43" s="3076">
        <f t="shared" si="0"/>
        <v>0</v>
      </c>
      <c r="E43" s="3077">
        <f t="shared" si="2"/>
        <v>-25.003467459663455</v>
      </c>
    </row>
    <row r="44" spans="1:5" x14ac:dyDescent="0.15">
      <c r="A44" s="3074">
        <v>45334</v>
      </c>
      <c r="B44" s="3075">
        <f>SUM('2018+'!$H$2194:H2236)</f>
        <v>172.33899829376116</v>
      </c>
      <c r="C44" s="396">
        <f t="shared" si="1"/>
        <v>193.44109589041091</v>
      </c>
      <c r="D44" s="3076">
        <f t="shared" si="0"/>
        <v>0</v>
      </c>
      <c r="E44" s="3077">
        <f t="shared" si="2"/>
        <v>-21.102097596649742</v>
      </c>
    </row>
    <row r="45" spans="1:5" x14ac:dyDescent="0.15">
      <c r="A45" s="3074">
        <v>45335</v>
      </c>
      <c r="B45" s="3075">
        <f>SUM('2018+'!$H$2194:H2237)</f>
        <v>177.42453181115928</v>
      </c>
      <c r="C45" s="396">
        <f t="shared" si="1"/>
        <v>197.9397260273972</v>
      </c>
      <c r="D45" s="3076">
        <f t="shared" si="0"/>
        <v>0</v>
      </c>
      <c r="E45" s="3077">
        <f t="shared" si="2"/>
        <v>-20.515194216237916</v>
      </c>
    </row>
    <row r="46" spans="1:5" x14ac:dyDescent="0.15">
      <c r="A46" s="3074">
        <v>45336</v>
      </c>
      <c r="B46" s="3075">
        <f>SUM('2018+'!$H$2194:H2238)</f>
        <v>186.02453181115928</v>
      </c>
      <c r="C46" s="396">
        <f t="shared" si="1"/>
        <v>202.43835616438349</v>
      </c>
      <c r="D46" s="3076">
        <f t="shared" si="0"/>
        <v>0</v>
      </c>
      <c r="E46" s="3077">
        <f t="shared" si="2"/>
        <v>-16.413824353224214</v>
      </c>
    </row>
    <row r="47" spans="1:5" x14ac:dyDescent="0.15">
      <c r="A47" s="3074">
        <v>45337</v>
      </c>
      <c r="B47" s="3075">
        <f>SUM('2018+'!$H$2194:H2239)</f>
        <v>186.02453181115928</v>
      </c>
      <c r="C47" s="396">
        <f t="shared" si="1"/>
        <v>206.93698630136979</v>
      </c>
      <c r="D47" s="3076">
        <f t="shared" si="0"/>
        <v>0</v>
      </c>
      <c r="E47" s="3077">
        <f t="shared" si="2"/>
        <v>-20.912454490210507</v>
      </c>
    </row>
    <row r="48" spans="1:5" x14ac:dyDescent="0.15">
      <c r="A48" s="3074">
        <v>45338</v>
      </c>
      <c r="B48" s="3075">
        <f>SUM('2018+'!$H$2194:H2240)</f>
        <v>191.1100653285574</v>
      </c>
      <c r="C48" s="396">
        <f t="shared" si="1"/>
        <v>211.43561643835608</v>
      </c>
      <c r="D48" s="3076">
        <f t="shared" si="0"/>
        <v>0</v>
      </c>
      <c r="E48" s="3077">
        <f t="shared" si="2"/>
        <v>-20.325551109798681</v>
      </c>
    </row>
    <row r="49" spans="1:5" x14ac:dyDescent="0.15">
      <c r="A49" s="3074">
        <v>45339</v>
      </c>
      <c r="B49" s="3075">
        <f>SUM('2018+'!$H$2194:H2241)</f>
        <v>206.41006532855741</v>
      </c>
      <c r="C49" s="396">
        <f t="shared" si="1"/>
        <v>215.93424657534237</v>
      </c>
      <c r="D49" s="3076">
        <f t="shared" si="0"/>
        <v>0</v>
      </c>
      <c r="E49" s="3077">
        <f t="shared" si="2"/>
        <v>-9.5241812467849627</v>
      </c>
    </row>
    <row r="50" spans="1:5" x14ac:dyDescent="0.15">
      <c r="A50" s="3074">
        <v>45340</v>
      </c>
      <c r="B50" s="3075">
        <f>SUM('2018+'!$H$2194:H2242)</f>
        <v>206.41006532855741</v>
      </c>
      <c r="C50" s="396">
        <f t="shared" si="1"/>
        <v>220.43287671232866</v>
      </c>
      <c r="D50" s="3076">
        <f t="shared" si="0"/>
        <v>0</v>
      </c>
      <c r="E50" s="3077">
        <f t="shared" si="2"/>
        <v>-14.022811383771256</v>
      </c>
    </row>
    <row r="51" spans="1:5" x14ac:dyDescent="0.15">
      <c r="A51" s="3074">
        <v>45341</v>
      </c>
      <c r="B51" s="3075">
        <f>SUM('2018+'!$H$2194:H2243)</f>
        <v>211.49559884595553</v>
      </c>
      <c r="C51" s="396">
        <f t="shared" si="1"/>
        <v>224.93150684931496</v>
      </c>
      <c r="D51" s="3076">
        <f t="shared" si="0"/>
        <v>0</v>
      </c>
      <c r="E51" s="3077">
        <f t="shared" si="2"/>
        <v>-13.43590800335943</v>
      </c>
    </row>
    <row r="52" spans="1:5" x14ac:dyDescent="0.15">
      <c r="A52" s="3074">
        <v>45342</v>
      </c>
      <c r="B52" s="3075">
        <f>SUM('2018+'!$H$2194:H2244)</f>
        <v>216.58113236335365</v>
      </c>
      <c r="C52" s="396">
        <f t="shared" si="1"/>
        <v>229.43013698630125</v>
      </c>
      <c r="D52" s="3076">
        <f t="shared" si="0"/>
        <v>0</v>
      </c>
      <c r="E52" s="3077">
        <f t="shared" si="2"/>
        <v>-12.849004622947604</v>
      </c>
    </row>
    <row r="53" spans="1:5" x14ac:dyDescent="0.15">
      <c r="A53" s="3074">
        <v>45343</v>
      </c>
      <c r="B53" s="3075">
        <f>SUM('2018+'!$H$2194:H2245)</f>
        <v>223.48113236335365</v>
      </c>
      <c r="C53" s="396">
        <f t="shared" si="1"/>
        <v>233.92876712328754</v>
      </c>
      <c r="D53" s="3076">
        <f t="shared" si="0"/>
        <v>0</v>
      </c>
      <c r="E53" s="3077">
        <f t="shared" si="2"/>
        <v>-10.447634759933891</v>
      </c>
    </row>
    <row r="54" spans="1:5" x14ac:dyDescent="0.15">
      <c r="A54" s="3074">
        <v>45344</v>
      </c>
      <c r="B54" s="3075">
        <f>SUM('2018+'!$H$2194:H2246)</f>
        <v>223.48113236335365</v>
      </c>
      <c r="C54" s="396">
        <f t="shared" si="1"/>
        <v>238.42739726027384</v>
      </c>
      <c r="D54" s="3076">
        <f t="shared" si="0"/>
        <v>0</v>
      </c>
      <c r="E54" s="3077">
        <f t="shared" si="2"/>
        <v>-14.946264896920184</v>
      </c>
    </row>
    <row r="55" spans="1:5" x14ac:dyDescent="0.15">
      <c r="A55" s="3074">
        <v>45345</v>
      </c>
      <c r="B55" s="3075">
        <f>SUM('2018+'!$H$2194:H2247)</f>
        <v>228.56666588075177</v>
      </c>
      <c r="C55" s="396">
        <f t="shared" si="1"/>
        <v>242.92602739726013</v>
      </c>
      <c r="D55" s="3076">
        <f t="shared" si="0"/>
        <v>0</v>
      </c>
      <c r="E55" s="3077">
        <f t="shared" si="2"/>
        <v>-14.359361516508358</v>
      </c>
    </row>
    <row r="56" spans="1:5" x14ac:dyDescent="0.15">
      <c r="A56" s="3074">
        <v>45346</v>
      </c>
      <c r="B56" s="3075">
        <f>SUM('2018+'!$H$2194:H2248)</f>
        <v>236.56666588075177</v>
      </c>
      <c r="C56" s="396">
        <f t="shared" si="1"/>
        <v>247.42465753424642</v>
      </c>
      <c r="D56" s="3076">
        <f t="shared" si="0"/>
        <v>0</v>
      </c>
      <c r="E56" s="3077">
        <f t="shared" si="2"/>
        <v>-10.857991653494651</v>
      </c>
    </row>
    <row r="57" spans="1:5" x14ac:dyDescent="0.15">
      <c r="A57" s="3074">
        <v>45347</v>
      </c>
      <c r="B57" s="3075">
        <f>SUM('2018+'!$H$2194:H2249)</f>
        <v>236.56666588075177</v>
      </c>
      <c r="C57" s="396">
        <f t="shared" si="1"/>
        <v>251.92328767123271</v>
      </c>
      <c r="D57" s="3076">
        <f t="shared" si="0"/>
        <v>0</v>
      </c>
      <c r="E57" s="3077">
        <f t="shared" si="2"/>
        <v>-15.356621790480943</v>
      </c>
    </row>
    <row r="58" spans="1:5" x14ac:dyDescent="0.15">
      <c r="A58" s="3074">
        <v>45348</v>
      </c>
      <c r="B58" s="3075">
        <f>SUM('2018+'!$H$2194:H2250)</f>
        <v>245.56666588075177</v>
      </c>
      <c r="C58" s="396">
        <f t="shared" si="1"/>
        <v>256.42191780821901</v>
      </c>
      <c r="D58" s="3076">
        <f t="shared" si="0"/>
        <v>0</v>
      </c>
      <c r="E58" s="3077">
        <f t="shared" si="2"/>
        <v>-10.855251927467236</v>
      </c>
    </row>
    <row r="59" spans="1:5" x14ac:dyDescent="0.15">
      <c r="A59" s="3074">
        <v>45349</v>
      </c>
      <c r="B59" s="3075">
        <f>SUM('2018+'!$H$2194:H2251)</f>
        <v>250.65219939814989</v>
      </c>
      <c r="C59" s="396">
        <f t="shared" si="1"/>
        <v>260.92054794520533</v>
      </c>
      <c r="D59" s="3076">
        <f t="shared" si="0"/>
        <v>0</v>
      </c>
      <c r="E59" s="3077">
        <f t="shared" si="2"/>
        <v>-10.268348547055439</v>
      </c>
    </row>
    <row r="60" spans="1:5" x14ac:dyDescent="0.15">
      <c r="A60" s="3074">
        <v>45350</v>
      </c>
      <c r="B60" s="3075">
        <f>SUM('2018+'!$H$2194:H2252)</f>
        <v>260.15219939814989</v>
      </c>
      <c r="C60" s="396">
        <f t="shared" si="1"/>
        <v>265.41917808219165</v>
      </c>
      <c r="D60" s="3076">
        <f t="shared" si="0"/>
        <v>0</v>
      </c>
      <c r="E60" s="3077">
        <f t="shared" si="2"/>
        <v>-5.2669786840417601</v>
      </c>
    </row>
    <row r="61" spans="1:5" x14ac:dyDescent="0.15">
      <c r="A61" s="3074">
        <v>45351</v>
      </c>
      <c r="B61" s="3075">
        <f>SUM('2018+'!$H$2194:H2253)</f>
        <v>260.15219939814989</v>
      </c>
      <c r="C61" s="396">
        <f t="shared" si="1"/>
        <v>269.91780821917797</v>
      </c>
      <c r="D61" s="3076">
        <f t="shared" si="0"/>
        <v>0</v>
      </c>
      <c r="E61" s="3077">
        <f t="shared" si="2"/>
        <v>-9.7656088210280814</v>
      </c>
    </row>
    <row r="62" spans="1:5" x14ac:dyDescent="0.15">
      <c r="A62" s="3074">
        <v>45352</v>
      </c>
      <c r="B62" s="3075">
        <f>SUM('2018+'!$H$2194:H2254)</f>
        <v>265.23773291554801</v>
      </c>
      <c r="C62" s="396">
        <f t="shared" si="1"/>
        <v>274.41643835616429</v>
      </c>
      <c r="D62" s="3076">
        <f t="shared" si="0"/>
        <v>0</v>
      </c>
      <c r="E62" s="3077">
        <f t="shared" si="2"/>
        <v>-9.1787054406162838</v>
      </c>
    </row>
    <row r="63" spans="1:5" x14ac:dyDescent="0.15">
      <c r="A63" s="3074">
        <v>45353</v>
      </c>
      <c r="B63" s="3075">
        <f>SUM('2018+'!$H$2194:H2255)</f>
        <v>281.437732915548</v>
      </c>
      <c r="C63" s="396">
        <f t="shared" si="1"/>
        <v>278.91506849315061</v>
      </c>
      <c r="D63" s="3076">
        <f t="shared" si="0"/>
        <v>2.5226644223973835</v>
      </c>
      <c r="E63" s="3077">
        <f t="shared" si="2"/>
        <v>0</v>
      </c>
    </row>
    <row r="64" spans="1:5" x14ac:dyDescent="0.15">
      <c r="A64" s="3074">
        <v>45354</v>
      </c>
      <c r="B64" s="3075">
        <f>SUM('2018+'!$H$2194:H2256)</f>
        <v>281.437732915548</v>
      </c>
      <c r="C64" s="396">
        <f t="shared" si="1"/>
        <v>283.41369863013693</v>
      </c>
      <c r="D64" s="3076">
        <f t="shared" si="0"/>
        <v>0</v>
      </c>
      <c r="E64" s="3077">
        <f t="shared" si="2"/>
        <v>-1.9759657145889378</v>
      </c>
    </row>
    <row r="65" spans="1:5" x14ac:dyDescent="0.15">
      <c r="A65" s="3074">
        <v>45355</v>
      </c>
      <c r="B65" s="3075">
        <f>SUM('2018+'!$H$2194:H2257)</f>
        <v>286.52326643294612</v>
      </c>
      <c r="C65" s="396">
        <f t="shared" si="1"/>
        <v>287.91232876712326</v>
      </c>
      <c r="D65" s="3076">
        <f t="shared" si="0"/>
        <v>0</v>
      </c>
      <c r="E65" s="3077">
        <f t="shared" si="2"/>
        <v>-1.3890623341771402</v>
      </c>
    </row>
    <row r="66" spans="1:5" x14ac:dyDescent="0.15">
      <c r="A66" s="3074">
        <v>45356</v>
      </c>
      <c r="B66" s="3075">
        <f>SUM('2018+'!$H$2194:H2258)</f>
        <v>291.60879995034423</v>
      </c>
      <c r="C66" s="396">
        <f t="shared" si="1"/>
        <v>292.41095890410958</v>
      </c>
      <c r="D66" s="3076">
        <f t="shared" si="0"/>
        <v>0</v>
      </c>
      <c r="E66" s="3077">
        <f t="shared" si="2"/>
        <v>-0.80215895376534263</v>
      </c>
    </row>
    <row r="67" spans="1:5" x14ac:dyDescent="0.15">
      <c r="A67" s="3074">
        <v>45357</v>
      </c>
      <c r="B67" s="3075">
        <f>SUM('2018+'!$H$2194:H2259)</f>
        <v>300.10879995034423</v>
      </c>
      <c r="C67" s="396">
        <f t="shared" si="1"/>
        <v>296.9095890410959</v>
      </c>
      <c r="D67" s="3076">
        <f t="shared" ref="D67:D130" si="3">IF(B67-C67&gt;0,B67-C67,0)</f>
        <v>3.1992109092483361</v>
      </c>
      <c r="E67" s="3077">
        <f t="shared" ref="E67:E130" si="4">IF(B67-C67&lt;=0,B67-C67,0)</f>
        <v>0</v>
      </c>
    </row>
    <row r="68" spans="1:5" x14ac:dyDescent="0.15">
      <c r="A68" s="3074">
        <v>45358</v>
      </c>
      <c r="B68" s="3075">
        <f>SUM('2018+'!$H$2194:H2260)</f>
        <v>300.10879995034423</v>
      </c>
      <c r="C68" s="396">
        <f t="shared" ref="C68:C131" si="5">C67+(1642/365)</f>
        <v>301.40821917808222</v>
      </c>
      <c r="D68" s="3076">
        <f t="shared" si="3"/>
        <v>0</v>
      </c>
      <c r="E68" s="3077">
        <f t="shared" si="4"/>
        <v>-1.2994192277379852</v>
      </c>
    </row>
    <row r="69" spans="1:5" x14ac:dyDescent="0.15">
      <c r="A69" s="3074">
        <v>45359</v>
      </c>
      <c r="B69" s="3075">
        <f>SUM('2018+'!$H$2194:H2261)</f>
        <v>305.19433346774235</v>
      </c>
      <c r="C69" s="396">
        <f t="shared" si="5"/>
        <v>305.90684931506854</v>
      </c>
      <c r="D69" s="3076">
        <f t="shared" si="3"/>
        <v>0</v>
      </c>
      <c r="E69" s="3077">
        <f t="shared" si="4"/>
        <v>-0.71251584732618767</v>
      </c>
    </row>
    <row r="70" spans="1:5" x14ac:dyDescent="0.15">
      <c r="A70" s="3074">
        <v>45360</v>
      </c>
      <c r="B70" s="3075">
        <f>SUM('2018+'!$H$2194:H2262)</f>
        <v>322.19433346774235</v>
      </c>
      <c r="C70" s="396">
        <f t="shared" si="5"/>
        <v>310.40547945205486</v>
      </c>
      <c r="D70" s="3076">
        <f t="shared" si="3"/>
        <v>11.788854015687491</v>
      </c>
      <c r="E70" s="3077">
        <f t="shared" si="4"/>
        <v>0</v>
      </c>
    </row>
    <row r="71" spans="1:5" x14ac:dyDescent="0.15">
      <c r="A71" s="3074">
        <v>45361</v>
      </c>
      <c r="B71" s="3075">
        <f>SUM('2018+'!$H$2194:H2263)</f>
        <v>322.19433346774235</v>
      </c>
      <c r="C71" s="396">
        <f t="shared" si="5"/>
        <v>314.90410958904118</v>
      </c>
      <c r="D71" s="3076">
        <f t="shared" si="3"/>
        <v>7.2902238787011697</v>
      </c>
      <c r="E71" s="3077">
        <f t="shared" si="4"/>
        <v>0</v>
      </c>
    </row>
    <row r="72" spans="1:5" x14ac:dyDescent="0.15">
      <c r="A72" s="3074">
        <v>45362</v>
      </c>
      <c r="B72" s="3075">
        <f>SUM('2018+'!$H$2194:H2264)</f>
        <v>331.19433346774235</v>
      </c>
      <c r="C72" s="396">
        <f t="shared" si="5"/>
        <v>319.40273972602751</v>
      </c>
      <c r="D72" s="3076">
        <f t="shared" si="3"/>
        <v>11.791593741714848</v>
      </c>
      <c r="E72" s="3077">
        <f t="shared" si="4"/>
        <v>0</v>
      </c>
    </row>
    <row r="73" spans="1:5" x14ac:dyDescent="0.15">
      <c r="A73" s="3074">
        <v>45363</v>
      </c>
      <c r="B73" s="3075">
        <f>SUM('2018+'!$H$2194:H2265)</f>
        <v>336.27986698514047</v>
      </c>
      <c r="C73" s="396">
        <f t="shared" si="5"/>
        <v>323.90136986301383</v>
      </c>
      <c r="D73" s="3076">
        <f t="shared" si="3"/>
        <v>12.378497122126646</v>
      </c>
      <c r="E73" s="3077">
        <f t="shared" si="4"/>
        <v>0</v>
      </c>
    </row>
    <row r="74" spans="1:5" x14ac:dyDescent="0.15">
      <c r="A74" s="3074">
        <v>45364</v>
      </c>
      <c r="B74" s="3075">
        <f>SUM('2018+'!$H$2194:H2266)</f>
        <v>344.97986698514046</v>
      </c>
      <c r="C74" s="396">
        <f t="shared" si="5"/>
        <v>328.40000000000015</v>
      </c>
      <c r="D74" s="3076">
        <f t="shared" si="3"/>
        <v>16.579866985140313</v>
      </c>
      <c r="E74" s="3077">
        <f t="shared" si="4"/>
        <v>0</v>
      </c>
    </row>
    <row r="75" spans="1:5" x14ac:dyDescent="0.15">
      <c r="A75" s="3074">
        <v>45365</v>
      </c>
      <c r="B75" s="3075">
        <f>SUM('2018+'!$H$2194:H2267)</f>
        <v>344.97986698514046</v>
      </c>
      <c r="C75" s="396">
        <f t="shared" si="5"/>
        <v>332.89863013698647</v>
      </c>
      <c r="D75" s="3076">
        <f t="shared" si="3"/>
        <v>12.081236848153992</v>
      </c>
      <c r="E75" s="3077">
        <f t="shared" si="4"/>
        <v>0</v>
      </c>
    </row>
    <row r="76" spans="1:5" x14ac:dyDescent="0.15">
      <c r="A76" s="3074">
        <v>45366</v>
      </c>
      <c r="B76" s="3075">
        <f>SUM('2018+'!$H$2194:H2268)</f>
        <v>350.06540050253858</v>
      </c>
      <c r="C76" s="396">
        <f t="shared" si="5"/>
        <v>337.39726027397279</v>
      </c>
      <c r="D76" s="3076">
        <f t="shared" si="3"/>
        <v>12.66814022856579</v>
      </c>
      <c r="E76" s="3077">
        <f t="shared" si="4"/>
        <v>0</v>
      </c>
    </row>
    <row r="77" spans="1:5" x14ac:dyDescent="0.15">
      <c r="A77" s="3074">
        <v>45367</v>
      </c>
      <c r="B77" s="3075">
        <f>SUM('2018+'!$H$2194:H2269)</f>
        <v>367.96540050253856</v>
      </c>
      <c r="C77" s="396">
        <f t="shared" si="5"/>
        <v>341.89589041095911</v>
      </c>
      <c r="D77" s="3076">
        <f t="shared" si="3"/>
        <v>26.069510091579446</v>
      </c>
      <c r="E77" s="3077">
        <f t="shared" si="4"/>
        <v>0</v>
      </c>
    </row>
    <row r="78" spans="1:5" x14ac:dyDescent="0.15">
      <c r="A78" s="3074">
        <v>45368</v>
      </c>
      <c r="B78" s="3075">
        <f>SUM('2018+'!$H$2194:H2270)</f>
        <v>367.96540050253856</v>
      </c>
      <c r="C78" s="396">
        <f t="shared" si="5"/>
        <v>346.39452054794543</v>
      </c>
      <c r="D78" s="3076">
        <f t="shared" si="3"/>
        <v>21.570879954593124</v>
      </c>
      <c r="E78" s="3077">
        <f t="shared" si="4"/>
        <v>0</v>
      </c>
    </row>
    <row r="79" spans="1:5" x14ac:dyDescent="0.15">
      <c r="A79" s="3074">
        <v>45369</v>
      </c>
      <c r="B79" s="3075">
        <f>SUM('2018+'!$H$2194:H2271)</f>
        <v>373.05093401993668</v>
      </c>
      <c r="C79" s="396">
        <f t="shared" si="5"/>
        <v>350.89315068493175</v>
      </c>
      <c r="D79" s="3076">
        <f t="shared" si="3"/>
        <v>22.157783335004922</v>
      </c>
      <c r="E79" s="3077">
        <f t="shared" si="4"/>
        <v>0</v>
      </c>
    </row>
    <row r="80" spans="1:5" x14ac:dyDescent="0.15">
      <c r="A80" s="3074">
        <v>45370</v>
      </c>
      <c r="B80" s="3075">
        <f>SUM('2018+'!$H$2194:H2272)</f>
        <v>378.13646753733479</v>
      </c>
      <c r="C80" s="396">
        <f t="shared" si="5"/>
        <v>355.39178082191808</v>
      </c>
      <c r="D80" s="3076">
        <f t="shared" si="3"/>
        <v>22.744686715416719</v>
      </c>
      <c r="E80" s="3077">
        <f t="shared" si="4"/>
        <v>0</v>
      </c>
    </row>
    <row r="81" spans="1:5" x14ac:dyDescent="0.15">
      <c r="A81" s="3074">
        <v>45371</v>
      </c>
      <c r="B81" s="3075">
        <f>SUM('2018+'!$H$2194:H2273)</f>
        <v>384.83646753733478</v>
      </c>
      <c r="C81" s="396">
        <f t="shared" si="5"/>
        <v>359.8904109589044</v>
      </c>
      <c r="D81" s="3076">
        <f t="shared" si="3"/>
        <v>24.946056578430387</v>
      </c>
      <c r="E81" s="3077">
        <f t="shared" si="4"/>
        <v>0</v>
      </c>
    </row>
    <row r="82" spans="1:5" x14ac:dyDescent="0.15">
      <c r="A82" s="3074">
        <v>45372</v>
      </c>
      <c r="B82" s="3075">
        <f>SUM('2018+'!$H$2194:H2274)</f>
        <v>384.83646753733478</v>
      </c>
      <c r="C82" s="396">
        <f t="shared" si="5"/>
        <v>364.38904109589072</v>
      </c>
      <c r="D82" s="3076">
        <f t="shared" si="3"/>
        <v>20.447426441444065</v>
      </c>
      <c r="E82" s="3077">
        <f t="shared" si="4"/>
        <v>0</v>
      </c>
    </row>
    <row r="83" spans="1:5" x14ac:dyDescent="0.15">
      <c r="A83" s="3074">
        <v>45373</v>
      </c>
      <c r="B83" s="3075">
        <f>SUM('2018+'!$H$2194:H2275)</f>
        <v>389.9220010547329</v>
      </c>
      <c r="C83" s="396">
        <f t="shared" si="5"/>
        <v>368.88767123287704</v>
      </c>
      <c r="D83" s="3076">
        <f t="shared" si="3"/>
        <v>21.034329821855863</v>
      </c>
      <c r="E83" s="3077">
        <f t="shared" si="4"/>
        <v>0</v>
      </c>
    </row>
    <row r="84" spans="1:5" x14ac:dyDescent="0.15">
      <c r="A84" s="3074">
        <v>45374</v>
      </c>
      <c r="B84" s="3075">
        <f>SUM('2018+'!$H$2194:H2276)</f>
        <v>400.22200105473291</v>
      </c>
      <c r="C84" s="396">
        <f t="shared" si="5"/>
        <v>373.38630136986336</v>
      </c>
      <c r="D84" s="3076">
        <f t="shared" si="3"/>
        <v>26.835699684869553</v>
      </c>
      <c r="E84" s="3077">
        <f t="shared" si="4"/>
        <v>0</v>
      </c>
    </row>
    <row r="85" spans="1:5" x14ac:dyDescent="0.15">
      <c r="A85" s="3074">
        <v>45375</v>
      </c>
      <c r="B85" s="3075">
        <f>SUM('2018+'!$H$2194:H2277)</f>
        <v>400.22200105473291</v>
      </c>
      <c r="C85" s="396">
        <f t="shared" si="5"/>
        <v>377.88493150684968</v>
      </c>
      <c r="D85" s="3076">
        <f t="shared" si="3"/>
        <v>22.337069547883232</v>
      </c>
      <c r="E85" s="3077">
        <f t="shared" si="4"/>
        <v>0</v>
      </c>
    </row>
    <row r="86" spans="1:5" x14ac:dyDescent="0.15">
      <c r="A86" s="3074">
        <v>45376</v>
      </c>
      <c r="B86" s="3075">
        <f>SUM('2018+'!$H$2194:H2278)</f>
        <v>408.32200105473294</v>
      </c>
      <c r="C86" s="396">
        <f t="shared" si="5"/>
        <v>382.383561643836</v>
      </c>
      <c r="D86" s="3076">
        <f t="shared" si="3"/>
        <v>25.938439410896933</v>
      </c>
      <c r="E86" s="3077">
        <f t="shared" si="4"/>
        <v>0</v>
      </c>
    </row>
    <row r="87" spans="1:5" x14ac:dyDescent="0.15">
      <c r="A87" s="3074">
        <v>45377</v>
      </c>
      <c r="B87" s="3075">
        <f>SUM('2018+'!$H$2194:H2279)</f>
        <v>413.40753457213106</v>
      </c>
      <c r="C87" s="396">
        <f t="shared" si="5"/>
        <v>386.88219178082232</v>
      </c>
      <c r="D87" s="3076">
        <f t="shared" si="3"/>
        <v>26.525342791308731</v>
      </c>
      <c r="E87" s="3077">
        <f t="shared" si="4"/>
        <v>0</v>
      </c>
    </row>
    <row r="88" spans="1:5" x14ac:dyDescent="0.15">
      <c r="A88" s="3074">
        <v>45378</v>
      </c>
      <c r="B88" s="3075">
        <f>SUM('2018+'!$H$2194:H2280)</f>
        <v>422.90753457213106</v>
      </c>
      <c r="C88" s="396">
        <f t="shared" si="5"/>
        <v>391.38082191780865</v>
      </c>
      <c r="D88" s="3076">
        <f t="shared" si="3"/>
        <v>31.526712654322409</v>
      </c>
      <c r="E88" s="3077">
        <f t="shared" si="4"/>
        <v>0</v>
      </c>
    </row>
    <row r="89" spans="1:5" x14ac:dyDescent="0.15">
      <c r="A89" s="3074">
        <v>45379</v>
      </c>
      <c r="B89" s="3075">
        <f>SUM('2018+'!$H$2194:H2281)</f>
        <v>422.90753457213106</v>
      </c>
      <c r="C89" s="396">
        <f t="shared" si="5"/>
        <v>395.87945205479497</v>
      </c>
      <c r="D89" s="3076">
        <f t="shared" si="3"/>
        <v>27.028082517336088</v>
      </c>
      <c r="E89" s="3077">
        <f t="shared" si="4"/>
        <v>0</v>
      </c>
    </row>
    <row r="90" spans="1:5" x14ac:dyDescent="0.15">
      <c r="A90" s="3074">
        <v>45380</v>
      </c>
      <c r="B90" s="3075">
        <f>SUM('2018+'!$H$2194:H2282)</f>
        <v>427.99306808952917</v>
      </c>
      <c r="C90" s="396">
        <f t="shared" si="5"/>
        <v>400.37808219178129</v>
      </c>
      <c r="D90" s="3076">
        <f t="shared" si="3"/>
        <v>27.614985897747886</v>
      </c>
      <c r="E90" s="3077">
        <f t="shared" si="4"/>
        <v>0</v>
      </c>
    </row>
    <row r="91" spans="1:5" x14ac:dyDescent="0.15">
      <c r="A91" s="3074">
        <v>45381</v>
      </c>
      <c r="B91" s="3075">
        <f>SUM('2018+'!$H$2194:H2283)</f>
        <v>446.89306808952915</v>
      </c>
      <c r="C91" s="396">
        <f t="shared" si="5"/>
        <v>404.87671232876761</v>
      </c>
      <c r="D91" s="3076">
        <f t="shared" si="3"/>
        <v>42.016355760761542</v>
      </c>
      <c r="E91" s="3077">
        <f t="shared" si="4"/>
        <v>0</v>
      </c>
    </row>
    <row r="92" spans="1:5" x14ac:dyDescent="0.15">
      <c r="A92" s="3074">
        <v>45382</v>
      </c>
      <c r="B92" s="3075">
        <f>SUM('2018+'!$H$2194:H2284)</f>
        <v>446.89306808952915</v>
      </c>
      <c r="C92" s="396">
        <f t="shared" si="5"/>
        <v>409.37534246575393</v>
      </c>
      <c r="D92" s="3076">
        <f t="shared" si="3"/>
        <v>37.51772562377522</v>
      </c>
      <c r="E92" s="3077">
        <f t="shared" si="4"/>
        <v>0</v>
      </c>
    </row>
    <row r="93" spans="1:5" x14ac:dyDescent="0.15">
      <c r="A93" s="3074">
        <v>45383</v>
      </c>
      <c r="B93" s="3075">
        <f>SUM('2018+'!$H$2194:H2285)</f>
        <v>451.97860160692727</v>
      </c>
      <c r="C93" s="396">
        <f t="shared" si="5"/>
        <v>413.87397260274025</v>
      </c>
      <c r="D93" s="3076">
        <f t="shared" si="3"/>
        <v>38.104629004187018</v>
      </c>
      <c r="E93" s="3077">
        <f t="shared" si="4"/>
        <v>0</v>
      </c>
    </row>
    <row r="94" spans="1:5" x14ac:dyDescent="0.15">
      <c r="A94" s="3074">
        <v>45384</v>
      </c>
      <c r="B94" s="3075">
        <f>SUM('2018+'!$H$2194:H2286)</f>
        <v>457.06413512432539</v>
      </c>
      <c r="C94" s="396">
        <f t="shared" si="5"/>
        <v>418.37260273972657</v>
      </c>
      <c r="D94" s="3076">
        <f t="shared" si="3"/>
        <v>38.691532384598815</v>
      </c>
      <c r="E94" s="3077">
        <f t="shared" si="4"/>
        <v>0</v>
      </c>
    </row>
    <row r="95" spans="1:5" x14ac:dyDescent="0.15">
      <c r="A95" s="3074">
        <v>45385</v>
      </c>
      <c r="B95" s="3075">
        <f>SUM('2018+'!$H$2194:H2287)</f>
        <v>465.3641351243254</v>
      </c>
      <c r="C95" s="396">
        <f t="shared" si="5"/>
        <v>422.8712328767129</v>
      </c>
      <c r="D95" s="3076">
        <f t="shared" si="3"/>
        <v>42.492902247612506</v>
      </c>
      <c r="E95" s="3077">
        <f t="shared" si="4"/>
        <v>0</v>
      </c>
    </row>
    <row r="96" spans="1:5" x14ac:dyDescent="0.15">
      <c r="A96" s="3074">
        <v>45386</v>
      </c>
      <c r="B96" s="3075">
        <f>SUM('2018+'!$H$2194:H2288)</f>
        <v>465.3641351243254</v>
      </c>
      <c r="C96" s="396">
        <f t="shared" si="5"/>
        <v>427.36986301369922</v>
      </c>
      <c r="D96" s="3076">
        <f t="shared" si="3"/>
        <v>37.994272110626184</v>
      </c>
      <c r="E96" s="3077">
        <f t="shared" si="4"/>
        <v>0</v>
      </c>
    </row>
    <row r="97" spans="1:5" x14ac:dyDescent="0.15">
      <c r="A97" s="3074">
        <v>45387</v>
      </c>
      <c r="B97" s="3075">
        <f>SUM('2018+'!$H$2194:H2289)</f>
        <v>470.44966864172352</v>
      </c>
      <c r="C97" s="396">
        <f t="shared" si="5"/>
        <v>431.86849315068554</v>
      </c>
      <c r="D97" s="3076">
        <f t="shared" si="3"/>
        <v>38.581175491037982</v>
      </c>
      <c r="E97" s="3077">
        <f t="shared" si="4"/>
        <v>0</v>
      </c>
    </row>
    <row r="98" spans="1:5" x14ac:dyDescent="0.15">
      <c r="A98" s="3074">
        <v>45388</v>
      </c>
      <c r="B98" s="3075">
        <f>SUM('2018+'!$H$2194:H2290)</f>
        <v>490.04966864172354</v>
      </c>
      <c r="C98" s="396">
        <f t="shared" si="5"/>
        <v>436.36712328767186</v>
      </c>
      <c r="D98" s="3076">
        <f t="shared" si="3"/>
        <v>53.682545354051683</v>
      </c>
      <c r="E98" s="3077">
        <f t="shared" si="4"/>
        <v>0</v>
      </c>
    </row>
    <row r="99" spans="1:5" x14ac:dyDescent="0.15">
      <c r="A99" s="3074">
        <v>45389</v>
      </c>
      <c r="B99" s="3075">
        <f>SUM('2018+'!$H$2194:H2291)</f>
        <v>495.04966864172354</v>
      </c>
      <c r="C99" s="396">
        <f t="shared" si="5"/>
        <v>440.86575342465818</v>
      </c>
      <c r="D99" s="3076">
        <f t="shared" si="3"/>
        <v>54.183915217065362</v>
      </c>
      <c r="E99" s="3077">
        <f t="shared" si="4"/>
        <v>0</v>
      </c>
    </row>
    <row r="100" spans="1:5" x14ac:dyDescent="0.15">
      <c r="A100" s="3074">
        <v>45390</v>
      </c>
      <c r="B100" s="3075">
        <f>SUM('2018+'!$H$2194:H2292)</f>
        <v>499.84966864172355</v>
      </c>
      <c r="C100" s="396">
        <f t="shared" si="5"/>
        <v>445.3643835616445</v>
      </c>
      <c r="D100" s="3076">
        <f t="shared" si="3"/>
        <v>54.485285080079052</v>
      </c>
      <c r="E100" s="3077">
        <f t="shared" si="4"/>
        <v>0</v>
      </c>
    </row>
    <row r="101" spans="1:5" x14ac:dyDescent="0.15">
      <c r="A101" s="3074">
        <v>45391</v>
      </c>
      <c r="B101" s="3075">
        <f>SUM('2018+'!$H$2194:H2293)</f>
        <v>504.74966864172353</v>
      </c>
      <c r="C101" s="396">
        <f t="shared" si="5"/>
        <v>449.86301369863082</v>
      </c>
      <c r="D101" s="3076">
        <f t="shared" si="3"/>
        <v>54.886654943092708</v>
      </c>
      <c r="E101" s="3077">
        <f t="shared" si="4"/>
        <v>0</v>
      </c>
    </row>
    <row r="102" spans="1:5" x14ac:dyDescent="0.15">
      <c r="A102" s="3074">
        <v>45392</v>
      </c>
      <c r="B102" s="3075">
        <f>SUM('2018+'!$H$2194:H2294)</f>
        <v>512.44966864172352</v>
      </c>
      <c r="C102" s="396">
        <f t="shared" si="5"/>
        <v>454.36164383561714</v>
      </c>
      <c r="D102" s="3076">
        <f t="shared" si="3"/>
        <v>58.088024806106375</v>
      </c>
      <c r="E102" s="3077">
        <f t="shared" si="4"/>
        <v>0</v>
      </c>
    </row>
    <row r="103" spans="1:5" x14ac:dyDescent="0.15">
      <c r="A103" s="3074">
        <v>45393</v>
      </c>
      <c r="B103" s="3075">
        <f>SUM('2018+'!$H$2194:H2295)</f>
        <v>512.44966864172352</v>
      </c>
      <c r="C103" s="396">
        <f t="shared" si="5"/>
        <v>458.86027397260347</v>
      </c>
      <c r="D103" s="3076">
        <f t="shared" si="3"/>
        <v>53.589394669120054</v>
      </c>
      <c r="E103" s="3077">
        <f t="shared" si="4"/>
        <v>0</v>
      </c>
    </row>
    <row r="104" spans="1:5" x14ac:dyDescent="0.15">
      <c r="A104" s="3074">
        <v>45394</v>
      </c>
      <c r="B104" s="3075">
        <f>SUM('2018+'!$H$2194:H2296)</f>
        <v>517.3496686417235</v>
      </c>
      <c r="C104" s="396">
        <f t="shared" si="5"/>
        <v>463.35890410958979</v>
      </c>
      <c r="D104" s="3076">
        <f t="shared" si="3"/>
        <v>53.99076453213371</v>
      </c>
      <c r="E104" s="3077">
        <f t="shared" si="4"/>
        <v>0</v>
      </c>
    </row>
    <row r="105" spans="1:5" x14ac:dyDescent="0.15">
      <c r="A105" s="3074">
        <v>45395</v>
      </c>
      <c r="B105" s="3075">
        <f>SUM('2018+'!$H$2194:H2297)</f>
        <v>530.94966864172352</v>
      </c>
      <c r="C105" s="396">
        <f t="shared" si="5"/>
        <v>467.85753424657611</v>
      </c>
      <c r="D105" s="3076">
        <f t="shared" si="3"/>
        <v>63.092134395147411</v>
      </c>
      <c r="E105" s="3077">
        <f t="shared" si="4"/>
        <v>0</v>
      </c>
    </row>
    <row r="106" spans="1:5" x14ac:dyDescent="0.15">
      <c r="A106" s="3074">
        <v>45396</v>
      </c>
      <c r="B106" s="3075">
        <f>SUM('2018+'!$H$2194:H2298)</f>
        <v>530.94966864172352</v>
      </c>
      <c r="C106" s="396">
        <f t="shared" si="5"/>
        <v>472.35616438356243</v>
      </c>
      <c r="D106" s="3076">
        <f t="shared" si="3"/>
        <v>58.59350425816109</v>
      </c>
      <c r="E106" s="3077">
        <f t="shared" si="4"/>
        <v>0</v>
      </c>
    </row>
    <row r="107" spans="1:5" x14ac:dyDescent="0.15">
      <c r="A107" s="3074">
        <v>45397</v>
      </c>
      <c r="B107" s="3075">
        <f>SUM('2018+'!$H$2194:H2299)</f>
        <v>535.94966864172352</v>
      </c>
      <c r="C107" s="396">
        <f t="shared" si="5"/>
        <v>476.85479452054875</v>
      </c>
      <c r="D107" s="3076">
        <f t="shared" si="3"/>
        <v>59.094874121174769</v>
      </c>
      <c r="E107" s="3077">
        <f t="shared" si="4"/>
        <v>0</v>
      </c>
    </row>
    <row r="108" spans="1:5" x14ac:dyDescent="0.15">
      <c r="A108" s="3074">
        <v>45398</v>
      </c>
      <c r="B108" s="3075">
        <f>SUM('2018+'!$H$2194:H2300)</f>
        <v>539.24966864172347</v>
      </c>
      <c r="C108" s="396">
        <f t="shared" si="5"/>
        <v>481.35342465753507</v>
      </c>
      <c r="D108" s="3076">
        <f t="shared" si="3"/>
        <v>57.896243984188402</v>
      </c>
      <c r="E108" s="3077">
        <f t="shared" si="4"/>
        <v>0</v>
      </c>
    </row>
    <row r="109" spans="1:5" x14ac:dyDescent="0.15">
      <c r="A109" s="3074">
        <v>45399</v>
      </c>
      <c r="B109" s="3075">
        <f>SUM('2018+'!$H$2194:H2301)</f>
        <v>544.24966864172347</v>
      </c>
      <c r="C109" s="396">
        <f t="shared" si="5"/>
        <v>485.85205479452139</v>
      </c>
      <c r="D109" s="3076">
        <f t="shared" si="3"/>
        <v>58.397613847202081</v>
      </c>
      <c r="E109" s="3077">
        <f t="shared" si="4"/>
        <v>0</v>
      </c>
    </row>
    <row r="110" spans="1:5" x14ac:dyDescent="0.15">
      <c r="A110" s="3074">
        <v>45400</v>
      </c>
      <c r="B110" s="3075">
        <f>SUM('2018+'!$H$2194:H2302)</f>
        <v>544.24966864172347</v>
      </c>
      <c r="C110" s="396">
        <f t="shared" si="5"/>
        <v>490.35068493150771</v>
      </c>
      <c r="D110" s="3076">
        <f t="shared" si="3"/>
        <v>53.898983710215759</v>
      </c>
      <c r="E110" s="3077">
        <f t="shared" si="4"/>
        <v>0</v>
      </c>
    </row>
    <row r="111" spans="1:5" x14ac:dyDescent="0.15">
      <c r="A111" s="3074">
        <v>45401</v>
      </c>
      <c r="B111" s="3075">
        <f>SUM('2018+'!$H$2194:H2303)</f>
        <v>547.54966864172343</v>
      </c>
      <c r="C111" s="396">
        <f t="shared" si="5"/>
        <v>494.84931506849404</v>
      </c>
      <c r="D111" s="3078">
        <f t="shared" si="3"/>
        <v>52.700353573229393</v>
      </c>
      <c r="E111" s="3079">
        <f t="shared" si="4"/>
        <v>0</v>
      </c>
    </row>
    <row r="112" spans="1:5" x14ac:dyDescent="0.15">
      <c r="A112" s="3074">
        <v>45402</v>
      </c>
      <c r="B112" s="3075">
        <f>SUM('2018+'!$H$2194:H2304)</f>
        <v>547.54966864172343</v>
      </c>
      <c r="C112" s="396">
        <f t="shared" si="5"/>
        <v>499.34794520548036</v>
      </c>
      <c r="D112" s="3078">
        <f t="shared" si="3"/>
        <v>48.201723436243071</v>
      </c>
      <c r="E112" s="3079">
        <f t="shared" si="4"/>
        <v>0</v>
      </c>
    </row>
    <row r="113" spans="1:5" x14ac:dyDescent="0.15">
      <c r="A113" s="3074">
        <v>45403</v>
      </c>
      <c r="B113" s="3075">
        <f>SUM('2018+'!$H$2194:H2305)</f>
        <v>557.54966864172343</v>
      </c>
      <c r="C113" s="396">
        <f t="shared" si="5"/>
        <v>503.84657534246668</v>
      </c>
      <c r="D113" s="3078">
        <f t="shared" si="3"/>
        <v>53.70309329925675</v>
      </c>
      <c r="E113" s="3079">
        <f t="shared" si="4"/>
        <v>0</v>
      </c>
    </row>
    <row r="114" spans="1:5" x14ac:dyDescent="0.15">
      <c r="A114" s="3074">
        <v>45404</v>
      </c>
      <c r="B114" s="3075">
        <f>SUM('2018+'!$H$2194:H2306)</f>
        <v>557.54966864172343</v>
      </c>
      <c r="C114" s="396">
        <f t="shared" si="5"/>
        <v>508.345205479453</v>
      </c>
      <c r="D114" s="3078">
        <f t="shared" si="3"/>
        <v>49.204463162270429</v>
      </c>
      <c r="E114" s="3079">
        <f t="shared" si="4"/>
        <v>0</v>
      </c>
    </row>
    <row r="115" spans="1:5" x14ac:dyDescent="0.15">
      <c r="A115" s="3074">
        <v>45405</v>
      </c>
      <c r="B115" s="3075">
        <f>SUM('2018+'!$H$2194:H2307)</f>
        <v>557.54966864172343</v>
      </c>
      <c r="C115" s="396">
        <f t="shared" si="5"/>
        <v>512.84383561643926</v>
      </c>
      <c r="D115" s="3078">
        <f t="shared" si="3"/>
        <v>44.705833025284164</v>
      </c>
      <c r="E115" s="3079">
        <f t="shared" si="4"/>
        <v>0</v>
      </c>
    </row>
    <row r="116" spans="1:5" x14ac:dyDescent="0.15">
      <c r="A116" s="3074">
        <v>45406</v>
      </c>
      <c r="B116" s="3075">
        <f>SUM('2018+'!$H$2194:H2308)</f>
        <v>557.54966864172343</v>
      </c>
      <c r="C116" s="396">
        <f t="shared" si="5"/>
        <v>517.34246575342559</v>
      </c>
      <c r="D116" s="3078">
        <f t="shared" si="3"/>
        <v>40.207202888297843</v>
      </c>
      <c r="E116" s="3079">
        <f t="shared" si="4"/>
        <v>0</v>
      </c>
    </row>
    <row r="117" spans="1:5" x14ac:dyDescent="0.15">
      <c r="A117" s="3074">
        <v>45407</v>
      </c>
      <c r="B117" s="3075">
        <f>SUM('2018+'!$H$2194:H2309)</f>
        <v>557.54966864172343</v>
      </c>
      <c r="C117" s="396">
        <f t="shared" si="5"/>
        <v>521.84109589041191</v>
      </c>
      <c r="D117" s="3076">
        <f t="shared" si="3"/>
        <v>35.708572751311522</v>
      </c>
      <c r="E117" s="3077">
        <f t="shared" si="4"/>
        <v>0</v>
      </c>
    </row>
    <row r="118" spans="1:5" x14ac:dyDescent="0.15">
      <c r="A118" s="3074">
        <v>45408</v>
      </c>
      <c r="B118" s="3075">
        <f>SUM('2018+'!$H$2194:H2310)</f>
        <v>557.54966864172343</v>
      </c>
      <c r="C118" s="396">
        <f t="shared" si="5"/>
        <v>526.33972602739823</v>
      </c>
      <c r="D118" s="3076">
        <f t="shared" si="3"/>
        <v>31.2099426143252</v>
      </c>
      <c r="E118" s="3077">
        <f t="shared" si="4"/>
        <v>0</v>
      </c>
    </row>
    <row r="119" spans="1:5" x14ac:dyDescent="0.15">
      <c r="A119" s="3074">
        <v>45409</v>
      </c>
      <c r="B119" s="3075">
        <f>SUM('2018+'!$H$2194:H2311)</f>
        <v>557.54966864172343</v>
      </c>
      <c r="C119" s="396">
        <f t="shared" si="5"/>
        <v>530.83835616438455</v>
      </c>
      <c r="D119" s="3076">
        <f t="shared" si="3"/>
        <v>26.711312477338879</v>
      </c>
      <c r="E119" s="3077">
        <f t="shared" si="4"/>
        <v>0</v>
      </c>
    </row>
    <row r="120" spans="1:5" x14ac:dyDescent="0.15">
      <c r="A120" s="3074">
        <v>45410</v>
      </c>
      <c r="B120" s="3075">
        <f>SUM('2018+'!$H$2194:H2312)</f>
        <v>557.54966864172343</v>
      </c>
      <c r="C120" s="396">
        <f t="shared" si="5"/>
        <v>535.33698630137087</v>
      </c>
      <c r="D120" s="3076">
        <f t="shared" si="3"/>
        <v>22.212682340352558</v>
      </c>
      <c r="E120" s="3077">
        <f t="shared" si="4"/>
        <v>0</v>
      </c>
    </row>
    <row r="121" spans="1:5" x14ac:dyDescent="0.15">
      <c r="A121" s="3074">
        <v>45411</v>
      </c>
      <c r="B121" s="3075">
        <f>SUM('2018+'!$H$2194:H2313)</f>
        <v>562.6352021591216</v>
      </c>
      <c r="C121" s="396">
        <f t="shared" si="5"/>
        <v>539.83561643835719</v>
      </c>
      <c r="D121" s="3076">
        <f t="shared" si="3"/>
        <v>22.799585720764412</v>
      </c>
      <c r="E121" s="3077">
        <f t="shared" si="4"/>
        <v>0</v>
      </c>
    </row>
    <row r="122" spans="1:5" x14ac:dyDescent="0.15">
      <c r="A122" s="3074">
        <v>45412</v>
      </c>
      <c r="B122" s="3075">
        <f>SUM('2018+'!$H$2194:H2314)</f>
        <v>562.6352021591216</v>
      </c>
      <c r="C122" s="396">
        <f t="shared" si="5"/>
        <v>544.33424657534351</v>
      </c>
      <c r="D122" s="3076">
        <f t="shared" si="3"/>
        <v>18.300955583778091</v>
      </c>
      <c r="E122" s="3077">
        <f t="shared" si="4"/>
        <v>0</v>
      </c>
    </row>
    <row r="123" spans="1:5" x14ac:dyDescent="0.15">
      <c r="A123" s="3074">
        <v>45413</v>
      </c>
      <c r="B123" s="3075">
        <f>SUM('2018+'!$H$2194:H2315)</f>
        <v>569.41591351565239</v>
      </c>
      <c r="C123" s="396">
        <f t="shared" si="5"/>
        <v>548.83287671232983</v>
      </c>
      <c r="D123" s="3076">
        <f t="shared" si="3"/>
        <v>20.583036803322557</v>
      </c>
      <c r="E123" s="3077">
        <f t="shared" si="4"/>
        <v>0</v>
      </c>
    </row>
    <row r="124" spans="1:5" x14ac:dyDescent="0.15">
      <c r="A124" s="3074">
        <v>45414</v>
      </c>
      <c r="B124" s="3075">
        <f>SUM('2018+'!$H$2194:H2316)</f>
        <v>569.41591351565239</v>
      </c>
      <c r="C124" s="396">
        <f t="shared" si="5"/>
        <v>553.33150684931616</v>
      </c>
      <c r="D124" s="3076">
        <f t="shared" si="3"/>
        <v>16.084406666336236</v>
      </c>
      <c r="E124" s="3077">
        <f t="shared" si="4"/>
        <v>0</v>
      </c>
    </row>
    <row r="125" spans="1:5" x14ac:dyDescent="0.15">
      <c r="A125" s="3074">
        <v>45415</v>
      </c>
      <c r="B125" s="3075">
        <f>SUM('2018+'!$H$2194:H2317)</f>
        <v>574.50144703305057</v>
      </c>
      <c r="C125" s="396">
        <f t="shared" si="5"/>
        <v>557.83013698630248</v>
      </c>
      <c r="D125" s="3076">
        <f t="shared" si="3"/>
        <v>16.67131004674809</v>
      </c>
      <c r="E125" s="3077">
        <f t="shared" si="4"/>
        <v>0</v>
      </c>
    </row>
    <row r="126" spans="1:5" x14ac:dyDescent="0.15">
      <c r="A126" s="3074">
        <v>45416</v>
      </c>
      <c r="B126" s="3075">
        <f>SUM('2018+'!$H$2194:H2318)</f>
        <v>574.50144703305057</v>
      </c>
      <c r="C126" s="396">
        <f t="shared" si="5"/>
        <v>562.3287671232888</v>
      </c>
      <c r="D126" s="3076">
        <f t="shared" si="3"/>
        <v>12.172679909761769</v>
      </c>
      <c r="E126" s="3077">
        <f t="shared" si="4"/>
        <v>0</v>
      </c>
    </row>
    <row r="127" spans="1:5" x14ac:dyDescent="0.15">
      <c r="A127" s="3074">
        <v>45417</v>
      </c>
      <c r="B127" s="3075">
        <f>SUM('2018+'!$H$2194:H2319)</f>
        <v>584.67251406784681</v>
      </c>
      <c r="C127" s="396">
        <f t="shared" si="5"/>
        <v>566.82739726027512</v>
      </c>
      <c r="D127" s="3076">
        <f t="shared" si="3"/>
        <v>17.845116807571685</v>
      </c>
      <c r="E127" s="3077">
        <f t="shared" si="4"/>
        <v>0</v>
      </c>
    </row>
    <row r="128" spans="1:5" x14ac:dyDescent="0.15">
      <c r="A128" s="3074">
        <v>45418</v>
      </c>
      <c r="B128" s="3075">
        <f>SUM('2018+'!$H$2194:H2320)</f>
        <v>589.75804758524498</v>
      </c>
      <c r="C128" s="396">
        <f t="shared" si="5"/>
        <v>571.32602739726144</v>
      </c>
      <c r="D128" s="3076">
        <f t="shared" si="3"/>
        <v>18.432020187983539</v>
      </c>
      <c r="E128" s="3077">
        <f t="shared" si="4"/>
        <v>0</v>
      </c>
    </row>
    <row r="129" spans="1:5" x14ac:dyDescent="0.15">
      <c r="A129" s="3074">
        <v>45419</v>
      </c>
      <c r="B129" s="3075">
        <f>SUM('2018+'!$H$2194:H2321)</f>
        <v>589.75804758524498</v>
      </c>
      <c r="C129" s="396">
        <f t="shared" si="5"/>
        <v>575.82465753424776</v>
      </c>
      <c r="D129" s="3076">
        <f t="shared" si="3"/>
        <v>13.933390050997218</v>
      </c>
      <c r="E129" s="3077">
        <f t="shared" si="4"/>
        <v>0</v>
      </c>
    </row>
    <row r="130" spans="1:5" x14ac:dyDescent="0.15">
      <c r="A130" s="3074">
        <v>45420</v>
      </c>
      <c r="B130" s="3075">
        <f>SUM('2018+'!$H$2194:H2322)</f>
        <v>596.53875894177577</v>
      </c>
      <c r="C130" s="396">
        <f t="shared" si="5"/>
        <v>580.32328767123408</v>
      </c>
      <c r="D130" s="3076">
        <f t="shared" si="3"/>
        <v>16.215471270541684</v>
      </c>
      <c r="E130" s="3077">
        <f t="shared" si="4"/>
        <v>0</v>
      </c>
    </row>
    <row r="131" spans="1:5" x14ac:dyDescent="0.15">
      <c r="A131" s="3074">
        <v>45421</v>
      </c>
      <c r="B131" s="3075">
        <f>SUM('2018+'!$H$2194:H2323)</f>
        <v>596.53875894177577</v>
      </c>
      <c r="C131" s="396">
        <f t="shared" si="5"/>
        <v>584.82191780822041</v>
      </c>
      <c r="D131" s="3076">
        <f t="shared" ref="D131:D194" si="6">IF(B131-C131&gt;0,B131-C131,0)</f>
        <v>11.716841133555363</v>
      </c>
      <c r="E131" s="3077">
        <f t="shared" ref="E131:E194" si="7">IF(B131-C131&lt;=0,B131-C131,0)</f>
        <v>0</v>
      </c>
    </row>
    <row r="132" spans="1:5" x14ac:dyDescent="0.15">
      <c r="A132" s="3074">
        <v>45422</v>
      </c>
      <c r="B132" s="3075">
        <f>SUM('2018+'!$H$2194:H2324)</f>
        <v>601.62429245917394</v>
      </c>
      <c r="C132" s="396">
        <f t="shared" ref="C132:C195" si="8">C131+(1642/365)</f>
        <v>589.32054794520673</v>
      </c>
      <c r="D132" s="3076">
        <f t="shared" si="6"/>
        <v>12.303744513967217</v>
      </c>
      <c r="E132" s="3077">
        <f t="shared" si="7"/>
        <v>0</v>
      </c>
    </row>
    <row r="133" spans="1:5" x14ac:dyDescent="0.15">
      <c r="A133" s="3074">
        <v>45423</v>
      </c>
      <c r="B133" s="3075">
        <f>SUM('2018+'!$H$2194:H2325)</f>
        <v>601.62429245917394</v>
      </c>
      <c r="C133" s="396">
        <f t="shared" si="8"/>
        <v>593.81917808219305</v>
      </c>
      <c r="D133" s="3076">
        <f t="shared" si="6"/>
        <v>7.8051143769808959</v>
      </c>
      <c r="E133" s="3077">
        <f t="shared" si="7"/>
        <v>0</v>
      </c>
    </row>
    <row r="134" spans="1:5" x14ac:dyDescent="0.15">
      <c r="A134" s="3074">
        <v>45424</v>
      </c>
      <c r="B134" s="3075">
        <f>SUM('2018+'!$H$2194:H2326)</f>
        <v>611.79535949397018</v>
      </c>
      <c r="C134" s="396">
        <f t="shared" si="8"/>
        <v>598.31780821917937</v>
      </c>
      <c r="D134" s="3076">
        <f t="shared" si="6"/>
        <v>13.477551274790812</v>
      </c>
      <c r="E134" s="3077">
        <f t="shared" si="7"/>
        <v>0</v>
      </c>
    </row>
    <row r="135" spans="1:5" x14ac:dyDescent="0.15">
      <c r="A135" s="3074">
        <v>45425</v>
      </c>
      <c r="B135" s="3075">
        <f>SUM('2018+'!$H$2194:H2327)</f>
        <v>616.88089301136836</v>
      </c>
      <c r="C135" s="396">
        <f t="shared" si="8"/>
        <v>602.81643835616569</v>
      </c>
      <c r="D135" s="3076">
        <f t="shared" si="6"/>
        <v>14.064454655202667</v>
      </c>
      <c r="E135" s="3077">
        <f t="shared" si="7"/>
        <v>0</v>
      </c>
    </row>
    <row r="136" spans="1:5" x14ac:dyDescent="0.15">
      <c r="A136" s="3074">
        <v>45426</v>
      </c>
      <c r="B136" s="3075">
        <f>SUM('2018+'!$H$2194:H2328)</f>
        <v>616.88089301136836</v>
      </c>
      <c r="C136" s="396">
        <f t="shared" si="8"/>
        <v>607.31506849315201</v>
      </c>
      <c r="D136" s="3076">
        <f t="shared" si="6"/>
        <v>9.5658245182163455</v>
      </c>
      <c r="E136" s="3077">
        <f t="shared" si="7"/>
        <v>0</v>
      </c>
    </row>
    <row r="137" spans="1:5" x14ac:dyDescent="0.15">
      <c r="A137" s="3074">
        <v>45427</v>
      </c>
      <c r="B137" s="3075">
        <f>SUM('2018+'!$H$2194:H2329)</f>
        <v>623.66160436789914</v>
      </c>
      <c r="C137" s="396">
        <f t="shared" si="8"/>
        <v>611.81369863013833</v>
      </c>
      <c r="D137" s="3076">
        <f t="shared" si="6"/>
        <v>11.847905737760811</v>
      </c>
      <c r="E137" s="3077">
        <f t="shared" si="7"/>
        <v>0</v>
      </c>
    </row>
    <row r="138" spans="1:5" x14ac:dyDescent="0.15">
      <c r="A138" s="3074">
        <v>45428</v>
      </c>
      <c r="B138" s="3075">
        <f>SUM('2018+'!$H$2194:H2330)</f>
        <v>623.66160436789914</v>
      </c>
      <c r="C138" s="396">
        <f t="shared" si="8"/>
        <v>616.31232876712465</v>
      </c>
      <c r="D138" s="3076">
        <f t="shared" si="6"/>
        <v>7.3492756007744902</v>
      </c>
      <c r="E138" s="3077">
        <f t="shared" si="7"/>
        <v>0</v>
      </c>
    </row>
    <row r="139" spans="1:5" x14ac:dyDescent="0.15">
      <c r="A139" s="3074">
        <v>45429</v>
      </c>
      <c r="B139" s="3075">
        <f>SUM('2018+'!$H$2194:H2331)</f>
        <v>628.74713788529732</v>
      </c>
      <c r="C139" s="396">
        <f t="shared" si="8"/>
        <v>620.81095890411098</v>
      </c>
      <c r="D139" s="3078">
        <f t="shared" si="6"/>
        <v>7.9361789811863446</v>
      </c>
      <c r="E139" s="3079">
        <f t="shared" si="7"/>
        <v>0</v>
      </c>
    </row>
    <row r="140" spans="1:5" x14ac:dyDescent="0.15">
      <c r="A140" s="3074">
        <v>45430</v>
      </c>
      <c r="B140" s="3075">
        <f>SUM('2018+'!$H$2194:H2332)</f>
        <v>628.74713788529732</v>
      </c>
      <c r="C140" s="396">
        <f t="shared" si="8"/>
        <v>625.3095890410973</v>
      </c>
      <c r="D140" s="3076">
        <f t="shared" si="6"/>
        <v>3.4375488442000233</v>
      </c>
      <c r="E140" s="3077">
        <f t="shared" si="7"/>
        <v>0</v>
      </c>
    </row>
    <row r="141" spans="1:5" x14ac:dyDescent="0.15">
      <c r="A141" s="3074">
        <v>45431</v>
      </c>
      <c r="B141" s="3075">
        <f>SUM('2018+'!$H$2194:H2333)</f>
        <v>638.91820492009356</v>
      </c>
      <c r="C141" s="396">
        <f t="shared" si="8"/>
        <v>629.80821917808362</v>
      </c>
      <c r="D141" s="3076">
        <f t="shared" si="6"/>
        <v>9.1099857420099397</v>
      </c>
      <c r="E141" s="3077">
        <f t="shared" si="7"/>
        <v>0</v>
      </c>
    </row>
    <row r="142" spans="1:5" x14ac:dyDescent="0.15">
      <c r="A142" s="3074">
        <v>45432</v>
      </c>
      <c r="B142" s="3075">
        <f>SUM('2018+'!$H$2194:H2334)</f>
        <v>644.00373843749173</v>
      </c>
      <c r="C142" s="396">
        <f t="shared" si="8"/>
        <v>634.30684931506994</v>
      </c>
      <c r="D142" s="3076">
        <f t="shared" si="6"/>
        <v>9.6968891224217941</v>
      </c>
      <c r="E142" s="3077">
        <f t="shared" si="7"/>
        <v>0</v>
      </c>
    </row>
    <row r="143" spans="1:5" x14ac:dyDescent="0.15">
      <c r="A143" s="3074">
        <v>45433</v>
      </c>
      <c r="B143" s="3075">
        <f>SUM('2018+'!$H$2194:H2335)</f>
        <v>644.00373843749173</v>
      </c>
      <c r="C143" s="396">
        <f t="shared" si="8"/>
        <v>638.80547945205626</v>
      </c>
      <c r="D143" s="3076">
        <f t="shared" si="6"/>
        <v>5.1982589854354728</v>
      </c>
      <c r="E143" s="3077">
        <f t="shared" si="7"/>
        <v>0</v>
      </c>
    </row>
    <row r="144" spans="1:5" x14ac:dyDescent="0.15">
      <c r="A144" s="3074">
        <v>45434</v>
      </c>
      <c r="B144" s="3075">
        <f>SUM('2018+'!$H$2194:H2336)</f>
        <v>650.78444979402252</v>
      </c>
      <c r="C144" s="396">
        <f t="shared" si="8"/>
        <v>643.30410958904258</v>
      </c>
      <c r="D144" s="3076">
        <f t="shared" si="6"/>
        <v>7.4803402049799388</v>
      </c>
      <c r="E144" s="3077">
        <f t="shared" si="7"/>
        <v>0</v>
      </c>
    </row>
    <row r="145" spans="1:5" x14ac:dyDescent="0.15">
      <c r="A145" s="3074">
        <v>45435</v>
      </c>
      <c r="B145" s="3075">
        <f>SUM('2018+'!$H$2194:H2337)</f>
        <v>650.78444979402252</v>
      </c>
      <c r="C145" s="396">
        <f t="shared" si="8"/>
        <v>647.8027397260289</v>
      </c>
      <c r="D145" s="3076">
        <f t="shared" si="6"/>
        <v>2.9817100679936175</v>
      </c>
      <c r="E145" s="3077">
        <f t="shared" si="7"/>
        <v>0</v>
      </c>
    </row>
    <row r="146" spans="1:5" x14ac:dyDescent="0.15">
      <c r="A146" s="3074">
        <v>45436</v>
      </c>
      <c r="B146" s="3075">
        <f>SUM('2018+'!$H$2194:H2338)</f>
        <v>655.8699833114207</v>
      </c>
      <c r="C146" s="396">
        <f t="shared" si="8"/>
        <v>652.30136986301522</v>
      </c>
      <c r="D146" s="3076">
        <f t="shared" si="6"/>
        <v>3.5686134484054719</v>
      </c>
      <c r="E146" s="3077">
        <f t="shared" si="7"/>
        <v>0</v>
      </c>
    </row>
    <row r="147" spans="1:5" x14ac:dyDescent="0.15">
      <c r="A147" s="3074">
        <v>45437</v>
      </c>
      <c r="B147" s="3075">
        <f>SUM('2018+'!$H$2194:H2339)</f>
        <v>655.8699833114207</v>
      </c>
      <c r="C147" s="396">
        <f t="shared" si="8"/>
        <v>656.80000000000155</v>
      </c>
      <c r="D147" s="3076">
        <f t="shared" si="6"/>
        <v>0</v>
      </c>
      <c r="E147" s="3077">
        <f t="shared" si="7"/>
        <v>-0.9300166885808494</v>
      </c>
    </row>
    <row r="148" spans="1:5" x14ac:dyDescent="0.15">
      <c r="A148" s="3074">
        <v>45438</v>
      </c>
      <c r="B148" s="3075">
        <f>SUM('2018+'!$H$2194:H2340)</f>
        <v>666.04105034621693</v>
      </c>
      <c r="C148" s="396">
        <f t="shared" si="8"/>
        <v>661.29863013698787</v>
      </c>
      <c r="D148" s="3076">
        <f t="shared" si="6"/>
        <v>4.742420209229067</v>
      </c>
      <c r="E148" s="3077">
        <f t="shared" si="7"/>
        <v>0</v>
      </c>
    </row>
    <row r="149" spans="1:5" x14ac:dyDescent="0.15">
      <c r="A149" s="3074">
        <v>45439</v>
      </c>
      <c r="B149" s="3075">
        <f>SUM('2018+'!$H$2194:H2341)</f>
        <v>671.12658386361511</v>
      </c>
      <c r="C149" s="396">
        <f t="shared" si="8"/>
        <v>665.79726027397419</v>
      </c>
      <c r="D149" s="3076">
        <f t="shared" si="6"/>
        <v>5.3293235896409215</v>
      </c>
      <c r="E149" s="3077">
        <f t="shared" si="7"/>
        <v>0</v>
      </c>
    </row>
    <row r="150" spans="1:5" x14ac:dyDescent="0.15">
      <c r="A150" s="3074">
        <v>45440</v>
      </c>
      <c r="B150" s="3075">
        <f>SUM('2018+'!$H$2194:H2342)</f>
        <v>676.21211738101329</v>
      </c>
      <c r="C150" s="396">
        <f t="shared" si="8"/>
        <v>670.29589041096051</v>
      </c>
      <c r="D150" s="3076">
        <f t="shared" si="6"/>
        <v>5.9162269700527759</v>
      </c>
      <c r="E150" s="3077">
        <f t="shared" si="7"/>
        <v>0</v>
      </c>
    </row>
    <row r="151" spans="1:5" x14ac:dyDescent="0.15">
      <c r="A151" s="3074">
        <v>45441</v>
      </c>
      <c r="B151" s="3075">
        <f>SUM('2018+'!$H$2194:H2343)</f>
        <v>676.21211738101329</v>
      </c>
      <c r="C151" s="396">
        <f t="shared" si="8"/>
        <v>674.79452054794683</v>
      </c>
      <c r="D151" s="3076">
        <f t="shared" si="6"/>
        <v>1.4175968330664546</v>
      </c>
      <c r="E151" s="3077">
        <f t="shared" si="7"/>
        <v>0</v>
      </c>
    </row>
    <row r="152" spans="1:5" x14ac:dyDescent="0.15">
      <c r="A152" s="3074">
        <v>45442</v>
      </c>
      <c r="B152" s="3075">
        <f>SUM('2018+'!$H$2194:H2344)</f>
        <v>682.99282873754407</v>
      </c>
      <c r="C152" s="396">
        <f t="shared" si="8"/>
        <v>679.29315068493315</v>
      </c>
      <c r="D152" s="3076">
        <f t="shared" si="6"/>
        <v>3.6996780526109205</v>
      </c>
      <c r="E152" s="3077">
        <f t="shared" si="7"/>
        <v>0</v>
      </c>
    </row>
    <row r="153" spans="1:5" x14ac:dyDescent="0.15">
      <c r="A153" s="3074">
        <v>45443</v>
      </c>
      <c r="B153" s="3075">
        <f>SUM('2018+'!$H$2194:H2345)</f>
        <v>688.07836225494225</v>
      </c>
      <c r="C153" s="396">
        <f t="shared" si="8"/>
        <v>683.79178082191947</v>
      </c>
      <c r="D153" s="3076">
        <f t="shared" si="6"/>
        <v>4.2865814330227749</v>
      </c>
      <c r="E153" s="3077">
        <f t="shared" si="7"/>
        <v>0</v>
      </c>
    </row>
    <row r="154" spans="1:5" x14ac:dyDescent="0.15">
      <c r="A154" s="3074">
        <v>45444</v>
      </c>
      <c r="B154" s="3075">
        <f>SUM('2018+'!$H$2194:H2346)</f>
        <v>688.07836225494225</v>
      </c>
      <c r="C154" s="396">
        <f t="shared" si="8"/>
        <v>688.2904109589058</v>
      </c>
      <c r="D154" s="3076">
        <f t="shared" si="6"/>
        <v>0</v>
      </c>
      <c r="E154" s="3077">
        <f t="shared" si="7"/>
        <v>-0.21204870396354636</v>
      </c>
    </row>
    <row r="155" spans="1:5" x14ac:dyDescent="0.15">
      <c r="A155" s="3074">
        <v>45445</v>
      </c>
      <c r="B155" s="3075">
        <f>SUM('2018+'!$H$2194:H2347)</f>
        <v>698.24942928973849</v>
      </c>
      <c r="C155" s="396">
        <f t="shared" si="8"/>
        <v>692.78904109589212</v>
      </c>
      <c r="D155" s="3076">
        <f t="shared" si="6"/>
        <v>5.4603881938463701</v>
      </c>
      <c r="E155" s="3077">
        <f t="shared" si="7"/>
        <v>0</v>
      </c>
    </row>
    <row r="156" spans="1:5" x14ac:dyDescent="0.15">
      <c r="A156" s="3074">
        <v>45446</v>
      </c>
      <c r="B156" s="3075">
        <f>SUM('2018+'!$H$2194:H2348)</f>
        <v>703.33496280713666</v>
      </c>
      <c r="C156" s="396">
        <f t="shared" si="8"/>
        <v>697.28767123287844</v>
      </c>
      <c r="D156" s="3076">
        <f t="shared" si="6"/>
        <v>6.0472915742582245</v>
      </c>
      <c r="E156" s="3077">
        <f t="shared" si="7"/>
        <v>0</v>
      </c>
    </row>
    <row r="157" spans="1:5" x14ac:dyDescent="0.15">
      <c r="A157" s="3074">
        <v>45447</v>
      </c>
      <c r="B157" s="3075">
        <f>SUM('2018+'!$H$2194:H2349)</f>
        <v>708.42049632453484</v>
      </c>
      <c r="C157" s="396">
        <f t="shared" si="8"/>
        <v>701.78630136986476</v>
      </c>
      <c r="D157" s="3076">
        <f t="shared" si="6"/>
        <v>6.6341949546700789</v>
      </c>
      <c r="E157" s="3077">
        <f t="shared" si="7"/>
        <v>0</v>
      </c>
    </row>
    <row r="158" spans="1:5" x14ac:dyDescent="0.15">
      <c r="A158" s="3074">
        <v>45448</v>
      </c>
      <c r="B158" s="3075">
        <f>SUM('2018+'!$H$2194:H2350)</f>
        <v>708.42049632453484</v>
      </c>
      <c r="C158" s="396">
        <f t="shared" si="8"/>
        <v>706.28493150685108</v>
      </c>
      <c r="D158" s="3076">
        <f t="shared" si="6"/>
        <v>2.1355648176837576</v>
      </c>
      <c r="E158" s="3077">
        <f t="shared" si="7"/>
        <v>0</v>
      </c>
    </row>
    <row r="159" spans="1:5" x14ac:dyDescent="0.15">
      <c r="A159" s="3074">
        <v>45449</v>
      </c>
      <c r="B159" s="3075">
        <f>SUM('2018+'!$H$2194:H2351)</f>
        <v>715.20120768106563</v>
      </c>
      <c r="C159" s="396">
        <f t="shared" si="8"/>
        <v>710.7835616438374</v>
      </c>
      <c r="D159" s="3076">
        <f t="shared" si="6"/>
        <v>4.4176460372282236</v>
      </c>
      <c r="E159" s="3077">
        <f t="shared" si="7"/>
        <v>0</v>
      </c>
    </row>
    <row r="160" spans="1:5" x14ac:dyDescent="0.15">
      <c r="A160" s="3074">
        <v>45450</v>
      </c>
      <c r="B160" s="3075">
        <f>SUM('2018+'!$H$2194:H2352)</f>
        <v>720.2867411984638</v>
      </c>
      <c r="C160" s="396">
        <f t="shared" si="8"/>
        <v>715.28219178082372</v>
      </c>
      <c r="D160" s="3076">
        <f t="shared" si="6"/>
        <v>5.004549417640078</v>
      </c>
      <c r="E160" s="3077">
        <f t="shared" si="7"/>
        <v>0</v>
      </c>
    </row>
    <row r="161" spans="1:5" x14ac:dyDescent="0.15">
      <c r="A161" s="3074">
        <v>45451</v>
      </c>
      <c r="B161" s="3075">
        <f>SUM('2018+'!$H$2194:H2353)</f>
        <v>720.2867411984638</v>
      </c>
      <c r="C161" s="396">
        <f t="shared" si="8"/>
        <v>719.78082191781004</v>
      </c>
      <c r="D161" s="3076">
        <f t="shared" si="6"/>
        <v>0.50591928065375669</v>
      </c>
      <c r="E161" s="3077">
        <f t="shared" si="7"/>
        <v>0</v>
      </c>
    </row>
    <row r="162" spans="1:5" x14ac:dyDescent="0.15">
      <c r="A162" s="3074">
        <v>45452</v>
      </c>
      <c r="B162" s="3075">
        <f>SUM('2018+'!$H$2194:H2354)</f>
        <v>730.45780823326004</v>
      </c>
      <c r="C162" s="396">
        <f t="shared" si="8"/>
        <v>724.27945205479637</v>
      </c>
      <c r="D162" s="3076">
        <f t="shared" si="6"/>
        <v>6.1783561784636731</v>
      </c>
      <c r="E162" s="3077">
        <f t="shared" si="7"/>
        <v>0</v>
      </c>
    </row>
    <row r="163" spans="1:5" x14ac:dyDescent="0.15">
      <c r="A163" s="3074">
        <v>45453</v>
      </c>
      <c r="B163" s="3075">
        <f>SUM('2018+'!$H$2194:H2355)</f>
        <v>735.54334175065821</v>
      </c>
      <c r="C163" s="396">
        <f t="shared" si="8"/>
        <v>728.77808219178269</v>
      </c>
      <c r="D163" s="3076">
        <f t="shared" si="6"/>
        <v>6.7652595588755275</v>
      </c>
      <c r="E163" s="3077">
        <f t="shared" si="7"/>
        <v>0</v>
      </c>
    </row>
    <row r="164" spans="1:5" x14ac:dyDescent="0.15">
      <c r="A164" s="3074">
        <v>45454</v>
      </c>
      <c r="B164" s="3075">
        <f>SUM('2018+'!$H$2194:H2356)</f>
        <v>740.62887526805639</v>
      </c>
      <c r="C164" s="396">
        <f t="shared" si="8"/>
        <v>733.27671232876901</v>
      </c>
      <c r="D164" s="3076">
        <f t="shared" si="6"/>
        <v>7.352162939287382</v>
      </c>
      <c r="E164" s="3077">
        <f t="shared" si="7"/>
        <v>0</v>
      </c>
    </row>
    <row r="165" spans="1:5" x14ac:dyDescent="0.15">
      <c r="A165" s="3074">
        <v>45455</v>
      </c>
      <c r="B165" s="3075">
        <f>SUM('2018+'!$H$2194:H2357)</f>
        <v>740.62887526805639</v>
      </c>
      <c r="C165" s="396">
        <f t="shared" si="8"/>
        <v>737.77534246575533</v>
      </c>
      <c r="D165" s="3076">
        <f t="shared" si="6"/>
        <v>2.8535328023010607</v>
      </c>
      <c r="E165" s="3077">
        <f t="shared" si="7"/>
        <v>0</v>
      </c>
    </row>
    <row r="166" spans="1:5" x14ac:dyDescent="0.15">
      <c r="A166" s="3074">
        <v>45456</v>
      </c>
      <c r="B166" s="3075">
        <f>SUM('2018+'!$H$2194:H2358)</f>
        <v>747.40958662458718</v>
      </c>
      <c r="C166" s="396">
        <f t="shared" si="8"/>
        <v>742.27397260274165</v>
      </c>
      <c r="D166" s="3076">
        <f t="shared" si="6"/>
        <v>5.1356140218455266</v>
      </c>
      <c r="E166" s="3077">
        <f t="shared" si="7"/>
        <v>0</v>
      </c>
    </row>
    <row r="167" spans="1:5" x14ac:dyDescent="0.15">
      <c r="A167" s="3074">
        <v>45457</v>
      </c>
      <c r="B167" s="3075">
        <f>SUM('2018+'!$H$2194:H2359)</f>
        <v>752.49512014198535</v>
      </c>
      <c r="C167" s="396">
        <f t="shared" si="8"/>
        <v>746.77260273972797</v>
      </c>
      <c r="D167" s="3076">
        <f t="shared" si="6"/>
        <v>5.722517402257381</v>
      </c>
      <c r="E167" s="3077">
        <f t="shared" si="7"/>
        <v>0</v>
      </c>
    </row>
    <row r="168" spans="1:5" x14ac:dyDescent="0.15">
      <c r="A168" s="3074">
        <v>45458</v>
      </c>
      <c r="B168" s="3075">
        <f>SUM('2018+'!$H$2194:H2360)</f>
        <v>752.49512014198535</v>
      </c>
      <c r="C168" s="396">
        <f t="shared" si="8"/>
        <v>751.27123287671429</v>
      </c>
      <c r="D168" s="3076">
        <f t="shared" si="6"/>
        <v>1.2238872652710597</v>
      </c>
      <c r="E168" s="3077">
        <f t="shared" si="7"/>
        <v>0</v>
      </c>
    </row>
    <row r="169" spans="1:5" x14ac:dyDescent="0.15">
      <c r="A169" s="3074">
        <v>45459</v>
      </c>
      <c r="B169" s="3075">
        <f>SUM('2018+'!$H$2194:H2361)</f>
        <v>762.66618717678159</v>
      </c>
      <c r="C169" s="396">
        <f t="shared" si="8"/>
        <v>755.76986301370061</v>
      </c>
      <c r="D169" s="3076">
        <f t="shared" si="6"/>
        <v>6.8963241630809762</v>
      </c>
      <c r="E169" s="3077">
        <f t="shared" si="7"/>
        <v>0</v>
      </c>
    </row>
    <row r="170" spans="1:5" x14ac:dyDescent="0.15">
      <c r="A170" s="3074">
        <v>45460</v>
      </c>
      <c r="B170" s="3075">
        <f>SUM('2018+'!$H$2194:H2362)</f>
        <v>767.75172069417977</v>
      </c>
      <c r="C170" s="396">
        <f t="shared" si="8"/>
        <v>760.26849315068694</v>
      </c>
      <c r="D170" s="3076">
        <f t="shared" si="6"/>
        <v>7.4832275434928306</v>
      </c>
      <c r="E170" s="3077">
        <f t="shared" si="7"/>
        <v>0</v>
      </c>
    </row>
    <row r="171" spans="1:5" x14ac:dyDescent="0.15">
      <c r="A171" s="3074">
        <v>45461</v>
      </c>
      <c r="B171" s="3075">
        <f>SUM('2018+'!$H$2194:H2363)</f>
        <v>772.83725421157794</v>
      </c>
      <c r="C171" s="396">
        <f t="shared" si="8"/>
        <v>764.76712328767326</v>
      </c>
      <c r="D171" s="3076">
        <f t="shared" si="6"/>
        <v>8.070130923904685</v>
      </c>
      <c r="E171" s="3077">
        <f t="shared" si="7"/>
        <v>0</v>
      </c>
    </row>
    <row r="172" spans="1:5" x14ac:dyDescent="0.15">
      <c r="A172" s="3074">
        <v>45462</v>
      </c>
      <c r="B172" s="3075">
        <f>SUM('2018+'!$H$2194:H2364)</f>
        <v>772.83725421157794</v>
      </c>
      <c r="C172" s="396">
        <f t="shared" si="8"/>
        <v>769.26575342465958</v>
      </c>
      <c r="D172" s="3076">
        <f t="shared" si="6"/>
        <v>3.5715007869183637</v>
      </c>
      <c r="E172" s="3077">
        <f t="shared" si="7"/>
        <v>0</v>
      </c>
    </row>
    <row r="173" spans="1:5" x14ac:dyDescent="0.15">
      <c r="A173" s="3074">
        <v>45463</v>
      </c>
      <c r="B173" s="3075">
        <f>SUM('2018+'!$H$2194:H2365)</f>
        <v>779.61796556810873</v>
      </c>
      <c r="C173" s="396">
        <f t="shared" si="8"/>
        <v>773.7643835616459</v>
      </c>
      <c r="D173" s="3076">
        <f t="shared" si="6"/>
        <v>5.8535820064628297</v>
      </c>
      <c r="E173" s="3077">
        <f t="shared" si="7"/>
        <v>0</v>
      </c>
    </row>
    <row r="174" spans="1:5" x14ac:dyDescent="0.15">
      <c r="A174" s="3074">
        <v>45464</v>
      </c>
      <c r="B174" s="3075">
        <f>SUM('2018+'!$H$2194:H2366)</f>
        <v>784.70349908550691</v>
      </c>
      <c r="C174" s="396">
        <f t="shared" si="8"/>
        <v>778.26301369863222</v>
      </c>
      <c r="D174" s="3076">
        <f t="shared" si="6"/>
        <v>6.4404853868746841</v>
      </c>
      <c r="E174" s="3077">
        <f t="shared" si="7"/>
        <v>0</v>
      </c>
    </row>
    <row r="175" spans="1:5" x14ac:dyDescent="0.15">
      <c r="A175" s="3074">
        <v>45465</v>
      </c>
      <c r="B175" s="3075">
        <f>SUM('2018+'!$H$2194:H2367)</f>
        <v>784.70349908550691</v>
      </c>
      <c r="C175" s="396">
        <f t="shared" si="8"/>
        <v>782.76164383561854</v>
      </c>
      <c r="D175" s="3076">
        <f t="shared" si="6"/>
        <v>1.9418552498883628</v>
      </c>
      <c r="E175" s="3077">
        <f t="shared" si="7"/>
        <v>0</v>
      </c>
    </row>
    <row r="176" spans="1:5" x14ac:dyDescent="0.15">
      <c r="A176" s="3074">
        <v>45466</v>
      </c>
      <c r="B176" s="3075">
        <f>SUM('2018+'!$H$2194:H2368)</f>
        <v>794.87456612030314</v>
      </c>
      <c r="C176" s="396">
        <f t="shared" si="8"/>
        <v>787.26027397260486</v>
      </c>
      <c r="D176" s="3076">
        <f t="shared" si="6"/>
        <v>7.6142921476982792</v>
      </c>
      <c r="E176" s="3077">
        <f t="shared" si="7"/>
        <v>0</v>
      </c>
    </row>
    <row r="177" spans="1:5" x14ac:dyDescent="0.15">
      <c r="A177" s="3074">
        <v>45467</v>
      </c>
      <c r="B177" s="3075">
        <f>SUM('2018+'!$H$2194:H2369)</f>
        <v>799.96009963770132</v>
      </c>
      <c r="C177" s="396">
        <f t="shared" si="8"/>
        <v>791.75890410959119</v>
      </c>
      <c r="D177" s="3076">
        <f t="shared" si="6"/>
        <v>8.2011955281101336</v>
      </c>
      <c r="E177" s="3077">
        <f t="shared" si="7"/>
        <v>0</v>
      </c>
    </row>
    <row r="178" spans="1:5" x14ac:dyDescent="0.15">
      <c r="A178" s="3074">
        <v>45468</v>
      </c>
      <c r="B178" s="3075">
        <f>SUM('2018+'!$H$2194:H2370)</f>
        <v>805.04563315509949</v>
      </c>
      <c r="C178" s="396">
        <f t="shared" si="8"/>
        <v>796.25753424657751</v>
      </c>
      <c r="D178" s="3076">
        <f t="shared" si="6"/>
        <v>8.7880989085219881</v>
      </c>
      <c r="E178" s="3077">
        <f t="shared" si="7"/>
        <v>0</v>
      </c>
    </row>
    <row r="179" spans="1:5" x14ac:dyDescent="0.15">
      <c r="A179" s="3074">
        <v>45469</v>
      </c>
      <c r="B179" s="3075">
        <f>SUM('2018+'!$H$2194:H2371)</f>
        <v>805.04563315509949</v>
      </c>
      <c r="C179" s="396">
        <f t="shared" si="8"/>
        <v>800.75616438356383</v>
      </c>
      <c r="D179" s="3076">
        <f t="shared" si="6"/>
        <v>4.2894687715356667</v>
      </c>
      <c r="E179" s="3077">
        <f t="shared" si="7"/>
        <v>0</v>
      </c>
    </row>
    <row r="180" spans="1:5" x14ac:dyDescent="0.15">
      <c r="A180" s="3074">
        <v>45470</v>
      </c>
      <c r="B180" s="3075">
        <f>SUM('2018+'!$H$2194:H2372)</f>
        <v>811.82634451163028</v>
      </c>
      <c r="C180" s="396">
        <f t="shared" si="8"/>
        <v>805.25479452055015</v>
      </c>
      <c r="D180" s="3076">
        <f t="shared" si="6"/>
        <v>6.5715499910801327</v>
      </c>
      <c r="E180" s="3077">
        <f t="shared" si="7"/>
        <v>0</v>
      </c>
    </row>
    <row r="181" spans="1:5" x14ac:dyDescent="0.15">
      <c r="A181" s="3074">
        <v>45471</v>
      </c>
      <c r="B181" s="3075">
        <f>SUM('2018+'!$H$2194:H2373)</f>
        <v>816.91187802902846</v>
      </c>
      <c r="C181" s="396">
        <f t="shared" si="8"/>
        <v>809.75342465753647</v>
      </c>
      <c r="D181" s="3076">
        <f t="shared" si="6"/>
        <v>7.1584533714919871</v>
      </c>
      <c r="E181" s="3077">
        <f t="shared" si="7"/>
        <v>0</v>
      </c>
    </row>
    <row r="182" spans="1:5" x14ac:dyDescent="0.15">
      <c r="A182" s="3074">
        <v>45472</v>
      </c>
      <c r="B182" s="3075">
        <f>SUM('2018+'!$H$2194:H2374)</f>
        <v>816.91187802902846</v>
      </c>
      <c r="C182" s="396">
        <f t="shared" si="8"/>
        <v>814.25205479452279</v>
      </c>
      <c r="D182" s="3076">
        <f t="shared" si="6"/>
        <v>2.6598232345056658</v>
      </c>
      <c r="E182" s="3077">
        <f t="shared" si="7"/>
        <v>0</v>
      </c>
    </row>
    <row r="183" spans="1:5" x14ac:dyDescent="0.15">
      <c r="A183" s="3074">
        <v>45473</v>
      </c>
      <c r="B183" s="3075">
        <f>SUM('2018+'!$H$2194:H2375)</f>
        <v>827.0829450638247</v>
      </c>
      <c r="C183" s="396">
        <f t="shared" si="8"/>
        <v>818.75068493150911</v>
      </c>
      <c r="D183" s="3076">
        <f t="shared" si="6"/>
        <v>8.3322601323155823</v>
      </c>
      <c r="E183" s="3077">
        <f t="shared" si="7"/>
        <v>0</v>
      </c>
    </row>
    <row r="184" spans="1:5" x14ac:dyDescent="0.15">
      <c r="A184" s="3074">
        <v>45474</v>
      </c>
      <c r="B184" s="3075">
        <f>SUM('2018+'!$H$2194:H2376)</f>
        <v>832.16847858122287</v>
      </c>
      <c r="C184" s="396">
        <f t="shared" si="8"/>
        <v>823.24931506849543</v>
      </c>
      <c r="D184" s="3076">
        <f t="shared" si="6"/>
        <v>8.9191635127274367</v>
      </c>
      <c r="E184" s="3077">
        <f t="shared" si="7"/>
        <v>0</v>
      </c>
    </row>
    <row r="185" spans="1:5" x14ac:dyDescent="0.15">
      <c r="A185" s="3074">
        <v>45475</v>
      </c>
      <c r="B185" s="3075">
        <f>SUM('2018+'!$H$2194:H2377)</f>
        <v>837.25401209862105</v>
      </c>
      <c r="C185" s="396">
        <f t="shared" si="8"/>
        <v>827.74794520548176</v>
      </c>
      <c r="D185" s="3076">
        <f t="shared" si="6"/>
        <v>9.5060668931392911</v>
      </c>
      <c r="E185" s="3077">
        <f t="shared" si="7"/>
        <v>0</v>
      </c>
    </row>
    <row r="186" spans="1:5" x14ac:dyDescent="0.15">
      <c r="A186" s="3074">
        <v>45476</v>
      </c>
      <c r="B186" s="3075">
        <f>SUM('2018+'!$H$2194:H2378)</f>
        <v>837.25401209862105</v>
      </c>
      <c r="C186" s="396">
        <f t="shared" si="8"/>
        <v>832.24657534246808</v>
      </c>
      <c r="D186" s="3076">
        <f t="shared" si="6"/>
        <v>5.0074367561529698</v>
      </c>
      <c r="E186" s="3077">
        <f t="shared" si="7"/>
        <v>0</v>
      </c>
    </row>
    <row r="187" spans="1:5" x14ac:dyDescent="0.15">
      <c r="A187" s="3074">
        <v>45477</v>
      </c>
      <c r="B187" s="3075">
        <f>SUM('2018+'!$H$2194:H2379)</f>
        <v>844.03472345515183</v>
      </c>
      <c r="C187" s="396">
        <f t="shared" si="8"/>
        <v>836.7452054794544</v>
      </c>
      <c r="D187" s="3076">
        <f t="shared" si="6"/>
        <v>7.2895179756974358</v>
      </c>
      <c r="E187" s="3077">
        <f t="shared" si="7"/>
        <v>0</v>
      </c>
    </row>
    <row r="188" spans="1:5" x14ac:dyDescent="0.15">
      <c r="A188" s="3074">
        <v>45478</v>
      </c>
      <c r="B188" s="3075">
        <f>SUM('2018+'!$H$2194:H2380)</f>
        <v>849.12025697255001</v>
      </c>
      <c r="C188" s="396">
        <f t="shared" si="8"/>
        <v>841.24383561644072</v>
      </c>
      <c r="D188" s="3076">
        <f t="shared" si="6"/>
        <v>7.8764213561092902</v>
      </c>
      <c r="E188" s="3077">
        <f t="shared" si="7"/>
        <v>0</v>
      </c>
    </row>
    <row r="189" spans="1:5" x14ac:dyDescent="0.15">
      <c r="A189" s="3074">
        <v>45479</v>
      </c>
      <c r="B189" s="3075">
        <f>SUM('2018+'!$H$2194:H2381)</f>
        <v>849.12025697255001</v>
      </c>
      <c r="C189" s="396">
        <f t="shared" si="8"/>
        <v>845.74246575342704</v>
      </c>
      <c r="D189" s="3076">
        <f t="shared" si="6"/>
        <v>3.3777912191229689</v>
      </c>
      <c r="E189" s="3077">
        <f t="shared" si="7"/>
        <v>0</v>
      </c>
    </row>
    <row r="190" spans="1:5" x14ac:dyDescent="0.15">
      <c r="A190" s="3074">
        <v>45480</v>
      </c>
      <c r="B190" s="3075">
        <f>SUM('2018+'!$H$2194:H2382)</f>
        <v>859.29132400734625</v>
      </c>
      <c r="C190" s="396">
        <f t="shared" si="8"/>
        <v>850.24109589041336</v>
      </c>
      <c r="D190" s="3076">
        <f t="shared" si="6"/>
        <v>9.0502281169328853</v>
      </c>
      <c r="E190" s="3077">
        <f t="shared" si="7"/>
        <v>0</v>
      </c>
    </row>
    <row r="191" spans="1:5" x14ac:dyDescent="0.15">
      <c r="A191" s="3074">
        <v>45481</v>
      </c>
      <c r="B191" s="3075">
        <f>SUM('2018+'!$H$2194:H2383)</f>
        <v>864.37685752474442</v>
      </c>
      <c r="C191" s="396">
        <f t="shared" si="8"/>
        <v>854.73972602739968</v>
      </c>
      <c r="D191" s="3076">
        <f t="shared" si="6"/>
        <v>9.6371314973447397</v>
      </c>
      <c r="E191" s="3077">
        <f t="shared" si="7"/>
        <v>0</v>
      </c>
    </row>
    <row r="192" spans="1:5" x14ac:dyDescent="0.15">
      <c r="A192" s="3074">
        <v>45482</v>
      </c>
      <c r="B192" s="3075">
        <f>SUM('2018+'!$H$2194:H2384)</f>
        <v>869.4623910421426</v>
      </c>
      <c r="C192" s="396">
        <f t="shared" si="8"/>
        <v>859.238356164386</v>
      </c>
      <c r="D192" s="3076">
        <f t="shared" si="6"/>
        <v>10.224034877756594</v>
      </c>
      <c r="E192" s="3077">
        <f t="shared" si="7"/>
        <v>0</v>
      </c>
    </row>
    <row r="193" spans="1:5" x14ac:dyDescent="0.15">
      <c r="A193" s="3074">
        <v>45483</v>
      </c>
      <c r="B193" s="3075">
        <f>SUM('2018+'!$H$2194:H2385)</f>
        <v>869.4623910421426</v>
      </c>
      <c r="C193" s="396">
        <f t="shared" si="8"/>
        <v>863.73698630137233</v>
      </c>
      <c r="D193" s="3076">
        <f t="shared" si="6"/>
        <v>5.7254047407702728</v>
      </c>
      <c r="E193" s="3077">
        <f t="shared" si="7"/>
        <v>0</v>
      </c>
    </row>
    <row r="194" spans="1:5" x14ac:dyDescent="0.15">
      <c r="A194" s="3074">
        <v>45484</v>
      </c>
      <c r="B194" s="3075">
        <f>SUM('2018+'!$H$2194:H2386)</f>
        <v>876.24310239867339</v>
      </c>
      <c r="C194" s="396">
        <f t="shared" si="8"/>
        <v>868.23561643835865</v>
      </c>
      <c r="D194" s="3076">
        <f t="shared" si="6"/>
        <v>8.0074859603147388</v>
      </c>
      <c r="E194" s="3077">
        <f t="shared" si="7"/>
        <v>0</v>
      </c>
    </row>
    <row r="195" spans="1:5" x14ac:dyDescent="0.15">
      <c r="A195" s="3074">
        <v>45485</v>
      </c>
      <c r="B195" s="3075">
        <f>SUM('2018+'!$H$2194:H2387)</f>
        <v>881.32863591607156</v>
      </c>
      <c r="C195" s="396">
        <f t="shared" si="8"/>
        <v>872.73424657534497</v>
      </c>
      <c r="D195" s="3076">
        <f t="shared" ref="D195:D258" si="9">IF(B195-C195&gt;0,B195-C195,0)</f>
        <v>8.5943893407265932</v>
      </c>
      <c r="E195" s="3077">
        <f t="shared" ref="E195:E258" si="10">IF(B195-C195&lt;=0,B195-C195,0)</f>
        <v>0</v>
      </c>
    </row>
    <row r="196" spans="1:5" x14ac:dyDescent="0.15">
      <c r="A196" s="3074">
        <v>45486</v>
      </c>
      <c r="B196" s="3075">
        <f>SUM('2018+'!$H$2194:H2388)</f>
        <v>881.32863591607156</v>
      </c>
      <c r="C196" s="396">
        <f t="shared" ref="C196:C259" si="11">C195+(1642/365)</f>
        <v>877.23287671233129</v>
      </c>
      <c r="D196" s="3076">
        <f t="shared" si="9"/>
        <v>4.0957592037402719</v>
      </c>
      <c r="E196" s="3077">
        <f t="shared" si="10"/>
        <v>0</v>
      </c>
    </row>
    <row r="197" spans="1:5" x14ac:dyDescent="0.15">
      <c r="A197" s="3074">
        <v>45487</v>
      </c>
      <c r="B197" s="3075">
        <f>SUM('2018+'!$H$2194:H2389)</f>
        <v>891.4997029508678</v>
      </c>
      <c r="C197" s="396">
        <f t="shared" si="11"/>
        <v>881.73150684931761</v>
      </c>
      <c r="D197" s="3076">
        <f t="shared" si="9"/>
        <v>9.7681961015501884</v>
      </c>
      <c r="E197" s="3077">
        <f t="shared" si="10"/>
        <v>0</v>
      </c>
    </row>
    <row r="198" spans="1:5" x14ac:dyDescent="0.15">
      <c r="A198" s="3074">
        <v>45488</v>
      </c>
      <c r="B198" s="3075">
        <f>SUM('2018+'!$H$2194:H2390)</f>
        <v>896.58523646826598</v>
      </c>
      <c r="C198" s="396">
        <f t="shared" si="11"/>
        <v>886.23013698630393</v>
      </c>
      <c r="D198" s="3076">
        <f t="shared" si="9"/>
        <v>10.355099481962043</v>
      </c>
      <c r="E198" s="3077">
        <f t="shared" si="10"/>
        <v>0</v>
      </c>
    </row>
    <row r="199" spans="1:5" x14ac:dyDescent="0.15">
      <c r="A199" s="3074">
        <v>45489</v>
      </c>
      <c r="B199" s="3075">
        <f>SUM('2018+'!$H$2194:H2391)</f>
        <v>901.67076998566415</v>
      </c>
      <c r="C199" s="396">
        <f t="shared" si="11"/>
        <v>890.72876712329025</v>
      </c>
      <c r="D199" s="3076">
        <f t="shared" si="9"/>
        <v>10.942002862373897</v>
      </c>
      <c r="E199" s="3077">
        <f t="shared" si="10"/>
        <v>0</v>
      </c>
    </row>
    <row r="200" spans="1:5" x14ac:dyDescent="0.15">
      <c r="A200" s="3074">
        <v>45490</v>
      </c>
      <c r="B200" s="3075">
        <f>SUM('2018+'!$H$2194:H2392)</f>
        <v>901.67076998566415</v>
      </c>
      <c r="C200" s="396">
        <f t="shared" si="11"/>
        <v>895.22739726027658</v>
      </c>
      <c r="D200" s="3076">
        <f t="shared" si="9"/>
        <v>6.4433727253875759</v>
      </c>
      <c r="E200" s="3077">
        <f t="shared" si="10"/>
        <v>0</v>
      </c>
    </row>
    <row r="201" spans="1:5" x14ac:dyDescent="0.15">
      <c r="A201" s="3074">
        <v>45491</v>
      </c>
      <c r="B201" s="3075">
        <f>SUM('2018+'!$H$2194:H2393)</f>
        <v>908.45148134219494</v>
      </c>
      <c r="C201" s="396">
        <f t="shared" si="11"/>
        <v>899.7260273972629</v>
      </c>
      <c r="D201" s="3076">
        <f t="shared" si="9"/>
        <v>8.7254539449320418</v>
      </c>
      <c r="E201" s="3077">
        <f t="shared" si="10"/>
        <v>0</v>
      </c>
    </row>
    <row r="202" spans="1:5" x14ac:dyDescent="0.15">
      <c r="A202" s="3074">
        <v>45492</v>
      </c>
      <c r="B202" s="3075">
        <f>SUM('2018+'!$H$2194:H2394)</f>
        <v>913.53701485959311</v>
      </c>
      <c r="C202" s="396">
        <f t="shared" si="11"/>
        <v>904.22465753424922</v>
      </c>
      <c r="D202" s="3076">
        <f t="shared" si="9"/>
        <v>9.3123573253438963</v>
      </c>
      <c r="E202" s="3077">
        <f t="shared" si="10"/>
        <v>0</v>
      </c>
    </row>
    <row r="203" spans="1:5" x14ac:dyDescent="0.15">
      <c r="A203" s="3074">
        <v>45493</v>
      </c>
      <c r="B203" s="3075">
        <f>SUM('2018+'!$H$2194:H2395)</f>
        <v>913.53701485959311</v>
      </c>
      <c r="C203" s="396">
        <f t="shared" si="11"/>
        <v>908.72328767123554</v>
      </c>
      <c r="D203" s="3076">
        <f t="shared" si="9"/>
        <v>4.813727188357575</v>
      </c>
      <c r="E203" s="3077">
        <f t="shared" si="10"/>
        <v>0</v>
      </c>
    </row>
    <row r="204" spans="1:5" x14ac:dyDescent="0.15">
      <c r="A204" s="3074">
        <v>45494</v>
      </c>
      <c r="B204" s="3075">
        <f>SUM('2018+'!$H$2194:H2396)</f>
        <v>923.70808189438935</v>
      </c>
      <c r="C204" s="396">
        <f t="shared" si="11"/>
        <v>913.22191780822186</v>
      </c>
      <c r="D204" s="3076">
        <f t="shared" si="9"/>
        <v>10.486164086167491</v>
      </c>
      <c r="E204" s="3077">
        <f t="shared" si="10"/>
        <v>0</v>
      </c>
    </row>
    <row r="205" spans="1:5" x14ac:dyDescent="0.15">
      <c r="A205" s="3074">
        <v>45495</v>
      </c>
      <c r="B205" s="3075">
        <f>SUM('2018+'!$H$2194:H2397)</f>
        <v>931.33638217048656</v>
      </c>
      <c r="C205" s="396">
        <f t="shared" si="11"/>
        <v>917.72054794520818</v>
      </c>
      <c r="D205" s="3076">
        <f t="shared" si="9"/>
        <v>13.615834225278377</v>
      </c>
      <c r="E205" s="3077">
        <f t="shared" si="10"/>
        <v>0</v>
      </c>
    </row>
    <row r="206" spans="1:5" x14ac:dyDescent="0.15">
      <c r="A206" s="3074">
        <v>45496</v>
      </c>
      <c r="B206" s="3075">
        <f>SUM('2018+'!$H$2194:H2398)</f>
        <v>938.96468244658377</v>
      </c>
      <c r="C206" s="396">
        <f t="shared" si="11"/>
        <v>922.2191780821945</v>
      </c>
      <c r="D206" s="3076">
        <f t="shared" si="9"/>
        <v>16.745504364389262</v>
      </c>
      <c r="E206" s="3077">
        <f t="shared" si="10"/>
        <v>0</v>
      </c>
    </row>
    <row r="207" spans="1:5" x14ac:dyDescent="0.15">
      <c r="A207" s="3074">
        <v>45497</v>
      </c>
      <c r="B207" s="3075">
        <f>SUM('2018+'!$H$2194:H2399)</f>
        <v>946.5272562838561</v>
      </c>
      <c r="C207" s="396">
        <f t="shared" si="11"/>
        <v>926.71780821918082</v>
      </c>
      <c r="D207" s="3076">
        <f t="shared" si="9"/>
        <v>19.80944806467528</v>
      </c>
      <c r="E207" s="3077">
        <f t="shared" si="10"/>
        <v>0</v>
      </c>
    </row>
    <row r="208" spans="1:5" x14ac:dyDescent="0.15">
      <c r="A208" s="3074">
        <v>45498</v>
      </c>
      <c r="B208" s="3075">
        <f>SUM('2018+'!$H$2194:H2400)</f>
        <v>954.15555655995331</v>
      </c>
      <c r="C208" s="396">
        <f t="shared" si="11"/>
        <v>931.21643835616715</v>
      </c>
      <c r="D208" s="3076">
        <f t="shared" si="9"/>
        <v>22.939118203786165</v>
      </c>
      <c r="E208" s="3077">
        <f t="shared" si="10"/>
        <v>0</v>
      </c>
    </row>
    <row r="209" spans="1:5" x14ac:dyDescent="0.15">
      <c r="A209" s="3074">
        <v>45499</v>
      </c>
      <c r="B209" s="3075">
        <f>SUM('2018+'!$H$2194:H2401)</f>
        <v>961.78385683605052</v>
      </c>
      <c r="C209" s="396">
        <f t="shared" si="11"/>
        <v>935.71506849315347</v>
      </c>
      <c r="D209" s="3076">
        <f t="shared" si="9"/>
        <v>26.068788342897051</v>
      </c>
      <c r="E209" s="3077">
        <f t="shared" si="10"/>
        <v>0</v>
      </c>
    </row>
    <row r="210" spans="1:5" x14ac:dyDescent="0.15">
      <c r="A210" s="3074">
        <v>45500</v>
      </c>
      <c r="B210" s="3075">
        <f>SUM('2018+'!$H$2194:H2402)</f>
        <v>977.04045738824493</v>
      </c>
      <c r="C210" s="396">
        <f t="shared" si="11"/>
        <v>940.21369863013979</v>
      </c>
      <c r="D210" s="3076">
        <f t="shared" si="9"/>
        <v>36.826758758105143</v>
      </c>
      <c r="E210" s="3077">
        <f t="shared" si="10"/>
        <v>0</v>
      </c>
    </row>
    <row r="211" spans="1:5" x14ac:dyDescent="0.15">
      <c r="A211" s="3074">
        <v>45501</v>
      </c>
      <c r="B211" s="3075">
        <f>SUM('2018+'!$H$2194:H2403)</f>
        <v>977.04045738824493</v>
      </c>
      <c r="C211" s="396">
        <f t="shared" si="11"/>
        <v>944.71232876712611</v>
      </c>
      <c r="D211" s="3076">
        <f t="shared" si="9"/>
        <v>32.328128621118822</v>
      </c>
      <c r="E211" s="3077">
        <f t="shared" si="10"/>
        <v>0</v>
      </c>
    </row>
    <row r="212" spans="1:5" x14ac:dyDescent="0.15">
      <c r="A212" s="3074">
        <v>45502</v>
      </c>
      <c r="B212" s="3075">
        <f>SUM('2018+'!$H$2194:H2404)</f>
        <v>984.66875766434214</v>
      </c>
      <c r="C212" s="396">
        <f t="shared" si="11"/>
        <v>949.21095890411243</v>
      </c>
      <c r="D212" s="3076">
        <f t="shared" si="9"/>
        <v>35.457798760229707</v>
      </c>
      <c r="E212" s="3077">
        <f t="shared" si="10"/>
        <v>0</v>
      </c>
    </row>
    <row r="213" spans="1:5" x14ac:dyDescent="0.15">
      <c r="A213" s="3074">
        <v>45503</v>
      </c>
      <c r="B213" s="3075">
        <f>SUM('2018+'!$H$2194:H2405)</f>
        <v>992.29705794043934</v>
      </c>
      <c r="C213" s="396">
        <f t="shared" si="11"/>
        <v>953.70958904109875</v>
      </c>
      <c r="D213" s="3076">
        <f t="shared" si="9"/>
        <v>38.587468899340593</v>
      </c>
      <c r="E213" s="3077">
        <f t="shared" si="10"/>
        <v>0</v>
      </c>
    </row>
    <row r="214" spans="1:5" x14ac:dyDescent="0.15">
      <c r="A214" s="3074">
        <v>45504</v>
      </c>
      <c r="B214" s="3075">
        <f>SUM('2018+'!$H$2194:H2406)</f>
        <v>999.85963177771168</v>
      </c>
      <c r="C214" s="396">
        <f t="shared" si="11"/>
        <v>958.20821917808507</v>
      </c>
      <c r="D214" s="3076">
        <f t="shared" si="9"/>
        <v>41.65141259962661</v>
      </c>
      <c r="E214" s="3077">
        <f t="shared" si="10"/>
        <v>0</v>
      </c>
    </row>
    <row r="215" spans="1:5" x14ac:dyDescent="0.15">
      <c r="A215" s="3074">
        <v>45505</v>
      </c>
      <c r="B215" s="3075">
        <f>SUM('2018+'!$H$2194:H2407)</f>
        <v>1007.4879320538089</v>
      </c>
      <c r="C215" s="396">
        <f t="shared" si="11"/>
        <v>962.70684931507139</v>
      </c>
      <c r="D215" s="3076">
        <f t="shared" si="9"/>
        <v>44.781082738737496</v>
      </c>
      <c r="E215" s="3077">
        <f t="shared" si="10"/>
        <v>0</v>
      </c>
    </row>
    <row r="216" spans="1:5" x14ac:dyDescent="0.15">
      <c r="A216" s="3074">
        <v>45506</v>
      </c>
      <c r="B216" s="3075">
        <f>SUM('2018+'!$H$2194:H2408)</f>
        <v>1015.1162323299061</v>
      </c>
      <c r="C216" s="396">
        <f t="shared" si="11"/>
        <v>967.20547945205772</v>
      </c>
      <c r="D216" s="3076">
        <f t="shared" si="9"/>
        <v>47.910752877848381</v>
      </c>
      <c r="E216" s="3077">
        <f t="shared" si="10"/>
        <v>0</v>
      </c>
    </row>
    <row r="217" spans="1:5" x14ac:dyDescent="0.15">
      <c r="A217" s="3074">
        <v>45507</v>
      </c>
      <c r="B217" s="3075">
        <f>SUM('2018+'!$H$2194:H2409)</f>
        <v>1032.0680107212331</v>
      </c>
      <c r="C217" s="396">
        <f t="shared" si="11"/>
        <v>971.70410958904404</v>
      </c>
      <c r="D217" s="3076">
        <f t="shared" si="9"/>
        <v>60.363901132189085</v>
      </c>
      <c r="E217" s="3077">
        <f t="shared" si="10"/>
        <v>0</v>
      </c>
    </row>
    <row r="218" spans="1:5" x14ac:dyDescent="0.15">
      <c r="A218" s="3074">
        <v>45508</v>
      </c>
      <c r="B218" s="3075">
        <f>SUM('2018+'!$H$2194:H2410)</f>
        <v>1032.0680107212331</v>
      </c>
      <c r="C218" s="396">
        <f t="shared" si="11"/>
        <v>976.20273972603036</v>
      </c>
      <c r="D218" s="3076">
        <f t="shared" si="9"/>
        <v>55.865270995202764</v>
      </c>
      <c r="E218" s="3077">
        <f t="shared" si="10"/>
        <v>0</v>
      </c>
    </row>
    <row r="219" spans="1:5" x14ac:dyDescent="0.15">
      <c r="A219" s="3074">
        <v>45509</v>
      </c>
      <c r="B219" s="3075">
        <f>SUM('2018+'!$H$2194:H2411)</f>
        <v>1039.6963109973303</v>
      </c>
      <c r="C219" s="396">
        <f t="shared" si="11"/>
        <v>980.70136986301668</v>
      </c>
      <c r="D219" s="3076">
        <f t="shared" si="9"/>
        <v>58.994941134313649</v>
      </c>
      <c r="E219" s="3077">
        <f t="shared" si="10"/>
        <v>0</v>
      </c>
    </row>
    <row r="220" spans="1:5" x14ac:dyDescent="0.15">
      <c r="A220" s="3074">
        <v>45510</v>
      </c>
      <c r="B220" s="3075">
        <f>SUM('2018+'!$H$2194:H2412)</f>
        <v>1048.4464094470268</v>
      </c>
      <c r="C220" s="396">
        <f t="shared" si="11"/>
        <v>985.200000000003</v>
      </c>
      <c r="D220" s="3076">
        <f t="shared" si="9"/>
        <v>63.24640944702378</v>
      </c>
      <c r="E220" s="3077">
        <f t="shared" si="10"/>
        <v>0</v>
      </c>
    </row>
    <row r="221" spans="1:5" x14ac:dyDescent="0.15">
      <c r="A221" s="3074">
        <v>45511</v>
      </c>
      <c r="B221" s="3075">
        <f>SUM('2018+'!$H$2194:H2413)</f>
        <v>1056.074709723124</v>
      </c>
      <c r="C221" s="396">
        <f t="shared" si="11"/>
        <v>989.69863013698932</v>
      </c>
      <c r="D221" s="3076">
        <f t="shared" si="9"/>
        <v>66.376079586134665</v>
      </c>
      <c r="E221" s="3077">
        <f t="shared" si="10"/>
        <v>0</v>
      </c>
    </row>
    <row r="222" spans="1:5" x14ac:dyDescent="0.15">
      <c r="A222" s="3074">
        <v>45512</v>
      </c>
      <c r="B222" s="3075">
        <f>SUM('2018+'!$H$2194:H2414)</f>
        <v>1065.4090151245869</v>
      </c>
      <c r="C222" s="396">
        <f t="shared" si="11"/>
        <v>994.19726027397564</v>
      </c>
      <c r="D222" s="3076">
        <f t="shared" si="9"/>
        <v>71.211754850611214</v>
      </c>
      <c r="E222" s="3077">
        <f t="shared" si="10"/>
        <v>0</v>
      </c>
    </row>
    <row r="223" spans="1:5" x14ac:dyDescent="0.15">
      <c r="A223" s="3074">
        <v>45513</v>
      </c>
      <c r="B223" s="3075">
        <f>SUM('2018+'!$H$2194:H2415)</f>
        <v>1073.0373154006841</v>
      </c>
      <c r="C223" s="396">
        <f t="shared" si="11"/>
        <v>998.69589041096197</v>
      </c>
      <c r="D223" s="3076">
        <f t="shared" si="9"/>
        <v>74.3414249897221</v>
      </c>
      <c r="E223" s="3077">
        <f t="shared" si="10"/>
        <v>0</v>
      </c>
    </row>
    <row r="224" spans="1:5" x14ac:dyDescent="0.15">
      <c r="A224" s="3074">
        <v>45514</v>
      </c>
      <c r="B224" s="3075">
        <f>SUM('2018+'!$H$2194:H2416)</f>
        <v>1091.6842716311439</v>
      </c>
      <c r="C224" s="396">
        <f t="shared" si="11"/>
        <v>1003.1945205479483</v>
      </c>
      <c r="D224" s="3076">
        <f t="shared" si="9"/>
        <v>88.489751083195642</v>
      </c>
      <c r="E224" s="3077">
        <f t="shared" si="10"/>
        <v>0</v>
      </c>
    </row>
    <row r="225" spans="1:5" x14ac:dyDescent="0.15">
      <c r="A225" s="3074">
        <v>45515</v>
      </c>
      <c r="B225" s="3075">
        <f>SUM('2018+'!$H$2194:H2417)</f>
        <v>1091.6842716311439</v>
      </c>
      <c r="C225" s="396">
        <f t="shared" si="11"/>
        <v>1007.6931506849346</v>
      </c>
      <c r="D225" s="3076">
        <f t="shared" si="9"/>
        <v>83.991120946209321</v>
      </c>
      <c r="E225" s="3077">
        <f t="shared" si="10"/>
        <v>0</v>
      </c>
    </row>
    <row r="226" spans="1:5" x14ac:dyDescent="0.15">
      <c r="A226" s="3074">
        <v>45516</v>
      </c>
      <c r="B226" s="3075">
        <f>SUM('2018+'!$H$2194:H2418)</f>
        <v>1091.6842716311439</v>
      </c>
      <c r="C226" s="396">
        <f t="shared" si="11"/>
        <v>1012.1917808219209</v>
      </c>
      <c r="D226" s="3076">
        <f t="shared" si="9"/>
        <v>79.492490809223</v>
      </c>
      <c r="E226" s="3077">
        <f t="shared" si="10"/>
        <v>0</v>
      </c>
    </row>
    <row r="227" spans="1:5" x14ac:dyDescent="0.15">
      <c r="A227" s="3074">
        <v>45517</v>
      </c>
      <c r="B227" s="3075">
        <f>SUM('2018+'!$H$2194:H2419)</f>
        <v>1099.3125719072411</v>
      </c>
      <c r="C227" s="396">
        <f t="shared" si="11"/>
        <v>1016.6904109589073</v>
      </c>
      <c r="D227" s="3076">
        <f t="shared" si="9"/>
        <v>82.622160948333885</v>
      </c>
      <c r="E227" s="3077">
        <f t="shared" si="10"/>
        <v>0</v>
      </c>
    </row>
    <row r="228" spans="1:5" x14ac:dyDescent="0.15">
      <c r="A228" s="3074">
        <v>45518</v>
      </c>
      <c r="B228" s="3075">
        <f>SUM('2018+'!$H$2194:H2420)</f>
        <v>1099.3125719072411</v>
      </c>
      <c r="C228" s="396">
        <f t="shared" si="11"/>
        <v>1021.1890410958936</v>
      </c>
      <c r="D228" s="3076">
        <f t="shared" si="9"/>
        <v>78.123530811347564</v>
      </c>
      <c r="E228" s="3077">
        <f t="shared" si="10"/>
        <v>0</v>
      </c>
    </row>
    <row r="229" spans="1:5" x14ac:dyDescent="0.15">
      <c r="A229" s="3074">
        <v>45519</v>
      </c>
      <c r="B229" s="3075">
        <f>SUM('2018+'!$H$2194:H2421)</f>
        <v>1106.9408721833383</v>
      </c>
      <c r="C229" s="396">
        <f t="shared" si="11"/>
        <v>1025.6876712328799</v>
      </c>
      <c r="D229" s="3076">
        <f t="shared" si="9"/>
        <v>81.253200950458449</v>
      </c>
      <c r="E229" s="3077">
        <f t="shared" si="10"/>
        <v>0</v>
      </c>
    </row>
    <row r="230" spans="1:5" x14ac:dyDescent="0.15">
      <c r="A230" s="3074">
        <v>45520</v>
      </c>
      <c r="B230" s="3075">
        <f>SUM('2018+'!$H$2194:H2422)</f>
        <v>1106.9408721833383</v>
      </c>
      <c r="C230" s="396">
        <f t="shared" si="11"/>
        <v>1030.1863013698662</v>
      </c>
      <c r="D230" s="3076">
        <f t="shared" si="9"/>
        <v>76.754570813472128</v>
      </c>
      <c r="E230" s="3077">
        <f t="shared" si="10"/>
        <v>0</v>
      </c>
    </row>
    <row r="231" spans="1:5" x14ac:dyDescent="0.15">
      <c r="A231" s="3074">
        <v>45521</v>
      </c>
      <c r="B231" s="3075">
        <f>SUM('2018+'!$H$2194:H2423)</f>
        <v>1117.1119392181347</v>
      </c>
      <c r="C231" s="396">
        <f t="shared" si="11"/>
        <v>1034.6849315068525</v>
      </c>
      <c r="D231" s="3076">
        <f t="shared" si="9"/>
        <v>82.427007711282158</v>
      </c>
      <c r="E231" s="3077">
        <f t="shared" si="10"/>
        <v>0</v>
      </c>
    </row>
    <row r="232" spans="1:5" x14ac:dyDescent="0.15">
      <c r="A232" s="3074">
        <v>45522</v>
      </c>
      <c r="B232" s="3075">
        <f>SUM('2018+'!$H$2194:H2424)</f>
        <v>1117.1119392181347</v>
      </c>
      <c r="C232" s="396">
        <f t="shared" si="11"/>
        <v>1039.1835616438389</v>
      </c>
      <c r="D232" s="3076">
        <f t="shared" si="9"/>
        <v>77.928377574295837</v>
      </c>
      <c r="E232" s="3077">
        <f t="shared" si="10"/>
        <v>0</v>
      </c>
    </row>
    <row r="233" spans="1:5" x14ac:dyDescent="0.15">
      <c r="A233" s="3074">
        <v>45523</v>
      </c>
      <c r="B233" s="3075">
        <f>SUM('2018+'!$H$2194:H2425)</f>
        <v>1124.7402394942319</v>
      </c>
      <c r="C233" s="396">
        <f t="shared" si="11"/>
        <v>1043.6821917808252</v>
      </c>
      <c r="D233" s="3076">
        <f t="shared" si="9"/>
        <v>81.058047713406722</v>
      </c>
      <c r="E233" s="3077">
        <f t="shared" si="10"/>
        <v>0</v>
      </c>
    </row>
    <row r="234" spans="1:5" x14ac:dyDescent="0.15">
      <c r="A234" s="3074">
        <v>45524</v>
      </c>
      <c r="B234" s="3075">
        <f>SUM('2018+'!$H$2194:H2426)</f>
        <v>1132.3685397703291</v>
      </c>
      <c r="C234" s="396">
        <f t="shared" si="11"/>
        <v>1048.1808219178115</v>
      </c>
      <c r="D234" s="3076">
        <f t="shared" si="9"/>
        <v>84.187717852517608</v>
      </c>
      <c r="E234" s="3077">
        <f t="shared" si="10"/>
        <v>0</v>
      </c>
    </row>
    <row r="235" spans="1:5" x14ac:dyDescent="0.15">
      <c r="A235" s="3074">
        <v>45525</v>
      </c>
      <c r="B235" s="3075">
        <f>SUM('2018+'!$H$2194:H2427)</f>
        <v>1142.5366406636299</v>
      </c>
      <c r="C235" s="396">
        <f t="shared" si="11"/>
        <v>1052.6794520547978</v>
      </c>
      <c r="D235" s="3076">
        <f t="shared" si="9"/>
        <v>89.857188608832075</v>
      </c>
      <c r="E235" s="3077">
        <f t="shared" si="10"/>
        <v>0</v>
      </c>
    </row>
    <row r="236" spans="1:5" x14ac:dyDescent="0.15">
      <c r="A236" s="3074">
        <v>45526</v>
      </c>
      <c r="B236" s="3075">
        <f>SUM('2018+'!$H$2194:H2428)</f>
        <v>1150.1649409397271</v>
      </c>
      <c r="C236" s="396">
        <f t="shared" si="11"/>
        <v>1057.1780821917841</v>
      </c>
      <c r="D236" s="3076">
        <f t="shared" si="9"/>
        <v>92.986858747942961</v>
      </c>
      <c r="E236" s="3077">
        <f t="shared" si="10"/>
        <v>0</v>
      </c>
    </row>
    <row r="237" spans="1:5" x14ac:dyDescent="0.15">
      <c r="A237" s="3074">
        <v>45527</v>
      </c>
      <c r="B237" s="3075">
        <f>SUM('2018+'!$H$2194:H2429)</f>
        <v>1157.7932412158243</v>
      </c>
      <c r="C237" s="396">
        <f t="shared" si="11"/>
        <v>1061.6767123287705</v>
      </c>
      <c r="D237" s="3076">
        <f t="shared" si="9"/>
        <v>96.116528887053846</v>
      </c>
      <c r="E237" s="3077">
        <f t="shared" si="10"/>
        <v>0</v>
      </c>
    </row>
    <row r="238" spans="1:5" x14ac:dyDescent="0.15">
      <c r="A238" s="3074">
        <v>45528</v>
      </c>
      <c r="B238" s="3075">
        <f>SUM('2018+'!$H$2194:H2430)</f>
        <v>1174.7450196071513</v>
      </c>
      <c r="C238" s="396">
        <f t="shared" si="11"/>
        <v>1066.1753424657568</v>
      </c>
      <c r="D238" s="3076">
        <f t="shared" si="9"/>
        <v>108.56967714139455</v>
      </c>
      <c r="E238" s="3077">
        <f t="shared" si="10"/>
        <v>0</v>
      </c>
    </row>
    <row r="239" spans="1:5" x14ac:dyDescent="0.15">
      <c r="A239" s="3074">
        <v>45529</v>
      </c>
      <c r="B239" s="3075">
        <f>SUM('2018+'!$H$2194:H2431)</f>
        <v>1174.7450196071513</v>
      </c>
      <c r="C239" s="396">
        <f t="shared" si="11"/>
        <v>1070.6739726027431</v>
      </c>
      <c r="D239" s="3076">
        <f t="shared" si="9"/>
        <v>104.07104700440823</v>
      </c>
      <c r="E239" s="3077">
        <f t="shared" si="10"/>
        <v>0</v>
      </c>
    </row>
    <row r="240" spans="1:5" x14ac:dyDescent="0.15">
      <c r="A240" s="3074">
        <v>45530</v>
      </c>
      <c r="B240" s="3075">
        <f>SUM('2018+'!$H$2194:H2432)</f>
        <v>1182.3733198832485</v>
      </c>
      <c r="C240" s="396">
        <f t="shared" si="11"/>
        <v>1075.1726027397294</v>
      </c>
      <c r="D240" s="3076">
        <f t="shared" si="9"/>
        <v>107.20071714351911</v>
      </c>
      <c r="E240" s="3077">
        <f t="shared" si="10"/>
        <v>0</v>
      </c>
    </row>
    <row r="241" spans="1:5" x14ac:dyDescent="0.15">
      <c r="A241" s="3074">
        <v>45531</v>
      </c>
      <c r="B241" s="3075">
        <f>SUM('2018+'!$H$2194:H2433)</f>
        <v>1190.0016201593457</v>
      </c>
      <c r="C241" s="396">
        <f t="shared" si="11"/>
        <v>1079.6712328767157</v>
      </c>
      <c r="D241" s="3076">
        <f t="shared" si="9"/>
        <v>110.33038728263</v>
      </c>
      <c r="E241" s="3077">
        <f t="shared" si="10"/>
        <v>0</v>
      </c>
    </row>
    <row r="242" spans="1:5" x14ac:dyDescent="0.15">
      <c r="A242" s="3074">
        <v>45532</v>
      </c>
      <c r="B242" s="3075">
        <f>SUM('2018+'!$H$2194:H2434)</f>
        <v>1200.1697210526465</v>
      </c>
      <c r="C242" s="396">
        <f t="shared" si="11"/>
        <v>1084.1698630137021</v>
      </c>
      <c r="D242" s="3076">
        <f t="shared" si="9"/>
        <v>115.99985803894447</v>
      </c>
      <c r="E242" s="3077">
        <f t="shared" si="10"/>
        <v>0</v>
      </c>
    </row>
    <row r="243" spans="1:5" x14ac:dyDescent="0.15">
      <c r="A243" s="3074">
        <v>45533</v>
      </c>
      <c r="B243" s="3075">
        <f>SUM('2018+'!$H$2194:H2435)</f>
        <v>1207.7980213287437</v>
      </c>
      <c r="C243" s="396">
        <f t="shared" si="11"/>
        <v>1088.6684931506884</v>
      </c>
      <c r="D243" s="3076">
        <f t="shared" si="9"/>
        <v>119.12952817805535</v>
      </c>
      <c r="E243" s="3077">
        <f t="shared" si="10"/>
        <v>0</v>
      </c>
    </row>
    <row r="244" spans="1:5" x14ac:dyDescent="0.15">
      <c r="A244" s="3074">
        <v>45534</v>
      </c>
      <c r="B244" s="3075">
        <f>SUM('2018+'!$H$2194:H2436)</f>
        <v>1215.426321604841</v>
      </c>
      <c r="C244" s="396">
        <f t="shared" si="11"/>
        <v>1093.1671232876747</v>
      </c>
      <c r="D244" s="3076">
        <f t="shared" si="9"/>
        <v>122.25919831716624</v>
      </c>
      <c r="E244" s="3077">
        <f t="shared" si="10"/>
        <v>0</v>
      </c>
    </row>
    <row r="245" spans="1:5" x14ac:dyDescent="0.15">
      <c r="A245" s="3074">
        <v>45535</v>
      </c>
      <c r="B245" s="3075">
        <f>SUM('2018+'!$H$2194:H2437)</f>
        <v>1234.0732778353008</v>
      </c>
      <c r="C245" s="396">
        <f t="shared" si="11"/>
        <v>1097.665753424661</v>
      </c>
      <c r="D245" s="3076">
        <f t="shared" si="9"/>
        <v>136.40752441063978</v>
      </c>
      <c r="E245" s="3077">
        <f t="shared" si="10"/>
        <v>0</v>
      </c>
    </row>
    <row r="246" spans="1:5" x14ac:dyDescent="0.15">
      <c r="A246" s="3074">
        <v>45536</v>
      </c>
      <c r="B246" s="3075">
        <f>SUM('2018+'!$H$2194:H2438)</f>
        <v>1234.0732778353008</v>
      </c>
      <c r="C246" s="396">
        <f t="shared" si="11"/>
        <v>1102.1643835616474</v>
      </c>
      <c r="D246" s="3076">
        <f t="shared" si="9"/>
        <v>131.90889427365346</v>
      </c>
      <c r="E246" s="3077">
        <f t="shared" si="10"/>
        <v>0</v>
      </c>
    </row>
    <row r="247" spans="1:5" x14ac:dyDescent="0.15">
      <c r="A247" s="3074">
        <v>45537</v>
      </c>
      <c r="B247" s="3075">
        <f>SUM('2018+'!$H$2194:H2439)</f>
        <v>1241.701578111398</v>
      </c>
      <c r="C247" s="396">
        <f t="shared" si="11"/>
        <v>1106.6630136986337</v>
      </c>
      <c r="D247" s="3076">
        <f t="shared" si="9"/>
        <v>135.03856441276434</v>
      </c>
      <c r="E247" s="3077">
        <f t="shared" si="10"/>
        <v>0</v>
      </c>
    </row>
    <row r="248" spans="1:5" x14ac:dyDescent="0.15">
      <c r="A248" s="3074">
        <v>45538</v>
      </c>
      <c r="B248" s="3075">
        <f>SUM('2018+'!$H$2194:H2440)</f>
        <v>1254.0640933066859</v>
      </c>
      <c r="C248" s="396">
        <f t="shared" si="11"/>
        <v>1111.16164383562</v>
      </c>
      <c r="D248" s="3076">
        <f t="shared" si="9"/>
        <v>142.90244947106589</v>
      </c>
      <c r="E248" s="3077">
        <f t="shared" si="10"/>
        <v>0</v>
      </c>
    </row>
    <row r="249" spans="1:5" x14ac:dyDescent="0.15">
      <c r="A249" s="3074">
        <v>45539</v>
      </c>
      <c r="B249" s="3075">
        <f>SUM('2018+'!$H$2194:H2441)</f>
        <v>1261.6923935827831</v>
      </c>
      <c r="C249" s="396">
        <f t="shared" si="11"/>
        <v>1115.6602739726063</v>
      </c>
      <c r="D249" s="3076">
        <f t="shared" si="9"/>
        <v>146.03211961017678</v>
      </c>
      <c r="E249" s="3077">
        <f t="shared" si="10"/>
        <v>0</v>
      </c>
    </row>
    <row r="250" spans="1:5" x14ac:dyDescent="0.15">
      <c r="A250" s="3074">
        <v>45540</v>
      </c>
      <c r="B250" s="3075">
        <f>SUM('2018+'!$H$2194:H2442)</f>
        <v>1271.8444748569425</v>
      </c>
      <c r="C250" s="396">
        <f t="shared" si="11"/>
        <v>1120.1589041095926</v>
      </c>
      <c r="D250" s="3076">
        <f t="shared" si="9"/>
        <v>151.68557074734986</v>
      </c>
      <c r="E250" s="3077">
        <f t="shared" si="10"/>
        <v>0</v>
      </c>
    </row>
    <row r="251" spans="1:5" x14ac:dyDescent="0.15">
      <c r="A251" s="3074">
        <v>45541</v>
      </c>
      <c r="B251" s="3075">
        <f>SUM('2018+'!$H$2194:H2443)</f>
        <v>1279.4727751330397</v>
      </c>
      <c r="C251" s="396">
        <f t="shared" si="11"/>
        <v>1124.657534246579</v>
      </c>
      <c r="D251" s="3076">
        <f t="shared" si="9"/>
        <v>154.81524088646074</v>
      </c>
      <c r="E251" s="3077">
        <f t="shared" si="10"/>
        <v>0</v>
      </c>
    </row>
    <row r="252" spans="1:5" x14ac:dyDescent="0.15">
      <c r="A252" s="3074">
        <v>45542</v>
      </c>
      <c r="B252" s="3075">
        <f>SUM('2018+'!$H$2194:H2444)</f>
        <v>1299.8149092026322</v>
      </c>
      <c r="C252" s="396">
        <f t="shared" si="11"/>
        <v>1129.1561643835653</v>
      </c>
      <c r="D252" s="3076">
        <f t="shared" si="9"/>
        <v>170.6587448190669</v>
      </c>
      <c r="E252" s="3077">
        <f t="shared" si="10"/>
        <v>0</v>
      </c>
    </row>
    <row r="253" spans="1:5" x14ac:dyDescent="0.15">
      <c r="A253" s="3074">
        <v>45543</v>
      </c>
      <c r="B253" s="3075">
        <f>SUM('2018+'!$H$2194:H2445)</f>
        <v>1299.8149092026322</v>
      </c>
      <c r="C253" s="396">
        <f t="shared" si="11"/>
        <v>1133.6547945205516</v>
      </c>
      <c r="D253" s="3076">
        <f t="shared" si="9"/>
        <v>166.16011468208058</v>
      </c>
      <c r="E253" s="3077">
        <f t="shared" si="10"/>
        <v>0</v>
      </c>
    </row>
    <row r="254" spans="1:5" x14ac:dyDescent="0.15">
      <c r="A254" s="3074">
        <v>45544</v>
      </c>
      <c r="B254" s="3075">
        <f>SUM('2018+'!$H$2194:H2446)</f>
        <v>1299.8149092026322</v>
      </c>
      <c r="C254" s="396">
        <f t="shared" si="11"/>
        <v>1138.1534246575379</v>
      </c>
      <c r="D254" s="3076">
        <f t="shared" si="9"/>
        <v>161.66148454509425</v>
      </c>
      <c r="E254" s="3077">
        <f t="shared" si="10"/>
        <v>0</v>
      </c>
    </row>
    <row r="255" spans="1:5" x14ac:dyDescent="0.15">
      <c r="A255" s="3074">
        <v>45545</v>
      </c>
      <c r="B255" s="3075">
        <f>SUM('2018+'!$H$2194:H2447)</f>
        <v>1307.4432094787294</v>
      </c>
      <c r="C255" s="396">
        <f t="shared" si="11"/>
        <v>1142.6520547945242</v>
      </c>
      <c r="D255" s="3076">
        <f t="shared" si="9"/>
        <v>164.79115468420514</v>
      </c>
      <c r="E255" s="3077">
        <f t="shared" si="10"/>
        <v>0</v>
      </c>
    </row>
    <row r="256" spans="1:5" x14ac:dyDescent="0.15">
      <c r="A256" s="3074">
        <v>45546</v>
      </c>
      <c r="B256" s="3075">
        <f>SUM('2018+'!$H$2194:H2448)</f>
        <v>1307.4432094787294</v>
      </c>
      <c r="C256" s="396">
        <f t="shared" si="11"/>
        <v>1147.1506849315106</v>
      </c>
      <c r="D256" s="3076">
        <f t="shared" si="9"/>
        <v>160.29252454721882</v>
      </c>
      <c r="E256" s="3077">
        <f t="shared" si="10"/>
        <v>0</v>
      </c>
    </row>
    <row r="257" spans="1:5" x14ac:dyDescent="0.15">
      <c r="A257" s="3074">
        <v>45547</v>
      </c>
      <c r="B257" s="3075">
        <f>SUM('2018+'!$H$2194:H2449)</f>
        <v>1315.0715097548266</v>
      </c>
      <c r="C257" s="396">
        <f t="shared" si="11"/>
        <v>1151.6493150684969</v>
      </c>
      <c r="D257" s="3076">
        <f t="shared" si="9"/>
        <v>163.4221946863297</v>
      </c>
      <c r="E257" s="3077">
        <f t="shared" si="10"/>
        <v>0</v>
      </c>
    </row>
    <row r="258" spans="1:5" x14ac:dyDescent="0.15">
      <c r="A258" s="3074">
        <v>45548</v>
      </c>
      <c r="B258" s="3075">
        <f>SUM('2018+'!$H$2194:H2450)</f>
        <v>1315.0715097548266</v>
      </c>
      <c r="C258" s="396">
        <f t="shared" si="11"/>
        <v>1156.1479452054832</v>
      </c>
      <c r="D258" s="3076">
        <f t="shared" si="9"/>
        <v>158.92356454934338</v>
      </c>
      <c r="E258" s="3077">
        <f t="shared" si="10"/>
        <v>0</v>
      </c>
    </row>
    <row r="259" spans="1:5" x14ac:dyDescent="0.15">
      <c r="A259" s="3074">
        <v>45549</v>
      </c>
      <c r="B259" s="3075">
        <f>SUM('2018+'!$H$2194:H2451)</f>
        <v>1325.2425767896229</v>
      </c>
      <c r="C259" s="396">
        <f t="shared" si="11"/>
        <v>1160.6465753424695</v>
      </c>
      <c r="D259" s="3076">
        <f t="shared" ref="D259:D322" si="12">IF(B259-C259&gt;0,B259-C259,0)</f>
        <v>164.59600144715341</v>
      </c>
      <c r="E259" s="3077">
        <f t="shared" ref="E259:E322" si="13">IF(B259-C259&lt;=0,B259-C259,0)</f>
        <v>0</v>
      </c>
    </row>
    <row r="260" spans="1:5" x14ac:dyDescent="0.15">
      <c r="A260" s="3074">
        <v>45550</v>
      </c>
      <c r="B260" s="3075">
        <f>SUM('2018+'!$H$2194:H2452)</f>
        <v>1325.2425767896229</v>
      </c>
      <c r="C260" s="396">
        <f t="shared" ref="C260:C323" si="14">C259+(1642/365)</f>
        <v>1165.1452054794559</v>
      </c>
      <c r="D260" s="3076">
        <f t="shared" si="12"/>
        <v>160.09737131016709</v>
      </c>
      <c r="E260" s="3077">
        <f t="shared" si="13"/>
        <v>0</v>
      </c>
    </row>
    <row r="261" spans="1:5" x14ac:dyDescent="0.15">
      <c r="A261" s="3074">
        <v>45551</v>
      </c>
      <c r="B261" s="3075">
        <f>SUM('2018+'!$H$2194:H2453)</f>
        <v>1332.8708770657202</v>
      </c>
      <c r="C261" s="396">
        <f t="shared" si="14"/>
        <v>1169.6438356164422</v>
      </c>
      <c r="D261" s="3076">
        <f t="shared" si="12"/>
        <v>163.22704144927798</v>
      </c>
      <c r="E261" s="3077">
        <f t="shared" si="13"/>
        <v>0</v>
      </c>
    </row>
    <row r="262" spans="1:5" x14ac:dyDescent="0.15">
      <c r="A262" s="3074">
        <v>45552</v>
      </c>
      <c r="B262" s="3075">
        <f>SUM('2018+'!$H$2194:H2454)</f>
        <v>1340.4991773418174</v>
      </c>
      <c r="C262" s="396">
        <f t="shared" si="14"/>
        <v>1174.1424657534285</v>
      </c>
      <c r="D262" s="3076">
        <f t="shared" si="12"/>
        <v>166.35671158838886</v>
      </c>
      <c r="E262" s="3077">
        <f t="shared" si="13"/>
        <v>0</v>
      </c>
    </row>
    <row r="263" spans="1:5" x14ac:dyDescent="0.15">
      <c r="A263" s="3074">
        <v>45553</v>
      </c>
      <c r="B263" s="3075">
        <f>SUM('2018+'!$H$2194:H2455)</f>
        <v>1350.6512586159768</v>
      </c>
      <c r="C263" s="396">
        <f t="shared" si="14"/>
        <v>1178.6410958904148</v>
      </c>
      <c r="D263" s="3076">
        <f t="shared" si="12"/>
        <v>172.01016272556194</v>
      </c>
      <c r="E263" s="3077">
        <f t="shared" si="13"/>
        <v>0</v>
      </c>
    </row>
    <row r="264" spans="1:5" x14ac:dyDescent="0.15">
      <c r="A264" s="3074">
        <v>45554</v>
      </c>
      <c r="B264" s="3075">
        <f>SUM('2018+'!$H$2194:H2456)</f>
        <v>1358.279558892074</v>
      </c>
      <c r="C264" s="396">
        <f t="shared" si="14"/>
        <v>1183.1397260274011</v>
      </c>
      <c r="D264" s="3076">
        <f t="shared" si="12"/>
        <v>175.13983286467283</v>
      </c>
      <c r="E264" s="3077">
        <f t="shared" si="13"/>
        <v>0</v>
      </c>
    </row>
    <row r="265" spans="1:5" x14ac:dyDescent="0.15">
      <c r="A265" s="3074">
        <v>45555</v>
      </c>
      <c r="B265" s="3075">
        <f>SUM('2018+'!$H$2194:H2457)</f>
        <v>1365.9078591681712</v>
      </c>
      <c r="C265" s="396">
        <f t="shared" si="14"/>
        <v>1187.6383561643875</v>
      </c>
      <c r="D265" s="3076">
        <f t="shared" si="12"/>
        <v>178.26950300378371</v>
      </c>
      <c r="E265" s="3077">
        <f t="shared" si="13"/>
        <v>0</v>
      </c>
    </row>
    <row r="266" spans="1:5" x14ac:dyDescent="0.15">
      <c r="A266" s="3074">
        <v>45556</v>
      </c>
      <c r="B266" s="3075">
        <f>SUM('2018+'!$H$2194:H2458)</f>
        <v>1384.554815398631</v>
      </c>
      <c r="C266" s="396">
        <f t="shared" si="14"/>
        <v>1192.1369863013738</v>
      </c>
      <c r="D266" s="3076">
        <f t="shared" si="12"/>
        <v>192.41782909725725</v>
      </c>
      <c r="E266" s="3077">
        <f t="shared" si="13"/>
        <v>0</v>
      </c>
    </row>
    <row r="267" spans="1:5" x14ac:dyDescent="0.15">
      <c r="A267" s="3074">
        <v>45557</v>
      </c>
      <c r="B267" s="3075">
        <f>SUM('2018+'!$H$2194:H2459)</f>
        <v>1384.554815398631</v>
      </c>
      <c r="C267" s="396">
        <f t="shared" si="14"/>
        <v>1196.6356164383601</v>
      </c>
      <c r="D267" s="3076">
        <f t="shared" si="12"/>
        <v>187.91919896027093</v>
      </c>
      <c r="E267" s="3077">
        <f t="shared" si="13"/>
        <v>0</v>
      </c>
    </row>
    <row r="268" spans="1:5" x14ac:dyDescent="0.15">
      <c r="A268" s="3074">
        <v>45558</v>
      </c>
      <c r="B268" s="3075">
        <f>SUM('2018+'!$H$2194:H2460)</f>
        <v>1392.1831156747282</v>
      </c>
      <c r="C268" s="396">
        <f t="shared" si="14"/>
        <v>1201.1342465753464</v>
      </c>
      <c r="D268" s="3076">
        <f t="shared" si="12"/>
        <v>191.04886909938182</v>
      </c>
      <c r="E268" s="3077">
        <f t="shared" si="13"/>
        <v>0</v>
      </c>
    </row>
    <row r="269" spans="1:5" x14ac:dyDescent="0.15">
      <c r="A269" s="3074">
        <v>45559</v>
      </c>
      <c r="B269" s="3075">
        <f>SUM('2018+'!$H$2194:H2461)</f>
        <v>1399.8114159508254</v>
      </c>
      <c r="C269" s="396">
        <f t="shared" si="14"/>
        <v>1205.6328767123327</v>
      </c>
      <c r="D269" s="3076">
        <f t="shared" si="12"/>
        <v>194.1785392384927</v>
      </c>
      <c r="E269" s="3077">
        <f t="shared" si="13"/>
        <v>0</v>
      </c>
    </row>
    <row r="270" spans="1:5" x14ac:dyDescent="0.15">
      <c r="A270" s="3074">
        <v>45560</v>
      </c>
      <c r="B270" s="3075">
        <f>SUM('2018+'!$H$2194:H2462)</f>
        <v>1411.5990489703777</v>
      </c>
      <c r="C270" s="396">
        <f t="shared" si="14"/>
        <v>1210.1315068493191</v>
      </c>
      <c r="D270" s="3076">
        <f t="shared" si="12"/>
        <v>201.46754212105861</v>
      </c>
      <c r="E270" s="3077">
        <f t="shared" si="13"/>
        <v>0</v>
      </c>
    </row>
    <row r="271" spans="1:5" x14ac:dyDescent="0.15">
      <c r="A271" s="3074">
        <v>45561</v>
      </c>
      <c r="B271" s="3075">
        <f>SUM('2018+'!$H$2194:H2463)</f>
        <v>1419.2273492464749</v>
      </c>
      <c r="C271" s="396">
        <f t="shared" si="14"/>
        <v>1214.6301369863054</v>
      </c>
      <c r="D271" s="3076">
        <f t="shared" si="12"/>
        <v>204.5972122601695</v>
      </c>
      <c r="E271" s="3077">
        <f t="shared" si="13"/>
        <v>0</v>
      </c>
    </row>
    <row r="272" spans="1:5" x14ac:dyDescent="0.15">
      <c r="A272" s="3074">
        <v>45562</v>
      </c>
      <c r="B272" s="3075">
        <f>SUM('2018+'!$H$2194:H2464)</f>
        <v>1426.8556495225721</v>
      </c>
      <c r="C272" s="396">
        <f t="shared" si="14"/>
        <v>1219.1287671232917</v>
      </c>
      <c r="D272" s="3076">
        <f t="shared" si="12"/>
        <v>207.72688239928038</v>
      </c>
      <c r="E272" s="3077">
        <f t="shared" si="13"/>
        <v>0</v>
      </c>
    </row>
    <row r="273" spans="1:5" x14ac:dyDescent="0.15">
      <c r="A273" s="3074">
        <v>45563</v>
      </c>
      <c r="B273" s="3075">
        <f>SUM('2018+'!$H$2194:H2465)</f>
        <v>1447.1977835921646</v>
      </c>
      <c r="C273" s="396">
        <f t="shared" si="14"/>
        <v>1223.627397260278</v>
      </c>
      <c r="D273" s="3076">
        <f t="shared" si="12"/>
        <v>223.57038633188654</v>
      </c>
      <c r="E273" s="3077">
        <f t="shared" si="13"/>
        <v>0</v>
      </c>
    </row>
    <row r="274" spans="1:5" x14ac:dyDescent="0.15">
      <c r="A274" s="3074">
        <v>45564</v>
      </c>
      <c r="B274" s="3075">
        <f>SUM('2018+'!$H$2194:H2466)</f>
        <v>1447.1977835921646</v>
      </c>
      <c r="C274" s="396">
        <f t="shared" si="14"/>
        <v>1228.1260273972644</v>
      </c>
      <c r="D274" s="3076">
        <f t="shared" si="12"/>
        <v>219.07175619490022</v>
      </c>
      <c r="E274" s="3077">
        <f t="shared" si="13"/>
        <v>0</v>
      </c>
    </row>
    <row r="275" spans="1:5" x14ac:dyDescent="0.15">
      <c r="A275" s="3074">
        <v>45565</v>
      </c>
      <c r="B275" s="3075">
        <f>SUM('2018+'!$H$2194:H2467)</f>
        <v>1454.8260838682618</v>
      </c>
      <c r="C275" s="396">
        <f t="shared" si="14"/>
        <v>1232.6246575342507</v>
      </c>
      <c r="D275" s="3076">
        <f t="shared" si="12"/>
        <v>222.2014263340111</v>
      </c>
      <c r="E275" s="3077">
        <f t="shared" si="13"/>
        <v>0</v>
      </c>
    </row>
    <row r="276" spans="1:5" x14ac:dyDescent="0.15">
      <c r="A276" s="3074">
        <v>45566</v>
      </c>
      <c r="B276" s="3075">
        <f>SUM('2018+'!$H$2194:H2468)</f>
        <v>1462.454384144359</v>
      </c>
      <c r="C276" s="396">
        <f t="shared" si="14"/>
        <v>1237.123287671237</v>
      </c>
      <c r="D276" s="3076">
        <f t="shared" si="12"/>
        <v>225.33109647312199</v>
      </c>
      <c r="E276" s="3077">
        <f t="shared" si="13"/>
        <v>0</v>
      </c>
    </row>
    <row r="277" spans="1:5" x14ac:dyDescent="0.15">
      <c r="A277" s="3074">
        <v>45567</v>
      </c>
      <c r="B277" s="3075">
        <f>SUM('2018+'!$H$2194:H2469)</f>
        <v>1475.877568909304</v>
      </c>
      <c r="C277" s="396">
        <f t="shared" si="14"/>
        <v>1241.6219178082233</v>
      </c>
      <c r="D277" s="3076">
        <f t="shared" si="12"/>
        <v>234.25565110108073</v>
      </c>
      <c r="E277" s="3077">
        <f t="shared" si="13"/>
        <v>0</v>
      </c>
    </row>
    <row r="278" spans="1:5" x14ac:dyDescent="0.15">
      <c r="A278" s="3074">
        <v>45568</v>
      </c>
      <c r="B278" s="3075">
        <f>SUM('2018+'!$H$2194:H2470)</f>
        <v>1483.5058691854013</v>
      </c>
      <c r="C278" s="396">
        <f t="shared" si="14"/>
        <v>1246.1205479452096</v>
      </c>
      <c r="D278" s="3076">
        <f t="shared" si="12"/>
        <v>237.38532124019162</v>
      </c>
      <c r="E278" s="3077">
        <f t="shared" si="13"/>
        <v>0</v>
      </c>
    </row>
    <row r="279" spans="1:5" x14ac:dyDescent="0.15">
      <c r="A279" s="3074">
        <v>45569</v>
      </c>
      <c r="B279" s="3075">
        <f>SUM('2018+'!$H$2194:H2471)</f>
        <v>1491.1341694614985</v>
      </c>
      <c r="C279" s="396">
        <f t="shared" si="14"/>
        <v>1250.619178082196</v>
      </c>
      <c r="D279" s="3076">
        <f t="shared" si="12"/>
        <v>240.5149913793025</v>
      </c>
      <c r="E279" s="3077">
        <f t="shared" si="13"/>
        <v>0</v>
      </c>
    </row>
    <row r="280" spans="1:5" x14ac:dyDescent="0.15">
      <c r="A280" s="3074">
        <v>45570</v>
      </c>
      <c r="B280" s="3075">
        <f>SUM('2018+'!$H$2194:H2472)</f>
        <v>1516.1341694614985</v>
      </c>
      <c r="C280" s="396">
        <f t="shared" si="14"/>
        <v>1255.1178082191823</v>
      </c>
      <c r="D280" s="3076">
        <f t="shared" si="12"/>
        <v>261.01636124231618</v>
      </c>
      <c r="E280" s="3077">
        <f t="shared" si="13"/>
        <v>0</v>
      </c>
    </row>
    <row r="281" spans="1:5" x14ac:dyDescent="0.15">
      <c r="A281" s="3074">
        <v>45571</v>
      </c>
      <c r="B281" s="3075">
        <f>SUM('2018+'!$H$2194:H2473)</f>
        <v>1516.1341694614985</v>
      </c>
      <c r="C281" s="396">
        <f t="shared" si="14"/>
        <v>1259.6164383561686</v>
      </c>
      <c r="D281" s="3076">
        <f t="shared" si="12"/>
        <v>256.51773110532986</v>
      </c>
      <c r="E281" s="3077">
        <f t="shared" si="13"/>
        <v>0</v>
      </c>
    </row>
    <row r="282" spans="1:5" x14ac:dyDescent="0.15">
      <c r="A282" s="3074">
        <v>45572</v>
      </c>
      <c r="B282" s="3075">
        <f>SUM('2018+'!$H$2194:H2474)</f>
        <v>1523.7624697375957</v>
      </c>
      <c r="C282" s="396">
        <f t="shared" si="14"/>
        <v>1264.1150684931549</v>
      </c>
      <c r="D282" s="3076">
        <f t="shared" si="12"/>
        <v>259.64740124444074</v>
      </c>
      <c r="E282" s="3077">
        <f t="shared" si="13"/>
        <v>0</v>
      </c>
    </row>
    <row r="283" spans="1:5" x14ac:dyDescent="0.15">
      <c r="A283" s="3074">
        <v>45573</v>
      </c>
      <c r="B283" s="3075">
        <f>SUM('2018+'!$H$2194:H2475)</f>
        <v>1523.7624697375957</v>
      </c>
      <c r="C283" s="396">
        <f t="shared" si="14"/>
        <v>1268.6136986301412</v>
      </c>
      <c r="D283" s="3076">
        <f t="shared" si="12"/>
        <v>255.14877110745442</v>
      </c>
      <c r="E283" s="3077">
        <f t="shared" si="13"/>
        <v>0</v>
      </c>
    </row>
    <row r="284" spans="1:5" x14ac:dyDescent="0.15">
      <c r="A284" s="3074">
        <v>45574</v>
      </c>
      <c r="B284" s="3075">
        <f>SUM('2018+'!$H$2194:H2476)</f>
        <v>1533.933536772392</v>
      </c>
      <c r="C284" s="396">
        <f t="shared" si="14"/>
        <v>1273.1123287671276</v>
      </c>
      <c r="D284" s="3076">
        <f t="shared" si="12"/>
        <v>260.82120800526445</v>
      </c>
      <c r="E284" s="3077">
        <f t="shared" si="13"/>
        <v>0</v>
      </c>
    </row>
    <row r="285" spans="1:5" x14ac:dyDescent="0.15">
      <c r="A285" s="3074">
        <v>45575</v>
      </c>
      <c r="B285" s="3075">
        <f>SUM('2018+'!$H$2194:H2477)</f>
        <v>1533.933536772392</v>
      </c>
      <c r="C285" s="396">
        <f t="shared" si="14"/>
        <v>1277.6109589041139</v>
      </c>
      <c r="D285" s="3076">
        <f t="shared" si="12"/>
        <v>256.32257786827813</v>
      </c>
      <c r="E285" s="3077">
        <f t="shared" si="13"/>
        <v>0</v>
      </c>
    </row>
    <row r="286" spans="1:5" x14ac:dyDescent="0.15">
      <c r="A286" s="3074">
        <v>45576</v>
      </c>
      <c r="B286" s="3075">
        <f>SUM('2018+'!$H$2194:H2478)</f>
        <v>1541.4961106096644</v>
      </c>
      <c r="C286" s="396">
        <f t="shared" si="14"/>
        <v>1282.1095890411002</v>
      </c>
      <c r="D286" s="3076">
        <f t="shared" si="12"/>
        <v>259.38652156856415</v>
      </c>
      <c r="E286" s="3077">
        <f t="shared" si="13"/>
        <v>0</v>
      </c>
    </row>
    <row r="287" spans="1:5" x14ac:dyDescent="0.15">
      <c r="A287" s="3074">
        <v>45577</v>
      </c>
      <c r="B287" s="3075">
        <f>SUM('2018+'!$H$2194:H2479)</f>
        <v>1541.4961106096644</v>
      </c>
      <c r="C287" s="396">
        <f t="shared" si="14"/>
        <v>1286.6082191780865</v>
      </c>
      <c r="D287" s="3076">
        <f t="shared" si="12"/>
        <v>254.88789143157783</v>
      </c>
      <c r="E287" s="3077">
        <f t="shared" si="13"/>
        <v>0</v>
      </c>
    </row>
    <row r="288" spans="1:5" x14ac:dyDescent="0.15">
      <c r="A288" s="3074">
        <v>45578</v>
      </c>
      <c r="B288" s="3075">
        <f>SUM('2018+'!$H$2194:H2480)</f>
        <v>1555.4961106096644</v>
      </c>
      <c r="C288" s="396">
        <f t="shared" si="14"/>
        <v>1291.1068493150729</v>
      </c>
      <c r="D288" s="3076">
        <f t="shared" si="12"/>
        <v>264.38926129459151</v>
      </c>
      <c r="E288" s="3077">
        <f t="shared" si="13"/>
        <v>0</v>
      </c>
    </row>
    <row r="289" spans="1:5" x14ac:dyDescent="0.15">
      <c r="A289" s="3074">
        <v>45579</v>
      </c>
      <c r="B289" s="3075">
        <f>SUM('2018+'!$H$2194:H2481)</f>
        <v>1555.4961106096644</v>
      </c>
      <c r="C289" s="396">
        <f t="shared" si="14"/>
        <v>1295.6054794520592</v>
      </c>
      <c r="D289" s="3076">
        <f t="shared" si="12"/>
        <v>259.89063115760518</v>
      </c>
      <c r="E289" s="3077">
        <f t="shared" si="13"/>
        <v>0</v>
      </c>
    </row>
    <row r="290" spans="1:5" x14ac:dyDescent="0.15">
      <c r="A290" s="3074">
        <v>45580</v>
      </c>
      <c r="B290" s="3075">
        <f>SUM('2018+'!$H$2194:H2482)</f>
        <v>1565.6671776444607</v>
      </c>
      <c r="C290" s="396">
        <f t="shared" si="14"/>
        <v>1300.1041095890455</v>
      </c>
      <c r="D290" s="3076">
        <f t="shared" si="12"/>
        <v>265.56306805541521</v>
      </c>
      <c r="E290" s="3077">
        <f t="shared" si="13"/>
        <v>0</v>
      </c>
    </row>
    <row r="291" spans="1:5" x14ac:dyDescent="0.15">
      <c r="A291" s="3074">
        <v>45581</v>
      </c>
      <c r="B291" s="3075">
        <f>SUM('2018+'!$H$2194:H2483)</f>
        <v>1565.6671776444607</v>
      </c>
      <c r="C291" s="396">
        <f t="shared" si="14"/>
        <v>1304.6027397260318</v>
      </c>
      <c r="D291" s="3076">
        <f t="shared" si="12"/>
        <v>261.06443791842889</v>
      </c>
      <c r="E291" s="3077">
        <f t="shared" si="13"/>
        <v>0</v>
      </c>
    </row>
    <row r="292" spans="1:5" x14ac:dyDescent="0.15">
      <c r="A292" s="3074">
        <v>45582</v>
      </c>
      <c r="B292" s="3075">
        <f>SUM('2018+'!$H$2194:H2484)</f>
        <v>1571.6671776444607</v>
      </c>
      <c r="C292" s="396">
        <f t="shared" si="14"/>
        <v>1309.1013698630181</v>
      </c>
      <c r="D292" s="3076">
        <f t="shared" si="12"/>
        <v>262.56580778144257</v>
      </c>
      <c r="E292" s="3077">
        <f t="shared" si="13"/>
        <v>0</v>
      </c>
    </row>
    <row r="293" spans="1:5" x14ac:dyDescent="0.15">
      <c r="A293" s="3074">
        <v>45583</v>
      </c>
      <c r="B293" s="3075">
        <f>SUM('2018+'!$H$2194:H2485)</f>
        <v>1571.6671776444607</v>
      </c>
      <c r="C293" s="396">
        <f t="shared" si="14"/>
        <v>1313.6000000000045</v>
      </c>
      <c r="D293" s="3076">
        <f t="shared" si="12"/>
        <v>258.06717764445625</v>
      </c>
      <c r="E293" s="3077">
        <f t="shared" si="13"/>
        <v>0</v>
      </c>
    </row>
    <row r="294" spans="1:5" x14ac:dyDescent="0.15">
      <c r="A294" s="3074">
        <v>45584</v>
      </c>
      <c r="B294" s="3075">
        <f>SUM('2018+'!$H$2194:H2486)</f>
        <v>1575.6671776444607</v>
      </c>
      <c r="C294" s="396">
        <f t="shared" si="14"/>
        <v>1318.0986301369908</v>
      </c>
      <c r="D294" s="3076">
        <f t="shared" si="12"/>
        <v>257.56854750746993</v>
      </c>
      <c r="E294" s="3077">
        <f t="shared" si="13"/>
        <v>0</v>
      </c>
    </row>
    <row r="295" spans="1:5" x14ac:dyDescent="0.15">
      <c r="A295" s="3074">
        <v>45585</v>
      </c>
      <c r="B295" s="3075">
        <f>SUM('2018+'!$H$2194:H2487)</f>
        <v>1596.6671776444607</v>
      </c>
      <c r="C295" s="396">
        <f t="shared" si="14"/>
        <v>1322.5972602739771</v>
      </c>
      <c r="D295" s="3076">
        <f t="shared" si="12"/>
        <v>274.06991737048361</v>
      </c>
      <c r="E295" s="3077">
        <f t="shared" si="13"/>
        <v>0</v>
      </c>
    </row>
    <row r="296" spans="1:5" x14ac:dyDescent="0.15">
      <c r="A296" s="3074">
        <v>45586</v>
      </c>
      <c r="B296" s="3075">
        <f>SUM('2018+'!$H$2194:H2488)</f>
        <v>1596.6671776444607</v>
      </c>
      <c r="C296" s="396">
        <f t="shared" si="14"/>
        <v>1327.0958904109634</v>
      </c>
      <c r="D296" s="3076">
        <f t="shared" si="12"/>
        <v>269.57128723349729</v>
      </c>
      <c r="E296" s="3077">
        <f t="shared" si="13"/>
        <v>0</v>
      </c>
    </row>
    <row r="297" spans="1:5" x14ac:dyDescent="0.15">
      <c r="A297" s="3074">
        <v>45587</v>
      </c>
      <c r="B297" s="3075">
        <f>SUM('2018+'!$H$2194:H2489)</f>
        <v>1596.6671776444607</v>
      </c>
      <c r="C297" s="396">
        <f t="shared" si="14"/>
        <v>1331.5945205479497</v>
      </c>
      <c r="D297" s="3076">
        <f t="shared" si="12"/>
        <v>265.07265709651097</v>
      </c>
      <c r="E297" s="3077">
        <f t="shared" si="13"/>
        <v>0</v>
      </c>
    </row>
    <row r="298" spans="1:5" x14ac:dyDescent="0.15">
      <c r="A298" s="3074">
        <v>45588</v>
      </c>
      <c r="B298" s="3075">
        <f>SUM('2018+'!$H$2194:H2490)</f>
        <v>1596.6671776444607</v>
      </c>
      <c r="C298" s="396">
        <f t="shared" si="14"/>
        <v>1336.0931506849361</v>
      </c>
      <c r="D298" s="3076">
        <f t="shared" si="12"/>
        <v>260.57402695952464</v>
      </c>
      <c r="E298" s="3077">
        <f t="shared" si="13"/>
        <v>0</v>
      </c>
    </row>
    <row r="299" spans="1:5" x14ac:dyDescent="0.15">
      <c r="A299" s="3074">
        <v>45589</v>
      </c>
      <c r="B299" s="3075">
        <f>SUM('2018+'!$H$2194:H2491)</f>
        <v>1596.6671776444607</v>
      </c>
      <c r="C299" s="396">
        <f t="shared" si="14"/>
        <v>1340.5917808219224</v>
      </c>
      <c r="D299" s="3076">
        <f t="shared" si="12"/>
        <v>256.07539682253832</v>
      </c>
      <c r="E299" s="3077">
        <f t="shared" si="13"/>
        <v>0</v>
      </c>
    </row>
    <row r="300" spans="1:5" x14ac:dyDescent="0.15">
      <c r="A300" s="3074">
        <v>45590</v>
      </c>
      <c r="B300" s="3075">
        <f>SUM('2018+'!$H$2194:H2492)</f>
        <v>1596.6671776444607</v>
      </c>
      <c r="C300" s="396">
        <f t="shared" si="14"/>
        <v>1345.0904109589087</v>
      </c>
      <c r="D300" s="3076">
        <f t="shared" si="12"/>
        <v>251.576766685552</v>
      </c>
      <c r="E300" s="3077">
        <f t="shared" si="13"/>
        <v>0</v>
      </c>
    </row>
    <row r="301" spans="1:5" x14ac:dyDescent="0.15">
      <c r="A301" s="3074">
        <v>45591</v>
      </c>
      <c r="B301" s="3075">
        <f>SUM('2018+'!$H$2194:H2493)</f>
        <v>1596.6671776444607</v>
      </c>
      <c r="C301" s="396">
        <f t="shared" si="14"/>
        <v>1349.589041095895</v>
      </c>
      <c r="D301" s="3076">
        <f t="shared" si="12"/>
        <v>247.07813654856568</v>
      </c>
      <c r="E301" s="3077">
        <f t="shared" si="13"/>
        <v>0</v>
      </c>
    </row>
    <row r="302" spans="1:5" x14ac:dyDescent="0.15">
      <c r="A302" s="3074">
        <v>45592</v>
      </c>
      <c r="B302" s="3075">
        <f>SUM('2018+'!$H$2194:H2494)</f>
        <v>1596.6671776444607</v>
      </c>
      <c r="C302" s="396">
        <f t="shared" si="14"/>
        <v>1354.0876712328813</v>
      </c>
      <c r="D302" s="3076">
        <f t="shared" si="12"/>
        <v>242.57950641157936</v>
      </c>
      <c r="E302" s="3077">
        <f t="shared" si="13"/>
        <v>0</v>
      </c>
    </row>
    <row r="303" spans="1:5" x14ac:dyDescent="0.15">
      <c r="A303" s="3074">
        <v>45593</v>
      </c>
      <c r="B303" s="3075">
        <f>SUM('2018+'!$H$2194:H2495)</f>
        <v>1601.7527111618588</v>
      </c>
      <c r="C303" s="396">
        <f t="shared" si="14"/>
        <v>1358.5863013698677</v>
      </c>
      <c r="D303" s="3076">
        <f t="shared" si="12"/>
        <v>243.1664097919911</v>
      </c>
      <c r="E303" s="3077">
        <f t="shared" si="13"/>
        <v>0</v>
      </c>
    </row>
    <row r="304" spans="1:5" x14ac:dyDescent="0.15">
      <c r="A304" s="3074">
        <v>45594</v>
      </c>
      <c r="B304" s="3075">
        <f>SUM('2018+'!$H$2194:H2496)</f>
        <v>1606.8382446792568</v>
      </c>
      <c r="C304" s="396">
        <f t="shared" si="14"/>
        <v>1363.084931506854</v>
      </c>
      <c r="D304" s="3076">
        <f t="shared" si="12"/>
        <v>243.75331317240284</v>
      </c>
      <c r="E304" s="3077">
        <f t="shared" si="13"/>
        <v>0</v>
      </c>
    </row>
    <row r="305" spans="1:20" x14ac:dyDescent="0.15">
      <c r="A305" s="3074">
        <v>45595</v>
      </c>
      <c r="B305" s="3075">
        <f>SUM('2018+'!$H$2194:H2497)</f>
        <v>1606.8382446792568</v>
      </c>
      <c r="C305" s="396">
        <f t="shared" si="14"/>
        <v>1367.5835616438403</v>
      </c>
      <c r="D305" s="3076">
        <f t="shared" si="12"/>
        <v>239.25468303541652</v>
      </c>
      <c r="E305" s="3077">
        <f t="shared" si="13"/>
        <v>0</v>
      </c>
    </row>
    <row r="306" spans="1:20" x14ac:dyDescent="0.15">
      <c r="A306" s="3074">
        <v>45596</v>
      </c>
      <c r="B306" s="3075">
        <f>SUM('2018+'!$H$2194:H2498)</f>
        <v>1611.9237781966549</v>
      </c>
      <c r="C306" s="396">
        <f t="shared" si="14"/>
        <v>1372.0821917808266</v>
      </c>
      <c r="D306" s="3076">
        <f t="shared" si="12"/>
        <v>239.84158641582826</v>
      </c>
      <c r="E306" s="3077">
        <f t="shared" si="13"/>
        <v>0</v>
      </c>
    </row>
    <row r="307" spans="1:20" x14ac:dyDescent="0.15">
      <c r="A307" s="3074">
        <v>45597</v>
      </c>
      <c r="B307" s="3075">
        <f>SUM('2018+'!$H$2194:H2499)</f>
        <v>1617.009311714053</v>
      </c>
      <c r="C307" s="396">
        <f t="shared" si="14"/>
        <v>1376.580821917813</v>
      </c>
      <c r="D307" s="3076">
        <f t="shared" si="12"/>
        <v>240.42848979624</v>
      </c>
      <c r="E307" s="3077">
        <f t="shared" si="13"/>
        <v>0</v>
      </c>
    </row>
    <row r="308" spans="1:20" x14ac:dyDescent="0.15">
      <c r="A308" s="3074">
        <v>45598</v>
      </c>
      <c r="B308" s="3075">
        <f>SUM('2018+'!$H$2194:H2500)</f>
        <v>1617.009311714053</v>
      </c>
      <c r="C308" s="396">
        <f t="shared" si="14"/>
        <v>1381.0794520547993</v>
      </c>
      <c r="D308" s="3076">
        <f t="shared" si="12"/>
        <v>235.92985965925368</v>
      </c>
      <c r="E308" s="3077">
        <f t="shared" si="13"/>
        <v>0</v>
      </c>
    </row>
    <row r="309" spans="1:20" x14ac:dyDescent="0.15">
      <c r="A309" s="3074">
        <v>45599</v>
      </c>
      <c r="B309" s="3075">
        <f>SUM('2018+'!$H$2194:H2501)</f>
        <v>1627.1803787488493</v>
      </c>
      <c r="C309" s="396">
        <f t="shared" si="14"/>
        <v>1385.5780821917856</v>
      </c>
      <c r="D309" s="3076">
        <f t="shared" si="12"/>
        <v>241.60229655706371</v>
      </c>
      <c r="E309" s="3077">
        <f t="shared" si="13"/>
        <v>0</v>
      </c>
    </row>
    <row r="310" spans="1:20" x14ac:dyDescent="0.15">
      <c r="A310" s="3074">
        <v>45600</v>
      </c>
      <c r="B310" s="3075">
        <f>SUM('2018+'!$H$2194:H2502)</f>
        <v>1632.2659122662474</v>
      </c>
      <c r="C310" s="396">
        <f t="shared" si="14"/>
        <v>1390.0767123287719</v>
      </c>
      <c r="D310" s="3076">
        <f t="shared" si="12"/>
        <v>242.18919993747545</v>
      </c>
      <c r="E310" s="3077">
        <f t="shared" si="13"/>
        <v>0</v>
      </c>
    </row>
    <row r="311" spans="1:20" x14ac:dyDescent="0.15">
      <c r="A311" s="3074">
        <v>45601</v>
      </c>
      <c r="B311" s="3075">
        <f>SUM('2018+'!$H$2194:H2503)</f>
        <v>1637.3514457836454</v>
      </c>
      <c r="C311" s="396">
        <f t="shared" si="14"/>
        <v>1394.5753424657582</v>
      </c>
      <c r="D311" s="3076">
        <f t="shared" si="12"/>
        <v>242.77610331788719</v>
      </c>
      <c r="E311" s="3077">
        <f t="shared" si="13"/>
        <v>0</v>
      </c>
    </row>
    <row r="312" spans="1:20" x14ac:dyDescent="0.15">
      <c r="A312" s="3074">
        <v>45602</v>
      </c>
      <c r="B312" s="3075">
        <f>SUM('2018+'!$H$2194:H2504)</f>
        <v>1637.3514457836454</v>
      </c>
      <c r="C312" s="396">
        <f t="shared" si="14"/>
        <v>1399.0739726027446</v>
      </c>
      <c r="D312" s="3076">
        <f t="shared" si="12"/>
        <v>238.27747318090087</v>
      </c>
      <c r="E312" s="3077">
        <f t="shared" si="13"/>
        <v>0</v>
      </c>
    </row>
    <row r="313" spans="1:20" x14ac:dyDescent="0.15">
      <c r="A313" s="3074">
        <v>45603</v>
      </c>
      <c r="B313" s="3075">
        <f>SUM('2018+'!$H$2194:H2505)</f>
        <v>1642.4369793010435</v>
      </c>
      <c r="C313" s="396">
        <f t="shared" si="14"/>
        <v>1403.5726027397309</v>
      </c>
      <c r="D313" s="3076">
        <f t="shared" si="12"/>
        <v>238.86437656131261</v>
      </c>
      <c r="E313" s="3077">
        <f t="shared" si="13"/>
        <v>0</v>
      </c>
    </row>
    <row r="314" spans="1:20" x14ac:dyDescent="0.15">
      <c r="A314" s="3074">
        <v>45604</v>
      </c>
      <c r="B314" s="3075">
        <f>SUM('2018+'!$H$2194:H2506)</f>
        <v>1647.5225128184416</v>
      </c>
      <c r="C314" s="396">
        <f t="shared" si="14"/>
        <v>1408.0712328767172</v>
      </c>
      <c r="D314" s="3076">
        <f t="shared" si="12"/>
        <v>239.45127994172435</v>
      </c>
      <c r="E314" s="3077">
        <f t="shared" si="13"/>
        <v>0</v>
      </c>
    </row>
    <row r="315" spans="1:20" x14ac:dyDescent="0.15">
      <c r="A315" s="3074">
        <v>45605</v>
      </c>
      <c r="B315" s="3075">
        <f>SUM('2018+'!$H$2194:H2507)</f>
        <v>1647.5225128184416</v>
      </c>
      <c r="C315" s="396">
        <f t="shared" si="14"/>
        <v>1412.5698630137035</v>
      </c>
      <c r="D315" s="3076">
        <f t="shared" si="12"/>
        <v>234.95264980473803</v>
      </c>
      <c r="E315" s="3077">
        <f t="shared" si="13"/>
        <v>0</v>
      </c>
      <c r="T315" t="s">
        <v>473</v>
      </c>
    </row>
    <row r="316" spans="1:20" x14ac:dyDescent="0.15">
      <c r="A316" s="3074">
        <v>45606</v>
      </c>
      <c r="B316" s="3075">
        <f>SUM('2018+'!$H$2194:H2508)</f>
        <v>1657.6935798532379</v>
      </c>
      <c r="C316" s="396">
        <f t="shared" si="14"/>
        <v>1417.0684931506898</v>
      </c>
      <c r="D316" s="3076">
        <f t="shared" si="12"/>
        <v>240.62508670254806</v>
      </c>
      <c r="E316" s="3077">
        <f t="shared" si="13"/>
        <v>0</v>
      </c>
    </row>
    <row r="317" spans="1:20" x14ac:dyDescent="0.15">
      <c r="A317" s="3074">
        <v>45607</v>
      </c>
      <c r="B317" s="3075">
        <f>SUM('2018+'!$H$2194:H2509)</f>
        <v>1662.779113370636</v>
      </c>
      <c r="C317" s="396">
        <f t="shared" si="14"/>
        <v>1421.5671232876762</v>
      </c>
      <c r="D317" s="3076">
        <f t="shared" si="12"/>
        <v>241.2119900829598</v>
      </c>
      <c r="E317" s="3077">
        <f t="shared" si="13"/>
        <v>0</v>
      </c>
    </row>
    <row r="318" spans="1:20" x14ac:dyDescent="0.15">
      <c r="A318" s="3074">
        <v>45608</v>
      </c>
      <c r="B318" s="3075">
        <f>SUM('2018+'!$H$2194:H2510)</f>
        <v>1667.864646888034</v>
      </c>
      <c r="C318" s="396">
        <f t="shared" si="14"/>
        <v>1426.0657534246625</v>
      </c>
      <c r="D318" s="3076">
        <f t="shared" si="12"/>
        <v>241.79889346337154</v>
      </c>
      <c r="E318" s="3077">
        <f t="shared" si="13"/>
        <v>0</v>
      </c>
    </row>
    <row r="319" spans="1:20" x14ac:dyDescent="0.15">
      <c r="A319" s="3074">
        <v>45609</v>
      </c>
      <c r="B319" s="3075">
        <f>SUM('2018+'!$H$2194:H2511)</f>
        <v>1667.864646888034</v>
      </c>
      <c r="C319" s="396">
        <f t="shared" si="14"/>
        <v>1430.5643835616488</v>
      </c>
      <c r="D319" s="3076">
        <f t="shared" si="12"/>
        <v>237.30026332638522</v>
      </c>
      <c r="E319" s="3077">
        <f t="shared" si="13"/>
        <v>0</v>
      </c>
    </row>
    <row r="320" spans="1:20" x14ac:dyDescent="0.15">
      <c r="A320" s="3074">
        <v>45610</v>
      </c>
      <c r="B320" s="3075">
        <f>SUM('2018+'!$H$2194:H2512)</f>
        <v>1672.9501804054321</v>
      </c>
      <c r="C320" s="396">
        <f t="shared" si="14"/>
        <v>1435.0630136986351</v>
      </c>
      <c r="D320" s="3076">
        <f t="shared" si="12"/>
        <v>237.88716670679696</v>
      </c>
      <c r="E320" s="3077">
        <f t="shared" si="13"/>
        <v>0</v>
      </c>
    </row>
    <row r="321" spans="1:5" x14ac:dyDescent="0.15">
      <c r="A321" s="3074">
        <v>45611</v>
      </c>
      <c r="B321" s="3075">
        <f>SUM('2018+'!$H$2194:H2513)</f>
        <v>1678.0357139228302</v>
      </c>
      <c r="C321" s="396">
        <f t="shared" si="14"/>
        <v>1439.5616438356215</v>
      </c>
      <c r="D321" s="3076">
        <f t="shared" si="12"/>
        <v>238.4740700872087</v>
      </c>
      <c r="E321" s="3077">
        <f t="shared" si="13"/>
        <v>0</v>
      </c>
    </row>
    <row r="322" spans="1:5" x14ac:dyDescent="0.15">
      <c r="A322" s="3074">
        <v>45612</v>
      </c>
      <c r="B322" s="3075">
        <f>SUM('2018+'!$H$2194:H2514)</f>
        <v>1678.0357139228302</v>
      </c>
      <c r="C322" s="396">
        <f t="shared" si="14"/>
        <v>1444.0602739726078</v>
      </c>
      <c r="D322" s="3076">
        <f t="shared" si="12"/>
        <v>233.97543995022238</v>
      </c>
      <c r="E322" s="3077">
        <f t="shared" si="13"/>
        <v>0</v>
      </c>
    </row>
    <row r="323" spans="1:5" x14ac:dyDescent="0.15">
      <c r="A323" s="3074">
        <v>45613</v>
      </c>
      <c r="B323" s="3075">
        <f>SUM('2018+'!$H$2194:H2515)</f>
        <v>1688.2067809576265</v>
      </c>
      <c r="C323" s="396">
        <f t="shared" si="14"/>
        <v>1448.5589041095941</v>
      </c>
      <c r="D323" s="3076">
        <f t="shared" ref="D323:D367" si="15">IF(B323-C323&gt;0,B323-C323,0)</f>
        <v>239.64787684803241</v>
      </c>
      <c r="E323" s="3077">
        <f t="shared" ref="E323:E367" si="16">IF(B323-C323&lt;=0,B323-C323,0)</f>
        <v>0</v>
      </c>
    </row>
    <row r="324" spans="1:5" x14ac:dyDescent="0.15">
      <c r="A324" s="3074">
        <v>45614</v>
      </c>
      <c r="B324" s="3075">
        <f>SUM('2018+'!$H$2194:H2516)</f>
        <v>1693.2923144750246</v>
      </c>
      <c r="C324" s="396">
        <f t="shared" ref="C324:C367" si="17">C323+(1642/365)</f>
        <v>1453.0575342465804</v>
      </c>
      <c r="D324" s="3076">
        <f t="shared" si="15"/>
        <v>240.23478022844415</v>
      </c>
      <c r="E324" s="3077">
        <f t="shared" si="16"/>
        <v>0</v>
      </c>
    </row>
    <row r="325" spans="1:5" x14ac:dyDescent="0.15">
      <c r="A325" s="3074">
        <v>45615</v>
      </c>
      <c r="B325" s="3075">
        <f>SUM('2018+'!$H$2194:H2517)</f>
        <v>1698.3778479924226</v>
      </c>
      <c r="C325" s="396">
        <f t="shared" si="17"/>
        <v>1457.5561643835667</v>
      </c>
      <c r="D325" s="3076">
        <f t="shared" si="15"/>
        <v>240.82168360885589</v>
      </c>
      <c r="E325" s="3077">
        <f t="shared" si="16"/>
        <v>0</v>
      </c>
    </row>
    <row r="326" spans="1:5" x14ac:dyDescent="0.15">
      <c r="A326" s="3074">
        <v>45616</v>
      </c>
      <c r="B326" s="3075">
        <f>SUM('2018+'!$H$2194:H2518)</f>
        <v>1698.3778479924226</v>
      </c>
      <c r="C326" s="396">
        <f t="shared" si="17"/>
        <v>1462.0547945205531</v>
      </c>
      <c r="D326" s="3076">
        <f t="shared" si="15"/>
        <v>236.32305347186957</v>
      </c>
      <c r="E326" s="3077">
        <f t="shared" si="16"/>
        <v>0</v>
      </c>
    </row>
    <row r="327" spans="1:5" x14ac:dyDescent="0.15">
      <c r="A327" s="3074">
        <v>45617</v>
      </c>
      <c r="B327" s="3075">
        <f>SUM('2018+'!$H$2194:H2519)</f>
        <v>1703.4633815098207</v>
      </c>
      <c r="C327" s="396">
        <f t="shared" si="17"/>
        <v>1466.5534246575394</v>
      </c>
      <c r="D327" s="3076">
        <f t="shared" si="15"/>
        <v>236.90995685228131</v>
      </c>
      <c r="E327" s="3077">
        <f t="shared" si="16"/>
        <v>0</v>
      </c>
    </row>
    <row r="328" spans="1:5" x14ac:dyDescent="0.15">
      <c r="A328" s="3074">
        <v>45618</v>
      </c>
      <c r="B328" s="3075">
        <f>SUM('2018+'!$H$2194:H2520)</f>
        <v>1708.5489150272188</v>
      </c>
      <c r="C328" s="396">
        <f t="shared" si="17"/>
        <v>1471.0520547945257</v>
      </c>
      <c r="D328" s="3076">
        <f t="shared" si="15"/>
        <v>237.49686023269305</v>
      </c>
      <c r="E328" s="3077">
        <f t="shared" si="16"/>
        <v>0</v>
      </c>
    </row>
    <row r="329" spans="1:5" x14ac:dyDescent="0.15">
      <c r="A329" s="3074">
        <v>45619</v>
      </c>
      <c r="B329" s="3075">
        <f>SUM('2018+'!$H$2194:H2521)</f>
        <v>1708.5489150272188</v>
      </c>
      <c r="C329" s="396">
        <f t="shared" si="17"/>
        <v>1475.550684931512</v>
      </c>
      <c r="D329" s="3076">
        <f t="shared" si="15"/>
        <v>232.99823009570673</v>
      </c>
      <c r="E329" s="3077">
        <f t="shared" si="16"/>
        <v>0</v>
      </c>
    </row>
    <row r="330" spans="1:5" x14ac:dyDescent="0.15">
      <c r="A330" s="3074">
        <v>45620</v>
      </c>
      <c r="B330" s="3075">
        <f>SUM('2018+'!$H$2194:H2522)</f>
        <v>1718.7199820620151</v>
      </c>
      <c r="C330" s="396">
        <f t="shared" si="17"/>
        <v>1480.0493150684983</v>
      </c>
      <c r="D330" s="3076">
        <f t="shared" si="15"/>
        <v>238.67066699351676</v>
      </c>
      <c r="E330" s="3077">
        <f t="shared" si="16"/>
        <v>0</v>
      </c>
    </row>
    <row r="331" spans="1:5" x14ac:dyDescent="0.15">
      <c r="A331" s="3074">
        <v>45621</v>
      </c>
      <c r="B331" s="3075">
        <f>SUM('2018+'!$H$2194:H2523)</f>
        <v>1723.8055155794132</v>
      </c>
      <c r="C331" s="396">
        <f t="shared" si="17"/>
        <v>1484.5479452054847</v>
      </c>
      <c r="D331" s="3076">
        <f t="shared" si="15"/>
        <v>239.2575703739285</v>
      </c>
      <c r="E331" s="3077">
        <f t="shared" si="16"/>
        <v>0</v>
      </c>
    </row>
    <row r="332" spans="1:5" x14ac:dyDescent="0.15">
      <c r="A332" s="3074">
        <v>45622</v>
      </c>
      <c r="B332" s="3075">
        <f>SUM('2018+'!$H$2194:H2524)</f>
        <v>1728.8910490968112</v>
      </c>
      <c r="C332" s="396">
        <f t="shared" si="17"/>
        <v>1489.046575342471</v>
      </c>
      <c r="D332" s="3076">
        <f t="shared" si="15"/>
        <v>239.84447375434024</v>
      </c>
      <c r="E332" s="3077">
        <f t="shared" si="16"/>
        <v>0</v>
      </c>
    </row>
    <row r="333" spans="1:5" x14ac:dyDescent="0.15">
      <c r="A333" s="3074">
        <v>45623</v>
      </c>
      <c r="B333" s="3075">
        <f>SUM('2018+'!$H$2194:H2525)</f>
        <v>1728.8910490968112</v>
      </c>
      <c r="C333" s="396">
        <f t="shared" si="17"/>
        <v>1493.5452054794573</v>
      </c>
      <c r="D333" s="3076">
        <f t="shared" si="15"/>
        <v>235.34584361735392</v>
      </c>
      <c r="E333" s="3077">
        <f t="shared" si="16"/>
        <v>0</v>
      </c>
    </row>
    <row r="334" spans="1:5" x14ac:dyDescent="0.15">
      <c r="A334" s="3074">
        <v>45624</v>
      </c>
      <c r="B334" s="3075">
        <f>SUM('2018+'!$H$2194:H2526)</f>
        <v>1733.9765826142093</v>
      </c>
      <c r="C334" s="396">
        <f t="shared" si="17"/>
        <v>1498.0438356164436</v>
      </c>
      <c r="D334" s="3076">
        <f t="shared" si="15"/>
        <v>235.93274699776566</v>
      </c>
      <c r="E334" s="3077">
        <f t="shared" si="16"/>
        <v>0</v>
      </c>
    </row>
    <row r="335" spans="1:5" x14ac:dyDescent="0.15">
      <c r="A335" s="3074">
        <v>45625</v>
      </c>
      <c r="B335" s="3075">
        <f>SUM('2018+'!$H$2194:H2527)</f>
        <v>1739.0621161316074</v>
      </c>
      <c r="C335" s="396">
        <f t="shared" si="17"/>
        <v>1502.54246575343</v>
      </c>
      <c r="D335" s="3076">
        <f t="shared" si="15"/>
        <v>236.5196503781774</v>
      </c>
      <c r="E335" s="3077">
        <f t="shared" si="16"/>
        <v>0</v>
      </c>
    </row>
    <row r="336" spans="1:5" x14ac:dyDescent="0.15">
      <c r="A336" s="3074">
        <v>45626</v>
      </c>
      <c r="B336" s="3075">
        <f>SUM('2018+'!$H$2194:H2528)</f>
        <v>1739.0621161316074</v>
      </c>
      <c r="C336" s="396">
        <f t="shared" si="17"/>
        <v>1507.0410958904163</v>
      </c>
      <c r="D336" s="3076">
        <f t="shared" si="15"/>
        <v>232.02102024119108</v>
      </c>
      <c r="E336" s="3077">
        <f t="shared" si="16"/>
        <v>0</v>
      </c>
    </row>
    <row r="337" spans="1:5" x14ac:dyDescent="0.15">
      <c r="A337" s="3074">
        <v>45627</v>
      </c>
      <c r="B337" s="3075">
        <f>SUM('2018+'!$H$2194:H2529)</f>
        <v>1749.2331831664037</v>
      </c>
      <c r="C337" s="396">
        <f t="shared" si="17"/>
        <v>1511.5397260274026</v>
      </c>
      <c r="D337" s="3076">
        <f t="shared" si="15"/>
        <v>237.69345713900111</v>
      </c>
      <c r="E337" s="3077">
        <f t="shared" si="16"/>
        <v>0</v>
      </c>
    </row>
    <row r="338" spans="1:5" x14ac:dyDescent="0.15">
      <c r="A338" s="3074">
        <v>45628</v>
      </c>
      <c r="B338" s="3075">
        <f>SUM('2018+'!$H$2194:H2530)</f>
        <v>1754.3187166838018</v>
      </c>
      <c r="C338" s="396">
        <f t="shared" si="17"/>
        <v>1516.0383561643889</v>
      </c>
      <c r="D338" s="3076">
        <f t="shared" si="15"/>
        <v>238.28036051941285</v>
      </c>
      <c r="E338" s="3077">
        <f t="shared" si="16"/>
        <v>0</v>
      </c>
    </row>
    <row r="339" spans="1:5" x14ac:dyDescent="0.15">
      <c r="A339" s="3074">
        <v>45629</v>
      </c>
      <c r="B339" s="3075">
        <f>SUM('2018+'!$H$2194:H2531)</f>
        <v>1759.4042502011998</v>
      </c>
      <c r="C339" s="396">
        <f t="shared" si="17"/>
        <v>1520.5369863013752</v>
      </c>
      <c r="D339" s="3076">
        <f t="shared" si="15"/>
        <v>238.86726389982459</v>
      </c>
      <c r="E339" s="3077">
        <f t="shared" si="16"/>
        <v>0</v>
      </c>
    </row>
    <row r="340" spans="1:5" x14ac:dyDescent="0.15">
      <c r="A340" s="3074">
        <v>45630</v>
      </c>
      <c r="B340" s="3075">
        <f>SUM('2018+'!$H$2194:H2532)</f>
        <v>1759.4042502011998</v>
      </c>
      <c r="C340" s="396">
        <f t="shared" si="17"/>
        <v>1525.0356164383616</v>
      </c>
      <c r="D340" s="3076">
        <f t="shared" si="15"/>
        <v>234.36863376283827</v>
      </c>
      <c r="E340" s="3077">
        <f t="shared" si="16"/>
        <v>0</v>
      </c>
    </row>
    <row r="341" spans="1:5" x14ac:dyDescent="0.15">
      <c r="A341" s="3074">
        <v>45631</v>
      </c>
      <c r="B341" s="3075">
        <f>SUM('2018+'!$H$2194:H2533)</f>
        <v>1764.4897837185979</v>
      </c>
      <c r="C341" s="396">
        <f t="shared" si="17"/>
        <v>1529.5342465753479</v>
      </c>
      <c r="D341" s="3076">
        <f t="shared" si="15"/>
        <v>234.95553714325001</v>
      </c>
      <c r="E341" s="3077">
        <f t="shared" si="16"/>
        <v>0</v>
      </c>
    </row>
    <row r="342" spans="1:5" x14ac:dyDescent="0.15">
      <c r="A342" s="3074">
        <v>45632</v>
      </c>
      <c r="B342" s="3075">
        <f>SUM('2018+'!$H$2194:H2534)</f>
        <v>1769.575317235996</v>
      </c>
      <c r="C342" s="396">
        <f t="shared" si="17"/>
        <v>1534.0328767123342</v>
      </c>
      <c r="D342" s="3076">
        <f t="shared" si="15"/>
        <v>235.54244052366175</v>
      </c>
      <c r="E342" s="3077">
        <f t="shared" si="16"/>
        <v>0</v>
      </c>
    </row>
    <row r="343" spans="1:5" x14ac:dyDescent="0.15">
      <c r="A343" s="3074">
        <v>45633</v>
      </c>
      <c r="B343" s="3075">
        <f>SUM('2018+'!$H$2194:H2535)</f>
        <v>1769.575317235996</v>
      </c>
      <c r="C343" s="396">
        <f t="shared" si="17"/>
        <v>1538.5315068493205</v>
      </c>
      <c r="D343" s="3076">
        <f t="shared" si="15"/>
        <v>231.04381038667543</v>
      </c>
      <c r="E343" s="3077">
        <f t="shared" si="16"/>
        <v>0</v>
      </c>
    </row>
    <row r="344" spans="1:5" x14ac:dyDescent="0.15">
      <c r="A344" s="3074">
        <v>45634</v>
      </c>
      <c r="B344" s="3075">
        <f>SUM('2018+'!$H$2194:H2536)</f>
        <v>1779.7463842707923</v>
      </c>
      <c r="C344" s="396">
        <f t="shared" si="17"/>
        <v>1543.0301369863068</v>
      </c>
      <c r="D344" s="3076">
        <f t="shared" si="15"/>
        <v>236.71624728448546</v>
      </c>
      <c r="E344" s="3077">
        <f t="shared" si="16"/>
        <v>0</v>
      </c>
    </row>
    <row r="345" spans="1:5" x14ac:dyDescent="0.15">
      <c r="A345" s="3074">
        <v>45635</v>
      </c>
      <c r="B345" s="3075">
        <f>SUM('2018+'!$H$2194:H2537)</f>
        <v>1784.8319177881904</v>
      </c>
      <c r="C345" s="396">
        <f t="shared" si="17"/>
        <v>1547.5287671232932</v>
      </c>
      <c r="D345" s="3076">
        <f t="shared" si="15"/>
        <v>237.3031506648972</v>
      </c>
      <c r="E345" s="3077">
        <f t="shared" si="16"/>
        <v>0</v>
      </c>
    </row>
    <row r="346" spans="1:5" x14ac:dyDescent="0.15">
      <c r="A346" s="3074">
        <v>45636</v>
      </c>
      <c r="B346" s="3075">
        <f>SUM('2018+'!$H$2194:H2538)</f>
        <v>1789.9174513055884</v>
      </c>
      <c r="C346" s="396">
        <f t="shared" si="17"/>
        <v>1552.0273972602795</v>
      </c>
      <c r="D346" s="3076">
        <f t="shared" si="15"/>
        <v>237.89005404530894</v>
      </c>
      <c r="E346" s="3077">
        <f t="shared" si="16"/>
        <v>0</v>
      </c>
    </row>
    <row r="347" spans="1:5" x14ac:dyDescent="0.15">
      <c r="A347" s="3074">
        <v>45637</v>
      </c>
      <c r="B347" s="3075">
        <f>SUM('2018+'!$H$2194:H2539)</f>
        <v>1789.9174513055884</v>
      </c>
      <c r="C347" s="396">
        <f t="shared" si="17"/>
        <v>1556.5260273972658</v>
      </c>
      <c r="D347" s="3076">
        <f t="shared" si="15"/>
        <v>233.39142390832262</v>
      </c>
      <c r="E347" s="3077">
        <f t="shared" si="16"/>
        <v>0</v>
      </c>
    </row>
    <row r="348" spans="1:5" x14ac:dyDescent="0.15">
      <c r="A348" s="3074">
        <v>45638</v>
      </c>
      <c r="B348" s="3075">
        <f>SUM('2018+'!$H$2194:H2540)</f>
        <v>1795.0029848229865</v>
      </c>
      <c r="C348" s="396">
        <f t="shared" si="17"/>
        <v>1561.0246575342521</v>
      </c>
      <c r="D348" s="3076">
        <f t="shared" si="15"/>
        <v>233.97832728873436</v>
      </c>
      <c r="E348" s="3077">
        <f t="shared" si="16"/>
        <v>0</v>
      </c>
    </row>
    <row r="349" spans="1:5" x14ac:dyDescent="0.15">
      <c r="A349" s="3074">
        <v>45639</v>
      </c>
      <c r="B349" s="3075">
        <f>SUM('2018+'!$H$2194:H2541)</f>
        <v>1800.0885183403846</v>
      </c>
      <c r="C349" s="396">
        <f t="shared" si="17"/>
        <v>1565.5232876712384</v>
      </c>
      <c r="D349" s="3076">
        <f t="shared" si="15"/>
        <v>234.5652306691461</v>
      </c>
      <c r="E349" s="3077">
        <f t="shared" si="16"/>
        <v>0</v>
      </c>
    </row>
    <row r="350" spans="1:5" x14ac:dyDescent="0.15">
      <c r="A350" s="3074">
        <v>45640</v>
      </c>
      <c r="B350" s="3075">
        <f>SUM('2018+'!$H$2194:H2542)</f>
        <v>1800.0885183403846</v>
      </c>
      <c r="C350" s="396">
        <f t="shared" si="17"/>
        <v>1570.0219178082248</v>
      </c>
      <c r="D350" s="3076">
        <f t="shared" si="15"/>
        <v>230.06660053215978</v>
      </c>
      <c r="E350" s="3077">
        <f t="shared" si="16"/>
        <v>0</v>
      </c>
    </row>
    <row r="351" spans="1:5" x14ac:dyDescent="0.15">
      <c r="A351" s="3074">
        <v>45641</v>
      </c>
      <c r="B351" s="3075">
        <f>SUM('2018+'!$H$2194:H2543)</f>
        <v>1810.2595853751809</v>
      </c>
      <c r="C351" s="396">
        <f t="shared" si="17"/>
        <v>1574.5205479452111</v>
      </c>
      <c r="D351" s="3076">
        <f t="shared" si="15"/>
        <v>235.73903742996981</v>
      </c>
      <c r="E351" s="3077">
        <f t="shared" si="16"/>
        <v>0</v>
      </c>
    </row>
    <row r="352" spans="1:5" x14ac:dyDescent="0.15">
      <c r="A352" s="3074">
        <v>45642</v>
      </c>
      <c r="B352" s="3075">
        <f>SUM('2018+'!$H$2194:H2544)</f>
        <v>1815.345118892579</v>
      </c>
      <c r="C352" s="396">
        <f t="shared" si="17"/>
        <v>1579.0191780821974</v>
      </c>
      <c r="D352" s="3076">
        <f t="shared" si="15"/>
        <v>236.32594081038155</v>
      </c>
      <c r="E352" s="3077">
        <f t="shared" si="16"/>
        <v>0</v>
      </c>
    </row>
    <row r="353" spans="1:5" x14ac:dyDescent="0.15">
      <c r="A353" s="3074">
        <v>45643</v>
      </c>
      <c r="B353" s="3075">
        <f>SUM('2018+'!$H$2194:H2545)</f>
        <v>1820.430652409977</v>
      </c>
      <c r="C353" s="396">
        <f t="shared" si="17"/>
        <v>1583.5178082191837</v>
      </c>
      <c r="D353" s="3076">
        <f t="shared" si="15"/>
        <v>236.91284419079329</v>
      </c>
      <c r="E353" s="3077">
        <f t="shared" si="16"/>
        <v>0</v>
      </c>
    </row>
    <row r="354" spans="1:5" x14ac:dyDescent="0.15">
      <c r="A354" s="3074">
        <v>45644</v>
      </c>
      <c r="B354" s="3075">
        <f>SUM('2018+'!$H$2194:H2546)</f>
        <v>1820.430652409977</v>
      </c>
      <c r="C354" s="396">
        <f t="shared" si="17"/>
        <v>1588.0164383561701</v>
      </c>
      <c r="D354" s="3076">
        <f t="shared" si="15"/>
        <v>232.41421405380697</v>
      </c>
      <c r="E354" s="3077">
        <f t="shared" si="16"/>
        <v>0</v>
      </c>
    </row>
    <row r="355" spans="1:5" x14ac:dyDescent="0.15">
      <c r="A355" s="3074">
        <v>45645</v>
      </c>
      <c r="B355" s="3075">
        <f>SUM('2018+'!$H$2194:H2547)</f>
        <v>1825.5161859273751</v>
      </c>
      <c r="C355" s="396">
        <f t="shared" si="17"/>
        <v>1592.5150684931564</v>
      </c>
      <c r="D355" s="3076">
        <f t="shared" si="15"/>
        <v>233.00111743421871</v>
      </c>
      <c r="E355" s="3077">
        <f t="shared" si="16"/>
        <v>0</v>
      </c>
    </row>
    <row r="356" spans="1:5" x14ac:dyDescent="0.15">
      <c r="A356" s="3074">
        <v>45646</v>
      </c>
      <c r="B356" s="3075">
        <f>SUM('2018+'!$H$2194:H2548)</f>
        <v>1830.6017194447732</v>
      </c>
      <c r="C356" s="396">
        <f t="shared" si="17"/>
        <v>1597.0136986301427</v>
      </c>
      <c r="D356" s="3076">
        <f t="shared" si="15"/>
        <v>233.58802081463045</v>
      </c>
      <c r="E356" s="3077">
        <f t="shared" si="16"/>
        <v>0</v>
      </c>
    </row>
    <row r="357" spans="1:5" x14ac:dyDescent="0.15">
      <c r="A357" s="3074">
        <v>45647</v>
      </c>
      <c r="B357" s="3075">
        <f>SUM('2018+'!$H$2194:H2549)</f>
        <v>1830.6017194447732</v>
      </c>
      <c r="C357" s="396">
        <f t="shared" si="17"/>
        <v>1601.512328767129</v>
      </c>
      <c r="D357" s="3076">
        <f t="shared" si="15"/>
        <v>229.08939067764413</v>
      </c>
      <c r="E357" s="3077">
        <f t="shared" si="16"/>
        <v>0</v>
      </c>
    </row>
    <row r="358" spans="1:5" x14ac:dyDescent="0.15">
      <c r="A358" s="3074">
        <v>45648</v>
      </c>
      <c r="B358" s="3075">
        <f>SUM('2018+'!$H$2194:H2550)</f>
        <v>1840.7727864795695</v>
      </c>
      <c r="C358" s="396">
        <f t="shared" si="17"/>
        <v>1606.0109589041153</v>
      </c>
      <c r="D358" s="3076">
        <f t="shared" si="15"/>
        <v>234.76182757545416</v>
      </c>
      <c r="E358" s="3077">
        <f t="shared" si="16"/>
        <v>0</v>
      </c>
    </row>
    <row r="359" spans="1:5" x14ac:dyDescent="0.15">
      <c r="A359" s="3074">
        <v>45649</v>
      </c>
      <c r="B359" s="3075">
        <f>SUM('2018+'!$H$2194:H2551)</f>
        <v>1845.8583199969676</v>
      </c>
      <c r="C359" s="396">
        <f t="shared" si="17"/>
        <v>1610.5095890411017</v>
      </c>
      <c r="D359" s="3076">
        <f t="shared" si="15"/>
        <v>235.3487309558659</v>
      </c>
      <c r="E359" s="3077">
        <f t="shared" si="16"/>
        <v>0</v>
      </c>
    </row>
    <row r="360" spans="1:5" x14ac:dyDescent="0.15">
      <c r="A360" s="3074">
        <v>45650</v>
      </c>
      <c r="B360" s="3075">
        <f>SUM('2018+'!$H$2194:H2552)</f>
        <v>1850.9438535143656</v>
      </c>
      <c r="C360" s="396">
        <f t="shared" si="17"/>
        <v>1615.008219178088</v>
      </c>
      <c r="D360" s="3076">
        <f t="shared" si="15"/>
        <v>235.93563433627764</v>
      </c>
      <c r="E360" s="3077">
        <f t="shared" si="16"/>
        <v>0</v>
      </c>
    </row>
    <row r="361" spans="1:5" x14ac:dyDescent="0.15">
      <c r="A361" s="3074">
        <v>45651</v>
      </c>
      <c r="B361" s="3075">
        <f>SUM('2018+'!$H$2194:H2553)</f>
        <v>1850.9438535143656</v>
      </c>
      <c r="C361" s="396">
        <f t="shared" si="17"/>
        <v>1619.5068493150743</v>
      </c>
      <c r="D361" s="3076">
        <f t="shared" si="15"/>
        <v>231.43700419929132</v>
      </c>
      <c r="E361" s="3077">
        <f t="shared" si="16"/>
        <v>0</v>
      </c>
    </row>
    <row r="362" spans="1:5" x14ac:dyDescent="0.15">
      <c r="A362" s="3074">
        <v>45652</v>
      </c>
      <c r="B362" s="3075">
        <f>SUM('2018+'!$H$2194:H2554)</f>
        <v>1856.0293870317637</v>
      </c>
      <c r="C362" s="396">
        <f t="shared" si="17"/>
        <v>1624.0054794520606</v>
      </c>
      <c r="D362" s="3076">
        <f t="shared" si="15"/>
        <v>232.02390757970306</v>
      </c>
      <c r="E362" s="3077">
        <f t="shared" si="16"/>
        <v>0</v>
      </c>
    </row>
    <row r="363" spans="1:5" x14ac:dyDescent="0.15">
      <c r="A363" s="3074">
        <v>45653</v>
      </c>
      <c r="B363" s="3075">
        <f>SUM('2018+'!$H$2194:H2555)</f>
        <v>1861.1149205491618</v>
      </c>
      <c r="C363" s="396">
        <f t="shared" si="17"/>
        <v>1628.5041095890469</v>
      </c>
      <c r="D363" s="3076">
        <f t="shared" si="15"/>
        <v>232.6108109601148</v>
      </c>
      <c r="E363" s="3077">
        <f t="shared" si="16"/>
        <v>0</v>
      </c>
    </row>
    <row r="364" spans="1:5" x14ac:dyDescent="0.15">
      <c r="A364" s="3074">
        <v>45654</v>
      </c>
      <c r="B364" s="3075">
        <f>SUM('2018+'!$H$2194:H2556)</f>
        <v>1861.1149205491618</v>
      </c>
      <c r="C364" s="396">
        <f t="shared" si="17"/>
        <v>1633.0027397260333</v>
      </c>
      <c r="D364" s="3076">
        <f t="shared" si="15"/>
        <v>228.11218082312848</v>
      </c>
      <c r="E364" s="3077">
        <f t="shared" si="16"/>
        <v>0</v>
      </c>
    </row>
    <row r="365" spans="1:5" x14ac:dyDescent="0.15">
      <c r="A365" s="3074">
        <v>45655</v>
      </c>
      <c r="B365" s="3075">
        <f>SUM('2018+'!$H$2194:H2557)</f>
        <v>1871.2859875839581</v>
      </c>
      <c r="C365" s="396">
        <f t="shared" si="17"/>
        <v>1637.5013698630196</v>
      </c>
      <c r="D365" s="3076">
        <f t="shared" si="15"/>
        <v>233.78461772093851</v>
      </c>
      <c r="E365" s="3077">
        <f t="shared" si="16"/>
        <v>0</v>
      </c>
    </row>
    <row r="366" spans="1:5" x14ac:dyDescent="0.15">
      <c r="A366" s="3074">
        <v>45656</v>
      </c>
      <c r="B366" s="3075">
        <f>SUM('2018+'!$H$2194:H2558)</f>
        <v>1871.2859875839581</v>
      </c>
      <c r="C366" s="396">
        <f t="shared" si="17"/>
        <v>1642.0000000000059</v>
      </c>
      <c r="D366" s="3076">
        <f t="shared" si="15"/>
        <v>229.28598758395219</v>
      </c>
      <c r="E366" s="3077">
        <f t="shared" si="16"/>
        <v>0</v>
      </c>
    </row>
    <row r="367" spans="1:5" ht="14" thickBot="1" x14ac:dyDescent="0.2">
      <c r="A367" s="3080">
        <v>45657</v>
      </c>
      <c r="B367" s="3075">
        <f>SUM('2018+'!$H$2194:H2559)</f>
        <v>1881.4570546187545</v>
      </c>
      <c r="C367" s="396">
        <f t="shared" si="17"/>
        <v>1646.4986301369922</v>
      </c>
      <c r="D367" s="3081">
        <f t="shared" si="15"/>
        <v>234.95842448176222</v>
      </c>
      <c r="E367" s="3082">
        <f t="shared" si="16"/>
        <v>0</v>
      </c>
    </row>
  </sheetData>
  <dataValidations count="1">
    <dataValidation type="list" operator="equal" allowBlank="1" showDropDown="1" sqref="A2:B367" xr:uid="{4464AE59-8AE5-4557-B00B-08331E60F232}">
      <formula1>"ASICS GEL 11-50,ASICS GT 21-40,ASICS GT 21-60"</formula1>
      <formula2>0</formula2>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A1B6D-2B1C-4D4B-B8BF-23C1ED8A08BB}">
  <dimension ref="B1:O25"/>
  <sheetViews>
    <sheetView workbookViewId="0">
      <selection activeCell="L15" sqref="L15"/>
    </sheetView>
  </sheetViews>
  <sheetFormatPr baseColWidth="10" defaultColWidth="11.5" defaultRowHeight="14" x14ac:dyDescent="0.2"/>
  <cols>
    <col min="1" max="2" width="11.5" style="363"/>
    <col min="3" max="3" width="15" style="363" bestFit="1" customWidth="1"/>
    <col min="4" max="4" width="8.1640625" style="363" bestFit="1" customWidth="1"/>
    <col min="5" max="5" width="5.6640625" style="363" bestFit="1" customWidth="1"/>
    <col min="6" max="6" width="6.33203125" style="363" bestFit="1" customWidth="1"/>
    <col min="7" max="7" width="5" style="363" bestFit="1" customWidth="1"/>
    <col min="8" max="8" width="8.1640625" style="363" bestFit="1" customWidth="1"/>
    <col min="9" max="9" width="4.33203125" style="363" bestFit="1" customWidth="1"/>
    <col min="10" max="10" width="4.5" style="363" bestFit="1" customWidth="1"/>
    <col min="11" max="11" width="5.83203125" style="363" bestFit="1" customWidth="1"/>
    <col min="12" max="12" width="6.83203125" style="363" bestFit="1" customWidth="1"/>
    <col min="13" max="13" width="5.5" style="363" bestFit="1" customWidth="1"/>
    <col min="14" max="14" width="8.1640625" style="363" bestFit="1" customWidth="1"/>
    <col min="15" max="15" width="15.1640625" style="363" bestFit="1" customWidth="1"/>
    <col min="16" max="16384" width="11.5" style="363"/>
  </cols>
  <sheetData>
    <row r="1" spans="2:15" ht="15" thickBot="1" x14ac:dyDescent="0.25">
      <c r="E1" s="859"/>
      <c r="O1" s="361"/>
    </row>
    <row r="2" spans="2:15" ht="15" thickBot="1" x14ac:dyDescent="0.25">
      <c r="B2" s="3608" t="s">
        <v>873</v>
      </c>
      <c r="C2" s="3609"/>
      <c r="D2" s="3610" t="s">
        <v>874</v>
      </c>
      <c r="E2" s="3611"/>
      <c r="F2" s="3611"/>
      <c r="G2" s="3611"/>
      <c r="H2" s="3611"/>
      <c r="I2" s="3611"/>
      <c r="J2" s="3611"/>
      <c r="K2" s="3612"/>
      <c r="L2" s="3613" t="s">
        <v>875</v>
      </c>
      <c r="M2" s="3614"/>
      <c r="N2" s="3615"/>
      <c r="O2" s="361"/>
    </row>
    <row r="3" spans="2:15" ht="15" thickBot="1" x14ac:dyDescent="0.25">
      <c r="B3" s="860" t="s">
        <v>3</v>
      </c>
      <c r="C3" s="861" t="s">
        <v>876</v>
      </c>
      <c r="D3" s="860" t="s">
        <v>877</v>
      </c>
      <c r="E3" s="862" t="s">
        <v>658</v>
      </c>
      <c r="F3" s="863" t="s">
        <v>878</v>
      </c>
      <c r="G3" s="863" t="s">
        <v>753</v>
      </c>
      <c r="H3" s="863" t="s">
        <v>879</v>
      </c>
      <c r="I3" s="861" t="s">
        <v>779</v>
      </c>
      <c r="J3" s="861" t="s">
        <v>746</v>
      </c>
      <c r="K3" s="864" t="s">
        <v>880</v>
      </c>
      <c r="L3" s="865" t="s">
        <v>878</v>
      </c>
      <c r="M3" s="866" t="s">
        <v>658</v>
      </c>
      <c r="N3" s="867" t="s">
        <v>881</v>
      </c>
      <c r="O3" s="361"/>
    </row>
    <row r="4" spans="2:15" x14ac:dyDescent="0.2">
      <c r="B4" s="855" t="s">
        <v>882</v>
      </c>
      <c r="C4" s="868" t="s">
        <v>883</v>
      </c>
      <c r="D4" s="869">
        <v>3.0671296296296294E-2</v>
      </c>
      <c r="E4" s="870">
        <v>3.0671296296296297E-3</v>
      </c>
      <c r="F4" s="871">
        <v>255</v>
      </c>
      <c r="G4" s="872">
        <f>(F4/68)/(1/(E4*24)/3.6)</f>
        <v>0.99375000000000013</v>
      </c>
      <c r="H4" s="871">
        <v>98.99</v>
      </c>
      <c r="I4" s="873">
        <v>20</v>
      </c>
      <c r="J4" s="873">
        <v>-13</v>
      </c>
      <c r="K4" s="874">
        <v>257</v>
      </c>
      <c r="L4" s="875">
        <v>254</v>
      </c>
      <c r="M4" s="876">
        <v>3.1828703703703702E-3</v>
      </c>
      <c r="N4" s="877">
        <f>M4*10</f>
        <v>3.1828703703703699E-2</v>
      </c>
      <c r="O4" s="3230"/>
    </row>
    <row r="5" spans="2:15" x14ac:dyDescent="0.2">
      <c r="B5" s="878" t="s">
        <v>884</v>
      </c>
      <c r="C5" s="879" t="s">
        <v>885</v>
      </c>
      <c r="D5" s="880">
        <v>4.0949074074074075E-2</v>
      </c>
      <c r="E5" s="881">
        <v>3.0092592592592588E-3</v>
      </c>
      <c r="F5" s="882">
        <v>266</v>
      </c>
      <c r="G5" s="883">
        <f>(F5/68)/(1/(E5*24)/3.6)</f>
        <v>1.0170588235294118</v>
      </c>
      <c r="H5" s="882">
        <v>97.97</v>
      </c>
      <c r="I5" s="884">
        <v>37</v>
      </c>
      <c r="J5" s="884">
        <v>-7</v>
      </c>
      <c r="K5" s="885">
        <v>272</v>
      </c>
      <c r="L5" s="886">
        <v>268</v>
      </c>
      <c r="M5" s="887">
        <v>3.0208333333333333E-3</v>
      </c>
      <c r="N5" s="3233">
        <f>M5*15</f>
        <v>4.5312499999999999E-2</v>
      </c>
      <c r="O5" s="3230"/>
    </row>
    <row r="6" spans="2:15" ht="15" thickBot="1" x14ac:dyDescent="0.25">
      <c r="B6" s="856" t="s">
        <v>886</v>
      </c>
      <c r="C6" s="888" t="s">
        <v>887</v>
      </c>
      <c r="D6" s="889">
        <v>3.1226851851851853E-2</v>
      </c>
      <c r="E6" s="890">
        <v>3.1249999999999997E-3</v>
      </c>
      <c r="F6" s="891">
        <v>254</v>
      </c>
      <c r="G6" s="892">
        <v>1.0229999999999999</v>
      </c>
      <c r="H6" s="891">
        <v>97.37</v>
      </c>
      <c r="I6" s="893">
        <v>29</v>
      </c>
      <c r="J6" s="893">
        <v>6</v>
      </c>
      <c r="K6" s="894">
        <v>262</v>
      </c>
      <c r="L6" s="895">
        <v>255</v>
      </c>
      <c r="M6" s="896">
        <v>3.0555555555555557E-3</v>
      </c>
      <c r="N6" s="3232">
        <v>3.0567129629629628E-2</v>
      </c>
      <c r="O6" s="3230"/>
    </row>
    <row r="7" spans="2:15" x14ac:dyDescent="0.2">
      <c r="B7" s="898" t="s">
        <v>888</v>
      </c>
      <c r="C7" s="861" t="s">
        <v>883</v>
      </c>
      <c r="D7" s="899">
        <v>2.9351851851851851E-2</v>
      </c>
      <c r="E7" s="900">
        <v>2.9745370370370373E-3</v>
      </c>
      <c r="F7" s="901">
        <v>267</v>
      </c>
      <c r="G7" s="872">
        <f>(F7/67)/(1/(E7*24)/3.6)</f>
        <v>1.0241641791044778</v>
      </c>
      <c r="H7" s="901">
        <v>101.49</v>
      </c>
      <c r="I7" s="829">
        <v>31</v>
      </c>
      <c r="J7" s="829">
        <v>4</v>
      </c>
      <c r="K7" s="902">
        <v>263</v>
      </c>
      <c r="L7" s="903">
        <v>260</v>
      </c>
      <c r="M7" s="876">
        <v>3.0208333333333333E-3</v>
      </c>
      <c r="N7" s="904">
        <v>3.0231481481481481E-2</v>
      </c>
      <c r="O7" s="3230"/>
    </row>
    <row r="8" spans="2:15" ht="15" thickBot="1" x14ac:dyDescent="0.25">
      <c r="B8" s="856" t="s">
        <v>889</v>
      </c>
      <c r="C8" s="888" t="s">
        <v>885</v>
      </c>
      <c r="D8" s="889">
        <v>4.0706018518518523E-2</v>
      </c>
      <c r="E8" s="890">
        <v>2.9050925925925928E-3</v>
      </c>
      <c r="F8" s="891">
        <v>273</v>
      </c>
      <c r="G8" s="892">
        <f>(F8/67)/(1/(E8*24)/3.6)</f>
        <v>1.0227313432835823</v>
      </c>
      <c r="H8" s="891">
        <v>101.43</v>
      </c>
      <c r="I8" s="893">
        <v>35.632786227594494</v>
      </c>
      <c r="J8" s="893">
        <v>-2</v>
      </c>
      <c r="K8" s="894">
        <v>269</v>
      </c>
      <c r="L8" s="895">
        <v>261</v>
      </c>
      <c r="M8" s="896">
        <v>3.0092592592592588E-3</v>
      </c>
      <c r="N8" s="897">
        <f>M8*10</f>
        <v>3.0092592592592587E-2</v>
      </c>
      <c r="O8" s="3230"/>
    </row>
    <row r="9" spans="2:15" ht="15" thickBot="1" x14ac:dyDescent="0.25">
      <c r="B9" s="2872">
        <v>44283</v>
      </c>
      <c r="C9" s="2873" t="s">
        <v>922</v>
      </c>
      <c r="D9" s="2862">
        <v>3.0208333333333334E-2</v>
      </c>
      <c r="E9" s="2863">
        <v>3.0092592592592588E-3</v>
      </c>
      <c r="F9" s="2864">
        <v>261</v>
      </c>
      <c r="G9" s="2865">
        <f>(F9/67)/(1/(E9*24)/3.6)</f>
        <v>1.0128358208955224</v>
      </c>
      <c r="H9" s="3012">
        <v>101.6</v>
      </c>
      <c r="I9" s="2866">
        <v>35</v>
      </c>
      <c r="J9" s="2866">
        <v>11</v>
      </c>
      <c r="K9" s="2867">
        <v>257</v>
      </c>
      <c r="L9" s="2868">
        <v>256</v>
      </c>
      <c r="M9" s="2869">
        <v>3.0787037037037037E-3</v>
      </c>
      <c r="N9" s="2870">
        <v>3.0833333333333334E-2</v>
      </c>
      <c r="O9" s="3230"/>
    </row>
    <row r="10" spans="2:15" x14ac:dyDescent="0.2">
      <c r="B10" s="3013">
        <v>45046</v>
      </c>
      <c r="C10" s="3014" t="s">
        <v>1459</v>
      </c>
      <c r="D10" s="3015">
        <v>1.5381944444444443E-2</v>
      </c>
      <c r="E10" s="3016">
        <v>3.0671296296296297E-3</v>
      </c>
      <c r="F10" s="3017">
        <v>268</v>
      </c>
      <c r="G10" s="3018">
        <v>1.0629999999999999</v>
      </c>
      <c r="H10" s="3019">
        <f>F10/K10*100</f>
        <v>106.77290836653385</v>
      </c>
      <c r="I10" s="3020">
        <v>27</v>
      </c>
      <c r="J10" s="3020">
        <v>0</v>
      </c>
      <c r="K10" s="3021">
        <v>251</v>
      </c>
      <c r="L10" s="3022">
        <v>251</v>
      </c>
      <c r="M10" s="3023">
        <v>3.2523148148148151E-3</v>
      </c>
      <c r="N10" s="3024">
        <f>M10*5</f>
        <v>1.6261574074074074E-2</v>
      </c>
      <c r="O10" s="3230"/>
    </row>
    <row r="11" spans="2:15" ht="15" thickBot="1" x14ac:dyDescent="0.25">
      <c r="B11" s="3226">
        <v>45206</v>
      </c>
      <c r="C11" s="3227" t="s">
        <v>1470</v>
      </c>
      <c r="D11" s="3254">
        <v>1.4918981481481483E-2</v>
      </c>
      <c r="E11" s="3255">
        <v>2.9745370370370373E-3</v>
      </c>
      <c r="F11" s="3256">
        <v>277</v>
      </c>
      <c r="G11" s="3228">
        <v>1.0660000000000001</v>
      </c>
      <c r="H11" s="3257">
        <f>F11/K11*100</f>
        <v>106.53846153846153</v>
      </c>
      <c r="I11" s="931">
        <v>33</v>
      </c>
      <c r="J11" s="931">
        <v>7</v>
      </c>
      <c r="K11" s="3258">
        <v>260</v>
      </c>
      <c r="L11" s="3259">
        <v>263</v>
      </c>
      <c r="M11" s="3260">
        <f>N11/5</f>
        <v>3.0092592592592593E-3</v>
      </c>
      <c r="N11" s="3261">
        <v>1.5046296296296295E-2</v>
      </c>
      <c r="O11" s="3230"/>
    </row>
    <row r="12" spans="2:15" x14ac:dyDescent="0.2">
      <c r="B12" s="3013"/>
      <c r="C12" s="3014" t="s">
        <v>1508</v>
      </c>
      <c r="D12" s="3015"/>
      <c r="E12" s="3016"/>
      <c r="F12" s="3017"/>
      <c r="G12" s="3018"/>
      <c r="H12" s="3019"/>
      <c r="I12" s="3020"/>
      <c r="J12" s="3020"/>
      <c r="K12" s="3021"/>
      <c r="L12" s="3022"/>
      <c r="M12" s="3023"/>
      <c r="N12" s="3278">
        <f>M15*5</f>
        <v>1.6468081684295092E-2</v>
      </c>
      <c r="O12" s="3230"/>
    </row>
    <row r="13" spans="2:15" x14ac:dyDescent="0.2">
      <c r="B13" s="3386"/>
      <c r="C13" s="3387" t="s">
        <v>1515</v>
      </c>
      <c r="D13" s="3388"/>
      <c r="E13" s="3389"/>
      <c r="F13" s="3390"/>
      <c r="G13" s="3391"/>
      <c r="H13" s="3392"/>
      <c r="I13" s="3393"/>
      <c r="J13" s="3393"/>
      <c r="K13" s="3394"/>
      <c r="L13" s="3395"/>
      <c r="M13" s="3396"/>
      <c r="N13" s="3397">
        <f>N15</f>
        <v>3.2936163368590184E-2</v>
      </c>
      <c r="O13" s="3230"/>
    </row>
    <row r="14" spans="2:15" ht="15" thickBot="1" x14ac:dyDescent="0.25">
      <c r="B14" s="3226"/>
      <c r="C14" s="3227"/>
      <c r="D14" s="2871"/>
      <c r="E14" s="907"/>
      <c r="F14" s="908"/>
      <c r="G14" s="3228"/>
      <c r="H14" s="3011"/>
      <c r="I14" s="909"/>
      <c r="J14" s="909"/>
      <c r="K14" s="910"/>
      <c r="L14" s="911"/>
      <c r="M14" s="907"/>
      <c r="N14" s="3234"/>
      <c r="O14" s="361"/>
    </row>
    <row r="15" spans="2:15" ht="15" thickBot="1" x14ac:dyDescent="0.25">
      <c r="B15" s="3616" t="s">
        <v>890</v>
      </c>
      <c r="C15" s="3617"/>
      <c r="D15" s="912"/>
      <c r="E15" s="913"/>
      <c r="F15" s="914"/>
      <c r="G15" s="915">
        <f>AVERAGE(G10:G14)</f>
        <v>1.0645</v>
      </c>
      <c r="H15" s="916">
        <f>AVERAGE(H7:H14)</f>
        <v>103.56627398099906</v>
      </c>
      <c r="I15" s="917"/>
      <c r="J15" s="917"/>
      <c r="K15" s="918">
        <f>Dashboard!M4</f>
        <v>242</v>
      </c>
      <c r="L15" s="919">
        <f>H15/100*K15</f>
        <v>250.63038303401768</v>
      </c>
      <c r="M15" s="913">
        <f>((67*G15*1/(L15*3.6))*60)/1440</f>
        <v>3.2936163368590182E-3</v>
      </c>
      <c r="N15" s="920">
        <f>M15*10</f>
        <v>3.2936163368590184E-2</v>
      </c>
      <c r="O15" s="361"/>
    </row>
    <row r="16" spans="2:15" x14ac:dyDescent="0.2">
      <c r="B16" s="361"/>
      <c r="C16" s="361"/>
      <c r="D16" s="361"/>
      <c r="E16" s="921"/>
      <c r="F16" s="361"/>
      <c r="G16" s="361"/>
      <c r="H16" s="361"/>
      <c r="I16" s="361"/>
      <c r="J16" s="361"/>
      <c r="K16" s="361"/>
      <c r="L16" s="361"/>
      <c r="M16" s="361"/>
      <c r="N16" s="361"/>
      <c r="O16" s="361"/>
    </row>
    <row r="17" spans="2:15" ht="15" thickBot="1" x14ac:dyDescent="0.25">
      <c r="B17" s="361"/>
      <c r="C17" s="361"/>
      <c r="D17" s="361"/>
      <c r="E17" s="921"/>
      <c r="F17" s="361"/>
      <c r="G17" s="361"/>
      <c r="H17" s="361"/>
      <c r="I17" s="361"/>
      <c r="J17" s="361"/>
      <c r="K17" s="361"/>
      <c r="L17" s="361"/>
      <c r="M17" s="361"/>
      <c r="N17" s="361"/>
      <c r="O17" s="361"/>
    </row>
    <row r="18" spans="2:15" ht="15" thickBot="1" x14ac:dyDescent="0.25">
      <c r="B18" s="3608" t="s">
        <v>891</v>
      </c>
      <c r="C18" s="3609"/>
      <c r="D18" s="3610" t="s">
        <v>874</v>
      </c>
      <c r="E18" s="3611"/>
      <c r="F18" s="3611"/>
      <c r="G18" s="3611"/>
      <c r="H18" s="3611"/>
      <c r="I18" s="3611"/>
      <c r="J18" s="3611"/>
      <c r="K18" s="3612"/>
      <c r="L18" s="3613" t="s">
        <v>875</v>
      </c>
      <c r="M18" s="3614"/>
      <c r="N18" s="3615"/>
      <c r="O18" s="3231"/>
    </row>
    <row r="19" spans="2:15" ht="15" thickBot="1" x14ac:dyDescent="0.25">
      <c r="B19" s="860" t="s">
        <v>3</v>
      </c>
      <c r="C19" s="861" t="s">
        <v>876</v>
      </c>
      <c r="D19" s="860" t="s">
        <v>877</v>
      </c>
      <c r="E19" s="862" t="s">
        <v>658</v>
      </c>
      <c r="F19" s="863" t="s">
        <v>878</v>
      </c>
      <c r="G19" s="863" t="s">
        <v>753</v>
      </c>
      <c r="H19" s="863" t="s">
        <v>879</v>
      </c>
      <c r="I19" s="861" t="s">
        <v>779</v>
      </c>
      <c r="J19" s="861" t="s">
        <v>746</v>
      </c>
      <c r="K19" s="864" t="s">
        <v>880</v>
      </c>
      <c r="L19" s="865" t="s">
        <v>878</v>
      </c>
      <c r="M19" s="866" t="s">
        <v>658</v>
      </c>
      <c r="N19" s="867" t="s">
        <v>881</v>
      </c>
      <c r="O19" s="361"/>
    </row>
    <row r="20" spans="2:15" x14ac:dyDescent="0.2">
      <c r="B20" s="855" t="s">
        <v>892</v>
      </c>
      <c r="C20" s="868" t="s">
        <v>893</v>
      </c>
      <c r="D20" s="922">
        <v>6.4328703703703707E-2</v>
      </c>
      <c r="E20" s="870">
        <v>3.0439814814814821E-3</v>
      </c>
      <c r="F20" s="871">
        <v>267</v>
      </c>
      <c r="G20" s="872">
        <v>1.0349999999999999</v>
      </c>
      <c r="H20" s="871">
        <v>97.39</v>
      </c>
      <c r="I20" s="873">
        <v>39</v>
      </c>
      <c r="J20" s="873">
        <v>11</v>
      </c>
      <c r="K20" s="874">
        <v>275</v>
      </c>
      <c r="L20" s="875">
        <v>267</v>
      </c>
      <c r="M20" s="876">
        <v>3.0324074074074073E-3</v>
      </c>
      <c r="N20" s="923">
        <v>6.3888888888888884E-2</v>
      </c>
      <c r="O20" s="361"/>
    </row>
    <row r="21" spans="2:15" ht="15" thickBot="1" x14ac:dyDescent="0.25">
      <c r="B21" s="856" t="s">
        <v>894</v>
      </c>
      <c r="C21" s="888" t="s">
        <v>895</v>
      </c>
      <c r="D21" s="924">
        <v>6.4201388888888891E-2</v>
      </c>
      <c r="E21" s="890">
        <v>3.0439814814814821E-3</v>
      </c>
      <c r="F21" s="891">
        <v>266</v>
      </c>
      <c r="G21" s="892">
        <f>(F21/67)/(1/(E21*24)/3.6)</f>
        <v>1.0441492537313435</v>
      </c>
      <c r="H21" s="925">
        <v>97.8</v>
      </c>
      <c r="I21" s="893">
        <v>45</v>
      </c>
      <c r="J21" s="893">
        <v>19</v>
      </c>
      <c r="K21" s="894">
        <v>272</v>
      </c>
      <c r="L21" s="926">
        <v>266</v>
      </c>
      <c r="M21" s="896">
        <v>3.0092592592592588E-3</v>
      </c>
      <c r="N21" s="905">
        <v>6.3587962962962971E-2</v>
      </c>
      <c r="O21" s="361"/>
    </row>
    <row r="22" spans="2:15" ht="15" thickBot="1" x14ac:dyDescent="0.25">
      <c r="B22" s="906"/>
      <c r="C22" s="927"/>
      <c r="D22" s="928"/>
      <c r="E22" s="929"/>
      <c r="F22" s="930"/>
      <c r="G22" s="930"/>
      <c r="H22" s="930"/>
      <c r="I22" s="931"/>
      <c r="J22" s="931"/>
      <c r="K22" s="932"/>
      <c r="L22" s="926"/>
      <c r="M22" s="896"/>
      <c r="N22" s="905"/>
      <c r="O22" s="361"/>
    </row>
    <row r="23" spans="2:15" ht="15" thickBot="1" x14ac:dyDescent="0.25">
      <c r="B23" s="3606" t="s">
        <v>890</v>
      </c>
      <c r="C23" s="3607"/>
      <c r="D23" s="912"/>
      <c r="E23" s="913"/>
      <c r="F23" s="914"/>
      <c r="G23" s="915">
        <f>AVERAGE(G20:G21)</f>
        <v>1.0395746268656718</v>
      </c>
      <c r="H23" s="916">
        <f>AVERAGE(H20:H21)</f>
        <v>97.594999999999999</v>
      </c>
      <c r="I23" s="917"/>
      <c r="J23" s="917"/>
      <c r="K23" s="918">
        <f>K15</f>
        <v>242</v>
      </c>
      <c r="L23" s="919">
        <f>H23/100*K23</f>
        <v>236.1799</v>
      </c>
      <c r="M23" s="913">
        <f>((67*G23*(1/(L23*3.6))*60))/1440</f>
        <v>3.4132947823687382E-3</v>
      </c>
      <c r="N23" s="933">
        <f>M23*21.095</f>
        <v>7.2003453434068526E-2</v>
      </c>
      <c r="O23" s="361"/>
    </row>
    <row r="24" spans="2:15" x14ac:dyDescent="0.2">
      <c r="B24" s="361"/>
      <c r="C24" s="361"/>
      <c r="D24" s="361"/>
      <c r="E24" s="921"/>
      <c r="F24" s="361"/>
      <c r="G24" s="361"/>
      <c r="H24" s="361"/>
      <c r="I24" s="361"/>
      <c r="J24" s="361"/>
      <c r="K24" s="361"/>
      <c r="L24" s="361"/>
      <c r="M24" s="361"/>
      <c r="N24" s="361"/>
      <c r="O24" s="361"/>
    </row>
    <row r="25" spans="2:15" x14ac:dyDescent="0.2">
      <c r="B25" s="361"/>
      <c r="C25" s="361"/>
      <c r="D25" s="361"/>
      <c r="E25" s="921"/>
      <c r="F25" s="361"/>
      <c r="G25" s="361"/>
      <c r="H25" s="361"/>
      <c r="I25" s="361"/>
      <c r="J25" s="361"/>
      <c r="K25" s="361"/>
      <c r="L25" s="361"/>
      <c r="M25" s="361"/>
      <c r="N25" s="361"/>
    </row>
  </sheetData>
  <mergeCells count="8">
    <mergeCell ref="B23:C23"/>
    <mergeCell ref="B2:C2"/>
    <mergeCell ref="D2:K2"/>
    <mergeCell ref="L2:N2"/>
    <mergeCell ref="B15:C15"/>
    <mergeCell ref="B18:C18"/>
    <mergeCell ref="D18:K18"/>
    <mergeCell ref="L18:N18"/>
  </mergeCells>
  <conditionalFormatting sqref="I4:I14">
    <cfRule type="colorScale" priority="6357">
      <colorScale>
        <cfvo type="min"/>
        <cfvo type="percentile" val="50"/>
        <cfvo type="max"/>
        <color rgb="FF63BE7B"/>
        <color rgb="FFFFEB84"/>
        <color rgb="FFF8696B"/>
      </colorScale>
    </cfRule>
  </conditionalFormatting>
  <conditionalFormatting sqref="I20:I22">
    <cfRule type="colorScale" priority="2">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0D28-18C1-0544-A647-44B6FAE42C8A}">
  <dimension ref="A2:K126"/>
  <sheetViews>
    <sheetView topLeftCell="A73" workbookViewId="0">
      <selection activeCell="C95" sqref="C5:C95"/>
    </sheetView>
  </sheetViews>
  <sheetFormatPr baseColWidth="10" defaultColWidth="11.5" defaultRowHeight="13" x14ac:dyDescent="0.15"/>
  <sheetData>
    <row r="2" spans="1:11" x14ac:dyDescent="0.15">
      <c r="B2" s="140" t="s">
        <v>946</v>
      </c>
      <c r="C2" s="140" t="s">
        <v>1509</v>
      </c>
      <c r="D2" s="140"/>
      <c r="E2" s="140" t="s">
        <v>947</v>
      </c>
      <c r="F2" s="140" t="s">
        <v>947</v>
      </c>
      <c r="G2" s="140"/>
      <c r="H2" t="s">
        <v>1471</v>
      </c>
    </row>
    <row r="3" spans="1:11" x14ac:dyDescent="0.15">
      <c r="E3" t="s">
        <v>1445</v>
      </c>
      <c r="F3" t="s">
        <v>1452</v>
      </c>
    </row>
    <row r="4" spans="1:11" ht="14" thickBot="1" x14ac:dyDescent="0.2"/>
    <row r="5" spans="1:11" ht="14" x14ac:dyDescent="0.15">
      <c r="A5" t="s">
        <v>1451</v>
      </c>
      <c r="B5" s="985" t="s">
        <v>819</v>
      </c>
      <c r="C5" s="985" t="s">
        <v>943</v>
      </c>
      <c r="E5" s="992" t="s">
        <v>918</v>
      </c>
      <c r="F5" s="992" t="s">
        <v>918</v>
      </c>
      <c r="G5" t="s">
        <v>435</v>
      </c>
      <c r="H5" s="992" t="s">
        <v>918</v>
      </c>
      <c r="I5" t="s">
        <v>435</v>
      </c>
    </row>
    <row r="6" spans="1:11" ht="14" x14ac:dyDescent="0.15">
      <c r="A6" t="s">
        <v>1450</v>
      </c>
      <c r="B6" s="803"/>
      <c r="C6" s="803" t="s">
        <v>943</v>
      </c>
      <c r="E6" s="993" t="s">
        <v>943</v>
      </c>
      <c r="F6" s="993" t="s">
        <v>943</v>
      </c>
      <c r="G6" t="s">
        <v>1451</v>
      </c>
      <c r="H6" s="993" t="s">
        <v>943</v>
      </c>
      <c r="I6" t="s">
        <v>1451</v>
      </c>
    </row>
    <row r="7" spans="1:11" ht="14" x14ac:dyDescent="0.15">
      <c r="A7" t="s">
        <v>1449</v>
      </c>
      <c r="B7" s="803" t="s">
        <v>918</v>
      </c>
      <c r="C7" s="803" t="s">
        <v>918</v>
      </c>
      <c r="E7" s="994"/>
      <c r="F7" s="994" t="s">
        <v>800</v>
      </c>
      <c r="G7" t="s">
        <v>1450</v>
      </c>
      <c r="H7" s="994" t="s">
        <v>800</v>
      </c>
      <c r="I7" t="s">
        <v>1450</v>
      </c>
    </row>
    <row r="8" spans="1:11" ht="14" x14ac:dyDescent="0.15">
      <c r="A8" t="s">
        <v>1448</v>
      </c>
      <c r="B8" s="803" t="s">
        <v>943</v>
      </c>
      <c r="C8" s="803" t="s">
        <v>943</v>
      </c>
      <c r="E8" s="3029" t="s">
        <v>819</v>
      </c>
      <c r="F8" s="3029" t="s">
        <v>819</v>
      </c>
      <c r="G8" t="s">
        <v>1449</v>
      </c>
      <c r="H8" s="3029" t="s">
        <v>819</v>
      </c>
      <c r="I8" t="s">
        <v>1449</v>
      </c>
    </row>
    <row r="9" spans="1:11" ht="14" x14ac:dyDescent="0.15">
      <c r="A9" t="s">
        <v>1447</v>
      </c>
      <c r="B9" s="803"/>
      <c r="C9" s="803" t="s">
        <v>943</v>
      </c>
      <c r="E9" s="993" t="s">
        <v>927</v>
      </c>
      <c r="F9" s="993" t="s">
        <v>927</v>
      </c>
      <c r="G9" t="s">
        <v>1448</v>
      </c>
      <c r="H9" s="993" t="s">
        <v>927</v>
      </c>
      <c r="I9" t="s">
        <v>1448</v>
      </c>
    </row>
    <row r="10" spans="1:11" ht="14" x14ac:dyDescent="0.15">
      <c r="A10" t="s">
        <v>1446</v>
      </c>
      <c r="B10" s="803" t="s">
        <v>809</v>
      </c>
      <c r="C10" s="803" t="s">
        <v>809</v>
      </c>
      <c r="E10" s="994"/>
      <c r="F10" s="994" t="s">
        <v>800</v>
      </c>
      <c r="G10" t="s">
        <v>1447</v>
      </c>
      <c r="H10" s="994" t="s">
        <v>800</v>
      </c>
      <c r="I10" t="s">
        <v>1447</v>
      </c>
      <c r="J10" s="368"/>
      <c r="K10" s="368"/>
    </row>
    <row r="11" spans="1:11" ht="15" thickBot="1" x14ac:dyDescent="0.2">
      <c r="A11" t="s">
        <v>435</v>
      </c>
      <c r="B11" s="986"/>
      <c r="C11" s="986"/>
      <c r="E11" s="993" t="s">
        <v>810</v>
      </c>
      <c r="F11" s="3624" t="s">
        <v>810</v>
      </c>
      <c r="G11" t="s">
        <v>1446</v>
      </c>
      <c r="H11" s="3624" t="s">
        <v>810</v>
      </c>
      <c r="I11" t="s">
        <v>1446</v>
      </c>
      <c r="J11" s="368"/>
    </row>
    <row r="12" spans="1:11" ht="14" x14ac:dyDescent="0.15">
      <c r="B12" s="985" t="s">
        <v>819</v>
      </c>
      <c r="C12" s="985" t="s">
        <v>943</v>
      </c>
      <c r="E12" s="993"/>
      <c r="F12" s="3625"/>
      <c r="G12" t="s">
        <v>435</v>
      </c>
      <c r="H12" s="3625"/>
      <c r="I12" t="s">
        <v>435</v>
      </c>
      <c r="J12" s="368"/>
    </row>
    <row r="13" spans="1:11" ht="15" thickBot="1" x14ac:dyDescent="0.2">
      <c r="B13" s="803"/>
      <c r="C13" s="803" t="s">
        <v>943</v>
      </c>
      <c r="E13" s="804" t="s">
        <v>943</v>
      </c>
      <c r="F13" s="804" t="s">
        <v>943</v>
      </c>
      <c r="G13" t="s">
        <v>1451</v>
      </c>
      <c r="H13" s="804" t="s">
        <v>943</v>
      </c>
      <c r="I13" t="s">
        <v>1451</v>
      </c>
      <c r="J13" s="368"/>
      <c r="K13" s="368"/>
    </row>
    <row r="14" spans="1:11" ht="14" x14ac:dyDescent="0.15">
      <c r="B14" s="803" t="s">
        <v>918</v>
      </c>
      <c r="C14" s="803" t="s">
        <v>918</v>
      </c>
      <c r="E14" s="995" t="s">
        <v>918</v>
      </c>
      <c r="F14" s="995" t="s">
        <v>918</v>
      </c>
      <c r="G14" t="s">
        <v>1450</v>
      </c>
      <c r="H14" s="995" t="s">
        <v>918</v>
      </c>
      <c r="I14" t="s">
        <v>1450</v>
      </c>
      <c r="J14" s="368"/>
    </row>
    <row r="15" spans="1:11" ht="14" x14ac:dyDescent="0.15">
      <c r="B15" s="803" t="s">
        <v>943</v>
      </c>
      <c r="C15" s="803" t="s">
        <v>943</v>
      </c>
      <c r="E15" s="995" t="s">
        <v>943</v>
      </c>
      <c r="F15" s="995" t="s">
        <v>943</v>
      </c>
      <c r="G15" t="s">
        <v>1449</v>
      </c>
      <c r="H15" s="995" t="s">
        <v>943</v>
      </c>
      <c r="I15" t="s">
        <v>1449</v>
      </c>
      <c r="J15" s="368"/>
    </row>
    <row r="16" spans="1:11" ht="14" x14ac:dyDescent="0.15">
      <c r="B16" s="803"/>
      <c r="C16" s="803" t="s">
        <v>943</v>
      </c>
      <c r="E16" s="996"/>
      <c r="F16" s="996" t="s">
        <v>800</v>
      </c>
      <c r="G16" t="s">
        <v>1448</v>
      </c>
      <c r="H16" s="996" t="s">
        <v>800</v>
      </c>
      <c r="I16" t="s">
        <v>1448</v>
      </c>
      <c r="J16" s="368"/>
    </row>
    <row r="17" spans="2:11" ht="14" x14ac:dyDescent="0.15">
      <c r="B17" s="803" t="s">
        <v>810</v>
      </c>
      <c r="C17" s="803" t="s">
        <v>810</v>
      </c>
      <c r="E17" s="995" t="s">
        <v>943</v>
      </c>
      <c r="F17" s="995" t="s">
        <v>943</v>
      </c>
      <c r="G17" t="s">
        <v>1447</v>
      </c>
      <c r="H17" s="995" t="s">
        <v>943</v>
      </c>
      <c r="I17" t="s">
        <v>1447</v>
      </c>
      <c r="J17" s="368"/>
      <c r="K17" s="368"/>
    </row>
    <row r="18" spans="2:11" ht="15" thickBot="1" x14ac:dyDescent="0.2">
      <c r="B18" s="986"/>
      <c r="C18" s="986"/>
      <c r="E18" s="995" t="s">
        <v>811</v>
      </c>
      <c r="F18" s="3626" t="s">
        <v>811</v>
      </c>
      <c r="G18" t="s">
        <v>1446</v>
      </c>
      <c r="H18" s="3626" t="s">
        <v>811</v>
      </c>
      <c r="I18" t="s">
        <v>1446</v>
      </c>
      <c r="J18" s="368"/>
    </row>
    <row r="19" spans="2:11" ht="14" x14ac:dyDescent="0.15">
      <c r="B19" s="987" t="s">
        <v>819</v>
      </c>
      <c r="C19" s="987" t="s">
        <v>943</v>
      </c>
      <c r="E19" s="996"/>
      <c r="F19" s="3627"/>
      <c r="G19" t="s">
        <v>435</v>
      </c>
      <c r="H19" s="3627"/>
      <c r="I19" t="s">
        <v>435</v>
      </c>
      <c r="J19" s="368"/>
    </row>
    <row r="20" spans="2:11" ht="14" x14ac:dyDescent="0.15">
      <c r="B20" s="988"/>
      <c r="C20" s="988" t="s">
        <v>919</v>
      </c>
      <c r="E20" s="995" t="s">
        <v>819</v>
      </c>
      <c r="F20" s="995" t="s">
        <v>819</v>
      </c>
      <c r="G20" t="s">
        <v>1451</v>
      </c>
      <c r="H20" s="995" t="s">
        <v>819</v>
      </c>
      <c r="I20" t="s">
        <v>1451</v>
      </c>
      <c r="J20" s="368"/>
    </row>
    <row r="21" spans="2:11" ht="14" x14ac:dyDescent="0.15">
      <c r="B21" s="988" t="s">
        <v>919</v>
      </c>
      <c r="C21" s="988" t="s">
        <v>943</v>
      </c>
      <c r="E21" s="995" t="s">
        <v>927</v>
      </c>
      <c r="F21" s="995" t="s">
        <v>927</v>
      </c>
      <c r="G21" t="s">
        <v>1450</v>
      </c>
      <c r="H21" s="995" t="s">
        <v>927</v>
      </c>
      <c r="I21" t="s">
        <v>1450</v>
      </c>
      <c r="J21" s="368"/>
      <c r="K21" s="368"/>
    </row>
    <row r="22" spans="2:11" ht="15" thickBot="1" x14ac:dyDescent="0.2">
      <c r="B22" s="988" t="s">
        <v>943</v>
      </c>
      <c r="C22" s="988" t="s">
        <v>923</v>
      </c>
      <c r="E22" s="995"/>
      <c r="F22" s="995" t="s">
        <v>800</v>
      </c>
      <c r="G22" t="s">
        <v>1449</v>
      </c>
      <c r="H22" s="995" t="s">
        <v>800</v>
      </c>
      <c r="I22" t="s">
        <v>1449</v>
      </c>
      <c r="J22" s="368"/>
      <c r="K22" s="368"/>
    </row>
    <row r="23" spans="2:11" ht="14" x14ac:dyDescent="0.15">
      <c r="B23" s="988"/>
      <c r="C23" s="988" t="s">
        <v>943</v>
      </c>
      <c r="E23" s="992" t="s">
        <v>919</v>
      </c>
      <c r="F23" s="992" t="s">
        <v>919</v>
      </c>
      <c r="G23" t="s">
        <v>1448</v>
      </c>
      <c r="H23" s="992" t="s">
        <v>919</v>
      </c>
      <c r="I23" t="s">
        <v>1448</v>
      </c>
    </row>
    <row r="24" spans="2:11" ht="14" x14ac:dyDescent="0.15">
      <c r="B24" s="988" t="s">
        <v>811</v>
      </c>
      <c r="C24" s="988" t="s">
        <v>811</v>
      </c>
      <c r="E24" s="993" t="s">
        <v>943</v>
      </c>
      <c r="F24" s="993" t="s">
        <v>943</v>
      </c>
      <c r="G24" t="s">
        <v>1447</v>
      </c>
      <c r="H24" s="993" t="s">
        <v>943</v>
      </c>
      <c r="I24" t="s">
        <v>1447</v>
      </c>
    </row>
    <row r="25" spans="2:11" ht="15" thickBot="1" x14ac:dyDescent="0.2">
      <c r="B25" s="986"/>
      <c r="C25" s="986"/>
      <c r="E25" s="994"/>
      <c r="F25" s="3625" t="s">
        <v>812</v>
      </c>
      <c r="G25" t="s">
        <v>1446</v>
      </c>
      <c r="H25" s="3625" t="s">
        <v>812</v>
      </c>
      <c r="I25" t="s">
        <v>1446</v>
      </c>
    </row>
    <row r="26" spans="2:11" ht="14" x14ac:dyDescent="0.15">
      <c r="B26" s="982"/>
      <c r="C26" s="982"/>
      <c r="E26" s="993" t="s">
        <v>812</v>
      </c>
      <c r="F26" s="3625"/>
      <c r="G26" t="s">
        <v>435</v>
      </c>
      <c r="H26" s="3625"/>
      <c r="I26" t="s">
        <v>435</v>
      </c>
    </row>
    <row r="27" spans="2:11" ht="14" x14ac:dyDescent="0.15">
      <c r="B27" s="983" t="s">
        <v>943</v>
      </c>
      <c r="C27" s="983" t="s">
        <v>943</v>
      </c>
      <c r="E27" s="993"/>
      <c r="F27" s="993" t="s">
        <v>800</v>
      </c>
      <c r="G27" t="s">
        <v>1451</v>
      </c>
      <c r="H27" s="993" t="s">
        <v>800</v>
      </c>
      <c r="I27" t="s">
        <v>1451</v>
      </c>
    </row>
    <row r="28" spans="2:11" ht="14" x14ac:dyDescent="0.15">
      <c r="B28" s="983"/>
      <c r="C28" s="983"/>
      <c r="E28" s="994" t="s">
        <v>923</v>
      </c>
      <c r="F28" s="994" t="s">
        <v>923</v>
      </c>
      <c r="G28" t="s">
        <v>1450</v>
      </c>
      <c r="H28" s="994" t="s">
        <v>923</v>
      </c>
      <c r="I28" t="s">
        <v>1450</v>
      </c>
    </row>
    <row r="29" spans="2:11" ht="14" x14ac:dyDescent="0.15">
      <c r="B29" s="983" t="s">
        <v>827</v>
      </c>
      <c r="C29" s="983" t="s">
        <v>943</v>
      </c>
      <c r="E29" s="993"/>
      <c r="F29" s="993" t="s">
        <v>800</v>
      </c>
      <c r="G29" t="s">
        <v>1449</v>
      </c>
      <c r="H29" s="993" t="s">
        <v>800</v>
      </c>
      <c r="I29" t="s">
        <v>1449</v>
      </c>
    </row>
    <row r="30" spans="2:11" ht="14" x14ac:dyDescent="0.15">
      <c r="B30" s="983"/>
      <c r="C30" s="983"/>
      <c r="E30" s="993" t="s">
        <v>819</v>
      </c>
      <c r="F30" s="993" t="s">
        <v>819</v>
      </c>
      <c r="G30" t="s">
        <v>1448</v>
      </c>
      <c r="H30" s="993" t="s">
        <v>819</v>
      </c>
      <c r="I30" t="s">
        <v>1448</v>
      </c>
    </row>
    <row r="31" spans="2:11" ht="15" thickBot="1" x14ac:dyDescent="0.2">
      <c r="B31" s="990" t="s">
        <v>819</v>
      </c>
      <c r="C31" s="990" t="s">
        <v>819</v>
      </c>
      <c r="E31" s="993" t="s">
        <v>819</v>
      </c>
      <c r="F31" s="993" t="s">
        <v>819</v>
      </c>
      <c r="G31" t="s">
        <v>1447</v>
      </c>
      <c r="H31" s="993" t="s">
        <v>819</v>
      </c>
      <c r="I31" t="s">
        <v>1447</v>
      </c>
    </row>
    <row r="32" spans="2:11" ht="15" thickBot="1" x14ac:dyDescent="0.2">
      <c r="B32" s="989"/>
      <c r="C32" s="989"/>
      <c r="E32" s="997"/>
      <c r="F32" s="997"/>
      <c r="G32" t="s">
        <v>1446</v>
      </c>
      <c r="H32" s="997"/>
      <c r="I32" t="s">
        <v>1446</v>
      </c>
    </row>
    <row r="33" spans="2:9" ht="14" x14ac:dyDescent="0.15">
      <c r="B33" s="987" t="s">
        <v>819</v>
      </c>
      <c r="C33" s="987" t="s">
        <v>943</v>
      </c>
      <c r="E33" s="998" t="s">
        <v>943</v>
      </c>
      <c r="F33" s="998" t="s">
        <v>943</v>
      </c>
      <c r="G33" t="s">
        <v>435</v>
      </c>
      <c r="H33" s="998" t="s">
        <v>943</v>
      </c>
      <c r="I33" t="s">
        <v>435</v>
      </c>
    </row>
    <row r="34" spans="2:9" ht="14" x14ac:dyDescent="0.15">
      <c r="B34" s="988"/>
      <c r="C34" s="988" t="s">
        <v>943</v>
      </c>
      <c r="E34" s="998"/>
      <c r="F34" s="998" t="s">
        <v>943</v>
      </c>
      <c r="G34" t="s">
        <v>1451</v>
      </c>
      <c r="H34" s="998" t="s">
        <v>943</v>
      </c>
      <c r="I34" t="s">
        <v>1451</v>
      </c>
    </row>
    <row r="35" spans="2:9" ht="14" x14ac:dyDescent="0.15">
      <c r="B35" s="988" t="s">
        <v>915</v>
      </c>
      <c r="C35" s="3341" t="s">
        <v>915</v>
      </c>
      <c r="E35" s="998" t="s">
        <v>819</v>
      </c>
      <c r="F35" s="998"/>
      <c r="G35" t="s">
        <v>1450</v>
      </c>
      <c r="H35" s="998"/>
      <c r="I35" t="s">
        <v>1450</v>
      </c>
    </row>
    <row r="36" spans="2:9" ht="14" x14ac:dyDescent="0.15">
      <c r="B36" s="988" t="s">
        <v>943</v>
      </c>
      <c r="C36" s="988" t="s">
        <v>943</v>
      </c>
      <c r="E36" s="998"/>
      <c r="F36" s="998" t="s">
        <v>943</v>
      </c>
      <c r="G36" t="s">
        <v>1449</v>
      </c>
      <c r="H36" s="998" t="s">
        <v>943</v>
      </c>
      <c r="I36" t="s">
        <v>1449</v>
      </c>
    </row>
    <row r="37" spans="2:9" ht="14" x14ac:dyDescent="0.15">
      <c r="B37" s="988"/>
      <c r="C37" s="988" t="s">
        <v>943</v>
      </c>
      <c r="E37" s="998" t="s">
        <v>819</v>
      </c>
      <c r="F37" s="998" t="s">
        <v>819</v>
      </c>
      <c r="G37" t="s">
        <v>1448</v>
      </c>
      <c r="H37" s="998" t="s">
        <v>819</v>
      </c>
      <c r="I37" t="s">
        <v>1448</v>
      </c>
    </row>
    <row r="38" spans="2:9" ht="14" x14ac:dyDescent="0.15">
      <c r="B38" s="988" t="s">
        <v>810</v>
      </c>
      <c r="C38" s="988" t="s">
        <v>810</v>
      </c>
      <c r="E38" s="998"/>
      <c r="F38" s="998"/>
      <c r="G38" t="s">
        <v>1447</v>
      </c>
      <c r="H38" s="998"/>
      <c r="I38" t="s">
        <v>1447</v>
      </c>
    </row>
    <row r="39" spans="2:9" ht="15" thickBot="1" x14ac:dyDescent="0.2">
      <c r="B39" s="986"/>
      <c r="C39" s="986"/>
      <c r="E39" s="998" t="s">
        <v>804</v>
      </c>
      <c r="F39" s="998" t="s">
        <v>819</v>
      </c>
      <c r="G39" t="s">
        <v>1446</v>
      </c>
      <c r="H39" s="998" t="s">
        <v>819</v>
      </c>
      <c r="I39" t="s">
        <v>1446</v>
      </c>
    </row>
    <row r="40" spans="2:9" ht="15" thickBot="1" x14ac:dyDescent="0.2">
      <c r="B40" s="987" t="s">
        <v>819</v>
      </c>
      <c r="C40" s="987" t="s">
        <v>943</v>
      </c>
      <c r="E40" s="3030"/>
      <c r="F40" s="3030"/>
      <c r="G40" t="s">
        <v>435</v>
      </c>
      <c r="H40" s="3030"/>
      <c r="I40" t="s">
        <v>435</v>
      </c>
    </row>
    <row r="41" spans="2:9" ht="14" x14ac:dyDescent="0.15">
      <c r="B41" s="988"/>
      <c r="C41" s="988" t="s">
        <v>943</v>
      </c>
      <c r="E41" s="999" t="s">
        <v>914</v>
      </c>
      <c r="F41" s="999" t="s">
        <v>914</v>
      </c>
      <c r="G41" t="s">
        <v>1451</v>
      </c>
      <c r="H41" s="999" t="s">
        <v>914</v>
      </c>
      <c r="I41" t="s">
        <v>1451</v>
      </c>
    </row>
    <row r="42" spans="2:9" ht="14" x14ac:dyDescent="0.15">
      <c r="B42" s="988" t="s">
        <v>915</v>
      </c>
      <c r="C42" s="3341" t="s">
        <v>915</v>
      </c>
      <c r="E42" s="1000" t="s">
        <v>943</v>
      </c>
      <c r="F42" s="1000" t="s">
        <v>943</v>
      </c>
      <c r="G42" t="s">
        <v>1450</v>
      </c>
      <c r="H42" s="1000" t="s">
        <v>943</v>
      </c>
      <c r="I42" t="s">
        <v>1450</v>
      </c>
    </row>
    <row r="43" spans="2:9" ht="14" x14ac:dyDescent="0.15">
      <c r="B43" s="988" t="s">
        <v>943</v>
      </c>
      <c r="C43" s="988" t="s">
        <v>943</v>
      </c>
      <c r="E43" s="1001"/>
      <c r="F43" s="1001" t="s">
        <v>800</v>
      </c>
      <c r="G43" t="s">
        <v>1449</v>
      </c>
      <c r="H43" s="1001" t="s">
        <v>800</v>
      </c>
      <c r="I43" t="s">
        <v>1449</v>
      </c>
    </row>
    <row r="44" spans="2:9" ht="14" x14ac:dyDescent="0.15">
      <c r="B44" s="988"/>
      <c r="C44" s="988" t="s">
        <v>943</v>
      </c>
      <c r="E44" s="1000" t="s">
        <v>899</v>
      </c>
      <c r="F44" s="1000" t="s">
        <v>899</v>
      </c>
      <c r="G44" t="s">
        <v>1448</v>
      </c>
      <c r="H44" s="1000" t="s">
        <v>899</v>
      </c>
      <c r="I44" t="s">
        <v>1448</v>
      </c>
    </row>
    <row r="45" spans="2:9" ht="14" x14ac:dyDescent="0.15">
      <c r="B45" s="988" t="s">
        <v>811</v>
      </c>
      <c r="C45" s="988" t="s">
        <v>811</v>
      </c>
      <c r="E45" s="1000" t="s">
        <v>943</v>
      </c>
      <c r="F45" s="1000" t="s">
        <v>943</v>
      </c>
      <c r="G45" t="s">
        <v>1447</v>
      </c>
      <c r="H45" s="1000" t="s">
        <v>943</v>
      </c>
      <c r="I45" t="s">
        <v>1447</v>
      </c>
    </row>
    <row r="46" spans="2:9" ht="15" thickBot="1" x14ac:dyDescent="0.2">
      <c r="B46" s="986"/>
      <c r="C46" s="986"/>
      <c r="E46" s="1001"/>
      <c r="F46" s="3618" t="s">
        <v>811</v>
      </c>
      <c r="G46" t="s">
        <v>1446</v>
      </c>
      <c r="H46" s="3618" t="s">
        <v>811</v>
      </c>
      <c r="I46" t="s">
        <v>1446</v>
      </c>
    </row>
    <row r="47" spans="2:9" ht="14" x14ac:dyDescent="0.15">
      <c r="B47" s="987" t="s">
        <v>819</v>
      </c>
      <c r="C47" s="987" t="s">
        <v>943</v>
      </c>
      <c r="E47" s="1000" t="s">
        <v>811</v>
      </c>
      <c r="F47" s="3618"/>
      <c r="G47" t="s">
        <v>435</v>
      </c>
      <c r="H47" s="3618"/>
      <c r="I47" t="s">
        <v>435</v>
      </c>
    </row>
    <row r="48" spans="2:9" ht="14" x14ac:dyDescent="0.15">
      <c r="B48" s="988"/>
      <c r="C48" s="3341" t="s">
        <v>916</v>
      </c>
      <c r="E48" s="1000" t="s">
        <v>943</v>
      </c>
      <c r="F48" s="1000" t="s">
        <v>943</v>
      </c>
      <c r="G48" t="s">
        <v>1451</v>
      </c>
      <c r="H48" s="1000" t="s">
        <v>943</v>
      </c>
      <c r="I48" t="s">
        <v>1451</v>
      </c>
    </row>
    <row r="49" spans="2:9" ht="15" thickBot="1" x14ac:dyDescent="0.2">
      <c r="B49" s="988" t="s">
        <v>916</v>
      </c>
      <c r="C49" s="3341" t="s">
        <v>943</v>
      </c>
      <c r="E49" s="1000"/>
      <c r="F49" s="1000" t="s">
        <v>800</v>
      </c>
      <c r="G49" t="s">
        <v>1450</v>
      </c>
      <c r="H49" s="1000" t="s">
        <v>800</v>
      </c>
      <c r="I49" t="s">
        <v>1450</v>
      </c>
    </row>
    <row r="50" spans="2:9" ht="14" x14ac:dyDescent="0.15">
      <c r="B50" s="988" t="s">
        <v>943</v>
      </c>
      <c r="C50" s="988" t="s">
        <v>899</v>
      </c>
      <c r="E50" s="992" t="s">
        <v>915</v>
      </c>
      <c r="F50" s="992" t="s">
        <v>915</v>
      </c>
      <c r="G50" t="s">
        <v>1449</v>
      </c>
      <c r="H50" s="992" t="s">
        <v>915</v>
      </c>
      <c r="I50" t="s">
        <v>1449</v>
      </c>
    </row>
    <row r="51" spans="2:9" ht="14" x14ac:dyDescent="0.15">
      <c r="B51" s="988"/>
      <c r="C51" s="988" t="s">
        <v>943</v>
      </c>
      <c r="E51" s="993" t="s">
        <v>943</v>
      </c>
      <c r="F51" s="993" t="s">
        <v>943</v>
      </c>
      <c r="G51" t="s">
        <v>1448</v>
      </c>
      <c r="H51" s="993" t="s">
        <v>943</v>
      </c>
      <c r="I51" t="s">
        <v>1448</v>
      </c>
    </row>
    <row r="52" spans="2:9" ht="14" x14ac:dyDescent="0.15">
      <c r="B52" s="988" t="s">
        <v>812</v>
      </c>
      <c r="C52" s="988" t="s">
        <v>812</v>
      </c>
      <c r="E52" s="994"/>
      <c r="F52" s="994" t="s">
        <v>800</v>
      </c>
      <c r="G52" t="s">
        <v>1447</v>
      </c>
      <c r="H52" s="994" t="s">
        <v>800</v>
      </c>
      <c r="I52" t="s">
        <v>1447</v>
      </c>
    </row>
    <row r="53" spans="2:9" ht="15" thickBot="1" x14ac:dyDescent="0.2">
      <c r="B53" s="991"/>
      <c r="C53" s="991"/>
      <c r="E53" s="993" t="s">
        <v>812</v>
      </c>
      <c r="F53" s="3624" t="s">
        <v>812</v>
      </c>
      <c r="G53" t="s">
        <v>1446</v>
      </c>
      <c r="H53" s="3624" t="s">
        <v>812</v>
      </c>
      <c r="I53" t="s">
        <v>1446</v>
      </c>
    </row>
    <row r="54" spans="2:9" ht="14" x14ac:dyDescent="0.15">
      <c r="B54" s="982"/>
      <c r="C54" s="982"/>
      <c r="E54" s="993"/>
      <c r="F54" s="3625"/>
      <c r="G54" t="s">
        <v>435</v>
      </c>
      <c r="H54" s="3625"/>
      <c r="I54" t="s">
        <v>435</v>
      </c>
    </row>
    <row r="55" spans="2:9" ht="14" x14ac:dyDescent="0.15">
      <c r="B55" s="983" t="s">
        <v>943</v>
      </c>
      <c r="C55" s="983" t="s">
        <v>943</v>
      </c>
      <c r="E55" s="994" t="s">
        <v>819</v>
      </c>
      <c r="F55" s="994" t="s">
        <v>819</v>
      </c>
      <c r="G55" t="s">
        <v>1451</v>
      </c>
      <c r="H55" s="994" t="s">
        <v>819</v>
      </c>
      <c r="I55" t="s">
        <v>1451</v>
      </c>
    </row>
    <row r="56" spans="2:9" ht="14" x14ac:dyDescent="0.15">
      <c r="B56" s="983"/>
      <c r="C56" s="983"/>
      <c r="E56" s="993" t="s">
        <v>900</v>
      </c>
      <c r="F56" s="993" t="s">
        <v>900</v>
      </c>
      <c r="G56" t="s">
        <v>1450</v>
      </c>
      <c r="H56" s="993" t="s">
        <v>900</v>
      </c>
      <c r="I56" t="s">
        <v>1450</v>
      </c>
    </row>
    <row r="57" spans="2:9" ht="14" x14ac:dyDescent="0.15">
      <c r="B57" s="983" t="s">
        <v>827</v>
      </c>
      <c r="C57" s="983" t="s">
        <v>827</v>
      </c>
      <c r="E57" s="993" t="s">
        <v>817</v>
      </c>
      <c r="F57" s="993" t="s">
        <v>817</v>
      </c>
      <c r="G57" t="s">
        <v>1449</v>
      </c>
      <c r="H57" s="993" t="s">
        <v>817</v>
      </c>
      <c r="I57" t="s">
        <v>1449</v>
      </c>
    </row>
    <row r="58" spans="2:9" ht="15" thickBot="1" x14ac:dyDescent="0.2">
      <c r="B58" s="983"/>
      <c r="C58" s="983"/>
      <c r="E58" s="804"/>
      <c r="F58" s="804" t="s">
        <v>800</v>
      </c>
      <c r="G58" t="s">
        <v>1448</v>
      </c>
      <c r="H58" s="804" t="s">
        <v>800</v>
      </c>
      <c r="I58" t="s">
        <v>1448</v>
      </c>
    </row>
    <row r="59" spans="2:9" ht="14" x14ac:dyDescent="0.15">
      <c r="B59" s="983" t="s">
        <v>819</v>
      </c>
      <c r="C59" s="983" t="s">
        <v>819</v>
      </c>
      <c r="E59" s="999" t="s">
        <v>819</v>
      </c>
      <c r="F59" s="999" t="s">
        <v>819</v>
      </c>
      <c r="G59" t="s">
        <v>1447</v>
      </c>
      <c r="H59" s="999" t="s">
        <v>819</v>
      </c>
      <c r="I59" t="s">
        <v>1447</v>
      </c>
    </row>
    <row r="60" spans="2:9" ht="15" thickBot="1" x14ac:dyDescent="0.2">
      <c r="B60" s="984"/>
      <c r="C60" s="984"/>
      <c r="E60" s="1000"/>
      <c r="F60" s="3618" t="s">
        <v>812</v>
      </c>
      <c r="G60" t="s">
        <v>1446</v>
      </c>
      <c r="H60" s="3618" t="s">
        <v>812</v>
      </c>
      <c r="I60" t="s">
        <v>1446</v>
      </c>
    </row>
    <row r="61" spans="2:9" ht="14" x14ac:dyDescent="0.15">
      <c r="B61" s="987" t="s">
        <v>819</v>
      </c>
      <c r="C61" s="987" t="s">
        <v>943</v>
      </c>
      <c r="E61" s="1001" t="s">
        <v>812</v>
      </c>
      <c r="F61" s="3619"/>
      <c r="G61" t="s">
        <v>435</v>
      </c>
      <c r="H61" s="3619"/>
      <c r="I61" t="s">
        <v>435</v>
      </c>
    </row>
    <row r="62" spans="2:9" ht="14" x14ac:dyDescent="0.15">
      <c r="B62" s="988"/>
      <c r="C62" s="988" t="s">
        <v>943</v>
      </c>
      <c r="E62" s="1000"/>
      <c r="F62" s="1000" t="s">
        <v>800</v>
      </c>
      <c r="G62" t="s">
        <v>1451</v>
      </c>
      <c r="H62" s="1000" t="s">
        <v>800</v>
      </c>
      <c r="I62" t="s">
        <v>1451</v>
      </c>
    </row>
    <row r="63" spans="2:9" ht="14" x14ac:dyDescent="0.15">
      <c r="B63" s="988" t="s">
        <v>899</v>
      </c>
      <c r="C63" s="3341" t="s">
        <v>899</v>
      </c>
      <c r="E63" s="1000" t="s">
        <v>916</v>
      </c>
      <c r="F63" s="1000" t="s">
        <v>916</v>
      </c>
      <c r="G63" t="s">
        <v>1450</v>
      </c>
      <c r="H63" s="1000" t="s">
        <v>916</v>
      </c>
      <c r="I63" t="s">
        <v>1450</v>
      </c>
    </row>
    <row r="64" spans="2:9" ht="14" x14ac:dyDescent="0.15">
      <c r="B64" s="988" t="s">
        <v>943</v>
      </c>
      <c r="C64" s="988" t="s">
        <v>943</v>
      </c>
      <c r="E64" s="1001" t="s">
        <v>943</v>
      </c>
      <c r="F64" s="1001" t="s">
        <v>943</v>
      </c>
      <c r="G64" t="s">
        <v>1449</v>
      </c>
      <c r="H64" s="1001" t="s">
        <v>943</v>
      </c>
      <c r="I64" t="s">
        <v>1449</v>
      </c>
    </row>
    <row r="65" spans="2:9" ht="14" x14ac:dyDescent="0.15">
      <c r="B65" s="988"/>
      <c r="C65" s="988" t="s">
        <v>943</v>
      </c>
      <c r="E65" s="1000"/>
      <c r="F65" s="1000" t="s">
        <v>800</v>
      </c>
      <c r="G65" t="s">
        <v>1448</v>
      </c>
      <c r="H65" s="1000" t="s">
        <v>800</v>
      </c>
      <c r="I65" t="s">
        <v>1448</v>
      </c>
    </row>
    <row r="66" spans="2:9" ht="14" x14ac:dyDescent="0.15">
      <c r="B66" s="988" t="s">
        <v>811</v>
      </c>
      <c r="C66" s="988" t="s">
        <v>811</v>
      </c>
      <c r="E66" s="1000" t="s">
        <v>901</v>
      </c>
      <c r="F66" s="1000" t="s">
        <v>901</v>
      </c>
      <c r="G66" t="s">
        <v>1447</v>
      </c>
      <c r="H66" s="1000" t="s">
        <v>901</v>
      </c>
      <c r="I66" t="s">
        <v>1447</v>
      </c>
    </row>
    <row r="67" spans="2:9" ht="15" thickBot="1" x14ac:dyDescent="0.2">
      <c r="B67" s="986"/>
      <c r="C67" s="986"/>
      <c r="E67" s="1000" t="s">
        <v>817</v>
      </c>
      <c r="F67" s="1000" t="s">
        <v>817</v>
      </c>
      <c r="G67" t="s">
        <v>1446</v>
      </c>
      <c r="H67" s="1000" t="s">
        <v>817</v>
      </c>
      <c r="I67" t="s">
        <v>1446</v>
      </c>
    </row>
    <row r="68" spans="2:9" ht="14" x14ac:dyDescent="0.15">
      <c r="B68" s="987" t="s">
        <v>819</v>
      </c>
      <c r="C68" s="987" t="s">
        <v>943</v>
      </c>
      <c r="E68" s="997"/>
      <c r="F68" s="997"/>
      <c r="G68" t="s">
        <v>435</v>
      </c>
      <c r="H68" s="997"/>
      <c r="I68" t="s">
        <v>435</v>
      </c>
    </row>
    <row r="69" spans="2:9" ht="14" x14ac:dyDescent="0.15">
      <c r="B69" s="988"/>
      <c r="C69" s="988" t="s">
        <v>943</v>
      </c>
      <c r="E69" s="998" t="s">
        <v>943</v>
      </c>
      <c r="F69" s="998" t="s">
        <v>943</v>
      </c>
      <c r="G69" t="s">
        <v>1451</v>
      </c>
      <c r="H69" s="998" t="s">
        <v>943</v>
      </c>
      <c r="I69" t="s">
        <v>1451</v>
      </c>
    </row>
    <row r="70" spans="2:9" ht="14" x14ac:dyDescent="0.15">
      <c r="B70" s="988" t="s">
        <v>900</v>
      </c>
      <c r="C70" s="3341" t="s">
        <v>900</v>
      </c>
      <c r="E70" s="998"/>
      <c r="F70" s="998" t="s">
        <v>943</v>
      </c>
      <c r="G70" t="s">
        <v>1450</v>
      </c>
      <c r="H70" s="998" t="s">
        <v>943</v>
      </c>
      <c r="I70" t="s">
        <v>1450</v>
      </c>
    </row>
    <row r="71" spans="2:9" ht="14" x14ac:dyDescent="0.15">
      <c r="B71" s="988" t="s">
        <v>943</v>
      </c>
      <c r="C71" s="988" t="s">
        <v>943</v>
      </c>
      <c r="E71" s="998" t="s">
        <v>819</v>
      </c>
      <c r="F71" s="998"/>
      <c r="G71" t="s">
        <v>1449</v>
      </c>
      <c r="H71" s="998"/>
      <c r="I71" t="s">
        <v>1449</v>
      </c>
    </row>
    <row r="72" spans="2:9" ht="14" x14ac:dyDescent="0.15">
      <c r="B72" s="988"/>
      <c r="C72" s="988" t="s">
        <v>943</v>
      </c>
      <c r="E72" s="998"/>
      <c r="F72" s="998" t="s">
        <v>943</v>
      </c>
      <c r="G72" t="s">
        <v>1448</v>
      </c>
      <c r="H72" s="998" t="s">
        <v>943</v>
      </c>
      <c r="I72" t="s">
        <v>1448</v>
      </c>
    </row>
    <row r="73" spans="2:9" ht="14" x14ac:dyDescent="0.15">
      <c r="B73" s="988" t="s">
        <v>812</v>
      </c>
      <c r="C73" s="988" t="s">
        <v>812</v>
      </c>
      <c r="E73" s="998" t="s">
        <v>819</v>
      </c>
      <c r="F73" s="998" t="s">
        <v>819</v>
      </c>
      <c r="G73" t="s">
        <v>1447</v>
      </c>
      <c r="H73" s="998" t="s">
        <v>819</v>
      </c>
      <c r="I73" t="s">
        <v>1447</v>
      </c>
    </row>
    <row r="74" spans="2:9" ht="15" thickBot="1" x14ac:dyDescent="0.2">
      <c r="B74" s="986"/>
      <c r="C74" s="986"/>
      <c r="E74" s="998"/>
      <c r="F74" s="998"/>
      <c r="G74" t="s">
        <v>1446</v>
      </c>
      <c r="H74" s="998"/>
      <c r="I74" t="s">
        <v>1446</v>
      </c>
    </row>
    <row r="75" spans="2:9" ht="14" x14ac:dyDescent="0.15">
      <c r="B75" s="987" t="s">
        <v>819</v>
      </c>
      <c r="C75" s="987" t="s">
        <v>943</v>
      </c>
      <c r="E75" s="998" t="s">
        <v>804</v>
      </c>
      <c r="F75" s="998" t="s">
        <v>819</v>
      </c>
      <c r="G75" t="s">
        <v>435</v>
      </c>
      <c r="H75" s="998" t="s">
        <v>819</v>
      </c>
      <c r="I75" t="s">
        <v>435</v>
      </c>
    </row>
    <row r="76" spans="2:9" ht="15" thickBot="1" x14ac:dyDescent="0.2">
      <c r="B76" s="988"/>
      <c r="C76" s="988" t="s">
        <v>943</v>
      </c>
      <c r="E76" s="998"/>
      <c r="F76" s="3030"/>
      <c r="G76" t="s">
        <v>1451</v>
      </c>
      <c r="H76" s="3030"/>
      <c r="I76" t="s">
        <v>1451</v>
      </c>
    </row>
    <row r="77" spans="2:9" ht="14" x14ac:dyDescent="0.15">
      <c r="B77" s="988" t="s">
        <v>901</v>
      </c>
      <c r="C77" s="3341" t="s">
        <v>901</v>
      </c>
      <c r="E77" s="1002" t="s">
        <v>928</v>
      </c>
      <c r="F77" s="1002" t="s">
        <v>928</v>
      </c>
      <c r="G77" t="s">
        <v>1450</v>
      </c>
      <c r="H77" s="1002" t="s">
        <v>928</v>
      </c>
      <c r="I77" t="s">
        <v>1450</v>
      </c>
    </row>
    <row r="78" spans="2:9" ht="14" x14ac:dyDescent="0.15">
      <c r="B78" s="988" t="s">
        <v>943</v>
      </c>
      <c r="C78" s="988" t="s">
        <v>943</v>
      </c>
      <c r="E78" s="1003" t="s">
        <v>943</v>
      </c>
      <c r="F78" s="1003" t="s">
        <v>943</v>
      </c>
      <c r="G78" t="s">
        <v>1449</v>
      </c>
      <c r="H78" s="1003" t="s">
        <v>943</v>
      </c>
      <c r="I78" t="s">
        <v>1449</v>
      </c>
    </row>
    <row r="79" spans="2:9" ht="14" x14ac:dyDescent="0.15">
      <c r="B79" s="988"/>
      <c r="C79" s="988" t="s">
        <v>943</v>
      </c>
      <c r="E79" s="1004"/>
      <c r="F79" s="1004" t="s">
        <v>800</v>
      </c>
      <c r="G79" t="s">
        <v>1448</v>
      </c>
      <c r="H79" s="1004" t="s">
        <v>800</v>
      </c>
      <c r="I79" t="s">
        <v>1448</v>
      </c>
    </row>
    <row r="80" spans="2:9" ht="14" x14ac:dyDescent="0.15">
      <c r="B80" s="988" t="s">
        <v>859</v>
      </c>
      <c r="C80" s="988" t="s">
        <v>859</v>
      </c>
      <c r="E80" s="1003" t="s">
        <v>943</v>
      </c>
      <c r="F80" s="1003" t="s">
        <v>943</v>
      </c>
      <c r="G80" t="s">
        <v>1447</v>
      </c>
      <c r="H80" s="1003" t="s">
        <v>943</v>
      </c>
      <c r="I80" t="s">
        <v>1447</v>
      </c>
    </row>
    <row r="81" spans="2:9" ht="15" thickBot="1" x14ac:dyDescent="0.2">
      <c r="B81" s="991"/>
      <c r="C81" s="991"/>
      <c r="E81" s="1003"/>
      <c r="F81" s="3620" t="s">
        <v>812</v>
      </c>
      <c r="G81" t="s">
        <v>1446</v>
      </c>
      <c r="H81" s="3620" t="s">
        <v>812</v>
      </c>
      <c r="I81" t="s">
        <v>1446</v>
      </c>
    </row>
    <row r="82" spans="2:9" ht="14" x14ac:dyDescent="0.15">
      <c r="B82" s="982" t="s">
        <v>943</v>
      </c>
      <c r="C82" s="982" t="s">
        <v>943</v>
      </c>
      <c r="E82" s="1004" t="s">
        <v>812</v>
      </c>
      <c r="F82" s="3621"/>
      <c r="G82" t="s">
        <v>435</v>
      </c>
      <c r="H82" s="3621"/>
      <c r="I82" t="s">
        <v>435</v>
      </c>
    </row>
    <row r="83" spans="2:9" ht="14" x14ac:dyDescent="0.15">
      <c r="B83" s="983"/>
      <c r="C83" s="983"/>
      <c r="E83" s="1003" t="s">
        <v>943</v>
      </c>
      <c r="F83" s="1003" t="s">
        <v>943</v>
      </c>
      <c r="G83" t="s">
        <v>1451</v>
      </c>
      <c r="H83" s="1003" t="s">
        <v>943</v>
      </c>
      <c r="I83" t="s">
        <v>1451</v>
      </c>
    </row>
    <row r="84" spans="2:9" ht="14" x14ac:dyDescent="0.15">
      <c r="B84" s="983" t="s">
        <v>819</v>
      </c>
      <c r="C84" s="983" t="s">
        <v>819</v>
      </c>
      <c r="E84" s="1003" t="s">
        <v>896</v>
      </c>
      <c r="F84" s="1003" t="s">
        <v>896</v>
      </c>
      <c r="G84" t="s">
        <v>1450</v>
      </c>
      <c r="H84" s="1003" t="s">
        <v>896</v>
      </c>
      <c r="I84" t="s">
        <v>1450</v>
      </c>
    </row>
    <row r="85" spans="2:9" ht="15" thickBot="1" x14ac:dyDescent="0.2">
      <c r="B85" s="983"/>
      <c r="C85" s="983"/>
      <c r="E85" s="1003"/>
      <c r="F85" s="1003" t="s">
        <v>800</v>
      </c>
      <c r="G85" t="s">
        <v>1449</v>
      </c>
      <c r="H85" s="1003" t="s">
        <v>800</v>
      </c>
      <c r="I85" t="s">
        <v>1449</v>
      </c>
    </row>
    <row r="86" spans="2:9" ht="14" x14ac:dyDescent="0.15">
      <c r="B86" s="983" t="s">
        <v>918</v>
      </c>
      <c r="C86" s="983" t="s">
        <v>918</v>
      </c>
      <c r="E86" s="999" t="s">
        <v>869</v>
      </c>
      <c r="F86" s="999" t="s">
        <v>869</v>
      </c>
      <c r="G86" t="s">
        <v>1448</v>
      </c>
      <c r="H86" s="999" t="s">
        <v>869</v>
      </c>
      <c r="I86" t="s">
        <v>1448</v>
      </c>
    </row>
    <row r="87" spans="2:9" ht="14" x14ac:dyDescent="0.15">
      <c r="B87" s="983"/>
      <c r="C87" s="983"/>
      <c r="E87" s="1000" t="s">
        <v>943</v>
      </c>
      <c r="F87" s="1000" t="s">
        <v>943</v>
      </c>
      <c r="G87" t="s">
        <v>1447</v>
      </c>
      <c r="H87" s="1000" t="s">
        <v>943</v>
      </c>
      <c r="I87" t="s">
        <v>1447</v>
      </c>
    </row>
    <row r="88" spans="2:9" ht="15" thickBot="1" x14ac:dyDescent="0.2">
      <c r="B88" s="984" t="s">
        <v>804</v>
      </c>
      <c r="C88" s="984" t="s">
        <v>804</v>
      </c>
      <c r="E88" s="1001"/>
      <c r="F88" s="3618" t="s">
        <v>812</v>
      </c>
      <c r="G88" t="s">
        <v>1446</v>
      </c>
      <c r="H88" s="3618" t="s">
        <v>812</v>
      </c>
      <c r="I88" t="s">
        <v>1446</v>
      </c>
    </row>
    <row r="89" spans="2:9" ht="14" x14ac:dyDescent="0.15">
      <c r="B89" s="982"/>
      <c r="C89" s="982"/>
      <c r="E89" s="1000" t="s">
        <v>812</v>
      </c>
      <c r="F89" s="3618"/>
      <c r="G89" t="s">
        <v>435</v>
      </c>
      <c r="H89" s="3618"/>
      <c r="I89" t="s">
        <v>435</v>
      </c>
    </row>
    <row r="90" spans="2:9" ht="14" x14ac:dyDescent="0.15">
      <c r="B90" s="983" t="s">
        <v>819</v>
      </c>
      <c r="C90" s="983" t="s">
        <v>819</v>
      </c>
      <c r="E90" s="1000"/>
      <c r="F90" s="1000" t="s">
        <v>800</v>
      </c>
      <c r="G90" t="s">
        <v>1451</v>
      </c>
      <c r="H90" s="1000" t="s">
        <v>800</v>
      </c>
      <c r="I90" t="s">
        <v>1451</v>
      </c>
    </row>
    <row r="91" spans="2:9" ht="14" x14ac:dyDescent="0.15">
      <c r="B91" s="983"/>
      <c r="C91" s="983"/>
      <c r="E91" s="1001" t="s">
        <v>804</v>
      </c>
      <c r="F91" s="1001" t="s">
        <v>804</v>
      </c>
      <c r="G91" t="s">
        <v>1450</v>
      </c>
      <c r="H91" s="1001" t="s">
        <v>804</v>
      </c>
      <c r="I91" t="s">
        <v>1450</v>
      </c>
    </row>
    <row r="92" spans="2:9" ht="14" x14ac:dyDescent="0.15">
      <c r="B92" s="983" t="s">
        <v>800</v>
      </c>
      <c r="C92" s="983" t="s">
        <v>800</v>
      </c>
      <c r="E92" s="1000"/>
      <c r="F92" s="1000" t="s">
        <v>800</v>
      </c>
      <c r="G92" t="s">
        <v>1449</v>
      </c>
      <c r="H92" s="1000" t="s">
        <v>800</v>
      </c>
      <c r="I92" t="s">
        <v>1449</v>
      </c>
    </row>
    <row r="93" spans="2:9" ht="14" x14ac:dyDescent="0.15">
      <c r="B93" s="983"/>
      <c r="C93" s="983"/>
      <c r="E93" s="1000" t="s">
        <v>928</v>
      </c>
      <c r="F93" s="1000" t="s">
        <v>928</v>
      </c>
      <c r="G93" t="s">
        <v>1448</v>
      </c>
      <c r="H93" s="1000" t="s">
        <v>928</v>
      </c>
      <c r="I93" t="s">
        <v>1448</v>
      </c>
    </row>
    <row r="94" spans="2:9" ht="15" thickBot="1" x14ac:dyDescent="0.2">
      <c r="B94" s="983" t="s">
        <v>799</v>
      </c>
      <c r="C94" s="983" t="s">
        <v>799</v>
      </c>
      <c r="E94" s="1000" t="s">
        <v>943</v>
      </c>
      <c r="F94" s="1000" t="s">
        <v>943</v>
      </c>
      <c r="G94" t="s">
        <v>1447</v>
      </c>
      <c r="H94" s="1000" t="s">
        <v>943</v>
      </c>
      <c r="I94" t="s">
        <v>1447</v>
      </c>
    </row>
    <row r="95" spans="2:9" ht="15" thickBot="1" x14ac:dyDescent="0.2">
      <c r="B95" s="1010" t="s">
        <v>690</v>
      </c>
      <c r="C95" s="1010" t="s">
        <v>690</v>
      </c>
      <c r="E95" s="1002"/>
      <c r="F95" s="3622" t="s">
        <v>859</v>
      </c>
      <c r="G95" t="s">
        <v>1446</v>
      </c>
      <c r="H95" s="3622" t="s">
        <v>859</v>
      </c>
      <c r="I95" t="s">
        <v>1446</v>
      </c>
    </row>
    <row r="96" spans="2:9" ht="14" x14ac:dyDescent="0.15">
      <c r="E96" s="1003" t="s">
        <v>859</v>
      </c>
      <c r="F96" s="3620"/>
      <c r="G96" t="s">
        <v>435</v>
      </c>
      <c r="H96" s="3620"/>
      <c r="I96" t="s">
        <v>435</v>
      </c>
    </row>
    <row r="97" spans="5:9" ht="14" x14ac:dyDescent="0.15">
      <c r="E97" s="1004" t="s">
        <v>943</v>
      </c>
      <c r="F97" s="1004" t="s">
        <v>943</v>
      </c>
      <c r="G97" t="s">
        <v>1451</v>
      </c>
      <c r="H97" s="1004" t="s">
        <v>943</v>
      </c>
      <c r="I97" t="s">
        <v>1451</v>
      </c>
    </row>
    <row r="98" spans="5:9" ht="14" x14ac:dyDescent="0.15">
      <c r="E98" s="1003"/>
      <c r="F98" s="1003" t="s">
        <v>800</v>
      </c>
      <c r="G98" t="s">
        <v>1450</v>
      </c>
      <c r="H98" s="1003" t="s">
        <v>800</v>
      </c>
      <c r="I98" t="s">
        <v>1450</v>
      </c>
    </row>
    <row r="99" spans="5:9" ht="14" x14ac:dyDescent="0.15">
      <c r="E99" s="1003" t="s">
        <v>929</v>
      </c>
      <c r="F99" s="1003" t="s">
        <v>929</v>
      </c>
      <c r="G99" t="s">
        <v>1449</v>
      </c>
      <c r="H99" s="1003" t="s">
        <v>929</v>
      </c>
      <c r="I99" t="s">
        <v>1449</v>
      </c>
    </row>
    <row r="100" spans="5:9" ht="14" x14ac:dyDescent="0.15">
      <c r="E100" s="1004" t="s">
        <v>943</v>
      </c>
      <c r="F100" s="1004" t="s">
        <v>943</v>
      </c>
      <c r="G100" t="s">
        <v>1448</v>
      </c>
      <c r="H100" s="1004" t="s">
        <v>943</v>
      </c>
      <c r="I100" t="s">
        <v>1448</v>
      </c>
    </row>
    <row r="101" spans="5:9" ht="14" x14ac:dyDescent="0.15">
      <c r="E101" s="1003"/>
      <c r="F101" s="1003" t="s">
        <v>800</v>
      </c>
      <c r="G101" t="s">
        <v>1447</v>
      </c>
      <c r="H101" s="1003" t="s">
        <v>800</v>
      </c>
      <c r="I101" t="s">
        <v>1447</v>
      </c>
    </row>
    <row r="102" spans="5:9" ht="14" x14ac:dyDescent="0.15">
      <c r="E102" s="1003" t="s">
        <v>896</v>
      </c>
      <c r="F102" s="3620" t="s">
        <v>896</v>
      </c>
      <c r="G102" t="s">
        <v>1446</v>
      </c>
      <c r="H102" s="3620" t="s">
        <v>896</v>
      </c>
      <c r="I102" t="s">
        <v>1446</v>
      </c>
    </row>
    <row r="103" spans="5:9" ht="15" thickBot="1" x14ac:dyDescent="0.2">
      <c r="E103" s="1005" t="s">
        <v>943</v>
      </c>
      <c r="F103" s="3623"/>
      <c r="G103" t="s">
        <v>435</v>
      </c>
      <c r="H103" s="3623"/>
      <c r="I103" t="s">
        <v>435</v>
      </c>
    </row>
    <row r="104" spans="5:9" ht="14" x14ac:dyDescent="0.2">
      <c r="E104" s="1006" t="s">
        <v>819</v>
      </c>
      <c r="F104" s="1006" t="s">
        <v>819</v>
      </c>
      <c r="G104" t="s">
        <v>1451</v>
      </c>
      <c r="H104" s="1006" t="s">
        <v>819</v>
      </c>
      <c r="I104" t="s">
        <v>1451</v>
      </c>
    </row>
    <row r="105" spans="5:9" ht="14" x14ac:dyDescent="0.2">
      <c r="E105" s="1007"/>
      <c r="F105" s="1007"/>
      <c r="G105" t="s">
        <v>1450</v>
      </c>
      <c r="H105" s="1007"/>
      <c r="I105" t="s">
        <v>1450</v>
      </c>
    </row>
    <row r="106" spans="5:9" ht="14" x14ac:dyDescent="0.2">
      <c r="E106" s="1007" t="s">
        <v>809</v>
      </c>
      <c r="F106" s="1007" t="s">
        <v>809</v>
      </c>
      <c r="G106" t="s">
        <v>1449</v>
      </c>
      <c r="H106" s="1007" t="s">
        <v>809</v>
      </c>
      <c r="I106" t="s">
        <v>1449</v>
      </c>
    </row>
    <row r="107" spans="5:9" ht="14" x14ac:dyDescent="0.2">
      <c r="E107" s="1007"/>
      <c r="F107" s="1007"/>
      <c r="G107" t="s">
        <v>1448</v>
      </c>
      <c r="H107" s="1007"/>
      <c r="I107" t="s">
        <v>1448</v>
      </c>
    </row>
    <row r="108" spans="5:9" ht="14" x14ac:dyDescent="0.2">
      <c r="E108" s="1007" t="s">
        <v>657</v>
      </c>
      <c r="F108" s="1007" t="s">
        <v>657</v>
      </c>
      <c r="G108" t="s">
        <v>1447</v>
      </c>
      <c r="H108" s="1007" t="s">
        <v>657</v>
      </c>
      <c r="I108" t="s">
        <v>1447</v>
      </c>
    </row>
    <row r="109" spans="5:9" ht="14" x14ac:dyDescent="0.2">
      <c r="E109" s="1007"/>
      <c r="F109" s="1007"/>
      <c r="G109" t="s">
        <v>1446</v>
      </c>
      <c r="H109" s="1007"/>
      <c r="I109" t="s">
        <v>1446</v>
      </c>
    </row>
    <row r="110" spans="5:9" ht="15" thickBot="1" x14ac:dyDescent="0.25">
      <c r="E110" s="1008" t="s">
        <v>920</v>
      </c>
      <c r="F110" s="1008" t="s">
        <v>920</v>
      </c>
      <c r="G110" t="s">
        <v>435</v>
      </c>
      <c r="H110" s="1008" t="s">
        <v>920</v>
      </c>
      <c r="I110" t="s">
        <v>435</v>
      </c>
    </row>
    <row r="111" spans="5:9" ht="14" x14ac:dyDescent="0.2">
      <c r="E111" s="1009"/>
      <c r="F111" s="1009"/>
      <c r="G111" t="s">
        <v>1451</v>
      </c>
      <c r="H111" s="1009"/>
      <c r="I111" t="s">
        <v>1451</v>
      </c>
    </row>
    <row r="112" spans="5:9" ht="14" x14ac:dyDescent="0.2">
      <c r="E112" s="1007" t="s">
        <v>656</v>
      </c>
      <c r="F112" s="1007" t="s">
        <v>656</v>
      </c>
      <c r="G112" t="s">
        <v>1450</v>
      </c>
      <c r="H112" s="1007" t="s">
        <v>656</v>
      </c>
      <c r="I112" t="s">
        <v>1450</v>
      </c>
    </row>
    <row r="113" spans="1:9" ht="14" x14ac:dyDescent="0.2">
      <c r="E113" s="1007"/>
      <c r="F113" s="1007"/>
      <c r="G113" t="s">
        <v>1449</v>
      </c>
      <c r="H113" s="1007"/>
      <c r="I113" t="s">
        <v>1449</v>
      </c>
    </row>
    <row r="114" spans="1:9" ht="14" x14ac:dyDescent="0.2">
      <c r="E114" s="1007" t="s">
        <v>826</v>
      </c>
      <c r="F114" s="1007" t="s">
        <v>826</v>
      </c>
      <c r="G114" t="s">
        <v>1448</v>
      </c>
      <c r="H114" s="1007" t="s">
        <v>826</v>
      </c>
      <c r="I114" t="s">
        <v>1448</v>
      </c>
    </row>
    <row r="115" spans="1:9" ht="14" x14ac:dyDescent="0.2">
      <c r="E115" s="1007"/>
      <c r="F115" s="1007"/>
      <c r="G115" t="s">
        <v>1447</v>
      </c>
      <c r="H115" s="1007"/>
      <c r="I115" t="s">
        <v>1447</v>
      </c>
    </row>
    <row r="116" spans="1:9" ht="14" x14ac:dyDescent="0.2">
      <c r="E116" s="1007" t="s">
        <v>799</v>
      </c>
      <c r="F116" s="1007" t="s">
        <v>799</v>
      </c>
      <c r="G116" t="s">
        <v>1446</v>
      </c>
      <c r="H116" s="1007" t="s">
        <v>799</v>
      </c>
      <c r="I116" t="s">
        <v>1446</v>
      </c>
    </row>
    <row r="117" spans="1:9" ht="15" thickBot="1" x14ac:dyDescent="0.2">
      <c r="E117" s="804" t="s">
        <v>690</v>
      </c>
      <c r="F117" s="804" t="s">
        <v>690</v>
      </c>
      <c r="G117" t="s">
        <v>435</v>
      </c>
      <c r="H117" s="804" t="s">
        <v>690</v>
      </c>
      <c r="I117" t="s">
        <v>435</v>
      </c>
    </row>
    <row r="126" spans="1:9" x14ac:dyDescent="0.15">
      <c r="A126" t="s">
        <v>972</v>
      </c>
    </row>
  </sheetData>
  <mergeCells count="20">
    <mergeCell ref="F81:F82"/>
    <mergeCell ref="F88:F89"/>
    <mergeCell ref="F95:F96"/>
    <mergeCell ref="F102:F103"/>
    <mergeCell ref="F11:F12"/>
    <mergeCell ref="F18:F19"/>
    <mergeCell ref="F25:F26"/>
    <mergeCell ref="F46:F47"/>
    <mergeCell ref="F53:F54"/>
    <mergeCell ref="F60:F61"/>
    <mergeCell ref="H11:H12"/>
    <mergeCell ref="H18:H19"/>
    <mergeCell ref="H25:H26"/>
    <mergeCell ref="H46:H47"/>
    <mergeCell ref="H53:H54"/>
    <mergeCell ref="H60:H61"/>
    <mergeCell ref="H81:H82"/>
    <mergeCell ref="H88:H89"/>
    <mergeCell ref="H95:H96"/>
    <mergeCell ref="H102:H103"/>
  </mergeCells>
  <phoneticPr fontId="26" type="noConversion"/>
  <dataValidations count="1">
    <dataValidation type="list" operator="equal" allowBlank="1" showDropDown="1" sqref="B5:C18 B82:C95 B74:C74 B25:C32 B39:C39 B46:C46 B54:C60 B67:C67 E116:F117 E111:F112 E114:F114 E108:F109 E5:E105 F5:F11 F13:F18 F20:F25 F27:F46 F48:F53 F55:F60 F62:F81 F83:F88 F90:F95 F97:F102 F104:F105 H116:H117 H111:H112 H114 H108:H109 H5:H11 H13:H18 H20:H25 H27:H46 H48:H53 H55:H60 H62:H81 H83:H88 H90:H95 H97:H102 H104:H105" xr:uid="{603DAA4C-E047-B149-977A-1B6F5DB71660}">
      <formula1>"ASICS GEL 11-50,ASICS GT 21-40,ASICS GT 21-60"</formula1>
      <formula2>0</formula2>
    </dataValidation>
  </dataValidations>
  <pageMargins left="0.7" right="0.7" top="0.78740157499999996" bottom="0.78740157499999996"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EADA6-67F7-0840-9EC8-2F32269CED88}">
  <dimension ref="A1:I31"/>
  <sheetViews>
    <sheetView workbookViewId="0">
      <selection activeCell="H37" sqref="H37"/>
    </sheetView>
  </sheetViews>
  <sheetFormatPr baseColWidth="10" defaultColWidth="11.5" defaultRowHeight="13" x14ac:dyDescent="0.15"/>
  <cols>
    <col min="1" max="1" width="8.1640625" bestFit="1" customWidth="1"/>
    <col min="2" max="2" width="7.6640625" bestFit="1" customWidth="1"/>
    <col min="3" max="3" width="6.1640625" bestFit="1" customWidth="1"/>
    <col min="4" max="5" width="7.6640625" bestFit="1" customWidth="1"/>
    <col min="6" max="6" width="6.1640625" bestFit="1" customWidth="1"/>
    <col min="7" max="7" width="7" bestFit="1" customWidth="1"/>
    <col min="8" max="8" width="7.6640625" bestFit="1" customWidth="1"/>
    <col min="9" max="9" width="6.1640625" bestFit="1" customWidth="1"/>
  </cols>
  <sheetData>
    <row r="1" spans="1:9" s="140" customFormat="1" x14ac:dyDescent="0.15">
      <c r="A1" s="3632" t="s">
        <v>897</v>
      </c>
      <c r="B1" s="3633"/>
      <c r="C1" s="3634"/>
      <c r="D1" s="3632" t="s">
        <v>891</v>
      </c>
      <c r="E1" s="3633"/>
      <c r="F1" s="3634"/>
      <c r="G1" s="3632" t="s">
        <v>966</v>
      </c>
      <c r="H1" s="3633"/>
      <c r="I1" s="3634"/>
    </row>
    <row r="2" spans="1:9" ht="14" thickBot="1" x14ac:dyDescent="0.2">
      <c r="A2" s="3635"/>
      <c r="B2" s="3636"/>
      <c r="C2" s="3637"/>
      <c r="D2" s="3635"/>
      <c r="E2" s="3636"/>
      <c r="F2" s="3637"/>
      <c r="G2" s="3635"/>
      <c r="H2" s="3636"/>
      <c r="I2" s="3637"/>
    </row>
    <row r="3" spans="1:9" ht="14" thickBot="1" x14ac:dyDescent="0.2">
      <c r="A3" s="3185" t="s">
        <v>421</v>
      </c>
      <c r="B3" s="3186" t="s">
        <v>898</v>
      </c>
      <c r="C3" s="3187" t="s">
        <v>1464</v>
      </c>
      <c r="D3" s="3185" t="s">
        <v>421</v>
      </c>
      <c r="E3" s="3186" t="s">
        <v>898</v>
      </c>
      <c r="F3" s="3187" t="s">
        <v>1464</v>
      </c>
      <c r="G3" s="3185" t="s">
        <v>421</v>
      </c>
      <c r="H3" s="3186" t="s">
        <v>898</v>
      </c>
      <c r="I3" s="3187" t="s">
        <v>1464</v>
      </c>
    </row>
    <row r="4" spans="1:9" x14ac:dyDescent="0.15">
      <c r="A4" s="3175">
        <v>4.4444444444444446E-2</v>
      </c>
      <c r="B4" s="2">
        <v>36</v>
      </c>
      <c r="C4" s="3176">
        <f>B4/7*9</f>
        <v>46.285714285714292</v>
      </c>
      <c r="D4" s="3182">
        <v>9.930555555555555E-2</v>
      </c>
      <c r="E4" s="2">
        <v>41</v>
      </c>
      <c r="F4" s="3176">
        <f>E4/7*9</f>
        <v>52.714285714285708</v>
      </c>
      <c r="G4" s="3182">
        <v>0.20833333333333334</v>
      </c>
      <c r="H4" s="2">
        <v>51</v>
      </c>
      <c r="I4" s="3176">
        <f>H4/7*9</f>
        <v>65.571428571428569</v>
      </c>
    </row>
    <row r="5" spans="1:9" x14ac:dyDescent="0.15">
      <c r="A5" s="3175">
        <v>4.027777777777778E-2</v>
      </c>
      <c r="B5" s="2">
        <v>39</v>
      </c>
      <c r="C5" s="3176">
        <f t="shared" ref="C5:C19" si="0">B5/7*9</f>
        <v>50.142857142857139</v>
      </c>
      <c r="D5" s="3182">
        <v>9.0277777777777776E-2</v>
      </c>
      <c r="E5" s="2">
        <v>44</v>
      </c>
      <c r="F5" s="3176">
        <f t="shared" ref="F5:F19" si="1">E5/7*9</f>
        <v>56.571428571428569</v>
      </c>
      <c r="G5" s="3182">
        <v>0.1875</v>
      </c>
      <c r="H5" s="2">
        <v>55</v>
      </c>
      <c r="I5" s="3176">
        <f t="shared" ref="I5:I19" si="2">H5/7*9</f>
        <v>70.714285714285708</v>
      </c>
    </row>
    <row r="6" spans="1:9" x14ac:dyDescent="0.15">
      <c r="A6" s="3175">
        <v>3.5416666666666666E-2</v>
      </c>
      <c r="B6" s="2">
        <v>42</v>
      </c>
      <c r="C6" s="3176">
        <f t="shared" si="0"/>
        <v>54</v>
      </c>
      <c r="D6" s="3182">
        <v>7.9861111111111105E-2</v>
      </c>
      <c r="E6" s="2">
        <v>48</v>
      </c>
      <c r="F6" s="3176">
        <f t="shared" si="1"/>
        <v>61.714285714285708</v>
      </c>
      <c r="G6" s="3182">
        <v>0.16666666666666666</v>
      </c>
      <c r="H6" s="2">
        <v>60</v>
      </c>
      <c r="I6" s="3176">
        <f t="shared" si="2"/>
        <v>77.142857142857139</v>
      </c>
    </row>
    <row r="7" spans="1:9" x14ac:dyDescent="0.15">
      <c r="A7" s="3175">
        <v>3.3333333333333333E-2</v>
      </c>
      <c r="B7" s="2">
        <v>46</v>
      </c>
      <c r="C7" s="3176">
        <f t="shared" si="0"/>
        <v>59.142857142857139</v>
      </c>
      <c r="D7" s="3182">
        <v>7.4305555555555555E-2</v>
      </c>
      <c r="E7" s="2">
        <v>52</v>
      </c>
      <c r="F7" s="3176">
        <f t="shared" si="1"/>
        <v>66.857142857142861</v>
      </c>
      <c r="G7" s="3182">
        <v>0.15625</v>
      </c>
      <c r="H7" s="2">
        <v>65</v>
      </c>
      <c r="I7" s="3176">
        <f t="shared" si="2"/>
        <v>83.571428571428584</v>
      </c>
    </row>
    <row r="8" spans="1:9" x14ac:dyDescent="0.15">
      <c r="A8" s="3175">
        <v>3.125E-2</v>
      </c>
      <c r="B8" s="2">
        <v>50</v>
      </c>
      <c r="C8" s="3176">
        <f t="shared" si="0"/>
        <v>64.285714285714292</v>
      </c>
      <c r="D8" s="3182">
        <v>6.9444444444444434E-2</v>
      </c>
      <c r="E8" s="2">
        <v>58</v>
      </c>
      <c r="F8" s="3176">
        <f t="shared" si="1"/>
        <v>74.571428571428584</v>
      </c>
      <c r="G8" s="3182">
        <v>0.14583333333333334</v>
      </c>
      <c r="H8" s="2">
        <v>72</v>
      </c>
      <c r="I8" s="3176">
        <f t="shared" si="2"/>
        <v>92.571428571428584</v>
      </c>
    </row>
    <row r="9" spans="1:9" x14ac:dyDescent="0.15">
      <c r="A9" s="3175">
        <v>2.9166666666666664E-2</v>
      </c>
      <c r="B9" s="2">
        <v>59</v>
      </c>
      <c r="C9" s="3176">
        <f t="shared" si="0"/>
        <v>75.857142857142861</v>
      </c>
      <c r="D9" s="3182">
        <v>6.458333333333334E-2</v>
      </c>
      <c r="E9" s="2">
        <v>67</v>
      </c>
      <c r="F9" s="3176">
        <f t="shared" si="1"/>
        <v>86.142857142857139</v>
      </c>
      <c r="G9" s="3182">
        <v>0.13541666666666666</v>
      </c>
      <c r="H9" s="2">
        <v>84</v>
      </c>
      <c r="I9" s="3176">
        <f t="shared" si="2"/>
        <v>108</v>
      </c>
    </row>
    <row r="10" spans="1:9" x14ac:dyDescent="0.15">
      <c r="A10" s="3177">
        <v>2.6388888888888889E-2</v>
      </c>
      <c r="B10" s="3174">
        <v>67</v>
      </c>
      <c r="C10" s="3178">
        <f t="shared" si="0"/>
        <v>86.142857142857139</v>
      </c>
      <c r="D10" s="3183">
        <v>5.9722222222222225E-2</v>
      </c>
      <c r="E10" s="3174">
        <v>77</v>
      </c>
      <c r="F10" s="3178">
        <f t="shared" si="1"/>
        <v>99</v>
      </c>
      <c r="G10" s="3183">
        <v>0.125</v>
      </c>
      <c r="H10" s="3174">
        <v>96</v>
      </c>
      <c r="I10" s="3178">
        <f t="shared" si="2"/>
        <v>123.42857142857142</v>
      </c>
    </row>
    <row r="11" spans="1:9" x14ac:dyDescent="0.15">
      <c r="A11" s="3175">
        <v>2.6041666666666668E-2</v>
      </c>
      <c r="B11" s="2">
        <v>71</v>
      </c>
      <c r="C11" s="3176">
        <f t="shared" si="0"/>
        <v>91.285714285714278</v>
      </c>
      <c r="D11" s="3182">
        <v>5.6250000000000001E-2</v>
      </c>
      <c r="E11" s="2">
        <v>86</v>
      </c>
      <c r="F11" s="3176">
        <f t="shared" si="1"/>
        <v>110.57142857142858</v>
      </c>
      <c r="G11" s="3182">
        <v>0.11805555555555557</v>
      </c>
      <c r="H11" s="2">
        <v>108</v>
      </c>
      <c r="I11" s="3176">
        <f t="shared" si="2"/>
        <v>138.85714285714286</v>
      </c>
    </row>
    <row r="12" spans="1:9" x14ac:dyDescent="0.15">
      <c r="A12" s="3175">
        <v>2.5347222222222219E-2</v>
      </c>
      <c r="B12" s="2">
        <v>76</v>
      </c>
      <c r="C12" s="3176">
        <f t="shared" si="0"/>
        <v>97.714285714285722</v>
      </c>
      <c r="D12" s="3182">
        <v>5.4166666666666669E-2</v>
      </c>
      <c r="E12" s="2">
        <v>100</v>
      </c>
      <c r="F12" s="3176">
        <f t="shared" si="1"/>
        <v>128.57142857142858</v>
      </c>
      <c r="G12" s="3182">
        <v>0.11458333333333333</v>
      </c>
      <c r="H12" s="2">
        <v>125</v>
      </c>
      <c r="I12" s="3176">
        <f t="shared" si="2"/>
        <v>160.71428571428572</v>
      </c>
    </row>
    <row r="13" spans="1:9" x14ac:dyDescent="0.15">
      <c r="A13" s="3175">
        <v>2.4537037037037038E-2</v>
      </c>
      <c r="B13" s="2">
        <v>88</v>
      </c>
      <c r="C13" s="3176">
        <f t="shared" si="0"/>
        <v>113.14285714285714</v>
      </c>
      <c r="D13" s="3182">
        <v>5.2777777777777778E-2</v>
      </c>
      <c r="E13" s="2">
        <v>114</v>
      </c>
      <c r="F13" s="3176">
        <f t="shared" si="1"/>
        <v>146.57142857142856</v>
      </c>
      <c r="G13" s="3182">
        <v>0.1111111111111111</v>
      </c>
      <c r="H13" s="2">
        <v>142</v>
      </c>
      <c r="I13" s="3176">
        <f t="shared" si="2"/>
        <v>182.57142857142856</v>
      </c>
    </row>
    <row r="14" spans="1:9" x14ac:dyDescent="0.15">
      <c r="A14" s="3175">
        <v>2.3842592592592596E-2</v>
      </c>
      <c r="B14" s="2">
        <v>99</v>
      </c>
      <c r="C14" s="3176">
        <f t="shared" si="0"/>
        <v>127.28571428571428</v>
      </c>
      <c r="D14" s="3182">
        <v>5.1388888888888894E-2</v>
      </c>
      <c r="E14" s="2">
        <v>130</v>
      </c>
      <c r="F14" s="3176">
        <f t="shared" si="1"/>
        <v>167.14285714285717</v>
      </c>
      <c r="G14" s="3182">
        <v>0.1076388888888889</v>
      </c>
      <c r="H14" s="2">
        <v>162</v>
      </c>
      <c r="I14" s="3176">
        <f t="shared" si="2"/>
        <v>208.28571428571428</v>
      </c>
    </row>
    <row r="15" spans="1:9" x14ac:dyDescent="0.15">
      <c r="A15" s="3175">
        <v>2.314814814814815E-2</v>
      </c>
      <c r="B15" s="2">
        <v>113</v>
      </c>
      <c r="C15" s="3176">
        <f t="shared" si="0"/>
        <v>145.28571428571428</v>
      </c>
      <c r="D15" s="3182">
        <v>4.9305555555555554E-2</v>
      </c>
      <c r="E15" s="2">
        <v>146</v>
      </c>
      <c r="F15" s="3176">
        <f t="shared" si="1"/>
        <v>187.71428571428572</v>
      </c>
      <c r="G15" s="3182">
        <v>0.10416666666666667</v>
      </c>
      <c r="H15" s="2">
        <v>182</v>
      </c>
      <c r="I15" s="3176">
        <f t="shared" si="2"/>
        <v>234</v>
      </c>
    </row>
    <row r="16" spans="1:9" x14ac:dyDescent="0.15">
      <c r="A16" s="3175">
        <v>2.2222222222222223E-2</v>
      </c>
      <c r="B16" s="2">
        <v>127</v>
      </c>
      <c r="C16" s="3176">
        <f t="shared" si="0"/>
        <v>163.28571428571428</v>
      </c>
      <c r="D16" s="3182">
        <v>4.7916666666666663E-2</v>
      </c>
      <c r="E16" s="2">
        <v>158</v>
      </c>
      <c r="F16" s="3176">
        <f t="shared" si="1"/>
        <v>203.14285714285717</v>
      </c>
      <c r="G16" s="3182">
        <v>0.10069444444444443</v>
      </c>
      <c r="H16" s="2">
        <v>195</v>
      </c>
      <c r="I16" s="3176">
        <f t="shared" si="2"/>
        <v>250.71428571428572</v>
      </c>
    </row>
    <row r="17" spans="1:9" x14ac:dyDescent="0.15">
      <c r="A17" s="3175">
        <v>2.1527777777777781E-2</v>
      </c>
      <c r="B17" s="2">
        <v>137</v>
      </c>
      <c r="C17" s="3176">
        <f t="shared" si="0"/>
        <v>176.14285714285717</v>
      </c>
      <c r="D17" s="3182">
        <v>4.6527777777777779E-2</v>
      </c>
      <c r="E17" s="2">
        <v>164</v>
      </c>
      <c r="F17" s="3176">
        <f t="shared" si="1"/>
        <v>210.85714285714283</v>
      </c>
      <c r="G17" s="3182">
        <v>9.7222222222222224E-2</v>
      </c>
      <c r="H17" s="2">
        <v>205</v>
      </c>
      <c r="I17" s="3176">
        <f t="shared" si="2"/>
        <v>263.57142857142856</v>
      </c>
    </row>
    <row r="18" spans="1:9" x14ac:dyDescent="0.15">
      <c r="A18" s="3175">
        <v>2.0833333333333332E-2</v>
      </c>
      <c r="B18" s="2">
        <v>144</v>
      </c>
      <c r="C18" s="3176">
        <f t="shared" si="0"/>
        <v>185.14285714285717</v>
      </c>
      <c r="D18" s="3182">
        <v>4.4444444444444446E-2</v>
      </c>
      <c r="E18" s="2">
        <v>174</v>
      </c>
      <c r="F18" s="3176">
        <f t="shared" si="1"/>
        <v>223.71428571428572</v>
      </c>
      <c r="G18" s="3182">
        <v>9.375E-2</v>
      </c>
      <c r="H18" s="2">
        <v>218</v>
      </c>
      <c r="I18" s="3176">
        <f t="shared" si="2"/>
        <v>280.28571428571428</v>
      </c>
    </row>
    <row r="19" spans="1:9" ht="14" thickBot="1" x14ac:dyDescent="0.2">
      <c r="A19" s="3179">
        <v>2.013888888888889E-2</v>
      </c>
      <c r="B19" s="3180">
        <v>153</v>
      </c>
      <c r="C19" s="3181">
        <f t="shared" si="0"/>
        <v>196.71428571428572</v>
      </c>
      <c r="D19" s="3184">
        <v>4.3055555555555562E-2</v>
      </c>
      <c r="E19" s="3180">
        <v>192</v>
      </c>
      <c r="F19" s="3181">
        <f t="shared" si="1"/>
        <v>246.85714285714283</v>
      </c>
      <c r="G19" s="3184">
        <v>9.0277777777777776E-2</v>
      </c>
      <c r="H19" s="3180">
        <v>240</v>
      </c>
      <c r="I19" s="3181">
        <f t="shared" si="2"/>
        <v>308.57142857142856</v>
      </c>
    </row>
    <row r="20" spans="1:9" x14ac:dyDescent="0.15">
      <c r="A20" s="2"/>
      <c r="B20" s="2"/>
      <c r="C20" s="2"/>
      <c r="D20" s="2"/>
      <c r="E20" s="2"/>
      <c r="F20" s="2"/>
      <c r="G20" s="3173"/>
      <c r="H20" s="2"/>
      <c r="I20" s="2877"/>
    </row>
    <row r="24" spans="1:9" ht="14" thickBot="1" x14ac:dyDescent="0.2"/>
    <row r="25" spans="1:9" ht="14" thickBot="1" x14ac:dyDescent="0.2">
      <c r="A25" s="3140"/>
      <c r="B25" s="3141"/>
      <c r="C25" s="3141"/>
      <c r="D25" s="3142" t="s">
        <v>1453</v>
      </c>
      <c r="E25" s="3143" t="s">
        <v>1457</v>
      </c>
    </row>
    <row r="26" spans="1:9" x14ac:dyDescent="0.15">
      <c r="A26" s="3638" t="s">
        <v>1454</v>
      </c>
      <c r="B26" s="3639"/>
      <c r="C26" s="3137" t="s">
        <v>969</v>
      </c>
      <c r="D26" s="3138">
        <v>47</v>
      </c>
      <c r="E26" s="3139">
        <f>D26/7*9</f>
        <v>60.428571428571431</v>
      </c>
    </row>
    <row r="27" spans="1:9" x14ac:dyDescent="0.15">
      <c r="A27" s="3640" t="s">
        <v>1444</v>
      </c>
      <c r="B27" s="3641"/>
      <c r="C27" s="3262" t="s">
        <v>968</v>
      </c>
      <c r="D27" s="3263">
        <v>62</v>
      </c>
      <c r="E27" s="3264">
        <v>70</v>
      </c>
    </row>
    <row r="28" spans="1:9" x14ac:dyDescent="0.15">
      <c r="A28" s="3628" t="s">
        <v>971</v>
      </c>
      <c r="B28" s="3629"/>
      <c r="C28" s="3132" t="s">
        <v>968</v>
      </c>
      <c r="D28" s="3171">
        <v>67</v>
      </c>
      <c r="E28" s="3134">
        <f t="shared" ref="E28:E31" si="3">D28/7*9</f>
        <v>86.142857142857139</v>
      </c>
    </row>
    <row r="29" spans="1:9" x14ac:dyDescent="0.15">
      <c r="A29" s="3628" t="s">
        <v>970</v>
      </c>
      <c r="B29" s="3629"/>
      <c r="C29" s="3132" t="s">
        <v>1458</v>
      </c>
      <c r="D29" s="3133">
        <v>73</v>
      </c>
      <c r="E29" s="3134">
        <f>D29/7*9</f>
        <v>93.857142857142861</v>
      </c>
    </row>
    <row r="30" spans="1:9" x14ac:dyDescent="0.15">
      <c r="A30" s="3628" t="s">
        <v>967</v>
      </c>
      <c r="B30" s="3629"/>
      <c r="C30" s="3132" t="s">
        <v>183</v>
      </c>
      <c r="D30" s="3171">
        <v>77</v>
      </c>
      <c r="E30" s="3134">
        <f t="shared" si="3"/>
        <v>99</v>
      </c>
    </row>
    <row r="31" spans="1:9" ht="14" thickBot="1" x14ac:dyDescent="0.2">
      <c r="A31" s="3630" t="s">
        <v>965</v>
      </c>
      <c r="B31" s="3631"/>
      <c r="C31" s="3135" t="s">
        <v>424</v>
      </c>
      <c r="D31" s="3172">
        <v>96</v>
      </c>
      <c r="E31" s="3136">
        <f t="shared" si="3"/>
        <v>123.42857142857142</v>
      </c>
    </row>
  </sheetData>
  <mergeCells count="9">
    <mergeCell ref="A30:B30"/>
    <mergeCell ref="A31:B31"/>
    <mergeCell ref="A1:C2"/>
    <mergeCell ref="D1:F2"/>
    <mergeCell ref="G1:I2"/>
    <mergeCell ref="A26:B26"/>
    <mergeCell ref="A27:B27"/>
    <mergeCell ref="A28:B28"/>
    <mergeCell ref="A29:B29"/>
  </mergeCells>
  <pageMargins left="0.7" right="0.7" top="0.78740157499999996" bottom="0.78740157499999996"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29</vt:i4>
      </vt:variant>
      <vt:variant>
        <vt:lpstr>Named Ranges</vt:lpstr>
      </vt:variant>
      <vt:variant>
        <vt:i4>6</vt:i4>
      </vt:variant>
    </vt:vector>
  </HeadingPairs>
  <TitlesOfParts>
    <vt:vector size="35" baseType="lpstr">
      <vt:lpstr>2007</vt:lpstr>
      <vt:lpstr>2008</vt:lpstr>
      <vt:lpstr>2009</vt:lpstr>
      <vt:lpstr>2010</vt:lpstr>
      <vt:lpstr>2011</vt:lpstr>
      <vt:lpstr>2012</vt:lpstr>
      <vt:lpstr>2013</vt:lpstr>
      <vt:lpstr>2014</vt:lpstr>
      <vt:lpstr>2015</vt:lpstr>
      <vt:lpstr>2016</vt:lpstr>
      <vt:lpstr>2017</vt:lpstr>
      <vt:lpstr>2018+</vt:lpstr>
      <vt:lpstr>Dashboard</vt:lpstr>
      <vt:lpstr>Trainingsarten</vt:lpstr>
      <vt:lpstr>Schuhe</vt:lpstr>
      <vt:lpstr>Periodisierung</vt:lpstr>
      <vt:lpstr>TSS vs RSS</vt:lpstr>
      <vt:lpstr>Periodisierung  9</vt:lpstr>
      <vt:lpstr>Jahrestabellen</vt:lpstr>
      <vt:lpstr>HM</vt:lpstr>
      <vt:lpstr>peaks</vt:lpstr>
      <vt:lpstr>PWR HR</vt:lpstr>
      <vt:lpstr>trailing 90d</vt:lpstr>
      <vt:lpstr>ECOR</vt:lpstr>
      <vt:lpstr>Kinderwagen</vt:lpstr>
      <vt:lpstr>Year progression</vt:lpstr>
      <vt:lpstr>Wettkampfprognosen</vt:lpstr>
      <vt:lpstr>Vorlagen</vt:lpstr>
      <vt:lpstr>Volumes</vt:lpstr>
      <vt:lpstr>'2011'!Print_Area</vt:lpstr>
      <vt:lpstr>'2015'!Print_Area</vt:lpstr>
      <vt:lpstr>'2016'!Print_Area</vt:lpstr>
      <vt:lpstr>'2017'!Print_Area</vt:lpstr>
      <vt:lpstr>'2018+'!Print_Area</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Dillinger</dc:creator>
  <cp:lastModifiedBy>Stefan Dillinger</cp:lastModifiedBy>
  <cp:lastPrinted>2021-12-28T20:48:00Z</cp:lastPrinted>
  <dcterms:created xsi:type="dcterms:W3CDTF">2015-09-15T18:26:06Z</dcterms:created>
  <dcterms:modified xsi:type="dcterms:W3CDTF">2024-01-19T11:42:21Z</dcterms:modified>
</cp:coreProperties>
</file>